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v_yuhaozeng\Desktop\基于LDA与共现网络\"/>
    </mc:Choice>
  </mc:AlternateContent>
  <xr:revisionPtr revIDLastSave="0" documentId="8_{09BE5759-975C-497D-9D86-86CB4E604521}"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59" i="1" l="1"/>
  <c r="C4459" i="1"/>
  <c r="E4458" i="1"/>
  <c r="C4458" i="1"/>
  <c r="E4457" i="1"/>
  <c r="C4457" i="1"/>
  <c r="E4456" i="1"/>
  <c r="C4456" i="1"/>
  <c r="E4455" i="1"/>
  <c r="C4455" i="1"/>
  <c r="E4454" i="1"/>
  <c r="C4454" i="1"/>
  <c r="E4453" i="1"/>
  <c r="C4453" i="1"/>
  <c r="E4452" i="1"/>
  <c r="C4452" i="1"/>
  <c r="E4451" i="1"/>
  <c r="C4451" i="1"/>
  <c r="E4450" i="1"/>
  <c r="C4450" i="1"/>
  <c r="E4449" i="1"/>
  <c r="C4449" i="1"/>
  <c r="E4448" i="1"/>
  <c r="C4448" i="1"/>
  <c r="E4447" i="1"/>
  <c r="C4447" i="1"/>
  <c r="E4446" i="1"/>
  <c r="C4446" i="1"/>
  <c r="E4445" i="1"/>
  <c r="C4445" i="1"/>
  <c r="E4444" i="1"/>
  <c r="C4444" i="1"/>
  <c r="E4443" i="1"/>
  <c r="C4443" i="1"/>
  <c r="E4442" i="1"/>
  <c r="C4442" i="1"/>
  <c r="E4441" i="1"/>
  <c r="C4441" i="1"/>
  <c r="E4440" i="1"/>
  <c r="C4440" i="1"/>
  <c r="E4439" i="1"/>
  <c r="C4439" i="1"/>
  <c r="E4438" i="1"/>
  <c r="C4438" i="1"/>
  <c r="E4437" i="1"/>
  <c r="C4437" i="1"/>
  <c r="E4436" i="1"/>
  <c r="C4436" i="1"/>
  <c r="E4435" i="1"/>
  <c r="C4435" i="1"/>
  <c r="E4434" i="1"/>
  <c r="C4434" i="1"/>
  <c r="E4433" i="1"/>
  <c r="C4433" i="1"/>
  <c r="E4432" i="1"/>
  <c r="C4432" i="1"/>
  <c r="E4431" i="1"/>
  <c r="C4431" i="1"/>
  <c r="E4430" i="1"/>
  <c r="C4430" i="1"/>
  <c r="E4429" i="1"/>
  <c r="C4429" i="1"/>
  <c r="E4428" i="1"/>
  <c r="C4428" i="1"/>
  <c r="E4427" i="1"/>
  <c r="C4427" i="1"/>
  <c r="E4426" i="1"/>
  <c r="C4426" i="1"/>
  <c r="E4425" i="1"/>
  <c r="C4425" i="1"/>
  <c r="E4424" i="1"/>
  <c r="C4424" i="1"/>
  <c r="E4423" i="1"/>
  <c r="C4423" i="1"/>
  <c r="E4422" i="1"/>
  <c r="C4422" i="1"/>
  <c r="E4421" i="1"/>
  <c r="C4421" i="1"/>
  <c r="E4420" i="1"/>
  <c r="C4420" i="1"/>
  <c r="E4419" i="1"/>
  <c r="C4419" i="1"/>
  <c r="E4418" i="1"/>
  <c r="C4418" i="1"/>
  <c r="E4417" i="1"/>
  <c r="C4417" i="1"/>
  <c r="E4416" i="1"/>
  <c r="C4416" i="1"/>
  <c r="E4415" i="1"/>
  <c r="C4415" i="1"/>
  <c r="E4414" i="1"/>
  <c r="C4414" i="1"/>
  <c r="E4413" i="1"/>
  <c r="C4413" i="1"/>
  <c r="E4412" i="1"/>
  <c r="C4412" i="1"/>
  <c r="E4411" i="1"/>
  <c r="C4411" i="1"/>
  <c r="E4410" i="1"/>
  <c r="C4410" i="1"/>
  <c r="E4409" i="1"/>
  <c r="C4409" i="1"/>
  <c r="E4408" i="1"/>
  <c r="C4408" i="1"/>
  <c r="E4407" i="1"/>
  <c r="E4406" i="1"/>
  <c r="C4406" i="1"/>
  <c r="E4405" i="1"/>
  <c r="C4405" i="1"/>
  <c r="E4404" i="1"/>
  <c r="C4404" i="1"/>
  <c r="E4403" i="1"/>
  <c r="C4403" i="1"/>
  <c r="E4402" i="1"/>
  <c r="C4402" i="1"/>
  <c r="E4401" i="1"/>
  <c r="C4401" i="1"/>
  <c r="E4400" i="1"/>
  <c r="C4400" i="1"/>
  <c r="E4399" i="1"/>
  <c r="C4399" i="1"/>
  <c r="E4398" i="1"/>
  <c r="C4398" i="1"/>
  <c r="E4397" i="1"/>
  <c r="C4397" i="1"/>
  <c r="E4396" i="1"/>
  <c r="C4396" i="1"/>
  <c r="E4395" i="1"/>
  <c r="C4395" i="1"/>
  <c r="E4394" i="1"/>
  <c r="C4394" i="1"/>
  <c r="E4393" i="1"/>
  <c r="C4393" i="1"/>
  <c r="E4392" i="1"/>
  <c r="C4392" i="1"/>
  <c r="E4391" i="1"/>
  <c r="C4391" i="1"/>
  <c r="E4390" i="1"/>
  <c r="C4390" i="1"/>
  <c r="E4389" i="1"/>
  <c r="C4389" i="1"/>
  <c r="E4388" i="1"/>
  <c r="C4388" i="1"/>
  <c r="E4387" i="1"/>
  <c r="C4387" i="1"/>
  <c r="E4386" i="1"/>
  <c r="C4386" i="1"/>
  <c r="E4385" i="1"/>
  <c r="C4385" i="1"/>
  <c r="E4384" i="1"/>
  <c r="C4384" i="1"/>
  <c r="E4383" i="1"/>
  <c r="C4383" i="1"/>
  <c r="E4382" i="1"/>
  <c r="C4382" i="1"/>
  <c r="E4381" i="1"/>
  <c r="C4381" i="1"/>
  <c r="E4380" i="1"/>
  <c r="C4380" i="1"/>
  <c r="E4379" i="1"/>
  <c r="C4379" i="1"/>
  <c r="E4378" i="1"/>
  <c r="C4378" i="1"/>
  <c r="E4377" i="1"/>
  <c r="C4377" i="1"/>
  <c r="E4376" i="1"/>
  <c r="C4376" i="1"/>
  <c r="E4375" i="1"/>
  <c r="C4375" i="1"/>
  <c r="E4374" i="1"/>
  <c r="C4374" i="1"/>
  <c r="E4373" i="1"/>
  <c r="C4373" i="1"/>
  <c r="E4372" i="1"/>
  <c r="C4372" i="1"/>
  <c r="E4371" i="1"/>
  <c r="C4371" i="1"/>
  <c r="E4370" i="1"/>
  <c r="C4370" i="1"/>
  <c r="E4369" i="1"/>
  <c r="C4369" i="1"/>
  <c r="E4368" i="1"/>
  <c r="C4368" i="1"/>
  <c r="E4367" i="1"/>
  <c r="C4367" i="1"/>
  <c r="E4366" i="1"/>
  <c r="C4366" i="1"/>
  <c r="E4365" i="1"/>
  <c r="C4365" i="1"/>
  <c r="E4364" i="1"/>
  <c r="C4364" i="1"/>
  <c r="E4363" i="1"/>
  <c r="C4363" i="1"/>
  <c r="E4362" i="1"/>
  <c r="C4362" i="1"/>
  <c r="E4361" i="1"/>
  <c r="C4361" i="1"/>
  <c r="E4360" i="1"/>
  <c r="C4360" i="1"/>
  <c r="E4359" i="1"/>
  <c r="C4359" i="1"/>
  <c r="E4358" i="1"/>
  <c r="C4358" i="1"/>
  <c r="E4357" i="1"/>
  <c r="C4357" i="1"/>
  <c r="E4356" i="1"/>
  <c r="C4356" i="1"/>
  <c r="E4355" i="1"/>
  <c r="C4355" i="1"/>
  <c r="E4354" i="1"/>
  <c r="C4354" i="1"/>
  <c r="E4353" i="1"/>
  <c r="C4353" i="1"/>
  <c r="E4352" i="1"/>
  <c r="C4352" i="1"/>
  <c r="E4351" i="1"/>
  <c r="C4351" i="1"/>
  <c r="E4350" i="1"/>
  <c r="C4350" i="1"/>
  <c r="E4349" i="1"/>
  <c r="C4349" i="1"/>
  <c r="E4348" i="1"/>
  <c r="C4348" i="1"/>
  <c r="E4347" i="1"/>
  <c r="C4347" i="1"/>
  <c r="E4346" i="1"/>
  <c r="C4346" i="1"/>
  <c r="E4345" i="1"/>
  <c r="C4345" i="1"/>
  <c r="E4344" i="1"/>
  <c r="C4344" i="1"/>
  <c r="E4343" i="1"/>
  <c r="C4343" i="1"/>
  <c r="E4342" i="1"/>
  <c r="C4342" i="1"/>
  <c r="E4341" i="1"/>
  <c r="C4341" i="1"/>
  <c r="E4340" i="1"/>
  <c r="C4340" i="1"/>
  <c r="E4339" i="1"/>
  <c r="C4339" i="1"/>
  <c r="E4338" i="1"/>
  <c r="C4338" i="1"/>
  <c r="E4337" i="1"/>
  <c r="C4337" i="1"/>
  <c r="E4336" i="1"/>
  <c r="C4336" i="1"/>
  <c r="E4335" i="1"/>
  <c r="C4335" i="1"/>
  <c r="E4334" i="1"/>
  <c r="C4334" i="1"/>
  <c r="E4333" i="1"/>
  <c r="C4333" i="1"/>
  <c r="E4332" i="1"/>
  <c r="C4332" i="1"/>
  <c r="E4331" i="1"/>
  <c r="C4331" i="1"/>
  <c r="E4330" i="1"/>
  <c r="C4330" i="1"/>
  <c r="E4329" i="1"/>
  <c r="C4329" i="1"/>
  <c r="E4328" i="1"/>
  <c r="E4327" i="1"/>
  <c r="C4327" i="1"/>
  <c r="E4326" i="1"/>
  <c r="C4326" i="1"/>
  <c r="E4325" i="1"/>
  <c r="C4325" i="1"/>
  <c r="E4324" i="1"/>
  <c r="C4324" i="1"/>
  <c r="E4323" i="1"/>
  <c r="C4323" i="1"/>
  <c r="E4322" i="1"/>
  <c r="C4322" i="1"/>
  <c r="E4321" i="1"/>
  <c r="C4321" i="1"/>
  <c r="E4320" i="1"/>
  <c r="C4320" i="1"/>
  <c r="E4319" i="1"/>
  <c r="C4319" i="1"/>
  <c r="E4318" i="1"/>
  <c r="C4318" i="1"/>
  <c r="E4317" i="1"/>
  <c r="C4317" i="1"/>
  <c r="E4316" i="1"/>
  <c r="C4316" i="1"/>
  <c r="E4315" i="1"/>
  <c r="C4315" i="1"/>
  <c r="E4314" i="1"/>
  <c r="C4314" i="1"/>
  <c r="E4313" i="1"/>
  <c r="C4313" i="1"/>
  <c r="E4312" i="1"/>
  <c r="C4312" i="1"/>
  <c r="E4311" i="1"/>
  <c r="C4311" i="1"/>
  <c r="E4310" i="1"/>
  <c r="C4310" i="1"/>
  <c r="E4309" i="1"/>
  <c r="C4309" i="1"/>
  <c r="E4308" i="1"/>
  <c r="C4308" i="1"/>
  <c r="E4307" i="1"/>
  <c r="C4307" i="1"/>
  <c r="E4306" i="1"/>
  <c r="C4306" i="1"/>
  <c r="E4305" i="1"/>
  <c r="C4305" i="1"/>
  <c r="E4304" i="1"/>
  <c r="C4304" i="1"/>
  <c r="E4303" i="1"/>
  <c r="C4303" i="1"/>
  <c r="E4302" i="1"/>
  <c r="C4302" i="1"/>
  <c r="E4301" i="1"/>
  <c r="C4301" i="1"/>
  <c r="E4300" i="1"/>
  <c r="C4300" i="1"/>
  <c r="E4299" i="1"/>
  <c r="C4299" i="1"/>
  <c r="E4298" i="1"/>
  <c r="C4298" i="1"/>
  <c r="E4297" i="1"/>
  <c r="C4297" i="1"/>
  <c r="E4296" i="1"/>
  <c r="C4296" i="1"/>
  <c r="E4295" i="1"/>
  <c r="C4295" i="1"/>
  <c r="E4294" i="1"/>
  <c r="C4294" i="1"/>
  <c r="E4293" i="1"/>
  <c r="C4293" i="1"/>
  <c r="E4292" i="1"/>
  <c r="C4292" i="1"/>
  <c r="E4291" i="1"/>
  <c r="C4291" i="1"/>
  <c r="E4290" i="1"/>
  <c r="C4290" i="1"/>
  <c r="E4289" i="1"/>
  <c r="C4289" i="1"/>
  <c r="E4288" i="1"/>
  <c r="C4288" i="1"/>
  <c r="E4287" i="1"/>
  <c r="C4287" i="1"/>
  <c r="E4286" i="1"/>
  <c r="C4286" i="1"/>
  <c r="E4285" i="1"/>
  <c r="C4285" i="1"/>
  <c r="E4284" i="1"/>
  <c r="C4284" i="1"/>
  <c r="E4283" i="1"/>
  <c r="C4283" i="1"/>
  <c r="E4282" i="1"/>
  <c r="C4282" i="1"/>
  <c r="E4281" i="1"/>
  <c r="C4281" i="1"/>
  <c r="E4280" i="1"/>
  <c r="C4280" i="1"/>
  <c r="E4279" i="1"/>
  <c r="C4279" i="1"/>
  <c r="E4278" i="1"/>
  <c r="C4278" i="1"/>
  <c r="E4277" i="1"/>
  <c r="C4277" i="1"/>
  <c r="E4276" i="1"/>
  <c r="C4276" i="1"/>
  <c r="E4275" i="1"/>
  <c r="C4275" i="1"/>
  <c r="E4274" i="1"/>
  <c r="C4274" i="1"/>
  <c r="E4273" i="1"/>
  <c r="C4273" i="1"/>
  <c r="E4272" i="1"/>
  <c r="C4272" i="1"/>
  <c r="E4271" i="1"/>
  <c r="C4271" i="1"/>
  <c r="E4270" i="1"/>
  <c r="C4270" i="1"/>
  <c r="E4269" i="1"/>
  <c r="C4269" i="1"/>
  <c r="E4268" i="1"/>
  <c r="C4268" i="1"/>
  <c r="E4267" i="1"/>
  <c r="C4267" i="1"/>
  <c r="E4266" i="1"/>
  <c r="C4266" i="1"/>
  <c r="E4265" i="1"/>
  <c r="C4265" i="1"/>
  <c r="E4264" i="1"/>
  <c r="C4264" i="1"/>
  <c r="E4263" i="1"/>
  <c r="C4263" i="1"/>
  <c r="E4262" i="1"/>
  <c r="C4262" i="1"/>
  <c r="E4261" i="1"/>
  <c r="C4261" i="1"/>
  <c r="E4260" i="1"/>
  <c r="C4260" i="1"/>
  <c r="E4259" i="1"/>
  <c r="C4259" i="1"/>
  <c r="E4258" i="1"/>
  <c r="C4258" i="1"/>
  <c r="E4257" i="1"/>
  <c r="C4257" i="1"/>
  <c r="E4256" i="1"/>
  <c r="C4256" i="1"/>
  <c r="E4255" i="1"/>
  <c r="E4254" i="1"/>
  <c r="C4254" i="1"/>
  <c r="E4253" i="1"/>
  <c r="C4253" i="1"/>
  <c r="E4252" i="1"/>
  <c r="C4252" i="1"/>
  <c r="E4251" i="1"/>
  <c r="E4250" i="1"/>
  <c r="C4250" i="1"/>
  <c r="E4249" i="1"/>
  <c r="C4249" i="1"/>
  <c r="E4248" i="1"/>
  <c r="C4248" i="1"/>
  <c r="E4247" i="1"/>
  <c r="C4247" i="1"/>
  <c r="E4246" i="1"/>
  <c r="E4245" i="1"/>
  <c r="E4244" i="1"/>
  <c r="E4243" i="1"/>
  <c r="C4243" i="1"/>
  <c r="E4242" i="1"/>
  <c r="C4242" i="1"/>
  <c r="E4241" i="1"/>
  <c r="C4241" i="1"/>
  <c r="E4240" i="1"/>
  <c r="E4239" i="1"/>
  <c r="C4239" i="1"/>
  <c r="E4238" i="1"/>
  <c r="C4238" i="1"/>
  <c r="E4237" i="1"/>
  <c r="C4237" i="1"/>
  <c r="E4236" i="1"/>
  <c r="C4236" i="1"/>
  <c r="E4235" i="1"/>
  <c r="C4235" i="1"/>
  <c r="E4234" i="1"/>
  <c r="C4234" i="1"/>
  <c r="E4233" i="1"/>
  <c r="C4233" i="1"/>
  <c r="E4232" i="1"/>
  <c r="C4232" i="1"/>
  <c r="E4231" i="1"/>
  <c r="C4231" i="1"/>
  <c r="E4230" i="1"/>
  <c r="C4230" i="1"/>
  <c r="E4229" i="1"/>
  <c r="C4229" i="1"/>
  <c r="E4228" i="1"/>
  <c r="C4228" i="1"/>
  <c r="E4227" i="1"/>
  <c r="C4227" i="1"/>
  <c r="E4226" i="1"/>
  <c r="C4226" i="1"/>
  <c r="E4225" i="1"/>
  <c r="C4225" i="1"/>
  <c r="E4224" i="1"/>
  <c r="C4224" i="1"/>
  <c r="E4223" i="1"/>
  <c r="C4223" i="1"/>
  <c r="E4222" i="1"/>
  <c r="C4222" i="1"/>
  <c r="E4221" i="1"/>
  <c r="C4221" i="1"/>
  <c r="E4220" i="1"/>
  <c r="C4220" i="1"/>
  <c r="E4219" i="1"/>
  <c r="C4219" i="1"/>
  <c r="E4218" i="1"/>
  <c r="C4218" i="1"/>
  <c r="E4217" i="1"/>
  <c r="C4217" i="1"/>
  <c r="E4216" i="1"/>
  <c r="C4216" i="1"/>
  <c r="E4215" i="1"/>
  <c r="C4215" i="1"/>
  <c r="E4214" i="1"/>
  <c r="C4214" i="1"/>
  <c r="E4213" i="1"/>
  <c r="C4213" i="1"/>
  <c r="E4212" i="1"/>
  <c r="C4212" i="1"/>
  <c r="E4211" i="1"/>
  <c r="C4211" i="1"/>
  <c r="E4210" i="1"/>
  <c r="C4210" i="1"/>
  <c r="E4209" i="1"/>
  <c r="C4209" i="1"/>
  <c r="E4208" i="1"/>
  <c r="C4208" i="1"/>
  <c r="E4207" i="1"/>
  <c r="C4207" i="1"/>
  <c r="E4206" i="1"/>
  <c r="C4206" i="1"/>
  <c r="E4205" i="1"/>
  <c r="C4205" i="1"/>
  <c r="E4204" i="1"/>
  <c r="C4204" i="1"/>
  <c r="E4203" i="1"/>
  <c r="C4203" i="1"/>
  <c r="E4202" i="1"/>
  <c r="C4202" i="1"/>
  <c r="E4201" i="1"/>
  <c r="C4201" i="1"/>
  <c r="E4200" i="1"/>
  <c r="C4200" i="1"/>
  <c r="E4199" i="1"/>
  <c r="C4199" i="1"/>
  <c r="E4198" i="1"/>
  <c r="C4198" i="1"/>
  <c r="E4197" i="1"/>
  <c r="C4197" i="1"/>
  <c r="E4196" i="1"/>
  <c r="C4196" i="1"/>
  <c r="E4195" i="1"/>
  <c r="C4195" i="1"/>
  <c r="E4194" i="1"/>
  <c r="C4194" i="1"/>
  <c r="E4193" i="1"/>
  <c r="C4193" i="1"/>
  <c r="E4192" i="1"/>
  <c r="C4192" i="1"/>
  <c r="E4191" i="1"/>
  <c r="C4191" i="1"/>
  <c r="E4190" i="1"/>
  <c r="C4190" i="1"/>
  <c r="E4189" i="1"/>
  <c r="C4189" i="1"/>
  <c r="E4188" i="1"/>
  <c r="C4188" i="1"/>
  <c r="E4187" i="1"/>
  <c r="C4187" i="1"/>
  <c r="E4186" i="1"/>
  <c r="C4186" i="1"/>
  <c r="E4185" i="1"/>
  <c r="C4185" i="1"/>
  <c r="E4184" i="1"/>
  <c r="C4184" i="1"/>
  <c r="E4183" i="1"/>
  <c r="C4183" i="1"/>
  <c r="E4182" i="1"/>
  <c r="C4182" i="1"/>
  <c r="E4181" i="1"/>
  <c r="C4181" i="1"/>
  <c r="E4180" i="1"/>
  <c r="C4180" i="1"/>
  <c r="E4179" i="1"/>
  <c r="C4179" i="1"/>
  <c r="E4178" i="1"/>
  <c r="C4178" i="1"/>
  <c r="E4177" i="1"/>
  <c r="C4177" i="1"/>
  <c r="E4176" i="1"/>
  <c r="C4176" i="1"/>
  <c r="E4175" i="1"/>
  <c r="C4175" i="1"/>
  <c r="E4174" i="1"/>
  <c r="C4174" i="1"/>
  <c r="E4173" i="1"/>
  <c r="C4173" i="1"/>
  <c r="E4172" i="1"/>
  <c r="C4172" i="1"/>
  <c r="E4171" i="1"/>
  <c r="C4171" i="1"/>
  <c r="E4170" i="1"/>
  <c r="C4170" i="1"/>
  <c r="E4169" i="1"/>
  <c r="C4169" i="1"/>
  <c r="E4168" i="1"/>
  <c r="C4168" i="1"/>
  <c r="E4167" i="1"/>
  <c r="C4167" i="1"/>
  <c r="E4166" i="1"/>
  <c r="C4166" i="1"/>
  <c r="E4165" i="1"/>
  <c r="C4165" i="1"/>
  <c r="E4164" i="1"/>
  <c r="C4164" i="1"/>
  <c r="E4163" i="1"/>
  <c r="C4163" i="1"/>
  <c r="E4162" i="1"/>
  <c r="C4162" i="1"/>
  <c r="E4161" i="1"/>
  <c r="C4161" i="1"/>
  <c r="E4160" i="1"/>
  <c r="C4160" i="1"/>
  <c r="E4159" i="1"/>
  <c r="C4159" i="1"/>
  <c r="E4158" i="1"/>
  <c r="C4158" i="1"/>
  <c r="E4157" i="1"/>
  <c r="C4157" i="1"/>
  <c r="E4156" i="1"/>
  <c r="C4156" i="1"/>
  <c r="E4155" i="1"/>
  <c r="C4155" i="1"/>
  <c r="E4154" i="1"/>
  <c r="C4154" i="1"/>
  <c r="E4153" i="1"/>
  <c r="C4153" i="1"/>
  <c r="E4152" i="1"/>
  <c r="C4152" i="1"/>
  <c r="E4151" i="1"/>
  <c r="C4151" i="1"/>
  <c r="E4150" i="1"/>
  <c r="C4150" i="1"/>
  <c r="E4149" i="1"/>
  <c r="C4149" i="1"/>
  <c r="E4148" i="1"/>
  <c r="C4148" i="1"/>
  <c r="E4147" i="1"/>
  <c r="C4147" i="1"/>
  <c r="E4146" i="1"/>
  <c r="C4146" i="1"/>
  <c r="E4145" i="1"/>
  <c r="C4145" i="1"/>
  <c r="E4144" i="1"/>
  <c r="C4144" i="1"/>
  <c r="E4143" i="1"/>
  <c r="C4143" i="1"/>
  <c r="E4142" i="1"/>
  <c r="C4142" i="1"/>
  <c r="E4141" i="1"/>
  <c r="C4141" i="1"/>
  <c r="E4140" i="1"/>
  <c r="C4140" i="1"/>
  <c r="E4139" i="1"/>
  <c r="C4139" i="1"/>
  <c r="E4138" i="1"/>
  <c r="C4138" i="1"/>
  <c r="E4137" i="1"/>
  <c r="C4137" i="1"/>
  <c r="E4136" i="1"/>
  <c r="C4136" i="1"/>
  <c r="E4135" i="1"/>
  <c r="C4135" i="1"/>
  <c r="E4134" i="1"/>
  <c r="C4134" i="1"/>
  <c r="E4133" i="1"/>
  <c r="C4133" i="1"/>
  <c r="E4132" i="1"/>
  <c r="C4132" i="1"/>
  <c r="E4131" i="1"/>
  <c r="C4131" i="1"/>
  <c r="E4130" i="1"/>
  <c r="C4130" i="1"/>
  <c r="E4129" i="1"/>
  <c r="C4129" i="1"/>
  <c r="E4128" i="1"/>
  <c r="C4128" i="1"/>
  <c r="E4127" i="1"/>
  <c r="C4127" i="1"/>
  <c r="E4126" i="1"/>
  <c r="C4126" i="1"/>
  <c r="E4125" i="1"/>
  <c r="C4125" i="1"/>
  <c r="E4124" i="1"/>
  <c r="C4124" i="1"/>
  <c r="E4123" i="1"/>
  <c r="C4123" i="1"/>
  <c r="E4122" i="1"/>
  <c r="C4122" i="1"/>
  <c r="E4121" i="1"/>
  <c r="C4121" i="1"/>
  <c r="E4120" i="1"/>
  <c r="C4120" i="1"/>
  <c r="E4119" i="1"/>
  <c r="C4119" i="1"/>
  <c r="E4118" i="1"/>
  <c r="C4118" i="1"/>
  <c r="E4117" i="1"/>
  <c r="C4117" i="1"/>
  <c r="E4116" i="1"/>
  <c r="C4116" i="1"/>
  <c r="E4115" i="1"/>
  <c r="C4115" i="1"/>
  <c r="E4114" i="1"/>
  <c r="C4114" i="1"/>
  <c r="E4113" i="1"/>
  <c r="C4113" i="1"/>
  <c r="E4112" i="1"/>
  <c r="C4112" i="1"/>
  <c r="E4111" i="1"/>
  <c r="C4111" i="1"/>
  <c r="E4110" i="1"/>
  <c r="C4110" i="1"/>
  <c r="E4109" i="1"/>
  <c r="C4109" i="1"/>
  <c r="E4108" i="1"/>
  <c r="C4108" i="1"/>
  <c r="E4107" i="1"/>
  <c r="C4107" i="1"/>
  <c r="E4106" i="1"/>
  <c r="C4106" i="1"/>
  <c r="E4105" i="1"/>
  <c r="C4105" i="1"/>
  <c r="E4104" i="1"/>
  <c r="C4104" i="1"/>
  <c r="E4103" i="1"/>
  <c r="C4103" i="1"/>
  <c r="E4102" i="1"/>
  <c r="C4102" i="1"/>
  <c r="E4101" i="1"/>
  <c r="C4101" i="1"/>
  <c r="E4100" i="1"/>
  <c r="C4100" i="1"/>
  <c r="E4099" i="1"/>
  <c r="C4099" i="1"/>
  <c r="E4098" i="1"/>
  <c r="C4098" i="1"/>
  <c r="E4097" i="1"/>
  <c r="C4097" i="1"/>
  <c r="E4096" i="1"/>
  <c r="C4096" i="1"/>
  <c r="E4095" i="1"/>
  <c r="C4095" i="1"/>
  <c r="E4094" i="1"/>
  <c r="C4094" i="1"/>
  <c r="E4093" i="1"/>
  <c r="C4093" i="1"/>
  <c r="E4092" i="1"/>
  <c r="C4092" i="1"/>
  <c r="E4091" i="1"/>
  <c r="C4091" i="1"/>
  <c r="E4090" i="1"/>
  <c r="C4090" i="1"/>
  <c r="E4089" i="1"/>
  <c r="C4089" i="1"/>
  <c r="E4088" i="1"/>
  <c r="C4088" i="1"/>
  <c r="E4087" i="1"/>
  <c r="C4087" i="1"/>
  <c r="E4086" i="1"/>
  <c r="C4086" i="1"/>
  <c r="E4085" i="1"/>
  <c r="C4085" i="1"/>
  <c r="E4084" i="1"/>
  <c r="C4084" i="1"/>
  <c r="E4083" i="1"/>
  <c r="C4083" i="1"/>
  <c r="E4082" i="1"/>
  <c r="C4082" i="1"/>
  <c r="E4081" i="1"/>
  <c r="C4081" i="1"/>
  <c r="E4080" i="1"/>
  <c r="C4080" i="1"/>
  <c r="E4079" i="1"/>
  <c r="C4079" i="1"/>
  <c r="E4078" i="1"/>
  <c r="C4078" i="1"/>
  <c r="E4077" i="1"/>
  <c r="C4077" i="1"/>
  <c r="E4076" i="1"/>
  <c r="C4076" i="1"/>
  <c r="E4075" i="1"/>
  <c r="C4075" i="1"/>
  <c r="E4074" i="1"/>
  <c r="C4074" i="1"/>
  <c r="E4073" i="1"/>
  <c r="C4073" i="1"/>
  <c r="E4072" i="1"/>
  <c r="C4072" i="1"/>
  <c r="E4071" i="1"/>
  <c r="C4071" i="1"/>
  <c r="E4070" i="1"/>
  <c r="C4070" i="1"/>
  <c r="E4069" i="1"/>
  <c r="C4069" i="1"/>
  <c r="E4068" i="1"/>
  <c r="C4068" i="1"/>
  <c r="E4067" i="1"/>
  <c r="C4067" i="1"/>
  <c r="E4066" i="1"/>
  <c r="C4066" i="1"/>
  <c r="E4065" i="1"/>
  <c r="C4065" i="1"/>
  <c r="E4064" i="1"/>
  <c r="C4064" i="1"/>
  <c r="E4063" i="1"/>
  <c r="C4063" i="1"/>
  <c r="E4062" i="1"/>
  <c r="C4062" i="1"/>
  <c r="E4061" i="1"/>
  <c r="C4061" i="1"/>
  <c r="E4060" i="1"/>
  <c r="C4060" i="1"/>
  <c r="E4059" i="1"/>
  <c r="C4059" i="1"/>
  <c r="E4058" i="1"/>
  <c r="C4058" i="1"/>
  <c r="E4057" i="1"/>
  <c r="C4057" i="1"/>
  <c r="E4056" i="1"/>
  <c r="C4056" i="1"/>
  <c r="E4055" i="1"/>
  <c r="C4055" i="1"/>
  <c r="E4054" i="1"/>
  <c r="C4054" i="1"/>
  <c r="E4053" i="1"/>
  <c r="C4053" i="1"/>
  <c r="E4052" i="1"/>
  <c r="C4052" i="1"/>
  <c r="E4051" i="1"/>
  <c r="C4051" i="1"/>
  <c r="E4050" i="1"/>
  <c r="C4050" i="1"/>
  <c r="E4049" i="1"/>
  <c r="C4049" i="1"/>
  <c r="E4048" i="1"/>
  <c r="C4048" i="1"/>
  <c r="E4047" i="1"/>
  <c r="C4047" i="1"/>
  <c r="E4046" i="1"/>
  <c r="C4046" i="1"/>
  <c r="E4045" i="1"/>
  <c r="C4045" i="1"/>
  <c r="E4044" i="1"/>
  <c r="C4044" i="1"/>
  <c r="E4043" i="1"/>
  <c r="C4043" i="1"/>
  <c r="E4042" i="1"/>
  <c r="C4042" i="1"/>
  <c r="E4041" i="1"/>
  <c r="C4041" i="1"/>
  <c r="E4040" i="1"/>
  <c r="C4040" i="1"/>
  <c r="E4039" i="1"/>
  <c r="C4039" i="1"/>
  <c r="E4038" i="1"/>
  <c r="C4038" i="1"/>
  <c r="E4037" i="1"/>
  <c r="E4036" i="1"/>
  <c r="C4036" i="1"/>
  <c r="E4035" i="1"/>
  <c r="C4035" i="1"/>
  <c r="E4034" i="1"/>
  <c r="C4034" i="1"/>
  <c r="E4033" i="1"/>
  <c r="C4033" i="1"/>
  <c r="E4032" i="1"/>
  <c r="C4032" i="1"/>
  <c r="E4031" i="1"/>
  <c r="C4031" i="1"/>
  <c r="E4030" i="1"/>
  <c r="C4030" i="1"/>
  <c r="E4029" i="1"/>
  <c r="C4029" i="1"/>
  <c r="E4028" i="1"/>
  <c r="C4028" i="1"/>
  <c r="E4027" i="1"/>
  <c r="C4027" i="1"/>
  <c r="E4026" i="1"/>
  <c r="C4026" i="1"/>
  <c r="E4025" i="1"/>
  <c r="C4025" i="1"/>
  <c r="E4024" i="1"/>
  <c r="C4024" i="1"/>
  <c r="E4023" i="1"/>
  <c r="C4023" i="1"/>
  <c r="E4022" i="1"/>
  <c r="C4022" i="1"/>
  <c r="E4021" i="1"/>
  <c r="C4021" i="1"/>
  <c r="E4020" i="1"/>
  <c r="C4020" i="1"/>
  <c r="E4019" i="1"/>
  <c r="C4019" i="1"/>
  <c r="E4018" i="1"/>
  <c r="C4018" i="1"/>
  <c r="E4017" i="1"/>
  <c r="C4017" i="1"/>
  <c r="E4016" i="1"/>
  <c r="C4016" i="1"/>
  <c r="E4015" i="1"/>
  <c r="C4015" i="1"/>
  <c r="E4014" i="1"/>
  <c r="C4014" i="1"/>
  <c r="E4013" i="1"/>
  <c r="C4013" i="1"/>
  <c r="E4012" i="1"/>
  <c r="C4012" i="1"/>
  <c r="E4011" i="1"/>
  <c r="C4011" i="1"/>
  <c r="E4010" i="1"/>
  <c r="C4010" i="1"/>
  <c r="E4009" i="1"/>
  <c r="C4009" i="1"/>
  <c r="E4008" i="1"/>
  <c r="C4008" i="1"/>
  <c r="E4007" i="1"/>
  <c r="C4007" i="1"/>
  <c r="E4006" i="1"/>
  <c r="C4006" i="1"/>
  <c r="E4005" i="1"/>
  <c r="C4005" i="1"/>
  <c r="E4004" i="1"/>
  <c r="C4004" i="1"/>
  <c r="E4003" i="1"/>
  <c r="C4003" i="1"/>
  <c r="E4002" i="1"/>
  <c r="C4002" i="1"/>
  <c r="E4001" i="1"/>
  <c r="E4000" i="1"/>
  <c r="C4000" i="1"/>
  <c r="E3999" i="1"/>
  <c r="C3999" i="1"/>
  <c r="E3998" i="1"/>
  <c r="C3998" i="1"/>
  <c r="E3997" i="1"/>
  <c r="C3997" i="1"/>
  <c r="E3996" i="1"/>
  <c r="C3996" i="1"/>
  <c r="E3995" i="1"/>
  <c r="C3995" i="1"/>
  <c r="E3994" i="1"/>
  <c r="C3994" i="1"/>
  <c r="E3993" i="1"/>
  <c r="C3993" i="1"/>
  <c r="E3992" i="1"/>
  <c r="C3992" i="1"/>
  <c r="E3991" i="1"/>
  <c r="C3991" i="1"/>
  <c r="E3990" i="1"/>
  <c r="C3990" i="1"/>
  <c r="E3989" i="1"/>
  <c r="C3989" i="1"/>
  <c r="E3988" i="1"/>
  <c r="C3988" i="1"/>
  <c r="E3987" i="1"/>
  <c r="C3987" i="1"/>
  <c r="E3986" i="1"/>
  <c r="C3986" i="1"/>
  <c r="E3985" i="1"/>
  <c r="C3985" i="1"/>
  <c r="E3984" i="1"/>
  <c r="C3984" i="1"/>
  <c r="E3983" i="1"/>
  <c r="C3983" i="1"/>
  <c r="E3982" i="1"/>
  <c r="C3982" i="1"/>
  <c r="E3981" i="1"/>
  <c r="C3981" i="1"/>
  <c r="E3980" i="1"/>
  <c r="C3980" i="1"/>
  <c r="E3979" i="1"/>
  <c r="C3979" i="1"/>
  <c r="E3978" i="1"/>
  <c r="C3978" i="1"/>
  <c r="E3977" i="1"/>
  <c r="C3977" i="1"/>
  <c r="E3976" i="1"/>
  <c r="C3976" i="1"/>
  <c r="E3975" i="1"/>
  <c r="C3975" i="1"/>
  <c r="E3974" i="1"/>
  <c r="C3974" i="1"/>
  <c r="E3973" i="1"/>
  <c r="C3973" i="1"/>
  <c r="E3972" i="1"/>
  <c r="C3972" i="1"/>
  <c r="E3971" i="1"/>
  <c r="C3971" i="1"/>
  <c r="E3970" i="1"/>
  <c r="C3970" i="1"/>
  <c r="E3969" i="1"/>
  <c r="C3969" i="1"/>
  <c r="E3968" i="1"/>
  <c r="C3968" i="1"/>
  <c r="E3967" i="1"/>
  <c r="C3967" i="1"/>
  <c r="E3966" i="1"/>
  <c r="C3966" i="1"/>
  <c r="E3965" i="1"/>
  <c r="C3965" i="1"/>
  <c r="E3964" i="1"/>
  <c r="C3964" i="1"/>
  <c r="E3963" i="1"/>
  <c r="C3963" i="1"/>
  <c r="E3962" i="1"/>
  <c r="C3962" i="1"/>
  <c r="E3961" i="1"/>
  <c r="C3961" i="1"/>
  <c r="E3960" i="1"/>
  <c r="C3960" i="1"/>
  <c r="E3959" i="1"/>
  <c r="C3959" i="1"/>
  <c r="E3958" i="1"/>
  <c r="C3958" i="1"/>
  <c r="E3957" i="1"/>
  <c r="C3957" i="1"/>
  <c r="E3956" i="1"/>
  <c r="C3956" i="1"/>
  <c r="E3955" i="1"/>
  <c r="C3955" i="1"/>
  <c r="E3954" i="1"/>
  <c r="C3954" i="1"/>
  <c r="E3953" i="1"/>
  <c r="C3953" i="1"/>
  <c r="E3952" i="1"/>
  <c r="C3952" i="1"/>
  <c r="E3951" i="1"/>
  <c r="C3951" i="1"/>
  <c r="E3950" i="1"/>
  <c r="C3950" i="1"/>
  <c r="E3949" i="1"/>
  <c r="C3949" i="1"/>
  <c r="E3948" i="1"/>
  <c r="C3948" i="1"/>
  <c r="E3947" i="1"/>
  <c r="C3947" i="1"/>
  <c r="E3946" i="1"/>
  <c r="C3946" i="1"/>
  <c r="E3945" i="1"/>
  <c r="C3945" i="1"/>
  <c r="E3944" i="1"/>
  <c r="C3944" i="1"/>
  <c r="E3943" i="1"/>
  <c r="C3943" i="1"/>
  <c r="E3942" i="1"/>
  <c r="C3942" i="1"/>
  <c r="E3941" i="1"/>
  <c r="C3941" i="1"/>
  <c r="E3940" i="1"/>
  <c r="C3940" i="1"/>
  <c r="E3939" i="1"/>
  <c r="C3939" i="1"/>
  <c r="E3938" i="1"/>
  <c r="C3938" i="1"/>
  <c r="E3937" i="1"/>
  <c r="C3937" i="1"/>
  <c r="E3936" i="1"/>
  <c r="C3936" i="1"/>
  <c r="E3935" i="1"/>
  <c r="C3935" i="1"/>
  <c r="E3934" i="1"/>
  <c r="C3934" i="1"/>
  <c r="E3933" i="1"/>
  <c r="C3933" i="1"/>
  <c r="E3932" i="1"/>
  <c r="C3932" i="1"/>
  <c r="E3931" i="1"/>
  <c r="C3931" i="1"/>
  <c r="E3930" i="1"/>
  <c r="C3930" i="1"/>
  <c r="E3929" i="1"/>
  <c r="C3929" i="1"/>
  <c r="E3928" i="1"/>
  <c r="C3928" i="1"/>
  <c r="E3927" i="1"/>
  <c r="C3927" i="1"/>
  <c r="E3926" i="1"/>
  <c r="C3926" i="1"/>
  <c r="E3925" i="1"/>
  <c r="C3925" i="1"/>
  <c r="E3924" i="1"/>
  <c r="C3924" i="1"/>
  <c r="E3923" i="1"/>
  <c r="C3923" i="1"/>
  <c r="E3922" i="1"/>
  <c r="C3922" i="1"/>
  <c r="E3921" i="1"/>
  <c r="C3921" i="1"/>
  <c r="E3920" i="1"/>
  <c r="C3920" i="1"/>
  <c r="E3919" i="1"/>
  <c r="C3919" i="1"/>
  <c r="E3918" i="1"/>
  <c r="C3918" i="1"/>
  <c r="E3917" i="1"/>
  <c r="C3917" i="1"/>
  <c r="E3916" i="1"/>
  <c r="C3916" i="1"/>
  <c r="E3915" i="1"/>
  <c r="C3915" i="1"/>
  <c r="E3914" i="1"/>
  <c r="C3914" i="1"/>
  <c r="E3913" i="1"/>
  <c r="C3913" i="1"/>
  <c r="E3912" i="1"/>
  <c r="C3912" i="1"/>
  <c r="E3911" i="1"/>
  <c r="C3911" i="1"/>
  <c r="E3910" i="1"/>
  <c r="C3910" i="1"/>
  <c r="E3909" i="1"/>
  <c r="C3909" i="1"/>
  <c r="E3908" i="1"/>
  <c r="C3908" i="1"/>
  <c r="E3907" i="1"/>
  <c r="C3907" i="1"/>
  <c r="E3906" i="1"/>
  <c r="C3906" i="1"/>
  <c r="E3905" i="1"/>
  <c r="C3905" i="1"/>
  <c r="E3904" i="1"/>
  <c r="C3904" i="1"/>
  <c r="E3903" i="1"/>
  <c r="C3903" i="1"/>
  <c r="E3902" i="1"/>
  <c r="C3902" i="1"/>
  <c r="E3901" i="1"/>
  <c r="C3901" i="1"/>
  <c r="E3900" i="1"/>
  <c r="C3900" i="1"/>
  <c r="E3899" i="1"/>
  <c r="C3899" i="1"/>
  <c r="E3898" i="1"/>
  <c r="C3898" i="1"/>
  <c r="E3897" i="1"/>
  <c r="C3897" i="1"/>
  <c r="E3896" i="1"/>
  <c r="C3896" i="1"/>
  <c r="E3895" i="1"/>
  <c r="C3895" i="1"/>
  <c r="E3894" i="1"/>
  <c r="C3894" i="1"/>
  <c r="E3893" i="1"/>
  <c r="C3893" i="1"/>
  <c r="E3892" i="1"/>
  <c r="C3892" i="1"/>
  <c r="E3891" i="1"/>
  <c r="C3891" i="1"/>
  <c r="E3890" i="1"/>
  <c r="C3890" i="1"/>
  <c r="E3889" i="1"/>
  <c r="C3889" i="1"/>
  <c r="E3888" i="1"/>
  <c r="C3888" i="1"/>
  <c r="E3887" i="1"/>
  <c r="C3887" i="1"/>
  <c r="E3886" i="1"/>
  <c r="C3886" i="1"/>
  <c r="E3885" i="1"/>
  <c r="C3885" i="1"/>
  <c r="E3884" i="1"/>
  <c r="C3884" i="1"/>
  <c r="E3883" i="1"/>
  <c r="C3883" i="1"/>
  <c r="E3882" i="1"/>
  <c r="C3882" i="1"/>
  <c r="E3881" i="1"/>
  <c r="C3881" i="1"/>
  <c r="E3880" i="1"/>
  <c r="C3880" i="1"/>
  <c r="E3879" i="1"/>
  <c r="C3879" i="1"/>
  <c r="E3878" i="1"/>
  <c r="C3878" i="1"/>
  <c r="E3877" i="1"/>
  <c r="C3877" i="1"/>
  <c r="E3876" i="1"/>
  <c r="C3876" i="1"/>
  <c r="E3875" i="1"/>
  <c r="C3875" i="1"/>
  <c r="E3874" i="1"/>
  <c r="C3874" i="1"/>
  <c r="E3873" i="1"/>
  <c r="C3873" i="1"/>
  <c r="E3872" i="1"/>
  <c r="C3872" i="1"/>
  <c r="E3871" i="1"/>
  <c r="C3871" i="1"/>
  <c r="E3870" i="1"/>
  <c r="C3870" i="1"/>
  <c r="E3869" i="1"/>
  <c r="C3869" i="1"/>
  <c r="E3868" i="1"/>
  <c r="C3868" i="1"/>
  <c r="E3867" i="1"/>
  <c r="C3867" i="1"/>
  <c r="E3866" i="1"/>
  <c r="C3866" i="1"/>
  <c r="E3865" i="1"/>
  <c r="C3865" i="1"/>
  <c r="E3864" i="1"/>
  <c r="C3864" i="1"/>
  <c r="E3863" i="1"/>
  <c r="C3863" i="1"/>
  <c r="E3862" i="1"/>
  <c r="C3862" i="1"/>
  <c r="E3861" i="1"/>
  <c r="C3861" i="1"/>
  <c r="E3860" i="1"/>
  <c r="C3860" i="1"/>
  <c r="E3859" i="1"/>
  <c r="C3859" i="1"/>
  <c r="E3858" i="1"/>
  <c r="C3858" i="1"/>
  <c r="E3857" i="1"/>
  <c r="C3857" i="1"/>
  <c r="E3856" i="1"/>
  <c r="C3856" i="1"/>
  <c r="E3855" i="1"/>
  <c r="C3855" i="1"/>
  <c r="E3854" i="1"/>
  <c r="C3854" i="1"/>
  <c r="E3853" i="1"/>
  <c r="C3853" i="1"/>
  <c r="E3852" i="1"/>
  <c r="C3852" i="1"/>
  <c r="E3851" i="1"/>
  <c r="C3851" i="1"/>
  <c r="E3850" i="1"/>
  <c r="C3850" i="1"/>
  <c r="E3849" i="1"/>
  <c r="C3849" i="1"/>
  <c r="E3848" i="1"/>
  <c r="C3848" i="1"/>
  <c r="E3847" i="1"/>
  <c r="C3847" i="1"/>
  <c r="E3846" i="1"/>
  <c r="C3846" i="1"/>
  <c r="E3845" i="1"/>
  <c r="C3845" i="1"/>
  <c r="E3844" i="1"/>
  <c r="C3844" i="1"/>
  <c r="E3843" i="1"/>
  <c r="C3843" i="1"/>
  <c r="E3842" i="1"/>
  <c r="C3842" i="1"/>
  <c r="E3841" i="1"/>
  <c r="C3841" i="1"/>
  <c r="E3840" i="1"/>
  <c r="C3840" i="1"/>
  <c r="E3839" i="1"/>
  <c r="C3839" i="1"/>
  <c r="E3838" i="1"/>
  <c r="C3838" i="1"/>
  <c r="E3837" i="1"/>
  <c r="C3837" i="1"/>
  <c r="E3836" i="1"/>
  <c r="C3836" i="1"/>
  <c r="E3835" i="1"/>
  <c r="C3835" i="1"/>
  <c r="E3834" i="1"/>
  <c r="C3834" i="1"/>
  <c r="E3833" i="1"/>
  <c r="C3833" i="1"/>
  <c r="E3832" i="1"/>
  <c r="C3832" i="1"/>
  <c r="E3831" i="1"/>
  <c r="C3831" i="1"/>
  <c r="E3830" i="1"/>
  <c r="C3830" i="1"/>
  <c r="E3829" i="1"/>
  <c r="C3829" i="1"/>
  <c r="E3828" i="1"/>
  <c r="C3828" i="1"/>
  <c r="E3827" i="1"/>
  <c r="C3827" i="1"/>
  <c r="E3826" i="1"/>
  <c r="C3826" i="1"/>
  <c r="E3825" i="1"/>
  <c r="C3825" i="1"/>
  <c r="E3824" i="1"/>
  <c r="C3824" i="1"/>
  <c r="E3823" i="1"/>
  <c r="C3823" i="1"/>
  <c r="E3822" i="1"/>
  <c r="C3822" i="1"/>
  <c r="E3821" i="1"/>
  <c r="C3821" i="1"/>
  <c r="E3820" i="1"/>
  <c r="C3820" i="1"/>
  <c r="E3819" i="1"/>
  <c r="C3819" i="1"/>
  <c r="E3818" i="1"/>
  <c r="C3818" i="1"/>
  <c r="E3817" i="1"/>
  <c r="C3817" i="1"/>
  <c r="E3816" i="1"/>
  <c r="C3816" i="1"/>
  <c r="E3815" i="1"/>
  <c r="C3815" i="1"/>
  <c r="E3814" i="1"/>
  <c r="C3814" i="1"/>
  <c r="E3813" i="1"/>
  <c r="C3813" i="1"/>
  <c r="E3812" i="1"/>
  <c r="C3812" i="1"/>
  <c r="E3811" i="1"/>
  <c r="C3811" i="1"/>
  <c r="E3810" i="1"/>
  <c r="C3810" i="1"/>
  <c r="E3809" i="1"/>
  <c r="C3809" i="1"/>
  <c r="E3808" i="1"/>
  <c r="C3808" i="1"/>
  <c r="E3807" i="1"/>
  <c r="C3807" i="1"/>
  <c r="E3806" i="1"/>
  <c r="C3806" i="1"/>
  <c r="E3805" i="1"/>
  <c r="C3805" i="1"/>
  <c r="E3804" i="1"/>
  <c r="C3804" i="1"/>
  <c r="E3803" i="1"/>
  <c r="C3803" i="1"/>
  <c r="E3802" i="1"/>
  <c r="C3802" i="1"/>
  <c r="E3801" i="1"/>
  <c r="C3801" i="1"/>
  <c r="E3800" i="1"/>
  <c r="C3800" i="1"/>
  <c r="E3799" i="1"/>
  <c r="C3799" i="1"/>
  <c r="E3798" i="1"/>
  <c r="C3798" i="1"/>
  <c r="E3797" i="1"/>
  <c r="C3797" i="1"/>
  <c r="E3796" i="1"/>
  <c r="C3796" i="1"/>
  <c r="E3795" i="1"/>
  <c r="C3795" i="1"/>
  <c r="E3794" i="1"/>
  <c r="C3794" i="1"/>
  <c r="E3793" i="1"/>
  <c r="C3793" i="1"/>
  <c r="E3792" i="1"/>
  <c r="C3792" i="1"/>
  <c r="E3791" i="1"/>
  <c r="C3791" i="1"/>
  <c r="E3790" i="1"/>
  <c r="C3790" i="1"/>
  <c r="E3789" i="1"/>
  <c r="C3789" i="1"/>
  <c r="E3788" i="1"/>
  <c r="C3788" i="1"/>
  <c r="E3787" i="1"/>
  <c r="C3787" i="1"/>
  <c r="E3786" i="1"/>
  <c r="C3786" i="1"/>
  <c r="E3785" i="1"/>
  <c r="C3785" i="1"/>
  <c r="E3784" i="1"/>
  <c r="C3784" i="1"/>
  <c r="E3783" i="1"/>
  <c r="C3783" i="1"/>
  <c r="E3782" i="1"/>
  <c r="C3782" i="1"/>
  <c r="E3781" i="1"/>
  <c r="C3781" i="1"/>
  <c r="E3780" i="1"/>
  <c r="C3780" i="1"/>
  <c r="E3779" i="1"/>
  <c r="C3779" i="1"/>
  <c r="E3778" i="1"/>
  <c r="C3778" i="1"/>
  <c r="E3777" i="1"/>
  <c r="C3777" i="1"/>
  <c r="E3776" i="1"/>
  <c r="C3776" i="1"/>
  <c r="E3775" i="1"/>
  <c r="C3775" i="1"/>
  <c r="E3774" i="1"/>
  <c r="C3774" i="1"/>
  <c r="E3773" i="1"/>
  <c r="C3773" i="1"/>
  <c r="E3772" i="1"/>
  <c r="C3772" i="1"/>
  <c r="E3771" i="1"/>
  <c r="C3771" i="1"/>
  <c r="E3770" i="1"/>
  <c r="C3770" i="1"/>
  <c r="E3769" i="1"/>
  <c r="C3769" i="1"/>
  <c r="E3768" i="1"/>
  <c r="C3768" i="1"/>
  <c r="E3767" i="1"/>
  <c r="C3767" i="1"/>
  <c r="E3766" i="1"/>
  <c r="C3766" i="1"/>
  <c r="E3765" i="1"/>
  <c r="C3765" i="1"/>
  <c r="E3764" i="1"/>
  <c r="C3764" i="1"/>
  <c r="E3763" i="1"/>
  <c r="C3763" i="1"/>
  <c r="E3762" i="1"/>
  <c r="C3762" i="1"/>
  <c r="E3761" i="1"/>
  <c r="C3761" i="1"/>
  <c r="E3760" i="1"/>
  <c r="C3760" i="1"/>
  <c r="E3759" i="1"/>
  <c r="C3759" i="1"/>
  <c r="E3758" i="1"/>
  <c r="C3758" i="1"/>
  <c r="E3757" i="1"/>
  <c r="C3757" i="1"/>
  <c r="E3756" i="1"/>
  <c r="C3756" i="1"/>
  <c r="E3755" i="1"/>
  <c r="C3755" i="1"/>
  <c r="E3754" i="1"/>
  <c r="C3754" i="1"/>
  <c r="E3753" i="1"/>
  <c r="C3753" i="1"/>
  <c r="E3752" i="1"/>
  <c r="C3752" i="1"/>
  <c r="E3751" i="1"/>
  <c r="C3751" i="1"/>
  <c r="E3750" i="1"/>
  <c r="C3750" i="1"/>
  <c r="E3749" i="1"/>
  <c r="C3749" i="1"/>
  <c r="E3748" i="1"/>
  <c r="C3748" i="1"/>
  <c r="E3747" i="1"/>
  <c r="C3747" i="1"/>
  <c r="E3746" i="1"/>
  <c r="C3746" i="1"/>
  <c r="E3745" i="1"/>
  <c r="C3745" i="1"/>
  <c r="E3744" i="1"/>
  <c r="C3744" i="1"/>
  <c r="E3743" i="1"/>
  <c r="C3743" i="1"/>
  <c r="E3742" i="1"/>
  <c r="C3742" i="1"/>
  <c r="E3741" i="1"/>
  <c r="C3741" i="1"/>
  <c r="E3740" i="1"/>
  <c r="C3740" i="1"/>
  <c r="E3739" i="1"/>
  <c r="C3739" i="1"/>
  <c r="E3738" i="1"/>
  <c r="C3738" i="1"/>
  <c r="E3737" i="1"/>
  <c r="C3737" i="1"/>
  <c r="E3736" i="1"/>
  <c r="C3736" i="1"/>
  <c r="E3735" i="1"/>
  <c r="C3735" i="1"/>
  <c r="E3734" i="1"/>
  <c r="C3734" i="1"/>
  <c r="E3733" i="1"/>
  <c r="C3733" i="1"/>
  <c r="E3732" i="1"/>
  <c r="C3732" i="1"/>
  <c r="E3731" i="1"/>
  <c r="C3731" i="1"/>
  <c r="E3730" i="1"/>
  <c r="C3730" i="1"/>
  <c r="E3729" i="1"/>
  <c r="C3729" i="1"/>
  <c r="E3728" i="1"/>
  <c r="C3728" i="1"/>
  <c r="E3727" i="1"/>
  <c r="C3727" i="1"/>
  <c r="E3726" i="1"/>
  <c r="C3726" i="1"/>
  <c r="E3725" i="1"/>
  <c r="C3725" i="1"/>
  <c r="E3724" i="1"/>
  <c r="C3724" i="1"/>
  <c r="E3723" i="1"/>
  <c r="C3723" i="1"/>
  <c r="E3722" i="1"/>
  <c r="C3722" i="1"/>
  <c r="E3721" i="1"/>
  <c r="C3721" i="1"/>
  <c r="E3720" i="1"/>
  <c r="C3720" i="1"/>
  <c r="E3719" i="1"/>
  <c r="C3719" i="1"/>
  <c r="E3718" i="1"/>
  <c r="C3718" i="1"/>
  <c r="E3717" i="1"/>
  <c r="C3717" i="1"/>
  <c r="E3716" i="1"/>
  <c r="C3716" i="1"/>
  <c r="E3715" i="1"/>
  <c r="C3715" i="1"/>
  <c r="E3714" i="1"/>
  <c r="C3714" i="1"/>
  <c r="E3713" i="1"/>
  <c r="C3713" i="1"/>
  <c r="E3712" i="1"/>
  <c r="C3712" i="1"/>
  <c r="E3711" i="1"/>
  <c r="C3711" i="1"/>
  <c r="E3710" i="1"/>
  <c r="C3710" i="1"/>
  <c r="E3709" i="1"/>
  <c r="C3709" i="1"/>
  <c r="E3708" i="1"/>
  <c r="C3708" i="1"/>
  <c r="E3707" i="1"/>
  <c r="C3707" i="1"/>
  <c r="E3706" i="1"/>
  <c r="C3706" i="1"/>
  <c r="E3705" i="1"/>
  <c r="C3705" i="1"/>
  <c r="E3704" i="1"/>
  <c r="C3704" i="1"/>
  <c r="E3703" i="1"/>
  <c r="C3703" i="1"/>
  <c r="E3702" i="1"/>
  <c r="C3702" i="1"/>
  <c r="E3701" i="1"/>
  <c r="C3701" i="1"/>
  <c r="E3700" i="1"/>
  <c r="C3700" i="1"/>
  <c r="E3699" i="1"/>
  <c r="C3699" i="1"/>
  <c r="E3698" i="1"/>
  <c r="C3698" i="1"/>
  <c r="E3697" i="1"/>
  <c r="C3697" i="1"/>
  <c r="E3696" i="1"/>
  <c r="C3696" i="1"/>
  <c r="E3695" i="1"/>
  <c r="C3695" i="1"/>
  <c r="E3694" i="1"/>
  <c r="C3694" i="1"/>
  <c r="E3693" i="1"/>
  <c r="C3693" i="1"/>
  <c r="E3692" i="1"/>
  <c r="C3692" i="1"/>
  <c r="E3691" i="1"/>
  <c r="C3691" i="1"/>
  <c r="E3690" i="1"/>
  <c r="C3690" i="1"/>
  <c r="E3689" i="1"/>
  <c r="C3689" i="1"/>
  <c r="E3688" i="1"/>
  <c r="C3688" i="1"/>
  <c r="E3687" i="1"/>
  <c r="C3687" i="1"/>
  <c r="E3686" i="1"/>
  <c r="C3686" i="1"/>
  <c r="E3685" i="1"/>
  <c r="C3685" i="1"/>
  <c r="E3684" i="1"/>
  <c r="C3684" i="1"/>
  <c r="E3683" i="1"/>
  <c r="C3683" i="1"/>
  <c r="E3682" i="1"/>
  <c r="C3682" i="1"/>
  <c r="E3681" i="1"/>
  <c r="C3681" i="1"/>
  <c r="E3680" i="1"/>
  <c r="C3680" i="1"/>
  <c r="E3679" i="1"/>
  <c r="C3679" i="1"/>
  <c r="E3678" i="1"/>
  <c r="C3678" i="1"/>
  <c r="E3677" i="1"/>
  <c r="C3677" i="1"/>
  <c r="E3676" i="1"/>
  <c r="C3676" i="1"/>
  <c r="E3675" i="1"/>
  <c r="C3675" i="1"/>
  <c r="E3674" i="1"/>
  <c r="C3674" i="1"/>
  <c r="E3673" i="1"/>
  <c r="C3673" i="1"/>
  <c r="E3672" i="1"/>
  <c r="C3672" i="1"/>
  <c r="E3671" i="1"/>
  <c r="C3671" i="1"/>
  <c r="E3670" i="1"/>
  <c r="C3670" i="1"/>
  <c r="E3669" i="1"/>
  <c r="C3669" i="1"/>
  <c r="E3668" i="1"/>
  <c r="C3668" i="1"/>
  <c r="E3667" i="1"/>
  <c r="C3667" i="1"/>
  <c r="E3666" i="1"/>
  <c r="C3666" i="1"/>
  <c r="E3665" i="1"/>
  <c r="C3665" i="1"/>
  <c r="E3664" i="1"/>
  <c r="C3664" i="1"/>
  <c r="E3663" i="1"/>
  <c r="C3663" i="1"/>
  <c r="E3662" i="1"/>
  <c r="C3662" i="1"/>
  <c r="E3661" i="1"/>
  <c r="C3661" i="1"/>
  <c r="E3660" i="1"/>
  <c r="C3660" i="1"/>
  <c r="E3659" i="1"/>
  <c r="C3659" i="1"/>
  <c r="E3658" i="1"/>
  <c r="C3658" i="1"/>
  <c r="E3657" i="1"/>
  <c r="C3657" i="1"/>
  <c r="E3656" i="1"/>
  <c r="C3656" i="1"/>
  <c r="E3655" i="1"/>
  <c r="C3655" i="1"/>
  <c r="E3654" i="1"/>
  <c r="C3654" i="1"/>
  <c r="E3653" i="1"/>
  <c r="C3653" i="1"/>
  <c r="E3652" i="1"/>
  <c r="C3652" i="1"/>
  <c r="E3651" i="1"/>
  <c r="C3651" i="1"/>
  <c r="E3650" i="1"/>
  <c r="C3650" i="1"/>
  <c r="E3649" i="1"/>
  <c r="C3649" i="1"/>
  <c r="E3648" i="1"/>
  <c r="C3648" i="1"/>
  <c r="E3647" i="1"/>
  <c r="C3647" i="1"/>
  <c r="E3646" i="1"/>
  <c r="C3646" i="1"/>
  <c r="E3645" i="1"/>
  <c r="C3645" i="1"/>
  <c r="E3644" i="1"/>
  <c r="C3644" i="1"/>
  <c r="E3643" i="1"/>
  <c r="C3643" i="1"/>
  <c r="E3642" i="1"/>
  <c r="C3642" i="1"/>
  <c r="E3641" i="1"/>
  <c r="C3641" i="1"/>
  <c r="E3640" i="1"/>
  <c r="C3640" i="1"/>
  <c r="E3639" i="1"/>
  <c r="C3639" i="1"/>
  <c r="E3638" i="1"/>
  <c r="C3638" i="1"/>
  <c r="E3637" i="1"/>
  <c r="C3637" i="1"/>
  <c r="E3636" i="1"/>
  <c r="C3636" i="1"/>
  <c r="E3635" i="1"/>
  <c r="C3635" i="1"/>
  <c r="E3634" i="1"/>
  <c r="C3634" i="1"/>
  <c r="E3633" i="1"/>
  <c r="C3633" i="1"/>
  <c r="E3632" i="1"/>
  <c r="C3632" i="1"/>
  <c r="E3631" i="1"/>
  <c r="C3631" i="1"/>
  <c r="E3630" i="1"/>
  <c r="C3630" i="1"/>
  <c r="E3629" i="1"/>
  <c r="C3629" i="1"/>
  <c r="E3628" i="1"/>
  <c r="C3628" i="1"/>
  <c r="E3627" i="1"/>
  <c r="C3627" i="1"/>
  <c r="E3626" i="1"/>
  <c r="C3626" i="1"/>
  <c r="E3625" i="1"/>
  <c r="C3625" i="1"/>
  <c r="E3624" i="1"/>
  <c r="C3624" i="1"/>
  <c r="E3623" i="1"/>
  <c r="C3623" i="1"/>
  <c r="E3622" i="1"/>
  <c r="C3622" i="1"/>
  <c r="E3621" i="1"/>
  <c r="C3621" i="1"/>
  <c r="E3620" i="1"/>
  <c r="C3620" i="1"/>
  <c r="E3619" i="1"/>
  <c r="C3619" i="1"/>
  <c r="E3618" i="1"/>
  <c r="C3618" i="1"/>
  <c r="E3617" i="1"/>
  <c r="C3617" i="1"/>
  <c r="E3616" i="1"/>
  <c r="C3616" i="1"/>
  <c r="E3615" i="1"/>
  <c r="C3615" i="1"/>
  <c r="E3614" i="1"/>
  <c r="C3614" i="1"/>
  <c r="E3613" i="1"/>
  <c r="C3613" i="1"/>
  <c r="E3612" i="1"/>
  <c r="C3612" i="1"/>
  <c r="E3611" i="1"/>
  <c r="C3611" i="1"/>
  <c r="E3610" i="1"/>
  <c r="C3610" i="1"/>
  <c r="E3609" i="1"/>
  <c r="C3609" i="1"/>
  <c r="E3608" i="1"/>
  <c r="C3608" i="1"/>
  <c r="E3607" i="1"/>
  <c r="C3607" i="1"/>
  <c r="E3606" i="1"/>
  <c r="C3606" i="1"/>
  <c r="E3605" i="1"/>
  <c r="C3605" i="1"/>
  <c r="E3604" i="1"/>
  <c r="C3604" i="1"/>
  <c r="E3603" i="1"/>
  <c r="C3603" i="1"/>
  <c r="E3602" i="1"/>
  <c r="C3602" i="1"/>
  <c r="E3601" i="1"/>
  <c r="C3601" i="1"/>
  <c r="E3600" i="1"/>
  <c r="C3600" i="1"/>
  <c r="E3599" i="1"/>
  <c r="C3599" i="1"/>
  <c r="E3598" i="1"/>
  <c r="C3598" i="1"/>
  <c r="E3597" i="1"/>
  <c r="C3597" i="1"/>
  <c r="E3596" i="1"/>
  <c r="C3596" i="1"/>
  <c r="E3595" i="1"/>
  <c r="C3595" i="1"/>
  <c r="E3594" i="1"/>
  <c r="C3594" i="1"/>
  <c r="E3593" i="1"/>
  <c r="C3593" i="1"/>
  <c r="E3592" i="1"/>
  <c r="C3592" i="1"/>
  <c r="E3591" i="1"/>
  <c r="C3591" i="1"/>
  <c r="E3590" i="1"/>
  <c r="C3590" i="1"/>
  <c r="E3589" i="1"/>
  <c r="C3589" i="1"/>
  <c r="E3588" i="1"/>
  <c r="C3588" i="1"/>
  <c r="E3587" i="1"/>
  <c r="C3587" i="1"/>
  <c r="E3586" i="1"/>
  <c r="C3586" i="1"/>
  <c r="E3585" i="1"/>
  <c r="C3585" i="1"/>
  <c r="E3584" i="1"/>
  <c r="C3584" i="1"/>
  <c r="E3583" i="1"/>
  <c r="C3583" i="1"/>
  <c r="E3582" i="1"/>
  <c r="C3582" i="1"/>
  <c r="E3581" i="1"/>
  <c r="C3581" i="1"/>
  <c r="E3580" i="1"/>
  <c r="C3580" i="1"/>
  <c r="E3579" i="1"/>
  <c r="C3579" i="1"/>
  <c r="E3578" i="1"/>
  <c r="C3578" i="1"/>
  <c r="E3577" i="1"/>
  <c r="C3577" i="1"/>
  <c r="E3576" i="1"/>
  <c r="C3576" i="1"/>
  <c r="E3575" i="1"/>
  <c r="C3575" i="1"/>
  <c r="E3574" i="1"/>
  <c r="C3574" i="1"/>
  <c r="E3573" i="1"/>
  <c r="C3573" i="1"/>
  <c r="E3572" i="1"/>
  <c r="C3572" i="1"/>
  <c r="E3571" i="1"/>
  <c r="C3571" i="1"/>
  <c r="E3570" i="1"/>
  <c r="C3570" i="1"/>
  <c r="E3569" i="1"/>
  <c r="C3569" i="1"/>
  <c r="E3568" i="1"/>
  <c r="C3568" i="1"/>
  <c r="E3567" i="1"/>
  <c r="C3567" i="1"/>
  <c r="E3566" i="1"/>
  <c r="C3566" i="1"/>
  <c r="E3565" i="1"/>
  <c r="C3565" i="1"/>
  <c r="E3564" i="1"/>
  <c r="C3564" i="1"/>
  <c r="E3563" i="1"/>
  <c r="C3563" i="1"/>
  <c r="E3562" i="1"/>
  <c r="C3562" i="1"/>
  <c r="E3561" i="1"/>
  <c r="C3561" i="1"/>
  <c r="E3560" i="1"/>
  <c r="C3560" i="1"/>
  <c r="E3559" i="1"/>
  <c r="C3559" i="1"/>
  <c r="E3558" i="1"/>
  <c r="C3558" i="1"/>
  <c r="E3557" i="1"/>
  <c r="C3557" i="1"/>
  <c r="E3556" i="1"/>
  <c r="C3556" i="1"/>
  <c r="E3555" i="1"/>
  <c r="C3555" i="1"/>
  <c r="E3554" i="1"/>
  <c r="C3554" i="1"/>
  <c r="E3553" i="1"/>
  <c r="C3553" i="1"/>
  <c r="E3552" i="1"/>
  <c r="C3552" i="1"/>
  <c r="E3551" i="1"/>
  <c r="C3551" i="1"/>
  <c r="E3550" i="1"/>
  <c r="C3550" i="1"/>
  <c r="E3549" i="1"/>
  <c r="C3549" i="1"/>
  <c r="E3548" i="1"/>
  <c r="C3548" i="1"/>
  <c r="E3547" i="1"/>
  <c r="C3547" i="1"/>
  <c r="E3546" i="1"/>
  <c r="C3546" i="1"/>
  <c r="E3545" i="1"/>
  <c r="C3545" i="1"/>
  <c r="E3544" i="1"/>
  <c r="C3544" i="1"/>
  <c r="E3543" i="1"/>
  <c r="C3543" i="1"/>
  <c r="E3542" i="1"/>
  <c r="C3542" i="1"/>
  <c r="E3541" i="1"/>
  <c r="C3541" i="1"/>
  <c r="E3540" i="1"/>
  <c r="C3540" i="1"/>
  <c r="E3539" i="1"/>
  <c r="C3539" i="1"/>
  <c r="E3538" i="1"/>
  <c r="C3538" i="1"/>
  <c r="E3537" i="1"/>
  <c r="C3537" i="1"/>
  <c r="E3536" i="1"/>
  <c r="C3536" i="1"/>
  <c r="E3535" i="1"/>
  <c r="C3535" i="1"/>
  <c r="E3534" i="1"/>
  <c r="C3534" i="1"/>
  <c r="E3533" i="1"/>
  <c r="C3533" i="1"/>
  <c r="E3532" i="1"/>
  <c r="C3532" i="1"/>
  <c r="E3531" i="1"/>
  <c r="C3531" i="1"/>
  <c r="E3530" i="1"/>
  <c r="C3530" i="1"/>
  <c r="E3529" i="1"/>
  <c r="C3529" i="1"/>
  <c r="E3528" i="1"/>
  <c r="C3528" i="1"/>
  <c r="E3527" i="1"/>
  <c r="C3527" i="1"/>
  <c r="E3526" i="1"/>
  <c r="C3526" i="1"/>
  <c r="E3525" i="1"/>
  <c r="C3525" i="1"/>
  <c r="E3524" i="1"/>
  <c r="C3524" i="1"/>
  <c r="E3523" i="1"/>
  <c r="C3523" i="1"/>
  <c r="E3522" i="1"/>
  <c r="C3522" i="1"/>
  <c r="E3521" i="1"/>
  <c r="C3521" i="1"/>
  <c r="E3520" i="1"/>
  <c r="C3520" i="1"/>
  <c r="E3519" i="1"/>
  <c r="C3519" i="1"/>
  <c r="E3518" i="1"/>
  <c r="C3518" i="1"/>
  <c r="E3517" i="1"/>
  <c r="C3517" i="1"/>
  <c r="E3516" i="1"/>
  <c r="C3516" i="1"/>
  <c r="E3515" i="1"/>
  <c r="C3515" i="1"/>
  <c r="E3514" i="1"/>
  <c r="C3514" i="1"/>
  <c r="E3513" i="1"/>
  <c r="C3513" i="1"/>
  <c r="E3512" i="1"/>
  <c r="C3512" i="1"/>
  <c r="E3511" i="1"/>
  <c r="C3511" i="1"/>
  <c r="E3510" i="1"/>
  <c r="C3510" i="1"/>
  <c r="E3509" i="1"/>
  <c r="C3509" i="1"/>
  <c r="E3508" i="1"/>
  <c r="C3508" i="1"/>
  <c r="E3507" i="1"/>
  <c r="C3507" i="1"/>
  <c r="E3506" i="1"/>
  <c r="C3506" i="1"/>
  <c r="E3505" i="1"/>
  <c r="C3505" i="1"/>
  <c r="E3504" i="1"/>
  <c r="C3504" i="1"/>
  <c r="E3503" i="1"/>
  <c r="C3503" i="1"/>
  <c r="E3502" i="1"/>
  <c r="C3502" i="1"/>
  <c r="E3501" i="1"/>
  <c r="C3501" i="1"/>
  <c r="E3500" i="1"/>
  <c r="C3500" i="1"/>
  <c r="E3499" i="1"/>
  <c r="C3499" i="1"/>
  <c r="E3498" i="1"/>
  <c r="C3498" i="1"/>
  <c r="E3497" i="1"/>
  <c r="C3497" i="1"/>
  <c r="E3496" i="1"/>
  <c r="C3496" i="1"/>
  <c r="E3495" i="1"/>
  <c r="C3495" i="1"/>
  <c r="E3494" i="1"/>
  <c r="C3494" i="1"/>
  <c r="E3493" i="1"/>
  <c r="C3493" i="1"/>
  <c r="E3492" i="1"/>
  <c r="C3492" i="1"/>
  <c r="E3491" i="1"/>
  <c r="C3491" i="1"/>
  <c r="E3490" i="1"/>
  <c r="C3490" i="1"/>
  <c r="E3489" i="1"/>
  <c r="C3489" i="1"/>
  <c r="E3488" i="1"/>
  <c r="C3488" i="1"/>
  <c r="E3487" i="1"/>
  <c r="C3487" i="1"/>
  <c r="E3486" i="1"/>
  <c r="C3486" i="1"/>
  <c r="E3485" i="1"/>
  <c r="C3485" i="1"/>
  <c r="E3484" i="1"/>
  <c r="C3484" i="1"/>
  <c r="E3483" i="1"/>
  <c r="C3483" i="1"/>
  <c r="E3482" i="1"/>
  <c r="C3482" i="1"/>
  <c r="E3481" i="1"/>
  <c r="C3481" i="1"/>
  <c r="E3480" i="1"/>
  <c r="C3480" i="1"/>
  <c r="E3479" i="1"/>
  <c r="C3479" i="1"/>
  <c r="E3478" i="1"/>
  <c r="C3478" i="1"/>
  <c r="E3477" i="1"/>
  <c r="C3477" i="1"/>
  <c r="E3476" i="1"/>
  <c r="C3476" i="1"/>
  <c r="E3475" i="1"/>
  <c r="C3475" i="1"/>
  <c r="E3474" i="1"/>
  <c r="C3474" i="1"/>
  <c r="E3473" i="1"/>
  <c r="C3473" i="1"/>
  <c r="E3472" i="1"/>
  <c r="C3472" i="1"/>
  <c r="E3471" i="1"/>
  <c r="C3471" i="1"/>
  <c r="E3470" i="1"/>
  <c r="C3470" i="1"/>
  <c r="E3469" i="1"/>
  <c r="C3469" i="1"/>
  <c r="E3468" i="1"/>
  <c r="C3468" i="1"/>
  <c r="E3467" i="1"/>
  <c r="C3467" i="1"/>
  <c r="E3466" i="1"/>
  <c r="C3466" i="1"/>
  <c r="E3465" i="1"/>
  <c r="C3465" i="1"/>
  <c r="E3464" i="1"/>
  <c r="C3464" i="1"/>
  <c r="E3463" i="1"/>
  <c r="C3463" i="1"/>
  <c r="E3462" i="1"/>
  <c r="C3462" i="1"/>
  <c r="E3461" i="1"/>
  <c r="C3461" i="1"/>
  <c r="E3460" i="1"/>
  <c r="C3460" i="1"/>
  <c r="E3459" i="1"/>
  <c r="C3459" i="1"/>
  <c r="E3458" i="1"/>
  <c r="C3458" i="1"/>
  <c r="E3457" i="1"/>
  <c r="C3457" i="1"/>
  <c r="E3456" i="1"/>
  <c r="C3456" i="1"/>
  <c r="E3455" i="1"/>
  <c r="C3455" i="1"/>
  <c r="E3454" i="1"/>
  <c r="C3454" i="1"/>
  <c r="E3453" i="1"/>
  <c r="C3453" i="1"/>
  <c r="E3452" i="1"/>
  <c r="C3452" i="1"/>
  <c r="E3451" i="1"/>
  <c r="C3451" i="1"/>
  <c r="E3450" i="1"/>
  <c r="C3450" i="1"/>
  <c r="E3449" i="1"/>
  <c r="C3449" i="1"/>
  <c r="E3448" i="1"/>
  <c r="C3448" i="1"/>
  <c r="E3447" i="1"/>
  <c r="C3447" i="1"/>
  <c r="E3446" i="1"/>
  <c r="C3446" i="1"/>
  <c r="E3445" i="1"/>
  <c r="C3445" i="1"/>
  <c r="E3444" i="1"/>
  <c r="C3444" i="1"/>
  <c r="E3443" i="1"/>
  <c r="C3443" i="1"/>
  <c r="E3442" i="1"/>
  <c r="C3442" i="1"/>
  <c r="E3441" i="1"/>
  <c r="C3441" i="1"/>
  <c r="E3440" i="1"/>
  <c r="C3440" i="1"/>
  <c r="E3439" i="1"/>
  <c r="C3439" i="1"/>
  <c r="E3438" i="1"/>
  <c r="C3438" i="1"/>
  <c r="E3437" i="1"/>
  <c r="C3437" i="1"/>
  <c r="E3436" i="1"/>
  <c r="C3436" i="1"/>
  <c r="E3435" i="1"/>
  <c r="C3435" i="1"/>
  <c r="E3434" i="1"/>
  <c r="C3434" i="1"/>
  <c r="E3433" i="1"/>
  <c r="C3433" i="1"/>
  <c r="E3432" i="1"/>
  <c r="C3432" i="1"/>
  <c r="E3431" i="1"/>
  <c r="C3431" i="1"/>
  <c r="E3430" i="1"/>
  <c r="C3430" i="1"/>
  <c r="E3429" i="1"/>
  <c r="C3429" i="1"/>
  <c r="E3428" i="1"/>
  <c r="C3428" i="1"/>
  <c r="E3427" i="1"/>
  <c r="C3427" i="1"/>
  <c r="E3426" i="1"/>
  <c r="C3426" i="1"/>
  <c r="E3425" i="1"/>
  <c r="C3425" i="1"/>
  <c r="E3424" i="1"/>
  <c r="C3424" i="1"/>
  <c r="E3423" i="1"/>
  <c r="C3423" i="1"/>
  <c r="E3422" i="1"/>
  <c r="C3422" i="1"/>
  <c r="E3421" i="1"/>
  <c r="C3421" i="1"/>
  <c r="E3420" i="1"/>
  <c r="C3420" i="1"/>
  <c r="E3419" i="1"/>
  <c r="C3419" i="1"/>
  <c r="E3418" i="1"/>
  <c r="C3418" i="1"/>
  <c r="E3417" i="1"/>
  <c r="C3417" i="1"/>
  <c r="E3416" i="1"/>
  <c r="C3416" i="1"/>
  <c r="E3415" i="1"/>
  <c r="C3415" i="1"/>
  <c r="E3414" i="1"/>
  <c r="C3414" i="1"/>
  <c r="E3413" i="1"/>
  <c r="C3413" i="1"/>
  <c r="E3412" i="1"/>
  <c r="C3412" i="1"/>
  <c r="E3411" i="1"/>
  <c r="C3411" i="1"/>
  <c r="E3410" i="1"/>
  <c r="C3410" i="1"/>
  <c r="E3409" i="1"/>
  <c r="C3409" i="1"/>
  <c r="E3408" i="1"/>
  <c r="C3408" i="1"/>
  <c r="E3407" i="1"/>
  <c r="C3407" i="1"/>
  <c r="E3406" i="1"/>
  <c r="C3406" i="1"/>
  <c r="E3405" i="1"/>
  <c r="C3405" i="1"/>
  <c r="E3404" i="1"/>
  <c r="C3404" i="1"/>
  <c r="E3403" i="1"/>
  <c r="C3403" i="1"/>
  <c r="E3402" i="1"/>
  <c r="C3402" i="1"/>
  <c r="E3401" i="1"/>
  <c r="C3401" i="1"/>
  <c r="E3400" i="1"/>
  <c r="C3400" i="1"/>
  <c r="E3399" i="1"/>
  <c r="C3399" i="1"/>
  <c r="E3398" i="1"/>
  <c r="C3398" i="1"/>
  <c r="E3397" i="1"/>
  <c r="C3397" i="1"/>
  <c r="E3396" i="1"/>
  <c r="C3396" i="1"/>
  <c r="E3395" i="1"/>
  <c r="C3395" i="1"/>
  <c r="E3394" i="1"/>
  <c r="C3394" i="1"/>
  <c r="E3393" i="1"/>
  <c r="C3393" i="1"/>
  <c r="E3392" i="1"/>
  <c r="C3392" i="1"/>
  <c r="E3391" i="1"/>
  <c r="C3391" i="1"/>
  <c r="E3390" i="1"/>
  <c r="C3390" i="1"/>
  <c r="E3389" i="1"/>
  <c r="C3389" i="1"/>
  <c r="E3388" i="1"/>
  <c r="C3388" i="1"/>
  <c r="E3387" i="1"/>
  <c r="C3387" i="1"/>
  <c r="E3386" i="1"/>
  <c r="C3386" i="1"/>
  <c r="E3385" i="1"/>
  <c r="C3385" i="1"/>
  <c r="E3384" i="1"/>
  <c r="C3384" i="1"/>
  <c r="E3383" i="1"/>
  <c r="C3383" i="1"/>
  <c r="E3382" i="1"/>
  <c r="C3382" i="1"/>
  <c r="E3381" i="1"/>
  <c r="C3381" i="1"/>
  <c r="E3380" i="1"/>
  <c r="C3380" i="1"/>
  <c r="E3379" i="1"/>
  <c r="C3379" i="1"/>
  <c r="E3378" i="1"/>
  <c r="C3378" i="1"/>
  <c r="E3377" i="1"/>
  <c r="C3377" i="1"/>
  <c r="E3376" i="1"/>
  <c r="C3376" i="1"/>
  <c r="E3375" i="1"/>
  <c r="C3375" i="1"/>
  <c r="E3374" i="1"/>
  <c r="C3374" i="1"/>
  <c r="E3373" i="1"/>
  <c r="C3373" i="1"/>
  <c r="E3372" i="1"/>
  <c r="C3372" i="1"/>
  <c r="E3371" i="1"/>
  <c r="C3371" i="1"/>
  <c r="E3370" i="1"/>
  <c r="C3370" i="1"/>
  <c r="E3369" i="1"/>
  <c r="C3369" i="1"/>
  <c r="E3368" i="1"/>
  <c r="C3368" i="1"/>
  <c r="E3367" i="1"/>
  <c r="C3367" i="1"/>
  <c r="E3366" i="1"/>
  <c r="C3366" i="1"/>
  <c r="E3365" i="1"/>
  <c r="C3365" i="1"/>
  <c r="E3364" i="1"/>
  <c r="C3364" i="1"/>
  <c r="E3363" i="1"/>
  <c r="C3363" i="1"/>
  <c r="E3362" i="1"/>
  <c r="C3362" i="1"/>
  <c r="E3361" i="1"/>
  <c r="C3361" i="1"/>
  <c r="E3360" i="1"/>
  <c r="C3360" i="1"/>
  <c r="E3359" i="1"/>
  <c r="C3359" i="1"/>
  <c r="E3358" i="1"/>
  <c r="C3358" i="1"/>
  <c r="E3357" i="1"/>
  <c r="C3357" i="1"/>
  <c r="E3356" i="1"/>
  <c r="C3356" i="1"/>
  <c r="E3355" i="1"/>
  <c r="C3355" i="1"/>
  <c r="E3354" i="1"/>
  <c r="C3354" i="1"/>
  <c r="E3353" i="1"/>
  <c r="C3353" i="1"/>
  <c r="E3352" i="1"/>
  <c r="C3352" i="1"/>
  <c r="E3351" i="1"/>
  <c r="C3351" i="1"/>
  <c r="E3350" i="1"/>
  <c r="C3350" i="1"/>
  <c r="E3349" i="1"/>
  <c r="C3349" i="1"/>
  <c r="E3348" i="1"/>
  <c r="C3348" i="1"/>
  <c r="E3347" i="1"/>
  <c r="C3347" i="1"/>
  <c r="E3346" i="1"/>
  <c r="C3346" i="1"/>
  <c r="E3345" i="1"/>
  <c r="C3345" i="1"/>
  <c r="E3344" i="1"/>
  <c r="C3344" i="1"/>
  <c r="E3343" i="1"/>
  <c r="C3343" i="1"/>
  <c r="E3342" i="1"/>
  <c r="C3342" i="1"/>
  <c r="E3341" i="1"/>
  <c r="C3341" i="1"/>
  <c r="E3340" i="1"/>
  <c r="C3340" i="1"/>
  <c r="E3339" i="1"/>
  <c r="C3339" i="1"/>
  <c r="E3338" i="1"/>
  <c r="C3338" i="1"/>
  <c r="E3337" i="1"/>
  <c r="C3337" i="1"/>
  <c r="E3336" i="1"/>
  <c r="C3336" i="1"/>
  <c r="E3335" i="1"/>
  <c r="C3335" i="1"/>
  <c r="E3334" i="1"/>
  <c r="C3334" i="1"/>
  <c r="E3333" i="1"/>
  <c r="C3333" i="1"/>
  <c r="E3332" i="1"/>
  <c r="C3332" i="1"/>
  <c r="E3331" i="1"/>
  <c r="C3331" i="1"/>
  <c r="E3330" i="1"/>
  <c r="C3330" i="1"/>
  <c r="E3329" i="1"/>
  <c r="C3329" i="1"/>
  <c r="E3328" i="1"/>
  <c r="C3328" i="1"/>
  <c r="E3327" i="1"/>
  <c r="C3327" i="1"/>
  <c r="E3326" i="1"/>
  <c r="C3326" i="1"/>
  <c r="E3325" i="1"/>
  <c r="C3325" i="1"/>
  <c r="E3324" i="1"/>
  <c r="C3324" i="1"/>
  <c r="E3323" i="1"/>
  <c r="C3323" i="1"/>
  <c r="E3322" i="1"/>
  <c r="C3322" i="1"/>
  <c r="E3321" i="1"/>
  <c r="C3321" i="1"/>
  <c r="E3320" i="1"/>
  <c r="C3320" i="1"/>
  <c r="E3319" i="1"/>
  <c r="C3319" i="1"/>
  <c r="E3318" i="1"/>
  <c r="C3318" i="1"/>
  <c r="E3317" i="1"/>
  <c r="C3317" i="1"/>
  <c r="E3316" i="1"/>
  <c r="C3316" i="1"/>
  <c r="E3315" i="1"/>
  <c r="C3315" i="1"/>
  <c r="E3314" i="1"/>
  <c r="C3314" i="1"/>
  <c r="E3313" i="1"/>
  <c r="C3313" i="1"/>
  <c r="E3312" i="1"/>
  <c r="C3312" i="1"/>
  <c r="E3311" i="1"/>
  <c r="C3311" i="1"/>
  <c r="E3310" i="1"/>
  <c r="C3310" i="1"/>
  <c r="E3309" i="1"/>
  <c r="C3309" i="1"/>
  <c r="E3308" i="1"/>
  <c r="C3308" i="1"/>
  <c r="E3307" i="1"/>
  <c r="C3307" i="1"/>
  <c r="E3306" i="1"/>
  <c r="C3306" i="1"/>
  <c r="E3305" i="1"/>
  <c r="C3305" i="1"/>
  <c r="E3304" i="1"/>
  <c r="C3304" i="1"/>
  <c r="E3303" i="1"/>
  <c r="C3303" i="1"/>
  <c r="E3302" i="1"/>
  <c r="C3302" i="1"/>
  <c r="E3301" i="1"/>
  <c r="C3301" i="1"/>
  <c r="E3300" i="1"/>
  <c r="C3300" i="1"/>
  <c r="E3299" i="1"/>
  <c r="C3299" i="1"/>
  <c r="E3298" i="1"/>
  <c r="C3298" i="1"/>
  <c r="E3297" i="1"/>
  <c r="C3297" i="1"/>
  <c r="E3296" i="1"/>
  <c r="C3296" i="1"/>
  <c r="E3295" i="1"/>
  <c r="C3295" i="1"/>
  <c r="E3294" i="1"/>
  <c r="C3294" i="1"/>
  <c r="E3293" i="1"/>
  <c r="C3293" i="1"/>
  <c r="E3292" i="1"/>
  <c r="C3292" i="1"/>
  <c r="E3291" i="1"/>
  <c r="C3291" i="1"/>
  <c r="E3290" i="1"/>
  <c r="C3290" i="1"/>
  <c r="E3289" i="1"/>
  <c r="C3289" i="1"/>
  <c r="E3288" i="1"/>
  <c r="C3288" i="1"/>
  <c r="E3287" i="1"/>
  <c r="C3287" i="1"/>
  <c r="E3286" i="1"/>
  <c r="C3286" i="1"/>
  <c r="E3285" i="1"/>
  <c r="C3285" i="1"/>
  <c r="E3284" i="1"/>
  <c r="C3284" i="1"/>
  <c r="E3283" i="1"/>
  <c r="C3283" i="1"/>
  <c r="E3282" i="1"/>
  <c r="C3282" i="1"/>
  <c r="E3281" i="1"/>
  <c r="C3281" i="1"/>
  <c r="E3280" i="1"/>
  <c r="C3280" i="1"/>
  <c r="E3279" i="1"/>
  <c r="C3279" i="1"/>
  <c r="E3278" i="1"/>
  <c r="C3278" i="1"/>
  <c r="E3277" i="1"/>
  <c r="C3277" i="1"/>
  <c r="E3276" i="1"/>
  <c r="C3276" i="1"/>
  <c r="E3275" i="1"/>
  <c r="C3275" i="1"/>
  <c r="E3274" i="1"/>
  <c r="C3274" i="1"/>
  <c r="E3273" i="1"/>
  <c r="C3273" i="1"/>
  <c r="E3272" i="1"/>
  <c r="C3272" i="1"/>
  <c r="E3271" i="1"/>
  <c r="C3271" i="1"/>
  <c r="E3270" i="1"/>
  <c r="C3270" i="1"/>
  <c r="E3269" i="1"/>
  <c r="C3269" i="1"/>
  <c r="E3268" i="1"/>
  <c r="C3268" i="1"/>
  <c r="E3267" i="1"/>
  <c r="C3267" i="1"/>
  <c r="E3266" i="1"/>
  <c r="C3266" i="1"/>
  <c r="E3265" i="1"/>
  <c r="C3265" i="1"/>
  <c r="E3264" i="1"/>
  <c r="C3264" i="1"/>
  <c r="E3263" i="1"/>
  <c r="C3263" i="1"/>
  <c r="E3262" i="1"/>
  <c r="C3262" i="1"/>
  <c r="E3261" i="1"/>
  <c r="C3261" i="1"/>
  <c r="E3260" i="1"/>
  <c r="C3260" i="1"/>
  <c r="E3259" i="1"/>
  <c r="C3259" i="1"/>
  <c r="E3258" i="1"/>
  <c r="C3258" i="1"/>
  <c r="E3257" i="1"/>
  <c r="C3257" i="1"/>
  <c r="E3256" i="1"/>
  <c r="C3256" i="1"/>
  <c r="E3255" i="1"/>
  <c r="C3255" i="1"/>
  <c r="E3254" i="1"/>
  <c r="C3254" i="1"/>
  <c r="E3253" i="1"/>
  <c r="C3253" i="1"/>
  <c r="E3252" i="1"/>
  <c r="C3252" i="1"/>
  <c r="E3251" i="1"/>
  <c r="C3251" i="1"/>
  <c r="E3250" i="1"/>
  <c r="C3250" i="1"/>
  <c r="E3249" i="1"/>
  <c r="C3249" i="1"/>
  <c r="E3248" i="1"/>
  <c r="C3248" i="1"/>
  <c r="E3247" i="1"/>
  <c r="C3247" i="1"/>
  <c r="E3246" i="1"/>
  <c r="C3246" i="1"/>
  <c r="E3245" i="1"/>
  <c r="C3245" i="1"/>
  <c r="E3244" i="1"/>
  <c r="C3244" i="1"/>
  <c r="E3243" i="1"/>
  <c r="C3243" i="1"/>
  <c r="E3242" i="1"/>
  <c r="C3242" i="1"/>
  <c r="E3241" i="1"/>
  <c r="C3241" i="1"/>
  <c r="E3240" i="1"/>
  <c r="C3240" i="1"/>
  <c r="E3239" i="1"/>
  <c r="C3239" i="1"/>
  <c r="E3238" i="1"/>
  <c r="C3238" i="1"/>
  <c r="E3237" i="1"/>
  <c r="C3237" i="1"/>
  <c r="E3236" i="1"/>
  <c r="C3236" i="1"/>
  <c r="E3235" i="1"/>
  <c r="C3235" i="1"/>
  <c r="E3234" i="1"/>
  <c r="C3234" i="1"/>
  <c r="E3233" i="1"/>
  <c r="C3233" i="1"/>
  <c r="E3232" i="1"/>
  <c r="C3232" i="1"/>
  <c r="E3231" i="1"/>
  <c r="C3231" i="1"/>
  <c r="E3230" i="1"/>
  <c r="C3230" i="1"/>
  <c r="E3229" i="1"/>
  <c r="C3229" i="1"/>
  <c r="E3228" i="1"/>
  <c r="C3228" i="1"/>
  <c r="E3227" i="1"/>
  <c r="C3227" i="1"/>
  <c r="E3226" i="1"/>
  <c r="C3226" i="1"/>
  <c r="E3225" i="1"/>
  <c r="C3225" i="1"/>
  <c r="E3224" i="1"/>
  <c r="C3224" i="1"/>
  <c r="E3223" i="1"/>
  <c r="C3223" i="1"/>
  <c r="E3222" i="1"/>
  <c r="C3222" i="1"/>
  <c r="E3221" i="1"/>
  <c r="C3221" i="1"/>
  <c r="E3220" i="1"/>
  <c r="C3220" i="1"/>
  <c r="E3219" i="1"/>
  <c r="C3219" i="1"/>
  <c r="E3218" i="1"/>
  <c r="C3218" i="1"/>
  <c r="E3217" i="1"/>
  <c r="C3217" i="1"/>
  <c r="E3216" i="1"/>
  <c r="C3216" i="1"/>
  <c r="E3215" i="1"/>
  <c r="C3215" i="1"/>
  <c r="E3214" i="1"/>
  <c r="C3214" i="1"/>
  <c r="E3213" i="1"/>
  <c r="C3213" i="1"/>
  <c r="E3212" i="1"/>
  <c r="C3212" i="1"/>
  <c r="E3211" i="1"/>
  <c r="C3211" i="1"/>
  <c r="E3210" i="1"/>
  <c r="C3210" i="1"/>
  <c r="E3209" i="1"/>
  <c r="C3209" i="1"/>
  <c r="E3208" i="1"/>
  <c r="C3208" i="1"/>
  <c r="E3207" i="1"/>
  <c r="C3207" i="1"/>
  <c r="E3206" i="1"/>
  <c r="C3206" i="1"/>
  <c r="E3205" i="1"/>
  <c r="C3205" i="1"/>
  <c r="E3204" i="1"/>
  <c r="C3204" i="1"/>
  <c r="E3203" i="1"/>
  <c r="C3203" i="1"/>
  <c r="E3202" i="1"/>
  <c r="C3202" i="1"/>
  <c r="E3201" i="1"/>
  <c r="E3200" i="1"/>
  <c r="C3200" i="1"/>
  <c r="E3199" i="1"/>
  <c r="C3199" i="1"/>
  <c r="E3198" i="1"/>
  <c r="C3198" i="1"/>
  <c r="E3197" i="1"/>
  <c r="C3197" i="1"/>
  <c r="E3196" i="1"/>
  <c r="C3196" i="1"/>
  <c r="E3195" i="1"/>
  <c r="C3195" i="1"/>
  <c r="E3194" i="1"/>
  <c r="C3194" i="1"/>
  <c r="E3193" i="1"/>
  <c r="C3193" i="1"/>
  <c r="E3192" i="1"/>
  <c r="C3192" i="1"/>
  <c r="E3191" i="1"/>
  <c r="C3191" i="1"/>
  <c r="E3190" i="1"/>
  <c r="C3190" i="1"/>
  <c r="E3189" i="1"/>
  <c r="C3189" i="1"/>
  <c r="E3188" i="1"/>
  <c r="C3188" i="1"/>
  <c r="E3187" i="1"/>
  <c r="C3187" i="1"/>
  <c r="E3186" i="1"/>
  <c r="C3186" i="1"/>
  <c r="E3185" i="1"/>
  <c r="C3185" i="1"/>
  <c r="E3184" i="1"/>
  <c r="C3184" i="1"/>
  <c r="E3183" i="1"/>
  <c r="C3183" i="1"/>
  <c r="E3182" i="1"/>
  <c r="C3182" i="1"/>
  <c r="E3181" i="1"/>
  <c r="C3181" i="1"/>
  <c r="E3180" i="1"/>
  <c r="C3180" i="1"/>
  <c r="E3179" i="1"/>
  <c r="C3179" i="1"/>
  <c r="E3178" i="1"/>
  <c r="C3178" i="1"/>
  <c r="E3177" i="1"/>
  <c r="C3177" i="1"/>
  <c r="E3176" i="1"/>
  <c r="C3176" i="1"/>
  <c r="E3175" i="1"/>
  <c r="C3175" i="1"/>
  <c r="E3174" i="1"/>
  <c r="C3174" i="1"/>
  <c r="E3173" i="1"/>
  <c r="C3173" i="1"/>
  <c r="E3172" i="1"/>
  <c r="C3172" i="1"/>
  <c r="E3171" i="1"/>
  <c r="C3171" i="1"/>
  <c r="E3170" i="1"/>
  <c r="C3170" i="1"/>
  <c r="E3169" i="1"/>
  <c r="C3169" i="1"/>
  <c r="E3168" i="1"/>
  <c r="C3168" i="1"/>
  <c r="E3167" i="1"/>
  <c r="C3167" i="1"/>
  <c r="E3166" i="1"/>
  <c r="C3166" i="1"/>
  <c r="E3165" i="1"/>
  <c r="C3165" i="1"/>
  <c r="E3164" i="1"/>
  <c r="C3164" i="1"/>
  <c r="E3163" i="1"/>
  <c r="C3163" i="1"/>
  <c r="E3162" i="1"/>
  <c r="C3162" i="1"/>
  <c r="E3161" i="1"/>
  <c r="C3161" i="1"/>
  <c r="E3160" i="1"/>
  <c r="C3160" i="1"/>
  <c r="E3159" i="1"/>
  <c r="C3159" i="1"/>
  <c r="E3158" i="1"/>
  <c r="C3158" i="1"/>
  <c r="E3157" i="1"/>
  <c r="C3157" i="1"/>
  <c r="E3156" i="1"/>
  <c r="C3156" i="1"/>
  <c r="E3155" i="1"/>
  <c r="C3155" i="1"/>
  <c r="E3154" i="1"/>
  <c r="C3154" i="1"/>
  <c r="E3153" i="1"/>
  <c r="C3153" i="1"/>
  <c r="E3152" i="1"/>
  <c r="C3152" i="1"/>
  <c r="E3151" i="1"/>
  <c r="C3151" i="1"/>
  <c r="E3150" i="1"/>
  <c r="C3150" i="1"/>
  <c r="E3149" i="1"/>
  <c r="C3149" i="1"/>
  <c r="E3148" i="1"/>
  <c r="C3148" i="1"/>
  <c r="E3147" i="1"/>
  <c r="C3147" i="1"/>
  <c r="E3146" i="1"/>
  <c r="C3146" i="1"/>
  <c r="E3145" i="1"/>
  <c r="C3145" i="1"/>
  <c r="E3144" i="1"/>
  <c r="C3144" i="1"/>
  <c r="E3143" i="1"/>
  <c r="C3143" i="1"/>
  <c r="E3142" i="1"/>
  <c r="C3142" i="1"/>
  <c r="E3141" i="1"/>
  <c r="C3141" i="1"/>
  <c r="E3140" i="1"/>
  <c r="C3140" i="1"/>
  <c r="E3139" i="1"/>
  <c r="C3139" i="1"/>
  <c r="E3138" i="1"/>
  <c r="C3138" i="1"/>
  <c r="E3137" i="1"/>
  <c r="C3137" i="1"/>
  <c r="E3136" i="1"/>
  <c r="C3136" i="1"/>
  <c r="E3135" i="1"/>
  <c r="C3135" i="1"/>
  <c r="E3134" i="1"/>
  <c r="C3134" i="1"/>
  <c r="E3133" i="1"/>
  <c r="C3133" i="1"/>
  <c r="E3132" i="1"/>
  <c r="C3132" i="1"/>
  <c r="E3131" i="1"/>
  <c r="C3131" i="1"/>
  <c r="E3130" i="1"/>
  <c r="C3130" i="1"/>
  <c r="E3129" i="1"/>
  <c r="C3129" i="1"/>
  <c r="E3128" i="1"/>
  <c r="C3128" i="1"/>
  <c r="E3127" i="1"/>
  <c r="C3127" i="1"/>
  <c r="E3126" i="1"/>
  <c r="C3126" i="1"/>
  <c r="E3125" i="1"/>
  <c r="C3125" i="1"/>
  <c r="E3124" i="1"/>
  <c r="C3124" i="1"/>
  <c r="E3123" i="1"/>
  <c r="C3123" i="1"/>
  <c r="E3122" i="1"/>
  <c r="C3122" i="1"/>
  <c r="E3121" i="1"/>
  <c r="C3121" i="1"/>
  <c r="E3120" i="1"/>
  <c r="C3120" i="1"/>
  <c r="E3119" i="1"/>
  <c r="C3119" i="1"/>
  <c r="E3118" i="1"/>
  <c r="C3118" i="1"/>
  <c r="E3117" i="1"/>
  <c r="C3117" i="1"/>
  <c r="E3116" i="1"/>
  <c r="C3116" i="1"/>
  <c r="E3115" i="1"/>
  <c r="C3115" i="1"/>
  <c r="E3114" i="1"/>
  <c r="E3113" i="1"/>
  <c r="C3113" i="1"/>
  <c r="E3112" i="1"/>
  <c r="C3112" i="1"/>
  <c r="E3111" i="1"/>
  <c r="C3111" i="1"/>
  <c r="E3110" i="1"/>
  <c r="C3110" i="1"/>
  <c r="E3109" i="1"/>
  <c r="C3109" i="1"/>
  <c r="E3108" i="1"/>
  <c r="C3108" i="1"/>
  <c r="E3107" i="1"/>
  <c r="C3107" i="1"/>
  <c r="E3106" i="1"/>
  <c r="C3106" i="1"/>
  <c r="E3105" i="1"/>
  <c r="C3105" i="1"/>
  <c r="E3104" i="1"/>
  <c r="C3104" i="1"/>
  <c r="E3103" i="1"/>
  <c r="C3103" i="1"/>
  <c r="E3102" i="1"/>
  <c r="C3102" i="1"/>
  <c r="E3101" i="1"/>
  <c r="C3101" i="1"/>
  <c r="E3100" i="1"/>
  <c r="C3100" i="1"/>
  <c r="E3099" i="1"/>
  <c r="C3099" i="1"/>
  <c r="E3098" i="1"/>
  <c r="C3098" i="1"/>
  <c r="E3097" i="1"/>
  <c r="C3097" i="1"/>
  <c r="E3096" i="1"/>
  <c r="C3096" i="1"/>
  <c r="E3095" i="1"/>
  <c r="C3095" i="1"/>
  <c r="E3094" i="1"/>
  <c r="C3094" i="1"/>
  <c r="E3093" i="1"/>
  <c r="C3093" i="1"/>
  <c r="E3092" i="1"/>
  <c r="C3092" i="1"/>
  <c r="E3091" i="1"/>
  <c r="C3091" i="1"/>
  <c r="E3090" i="1"/>
  <c r="C3090" i="1"/>
  <c r="E3089" i="1"/>
  <c r="C3089" i="1"/>
  <c r="E3088" i="1"/>
  <c r="C3088" i="1"/>
  <c r="E3087" i="1"/>
  <c r="C3087" i="1"/>
  <c r="E3086" i="1"/>
  <c r="C3086" i="1"/>
  <c r="E3085" i="1"/>
  <c r="C3085" i="1"/>
  <c r="E3084" i="1"/>
  <c r="C3084" i="1"/>
  <c r="E3083" i="1"/>
  <c r="C3083" i="1"/>
  <c r="E3082" i="1"/>
  <c r="C3082" i="1"/>
  <c r="E3081" i="1"/>
  <c r="C3081" i="1"/>
  <c r="E3080" i="1"/>
  <c r="C3080" i="1"/>
  <c r="E3079" i="1"/>
  <c r="C3079" i="1"/>
  <c r="E3078" i="1"/>
  <c r="C3078" i="1"/>
  <c r="E3077" i="1"/>
  <c r="C3077" i="1"/>
  <c r="E3076" i="1"/>
  <c r="C3076" i="1"/>
  <c r="E3075" i="1"/>
  <c r="C3075" i="1"/>
  <c r="E3074" i="1"/>
  <c r="C3074" i="1"/>
  <c r="E3073" i="1"/>
  <c r="C3073" i="1"/>
  <c r="E3072" i="1"/>
  <c r="C3072" i="1"/>
  <c r="E3071" i="1"/>
  <c r="C3071" i="1"/>
  <c r="E3070" i="1"/>
  <c r="C3070" i="1"/>
  <c r="E3069" i="1"/>
  <c r="C3069" i="1"/>
  <c r="E3068" i="1"/>
  <c r="C3068" i="1"/>
  <c r="E3067" i="1"/>
  <c r="C3067" i="1"/>
  <c r="E3066" i="1"/>
  <c r="C3066" i="1"/>
  <c r="E3065" i="1"/>
  <c r="C3065" i="1"/>
  <c r="E3064" i="1"/>
  <c r="C3064" i="1"/>
  <c r="E3063" i="1"/>
  <c r="C3063" i="1"/>
  <c r="E3062" i="1"/>
  <c r="C3062" i="1"/>
  <c r="E3061" i="1"/>
  <c r="C3061" i="1"/>
  <c r="E3060" i="1"/>
  <c r="C3060" i="1"/>
  <c r="E3059" i="1"/>
  <c r="C3059" i="1"/>
  <c r="E3058" i="1"/>
  <c r="C3058" i="1"/>
  <c r="E3057" i="1"/>
  <c r="C3057" i="1"/>
  <c r="E3056" i="1"/>
  <c r="C3056" i="1"/>
  <c r="E3055" i="1"/>
  <c r="C3055" i="1"/>
  <c r="E3054" i="1"/>
  <c r="C3054" i="1"/>
  <c r="E3053" i="1"/>
  <c r="C3053" i="1"/>
  <c r="E3052" i="1"/>
  <c r="C3052" i="1"/>
  <c r="E3051" i="1"/>
  <c r="C3051" i="1"/>
  <c r="E3050" i="1"/>
  <c r="C3050" i="1"/>
  <c r="E3049" i="1"/>
  <c r="C3049" i="1"/>
  <c r="E3048" i="1"/>
  <c r="C3048" i="1"/>
  <c r="E3047" i="1"/>
  <c r="C3047" i="1"/>
  <c r="E3046" i="1"/>
  <c r="C3046" i="1"/>
  <c r="E3045" i="1"/>
  <c r="C3045" i="1"/>
  <c r="E3044" i="1"/>
  <c r="C3044" i="1"/>
  <c r="E3043" i="1"/>
  <c r="C3043" i="1"/>
  <c r="E3042" i="1"/>
  <c r="C3042" i="1"/>
  <c r="E3041" i="1"/>
  <c r="C3041" i="1"/>
  <c r="E3040" i="1"/>
  <c r="C3040" i="1"/>
  <c r="E3039" i="1"/>
  <c r="C3039" i="1"/>
  <c r="E3038" i="1"/>
  <c r="C3038" i="1"/>
  <c r="E3037" i="1"/>
  <c r="C3037" i="1"/>
  <c r="E3036" i="1"/>
  <c r="C3036" i="1"/>
  <c r="E3035" i="1"/>
  <c r="C3035" i="1"/>
  <c r="E3034" i="1"/>
  <c r="C3034" i="1"/>
  <c r="E3033" i="1"/>
  <c r="C3033" i="1"/>
  <c r="E3032" i="1"/>
  <c r="C3032" i="1"/>
  <c r="E3031" i="1"/>
  <c r="C3031" i="1"/>
  <c r="E3030" i="1"/>
  <c r="C3030" i="1"/>
  <c r="E3029" i="1"/>
  <c r="C3029" i="1"/>
  <c r="E3028" i="1"/>
  <c r="C3028" i="1"/>
  <c r="E3027" i="1"/>
  <c r="C3027" i="1"/>
  <c r="E3026" i="1"/>
  <c r="C3026" i="1"/>
  <c r="E3025" i="1"/>
  <c r="C3025" i="1"/>
  <c r="E3024" i="1"/>
  <c r="C3024" i="1"/>
  <c r="E3023" i="1"/>
  <c r="C3023" i="1"/>
  <c r="E3022" i="1"/>
  <c r="C3022" i="1"/>
  <c r="E3021" i="1"/>
  <c r="C3021" i="1"/>
  <c r="E3020" i="1"/>
  <c r="C3020" i="1"/>
  <c r="E3019" i="1"/>
  <c r="C3019" i="1"/>
  <c r="E3018" i="1"/>
  <c r="C3018" i="1"/>
  <c r="E3017" i="1"/>
  <c r="C3017" i="1"/>
  <c r="E3016" i="1"/>
  <c r="C3016" i="1"/>
  <c r="E3015" i="1"/>
  <c r="C3015" i="1"/>
  <c r="E3014" i="1"/>
  <c r="C3014" i="1"/>
  <c r="E3013" i="1"/>
  <c r="C3013" i="1"/>
  <c r="E3012" i="1"/>
  <c r="C3012" i="1"/>
  <c r="E3011" i="1"/>
  <c r="C3011" i="1"/>
  <c r="E3010" i="1"/>
  <c r="C3010" i="1"/>
  <c r="E3009" i="1"/>
  <c r="C3009" i="1"/>
  <c r="E3008" i="1"/>
  <c r="C3008" i="1"/>
  <c r="E3007" i="1"/>
  <c r="C3007" i="1"/>
  <c r="E3006" i="1"/>
  <c r="C3006" i="1"/>
  <c r="E3005" i="1"/>
  <c r="C3005" i="1"/>
  <c r="E3004" i="1"/>
  <c r="C3004" i="1"/>
  <c r="E3003" i="1"/>
  <c r="C3003" i="1"/>
  <c r="E3002" i="1"/>
  <c r="C3002" i="1"/>
  <c r="E3001" i="1"/>
  <c r="C3001" i="1"/>
  <c r="E3000" i="1"/>
  <c r="C3000" i="1"/>
  <c r="E2999" i="1"/>
  <c r="C2999" i="1"/>
  <c r="E2998" i="1"/>
  <c r="C2998" i="1"/>
  <c r="E2997" i="1"/>
  <c r="C2997" i="1"/>
  <c r="E2996" i="1"/>
  <c r="C2996" i="1"/>
  <c r="E2995" i="1"/>
  <c r="C2995" i="1"/>
  <c r="E2994" i="1"/>
  <c r="C2994" i="1"/>
  <c r="E2993" i="1"/>
  <c r="C2993" i="1"/>
  <c r="E2992" i="1"/>
  <c r="C2992" i="1"/>
  <c r="E2991" i="1"/>
  <c r="C2991" i="1"/>
  <c r="E2990" i="1"/>
  <c r="C2990" i="1"/>
  <c r="E2989" i="1"/>
  <c r="C2989" i="1"/>
  <c r="E2988" i="1"/>
  <c r="C2988" i="1"/>
  <c r="E2987" i="1"/>
  <c r="C2987" i="1"/>
  <c r="E2986" i="1"/>
  <c r="C2986" i="1"/>
  <c r="E2985" i="1"/>
  <c r="C2985" i="1"/>
  <c r="E2984" i="1"/>
  <c r="C2984" i="1"/>
  <c r="E2983" i="1"/>
  <c r="C2983" i="1"/>
  <c r="E2982" i="1"/>
  <c r="C2982" i="1"/>
  <c r="E2981" i="1"/>
  <c r="C2981" i="1"/>
  <c r="E2980" i="1"/>
  <c r="C2980" i="1"/>
  <c r="E2979" i="1"/>
  <c r="C2979" i="1"/>
  <c r="E2978" i="1"/>
  <c r="C2978" i="1"/>
  <c r="E2977" i="1"/>
  <c r="C2977" i="1"/>
  <c r="E2976" i="1"/>
  <c r="C2976" i="1"/>
  <c r="E2975" i="1"/>
  <c r="C2975" i="1"/>
  <c r="E2974" i="1"/>
  <c r="C2974" i="1"/>
  <c r="E2973" i="1"/>
  <c r="C2973" i="1"/>
  <c r="E2972" i="1"/>
  <c r="C2972" i="1"/>
  <c r="E2971" i="1"/>
  <c r="C2971" i="1"/>
  <c r="E2970" i="1"/>
  <c r="C2970" i="1"/>
  <c r="E2969" i="1"/>
  <c r="C2969" i="1"/>
  <c r="E2968" i="1"/>
  <c r="C2968" i="1"/>
  <c r="E2967" i="1"/>
  <c r="C2967" i="1"/>
  <c r="E2966" i="1"/>
  <c r="C2966" i="1"/>
  <c r="E2965" i="1"/>
  <c r="C2965" i="1"/>
  <c r="E2964" i="1"/>
  <c r="E2963" i="1"/>
  <c r="C2963" i="1"/>
  <c r="E2962" i="1"/>
  <c r="C2962" i="1"/>
  <c r="E2961" i="1"/>
  <c r="C2961" i="1"/>
  <c r="E2960" i="1"/>
  <c r="C2960" i="1"/>
  <c r="E2959" i="1"/>
  <c r="C2959" i="1"/>
  <c r="E2958" i="1"/>
  <c r="C2958" i="1"/>
  <c r="E2957" i="1"/>
  <c r="C2957" i="1"/>
  <c r="E2956" i="1"/>
  <c r="C2956" i="1"/>
  <c r="E2955" i="1"/>
  <c r="C2955" i="1"/>
  <c r="E2954" i="1"/>
  <c r="C2954" i="1"/>
  <c r="E2953" i="1"/>
  <c r="C2953" i="1"/>
  <c r="E2952" i="1"/>
  <c r="C2952" i="1"/>
  <c r="E2951" i="1"/>
  <c r="C2951" i="1"/>
  <c r="E2950" i="1"/>
  <c r="C2950" i="1"/>
  <c r="E2949" i="1"/>
  <c r="C2949" i="1"/>
  <c r="E2948" i="1"/>
  <c r="C2948" i="1"/>
  <c r="E2947" i="1"/>
  <c r="C2947" i="1"/>
  <c r="E2946" i="1"/>
  <c r="C2946" i="1"/>
  <c r="E2945" i="1"/>
  <c r="C2945" i="1"/>
  <c r="E2944" i="1"/>
  <c r="C2944" i="1"/>
  <c r="E2943" i="1"/>
  <c r="C2943" i="1"/>
  <c r="E2942" i="1"/>
  <c r="C2942" i="1"/>
  <c r="E2941" i="1"/>
  <c r="C2941" i="1"/>
  <c r="E2940" i="1"/>
  <c r="C2940" i="1"/>
  <c r="E2939" i="1"/>
  <c r="C2939" i="1"/>
  <c r="E2938" i="1"/>
  <c r="C2938" i="1"/>
  <c r="E2937" i="1"/>
  <c r="C2937" i="1"/>
  <c r="E2936" i="1"/>
  <c r="C2936" i="1"/>
  <c r="E2935" i="1"/>
  <c r="C2935" i="1"/>
  <c r="E2934" i="1"/>
  <c r="C2934" i="1"/>
  <c r="E2933" i="1"/>
  <c r="C2933" i="1"/>
  <c r="E2932" i="1"/>
  <c r="C2932" i="1"/>
  <c r="E2931" i="1"/>
  <c r="C2931" i="1"/>
  <c r="E2930" i="1"/>
  <c r="C2930" i="1"/>
  <c r="E2929" i="1"/>
  <c r="C2929" i="1"/>
  <c r="E2928" i="1"/>
  <c r="C2928" i="1"/>
  <c r="E2927" i="1"/>
  <c r="C2927" i="1"/>
  <c r="E2926" i="1"/>
  <c r="C2926" i="1"/>
  <c r="E2925" i="1"/>
  <c r="C2925" i="1"/>
  <c r="E2924" i="1"/>
  <c r="C2924" i="1"/>
  <c r="E2923" i="1"/>
  <c r="C2923" i="1"/>
  <c r="E2922" i="1"/>
  <c r="C2922" i="1"/>
  <c r="E2921" i="1"/>
  <c r="C2921" i="1"/>
  <c r="E2920" i="1"/>
  <c r="C2920" i="1"/>
  <c r="E2919" i="1"/>
  <c r="C2919" i="1"/>
  <c r="E2918" i="1"/>
  <c r="C2918" i="1"/>
  <c r="E2917" i="1"/>
  <c r="C2917" i="1"/>
  <c r="E2916" i="1"/>
  <c r="C2916" i="1"/>
  <c r="E2915" i="1"/>
  <c r="C2915" i="1"/>
  <c r="E2914" i="1"/>
  <c r="C2914" i="1"/>
  <c r="E2913" i="1"/>
  <c r="C2913" i="1"/>
  <c r="E2912" i="1"/>
  <c r="C2912" i="1"/>
  <c r="E2911" i="1"/>
  <c r="C2911" i="1"/>
  <c r="E2910" i="1"/>
  <c r="C2910" i="1"/>
  <c r="E2909" i="1"/>
  <c r="C2909" i="1"/>
  <c r="E2908" i="1"/>
  <c r="C2908" i="1"/>
  <c r="E2907" i="1"/>
  <c r="C2907" i="1"/>
  <c r="E2906" i="1"/>
  <c r="C2906" i="1"/>
  <c r="E2905" i="1"/>
  <c r="C2905" i="1"/>
  <c r="E2904" i="1"/>
  <c r="C2904" i="1"/>
  <c r="E2903" i="1"/>
  <c r="C2903" i="1"/>
  <c r="E2902" i="1"/>
  <c r="C2902" i="1"/>
  <c r="E2901" i="1"/>
  <c r="C2901" i="1"/>
  <c r="E2900" i="1"/>
  <c r="C2900" i="1"/>
  <c r="E2899" i="1"/>
  <c r="C2899" i="1"/>
  <c r="E2898" i="1"/>
  <c r="C2898" i="1"/>
  <c r="E2897" i="1"/>
  <c r="C2897" i="1"/>
  <c r="E2896" i="1"/>
  <c r="C2896" i="1"/>
  <c r="E2895" i="1"/>
  <c r="C2895" i="1"/>
  <c r="E2894" i="1"/>
  <c r="C2894" i="1"/>
  <c r="E2893" i="1"/>
  <c r="C2893" i="1"/>
  <c r="E2892" i="1"/>
  <c r="C2892" i="1"/>
  <c r="E2891" i="1"/>
  <c r="C2891" i="1"/>
  <c r="E2890" i="1"/>
  <c r="C2890" i="1"/>
  <c r="E2889" i="1"/>
  <c r="C2889" i="1"/>
  <c r="E2888" i="1"/>
  <c r="C2888" i="1"/>
  <c r="E2887" i="1"/>
  <c r="C2887" i="1"/>
  <c r="E2886" i="1"/>
  <c r="C2886" i="1"/>
  <c r="E2885" i="1"/>
  <c r="C2885" i="1"/>
  <c r="E2884" i="1"/>
  <c r="C2884" i="1"/>
  <c r="E2883" i="1"/>
  <c r="C2883" i="1"/>
  <c r="E2882" i="1"/>
  <c r="C2882" i="1"/>
  <c r="E2881" i="1"/>
  <c r="C2881" i="1"/>
  <c r="E2880" i="1"/>
  <c r="C2880" i="1"/>
  <c r="E2879" i="1"/>
  <c r="C2879" i="1"/>
  <c r="E2878" i="1"/>
  <c r="C2878" i="1"/>
  <c r="E2877" i="1"/>
  <c r="C2877" i="1"/>
  <c r="E2876" i="1"/>
  <c r="C2876" i="1"/>
  <c r="E2875" i="1"/>
  <c r="C2875" i="1"/>
  <c r="E2874" i="1"/>
  <c r="C2874" i="1"/>
  <c r="E2873" i="1"/>
  <c r="C2873" i="1"/>
  <c r="E2872" i="1"/>
  <c r="C2872" i="1"/>
  <c r="E2871" i="1"/>
  <c r="C2871" i="1"/>
  <c r="E2870" i="1"/>
  <c r="C2870" i="1"/>
  <c r="E2869" i="1"/>
  <c r="C2869" i="1"/>
  <c r="E2868" i="1"/>
  <c r="C2868" i="1"/>
  <c r="E2867" i="1"/>
  <c r="C2867" i="1"/>
  <c r="E2866" i="1"/>
  <c r="C2866" i="1"/>
  <c r="E2865" i="1"/>
  <c r="C2865" i="1"/>
  <c r="E2864" i="1"/>
  <c r="C2864" i="1"/>
  <c r="E2863" i="1"/>
  <c r="C2863" i="1"/>
  <c r="E2862" i="1"/>
  <c r="C2862" i="1"/>
  <c r="E2861" i="1"/>
  <c r="C2861" i="1"/>
  <c r="E2860" i="1"/>
  <c r="C2860" i="1"/>
  <c r="E2859" i="1"/>
  <c r="C2859" i="1"/>
  <c r="E2858" i="1"/>
  <c r="C2858" i="1"/>
  <c r="E2857" i="1"/>
  <c r="C2857" i="1"/>
  <c r="E2856" i="1"/>
  <c r="C2856" i="1"/>
  <c r="E2855" i="1"/>
  <c r="C2855" i="1"/>
  <c r="E2854" i="1"/>
  <c r="C2854" i="1"/>
  <c r="E2853" i="1"/>
  <c r="C2853" i="1"/>
  <c r="E2852" i="1"/>
  <c r="C2852" i="1"/>
  <c r="E2851" i="1"/>
  <c r="C2851" i="1"/>
  <c r="E2850" i="1"/>
  <c r="C2850" i="1"/>
  <c r="E2849" i="1"/>
  <c r="C2849" i="1"/>
  <c r="E2848" i="1"/>
  <c r="C2848" i="1"/>
  <c r="E2847" i="1"/>
  <c r="C2847" i="1"/>
  <c r="E2846" i="1"/>
  <c r="C2846" i="1"/>
  <c r="E2845" i="1"/>
  <c r="C2845" i="1"/>
  <c r="E2844" i="1"/>
  <c r="C2844" i="1"/>
  <c r="E2843" i="1"/>
  <c r="C2843" i="1"/>
  <c r="E2842" i="1"/>
  <c r="C2842" i="1"/>
  <c r="E2841" i="1"/>
  <c r="C2841" i="1"/>
  <c r="E2840" i="1"/>
  <c r="C2840" i="1"/>
  <c r="E2839" i="1"/>
  <c r="C2839" i="1"/>
  <c r="E2838" i="1"/>
  <c r="C2838" i="1"/>
  <c r="E2837" i="1"/>
  <c r="C2837" i="1"/>
  <c r="E2836" i="1"/>
  <c r="C2836" i="1"/>
  <c r="E2835" i="1"/>
  <c r="C2835" i="1"/>
  <c r="E2834" i="1"/>
  <c r="C2834" i="1"/>
  <c r="E2833" i="1"/>
  <c r="C2833" i="1"/>
  <c r="E2832" i="1"/>
  <c r="C2832" i="1"/>
  <c r="E2831" i="1"/>
  <c r="C2831" i="1"/>
  <c r="E2830" i="1"/>
  <c r="C2830" i="1"/>
  <c r="E2829" i="1"/>
  <c r="C2829" i="1"/>
  <c r="E2828" i="1"/>
  <c r="C2828" i="1"/>
  <c r="E2827" i="1"/>
  <c r="C2827" i="1"/>
  <c r="E2826" i="1"/>
  <c r="C2826" i="1"/>
  <c r="E2825" i="1"/>
  <c r="C2825" i="1"/>
  <c r="E2824" i="1"/>
  <c r="C2824" i="1"/>
  <c r="E2823" i="1"/>
  <c r="C2823" i="1"/>
  <c r="E2822" i="1"/>
  <c r="C2822" i="1"/>
  <c r="E2821" i="1"/>
  <c r="C2821" i="1"/>
  <c r="E2820" i="1"/>
  <c r="C2820" i="1"/>
  <c r="E2819" i="1"/>
  <c r="C2819" i="1"/>
  <c r="E2818" i="1"/>
  <c r="C2818" i="1"/>
  <c r="E2817" i="1"/>
  <c r="C2817" i="1"/>
  <c r="E2816" i="1"/>
  <c r="C2816" i="1"/>
  <c r="E2815" i="1"/>
  <c r="C2815" i="1"/>
  <c r="E2814" i="1"/>
  <c r="C2814" i="1"/>
  <c r="E2813" i="1"/>
  <c r="C2813" i="1"/>
  <c r="E2812" i="1"/>
  <c r="C2812" i="1"/>
  <c r="E2811" i="1"/>
  <c r="C2811" i="1"/>
  <c r="E2810" i="1"/>
  <c r="C2810" i="1"/>
  <c r="E2809" i="1"/>
  <c r="C2809" i="1"/>
  <c r="E2808" i="1"/>
  <c r="C2808" i="1"/>
  <c r="E2807" i="1"/>
  <c r="C2807" i="1"/>
  <c r="E2806" i="1"/>
  <c r="C2806" i="1"/>
  <c r="E2805" i="1"/>
  <c r="C2805" i="1"/>
  <c r="E2804" i="1"/>
  <c r="C2804" i="1"/>
  <c r="E2803" i="1"/>
  <c r="C2803" i="1"/>
  <c r="E2802" i="1"/>
  <c r="C2802" i="1"/>
  <c r="E2801" i="1"/>
  <c r="C2801" i="1"/>
  <c r="E2800" i="1"/>
  <c r="C2800" i="1"/>
  <c r="E2799" i="1"/>
  <c r="C2799" i="1"/>
  <c r="E2798" i="1"/>
  <c r="C2798" i="1"/>
  <c r="E2797" i="1"/>
  <c r="C2797" i="1"/>
  <c r="E2796" i="1"/>
  <c r="C2796" i="1"/>
  <c r="E2795" i="1"/>
  <c r="C2795" i="1"/>
  <c r="E2794" i="1"/>
  <c r="C2794" i="1"/>
  <c r="E2793" i="1"/>
  <c r="C2793" i="1"/>
  <c r="E2792" i="1"/>
  <c r="C2792" i="1"/>
  <c r="E2791" i="1"/>
  <c r="C2791" i="1"/>
  <c r="E2790" i="1"/>
  <c r="C2790" i="1"/>
  <c r="E2789" i="1"/>
  <c r="C2789" i="1"/>
  <c r="E2788" i="1"/>
  <c r="C2788" i="1"/>
  <c r="E2787" i="1"/>
  <c r="C2787" i="1"/>
  <c r="E2786" i="1"/>
  <c r="C2786" i="1"/>
  <c r="E2785" i="1"/>
  <c r="C2785" i="1"/>
  <c r="E2784" i="1"/>
  <c r="C2784" i="1"/>
  <c r="E2783" i="1"/>
  <c r="C2783" i="1"/>
  <c r="E2782" i="1"/>
  <c r="C2782" i="1"/>
  <c r="E2781" i="1"/>
  <c r="C2781" i="1"/>
  <c r="E2780" i="1"/>
  <c r="C2780" i="1"/>
  <c r="E2779" i="1"/>
  <c r="C2779" i="1"/>
  <c r="E2778" i="1"/>
  <c r="C2778" i="1"/>
  <c r="E2777" i="1"/>
  <c r="C2777" i="1"/>
  <c r="E2776" i="1"/>
  <c r="C2776" i="1"/>
  <c r="E2775" i="1"/>
  <c r="C2775" i="1"/>
  <c r="E2774" i="1"/>
  <c r="C2774" i="1"/>
  <c r="E2773" i="1"/>
  <c r="C2773" i="1"/>
  <c r="E2772" i="1"/>
  <c r="C2772" i="1"/>
  <c r="E2771" i="1"/>
  <c r="C2771" i="1"/>
  <c r="E2770" i="1"/>
  <c r="C2770" i="1"/>
  <c r="E2769" i="1"/>
  <c r="C2769" i="1"/>
  <c r="E2768" i="1"/>
  <c r="C2768" i="1"/>
  <c r="E2767" i="1"/>
  <c r="C2767" i="1"/>
  <c r="E2766" i="1"/>
  <c r="C2766" i="1"/>
  <c r="E2765" i="1"/>
  <c r="C2765" i="1"/>
  <c r="E2764" i="1"/>
  <c r="C2764" i="1"/>
  <c r="E2763" i="1"/>
  <c r="C2763" i="1"/>
  <c r="E2762" i="1"/>
  <c r="C2762" i="1"/>
  <c r="E2761" i="1"/>
  <c r="C2761" i="1"/>
  <c r="E2760" i="1"/>
  <c r="C2760" i="1"/>
  <c r="E2759" i="1"/>
  <c r="C2759" i="1"/>
  <c r="E2758" i="1"/>
  <c r="C2758" i="1"/>
  <c r="E2757" i="1"/>
  <c r="C2757" i="1"/>
  <c r="E2756" i="1"/>
  <c r="C2756" i="1"/>
  <c r="E2755" i="1"/>
  <c r="C2755" i="1"/>
  <c r="E2754" i="1"/>
  <c r="C2754" i="1"/>
  <c r="E2753" i="1"/>
  <c r="C2753" i="1"/>
  <c r="E2752" i="1"/>
  <c r="C2752" i="1"/>
  <c r="E2751" i="1"/>
  <c r="C2751" i="1"/>
  <c r="E2750" i="1"/>
  <c r="C2750" i="1"/>
  <c r="E2749" i="1"/>
  <c r="C2749" i="1"/>
  <c r="E2748" i="1"/>
  <c r="C2748" i="1"/>
  <c r="E2747" i="1"/>
  <c r="C2747" i="1"/>
  <c r="E2746" i="1"/>
  <c r="C2746" i="1"/>
  <c r="E2745" i="1"/>
  <c r="C2745" i="1"/>
  <c r="E2744" i="1"/>
  <c r="C2744" i="1"/>
  <c r="E2743" i="1"/>
  <c r="C2743" i="1"/>
  <c r="E2742" i="1"/>
  <c r="C2742" i="1"/>
  <c r="E2741" i="1"/>
  <c r="C2741" i="1"/>
  <c r="E2740" i="1"/>
  <c r="C2740" i="1"/>
  <c r="E2739" i="1"/>
  <c r="C2739" i="1"/>
  <c r="E2738" i="1"/>
  <c r="C2738" i="1"/>
  <c r="E2737" i="1"/>
  <c r="C2737" i="1"/>
  <c r="E2736" i="1"/>
  <c r="C2736" i="1"/>
  <c r="E2735" i="1"/>
  <c r="C2735" i="1"/>
  <c r="E2734" i="1"/>
  <c r="C2734" i="1"/>
  <c r="E2733" i="1"/>
  <c r="C2733" i="1"/>
  <c r="E2732" i="1"/>
  <c r="C2732" i="1"/>
  <c r="E2731" i="1"/>
  <c r="C2731" i="1"/>
  <c r="E2730" i="1"/>
  <c r="C2730" i="1"/>
  <c r="E2729" i="1"/>
  <c r="C2729" i="1"/>
  <c r="E2728" i="1"/>
  <c r="C2728" i="1"/>
  <c r="E2727" i="1"/>
  <c r="C2727" i="1"/>
  <c r="E2726" i="1"/>
  <c r="C2726" i="1"/>
  <c r="E2725" i="1"/>
  <c r="C2725" i="1"/>
  <c r="E2724" i="1"/>
  <c r="C2724" i="1"/>
  <c r="E2723" i="1"/>
  <c r="C2723" i="1"/>
  <c r="E2722" i="1"/>
  <c r="C2722" i="1"/>
  <c r="E2721" i="1"/>
  <c r="C2721" i="1"/>
  <c r="E2720" i="1"/>
  <c r="C2720" i="1"/>
  <c r="E2719" i="1"/>
  <c r="C2719" i="1"/>
  <c r="E2718" i="1"/>
  <c r="C2718" i="1"/>
  <c r="E2717" i="1"/>
  <c r="C2717" i="1"/>
  <c r="E2716" i="1"/>
  <c r="C2716" i="1"/>
  <c r="E2715" i="1"/>
  <c r="C2715" i="1"/>
  <c r="E2714" i="1"/>
  <c r="C2714" i="1"/>
  <c r="E2713" i="1"/>
  <c r="C2713" i="1"/>
  <c r="E2712" i="1"/>
  <c r="C2712" i="1"/>
  <c r="E2711" i="1"/>
  <c r="C2711" i="1"/>
  <c r="E2710" i="1"/>
  <c r="C2710" i="1"/>
  <c r="E2709" i="1"/>
  <c r="C2709" i="1"/>
  <c r="E2708" i="1"/>
  <c r="C2708" i="1"/>
  <c r="E2707" i="1"/>
  <c r="C2707" i="1"/>
  <c r="E2706" i="1"/>
  <c r="C2706" i="1"/>
  <c r="E2705" i="1"/>
  <c r="C2705" i="1"/>
  <c r="E2704" i="1"/>
  <c r="C2704" i="1"/>
  <c r="E2703" i="1"/>
  <c r="C2703" i="1"/>
  <c r="E2702" i="1"/>
  <c r="C2702" i="1"/>
  <c r="E2701" i="1"/>
  <c r="C2701" i="1"/>
  <c r="E2700" i="1"/>
  <c r="C2700" i="1"/>
  <c r="E2699" i="1"/>
  <c r="C2699" i="1"/>
  <c r="E2698" i="1"/>
  <c r="C2698" i="1"/>
  <c r="E2697" i="1"/>
  <c r="C2697" i="1"/>
  <c r="E2696" i="1"/>
  <c r="C2696" i="1"/>
  <c r="E2695" i="1"/>
  <c r="C2695" i="1"/>
  <c r="E2694" i="1"/>
  <c r="C2694" i="1"/>
  <c r="E2693" i="1"/>
  <c r="C2693" i="1"/>
  <c r="E2692" i="1"/>
  <c r="C2692" i="1"/>
  <c r="E2691" i="1"/>
  <c r="C2691" i="1"/>
  <c r="E2690" i="1"/>
  <c r="C2690" i="1"/>
  <c r="E2689" i="1"/>
  <c r="C2689" i="1"/>
  <c r="E2688" i="1"/>
  <c r="C2688" i="1"/>
  <c r="E2687" i="1"/>
  <c r="C2687" i="1"/>
  <c r="E2686" i="1"/>
  <c r="C2686" i="1"/>
  <c r="E2685" i="1"/>
  <c r="C2685" i="1"/>
  <c r="E2684" i="1"/>
  <c r="C2684" i="1"/>
  <c r="E2683" i="1"/>
  <c r="C2683" i="1"/>
  <c r="E2682" i="1"/>
  <c r="C2682" i="1"/>
  <c r="E2681" i="1"/>
  <c r="C2681" i="1"/>
  <c r="E2680" i="1"/>
  <c r="C2680" i="1"/>
  <c r="E2679" i="1"/>
  <c r="C2679" i="1"/>
  <c r="E2678" i="1"/>
  <c r="C2678" i="1"/>
  <c r="E2677" i="1"/>
  <c r="C2677" i="1"/>
  <c r="E2676" i="1"/>
  <c r="C2676" i="1"/>
  <c r="E2675" i="1"/>
  <c r="C2675" i="1"/>
  <c r="E2674" i="1"/>
  <c r="C2674" i="1"/>
  <c r="E2673" i="1"/>
  <c r="C2673" i="1"/>
  <c r="E2672" i="1"/>
  <c r="C2672" i="1"/>
  <c r="E2671" i="1"/>
  <c r="C2671" i="1"/>
  <c r="E2670" i="1"/>
  <c r="C2670" i="1"/>
  <c r="E2669" i="1"/>
  <c r="C2669" i="1"/>
  <c r="E2668" i="1"/>
  <c r="C2668" i="1"/>
  <c r="E2667" i="1"/>
  <c r="C2667" i="1"/>
  <c r="E2666" i="1"/>
  <c r="C2666" i="1"/>
  <c r="E2665" i="1"/>
  <c r="C2665" i="1"/>
  <c r="E2664" i="1"/>
  <c r="C2664" i="1"/>
  <c r="E2663" i="1"/>
  <c r="C2663" i="1"/>
  <c r="E2662" i="1"/>
  <c r="C2662" i="1"/>
  <c r="E2661" i="1"/>
  <c r="C2661" i="1"/>
  <c r="E2660" i="1"/>
  <c r="C2660" i="1"/>
  <c r="E2659" i="1"/>
  <c r="C2659" i="1"/>
  <c r="E2658" i="1"/>
  <c r="C2658" i="1"/>
  <c r="E2657" i="1"/>
  <c r="C2657" i="1"/>
  <c r="E2656" i="1"/>
  <c r="C2656" i="1"/>
  <c r="E2655" i="1"/>
  <c r="C2655" i="1"/>
  <c r="E2654" i="1"/>
  <c r="C2654" i="1"/>
  <c r="E2653" i="1"/>
  <c r="C2653" i="1"/>
  <c r="E2652" i="1"/>
  <c r="C2652" i="1"/>
  <c r="E2651" i="1"/>
  <c r="C2651" i="1"/>
  <c r="E2650" i="1"/>
  <c r="C2650" i="1"/>
  <c r="E2649" i="1"/>
  <c r="C2649" i="1"/>
  <c r="E2648" i="1"/>
  <c r="C2648" i="1"/>
  <c r="E2647" i="1"/>
  <c r="C2647" i="1"/>
  <c r="E2646" i="1"/>
  <c r="C2646" i="1"/>
  <c r="E2645" i="1"/>
  <c r="C2645" i="1"/>
  <c r="E2644" i="1"/>
  <c r="C2644" i="1"/>
  <c r="E2643" i="1"/>
  <c r="C2643" i="1"/>
  <c r="E2642" i="1"/>
  <c r="C2642" i="1"/>
  <c r="E2641" i="1"/>
  <c r="C2641" i="1"/>
  <c r="E2640" i="1"/>
  <c r="C2640" i="1"/>
  <c r="E2639" i="1"/>
  <c r="C2639" i="1"/>
  <c r="E2638" i="1"/>
  <c r="C2638" i="1"/>
  <c r="E2637" i="1"/>
  <c r="C2637" i="1"/>
  <c r="E2636" i="1"/>
  <c r="C2636" i="1"/>
  <c r="E2635" i="1"/>
  <c r="C2635" i="1"/>
  <c r="E2634" i="1"/>
  <c r="C2634" i="1"/>
  <c r="E2633" i="1"/>
  <c r="C2633" i="1"/>
  <c r="E2632" i="1"/>
  <c r="C2632" i="1"/>
  <c r="E2631" i="1"/>
  <c r="C2631" i="1"/>
  <c r="E2630" i="1"/>
  <c r="C2630" i="1"/>
  <c r="E2629" i="1"/>
  <c r="C2629" i="1"/>
  <c r="E2628" i="1"/>
  <c r="C2628" i="1"/>
  <c r="E2627" i="1"/>
  <c r="C2627" i="1"/>
  <c r="E2626" i="1"/>
  <c r="C2626" i="1"/>
  <c r="E2625" i="1"/>
  <c r="C2625" i="1"/>
  <c r="E2624" i="1"/>
  <c r="C2624" i="1"/>
  <c r="E2623" i="1"/>
  <c r="C2623" i="1"/>
  <c r="E2622" i="1"/>
  <c r="C2622" i="1"/>
  <c r="E2621" i="1"/>
  <c r="C2621" i="1"/>
  <c r="E2620" i="1"/>
  <c r="C2620" i="1"/>
  <c r="E2619" i="1"/>
  <c r="C2619" i="1"/>
  <c r="E2618" i="1"/>
  <c r="C2618" i="1"/>
  <c r="E2617" i="1"/>
  <c r="C2617" i="1"/>
  <c r="E2616" i="1"/>
  <c r="C2616" i="1"/>
  <c r="E2615" i="1"/>
  <c r="C2615" i="1"/>
  <c r="E2614" i="1"/>
  <c r="C2614" i="1"/>
  <c r="E2613" i="1"/>
  <c r="C2613" i="1"/>
  <c r="E2612" i="1"/>
  <c r="C2612" i="1"/>
  <c r="E2611" i="1"/>
  <c r="C2611" i="1"/>
  <c r="E2610" i="1"/>
  <c r="C2610" i="1"/>
  <c r="E2609" i="1"/>
  <c r="C2609" i="1"/>
  <c r="E2608" i="1"/>
  <c r="C2608" i="1"/>
  <c r="E2607" i="1"/>
  <c r="C2607" i="1"/>
  <c r="E2606" i="1"/>
  <c r="C2606" i="1"/>
  <c r="E2605" i="1"/>
  <c r="C2605" i="1"/>
  <c r="E2604" i="1"/>
  <c r="C2604" i="1"/>
  <c r="E2603" i="1"/>
  <c r="C2603" i="1"/>
  <c r="E2602" i="1"/>
  <c r="C2602" i="1"/>
  <c r="E2601" i="1"/>
  <c r="C2601" i="1"/>
  <c r="E2600" i="1"/>
  <c r="C2600" i="1"/>
  <c r="E2599" i="1"/>
  <c r="C2599" i="1"/>
  <c r="E2598" i="1"/>
  <c r="C2598" i="1"/>
  <c r="E2597" i="1"/>
  <c r="C2597" i="1"/>
  <c r="E2596" i="1"/>
  <c r="C2596" i="1"/>
  <c r="E2595" i="1"/>
  <c r="C2595" i="1"/>
  <c r="E2594" i="1"/>
  <c r="C2594" i="1"/>
  <c r="E2593" i="1"/>
  <c r="C2593" i="1"/>
  <c r="E2592" i="1"/>
  <c r="C2592" i="1"/>
  <c r="E2591" i="1"/>
  <c r="C2591" i="1"/>
  <c r="E2590" i="1"/>
  <c r="C2590" i="1"/>
  <c r="E2589" i="1"/>
  <c r="C2589" i="1"/>
  <c r="E2588" i="1"/>
  <c r="C2588" i="1"/>
  <c r="E2587" i="1"/>
  <c r="C2587" i="1"/>
  <c r="E2586" i="1"/>
  <c r="C2586" i="1"/>
  <c r="E2585" i="1"/>
  <c r="C2585" i="1"/>
  <c r="E2584" i="1"/>
  <c r="C2584" i="1"/>
  <c r="E2583" i="1"/>
  <c r="C2583" i="1"/>
  <c r="E2582" i="1"/>
  <c r="C2582" i="1"/>
  <c r="E2581" i="1"/>
  <c r="C2581" i="1"/>
  <c r="E2580" i="1"/>
  <c r="C2580" i="1"/>
  <c r="E2579" i="1"/>
  <c r="C2579" i="1"/>
  <c r="E2578" i="1"/>
  <c r="C2578" i="1"/>
  <c r="E2577" i="1"/>
  <c r="C2577" i="1"/>
  <c r="E2576" i="1"/>
  <c r="C2576" i="1"/>
  <c r="E2575" i="1"/>
  <c r="C2575" i="1"/>
  <c r="E2574" i="1"/>
  <c r="C2574" i="1"/>
  <c r="E2573" i="1"/>
  <c r="C2573" i="1"/>
  <c r="E2572" i="1"/>
  <c r="C2572" i="1"/>
  <c r="E2571" i="1"/>
  <c r="C2571" i="1"/>
  <c r="E2570" i="1"/>
  <c r="C2570" i="1"/>
  <c r="E2569" i="1"/>
  <c r="C2569" i="1"/>
  <c r="E2568" i="1"/>
  <c r="C2568" i="1"/>
  <c r="E2567" i="1"/>
  <c r="C2567" i="1"/>
  <c r="E2566" i="1"/>
  <c r="C2566" i="1"/>
  <c r="E2565" i="1"/>
  <c r="C2565" i="1"/>
  <c r="E2564" i="1"/>
  <c r="C2564" i="1"/>
  <c r="E2563" i="1"/>
  <c r="C2563" i="1"/>
  <c r="E2562" i="1"/>
  <c r="C2562" i="1"/>
  <c r="E2561" i="1"/>
  <c r="C2561" i="1"/>
  <c r="E2560" i="1"/>
  <c r="C2560" i="1"/>
  <c r="E2559" i="1"/>
  <c r="C2559" i="1"/>
  <c r="E2558" i="1"/>
  <c r="C2558" i="1"/>
  <c r="E2557" i="1"/>
  <c r="C2557" i="1"/>
  <c r="E2556" i="1"/>
  <c r="C2556" i="1"/>
  <c r="E2555" i="1"/>
  <c r="C2555" i="1"/>
  <c r="E2554" i="1"/>
  <c r="C2554" i="1"/>
  <c r="E2553" i="1"/>
  <c r="C2553" i="1"/>
  <c r="E2552" i="1"/>
  <c r="C2552" i="1"/>
  <c r="E2551" i="1"/>
  <c r="C2551" i="1"/>
  <c r="E2550" i="1"/>
  <c r="C2550" i="1"/>
  <c r="E2549" i="1"/>
  <c r="C2549" i="1"/>
  <c r="E2548" i="1"/>
  <c r="C2548" i="1"/>
  <c r="E2547" i="1"/>
  <c r="C2547" i="1"/>
  <c r="E2546" i="1"/>
  <c r="C2546" i="1"/>
  <c r="E2545" i="1"/>
  <c r="C2545" i="1"/>
  <c r="E2544" i="1"/>
  <c r="C2544" i="1"/>
  <c r="E2543" i="1"/>
  <c r="C2543" i="1"/>
  <c r="E2542" i="1"/>
  <c r="C2542" i="1"/>
  <c r="E2541" i="1"/>
  <c r="C2541" i="1"/>
  <c r="E2540" i="1"/>
  <c r="C2540" i="1"/>
  <c r="E2539" i="1"/>
  <c r="C2539" i="1"/>
  <c r="E2538" i="1"/>
  <c r="C2538" i="1"/>
  <c r="E2537" i="1"/>
  <c r="C2537" i="1"/>
  <c r="E2536" i="1"/>
  <c r="C2536" i="1"/>
  <c r="E2535" i="1"/>
  <c r="C2535" i="1"/>
  <c r="E2534" i="1"/>
  <c r="C2534" i="1"/>
  <c r="E2533" i="1"/>
  <c r="C2533" i="1"/>
  <c r="E2532" i="1"/>
  <c r="C2532" i="1"/>
  <c r="E2531" i="1"/>
  <c r="C2531" i="1"/>
  <c r="E2530" i="1"/>
  <c r="C2530" i="1"/>
  <c r="E2529" i="1"/>
  <c r="C2529" i="1"/>
  <c r="E2528" i="1"/>
  <c r="C2528" i="1"/>
  <c r="E2527" i="1"/>
  <c r="C2527" i="1"/>
  <c r="E2526" i="1"/>
  <c r="C2526" i="1"/>
  <c r="E2525" i="1"/>
  <c r="C2525" i="1"/>
  <c r="E2524" i="1"/>
  <c r="C2524" i="1"/>
  <c r="E2523" i="1"/>
  <c r="C2523" i="1"/>
  <c r="E2522" i="1"/>
  <c r="C2522" i="1"/>
  <c r="E2521" i="1"/>
  <c r="C2521" i="1"/>
  <c r="E2520" i="1"/>
  <c r="C2520" i="1"/>
  <c r="E2519" i="1"/>
  <c r="C2519" i="1"/>
  <c r="E2518" i="1"/>
  <c r="C2518" i="1"/>
  <c r="E2517" i="1"/>
  <c r="C2517" i="1"/>
  <c r="E2516" i="1"/>
  <c r="C2516" i="1"/>
  <c r="E2515" i="1"/>
  <c r="C2515" i="1"/>
  <c r="E2514" i="1"/>
  <c r="C2514" i="1"/>
  <c r="E2513" i="1"/>
  <c r="C2513" i="1"/>
  <c r="E2512" i="1"/>
  <c r="C2512" i="1"/>
  <c r="E2511" i="1"/>
  <c r="C2511" i="1"/>
  <c r="E2510" i="1"/>
  <c r="C2510" i="1"/>
  <c r="E2509" i="1"/>
  <c r="C2509" i="1"/>
  <c r="E2508" i="1"/>
  <c r="C2508" i="1"/>
  <c r="E2507" i="1"/>
  <c r="C2507" i="1"/>
  <c r="E2506" i="1"/>
  <c r="C2506" i="1"/>
  <c r="E2505" i="1"/>
  <c r="C2505" i="1"/>
  <c r="E2504" i="1"/>
  <c r="C2504" i="1"/>
  <c r="E2503" i="1"/>
  <c r="C2503" i="1"/>
  <c r="E2502" i="1"/>
  <c r="C2502" i="1"/>
  <c r="E2501" i="1"/>
  <c r="C2501" i="1"/>
  <c r="E2500" i="1"/>
  <c r="C2500" i="1"/>
  <c r="E2499" i="1"/>
  <c r="C2499" i="1"/>
  <c r="E2498" i="1"/>
  <c r="C2498" i="1"/>
  <c r="E2497" i="1"/>
  <c r="C2497" i="1"/>
  <c r="E2496" i="1"/>
  <c r="C2496" i="1"/>
  <c r="E2495" i="1"/>
  <c r="C2495" i="1"/>
  <c r="E2494" i="1"/>
  <c r="C2494" i="1"/>
  <c r="E2493" i="1"/>
  <c r="C2493" i="1"/>
  <c r="E2492" i="1"/>
  <c r="C2492" i="1"/>
  <c r="E2491" i="1"/>
  <c r="C2491" i="1"/>
  <c r="E2490" i="1"/>
  <c r="C2490" i="1"/>
  <c r="E2489" i="1"/>
  <c r="C2489" i="1"/>
  <c r="E2488" i="1"/>
  <c r="C2488" i="1"/>
  <c r="E2487" i="1"/>
  <c r="C2487" i="1"/>
  <c r="E2486" i="1"/>
  <c r="C2486" i="1"/>
  <c r="E2485" i="1"/>
  <c r="C2485" i="1"/>
  <c r="E2484" i="1"/>
  <c r="C2484" i="1"/>
  <c r="E2483" i="1"/>
  <c r="C2483" i="1"/>
  <c r="E2482" i="1"/>
  <c r="C2482" i="1"/>
  <c r="E2481" i="1"/>
  <c r="C2481" i="1"/>
  <c r="E2480" i="1"/>
  <c r="C2480" i="1"/>
  <c r="E2479" i="1"/>
  <c r="C2479" i="1"/>
  <c r="E2478" i="1"/>
  <c r="C2478" i="1"/>
  <c r="E2477" i="1"/>
  <c r="C2477" i="1"/>
  <c r="E2476" i="1"/>
  <c r="C2476" i="1"/>
  <c r="E2475" i="1"/>
  <c r="C2475" i="1"/>
  <c r="E2474" i="1"/>
  <c r="C2474" i="1"/>
  <c r="E2473" i="1"/>
  <c r="C2473" i="1"/>
  <c r="E2472" i="1"/>
  <c r="C2472" i="1"/>
  <c r="E2471" i="1"/>
  <c r="C2471" i="1"/>
  <c r="E2470" i="1"/>
  <c r="C2470" i="1"/>
  <c r="E2469" i="1"/>
  <c r="C2469" i="1"/>
  <c r="E2468" i="1"/>
  <c r="C2468" i="1"/>
  <c r="E2467" i="1"/>
  <c r="C2467" i="1"/>
  <c r="E2466" i="1"/>
  <c r="C2466" i="1"/>
  <c r="E2465" i="1"/>
  <c r="C2465" i="1"/>
  <c r="E2464" i="1"/>
  <c r="C2464" i="1"/>
  <c r="E2463" i="1"/>
  <c r="C2463" i="1"/>
  <c r="E2462" i="1"/>
  <c r="E2461" i="1"/>
  <c r="C2461" i="1"/>
  <c r="E2460" i="1"/>
  <c r="C2460" i="1"/>
  <c r="E2459" i="1"/>
  <c r="C2459" i="1"/>
  <c r="E2458" i="1"/>
  <c r="C2458" i="1"/>
  <c r="E2457" i="1"/>
  <c r="C2457" i="1"/>
  <c r="E2456" i="1"/>
  <c r="C2456" i="1"/>
  <c r="E2455" i="1"/>
  <c r="C2455" i="1"/>
  <c r="E2454" i="1"/>
  <c r="C2454" i="1"/>
  <c r="E2453" i="1"/>
  <c r="C2453" i="1"/>
  <c r="E2452" i="1"/>
  <c r="C2452" i="1"/>
  <c r="E2451" i="1"/>
  <c r="C2451" i="1"/>
  <c r="E2450" i="1"/>
  <c r="C2450" i="1"/>
  <c r="E2449" i="1"/>
  <c r="C2449" i="1"/>
  <c r="E2448" i="1"/>
  <c r="C2448" i="1"/>
  <c r="E2447" i="1"/>
  <c r="C2447" i="1"/>
  <c r="E2446" i="1"/>
  <c r="C2446" i="1"/>
  <c r="E2445" i="1"/>
  <c r="C2445" i="1"/>
  <c r="E2444" i="1"/>
  <c r="C2444" i="1"/>
  <c r="E2443" i="1"/>
  <c r="C2443" i="1"/>
  <c r="E2442" i="1"/>
  <c r="C2442" i="1"/>
  <c r="E2441" i="1"/>
  <c r="C2441" i="1"/>
  <c r="E2440" i="1"/>
  <c r="C2440" i="1"/>
  <c r="E2439" i="1"/>
  <c r="C2439" i="1"/>
  <c r="E2438" i="1"/>
  <c r="C2438" i="1"/>
  <c r="E2437" i="1"/>
  <c r="C2437" i="1"/>
  <c r="E2436" i="1"/>
  <c r="C2436" i="1"/>
  <c r="E2435" i="1"/>
  <c r="C2435" i="1"/>
  <c r="E2434" i="1"/>
  <c r="C2434" i="1"/>
  <c r="E2433" i="1"/>
  <c r="C2433" i="1"/>
  <c r="E2432" i="1"/>
  <c r="C2432" i="1"/>
  <c r="E2431" i="1"/>
  <c r="C2431" i="1"/>
  <c r="E2430" i="1"/>
  <c r="C2430" i="1"/>
  <c r="E2429" i="1"/>
  <c r="C2429" i="1"/>
  <c r="E2428" i="1"/>
  <c r="C2428" i="1"/>
  <c r="E2427" i="1"/>
  <c r="C2427" i="1"/>
  <c r="E2426" i="1"/>
  <c r="C2426" i="1"/>
  <c r="E2425" i="1"/>
  <c r="C2425" i="1"/>
  <c r="E2424" i="1"/>
  <c r="C2424" i="1"/>
  <c r="E2423" i="1"/>
  <c r="C2423" i="1"/>
  <c r="E2422" i="1"/>
  <c r="C2422" i="1"/>
  <c r="E2421" i="1"/>
  <c r="C2421" i="1"/>
  <c r="E2420" i="1"/>
  <c r="C2420" i="1"/>
  <c r="E2419" i="1"/>
  <c r="C2419" i="1"/>
  <c r="E2418" i="1"/>
  <c r="C2418" i="1"/>
  <c r="E2417" i="1"/>
  <c r="C2417" i="1"/>
  <c r="E2416" i="1"/>
  <c r="C2416" i="1"/>
  <c r="E2415" i="1"/>
  <c r="C2415" i="1"/>
  <c r="E2414" i="1"/>
  <c r="C2414" i="1"/>
  <c r="E2413" i="1"/>
  <c r="C2413" i="1"/>
  <c r="E2412" i="1"/>
  <c r="C2412" i="1"/>
  <c r="E2411" i="1"/>
  <c r="C2411" i="1"/>
  <c r="E2410" i="1"/>
  <c r="C2410" i="1"/>
  <c r="E2409" i="1"/>
  <c r="C2409" i="1"/>
  <c r="E2408" i="1"/>
  <c r="C2408" i="1"/>
  <c r="E2407" i="1"/>
  <c r="C2407" i="1"/>
  <c r="E2406" i="1"/>
  <c r="C2406" i="1"/>
  <c r="E2405" i="1"/>
  <c r="C2405" i="1"/>
  <c r="E2404" i="1"/>
  <c r="C2404" i="1"/>
  <c r="E2403" i="1"/>
  <c r="C2403" i="1"/>
  <c r="E2402" i="1"/>
  <c r="C2402" i="1"/>
  <c r="E2401" i="1"/>
  <c r="C2401" i="1"/>
  <c r="E2400" i="1"/>
  <c r="C2400" i="1"/>
  <c r="E2399" i="1"/>
  <c r="C2399" i="1"/>
  <c r="E2398" i="1"/>
  <c r="C2398" i="1"/>
  <c r="E2397" i="1"/>
  <c r="C2397" i="1"/>
  <c r="E2396" i="1"/>
  <c r="C2396" i="1"/>
  <c r="E2395" i="1"/>
  <c r="C2395" i="1"/>
  <c r="E2394" i="1"/>
  <c r="C2394" i="1"/>
  <c r="E2393" i="1"/>
  <c r="C2393" i="1"/>
  <c r="E2392" i="1"/>
  <c r="C2392" i="1"/>
  <c r="E2391" i="1"/>
  <c r="C2391" i="1"/>
  <c r="E2390" i="1"/>
  <c r="C2390" i="1"/>
  <c r="E2389" i="1"/>
  <c r="C2389" i="1"/>
  <c r="E2388" i="1"/>
  <c r="C2388" i="1"/>
  <c r="E2387" i="1"/>
  <c r="C2387" i="1"/>
  <c r="E2386" i="1"/>
  <c r="C2386" i="1"/>
  <c r="E2385" i="1"/>
  <c r="C2385" i="1"/>
  <c r="E2384" i="1"/>
  <c r="C2384" i="1"/>
  <c r="E2383" i="1"/>
  <c r="C2383" i="1"/>
  <c r="E2382" i="1"/>
  <c r="C2382" i="1"/>
  <c r="E2381" i="1"/>
  <c r="C2381" i="1"/>
  <c r="E2380" i="1"/>
  <c r="C2380" i="1"/>
  <c r="E2379" i="1"/>
  <c r="C2379" i="1"/>
  <c r="E2378" i="1"/>
  <c r="C2378" i="1"/>
  <c r="E2377" i="1"/>
  <c r="C2377" i="1"/>
  <c r="E2376" i="1"/>
  <c r="C2376" i="1"/>
  <c r="E2375" i="1"/>
  <c r="C2375" i="1"/>
  <c r="E2374" i="1"/>
  <c r="C2374" i="1"/>
  <c r="E2373" i="1"/>
  <c r="C2373" i="1"/>
  <c r="E2372" i="1"/>
  <c r="C2372" i="1"/>
  <c r="E2371" i="1"/>
  <c r="C2371" i="1"/>
  <c r="E2370" i="1"/>
  <c r="C2370" i="1"/>
  <c r="E2369" i="1"/>
  <c r="C2369" i="1"/>
  <c r="E2368" i="1"/>
  <c r="C2368" i="1"/>
  <c r="E2367" i="1"/>
  <c r="C2367" i="1"/>
  <c r="E2366" i="1"/>
  <c r="C2366" i="1"/>
  <c r="E2365" i="1"/>
  <c r="C2365" i="1"/>
  <c r="E2364" i="1"/>
  <c r="C2364" i="1"/>
  <c r="E2363" i="1"/>
  <c r="C2363" i="1"/>
  <c r="E2362" i="1"/>
  <c r="C2362" i="1"/>
  <c r="E2361" i="1"/>
  <c r="C2361" i="1"/>
  <c r="E2360" i="1"/>
  <c r="C2360" i="1"/>
  <c r="E2359" i="1"/>
  <c r="C2359" i="1"/>
  <c r="E2358" i="1"/>
  <c r="C2358" i="1"/>
  <c r="E2357" i="1"/>
  <c r="C2357" i="1"/>
  <c r="E2356" i="1"/>
  <c r="C2356" i="1"/>
  <c r="E2355" i="1"/>
  <c r="C2355" i="1"/>
  <c r="E2354" i="1"/>
  <c r="C2354" i="1"/>
  <c r="E2353" i="1"/>
  <c r="C2353" i="1"/>
  <c r="E2352" i="1"/>
  <c r="C2352" i="1"/>
  <c r="E2351" i="1"/>
  <c r="C2351" i="1"/>
  <c r="E2350" i="1"/>
  <c r="C2350" i="1"/>
  <c r="E2349" i="1"/>
  <c r="C2349" i="1"/>
  <c r="E2348" i="1"/>
  <c r="C2348" i="1"/>
  <c r="E2347" i="1"/>
  <c r="C2347" i="1"/>
  <c r="E2346" i="1"/>
  <c r="C2346" i="1"/>
  <c r="E2345" i="1"/>
  <c r="C2345" i="1"/>
  <c r="E2344" i="1"/>
  <c r="C2344" i="1"/>
  <c r="E2343" i="1"/>
  <c r="C2343" i="1"/>
  <c r="E2342" i="1"/>
  <c r="C2342" i="1"/>
  <c r="E2341" i="1"/>
  <c r="C2341" i="1"/>
  <c r="E2340" i="1"/>
  <c r="C2340" i="1"/>
  <c r="E2339" i="1"/>
  <c r="C2339" i="1"/>
  <c r="E2338" i="1"/>
  <c r="C2338" i="1"/>
  <c r="E2337" i="1"/>
  <c r="C2337" i="1"/>
  <c r="E2336" i="1"/>
  <c r="C2336" i="1"/>
  <c r="E2335" i="1"/>
  <c r="C2335" i="1"/>
  <c r="E2334" i="1"/>
  <c r="C2334" i="1"/>
  <c r="E2333" i="1"/>
  <c r="C2333" i="1"/>
  <c r="E2332" i="1"/>
  <c r="C2332" i="1"/>
  <c r="E2331" i="1"/>
  <c r="C2331" i="1"/>
  <c r="E2330" i="1"/>
  <c r="C2330" i="1"/>
  <c r="E2329" i="1"/>
  <c r="C2329" i="1"/>
  <c r="E2328" i="1"/>
  <c r="C2328" i="1"/>
  <c r="E2327" i="1"/>
  <c r="C2327" i="1"/>
  <c r="E2326" i="1"/>
  <c r="C2326" i="1"/>
  <c r="E2325" i="1"/>
  <c r="C2325" i="1"/>
  <c r="E2324" i="1"/>
  <c r="C2324" i="1"/>
  <c r="E2323" i="1"/>
  <c r="C2323" i="1"/>
  <c r="E2322" i="1"/>
  <c r="C2322" i="1"/>
  <c r="E2321" i="1"/>
  <c r="C2321" i="1"/>
  <c r="E2320" i="1"/>
  <c r="C2320" i="1"/>
  <c r="E2319" i="1"/>
  <c r="C2319" i="1"/>
  <c r="E2318" i="1"/>
  <c r="C2318" i="1"/>
  <c r="E2317" i="1"/>
  <c r="C2317" i="1"/>
  <c r="E2316" i="1"/>
  <c r="C2316" i="1"/>
  <c r="E2315" i="1"/>
  <c r="C2315" i="1"/>
  <c r="E2314" i="1"/>
  <c r="C2314" i="1"/>
  <c r="E2313" i="1"/>
  <c r="C2313" i="1"/>
  <c r="E2312" i="1"/>
  <c r="C2312" i="1"/>
  <c r="E2311" i="1"/>
  <c r="C2311" i="1"/>
  <c r="E2310" i="1"/>
  <c r="C2310" i="1"/>
  <c r="E2309" i="1"/>
  <c r="C2309" i="1"/>
  <c r="E2308" i="1"/>
  <c r="C2308" i="1"/>
  <c r="E2307" i="1"/>
  <c r="C2307" i="1"/>
  <c r="E2306" i="1"/>
  <c r="C2306" i="1"/>
  <c r="E2305" i="1"/>
  <c r="C2305" i="1"/>
  <c r="E2304" i="1"/>
  <c r="C2304" i="1"/>
  <c r="E2303" i="1"/>
  <c r="C2303" i="1"/>
  <c r="E2302" i="1"/>
  <c r="C2302" i="1"/>
  <c r="E2301" i="1"/>
  <c r="C2301" i="1"/>
  <c r="E2300" i="1"/>
  <c r="C2300" i="1"/>
  <c r="E2299" i="1"/>
  <c r="C2299" i="1"/>
  <c r="E2298" i="1"/>
  <c r="C2298" i="1"/>
  <c r="E2297" i="1"/>
  <c r="C2297" i="1"/>
  <c r="E2296" i="1"/>
  <c r="C2296" i="1"/>
  <c r="E2295" i="1"/>
  <c r="C2295" i="1"/>
  <c r="E2294" i="1"/>
  <c r="C2294" i="1"/>
  <c r="E2293" i="1"/>
  <c r="C2293" i="1"/>
  <c r="E2292" i="1"/>
  <c r="C2292" i="1"/>
  <c r="E2291" i="1"/>
  <c r="C2291" i="1"/>
  <c r="E2290" i="1"/>
  <c r="C2290" i="1"/>
  <c r="E2289" i="1"/>
  <c r="C2289" i="1"/>
  <c r="E2288" i="1"/>
  <c r="C2288" i="1"/>
  <c r="E2287" i="1"/>
  <c r="C2287" i="1"/>
  <c r="E2286" i="1"/>
  <c r="C2286" i="1"/>
  <c r="E2285" i="1"/>
  <c r="C2285" i="1"/>
  <c r="E2284" i="1"/>
  <c r="C2284" i="1"/>
  <c r="E2283" i="1"/>
  <c r="C2283" i="1"/>
  <c r="E2282" i="1"/>
  <c r="C2282" i="1"/>
  <c r="E2281" i="1"/>
  <c r="C2281" i="1"/>
  <c r="E2280" i="1"/>
  <c r="C2280" i="1"/>
  <c r="E2279" i="1"/>
  <c r="C2279" i="1"/>
  <c r="E2278" i="1"/>
  <c r="C2278" i="1"/>
  <c r="E2277" i="1"/>
  <c r="C2277" i="1"/>
  <c r="E2276" i="1"/>
  <c r="C2276" i="1"/>
  <c r="E2275" i="1"/>
  <c r="C2275" i="1"/>
  <c r="E2274" i="1"/>
  <c r="C2274" i="1"/>
  <c r="E2273" i="1"/>
  <c r="C2273" i="1"/>
  <c r="E2272" i="1"/>
  <c r="C2272" i="1"/>
  <c r="E2271" i="1"/>
  <c r="C2271" i="1"/>
  <c r="E2270" i="1"/>
  <c r="C2270" i="1"/>
  <c r="E2269" i="1"/>
  <c r="C2269" i="1"/>
  <c r="E2268" i="1"/>
  <c r="C2268" i="1"/>
  <c r="E2267" i="1"/>
  <c r="C2267" i="1"/>
  <c r="E2266" i="1"/>
  <c r="C2266" i="1"/>
  <c r="E2265" i="1"/>
  <c r="C2265" i="1"/>
  <c r="E2264" i="1"/>
  <c r="C2264" i="1"/>
  <c r="E2263" i="1"/>
  <c r="C2263" i="1"/>
  <c r="E2262" i="1"/>
  <c r="C2262" i="1"/>
  <c r="E2261" i="1"/>
  <c r="C2261" i="1"/>
  <c r="E2260" i="1"/>
  <c r="C2260" i="1"/>
  <c r="E2259" i="1"/>
  <c r="C2259" i="1"/>
  <c r="E2258" i="1"/>
  <c r="C2258" i="1"/>
  <c r="E2257" i="1"/>
  <c r="C2257" i="1"/>
  <c r="E2256" i="1"/>
  <c r="C2256" i="1"/>
  <c r="E2255" i="1"/>
  <c r="C2255" i="1"/>
  <c r="E2254" i="1"/>
  <c r="C2254" i="1"/>
  <c r="E2253" i="1"/>
  <c r="C2253" i="1"/>
  <c r="E2252" i="1"/>
  <c r="C2252" i="1"/>
  <c r="E2251" i="1"/>
  <c r="C2251" i="1"/>
  <c r="E2250" i="1"/>
  <c r="C2250" i="1"/>
  <c r="E2249" i="1"/>
  <c r="C2249" i="1"/>
  <c r="E2248" i="1"/>
  <c r="C2248" i="1"/>
  <c r="E2247" i="1"/>
  <c r="C2247" i="1"/>
  <c r="E2246" i="1"/>
  <c r="C2246" i="1"/>
  <c r="E2245" i="1"/>
  <c r="C2245" i="1"/>
  <c r="E2244" i="1"/>
  <c r="C2244" i="1"/>
  <c r="E2243" i="1"/>
  <c r="C2243" i="1"/>
  <c r="E2242" i="1"/>
  <c r="C2242" i="1"/>
  <c r="E2241" i="1"/>
  <c r="C2241" i="1"/>
  <c r="E2240" i="1"/>
  <c r="C2240" i="1"/>
  <c r="E2239" i="1"/>
  <c r="C2239" i="1"/>
  <c r="E2238" i="1"/>
  <c r="C2238" i="1"/>
  <c r="E2237" i="1"/>
  <c r="C2237" i="1"/>
  <c r="E2236" i="1"/>
  <c r="C2236" i="1"/>
  <c r="E2235" i="1"/>
  <c r="C2235" i="1"/>
  <c r="E2234" i="1"/>
  <c r="C2234" i="1"/>
  <c r="E2233" i="1"/>
  <c r="C2233" i="1"/>
  <c r="E2232" i="1"/>
  <c r="C2232" i="1"/>
  <c r="E2231" i="1"/>
  <c r="C2231" i="1"/>
  <c r="E2230" i="1"/>
  <c r="C2230" i="1"/>
  <c r="E2229" i="1"/>
  <c r="C2229" i="1"/>
  <c r="E2228" i="1"/>
  <c r="C2228" i="1"/>
  <c r="E2227" i="1"/>
  <c r="C2227" i="1"/>
  <c r="E2226" i="1"/>
  <c r="C2226" i="1"/>
  <c r="E2225" i="1"/>
  <c r="C2225" i="1"/>
  <c r="E2224" i="1"/>
  <c r="C2224" i="1"/>
  <c r="E2223" i="1"/>
  <c r="C2223" i="1"/>
  <c r="E2222" i="1"/>
  <c r="C2222" i="1"/>
  <c r="E2221" i="1"/>
  <c r="C2221" i="1"/>
  <c r="E2220" i="1"/>
  <c r="C2220" i="1"/>
  <c r="E2219" i="1"/>
  <c r="C2219" i="1"/>
  <c r="E2218" i="1"/>
  <c r="C2218" i="1"/>
  <c r="E2217" i="1"/>
  <c r="C2217" i="1"/>
  <c r="E2216" i="1"/>
  <c r="C2216" i="1"/>
  <c r="E2215" i="1"/>
  <c r="C2215" i="1"/>
  <c r="E2214" i="1"/>
  <c r="C2214" i="1"/>
  <c r="E2213" i="1"/>
  <c r="C2213" i="1"/>
  <c r="E2212" i="1"/>
  <c r="C2212" i="1"/>
  <c r="E2211" i="1"/>
  <c r="C2211" i="1"/>
  <c r="E2210" i="1"/>
  <c r="C2210" i="1"/>
  <c r="E2209" i="1"/>
  <c r="C2209" i="1"/>
  <c r="E2208" i="1"/>
  <c r="C2208" i="1"/>
  <c r="E2207" i="1"/>
  <c r="C2207" i="1"/>
  <c r="E2206" i="1"/>
  <c r="C2206" i="1"/>
  <c r="E2205" i="1"/>
  <c r="C2205" i="1"/>
  <c r="E2204" i="1"/>
  <c r="C2204" i="1"/>
  <c r="E2203" i="1"/>
  <c r="C2203" i="1"/>
  <c r="E2202" i="1"/>
  <c r="C2202" i="1"/>
  <c r="E2201" i="1"/>
  <c r="C2201" i="1"/>
  <c r="E2200" i="1"/>
  <c r="C2200" i="1"/>
  <c r="E2199" i="1"/>
  <c r="C2199" i="1"/>
  <c r="E2198" i="1"/>
  <c r="C2198" i="1"/>
  <c r="E2197" i="1"/>
  <c r="C2197" i="1"/>
  <c r="E2196" i="1"/>
  <c r="C2196" i="1"/>
  <c r="E2195" i="1"/>
  <c r="C2195" i="1"/>
  <c r="E2194" i="1"/>
  <c r="C2194" i="1"/>
  <c r="E2193" i="1"/>
  <c r="C2193" i="1"/>
  <c r="E2192" i="1"/>
  <c r="C2192" i="1"/>
  <c r="E2191" i="1"/>
  <c r="C2191" i="1"/>
  <c r="E2190" i="1"/>
  <c r="C2190" i="1"/>
  <c r="E2189" i="1"/>
  <c r="C2189" i="1"/>
  <c r="E2188" i="1"/>
  <c r="C2188" i="1"/>
  <c r="E2187" i="1"/>
  <c r="C2187" i="1"/>
  <c r="E2186" i="1"/>
  <c r="C2186" i="1"/>
  <c r="E2185" i="1"/>
  <c r="C2185" i="1"/>
  <c r="E2184" i="1"/>
  <c r="C2184" i="1"/>
  <c r="E2183" i="1"/>
  <c r="C2183" i="1"/>
  <c r="E2182" i="1"/>
  <c r="C2182" i="1"/>
  <c r="E2181" i="1"/>
  <c r="C2181" i="1"/>
  <c r="E2180" i="1"/>
  <c r="C2180" i="1"/>
  <c r="E2179" i="1"/>
  <c r="C2179" i="1"/>
  <c r="E2178" i="1"/>
  <c r="C2178" i="1"/>
  <c r="E2177" i="1"/>
  <c r="C2177" i="1"/>
  <c r="E2176" i="1"/>
  <c r="C2176" i="1"/>
  <c r="E2175" i="1"/>
  <c r="C2175" i="1"/>
  <c r="E2174" i="1"/>
  <c r="C2174" i="1"/>
  <c r="E2173" i="1"/>
  <c r="C2173" i="1"/>
  <c r="E2172" i="1"/>
  <c r="C2172" i="1"/>
  <c r="E2171" i="1"/>
  <c r="C2171" i="1"/>
  <c r="E2170" i="1"/>
  <c r="C2170" i="1"/>
  <c r="E2169" i="1"/>
  <c r="C2169" i="1"/>
  <c r="E2168" i="1"/>
  <c r="C2168" i="1"/>
  <c r="E2167" i="1"/>
  <c r="C2167" i="1"/>
  <c r="E2166" i="1"/>
  <c r="C2166" i="1"/>
  <c r="E2165" i="1"/>
  <c r="C2165" i="1"/>
  <c r="E2164" i="1"/>
  <c r="C2164" i="1"/>
  <c r="E2163" i="1"/>
  <c r="C2163" i="1"/>
  <c r="E2162" i="1"/>
  <c r="C2162" i="1"/>
  <c r="E2161" i="1"/>
  <c r="C2161" i="1"/>
  <c r="E2160" i="1"/>
  <c r="C2160" i="1"/>
  <c r="E2159" i="1"/>
  <c r="C2159" i="1"/>
  <c r="E2158" i="1"/>
  <c r="C2158" i="1"/>
  <c r="E2157" i="1"/>
  <c r="C2157" i="1"/>
  <c r="E2156" i="1"/>
  <c r="C2156" i="1"/>
  <c r="E2155" i="1"/>
  <c r="C2155" i="1"/>
  <c r="E2154" i="1"/>
  <c r="C2154" i="1"/>
  <c r="E2153" i="1"/>
  <c r="C2153" i="1"/>
  <c r="E2152" i="1"/>
  <c r="C2152" i="1"/>
  <c r="E2151" i="1"/>
  <c r="C2151" i="1"/>
  <c r="E2150" i="1"/>
  <c r="C2150" i="1"/>
  <c r="E2149" i="1"/>
  <c r="C2149" i="1"/>
  <c r="E2148" i="1"/>
  <c r="C2148" i="1"/>
  <c r="E2147" i="1"/>
  <c r="C2147" i="1"/>
  <c r="E2146" i="1"/>
  <c r="C2146" i="1"/>
  <c r="E2145" i="1"/>
  <c r="C2145" i="1"/>
  <c r="E2144" i="1"/>
  <c r="C2144" i="1"/>
  <c r="E2143" i="1"/>
  <c r="C2143" i="1"/>
  <c r="E2142" i="1"/>
  <c r="C2142" i="1"/>
  <c r="E2141" i="1"/>
  <c r="C2141" i="1"/>
  <c r="E2140" i="1"/>
  <c r="C2140" i="1"/>
  <c r="E2139" i="1"/>
  <c r="C2139" i="1"/>
  <c r="E2138" i="1"/>
  <c r="C2138" i="1"/>
  <c r="E2137" i="1"/>
  <c r="C2137" i="1"/>
  <c r="E2136" i="1"/>
  <c r="C2136" i="1"/>
  <c r="E2135" i="1"/>
  <c r="C2135" i="1"/>
  <c r="E2134" i="1"/>
  <c r="C2134" i="1"/>
  <c r="E2133" i="1"/>
  <c r="C2133" i="1"/>
  <c r="E2132" i="1"/>
  <c r="C2132" i="1"/>
  <c r="E2131" i="1"/>
  <c r="C2131" i="1"/>
  <c r="E2130" i="1"/>
  <c r="C2130" i="1"/>
  <c r="E2129" i="1"/>
  <c r="C2129" i="1"/>
  <c r="E2128" i="1"/>
  <c r="C2128" i="1"/>
  <c r="E2127" i="1"/>
  <c r="C2127" i="1"/>
  <c r="E2126" i="1"/>
  <c r="C2126" i="1"/>
  <c r="E2125" i="1"/>
  <c r="C2125" i="1"/>
  <c r="E2124" i="1"/>
  <c r="C2124" i="1"/>
  <c r="E2123" i="1"/>
  <c r="C2123" i="1"/>
  <c r="E2122" i="1"/>
  <c r="C2122" i="1"/>
  <c r="E2121" i="1"/>
  <c r="C2121" i="1"/>
  <c r="E2120" i="1"/>
  <c r="C2120" i="1"/>
  <c r="E2119" i="1"/>
  <c r="C2119" i="1"/>
  <c r="E2118" i="1"/>
  <c r="C2118" i="1"/>
  <c r="E2117" i="1"/>
  <c r="C2117" i="1"/>
  <c r="E2116" i="1"/>
  <c r="C2116" i="1"/>
  <c r="E2115" i="1"/>
  <c r="C2115" i="1"/>
  <c r="E2114" i="1"/>
  <c r="C2114" i="1"/>
  <c r="E2113" i="1"/>
  <c r="C2113" i="1"/>
  <c r="E2112" i="1"/>
  <c r="C2112" i="1"/>
  <c r="E2111" i="1"/>
  <c r="C2111" i="1"/>
  <c r="E2110" i="1"/>
  <c r="C2110" i="1"/>
  <c r="E2109" i="1"/>
  <c r="C2109" i="1"/>
  <c r="E2108" i="1"/>
  <c r="C2108" i="1"/>
  <c r="E2107" i="1"/>
  <c r="C2107" i="1"/>
  <c r="E2106" i="1"/>
  <c r="C2106" i="1"/>
  <c r="E2105" i="1"/>
  <c r="C2105" i="1"/>
  <c r="E2104" i="1"/>
  <c r="C2104" i="1"/>
  <c r="E2103" i="1"/>
  <c r="C2103" i="1"/>
  <c r="E2102" i="1"/>
  <c r="C2102" i="1"/>
  <c r="E2101" i="1"/>
  <c r="C2101" i="1"/>
  <c r="E2100" i="1"/>
  <c r="C2100" i="1"/>
  <c r="E2099" i="1"/>
  <c r="C2099" i="1"/>
  <c r="E2098" i="1"/>
  <c r="C2098" i="1"/>
  <c r="E2097" i="1"/>
  <c r="C2097" i="1"/>
  <c r="E2096" i="1"/>
  <c r="C2096" i="1"/>
  <c r="E2095" i="1"/>
  <c r="C2095" i="1"/>
  <c r="E2094" i="1"/>
  <c r="C2094" i="1"/>
  <c r="E2093" i="1"/>
  <c r="C2093" i="1"/>
  <c r="E2092" i="1"/>
  <c r="C2092" i="1"/>
  <c r="E2091" i="1"/>
  <c r="C2091" i="1"/>
  <c r="E2090" i="1"/>
  <c r="C2090" i="1"/>
  <c r="E2089" i="1"/>
  <c r="C2089" i="1"/>
  <c r="E2088" i="1"/>
  <c r="C2088" i="1"/>
  <c r="E2087" i="1"/>
  <c r="C2087" i="1"/>
  <c r="E2086" i="1"/>
  <c r="C2086" i="1"/>
  <c r="E2085" i="1"/>
  <c r="C2085" i="1"/>
  <c r="E2084" i="1"/>
  <c r="C2084" i="1"/>
  <c r="E2083" i="1"/>
  <c r="C2083" i="1"/>
  <c r="E2082" i="1"/>
  <c r="C2082" i="1"/>
  <c r="E2081" i="1"/>
  <c r="C2081" i="1"/>
  <c r="E2080" i="1"/>
  <c r="C2080" i="1"/>
  <c r="E2079" i="1"/>
  <c r="C2079" i="1"/>
  <c r="E2078" i="1"/>
  <c r="C2078" i="1"/>
  <c r="E2077" i="1"/>
  <c r="C2077" i="1"/>
  <c r="E2076" i="1"/>
  <c r="C2076" i="1"/>
  <c r="E2075" i="1"/>
  <c r="C2075" i="1"/>
  <c r="E2074" i="1"/>
  <c r="C2074" i="1"/>
  <c r="E2073" i="1"/>
  <c r="C2073" i="1"/>
  <c r="E2072" i="1"/>
  <c r="C2072" i="1"/>
  <c r="E2071" i="1"/>
  <c r="C2071" i="1"/>
  <c r="E2070" i="1"/>
  <c r="C2070" i="1"/>
  <c r="E2069" i="1"/>
  <c r="C2069" i="1"/>
  <c r="E2068" i="1"/>
  <c r="C2068" i="1"/>
  <c r="E2067" i="1"/>
  <c r="C2067" i="1"/>
  <c r="E2066" i="1"/>
  <c r="C2066" i="1"/>
  <c r="E2065" i="1"/>
  <c r="C2065" i="1"/>
  <c r="E2064" i="1"/>
  <c r="C2064" i="1"/>
  <c r="E2063" i="1"/>
  <c r="C2063" i="1"/>
  <c r="E2062" i="1"/>
  <c r="C2062" i="1"/>
  <c r="E2061" i="1"/>
  <c r="C2061" i="1"/>
  <c r="E2060" i="1"/>
  <c r="C2060" i="1"/>
  <c r="E2059" i="1"/>
  <c r="C2059" i="1"/>
  <c r="E2058" i="1"/>
  <c r="C2058" i="1"/>
  <c r="E2057" i="1"/>
  <c r="C2057" i="1"/>
  <c r="E2056" i="1"/>
  <c r="C2056" i="1"/>
  <c r="E2055" i="1"/>
  <c r="C2055" i="1"/>
  <c r="E2054" i="1"/>
  <c r="C2054" i="1"/>
  <c r="E2053" i="1"/>
  <c r="C2053" i="1"/>
  <c r="E2052" i="1"/>
  <c r="C2052" i="1"/>
  <c r="E2051" i="1"/>
  <c r="C2051" i="1"/>
  <c r="E2050" i="1"/>
  <c r="C2050" i="1"/>
  <c r="E2049" i="1"/>
  <c r="C2049" i="1"/>
  <c r="E2048" i="1"/>
  <c r="C2048" i="1"/>
  <c r="E2047" i="1"/>
  <c r="C2047" i="1"/>
  <c r="E2046" i="1"/>
  <c r="C2046" i="1"/>
  <c r="E2045" i="1"/>
  <c r="C2045" i="1"/>
  <c r="E2044" i="1"/>
  <c r="C2044" i="1"/>
  <c r="E2043" i="1"/>
  <c r="C2043" i="1"/>
  <c r="E2042" i="1"/>
  <c r="C2042" i="1"/>
  <c r="E2041" i="1"/>
  <c r="C2041" i="1"/>
  <c r="E2040" i="1"/>
  <c r="C2040" i="1"/>
  <c r="E2039" i="1"/>
  <c r="C2039" i="1"/>
  <c r="E2038" i="1"/>
  <c r="C2038" i="1"/>
  <c r="E2037" i="1"/>
  <c r="C2037" i="1"/>
  <c r="E2036" i="1"/>
  <c r="C2036" i="1"/>
  <c r="E2035" i="1"/>
  <c r="C2035" i="1"/>
  <c r="E2034" i="1"/>
  <c r="C2034" i="1"/>
  <c r="E2033" i="1"/>
  <c r="C2033" i="1"/>
  <c r="E2032" i="1"/>
  <c r="C2032" i="1"/>
  <c r="E2031" i="1"/>
  <c r="C2031" i="1"/>
  <c r="E2030" i="1"/>
  <c r="C2030" i="1"/>
  <c r="E2029" i="1"/>
  <c r="C2029" i="1"/>
  <c r="E2028" i="1"/>
  <c r="C2028" i="1"/>
  <c r="E2027" i="1"/>
  <c r="C2027" i="1"/>
  <c r="E2026" i="1"/>
  <c r="C2026" i="1"/>
  <c r="E2025" i="1"/>
  <c r="C2025" i="1"/>
  <c r="E2024" i="1"/>
  <c r="C2024" i="1"/>
  <c r="E2023" i="1"/>
  <c r="C2023" i="1"/>
  <c r="E2022" i="1"/>
  <c r="C2022" i="1"/>
  <c r="E2021" i="1"/>
  <c r="C2021" i="1"/>
  <c r="E2020" i="1"/>
  <c r="C2020" i="1"/>
  <c r="E2019" i="1"/>
  <c r="C2019" i="1"/>
  <c r="E2018" i="1"/>
  <c r="C2018" i="1"/>
  <c r="E2017" i="1"/>
  <c r="C2017" i="1"/>
  <c r="E2016" i="1"/>
  <c r="C2016" i="1"/>
  <c r="E2015" i="1"/>
  <c r="C2015" i="1"/>
  <c r="E2014" i="1"/>
  <c r="C2014" i="1"/>
  <c r="E2013" i="1"/>
  <c r="C2013" i="1"/>
  <c r="E2012" i="1"/>
  <c r="C2012" i="1"/>
  <c r="E2011" i="1"/>
  <c r="C2011" i="1"/>
  <c r="E2010" i="1"/>
  <c r="C2010" i="1"/>
  <c r="E2009" i="1"/>
  <c r="C2009" i="1"/>
  <c r="E2008" i="1"/>
  <c r="C2008" i="1"/>
  <c r="E2007" i="1"/>
  <c r="C2007" i="1"/>
  <c r="E2006" i="1"/>
  <c r="C2006" i="1"/>
  <c r="E2005" i="1"/>
  <c r="C2005" i="1"/>
  <c r="E2004" i="1"/>
  <c r="C2004" i="1"/>
  <c r="E2003" i="1"/>
  <c r="C2003" i="1"/>
  <c r="E2002" i="1"/>
  <c r="C2002" i="1"/>
  <c r="E2001" i="1"/>
  <c r="C2001" i="1"/>
  <c r="E2000" i="1"/>
  <c r="C2000" i="1"/>
  <c r="E1999" i="1"/>
  <c r="C1999" i="1"/>
  <c r="E1998" i="1"/>
  <c r="C1998" i="1"/>
  <c r="E1997" i="1"/>
  <c r="C1997" i="1"/>
  <c r="E1996" i="1"/>
  <c r="C1996" i="1"/>
  <c r="E1995" i="1"/>
  <c r="C1995" i="1"/>
  <c r="E1994" i="1"/>
  <c r="C1994" i="1"/>
  <c r="E1993" i="1"/>
  <c r="C1993" i="1"/>
  <c r="E1992" i="1"/>
  <c r="C1992" i="1"/>
  <c r="E1991" i="1"/>
  <c r="C1991" i="1"/>
  <c r="E1990" i="1"/>
  <c r="C1990" i="1"/>
  <c r="E1989" i="1"/>
  <c r="C1989" i="1"/>
  <c r="E1988" i="1"/>
  <c r="C1988" i="1"/>
  <c r="E1987" i="1"/>
  <c r="C1987" i="1"/>
  <c r="E1986" i="1"/>
  <c r="C1986" i="1"/>
  <c r="E1985" i="1"/>
  <c r="C1985" i="1"/>
  <c r="E1984" i="1"/>
  <c r="C1984" i="1"/>
  <c r="E1983" i="1"/>
  <c r="C1983" i="1"/>
  <c r="E1982" i="1"/>
  <c r="C1982" i="1"/>
  <c r="E1981" i="1"/>
  <c r="C1981" i="1"/>
  <c r="E1980" i="1"/>
  <c r="C1980" i="1"/>
  <c r="E1979" i="1"/>
  <c r="C1979" i="1"/>
  <c r="E1978" i="1"/>
  <c r="C1978" i="1"/>
  <c r="E1977" i="1"/>
  <c r="C1977" i="1"/>
  <c r="E1976" i="1"/>
  <c r="C1976" i="1"/>
  <c r="E1975" i="1"/>
  <c r="C1975" i="1"/>
  <c r="E1974" i="1"/>
  <c r="C1974" i="1"/>
  <c r="E1973" i="1"/>
  <c r="C1973" i="1"/>
  <c r="E1972" i="1"/>
  <c r="C1972" i="1"/>
  <c r="E1971" i="1"/>
  <c r="C1971" i="1"/>
  <c r="E1970" i="1"/>
  <c r="C1970" i="1"/>
  <c r="E1969" i="1"/>
  <c r="C1969" i="1"/>
  <c r="E1968" i="1"/>
  <c r="C1968" i="1"/>
  <c r="E1967" i="1"/>
  <c r="C1967" i="1"/>
  <c r="E1966" i="1"/>
  <c r="C1966" i="1"/>
  <c r="E1965" i="1"/>
  <c r="C1965" i="1"/>
  <c r="E1964" i="1"/>
  <c r="C1964" i="1"/>
  <c r="E1963" i="1"/>
  <c r="C1963" i="1"/>
  <c r="E1962" i="1"/>
  <c r="C1962" i="1"/>
  <c r="E1961" i="1"/>
  <c r="C1961" i="1"/>
  <c r="E1960" i="1"/>
  <c r="C1960" i="1"/>
  <c r="E1959" i="1"/>
  <c r="C1959" i="1"/>
  <c r="E1958" i="1"/>
  <c r="C1958" i="1"/>
  <c r="E1957" i="1"/>
  <c r="C1957" i="1"/>
  <c r="E1956" i="1"/>
  <c r="C1956" i="1"/>
  <c r="E1955" i="1"/>
  <c r="C1955" i="1"/>
  <c r="E1954" i="1"/>
  <c r="C1954" i="1"/>
  <c r="E1953" i="1"/>
  <c r="C1953" i="1"/>
  <c r="E1952" i="1"/>
  <c r="C1952" i="1"/>
  <c r="E1951" i="1"/>
  <c r="C1951" i="1"/>
  <c r="E1950" i="1"/>
  <c r="C1950" i="1"/>
  <c r="E1949" i="1"/>
  <c r="C1949" i="1"/>
  <c r="E1948" i="1"/>
  <c r="C1948" i="1"/>
  <c r="E1947" i="1"/>
  <c r="C1947" i="1"/>
  <c r="E1946" i="1"/>
  <c r="C1946" i="1"/>
  <c r="E1945" i="1"/>
  <c r="C1945" i="1"/>
  <c r="E1944" i="1"/>
  <c r="C1944" i="1"/>
  <c r="E1943" i="1"/>
  <c r="C1943" i="1"/>
  <c r="E1942" i="1"/>
  <c r="C1942" i="1"/>
  <c r="E1941" i="1"/>
  <c r="C1941" i="1"/>
  <c r="E1940" i="1"/>
  <c r="C1940" i="1"/>
  <c r="E1939" i="1"/>
  <c r="C1939" i="1"/>
  <c r="E1938" i="1"/>
  <c r="C1938" i="1"/>
  <c r="E1937" i="1"/>
  <c r="C1937" i="1"/>
  <c r="E1936" i="1"/>
  <c r="C1936" i="1"/>
  <c r="E1935" i="1"/>
  <c r="C1935" i="1"/>
  <c r="E1934" i="1"/>
  <c r="C1934" i="1"/>
  <c r="E1933" i="1"/>
  <c r="C1933" i="1"/>
  <c r="E1932" i="1"/>
  <c r="C1932" i="1"/>
  <c r="E1931" i="1"/>
  <c r="C1931" i="1"/>
  <c r="E1930" i="1"/>
  <c r="C1930" i="1"/>
  <c r="E1929" i="1"/>
  <c r="C1929" i="1"/>
  <c r="E1928" i="1"/>
  <c r="C1928" i="1"/>
  <c r="E1927" i="1"/>
  <c r="C1927" i="1"/>
  <c r="E1926" i="1"/>
  <c r="C1926" i="1"/>
  <c r="E1925" i="1"/>
  <c r="C1925" i="1"/>
  <c r="E1924" i="1"/>
  <c r="C1924" i="1"/>
  <c r="E1923" i="1"/>
  <c r="C1923" i="1"/>
  <c r="E1922" i="1"/>
  <c r="C1922" i="1"/>
  <c r="E1921" i="1"/>
  <c r="C1921" i="1"/>
  <c r="E1920" i="1"/>
  <c r="C1920" i="1"/>
  <c r="E1919" i="1"/>
  <c r="C1919" i="1"/>
  <c r="E1918" i="1"/>
  <c r="C1918" i="1"/>
  <c r="E1917" i="1"/>
  <c r="C1917" i="1"/>
  <c r="E1916" i="1"/>
  <c r="C1916" i="1"/>
  <c r="E1915" i="1"/>
  <c r="C1915" i="1"/>
  <c r="E1914" i="1"/>
  <c r="C1914" i="1"/>
  <c r="E1913" i="1"/>
  <c r="C1913" i="1"/>
  <c r="E1912" i="1"/>
  <c r="C1912" i="1"/>
  <c r="E1911" i="1"/>
  <c r="C1911" i="1"/>
  <c r="E1910" i="1"/>
  <c r="C1910" i="1"/>
  <c r="E1909" i="1"/>
  <c r="C1909" i="1"/>
  <c r="E1908" i="1"/>
  <c r="C1908" i="1"/>
  <c r="E1907" i="1"/>
  <c r="C1907" i="1"/>
  <c r="E1906" i="1"/>
  <c r="C1906" i="1"/>
  <c r="E1905" i="1"/>
  <c r="C1905" i="1"/>
  <c r="E1904" i="1"/>
  <c r="C1904" i="1"/>
  <c r="E1903" i="1"/>
  <c r="C1903" i="1"/>
  <c r="E1902" i="1"/>
  <c r="C1902" i="1"/>
  <c r="E1901" i="1"/>
  <c r="C1901" i="1"/>
  <c r="E1900" i="1"/>
  <c r="C1900" i="1"/>
  <c r="E1899" i="1"/>
  <c r="C1899" i="1"/>
  <c r="E1898" i="1"/>
  <c r="C1898" i="1"/>
  <c r="E1897" i="1"/>
  <c r="C1897" i="1"/>
  <c r="E1896" i="1"/>
  <c r="C1896" i="1"/>
  <c r="E1895" i="1"/>
  <c r="C1895" i="1"/>
  <c r="E1894" i="1"/>
  <c r="C1894" i="1"/>
  <c r="E1893" i="1"/>
  <c r="C1893" i="1"/>
  <c r="E1892" i="1"/>
  <c r="C1892" i="1"/>
  <c r="E1891" i="1"/>
  <c r="C1891" i="1"/>
  <c r="E1890" i="1"/>
  <c r="C1890" i="1"/>
  <c r="E1889" i="1"/>
  <c r="C1889" i="1"/>
  <c r="E1888" i="1"/>
  <c r="C1888" i="1"/>
  <c r="E1887" i="1"/>
  <c r="C1887" i="1"/>
  <c r="E1886" i="1"/>
  <c r="C1886" i="1"/>
  <c r="E1885" i="1"/>
  <c r="C1885" i="1"/>
  <c r="E1884" i="1"/>
  <c r="C1884" i="1"/>
  <c r="E1883" i="1"/>
  <c r="C1883" i="1"/>
  <c r="E1882" i="1"/>
  <c r="C1882" i="1"/>
  <c r="E1881" i="1"/>
  <c r="C1881" i="1"/>
  <c r="E1880" i="1"/>
  <c r="C1880" i="1"/>
  <c r="E1879" i="1"/>
  <c r="C1879" i="1"/>
  <c r="E1878" i="1"/>
  <c r="C1878" i="1"/>
  <c r="E1877" i="1"/>
  <c r="C1877" i="1"/>
  <c r="E1876" i="1"/>
  <c r="C1876" i="1"/>
  <c r="E1875" i="1"/>
  <c r="C1875" i="1"/>
  <c r="E1874" i="1"/>
  <c r="C1874" i="1"/>
  <c r="E1873" i="1"/>
  <c r="C1873" i="1"/>
  <c r="E1872" i="1"/>
  <c r="C1872" i="1"/>
  <c r="E1871" i="1"/>
  <c r="C1871" i="1"/>
  <c r="E1870" i="1"/>
  <c r="C1870" i="1"/>
  <c r="E1869" i="1"/>
  <c r="C1869" i="1"/>
  <c r="E1868" i="1"/>
  <c r="C1868" i="1"/>
  <c r="E1867" i="1"/>
  <c r="C1867" i="1"/>
  <c r="E1866" i="1"/>
  <c r="C1866" i="1"/>
  <c r="E1865" i="1"/>
  <c r="C1865" i="1"/>
  <c r="E1864" i="1"/>
  <c r="C1864" i="1"/>
  <c r="E1863" i="1"/>
  <c r="C1863" i="1"/>
  <c r="E1862" i="1"/>
  <c r="C1862" i="1"/>
  <c r="E1861" i="1"/>
  <c r="C1861" i="1"/>
  <c r="E1860" i="1"/>
  <c r="C1860" i="1"/>
  <c r="E1859" i="1"/>
  <c r="C1859" i="1"/>
  <c r="E1858" i="1"/>
  <c r="C1858" i="1"/>
  <c r="E1857" i="1"/>
  <c r="C1857" i="1"/>
  <c r="E1856" i="1"/>
  <c r="C1856" i="1"/>
  <c r="E1855" i="1"/>
  <c r="C1855" i="1"/>
  <c r="E1854" i="1"/>
  <c r="C1854" i="1"/>
  <c r="E1853" i="1"/>
  <c r="C1853" i="1"/>
  <c r="E1852" i="1"/>
  <c r="C1852" i="1"/>
  <c r="E1851" i="1"/>
  <c r="C1851" i="1"/>
  <c r="E1850" i="1"/>
  <c r="C1850" i="1"/>
  <c r="E1849" i="1"/>
  <c r="C1849" i="1"/>
  <c r="E1848" i="1"/>
  <c r="C1848" i="1"/>
  <c r="E1847" i="1"/>
  <c r="C1847" i="1"/>
  <c r="E1846" i="1"/>
  <c r="C1846" i="1"/>
  <c r="E1845" i="1"/>
  <c r="C1845" i="1"/>
  <c r="E1844" i="1"/>
  <c r="C1844" i="1"/>
  <c r="E1843" i="1"/>
  <c r="C1843" i="1"/>
  <c r="E1842" i="1"/>
  <c r="C1842" i="1"/>
  <c r="E1841" i="1"/>
  <c r="C1841" i="1"/>
  <c r="E1840" i="1"/>
  <c r="C1840" i="1"/>
  <c r="E1839" i="1"/>
  <c r="C1839" i="1"/>
  <c r="E1838" i="1"/>
  <c r="C1838" i="1"/>
  <c r="E1837" i="1"/>
  <c r="C1837" i="1"/>
  <c r="E1836" i="1"/>
  <c r="C1836" i="1"/>
  <c r="E1835" i="1"/>
  <c r="C1835" i="1"/>
  <c r="E1834" i="1"/>
  <c r="C1834" i="1"/>
  <c r="E1833" i="1"/>
  <c r="C1833" i="1"/>
  <c r="E1832" i="1"/>
  <c r="C1832" i="1"/>
  <c r="E1831" i="1"/>
  <c r="C1831" i="1"/>
  <c r="E1830" i="1"/>
  <c r="C1830" i="1"/>
  <c r="E1829" i="1"/>
  <c r="C1829" i="1"/>
  <c r="E1828" i="1"/>
  <c r="C1828" i="1"/>
  <c r="E1827" i="1"/>
  <c r="C1827" i="1"/>
  <c r="E1826" i="1"/>
  <c r="C1826" i="1"/>
  <c r="E1825" i="1"/>
  <c r="C1825" i="1"/>
  <c r="E1824" i="1"/>
  <c r="C1824" i="1"/>
  <c r="E1823" i="1"/>
  <c r="C1823" i="1"/>
  <c r="E1822" i="1"/>
  <c r="C1822" i="1"/>
  <c r="E1821" i="1"/>
  <c r="C1821" i="1"/>
  <c r="E1820" i="1"/>
  <c r="C1820" i="1"/>
  <c r="E1819" i="1"/>
  <c r="C1819" i="1"/>
  <c r="E1818" i="1"/>
  <c r="C1818" i="1"/>
  <c r="E1817" i="1"/>
  <c r="C1817" i="1"/>
  <c r="E1816" i="1"/>
  <c r="C1816" i="1"/>
  <c r="E1815" i="1"/>
  <c r="C1815" i="1"/>
  <c r="E1814" i="1"/>
  <c r="C1814" i="1"/>
  <c r="E1813" i="1"/>
  <c r="C1813" i="1"/>
  <c r="E1812" i="1"/>
  <c r="C1812" i="1"/>
  <c r="E1811" i="1"/>
  <c r="C1811" i="1"/>
  <c r="E1810" i="1"/>
  <c r="C1810" i="1"/>
  <c r="E1809" i="1"/>
  <c r="C1809" i="1"/>
  <c r="E1808" i="1"/>
  <c r="C1808" i="1"/>
  <c r="E1807" i="1"/>
  <c r="C1807" i="1"/>
  <c r="E1806" i="1"/>
  <c r="C1806" i="1"/>
  <c r="E1805" i="1"/>
  <c r="C1805" i="1"/>
  <c r="E1804" i="1"/>
  <c r="C1804" i="1"/>
  <c r="E1803" i="1"/>
  <c r="C1803" i="1"/>
  <c r="E1802" i="1"/>
  <c r="C1802" i="1"/>
  <c r="E1801" i="1"/>
  <c r="C1801" i="1"/>
  <c r="E1800" i="1"/>
  <c r="C1800" i="1"/>
  <c r="E1799" i="1"/>
  <c r="C1799" i="1"/>
  <c r="E1798" i="1"/>
  <c r="C1798" i="1"/>
  <c r="E1797" i="1"/>
  <c r="C1797" i="1"/>
  <c r="E1796" i="1"/>
  <c r="C1796" i="1"/>
  <c r="E1795" i="1"/>
  <c r="C1795" i="1"/>
  <c r="E1794" i="1"/>
  <c r="C1794" i="1"/>
  <c r="E1793" i="1"/>
  <c r="C1793" i="1"/>
  <c r="E1792" i="1"/>
  <c r="C1792" i="1"/>
  <c r="E1791" i="1"/>
  <c r="C1791" i="1"/>
  <c r="E1790" i="1"/>
  <c r="C1790" i="1"/>
  <c r="E1789" i="1"/>
  <c r="C1789" i="1"/>
  <c r="E1788" i="1"/>
  <c r="C1788" i="1"/>
  <c r="E1787" i="1"/>
  <c r="C1787" i="1"/>
  <c r="E1786" i="1"/>
  <c r="C1786" i="1"/>
  <c r="E1785" i="1"/>
  <c r="C1785" i="1"/>
  <c r="E1784" i="1"/>
  <c r="C1784" i="1"/>
  <c r="E1783" i="1"/>
  <c r="C1783" i="1"/>
  <c r="E1782" i="1"/>
  <c r="C1782" i="1"/>
  <c r="E1781" i="1"/>
  <c r="C1781" i="1"/>
  <c r="E1780" i="1"/>
  <c r="C1780" i="1"/>
  <c r="E1779" i="1"/>
  <c r="C1779" i="1"/>
  <c r="E1778" i="1"/>
  <c r="C1778" i="1"/>
  <c r="E1777" i="1"/>
  <c r="C1777" i="1"/>
  <c r="E1776" i="1"/>
  <c r="C1776" i="1"/>
  <c r="E1775" i="1"/>
  <c r="C1775" i="1"/>
  <c r="E1774" i="1"/>
  <c r="C1774" i="1"/>
  <c r="E1773" i="1"/>
  <c r="C1773" i="1"/>
  <c r="E1772" i="1"/>
  <c r="C1772" i="1"/>
  <c r="E1771" i="1"/>
  <c r="C1771" i="1"/>
  <c r="E1770" i="1"/>
  <c r="C1770" i="1"/>
  <c r="E1769" i="1"/>
  <c r="C1769" i="1"/>
  <c r="E1768" i="1"/>
  <c r="C1768" i="1"/>
  <c r="E1767" i="1"/>
  <c r="C1767" i="1"/>
  <c r="E1766" i="1"/>
  <c r="C1766" i="1"/>
  <c r="E1765" i="1"/>
  <c r="C1765" i="1"/>
  <c r="E1764" i="1"/>
  <c r="C1764" i="1"/>
  <c r="E1763" i="1"/>
  <c r="C1763" i="1"/>
  <c r="E1762" i="1"/>
  <c r="C1762" i="1"/>
  <c r="E1761" i="1"/>
  <c r="C1761" i="1"/>
  <c r="E1760" i="1"/>
  <c r="C1760" i="1"/>
  <c r="E1759" i="1"/>
  <c r="C1759" i="1"/>
  <c r="E1758" i="1"/>
  <c r="C1758" i="1"/>
  <c r="E1757" i="1"/>
  <c r="C1757" i="1"/>
  <c r="E1756" i="1"/>
  <c r="C1756" i="1"/>
  <c r="E1755" i="1"/>
  <c r="C1755" i="1"/>
  <c r="E1754" i="1"/>
  <c r="C1754" i="1"/>
  <c r="E1753" i="1"/>
  <c r="C1753" i="1"/>
  <c r="E1752" i="1"/>
  <c r="C1752" i="1"/>
  <c r="E1751" i="1"/>
  <c r="C1751" i="1"/>
  <c r="E1750" i="1"/>
  <c r="C1750" i="1"/>
  <c r="E1749" i="1"/>
  <c r="C1749" i="1"/>
  <c r="E1748" i="1"/>
  <c r="C1748" i="1"/>
  <c r="E1747" i="1"/>
  <c r="C1747" i="1"/>
  <c r="E1746" i="1"/>
  <c r="C1746" i="1"/>
  <c r="E1745" i="1"/>
  <c r="C1745" i="1"/>
  <c r="E1744" i="1"/>
  <c r="C1744" i="1"/>
  <c r="E1743" i="1"/>
  <c r="C1743" i="1"/>
  <c r="E1742" i="1"/>
  <c r="C1742" i="1"/>
  <c r="E1741" i="1"/>
  <c r="C1741" i="1"/>
  <c r="E1740" i="1"/>
  <c r="C1740" i="1"/>
  <c r="E1739" i="1"/>
  <c r="C1739" i="1"/>
  <c r="E1738" i="1"/>
  <c r="C1738" i="1"/>
  <c r="E1737" i="1"/>
  <c r="C1737" i="1"/>
  <c r="E1736" i="1"/>
  <c r="C1736" i="1"/>
  <c r="E1735" i="1"/>
  <c r="C1735" i="1"/>
  <c r="E1734" i="1"/>
  <c r="C1734" i="1"/>
  <c r="E1733" i="1"/>
  <c r="C1733" i="1"/>
  <c r="E1732" i="1"/>
  <c r="C1732" i="1"/>
  <c r="E1731" i="1"/>
  <c r="C1731" i="1"/>
  <c r="E1730" i="1"/>
  <c r="C1730" i="1"/>
  <c r="E1729" i="1"/>
  <c r="C1729" i="1"/>
  <c r="E1728" i="1"/>
  <c r="C1728" i="1"/>
  <c r="E1727" i="1"/>
  <c r="C1727" i="1"/>
  <c r="E1726" i="1"/>
  <c r="C1726" i="1"/>
  <c r="E1725" i="1"/>
  <c r="C1725" i="1"/>
  <c r="E1724" i="1"/>
  <c r="C1724" i="1"/>
  <c r="E1723" i="1"/>
  <c r="C1723" i="1"/>
  <c r="E1722" i="1"/>
  <c r="C1722" i="1"/>
  <c r="E1721" i="1"/>
  <c r="C1721" i="1"/>
  <c r="E1720" i="1"/>
  <c r="C1720" i="1"/>
  <c r="E1719" i="1"/>
  <c r="C1719" i="1"/>
  <c r="E1718" i="1"/>
  <c r="C1718" i="1"/>
  <c r="E1717" i="1"/>
  <c r="C1717" i="1"/>
  <c r="E1716" i="1"/>
  <c r="C1716" i="1"/>
  <c r="E1715" i="1"/>
  <c r="C1715" i="1"/>
  <c r="E1714" i="1"/>
  <c r="C1714" i="1"/>
  <c r="E1713" i="1"/>
  <c r="C1713" i="1"/>
  <c r="E1712" i="1"/>
  <c r="C1712" i="1"/>
  <c r="E1711" i="1"/>
  <c r="C1711" i="1"/>
  <c r="E1710" i="1"/>
  <c r="C1710" i="1"/>
  <c r="E1709" i="1"/>
  <c r="C1709" i="1"/>
  <c r="E1708" i="1"/>
  <c r="C1708" i="1"/>
  <c r="E1707" i="1"/>
  <c r="C1707" i="1"/>
  <c r="E1706" i="1"/>
  <c r="C1706" i="1"/>
  <c r="E1705" i="1"/>
  <c r="C1705" i="1"/>
  <c r="E1704" i="1"/>
  <c r="C1704" i="1"/>
  <c r="E1703" i="1"/>
  <c r="C1703" i="1"/>
  <c r="E1702" i="1"/>
  <c r="C1702" i="1"/>
  <c r="E1701" i="1"/>
  <c r="C1701" i="1"/>
  <c r="E1700" i="1"/>
  <c r="C1700" i="1"/>
  <c r="E1699" i="1"/>
  <c r="C1699" i="1"/>
  <c r="E1698" i="1"/>
  <c r="C1698" i="1"/>
  <c r="E1697" i="1"/>
  <c r="C1697" i="1"/>
  <c r="E1696" i="1"/>
  <c r="C1696" i="1"/>
  <c r="E1695" i="1"/>
  <c r="C1695" i="1"/>
  <c r="E1694" i="1"/>
  <c r="C1694" i="1"/>
  <c r="E1693" i="1"/>
  <c r="C1693" i="1"/>
  <c r="E1692" i="1"/>
  <c r="C1692" i="1"/>
  <c r="E1691" i="1"/>
  <c r="C1691" i="1"/>
  <c r="E1690" i="1"/>
  <c r="C1690" i="1"/>
  <c r="E1689" i="1"/>
  <c r="C1689" i="1"/>
  <c r="E1688" i="1"/>
  <c r="C1688" i="1"/>
  <c r="E1687" i="1"/>
  <c r="C1687" i="1"/>
  <c r="E1686" i="1"/>
  <c r="C1686" i="1"/>
  <c r="E1685" i="1"/>
  <c r="C1685" i="1"/>
  <c r="E1684" i="1"/>
  <c r="C1684" i="1"/>
  <c r="E1683" i="1"/>
  <c r="C1683" i="1"/>
  <c r="E1682" i="1"/>
  <c r="C1682" i="1"/>
  <c r="E1681" i="1"/>
  <c r="C1681" i="1"/>
  <c r="E1680" i="1"/>
  <c r="C1680" i="1"/>
  <c r="E1679" i="1"/>
  <c r="C1679" i="1"/>
  <c r="E1678" i="1"/>
  <c r="C1678" i="1"/>
  <c r="E1677" i="1"/>
  <c r="C1677" i="1"/>
  <c r="E1676" i="1"/>
  <c r="C1676" i="1"/>
  <c r="E1675" i="1"/>
  <c r="C1675" i="1"/>
  <c r="E1674" i="1"/>
  <c r="C1674" i="1"/>
  <c r="E1673" i="1"/>
  <c r="C1673" i="1"/>
  <c r="E1672" i="1"/>
  <c r="C1672" i="1"/>
  <c r="E1671" i="1"/>
  <c r="C1671" i="1"/>
  <c r="E1670" i="1"/>
  <c r="C1670" i="1"/>
  <c r="E1669" i="1"/>
  <c r="C1669" i="1"/>
  <c r="E1668" i="1"/>
  <c r="C1668" i="1"/>
  <c r="E1667" i="1"/>
  <c r="C1667" i="1"/>
  <c r="E1666" i="1"/>
  <c r="C1666" i="1"/>
  <c r="E1665" i="1"/>
  <c r="C1665" i="1"/>
  <c r="E1664" i="1"/>
  <c r="C1664" i="1"/>
  <c r="E1663" i="1"/>
  <c r="C1663" i="1"/>
  <c r="E1662" i="1"/>
  <c r="C1662" i="1"/>
  <c r="E1661" i="1"/>
  <c r="C1661" i="1"/>
  <c r="E1660" i="1"/>
  <c r="C1660" i="1"/>
  <c r="E1659" i="1"/>
  <c r="C1659" i="1"/>
  <c r="E1658" i="1"/>
  <c r="C1658" i="1"/>
  <c r="E1657" i="1"/>
  <c r="C1657" i="1"/>
  <c r="E1656" i="1"/>
  <c r="C1656" i="1"/>
  <c r="E1655" i="1"/>
  <c r="C1655" i="1"/>
  <c r="E1654" i="1"/>
  <c r="C1654" i="1"/>
  <c r="E1653" i="1"/>
  <c r="C1653" i="1"/>
  <c r="E1652" i="1"/>
  <c r="C1652" i="1"/>
  <c r="E1651" i="1"/>
  <c r="C1651" i="1"/>
  <c r="E1650" i="1"/>
  <c r="C1650" i="1"/>
  <c r="E1649" i="1"/>
  <c r="C1649" i="1"/>
  <c r="E1648" i="1"/>
  <c r="C1648" i="1"/>
  <c r="E1647" i="1"/>
  <c r="C1647" i="1"/>
  <c r="E1646" i="1"/>
  <c r="C1646" i="1"/>
  <c r="E1645" i="1"/>
  <c r="C1645" i="1"/>
  <c r="E1644" i="1"/>
  <c r="C1644" i="1"/>
  <c r="E1643" i="1"/>
  <c r="C1643" i="1"/>
  <c r="E1642" i="1"/>
  <c r="C1642" i="1"/>
  <c r="E1641" i="1"/>
  <c r="C1641" i="1"/>
  <c r="E1640" i="1"/>
  <c r="C1640" i="1"/>
  <c r="E1639" i="1"/>
  <c r="C1639" i="1"/>
  <c r="E1638" i="1"/>
  <c r="C1638" i="1"/>
  <c r="E1637" i="1"/>
  <c r="C1637" i="1"/>
  <c r="E1636" i="1"/>
  <c r="C1636" i="1"/>
  <c r="E1635" i="1"/>
  <c r="C1635" i="1"/>
  <c r="E1634" i="1"/>
  <c r="C1634" i="1"/>
  <c r="E1633" i="1"/>
  <c r="C1633" i="1"/>
  <c r="E1632" i="1"/>
  <c r="C1632" i="1"/>
  <c r="E1631" i="1"/>
  <c r="C1631" i="1"/>
  <c r="E1630" i="1"/>
  <c r="C1630" i="1"/>
  <c r="E1629" i="1"/>
  <c r="C1629" i="1"/>
  <c r="E1628" i="1"/>
  <c r="C1628" i="1"/>
  <c r="E1627" i="1"/>
  <c r="C1627" i="1"/>
  <c r="E1626" i="1"/>
  <c r="C1626" i="1"/>
  <c r="E1625" i="1"/>
  <c r="C1625" i="1"/>
  <c r="E1624" i="1"/>
  <c r="C1624" i="1"/>
  <c r="E1623" i="1"/>
  <c r="C1623" i="1"/>
  <c r="E1622" i="1"/>
  <c r="C1622" i="1"/>
  <c r="E1621" i="1"/>
  <c r="C1621" i="1"/>
  <c r="E1620" i="1"/>
  <c r="C1620" i="1"/>
  <c r="E1619" i="1"/>
  <c r="C1619" i="1"/>
  <c r="E1618" i="1"/>
  <c r="C1618" i="1"/>
  <c r="E1617" i="1"/>
  <c r="C1617" i="1"/>
  <c r="E1616" i="1"/>
  <c r="C1616" i="1"/>
  <c r="E1615" i="1"/>
  <c r="C1615" i="1"/>
  <c r="E1614" i="1"/>
  <c r="C1614" i="1"/>
  <c r="E1613" i="1"/>
  <c r="C1613" i="1"/>
  <c r="E1612" i="1"/>
  <c r="C1612" i="1"/>
  <c r="E1611" i="1"/>
  <c r="C1611" i="1"/>
  <c r="E1610" i="1"/>
  <c r="C1610" i="1"/>
  <c r="E1609" i="1"/>
  <c r="C1609" i="1"/>
  <c r="E1608" i="1"/>
  <c r="C1608" i="1"/>
  <c r="E1607" i="1"/>
  <c r="C1607" i="1"/>
  <c r="E1606" i="1"/>
  <c r="C1606" i="1"/>
  <c r="E1605" i="1"/>
  <c r="C1605" i="1"/>
  <c r="E1604" i="1"/>
  <c r="C1604" i="1"/>
  <c r="E1603" i="1"/>
  <c r="C1603" i="1"/>
  <c r="E1602" i="1"/>
  <c r="C1602" i="1"/>
  <c r="E1601" i="1"/>
  <c r="C1601" i="1"/>
  <c r="E1600" i="1"/>
  <c r="C1600" i="1"/>
  <c r="E1599" i="1"/>
  <c r="C1599" i="1"/>
  <c r="E1598" i="1"/>
  <c r="C1598" i="1"/>
  <c r="E1597" i="1"/>
  <c r="C1597" i="1"/>
  <c r="E1596" i="1"/>
  <c r="C1596" i="1"/>
  <c r="E1595" i="1"/>
  <c r="C1595" i="1"/>
  <c r="E1594" i="1"/>
  <c r="C1594" i="1"/>
  <c r="E1593" i="1"/>
  <c r="C1593" i="1"/>
  <c r="E1592" i="1"/>
  <c r="C1592" i="1"/>
  <c r="E1591" i="1"/>
  <c r="C1591" i="1"/>
  <c r="E1590" i="1"/>
  <c r="C1590" i="1"/>
  <c r="E1589" i="1"/>
  <c r="C1589" i="1"/>
  <c r="E1588" i="1"/>
  <c r="C1588" i="1"/>
  <c r="E1587" i="1"/>
  <c r="C1587" i="1"/>
  <c r="E1586" i="1"/>
  <c r="C1586" i="1"/>
  <c r="E1585" i="1"/>
  <c r="C1585" i="1"/>
  <c r="E1584" i="1"/>
  <c r="C1584" i="1"/>
  <c r="E1583" i="1"/>
  <c r="C1583" i="1"/>
  <c r="E1582" i="1"/>
  <c r="C1582" i="1"/>
  <c r="E1581" i="1"/>
  <c r="C1581" i="1"/>
  <c r="E1580" i="1"/>
  <c r="C1580" i="1"/>
  <c r="E1579" i="1"/>
  <c r="C1579" i="1"/>
  <c r="E1578" i="1"/>
  <c r="C1578" i="1"/>
  <c r="E1577" i="1"/>
  <c r="C1577" i="1"/>
  <c r="E1576" i="1"/>
  <c r="C1576" i="1"/>
  <c r="E1575" i="1"/>
  <c r="C1575" i="1"/>
  <c r="E1574" i="1"/>
  <c r="C1574" i="1"/>
  <c r="E1573" i="1"/>
  <c r="C1573" i="1"/>
  <c r="E1572" i="1"/>
  <c r="C1572" i="1"/>
  <c r="E1571" i="1"/>
  <c r="C1571" i="1"/>
  <c r="E1570" i="1"/>
  <c r="C1570" i="1"/>
  <c r="E1569" i="1"/>
  <c r="C1569" i="1"/>
  <c r="E1568" i="1"/>
  <c r="C1568" i="1"/>
  <c r="E1567" i="1"/>
  <c r="C1567" i="1"/>
  <c r="E1566" i="1"/>
  <c r="C1566" i="1"/>
  <c r="E1565" i="1"/>
  <c r="C1565" i="1"/>
  <c r="E1564" i="1"/>
  <c r="C1564" i="1"/>
  <c r="E1563" i="1"/>
  <c r="C1563" i="1"/>
  <c r="E1562" i="1"/>
  <c r="C1562" i="1"/>
  <c r="E1561" i="1"/>
  <c r="C1561" i="1"/>
  <c r="E1560" i="1"/>
  <c r="C1560" i="1"/>
  <c r="E1559" i="1"/>
  <c r="C1559" i="1"/>
  <c r="E1558" i="1"/>
  <c r="C1558" i="1"/>
  <c r="E1557" i="1"/>
  <c r="C1557" i="1"/>
  <c r="E1556" i="1"/>
  <c r="C1556" i="1"/>
  <c r="E1555" i="1"/>
  <c r="C1555" i="1"/>
  <c r="E1554" i="1"/>
  <c r="C1554" i="1"/>
  <c r="E1553" i="1"/>
  <c r="C1553" i="1"/>
  <c r="E1552" i="1"/>
  <c r="C1552" i="1"/>
  <c r="E1551" i="1"/>
  <c r="C1551" i="1"/>
  <c r="E1550" i="1"/>
  <c r="C1550" i="1"/>
  <c r="E1549" i="1"/>
  <c r="C1549" i="1"/>
  <c r="E1548" i="1"/>
  <c r="C1548" i="1"/>
  <c r="E1547" i="1"/>
  <c r="C1547" i="1"/>
  <c r="E1546" i="1"/>
  <c r="C1546" i="1"/>
  <c r="E1545" i="1"/>
  <c r="C1545" i="1"/>
  <c r="E1544" i="1"/>
  <c r="C1544" i="1"/>
  <c r="E1543" i="1"/>
  <c r="C1543" i="1"/>
  <c r="E1542" i="1"/>
  <c r="C1542" i="1"/>
  <c r="E1541" i="1"/>
  <c r="C1541" i="1"/>
  <c r="E1540" i="1"/>
  <c r="C1540" i="1"/>
  <c r="E1539" i="1"/>
  <c r="C1539" i="1"/>
  <c r="E1538" i="1"/>
  <c r="C1538" i="1"/>
  <c r="E1537" i="1"/>
  <c r="C1537" i="1"/>
  <c r="E1536" i="1"/>
  <c r="C1536" i="1"/>
  <c r="E1535" i="1"/>
  <c r="C1535" i="1"/>
  <c r="E1534" i="1"/>
  <c r="C1534" i="1"/>
  <c r="E1533" i="1"/>
  <c r="C1533" i="1"/>
  <c r="E1532" i="1"/>
  <c r="C1532" i="1"/>
  <c r="E1531" i="1"/>
  <c r="C1531" i="1"/>
  <c r="E1530" i="1"/>
  <c r="C1530" i="1"/>
  <c r="E1529" i="1"/>
  <c r="C1529" i="1"/>
  <c r="E1528" i="1"/>
  <c r="C1528" i="1"/>
  <c r="E1527" i="1"/>
  <c r="C1527" i="1"/>
  <c r="E1526" i="1"/>
  <c r="C1526" i="1"/>
  <c r="E1525" i="1"/>
  <c r="C1525" i="1"/>
  <c r="E1524" i="1"/>
  <c r="C1524" i="1"/>
  <c r="E1523" i="1"/>
  <c r="C1523" i="1"/>
  <c r="E1522" i="1"/>
  <c r="C1522" i="1"/>
  <c r="E1521" i="1"/>
  <c r="C1521" i="1"/>
  <c r="E1520" i="1"/>
  <c r="C1520" i="1"/>
  <c r="E1519" i="1"/>
  <c r="C1519" i="1"/>
  <c r="E1518" i="1"/>
  <c r="C1518" i="1"/>
  <c r="E1517" i="1"/>
  <c r="C1517" i="1"/>
  <c r="E1516" i="1"/>
  <c r="C1516" i="1"/>
  <c r="E1515" i="1"/>
  <c r="C1515" i="1"/>
  <c r="E1514" i="1"/>
  <c r="C1514" i="1"/>
  <c r="E1513" i="1"/>
  <c r="C1513" i="1"/>
  <c r="E1512" i="1"/>
  <c r="C1512" i="1"/>
  <c r="E1511" i="1"/>
  <c r="C1511" i="1"/>
  <c r="E1510" i="1"/>
  <c r="C1510" i="1"/>
  <c r="E1509" i="1"/>
  <c r="C1509" i="1"/>
  <c r="E1508" i="1"/>
  <c r="C1508" i="1"/>
  <c r="E1507" i="1"/>
  <c r="C1507" i="1"/>
  <c r="E1506" i="1"/>
  <c r="C1506" i="1"/>
  <c r="E1505" i="1"/>
  <c r="C1505" i="1"/>
  <c r="E1504" i="1"/>
  <c r="C1504" i="1"/>
  <c r="E1503" i="1"/>
  <c r="C1503" i="1"/>
  <c r="E1502" i="1"/>
  <c r="C1502" i="1"/>
  <c r="E1501" i="1"/>
  <c r="C1501" i="1"/>
  <c r="E1500" i="1"/>
  <c r="C1500" i="1"/>
  <c r="E1499" i="1"/>
  <c r="C1499" i="1"/>
  <c r="E1498" i="1"/>
  <c r="C1498" i="1"/>
  <c r="E1497" i="1"/>
  <c r="C1497" i="1"/>
  <c r="E1496" i="1"/>
  <c r="C1496" i="1"/>
  <c r="E1495" i="1"/>
  <c r="C1495" i="1"/>
  <c r="E1494" i="1"/>
  <c r="C1494" i="1"/>
  <c r="E1493" i="1"/>
  <c r="C1493" i="1"/>
  <c r="E1492" i="1"/>
  <c r="C1492" i="1"/>
  <c r="E1491" i="1"/>
  <c r="C1491" i="1"/>
  <c r="E1490" i="1"/>
  <c r="C1490" i="1"/>
  <c r="E1489" i="1"/>
  <c r="C1489" i="1"/>
  <c r="E1488" i="1"/>
  <c r="C1488" i="1"/>
  <c r="E1487" i="1"/>
  <c r="C1487" i="1"/>
  <c r="E1486" i="1"/>
  <c r="C1486" i="1"/>
  <c r="E1485" i="1"/>
  <c r="C1485" i="1"/>
  <c r="E1484" i="1"/>
  <c r="C1484" i="1"/>
  <c r="E1483" i="1"/>
  <c r="C1483" i="1"/>
  <c r="E1482" i="1"/>
  <c r="C1482" i="1"/>
  <c r="E1481" i="1"/>
  <c r="C1481" i="1"/>
  <c r="E1480" i="1"/>
  <c r="C1480" i="1"/>
  <c r="E1479" i="1"/>
  <c r="C1479" i="1"/>
  <c r="E1478" i="1"/>
  <c r="C1478" i="1"/>
  <c r="E1477" i="1"/>
  <c r="C1477" i="1"/>
  <c r="E1476" i="1"/>
  <c r="C1476" i="1"/>
  <c r="E1475" i="1"/>
  <c r="C1475" i="1"/>
  <c r="E1474" i="1"/>
  <c r="C1474" i="1"/>
  <c r="E1473" i="1"/>
  <c r="C1473" i="1"/>
  <c r="E1472" i="1"/>
  <c r="C1472" i="1"/>
  <c r="E1471" i="1"/>
  <c r="C1471" i="1"/>
  <c r="E1470" i="1"/>
  <c r="C1470" i="1"/>
  <c r="E1469" i="1"/>
  <c r="C1469" i="1"/>
  <c r="E1468" i="1"/>
  <c r="C1468" i="1"/>
  <c r="E1467" i="1"/>
  <c r="C1467" i="1"/>
  <c r="E1466" i="1"/>
  <c r="C1466" i="1"/>
  <c r="E1465" i="1"/>
  <c r="C1465" i="1"/>
  <c r="E1464" i="1"/>
  <c r="C1464" i="1"/>
  <c r="E1463" i="1"/>
  <c r="C1463" i="1"/>
  <c r="E1462" i="1"/>
  <c r="C1462" i="1"/>
  <c r="E1461" i="1"/>
  <c r="C1461" i="1"/>
  <c r="E1460" i="1"/>
  <c r="C1460" i="1"/>
  <c r="E1459" i="1"/>
  <c r="C1459" i="1"/>
  <c r="E1458" i="1"/>
  <c r="C1458" i="1"/>
  <c r="E1457" i="1"/>
  <c r="C1457" i="1"/>
  <c r="E1456" i="1"/>
  <c r="C1456" i="1"/>
  <c r="E1455" i="1"/>
  <c r="C1455" i="1"/>
  <c r="E1454" i="1"/>
  <c r="C1454" i="1"/>
  <c r="E1453" i="1"/>
  <c r="C1453" i="1"/>
  <c r="E1452" i="1"/>
  <c r="C1452" i="1"/>
  <c r="E1451" i="1"/>
  <c r="C1451" i="1"/>
  <c r="E1450" i="1"/>
  <c r="C1450" i="1"/>
  <c r="E1449" i="1"/>
  <c r="C1449" i="1"/>
  <c r="E1448" i="1"/>
  <c r="C1448" i="1"/>
  <c r="E1447" i="1"/>
  <c r="C1447" i="1"/>
  <c r="E1446" i="1"/>
  <c r="C1446" i="1"/>
  <c r="E1445" i="1"/>
  <c r="C1445" i="1"/>
  <c r="E1444" i="1"/>
  <c r="C1444" i="1"/>
  <c r="E1443" i="1"/>
  <c r="C1443" i="1"/>
  <c r="E1442" i="1"/>
  <c r="C1442" i="1"/>
  <c r="E1441" i="1"/>
  <c r="C1441" i="1"/>
  <c r="E1440" i="1"/>
  <c r="C1440" i="1"/>
  <c r="E1439" i="1"/>
  <c r="C1439" i="1"/>
  <c r="E1438" i="1"/>
  <c r="C1438" i="1"/>
  <c r="E1437" i="1"/>
  <c r="C1437" i="1"/>
  <c r="E1436" i="1"/>
  <c r="C1436" i="1"/>
  <c r="E1435" i="1"/>
  <c r="C1435" i="1"/>
  <c r="E1434" i="1"/>
  <c r="C1434" i="1"/>
  <c r="E1433" i="1"/>
  <c r="C1433" i="1"/>
  <c r="E1432" i="1"/>
  <c r="C1432" i="1"/>
  <c r="E1431" i="1"/>
  <c r="C1431" i="1"/>
  <c r="E1430" i="1"/>
  <c r="C1430" i="1"/>
  <c r="E1429" i="1"/>
  <c r="C1429" i="1"/>
  <c r="E1428" i="1"/>
  <c r="C1428" i="1"/>
  <c r="E1427" i="1"/>
  <c r="C1427" i="1"/>
  <c r="E1426" i="1"/>
  <c r="C1426" i="1"/>
  <c r="E1425" i="1"/>
  <c r="C1425" i="1"/>
  <c r="E1424" i="1"/>
  <c r="C1424" i="1"/>
  <c r="E1423" i="1"/>
  <c r="C1423" i="1"/>
  <c r="E1422" i="1"/>
  <c r="C1422" i="1"/>
  <c r="E1421" i="1"/>
  <c r="C1421" i="1"/>
  <c r="E1420" i="1"/>
  <c r="C1420" i="1"/>
  <c r="E1419" i="1"/>
  <c r="C1419" i="1"/>
  <c r="E1418" i="1"/>
  <c r="C1418" i="1"/>
  <c r="E1417" i="1"/>
  <c r="C1417" i="1"/>
  <c r="E1416" i="1"/>
  <c r="C1416" i="1"/>
  <c r="E1415" i="1"/>
  <c r="C1415" i="1"/>
  <c r="E1414" i="1"/>
  <c r="C1414" i="1"/>
  <c r="E1413" i="1"/>
  <c r="C1413" i="1"/>
  <c r="E1412" i="1"/>
  <c r="C1412" i="1"/>
  <c r="E1411" i="1"/>
  <c r="C1411" i="1"/>
  <c r="E1410" i="1"/>
  <c r="C1410" i="1"/>
  <c r="E1409" i="1"/>
  <c r="C1409" i="1"/>
  <c r="E1408" i="1"/>
  <c r="C1408" i="1"/>
  <c r="E1407" i="1"/>
  <c r="C1407" i="1"/>
  <c r="E1406" i="1"/>
  <c r="C1406" i="1"/>
  <c r="E1405" i="1"/>
  <c r="C1405" i="1"/>
  <c r="E1404" i="1"/>
  <c r="C1404" i="1"/>
  <c r="E1403" i="1"/>
  <c r="C1403" i="1"/>
  <c r="E1402" i="1"/>
  <c r="C1402" i="1"/>
  <c r="E1401" i="1"/>
  <c r="C1401" i="1"/>
  <c r="E1400" i="1"/>
  <c r="C1400" i="1"/>
  <c r="E1399" i="1"/>
  <c r="C1399" i="1"/>
  <c r="E1398" i="1"/>
  <c r="C1398" i="1"/>
  <c r="E1397" i="1"/>
  <c r="C1397" i="1"/>
  <c r="E1396" i="1"/>
  <c r="C1396" i="1"/>
  <c r="E1395" i="1"/>
  <c r="C1395" i="1"/>
  <c r="E1394" i="1"/>
  <c r="C1394" i="1"/>
  <c r="E1393" i="1"/>
  <c r="C1393" i="1"/>
  <c r="E1392" i="1"/>
  <c r="C1392" i="1"/>
  <c r="E1391" i="1"/>
  <c r="C1391" i="1"/>
  <c r="E1390" i="1"/>
  <c r="C1390" i="1"/>
  <c r="E1389" i="1"/>
  <c r="C1389" i="1"/>
  <c r="E1388" i="1"/>
  <c r="C1388" i="1"/>
  <c r="E1387" i="1"/>
  <c r="C1387" i="1"/>
  <c r="E1386" i="1"/>
  <c r="C1386" i="1"/>
  <c r="E1385" i="1"/>
  <c r="C1385" i="1"/>
  <c r="E1384" i="1"/>
  <c r="C1384" i="1"/>
  <c r="E1383" i="1"/>
  <c r="C1383" i="1"/>
  <c r="E1382" i="1"/>
  <c r="C1382" i="1"/>
  <c r="E1381" i="1"/>
  <c r="C1381" i="1"/>
  <c r="E1380" i="1"/>
  <c r="C1380" i="1"/>
  <c r="E1379" i="1"/>
  <c r="C1379" i="1"/>
  <c r="E1378" i="1"/>
  <c r="C1378" i="1"/>
  <c r="E1377" i="1"/>
  <c r="C1377" i="1"/>
  <c r="E1376" i="1"/>
  <c r="C1376" i="1"/>
  <c r="E1375" i="1"/>
  <c r="C1375" i="1"/>
  <c r="E1374" i="1"/>
  <c r="C1374" i="1"/>
  <c r="E1373" i="1"/>
  <c r="C1373" i="1"/>
  <c r="E1372" i="1"/>
  <c r="C1372" i="1"/>
  <c r="E1371" i="1"/>
  <c r="C1371" i="1"/>
  <c r="E1370" i="1"/>
  <c r="C1370" i="1"/>
  <c r="E1369" i="1"/>
  <c r="C1369" i="1"/>
  <c r="E1368" i="1"/>
  <c r="C1368" i="1"/>
  <c r="E1367" i="1"/>
  <c r="C1367" i="1"/>
  <c r="E1366" i="1"/>
  <c r="C1366" i="1"/>
  <c r="E1365" i="1"/>
  <c r="C1365" i="1"/>
  <c r="E1364" i="1"/>
  <c r="C1364" i="1"/>
  <c r="E1363" i="1"/>
  <c r="C1363" i="1"/>
  <c r="E1362" i="1"/>
  <c r="C1362" i="1"/>
  <c r="E1361" i="1"/>
  <c r="C1361" i="1"/>
  <c r="E1360" i="1"/>
  <c r="C1360" i="1"/>
  <c r="E1359" i="1"/>
  <c r="C1359" i="1"/>
  <c r="E1358" i="1"/>
  <c r="C1358" i="1"/>
  <c r="E1357" i="1"/>
  <c r="C1357" i="1"/>
  <c r="E1356" i="1"/>
  <c r="C1356" i="1"/>
  <c r="E1355" i="1"/>
  <c r="C1355" i="1"/>
  <c r="E1354" i="1"/>
  <c r="C1354" i="1"/>
  <c r="E1353" i="1"/>
  <c r="C1353" i="1"/>
  <c r="E1352" i="1"/>
  <c r="C1352" i="1"/>
  <c r="E1351" i="1"/>
  <c r="C1351" i="1"/>
  <c r="E1350" i="1"/>
  <c r="C1350" i="1"/>
  <c r="E1349" i="1"/>
  <c r="C1349" i="1"/>
  <c r="E1348" i="1"/>
  <c r="C1348" i="1"/>
  <c r="E1347" i="1"/>
  <c r="C1347" i="1"/>
  <c r="E1346" i="1"/>
  <c r="C1346" i="1"/>
  <c r="E1345" i="1"/>
  <c r="C1345" i="1"/>
  <c r="E1344" i="1"/>
  <c r="C1344" i="1"/>
  <c r="E1343" i="1"/>
  <c r="C1343" i="1"/>
  <c r="E1342" i="1"/>
  <c r="C1342" i="1"/>
  <c r="E1341" i="1"/>
  <c r="C1341" i="1"/>
  <c r="E1340" i="1"/>
  <c r="C1340" i="1"/>
  <c r="E1339" i="1"/>
  <c r="C1339" i="1"/>
  <c r="E1338" i="1"/>
  <c r="C1338" i="1"/>
  <c r="E1337" i="1"/>
  <c r="C1337" i="1"/>
  <c r="E1336" i="1"/>
  <c r="C1336" i="1"/>
  <c r="E1335" i="1"/>
  <c r="E1334" i="1"/>
  <c r="C1334" i="1"/>
  <c r="E1333" i="1"/>
  <c r="C1333" i="1"/>
  <c r="E1332" i="1"/>
  <c r="C1332" i="1"/>
  <c r="E1331" i="1"/>
  <c r="C1331" i="1"/>
  <c r="E1330" i="1"/>
  <c r="C1330" i="1"/>
  <c r="E1329" i="1"/>
  <c r="C1329" i="1"/>
  <c r="E1328" i="1"/>
  <c r="C1328" i="1"/>
  <c r="E1327" i="1"/>
  <c r="C1327" i="1"/>
  <c r="E1326" i="1"/>
  <c r="C1326" i="1"/>
  <c r="E1325" i="1"/>
  <c r="C1325" i="1"/>
  <c r="E1324" i="1"/>
  <c r="C1324" i="1"/>
  <c r="E1323" i="1"/>
  <c r="C1323" i="1"/>
  <c r="E1322" i="1"/>
  <c r="C1322" i="1"/>
  <c r="E1321" i="1"/>
  <c r="C1321" i="1"/>
  <c r="E1320" i="1"/>
  <c r="C1320" i="1"/>
  <c r="E1319" i="1"/>
  <c r="C1319" i="1"/>
  <c r="E1318" i="1"/>
  <c r="C1318" i="1"/>
  <c r="E1317" i="1"/>
  <c r="C1317" i="1"/>
  <c r="E1316" i="1"/>
  <c r="C1316" i="1"/>
  <c r="E1315" i="1"/>
  <c r="C1315" i="1"/>
  <c r="E1314" i="1"/>
  <c r="C1314" i="1"/>
  <c r="E1313" i="1"/>
  <c r="C1313" i="1"/>
  <c r="E1312" i="1"/>
  <c r="C1312" i="1"/>
  <c r="E1311" i="1"/>
  <c r="C1311" i="1"/>
  <c r="E1310" i="1"/>
  <c r="C1310" i="1"/>
  <c r="E1309" i="1"/>
  <c r="C1309" i="1"/>
  <c r="E1308" i="1"/>
  <c r="C1308" i="1"/>
  <c r="E1307" i="1"/>
  <c r="C1307" i="1"/>
  <c r="E1306" i="1"/>
  <c r="C1306" i="1"/>
  <c r="E1305" i="1"/>
  <c r="C1305" i="1"/>
  <c r="E1304" i="1"/>
  <c r="C1304" i="1"/>
  <c r="E1303" i="1"/>
  <c r="C1303" i="1"/>
  <c r="E1302" i="1"/>
  <c r="C1302" i="1"/>
  <c r="E1301" i="1"/>
  <c r="C1301" i="1"/>
  <c r="E1300" i="1"/>
  <c r="C1300" i="1"/>
  <c r="E1299" i="1"/>
  <c r="C1299" i="1"/>
  <c r="E1298" i="1"/>
  <c r="C1298" i="1"/>
  <c r="E1297" i="1"/>
  <c r="C1297" i="1"/>
  <c r="E1296" i="1"/>
  <c r="C1296" i="1"/>
  <c r="E1295" i="1"/>
  <c r="C1295" i="1"/>
  <c r="E1294" i="1"/>
  <c r="C1294" i="1"/>
  <c r="E1293" i="1"/>
  <c r="C1293" i="1"/>
  <c r="E1292" i="1"/>
  <c r="C1292" i="1"/>
  <c r="E1291" i="1"/>
  <c r="C1291" i="1"/>
  <c r="E1290" i="1"/>
  <c r="C1290" i="1"/>
  <c r="E1289" i="1"/>
  <c r="C1289" i="1"/>
  <c r="E1288" i="1"/>
  <c r="C1288" i="1"/>
  <c r="E1287" i="1"/>
  <c r="C1287" i="1"/>
  <c r="E1286" i="1"/>
  <c r="C1286" i="1"/>
  <c r="E1285" i="1"/>
  <c r="C1285" i="1"/>
  <c r="E1284" i="1"/>
  <c r="C1284" i="1"/>
  <c r="E1283" i="1"/>
  <c r="C1283" i="1"/>
  <c r="E1282" i="1"/>
  <c r="C1282" i="1"/>
  <c r="E1281" i="1"/>
  <c r="C1281" i="1"/>
  <c r="E1280" i="1"/>
  <c r="C1280" i="1"/>
  <c r="E1279" i="1"/>
  <c r="C1279" i="1"/>
  <c r="E1278" i="1"/>
  <c r="C1278" i="1"/>
  <c r="E1277" i="1"/>
  <c r="C1277" i="1"/>
  <c r="E1276" i="1"/>
  <c r="C1276" i="1"/>
  <c r="E1275" i="1"/>
  <c r="C1275" i="1"/>
  <c r="E1274" i="1"/>
  <c r="C1274" i="1"/>
  <c r="E1273" i="1"/>
  <c r="C1273" i="1"/>
  <c r="E1272" i="1"/>
  <c r="C1272" i="1"/>
  <c r="E1271" i="1"/>
  <c r="C1271" i="1"/>
  <c r="E1270" i="1"/>
  <c r="C1270" i="1"/>
  <c r="E1269" i="1"/>
  <c r="C1269" i="1"/>
  <c r="E1268" i="1"/>
  <c r="C1268" i="1"/>
  <c r="E1267" i="1"/>
  <c r="C1267" i="1"/>
  <c r="E1266" i="1"/>
  <c r="C1266" i="1"/>
  <c r="E1265" i="1"/>
  <c r="C1265" i="1"/>
  <c r="E1264" i="1"/>
  <c r="C1264" i="1"/>
  <c r="E1263" i="1"/>
  <c r="C1263" i="1"/>
  <c r="E1262" i="1"/>
  <c r="C1262" i="1"/>
  <c r="E1261" i="1"/>
  <c r="C1261" i="1"/>
  <c r="E1260" i="1"/>
  <c r="C1260" i="1"/>
  <c r="E1259" i="1"/>
  <c r="C1259" i="1"/>
  <c r="E1258" i="1"/>
  <c r="C1258" i="1"/>
  <c r="E1257" i="1"/>
  <c r="C1257" i="1"/>
  <c r="E1256" i="1"/>
  <c r="C1256" i="1"/>
  <c r="E1255" i="1"/>
  <c r="C1255" i="1"/>
  <c r="E1254" i="1"/>
  <c r="C1254" i="1"/>
  <c r="E1253" i="1"/>
  <c r="C1253" i="1"/>
  <c r="E1252" i="1"/>
  <c r="C1252" i="1"/>
  <c r="E1251" i="1"/>
  <c r="C1251" i="1"/>
  <c r="E1250" i="1"/>
  <c r="C1250" i="1"/>
  <c r="E1249" i="1"/>
  <c r="C1249" i="1"/>
  <c r="E1248" i="1"/>
  <c r="C1248" i="1"/>
  <c r="E1247" i="1"/>
  <c r="C1247" i="1"/>
  <c r="E1246" i="1"/>
  <c r="C1246" i="1"/>
  <c r="E1245" i="1"/>
  <c r="C1245" i="1"/>
  <c r="E1244" i="1"/>
  <c r="C1244" i="1"/>
  <c r="E1243" i="1"/>
  <c r="C1243" i="1"/>
  <c r="E1242" i="1"/>
  <c r="C1242" i="1"/>
  <c r="E1241" i="1"/>
  <c r="C1241" i="1"/>
  <c r="E1240" i="1"/>
  <c r="C1240" i="1"/>
  <c r="E1239" i="1"/>
  <c r="C1239" i="1"/>
  <c r="E1238" i="1"/>
  <c r="C1238" i="1"/>
  <c r="E1237" i="1"/>
  <c r="C1237" i="1"/>
  <c r="E1236" i="1"/>
  <c r="C1236" i="1"/>
  <c r="E1235" i="1"/>
  <c r="C1235" i="1"/>
  <c r="E1234" i="1"/>
  <c r="C1234" i="1"/>
  <c r="E1233" i="1"/>
  <c r="C1233" i="1"/>
  <c r="E1232" i="1"/>
  <c r="C1232" i="1"/>
  <c r="E1231" i="1"/>
  <c r="C1231" i="1"/>
  <c r="E1230" i="1"/>
  <c r="C1230" i="1"/>
  <c r="E1229" i="1"/>
  <c r="C1229" i="1"/>
  <c r="E1228" i="1"/>
  <c r="C1228" i="1"/>
  <c r="E1227" i="1"/>
  <c r="C1227" i="1"/>
  <c r="E1226" i="1"/>
  <c r="C1226" i="1"/>
  <c r="E1225" i="1"/>
  <c r="C1225" i="1"/>
  <c r="E1224" i="1"/>
  <c r="C1224" i="1"/>
  <c r="E1223" i="1"/>
  <c r="C1223" i="1"/>
  <c r="E1222" i="1"/>
  <c r="C1222" i="1"/>
  <c r="E1221" i="1"/>
  <c r="C1221" i="1"/>
  <c r="E1220" i="1"/>
  <c r="C1220" i="1"/>
  <c r="E1219" i="1"/>
  <c r="C1219" i="1"/>
  <c r="E1218" i="1"/>
  <c r="C1218" i="1"/>
  <c r="E1217" i="1"/>
  <c r="C1217" i="1"/>
  <c r="E1216" i="1"/>
  <c r="C1216" i="1"/>
  <c r="E1215" i="1"/>
  <c r="C1215" i="1"/>
  <c r="E1214" i="1"/>
  <c r="C1214" i="1"/>
  <c r="E1213" i="1"/>
  <c r="C1213" i="1"/>
  <c r="E1212" i="1"/>
  <c r="C1212" i="1"/>
  <c r="E1211" i="1"/>
  <c r="C1211" i="1"/>
  <c r="E1210" i="1"/>
  <c r="C1210" i="1"/>
  <c r="E1209" i="1"/>
  <c r="C1209" i="1"/>
  <c r="E1208" i="1"/>
  <c r="C1208" i="1"/>
  <c r="E1207" i="1"/>
  <c r="C1207" i="1"/>
  <c r="E1206" i="1"/>
  <c r="C1206" i="1"/>
  <c r="E1205" i="1"/>
  <c r="C1205" i="1"/>
  <c r="E1204" i="1"/>
  <c r="C1204" i="1"/>
  <c r="E1203" i="1"/>
  <c r="C1203" i="1"/>
  <c r="E1202" i="1"/>
  <c r="C1202" i="1"/>
  <c r="E1201" i="1"/>
  <c r="C1201" i="1"/>
  <c r="E1200" i="1"/>
  <c r="C1200" i="1"/>
  <c r="E1199" i="1"/>
  <c r="C1199" i="1"/>
  <c r="E1198" i="1"/>
  <c r="C1198" i="1"/>
  <c r="E1197" i="1"/>
  <c r="C1197" i="1"/>
  <c r="E1196" i="1"/>
  <c r="C1196" i="1"/>
  <c r="E1195" i="1"/>
  <c r="C1195" i="1"/>
  <c r="E1194" i="1"/>
  <c r="C1194" i="1"/>
  <c r="E1193" i="1"/>
  <c r="C1193" i="1"/>
  <c r="E1192" i="1"/>
  <c r="C1192" i="1"/>
  <c r="E1191" i="1"/>
  <c r="C1191" i="1"/>
  <c r="E1190" i="1"/>
  <c r="C1190" i="1"/>
  <c r="E1189" i="1"/>
  <c r="C1189" i="1"/>
  <c r="E1188" i="1"/>
  <c r="C1188" i="1"/>
  <c r="E1187" i="1"/>
  <c r="C1187" i="1"/>
  <c r="E1186" i="1"/>
  <c r="C1186" i="1"/>
  <c r="E1185" i="1"/>
  <c r="C1185" i="1"/>
  <c r="E1184" i="1"/>
  <c r="C1184" i="1"/>
  <c r="E1183" i="1"/>
  <c r="C1183" i="1"/>
  <c r="E1182" i="1"/>
  <c r="C1182" i="1"/>
  <c r="E1181" i="1"/>
  <c r="C1181" i="1"/>
  <c r="E1180" i="1"/>
  <c r="C1180" i="1"/>
  <c r="E1179" i="1"/>
  <c r="C1179" i="1"/>
  <c r="E1178" i="1"/>
  <c r="C1178" i="1"/>
  <c r="E1177" i="1"/>
  <c r="C1177" i="1"/>
  <c r="E1176" i="1"/>
  <c r="C1176" i="1"/>
  <c r="E1175" i="1"/>
  <c r="C1175" i="1"/>
  <c r="E1174" i="1"/>
  <c r="C1174" i="1"/>
  <c r="E1173" i="1"/>
  <c r="C1173" i="1"/>
  <c r="E1172" i="1"/>
  <c r="C1172" i="1"/>
  <c r="E1171" i="1"/>
  <c r="C1171" i="1"/>
  <c r="E1170" i="1"/>
  <c r="C1170" i="1"/>
  <c r="E1169" i="1"/>
  <c r="C1169" i="1"/>
  <c r="E1168" i="1"/>
  <c r="C1168" i="1"/>
  <c r="E1167" i="1"/>
  <c r="C1167" i="1"/>
  <c r="E1166" i="1"/>
  <c r="C1166" i="1"/>
  <c r="E1165" i="1"/>
  <c r="C1165" i="1"/>
  <c r="E1164" i="1"/>
  <c r="C1164" i="1"/>
  <c r="E1163" i="1"/>
  <c r="C1163" i="1"/>
  <c r="E1162" i="1"/>
  <c r="C1162" i="1"/>
  <c r="E1161" i="1"/>
  <c r="C1161" i="1"/>
  <c r="E1160" i="1"/>
  <c r="C1160" i="1"/>
  <c r="E1159" i="1"/>
  <c r="C1159" i="1"/>
  <c r="E1158" i="1"/>
  <c r="C1158" i="1"/>
  <c r="E1157" i="1"/>
  <c r="C1157" i="1"/>
  <c r="E1156" i="1"/>
  <c r="C1156" i="1"/>
  <c r="E1155" i="1"/>
  <c r="C1155" i="1"/>
  <c r="E1154" i="1"/>
  <c r="C1154" i="1"/>
  <c r="E1153" i="1"/>
  <c r="C1153" i="1"/>
  <c r="E1152" i="1"/>
  <c r="C1152" i="1"/>
  <c r="E1151" i="1"/>
  <c r="C1151" i="1"/>
  <c r="E1150" i="1"/>
  <c r="C1150" i="1"/>
  <c r="E1149" i="1"/>
  <c r="C1149" i="1"/>
  <c r="E1148" i="1"/>
  <c r="C1148" i="1"/>
  <c r="E1147" i="1"/>
  <c r="C1147" i="1"/>
  <c r="E1146" i="1"/>
  <c r="C1146" i="1"/>
  <c r="E1145" i="1"/>
  <c r="C1145" i="1"/>
  <c r="E1144" i="1"/>
  <c r="C1144" i="1"/>
  <c r="E1143" i="1"/>
  <c r="C1143" i="1"/>
  <c r="E1142" i="1"/>
  <c r="C1142" i="1"/>
  <c r="E1141" i="1"/>
  <c r="C1141" i="1"/>
  <c r="E1140" i="1"/>
  <c r="C1140" i="1"/>
  <c r="E1139" i="1"/>
  <c r="C1139" i="1"/>
  <c r="E1138" i="1"/>
  <c r="C1138" i="1"/>
  <c r="E1137" i="1"/>
  <c r="C1137" i="1"/>
  <c r="E1136" i="1"/>
  <c r="C1136" i="1"/>
  <c r="E1135" i="1"/>
  <c r="C1135" i="1"/>
  <c r="E1134" i="1"/>
  <c r="C1134" i="1"/>
  <c r="E1133" i="1"/>
  <c r="C1133" i="1"/>
  <c r="E1132" i="1"/>
  <c r="C1132" i="1"/>
  <c r="E1131" i="1"/>
  <c r="C1131" i="1"/>
  <c r="E1130" i="1"/>
  <c r="C1130" i="1"/>
  <c r="E1129" i="1"/>
  <c r="C1129" i="1"/>
  <c r="E1128" i="1"/>
  <c r="C1128" i="1"/>
  <c r="E1127" i="1"/>
  <c r="C1127" i="1"/>
  <c r="E1126" i="1"/>
  <c r="C1126" i="1"/>
  <c r="E1125" i="1"/>
  <c r="C1125" i="1"/>
  <c r="E1124" i="1"/>
  <c r="C1124" i="1"/>
  <c r="E1123" i="1"/>
  <c r="C1123" i="1"/>
  <c r="E1122" i="1"/>
  <c r="C1122" i="1"/>
  <c r="E1121" i="1"/>
  <c r="C1121" i="1"/>
  <c r="E1120" i="1"/>
  <c r="C1120" i="1"/>
  <c r="E1119" i="1"/>
  <c r="C1119" i="1"/>
  <c r="E1118" i="1"/>
  <c r="C1118" i="1"/>
  <c r="E1117" i="1"/>
  <c r="C1117" i="1"/>
  <c r="E1116" i="1"/>
  <c r="C1116" i="1"/>
  <c r="E1115" i="1"/>
  <c r="C1115" i="1"/>
  <c r="E1114" i="1"/>
  <c r="C1114" i="1"/>
  <c r="E1113" i="1"/>
  <c r="C1113" i="1"/>
  <c r="E1112" i="1"/>
  <c r="C1112" i="1"/>
  <c r="E1111" i="1"/>
  <c r="C1111" i="1"/>
  <c r="E1110" i="1"/>
  <c r="C1110" i="1"/>
  <c r="E1109" i="1"/>
  <c r="C1109" i="1"/>
  <c r="E1108" i="1"/>
  <c r="C1108" i="1"/>
  <c r="E1107" i="1"/>
  <c r="C1107" i="1"/>
  <c r="E1106" i="1"/>
  <c r="C1106" i="1"/>
  <c r="E1105" i="1"/>
  <c r="C1105" i="1"/>
  <c r="E1104" i="1"/>
  <c r="C1104" i="1"/>
  <c r="E1103" i="1"/>
  <c r="C1103" i="1"/>
  <c r="E1102" i="1"/>
  <c r="C1102" i="1"/>
  <c r="E1101" i="1"/>
  <c r="C1101" i="1"/>
  <c r="E1100" i="1"/>
  <c r="C1100" i="1"/>
  <c r="E1099" i="1"/>
  <c r="C1099" i="1"/>
  <c r="E1098" i="1"/>
  <c r="C1098" i="1"/>
  <c r="E1097" i="1"/>
  <c r="C1097" i="1"/>
  <c r="E1096" i="1"/>
  <c r="C1096" i="1"/>
  <c r="E1095" i="1"/>
  <c r="C1095" i="1"/>
  <c r="E1094" i="1"/>
  <c r="C1094" i="1"/>
  <c r="E1093" i="1"/>
  <c r="C1093" i="1"/>
  <c r="E1092" i="1"/>
  <c r="C1092" i="1"/>
  <c r="E1091" i="1"/>
  <c r="C1091" i="1"/>
  <c r="E1090" i="1"/>
  <c r="C1090" i="1"/>
  <c r="E1089" i="1"/>
  <c r="C1089" i="1"/>
  <c r="E1088" i="1"/>
  <c r="C1088" i="1"/>
  <c r="E1087" i="1"/>
  <c r="C1087" i="1"/>
  <c r="E1086" i="1"/>
  <c r="C1086" i="1"/>
  <c r="E1085" i="1"/>
  <c r="C1085" i="1"/>
  <c r="E1084" i="1"/>
  <c r="C1084" i="1"/>
  <c r="E1083" i="1"/>
  <c r="C1083" i="1"/>
  <c r="E1082" i="1"/>
  <c r="C1082" i="1"/>
  <c r="E1081" i="1"/>
  <c r="C1081" i="1"/>
  <c r="E1080" i="1"/>
  <c r="C1080" i="1"/>
  <c r="E1079" i="1"/>
  <c r="C1079" i="1"/>
  <c r="E1078" i="1"/>
  <c r="C1078" i="1"/>
  <c r="E1077" i="1"/>
  <c r="C1077" i="1"/>
  <c r="E1076" i="1"/>
  <c r="C1076" i="1"/>
  <c r="E1075" i="1"/>
  <c r="C1075" i="1"/>
  <c r="E1074" i="1"/>
  <c r="C1074" i="1"/>
  <c r="E1073" i="1"/>
  <c r="C1073" i="1"/>
  <c r="E1072" i="1"/>
  <c r="C1072" i="1"/>
  <c r="E1071" i="1"/>
  <c r="C1071" i="1"/>
  <c r="E1070" i="1"/>
  <c r="C1070" i="1"/>
  <c r="E1069" i="1"/>
  <c r="C1069" i="1"/>
  <c r="E1068" i="1"/>
  <c r="C1068" i="1"/>
  <c r="E1067" i="1"/>
  <c r="C1067" i="1"/>
  <c r="E1066" i="1"/>
  <c r="C1066" i="1"/>
  <c r="E1065" i="1"/>
  <c r="C1065" i="1"/>
  <c r="E1064" i="1"/>
  <c r="C1064" i="1"/>
  <c r="E1063" i="1"/>
  <c r="C1063" i="1"/>
  <c r="E1062" i="1"/>
  <c r="C1062" i="1"/>
  <c r="E1061" i="1"/>
  <c r="C1061" i="1"/>
  <c r="E1060" i="1"/>
  <c r="C1060" i="1"/>
  <c r="E1059" i="1"/>
  <c r="C1059" i="1"/>
  <c r="E1058" i="1"/>
  <c r="C1058" i="1"/>
  <c r="E1057" i="1"/>
  <c r="C1057" i="1"/>
  <c r="E1056" i="1"/>
  <c r="C1056" i="1"/>
  <c r="E1055" i="1"/>
  <c r="C1055" i="1"/>
  <c r="E1054" i="1"/>
  <c r="C1054" i="1"/>
  <c r="E1053" i="1"/>
  <c r="C1053" i="1"/>
  <c r="E1052" i="1"/>
  <c r="C1052" i="1"/>
  <c r="E1051" i="1"/>
  <c r="C1051" i="1"/>
  <c r="E1050" i="1"/>
  <c r="C1050" i="1"/>
  <c r="E1049" i="1"/>
  <c r="C1049" i="1"/>
  <c r="E1048" i="1"/>
  <c r="C1048" i="1"/>
  <c r="E1047" i="1"/>
  <c r="C1047" i="1"/>
  <c r="E1046" i="1"/>
  <c r="C1046" i="1"/>
  <c r="E1045" i="1"/>
  <c r="C1045" i="1"/>
  <c r="E1044" i="1"/>
  <c r="C1044" i="1"/>
  <c r="E1043" i="1"/>
  <c r="C1043" i="1"/>
  <c r="E1042" i="1"/>
  <c r="C1042" i="1"/>
  <c r="E1041" i="1"/>
  <c r="C1041" i="1"/>
  <c r="E1040" i="1"/>
  <c r="C1040" i="1"/>
  <c r="E1039" i="1"/>
  <c r="C1039" i="1"/>
  <c r="E1038" i="1"/>
  <c r="C1038" i="1"/>
  <c r="E1037" i="1"/>
  <c r="C1037" i="1"/>
  <c r="E1036" i="1"/>
  <c r="C1036" i="1"/>
  <c r="E1035" i="1"/>
  <c r="C1035" i="1"/>
  <c r="E1034" i="1"/>
  <c r="C1034" i="1"/>
  <c r="E1033" i="1"/>
  <c r="C1033" i="1"/>
  <c r="E1032" i="1"/>
  <c r="C1032" i="1"/>
  <c r="E1031" i="1"/>
  <c r="C1031" i="1"/>
  <c r="E1030" i="1"/>
  <c r="C1030" i="1"/>
  <c r="E1029" i="1"/>
  <c r="C1029" i="1"/>
  <c r="E1028" i="1"/>
  <c r="C1028" i="1"/>
  <c r="E1027" i="1"/>
  <c r="C1027" i="1"/>
  <c r="E1026" i="1"/>
  <c r="C1026" i="1"/>
  <c r="E1025" i="1"/>
  <c r="C1025" i="1"/>
  <c r="E1024" i="1"/>
  <c r="C1024" i="1"/>
  <c r="E1023" i="1"/>
  <c r="C1023" i="1"/>
  <c r="E1022" i="1"/>
  <c r="C1022" i="1"/>
  <c r="E1021" i="1"/>
  <c r="C1021" i="1"/>
  <c r="E1020" i="1"/>
  <c r="C1020" i="1"/>
  <c r="E1019" i="1"/>
  <c r="C1019" i="1"/>
  <c r="E1018" i="1"/>
  <c r="C1018" i="1"/>
  <c r="E1017" i="1"/>
  <c r="C1017" i="1"/>
  <c r="E1016" i="1"/>
  <c r="C1016" i="1"/>
  <c r="E1015" i="1"/>
  <c r="C1015" i="1"/>
  <c r="E1014" i="1"/>
  <c r="C1014" i="1"/>
  <c r="E1013" i="1"/>
  <c r="C1013" i="1"/>
  <c r="E1012" i="1"/>
  <c r="C1012" i="1"/>
  <c r="E1011" i="1"/>
  <c r="C1011" i="1"/>
  <c r="E1010" i="1"/>
  <c r="C1010" i="1"/>
  <c r="E1009" i="1"/>
  <c r="C1009" i="1"/>
  <c r="E1008" i="1"/>
  <c r="C1008" i="1"/>
  <c r="E1007" i="1"/>
  <c r="C1007" i="1"/>
  <c r="E1006" i="1"/>
  <c r="C1006" i="1"/>
  <c r="E1005" i="1"/>
  <c r="C1005" i="1"/>
  <c r="E1004" i="1"/>
  <c r="C1004" i="1"/>
  <c r="E1003" i="1"/>
  <c r="C1003" i="1"/>
  <c r="E1002" i="1"/>
  <c r="C1002" i="1"/>
  <c r="E1001" i="1"/>
  <c r="C1001" i="1"/>
  <c r="E1000" i="1"/>
  <c r="C1000" i="1"/>
  <c r="E999" i="1"/>
  <c r="C999" i="1"/>
  <c r="E998" i="1"/>
  <c r="C998" i="1"/>
  <c r="E997" i="1"/>
  <c r="C997" i="1"/>
  <c r="E996" i="1"/>
  <c r="C996" i="1"/>
  <c r="E995" i="1"/>
  <c r="C995" i="1"/>
  <c r="E994" i="1"/>
  <c r="C994" i="1"/>
  <c r="E993" i="1"/>
  <c r="C993" i="1"/>
  <c r="E992" i="1"/>
  <c r="C992" i="1"/>
  <c r="E991" i="1"/>
  <c r="C991" i="1"/>
  <c r="E990" i="1"/>
  <c r="C990" i="1"/>
  <c r="E989" i="1"/>
  <c r="C989" i="1"/>
  <c r="E988" i="1"/>
  <c r="C988" i="1"/>
  <c r="E987" i="1"/>
  <c r="C987" i="1"/>
  <c r="E986" i="1"/>
  <c r="C986" i="1"/>
  <c r="E985" i="1"/>
  <c r="C985" i="1"/>
  <c r="E984" i="1"/>
  <c r="C984" i="1"/>
  <c r="E983" i="1"/>
  <c r="C983" i="1"/>
  <c r="E982" i="1"/>
  <c r="C982" i="1"/>
  <c r="E981" i="1"/>
  <c r="C981" i="1"/>
  <c r="E980" i="1"/>
  <c r="C980" i="1"/>
  <c r="E979" i="1"/>
  <c r="C979" i="1"/>
  <c r="E978" i="1"/>
  <c r="C978" i="1"/>
  <c r="E977" i="1"/>
  <c r="C977" i="1"/>
  <c r="E976" i="1"/>
  <c r="C976" i="1"/>
  <c r="E975" i="1"/>
  <c r="C975" i="1"/>
  <c r="E974" i="1"/>
  <c r="C974" i="1"/>
  <c r="E973" i="1"/>
  <c r="C973" i="1"/>
  <c r="E972" i="1"/>
  <c r="C972" i="1"/>
  <c r="E971" i="1"/>
  <c r="C971" i="1"/>
  <c r="E970" i="1"/>
  <c r="C970" i="1"/>
  <c r="E969" i="1"/>
  <c r="C969" i="1"/>
  <c r="E968" i="1"/>
  <c r="C968" i="1"/>
  <c r="E967" i="1"/>
  <c r="C967" i="1"/>
  <c r="E966" i="1"/>
  <c r="C966" i="1"/>
  <c r="E965" i="1"/>
  <c r="C965" i="1"/>
  <c r="E964" i="1"/>
  <c r="C964" i="1"/>
  <c r="E963" i="1"/>
  <c r="C963" i="1"/>
  <c r="E962" i="1"/>
  <c r="C962" i="1"/>
  <c r="E961" i="1"/>
  <c r="C961" i="1"/>
  <c r="E960" i="1"/>
  <c r="C960" i="1"/>
  <c r="E959" i="1"/>
  <c r="C959" i="1"/>
  <c r="E958" i="1"/>
  <c r="C958" i="1"/>
  <c r="E957" i="1"/>
  <c r="C957" i="1"/>
  <c r="E956" i="1"/>
  <c r="C956" i="1"/>
  <c r="E955" i="1"/>
  <c r="C955" i="1"/>
  <c r="E954" i="1"/>
  <c r="C954" i="1"/>
  <c r="E953" i="1"/>
  <c r="C953" i="1"/>
  <c r="E952" i="1"/>
  <c r="C952" i="1"/>
  <c r="E951" i="1"/>
  <c r="C951" i="1"/>
  <c r="E950" i="1"/>
  <c r="C950" i="1"/>
  <c r="E949" i="1"/>
  <c r="C949" i="1"/>
  <c r="E948" i="1"/>
  <c r="C948" i="1"/>
  <c r="E947" i="1"/>
  <c r="C947" i="1"/>
  <c r="E946" i="1"/>
  <c r="C946" i="1"/>
  <c r="E945" i="1"/>
  <c r="C945" i="1"/>
  <c r="E944" i="1"/>
  <c r="C944" i="1"/>
  <c r="E943" i="1"/>
  <c r="C943" i="1"/>
  <c r="E942" i="1"/>
  <c r="C942" i="1"/>
  <c r="E941" i="1"/>
  <c r="C941" i="1"/>
  <c r="E940" i="1"/>
  <c r="C940" i="1"/>
  <c r="E939" i="1"/>
  <c r="C939" i="1"/>
  <c r="E938" i="1"/>
  <c r="C938" i="1"/>
  <c r="E937" i="1"/>
  <c r="C937" i="1"/>
  <c r="E936" i="1"/>
  <c r="C936" i="1"/>
  <c r="E935" i="1"/>
  <c r="C935" i="1"/>
  <c r="E934" i="1"/>
  <c r="C934" i="1"/>
  <c r="E933" i="1"/>
  <c r="C933" i="1"/>
  <c r="E932" i="1"/>
  <c r="C932" i="1"/>
  <c r="E931" i="1"/>
  <c r="C931" i="1"/>
  <c r="E930" i="1"/>
  <c r="C930" i="1"/>
  <c r="E929" i="1"/>
  <c r="C929" i="1"/>
  <c r="E928" i="1"/>
  <c r="C928" i="1"/>
  <c r="E927" i="1"/>
  <c r="C927" i="1"/>
  <c r="E926" i="1"/>
  <c r="C926" i="1"/>
  <c r="E925" i="1"/>
  <c r="C925" i="1"/>
  <c r="E924" i="1"/>
  <c r="C924" i="1"/>
  <c r="E923" i="1"/>
  <c r="C923" i="1"/>
  <c r="E922" i="1"/>
  <c r="C922" i="1"/>
  <c r="E921" i="1"/>
  <c r="C921" i="1"/>
  <c r="E920" i="1"/>
  <c r="C920" i="1"/>
  <c r="E919" i="1"/>
  <c r="C919" i="1"/>
  <c r="E918" i="1"/>
  <c r="C918" i="1"/>
  <c r="E917" i="1"/>
  <c r="C917" i="1"/>
  <c r="E916" i="1"/>
  <c r="C916" i="1"/>
  <c r="E915" i="1"/>
  <c r="C915" i="1"/>
  <c r="E914" i="1"/>
  <c r="C914" i="1"/>
  <c r="E913" i="1"/>
  <c r="C913" i="1"/>
  <c r="E912" i="1"/>
  <c r="C912" i="1"/>
  <c r="E911" i="1"/>
  <c r="C911" i="1"/>
  <c r="E910" i="1"/>
  <c r="C910" i="1"/>
  <c r="E909" i="1"/>
  <c r="C909" i="1"/>
  <c r="E908" i="1"/>
  <c r="C908" i="1"/>
  <c r="E907" i="1"/>
  <c r="C907" i="1"/>
  <c r="E906" i="1"/>
  <c r="C906" i="1"/>
  <c r="E905" i="1"/>
  <c r="C905" i="1"/>
  <c r="E904" i="1"/>
  <c r="C904" i="1"/>
  <c r="E903" i="1"/>
  <c r="C903" i="1"/>
  <c r="E902" i="1"/>
  <c r="C902" i="1"/>
  <c r="E901" i="1"/>
  <c r="C901" i="1"/>
  <c r="E900" i="1"/>
  <c r="C900" i="1"/>
  <c r="E899" i="1"/>
  <c r="C899" i="1"/>
  <c r="E898" i="1"/>
  <c r="C898" i="1"/>
  <c r="E897" i="1"/>
  <c r="C897" i="1"/>
  <c r="E896" i="1"/>
  <c r="C896" i="1"/>
  <c r="E895" i="1"/>
  <c r="E894" i="1"/>
  <c r="C894" i="1"/>
  <c r="E893" i="1"/>
  <c r="C893" i="1"/>
  <c r="E892" i="1"/>
  <c r="C892" i="1"/>
  <c r="E891" i="1"/>
  <c r="C891" i="1"/>
  <c r="E890" i="1"/>
  <c r="C890" i="1"/>
  <c r="E889" i="1"/>
  <c r="C889" i="1"/>
  <c r="E888" i="1"/>
  <c r="C888" i="1"/>
  <c r="E887" i="1"/>
  <c r="C887" i="1"/>
  <c r="E886" i="1"/>
  <c r="C886" i="1"/>
  <c r="E885" i="1"/>
  <c r="C885" i="1"/>
  <c r="E884" i="1"/>
  <c r="C884" i="1"/>
  <c r="E883" i="1"/>
  <c r="C883" i="1"/>
  <c r="E882" i="1"/>
  <c r="C882" i="1"/>
  <c r="E881" i="1"/>
  <c r="C881" i="1"/>
  <c r="E880" i="1"/>
  <c r="C880" i="1"/>
  <c r="E879" i="1"/>
  <c r="C879" i="1"/>
  <c r="E878" i="1"/>
  <c r="C878" i="1"/>
  <c r="E877" i="1"/>
  <c r="C877" i="1"/>
  <c r="E876" i="1"/>
  <c r="C876" i="1"/>
  <c r="E875" i="1"/>
  <c r="C875" i="1"/>
  <c r="E874" i="1"/>
  <c r="C874" i="1"/>
  <c r="E873" i="1"/>
  <c r="C873" i="1"/>
  <c r="E872" i="1"/>
  <c r="C872" i="1"/>
  <c r="E871" i="1"/>
  <c r="C871" i="1"/>
  <c r="E870" i="1"/>
  <c r="C870" i="1"/>
  <c r="E869" i="1"/>
  <c r="C869" i="1"/>
  <c r="E868" i="1"/>
  <c r="C868" i="1"/>
  <c r="E867" i="1"/>
  <c r="C867" i="1"/>
  <c r="E866" i="1"/>
  <c r="C866" i="1"/>
  <c r="E865" i="1"/>
  <c r="C865" i="1"/>
  <c r="E864" i="1"/>
  <c r="C864" i="1"/>
  <c r="E863" i="1"/>
  <c r="C863" i="1"/>
  <c r="E862" i="1"/>
  <c r="C862" i="1"/>
  <c r="E861" i="1"/>
  <c r="C861" i="1"/>
  <c r="E860" i="1"/>
  <c r="C860" i="1"/>
  <c r="E859" i="1"/>
  <c r="C859" i="1"/>
  <c r="E858" i="1"/>
  <c r="C858" i="1"/>
  <c r="E857" i="1"/>
  <c r="C857" i="1"/>
  <c r="E856" i="1"/>
  <c r="C856" i="1"/>
  <c r="E855" i="1"/>
  <c r="C855" i="1"/>
  <c r="E854" i="1"/>
  <c r="C854" i="1"/>
  <c r="E853" i="1"/>
  <c r="C853" i="1"/>
  <c r="E852" i="1"/>
  <c r="C852" i="1"/>
  <c r="E851" i="1"/>
  <c r="C851" i="1"/>
  <c r="E850" i="1"/>
  <c r="C850" i="1"/>
  <c r="E849" i="1"/>
  <c r="C849" i="1"/>
  <c r="E848" i="1"/>
  <c r="C848" i="1"/>
  <c r="E847" i="1"/>
  <c r="C847" i="1"/>
  <c r="E846" i="1"/>
  <c r="C846" i="1"/>
  <c r="E845" i="1"/>
  <c r="C845" i="1"/>
  <c r="E844" i="1"/>
  <c r="C844" i="1"/>
  <c r="E843" i="1"/>
  <c r="C843" i="1"/>
  <c r="E842" i="1"/>
  <c r="C842" i="1"/>
  <c r="E841" i="1"/>
  <c r="C841" i="1"/>
  <c r="E840" i="1"/>
  <c r="C840" i="1"/>
  <c r="E839" i="1"/>
  <c r="C839" i="1"/>
  <c r="E838" i="1"/>
  <c r="C838" i="1"/>
  <c r="E837" i="1"/>
  <c r="C837" i="1"/>
  <c r="E836" i="1"/>
  <c r="C836" i="1"/>
  <c r="E835" i="1"/>
  <c r="C835" i="1"/>
  <c r="E834" i="1"/>
  <c r="C834" i="1"/>
  <c r="E833" i="1"/>
  <c r="C833" i="1"/>
  <c r="E832" i="1"/>
  <c r="C832" i="1"/>
  <c r="E831" i="1"/>
  <c r="C831" i="1"/>
  <c r="E830" i="1"/>
  <c r="C830" i="1"/>
  <c r="E829" i="1"/>
  <c r="C829" i="1"/>
  <c r="E828" i="1"/>
  <c r="C828" i="1"/>
  <c r="E827" i="1"/>
  <c r="C827" i="1"/>
  <c r="E826" i="1"/>
  <c r="C826" i="1"/>
  <c r="E825" i="1"/>
  <c r="C825" i="1"/>
  <c r="E824" i="1"/>
  <c r="C824" i="1"/>
  <c r="E823" i="1"/>
  <c r="C823" i="1"/>
  <c r="E822" i="1"/>
  <c r="C822" i="1"/>
  <c r="E821" i="1"/>
  <c r="C821" i="1"/>
  <c r="E820" i="1"/>
  <c r="C820" i="1"/>
  <c r="E819" i="1"/>
  <c r="C819" i="1"/>
  <c r="E818" i="1"/>
  <c r="C818" i="1"/>
  <c r="E817" i="1"/>
  <c r="C817" i="1"/>
  <c r="E816" i="1"/>
  <c r="C816" i="1"/>
  <c r="E815" i="1"/>
  <c r="C815" i="1"/>
  <c r="E814" i="1"/>
  <c r="C814" i="1"/>
  <c r="E813" i="1"/>
  <c r="C813" i="1"/>
  <c r="E812" i="1"/>
  <c r="C812" i="1"/>
  <c r="E811" i="1"/>
  <c r="C811" i="1"/>
  <c r="E810" i="1"/>
  <c r="C810" i="1"/>
  <c r="E809" i="1"/>
  <c r="C809" i="1"/>
  <c r="E808" i="1"/>
  <c r="C808" i="1"/>
  <c r="E807" i="1"/>
  <c r="C807" i="1"/>
  <c r="E806" i="1"/>
  <c r="C806" i="1"/>
  <c r="E805" i="1"/>
  <c r="C805" i="1"/>
  <c r="E804" i="1"/>
  <c r="C804" i="1"/>
  <c r="E803" i="1"/>
  <c r="C803" i="1"/>
  <c r="E802" i="1"/>
  <c r="C802" i="1"/>
  <c r="E801" i="1"/>
  <c r="C801" i="1"/>
  <c r="E800" i="1"/>
  <c r="C800" i="1"/>
  <c r="E799" i="1"/>
  <c r="C799" i="1"/>
  <c r="E798" i="1"/>
  <c r="C798" i="1"/>
  <c r="E797" i="1"/>
  <c r="C797" i="1"/>
  <c r="E796" i="1"/>
  <c r="C796" i="1"/>
  <c r="E795" i="1"/>
  <c r="C795" i="1"/>
  <c r="E794" i="1"/>
  <c r="C794" i="1"/>
  <c r="E793" i="1"/>
  <c r="C793" i="1"/>
  <c r="E792" i="1"/>
  <c r="C792" i="1"/>
  <c r="E791" i="1"/>
  <c r="C791" i="1"/>
  <c r="E790" i="1"/>
  <c r="C790" i="1"/>
  <c r="E789" i="1"/>
  <c r="C789" i="1"/>
  <c r="E788" i="1"/>
  <c r="C788" i="1"/>
  <c r="E787" i="1"/>
  <c r="C787" i="1"/>
  <c r="E786" i="1"/>
  <c r="C786" i="1"/>
  <c r="E785" i="1"/>
  <c r="C785" i="1"/>
  <c r="E784" i="1"/>
  <c r="C784" i="1"/>
  <c r="E783" i="1"/>
  <c r="C783" i="1"/>
  <c r="E782" i="1"/>
  <c r="C782" i="1"/>
  <c r="E781" i="1"/>
  <c r="C781" i="1"/>
  <c r="E780" i="1"/>
  <c r="C780" i="1"/>
  <c r="E779" i="1"/>
  <c r="C779" i="1"/>
  <c r="E778" i="1"/>
  <c r="C778" i="1"/>
  <c r="E777" i="1"/>
  <c r="C777" i="1"/>
  <c r="E776" i="1"/>
  <c r="C776" i="1"/>
  <c r="E775" i="1"/>
  <c r="C775" i="1"/>
  <c r="E774" i="1"/>
  <c r="C774" i="1"/>
  <c r="E773" i="1"/>
  <c r="C773" i="1"/>
  <c r="E772" i="1"/>
  <c r="C772" i="1"/>
  <c r="E771" i="1"/>
  <c r="C771" i="1"/>
  <c r="E770" i="1"/>
  <c r="C770" i="1"/>
  <c r="E769" i="1"/>
  <c r="C769" i="1"/>
  <c r="E768" i="1"/>
  <c r="C768" i="1"/>
  <c r="E767" i="1"/>
  <c r="C767" i="1"/>
  <c r="E766" i="1"/>
  <c r="C766" i="1"/>
  <c r="E765" i="1"/>
  <c r="C765" i="1"/>
  <c r="E764" i="1"/>
  <c r="C764" i="1"/>
  <c r="E763" i="1"/>
  <c r="C763" i="1"/>
  <c r="E762" i="1"/>
  <c r="C762" i="1"/>
  <c r="E761" i="1"/>
  <c r="C761" i="1"/>
  <c r="E760" i="1"/>
  <c r="C760" i="1"/>
  <c r="E759" i="1"/>
  <c r="C759" i="1"/>
  <c r="E758" i="1"/>
  <c r="C758" i="1"/>
  <c r="E757" i="1"/>
  <c r="C757" i="1"/>
  <c r="E756" i="1"/>
  <c r="C756" i="1"/>
  <c r="E755" i="1"/>
  <c r="C755" i="1"/>
  <c r="E754" i="1"/>
  <c r="C754" i="1"/>
  <c r="E753" i="1"/>
  <c r="C753" i="1"/>
  <c r="E752" i="1"/>
  <c r="C752" i="1"/>
  <c r="E751" i="1"/>
  <c r="C751" i="1"/>
  <c r="E750" i="1"/>
  <c r="C750" i="1"/>
  <c r="E749" i="1"/>
  <c r="C749" i="1"/>
  <c r="E748" i="1"/>
  <c r="C748" i="1"/>
  <c r="E747" i="1"/>
  <c r="C747" i="1"/>
  <c r="E746" i="1"/>
  <c r="C746" i="1"/>
  <c r="E745" i="1"/>
  <c r="C745" i="1"/>
  <c r="E744" i="1"/>
  <c r="C744" i="1"/>
  <c r="E743" i="1"/>
  <c r="C743" i="1"/>
  <c r="E742" i="1"/>
  <c r="C742" i="1"/>
  <c r="E741" i="1"/>
  <c r="C741" i="1"/>
  <c r="E740" i="1"/>
  <c r="C740" i="1"/>
  <c r="E739" i="1"/>
  <c r="C739" i="1"/>
  <c r="E738" i="1"/>
  <c r="C738" i="1"/>
  <c r="E737" i="1"/>
  <c r="C737" i="1"/>
  <c r="E736" i="1"/>
  <c r="C736" i="1"/>
  <c r="E735" i="1"/>
  <c r="C735" i="1"/>
  <c r="E734" i="1"/>
  <c r="C734" i="1"/>
  <c r="E733" i="1"/>
  <c r="C733" i="1"/>
  <c r="E732" i="1"/>
  <c r="C732" i="1"/>
  <c r="E731" i="1"/>
  <c r="C731" i="1"/>
  <c r="E730" i="1"/>
  <c r="C730" i="1"/>
  <c r="E729" i="1"/>
  <c r="C729" i="1"/>
  <c r="E728" i="1"/>
  <c r="C728" i="1"/>
  <c r="E727" i="1"/>
  <c r="C727" i="1"/>
  <c r="E726" i="1"/>
  <c r="C726" i="1"/>
  <c r="E725" i="1"/>
  <c r="C725" i="1"/>
  <c r="E724" i="1"/>
  <c r="C724" i="1"/>
  <c r="E723" i="1"/>
  <c r="C723" i="1"/>
  <c r="E722" i="1"/>
  <c r="C722" i="1"/>
  <c r="E721" i="1"/>
  <c r="C721" i="1"/>
  <c r="E720" i="1"/>
  <c r="C720" i="1"/>
  <c r="E719" i="1"/>
  <c r="C719" i="1"/>
  <c r="E718" i="1"/>
  <c r="C718" i="1"/>
  <c r="E717" i="1"/>
  <c r="C717" i="1"/>
  <c r="E716" i="1"/>
  <c r="C716" i="1"/>
  <c r="E715" i="1"/>
  <c r="C715" i="1"/>
  <c r="E714" i="1"/>
  <c r="C714" i="1"/>
  <c r="E713" i="1"/>
  <c r="C713" i="1"/>
  <c r="E712" i="1"/>
  <c r="C712" i="1"/>
  <c r="E711" i="1"/>
  <c r="C711" i="1"/>
  <c r="E710" i="1"/>
  <c r="C710" i="1"/>
  <c r="E709" i="1"/>
  <c r="C709" i="1"/>
  <c r="E708" i="1"/>
  <c r="C708" i="1"/>
  <c r="E707" i="1"/>
  <c r="C707" i="1"/>
  <c r="E706" i="1"/>
  <c r="C706" i="1"/>
  <c r="E705" i="1"/>
  <c r="C705" i="1"/>
  <c r="E704" i="1"/>
  <c r="C704" i="1"/>
  <c r="E703" i="1"/>
  <c r="C703" i="1"/>
  <c r="E702" i="1"/>
  <c r="C702" i="1"/>
  <c r="E701" i="1"/>
  <c r="C701" i="1"/>
  <c r="E700" i="1"/>
  <c r="C700" i="1"/>
  <c r="E699" i="1"/>
  <c r="C699" i="1"/>
  <c r="E698" i="1"/>
  <c r="C698" i="1"/>
  <c r="E697" i="1"/>
  <c r="C697" i="1"/>
  <c r="E696" i="1"/>
  <c r="C696" i="1"/>
  <c r="E695" i="1"/>
  <c r="C695" i="1"/>
  <c r="E694" i="1"/>
  <c r="C694" i="1"/>
  <c r="E693" i="1"/>
  <c r="C693" i="1"/>
  <c r="E692" i="1"/>
  <c r="C692" i="1"/>
  <c r="E691" i="1"/>
  <c r="C691" i="1"/>
  <c r="E690" i="1"/>
  <c r="C690" i="1"/>
  <c r="E689" i="1"/>
  <c r="C689" i="1"/>
  <c r="E688" i="1"/>
  <c r="C688" i="1"/>
  <c r="E687" i="1"/>
  <c r="C687" i="1"/>
  <c r="E686" i="1"/>
  <c r="C686" i="1"/>
  <c r="E685" i="1"/>
  <c r="C685" i="1"/>
  <c r="E684" i="1"/>
  <c r="C684" i="1"/>
  <c r="E683" i="1"/>
  <c r="C683" i="1"/>
  <c r="E682" i="1"/>
  <c r="C682" i="1"/>
  <c r="E681" i="1"/>
  <c r="C681" i="1"/>
  <c r="E680" i="1"/>
  <c r="C680" i="1"/>
  <c r="E679" i="1"/>
  <c r="C679" i="1"/>
  <c r="E678" i="1"/>
  <c r="C678" i="1"/>
  <c r="E677" i="1"/>
  <c r="C677" i="1"/>
  <c r="E676" i="1"/>
  <c r="C676" i="1"/>
  <c r="E675" i="1"/>
  <c r="C675" i="1"/>
  <c r="E674" i="1"/>
  <c r="C674" i="1"/>
  <c r="E673" i="1"/>
  <c r="C673" i="1"/>
  <c r="E672" i="1"/>
  <c r="C672" i="1"/>
  <c r="E671" i="1"/>
  <c r="C671" i="1"/>
  <c r="E670" i="1"/>
  <c r="C670" i="1"/>
  <c r="E669" i="1"/>
  <c r="C669" i="1"/>
  <c r="E668" i="1"/>
  <c r="C668" i="1"/>
  <c r="E667" i="1"/>
  <c r="C667" i="1"/>
  <c r="E666" i="1"/>
  <c r="C666" i="1"/>
  <c r="E665" i="1"/>
  <c r="C665" i="1"/>
  <c r="E664" i="1"/>
  <c r="C664" i="1"/>
  <c r="E663" i="1"/>
  <c r="C663" i="1"/>
  <c r="E662" i="1"/>
  <c r="C662" i="1"/>
  <c r="E661" i="1"/>
  <c r="C661" i="1"/>
  <c r="E660" i="1"/>
  <c r="C660" i="1"/>
  <c r="E659" i="1"/>
  <c r="C659" i="1"/>
  <c r="E658" i="1"/>
  <c r="C658" i="1"/>
  <c r="E657" i="1"/>
  <c r="C657" i="1"/>
  <c r="E656" i="1"/>
  <c r="C656" i="1"/>
  <c r="E655" i="1"/>
  <c r="C655" i="1"/>
  <c r="E654" i="1"/>
  <c r="C654" i="1"/>
  <c r="E653" i="1"/>
  <c r="C653" i="1"/>
  <c r="E652" i="1"/>
  <c r="C652" i="1"/>
  <c r="E651" i="1"/>
  <c r="C651" i="1"/>
  <c r="E650" i="1"/>
  <c r="C650" i="1"/>
  <c r="E649" i="1"/>
  <c r="C649" i="1"/>
  <c r="E648" i="1"/>
  <c r="C648" i="1"/>
  <c r="E647" i="1"/>
  <c r="C647" i="1"/>
  <c r="E646" i="1"/>
  <c r="C646" i="1"/>
  <c r="E645" i="1"/>
  <c r="C645" i="1"/>
  <c r="E644" i="1"/>
  <c r="C644" i="1"/>
  <c r="E643" i="1"/>
  <c r="C643" i="1"/>
  <c r="E642" i="1"/>
  <c r="C642" i="1"/>
  <c r="E641" i="1"/>
  <c r="C641" i="1"/>
  <c r="E640" i="1"/>
  <c r="C640" i="1"/>
  <c r="E639" i="1"/>
  <c r="C639" i="1"/>
  <c r="E638" i="1"/>
  <c r="C638" i="1"/>
  <c r="E637" i="1"/>
  <c r="C637" i="1"/>
  <c r="E636" i="1"/>
  <c r="C636" i="1"/>
  <c r="E635" i="1"/>
  <c r="C635" i="1"/>
  <c r="E634" i="1"/>
  <c r="C634" i="1"/>
  <c r="E633" i="1"/>
  <c r="C633" i="1"/>
  <c r="E632" i="1"/>
  <c r="C632" i="1"/>
  <c r="E631" i="1"/>
  <c r="C631" i="1"/>
  <c r="E630" i="1"/>
  <c r="C630" i="1"/>
  <c r="E629" i="1"/>
  <c r="C629" i="1"/>
  <c r="E628" i="1"/>
  <c r="C628" i="1"/>
  <c r="E627" i="1"/>
  <c r="C627" i="1"/>
  <c r="E626" i="1"/>
  <c r="C626" i="1"/>
  <c r="E625" i="1"/>
  <c r="C625" i="1"/>
  <c r="E624" i="1"/>
  <c r="C624" i="1"/>
  <c r="E623" i="1"/>
  <c r="C623" i="1"/>
  <c r="E622" i="1"/>
  <c r="C622" i="1"/>
  <c r="E621" i="1"/>
  <c r="C621" i="1"/>
  <c r="E620" i="1"/>
  <c r="C620" i="1"/>
  <c r="E619" i="1"/>
  <c r="C619" i="1"/>
  <c r="E618" i="1"/>
  <c r="C618" i="1"/>
  <c r="E617" i="1"/>
  <c r="C617" i="1"/>
  <c r="E616" i="1"/>
  <c r="C616" i="1"/>
  <c r="E615" i="1"/>
  <c r="C615" i="1"/>
  <c r="E614" i="1"/>
  <c r="C614" i="1"/>
  <c r="E613" i="1"/>
  <c r="C613" i="1"/>
  <c r="E612" i="1"/>
  <c r="C612" i="1"/>
  <c r="E611" i="1"/>
  <c r="C611" i="1"/>
  <c r="E610" i="1"/>
  <c r="C610" i="1"/>
  <c r="E609" i="1"/>
  <c r="C609" i="1"/>
  <c r="E608" i="1"/>
  <c r="C608" i="1"/>
  <c r="E607" i="1"/>
  <c r="C607" i="1"/>
  <c r="E606" i="1"/>
  <c r="C606" i="1"/>
  <c r="E605" i="1"/>
  <c r="C605" i="1"/>
  <c r="E604" i="1"/>
  <c r="C604" i="1"/>
  <c r="E603" i="1"/>
  <c r="C603" i="1"/>
  <c r="E602" i="1"/>
  <c r="C602" i="1"/>
  <c r="E601" i="1"/>
  <c r="C601" i="1"/>
  <c r="E600" i="1"/>
  <c r="C600" i="1"/>
  <c r="E599" i="1"/>
  <c r="C599" i="1"/>
  <c r="E598" i="1"/>
  <c r="C598" i="1"/>
  <c r="E597" i="1"/>
  <c r="C597" i="1"/>
  <c r="E596" i="1"/>
  <c r="C596" i="1"/>
  <c r="E595" i="1"/>
  <c r="C595" i="1"/>
  <c r="E594" i="1"/>
  <c r="C594" i="1"/>
  <c r="E593" i="1"/>
  <c r="C593" i="1"/>
  <c r="E592" i="1"/>
  <c r="C592" i="1"/>
  <c r="E591" i="1"/>
  <c r="C591" i="1"/>
  <c r="E590" i="1"/>
  <c r="C590" i="1"/>
  <c r="E589" i="1"/>
  <c r="C589" i="1"/>
  <c r="E588" i="1"/>
  <c r="C588" i="1"/>
  <c r="E587" i="1"/>
  <c r="C587" i="1"/>
  <c r="E586" i="1"/>
  <c r="C586" i="1"/>
  <c r="E585" i="1"/>
  <c r="C585" i="1"/>
  <c r="E584" i="1"/>
  <c r="C584" i="1"/>
  <c r="E583" i="1"/>
  <c r="C583" i="1"/>
  <c r="E582" i="1"/>
  <c r="C582" i="1"/>
  <c r="E581" i="1"/>
  <c r="C581" i="1"/>
  <c r="E580" i="1"/>
  <c r="C580" i="1"/>
  <c r="E579" i="1"/>
  <c r="C579" i="1"/>
  <c r="E578" i="1"/>
  <c r="C578" i="1"/>
  <c r="E577" i="1"/>
  <c r="C577" i="1"/>
  <c r="E576" i="1"/>
  <c r="C576" i="1"/>
  <c r="E575" i="1"/>
  <c r="C575" i="1"/>
  <c r="E574" i="1"/>
  <c r="C574" i="1"/>
  <c r="E573" i="1"/>
  <c r="C573" i="1"/>
  <c r="E572" i="1"/>
  <c r="C572" i="1"/>
  <c r="E571" i="1"/>
  <c r="C571" i="1"/>
  <c r="E570" i="1"/>
  <c r="C570" i="1"/>
  <c r="E569" i="1"/>
  <c r="C569" i="1"/>
  <c r="E568" i="1"/>
  <c r="C568" i="1"/>
  <c r="E567" i="1"/>
  <c r="C567" i="1"/>
  <c r="E566" i="1"/>
  <c r="C566" i="1"/>
  <c r="E565" i="1"/>
  <c r="C565" i="1"/>
  <c r="E564" i="1"/>
  <c r="C564" i="1"/>
  <c r="E563" i="1"/>
  <c r="C563" i="1"/>
  <c r="E562" i="1"/>
  <c r="C562" i="1"/>
  <c r="E561" i="1"/>
  <c r="C561" i="1"/>
  <c r="E560" i="1"/>
  <c r="C560" i="1"/>
  <c r="E559" i="1"/>
  <c r="C559" i="1"/>
  <c r="E558" i="1"/>
  <c r="C558" i="1"/>
  <c r="E557" i="1"/>
  <c r="C557" i="1"/>
  <c r="E556" i="1"/>
  <c r="C556" i="1"/>
  <c r="E555" i="1"/>
  <c r="C555" i="1"/>
  <c r="E554" i="1"/>
  <c r="C554" i="1"/>
  <c r="E553" i="1"/>
  <c r="C553" i="1"/>
  <c r="E552" i="1"/>
  <c r="C552" i="1"/>
  <c r="E551" i="1"/>
  <c r="C551" i="1"/>
  <c r="E550" i="1"/>
  <c r="C550" i="1"/>
  <c r="E549" i="1"/>
  <c r="C549" i="1"/>
  <c r="E548" i="1"/>
  <c r="C548" i="1"/>
  <c r="E547" i="1"/>
  <c r="C547" i="1"/>
  <c r="E546" i="1"/>
  <c r="C546" i="1"/>
  <c r="E545" i="1"/>
  <c r="C545" i="1"/>
  <c r="E544" i="1"/>
  <c r="C544" i="1"/>
  <c r="E543" i="1"/>
  <c r="C543" i="1"/>
  <c r="E542" i="1"/>
  <c r="C542" i="1"/>
  <c r="E541" i="1"/>
  <c r="C541" i="1"/>
  <c r="E540" i="1"/>
  <c r="C540" i="1"/>
  <c r="E539" i="1"/>
  <c r="C539" i="1"/>
  <c r="E538" i="1"/>
  <c r="C538" i="1"/>
  <c r="E537" i="1"/>
  <c r="C537" i="1"/>
  <c r="E536" i="1"/>
  <c r="C536" i="1"/>
  <c r="E535" i="1"/>
  <c r="C535" i="1"/>
  <c r="E534" i="1"/>
  <c r="C534" i="1"/>
  <c r="E533" i="1"/>
  <c r="C533" i="1"/>
  <c r="E532" i="1"/>
  <c r="C532" i="1"/>
  <c r="E531" i="1"/>
  <c r="C531" i="1"/>
  <c r="E530" i="1"/>
  <c r="C530" i="1"/>
  <c r="E529" i="1"/>
  <c r="C529" i="1"/>
  <c r="E528" i="1"/>
  <c r="C528" i="1"/>
  <c r="E527" i="1"/>
  <c r="C527" i="1"/>
  <c r="E526" i="1"/>
  <c r="C526" i="1"/>
  <c r="E525" i="1"/>
  <c r="C525" i="1"/>
  <c r="E524" i="1"/>
  <c r="C524" i="1"/>
  <c r="E523" i="1"/>
  <c r="C523" i="1"/>
  <c r="E522" i="1"/>
  <c r="C522" i="1"/>
  <c r="E521" i="1"/>
  <c r="C521" i="1"/>
  <c r="E520" i="1"/>
  <c r="C520" i="1"/>
  <c r="E519" i="1"/>
  <c r="C519" i="1"/>
  <c r="E518" i="1"/>
  <c r="C518" i="1"/>
  <c r="E517" i="1"/>
  <c r="C517" i="1"/>
  <c r="E516" i="1"/>
  <c r="C516" i="1"/>
  <c r="E515" i="1"/>
  <c r="C515" i="1"/>
  <c r="E514" i="1"/>
  <c r="C514" i="1"/>
  <c r="E513" i="1"/>
  <c r="C513" i="1"/>
  <c r="E512" i="1"/>
  <c r="C512" i="1"/>
  <c r="E511" i="1"/>
  <c r="C511" i="1"/>
  <c r="E510" i="1"/>
  <c r="C510" i="1"/>
  <c r="E509" i="1"/>
  <c r="C509" i="1"/>
  <c r="E508" i="1"/>
  <c r="C508" i="1"/>
  <c r="E507" i="1"/>
  <c r="C507" i="1"/>
  <c r="E506" i="1"/>
  <c r="C506" i="1"/>
  <c r="E505" i="1"/>
  <c r="C505" i="1"/>
  <c r="E504" i="1"/>
  <c r="C504" i="1"/>
  <c r="E503" i="1"/>
  <c r="C503" i="1"/>
  <c r="E502" i="1"/>
  <c r="C502" i="1"/>
  <c r="E501" i="1"/>
  <c r="C501" i="1"/>
  <c r="E500" i="1"/>
  <c r="C500" i="1"/>
  <c r="E499" i="1"/>
  <c r="C499" i="1"/>
  <c r="E498" i="1"/>
  <c r="C498" i="1"/>
  <c r="E497" i="1"/>
  <c r="C497" i="1"/>
  <c r="E496" i="1"/>
  <c r="C496" i="1"/>
  <c r="E495" i="1"/>
  <c r="C495" i="1"/>
  <c r="E494" i="1"/>
  <c r="C494" i="1"/>
  <c r="E493" i="1"/>
  <c r="C493" i="1"/>
  <c r="E492" i="1"/>
  <c r="C492" i="1"/>
  <c r="E491" i="1"/>
  <c r="C491" i="1"/>
  <c r="E490" i="1"/>
  <c r="C490" i="1"/>
  <c r="E489" i="1"/>
  <c r="C489" i="1"/>
  <c r="E488" i="1"/>
  <c r="C488" i="1"/>
  <c r="E487" i="1"/>
  <c r="C487" i="1"/>
  <c r="E486" i="1"/>
  <c r="C486" i="1"/>
  <c r="E485" i="1"/>
  <c r="C485" i="1"/>
  <c r="E484" i="1"/>
  <c r="C484" i="1"/>
  <c r="E483" i="1"/>
  <c r="C483" i="1"/>
  <c r="E482" i="1"/>
  <c r="C482" i="1"/>
  <c r="E481" i="1"/>
  <c r="C481" i="1"/>
  <c r="E480" i="1"/>
  <c r="C480" i="1"/>
  <c r="E479" i="1"/>
  <c r="C479" i="1"/>
  <c r="E478" i="1"/>
  <c r="C478" i="1"/>
  <c r="E477" i="1"/>
  <c r="C477" i="1"/>
  <c r="E476" i="1"/>
  <c r="C476" i="1"/>
  <c r="E475" i="1"/>
  <c r="C475" i="1"/>
  <c r="E474" i="1"/>
  <c r="C474" i="1"/>
  <c r="E473" i="1"/>
  <c r="C473" i="1"/>
  <c r="E472" i="1"/>
  <c r="C472" i="1"/>
  <c r="E471" i="1"/>
  <c r="C471" i="1"/>
  <c r="E470" i="1"/>
  <c r="C470" i="1"/>
  <c r="E469" i="1"/>
  <c r="C469" i="1"/>
  <c r="E468" i="1"/>
  <c r="C468" i="1"/>
  <c r="E467" i="1"/>
  <c r="C467" i="1"/>
  <c r="E466" i="1"/>
  <c r="C466" i="1"/>
  <c r="E465" i="1"/>
  <c r="C465" i="1"/>
  <c r="E464" i="1"/>
  <c r="C464" i="1"/>
  <c r="E463" i="1"/>
  <c r="C463" i="1"/>
  <c r="E462" i="1"/>
  <c r="C462" i="1"/>
  <c r="E461" i="1"/>
  <c r="C461" i="1"/>
  <c r="E460" i="1"/>
  <c r="C460" i="1"/>
  <c r="E459" i="1"/>
  <c r="C459" i="1"/>
  <c r="E458" i="1"/>
  <c r="C458" i="1"/>
  <c r="E457" i="1"/>
  <c r="C457" i="1"/>
  <c r="E456" i="1"/>
  <c r="C456" i="1"/>
  <c r="E455" i="1"/>
  <c r="C455" i="1"/>
  <c r="E454" i="1"/>
  <c r="C454" i="1"/>
  <c r="E453" i="1"/>
  <c r="C453" i="1"/>
  <c r="E452" i="1"/>
  <c r="C452" i="1"/>
  <c r="E451" i="1"/>
  <c r="C451" i="1"/>
  <c r="E450" i="1"/>
  <c r="C450" i="1"/>
  <c r="E449" i="1"/>
  <c r="C449" i="1"/>
  <c r="E448" i="1"/>
  <c r="C448" i="1"/>
  <c r="E447" i="1"/>
  <c r="C447" i="1"/>
  <c r="E446" i="1"/>
  <c r="C446" i="1"/>
  <c r="E445" i="1"/>
  <c r="C445" i="1"/>
  <c r="E444" i="1"/>
  <c r="C444" i="1"/>
  <c r="E443" i="1"/>
  <c r="C443" i="1"/>
  <c r="E442" i="1"/>
  <c r="C442" i="1"/>
  <c r="E441" i="1"/>
  <c r="C441" i="1"/>
  <c r="E440" i="1"/>
  <c r="C440" i="1"/>
  <c r="E439" i="1"/>
  <c r="C439" i="1"/>
  <c r="E438" i="1"/>
  <c r="C438" i="1"/>
  <c r="E437" i="1"/>
  <c r="C437" i="1"/>
  <c r="E436" i="1"/>
  <c r="C436" i="1"/>
  <c r="E435" i="1"/>
  <c r="C435" i="1"/>
  <c r="E434" i="1"/>
  <c r="C434" i="1"/>
  <c r="E433" i="1"/>
  <c r="C433" i="1"/>
  <c r="E432" i="1"/>
  <c r="C432" i="1"/>
  <c r="E431" i="1"/>
  <c r="C431" i="1"/>
  <c r="E430" i="1"/>
  <c r="C430" i="1"/>
  <c r="E429" i="1"/>
  <c r="C429" i="1"/>
  <c r="E428" i="1"/>
  <c r="C428" i="1"/>
  <c r="E427" i="1"/>
  <c r="C427" i="1"/>
  <c r="E426" i="1"/>
  <c r="C426" i="1"/>
  <c r="E425" i="1"/>
  <c r="C425" i="1"/>
  <c r="E424" i="1"/>
  <c r="C424" i="1"/>
  <c r="E423" i="1"/>
  <c r="C423" i="1"/>
  <c r="E422" i="1"/>
  <c r="C422" i="1"/>
  <c r="E421" i="1"/>
  <c r="C421" i="1"/>
  <c r="E420" i="1"/>
  <c r="C420" i="1"/>
  <c r="E419" i="1"/>
  <c r="C419" i="1"/>
  <c r="E418" i="1"/>
  <c r="C418" i="1"/>
  <c r="E417" i="1"/>
  <c r="C417" i="1"/>
  <c r="E416" i="1"/>
  <c r="C416" i="1"/>
  <c r="E415" i="1"/>
  <c r="C415" i="1"/>
  <c r="E414" i="1"/>
  <c r="C414" i="1"/>
  <c r="E413" i="1"/>
  <c r="C413" i="1"/>
  <c r="E412" i="1"/>
  <c r="C412" i="1"/>
  <c r="E411" i="1"/>
  <c r="C411" i="1"/>
  <c r="E410" i="1"/>
  <c r="C410" i="1"/>
  <c r="E409" i="1"/>
  <c r="C409" i="1"/>
  <c r="E408" i="1"/>
  <c r="C408" i="1"/>
  <c r="E407" i="1"/>
  <c r="C407" i="1"/>
  <c r="E406" i="1"/>
  <c r="C406" i="1"/>
  <c r="E405" i="1"/>
  <c r="C405" i="1"/>
  <c r="E404" i="1"/>
  <c r="C404" i="1"/>
  <c r="E403" i="1"/>
  <c r="C403" i="1"/>
  <c r="E402" i="1"/>
  <c r="C402" i="1"/>
  <c r="E401" i="1"/>
  <c r="C401" i="1"/>
  <c r="E400" i="1"/>
  <c r="C400" i="1"/>
  <c r="E399" i="1"/>
  <c r="C399" i="1"/>
  <c r="E398" i="1"/>
  <c r="C398" i="1"/>
  <c r="E397" i="1"/>
  <c r="C397" i="1"/>
  <c r="E396" i="1"/>
  <c r="C396" i="1"/>
  <c r="E395" i="1"/>
  <c r="C395" i="1"/>
  <c r="E394" i="1"/>
  <c r="C394" i="1"/>
  <c r="E393" i="1"/>
  <c r="C393" i="1"/>
  <c r="E392" i="1"/>
  <c r="C392" i="1"/>
  <c r="E391" i="1"/>
  <c r="C391" i="1"/>
  <c r="E390" i="1"/>
  <c r="C390" i="1"/>
  <c r="E389" i="1"/>
  <c r="C389" i="1"/>
  <c r="E388" i="1"/>
  <c r="C388" i="1"/>
  <c r="E387" i="1"/>
  <c r="C387" i="1"/>
  <c r="E386" i="1"/>
  <c r="C386" i="1"/>
  <c r="E385" i="1"/>
  <c r="C385" i="1"/>
  <c r="E384" i="1"/>
  <c r="C384" i="1"/>
  <c r="E383" i="1"/>
  <c r="C383" i="1"/>
  <c r="E382" i="1"/>
  <c r="C382" i="1"/>
  <c r="E381" i="1"/>
  <c r="C381" i="1"/>
  <c r="E380" i="1"/>
  <c r="C380" i="1"/>
  <c r="E379" i="1"/>
  <c r="C379" i="1"/>
  <c r="E378" i="1"/>
  <c r="C378" i="1"/>
  <c r="E377" i="1"/>
  <c r="C377" i="1"/>
  <c r="E376" i="1"/>
  <c r="C376" i="1"/>
  <c r="E375" i="1"/>
  <c r="C375" i="1"/>
  <c r="E374" i="1"/>
  <c r="C374" i="1"/>
  <c r="E373" i="1"/>
  <c r="C373" i="1"/>
  <c r="E372" i="1"/>
  <c r="C372" i="1"/>
  <c r="E371" i="1"/>
  <c r="C371" i="1"/>
  <c r="E370" i="1"/>
  <c r="C370" i="1"/>
  <c r="E369" i="1"/>
  <c r="C369" i="1"/>
  <c r="E368" i="1"/>
  <c r="C368" i="1"/>
  <c r="E367" i="1"/>
  <c r="C367" i="1"/>
  <c r="E366" i="1"/>
  <c r="C366" i="1"/>
  <c r="E365" i="1"/>
  <c r="C365" i="1"/>
  <c r="E364" i="1"/>
  <c r="C364" i="1"/>
  <c r="E363" i="1"/>
  <c r="C363" i="1"/>
  <c r="E362" i="1"/>
  <c r="C362" i="1"/>
  <c r="E361" i="1"/>
  <c r="C361" i="1"/>
  <c r="E360" i="1"/>
  <c r="C360" i="1"/>
  <c r="E359" i="1"/>
  <c r="C359" i="1"/>
  <c r="E358" i="1"/>
  <c r="C358" i="1"/>
  <c r="E357" i="1"/>
  <c r="C357" i="1"/>
  <c r="E356" i="1"/>
  <c r="C356" i="1"/>
  <c r="E355" i="1"/>
  <c r="C355" i="1"/>
  <c r="E354" i="1"/>
  <c r="C354" i="1"/>
  <c r="E353" i="1"/>
  <c r="C353" i="1"/>
  <c r="E352" i="1"/>
  <c r="C352" i="1"/>
  <c r="E351" i="1"/>
  <c r="C351" i="1"/>
  <c r="E350" i="1"/>
  <c r="C350" i="1"/>
  <c r="E349" i="1"/>
  <c r="C349" i="1"/>
  <c r="E348" i="1"/>
  <c r="C348" i="1"/>
  <c r="E347" i="1"/>
  <c r="C347" i="1"/>
  <c r="E346" i="1"/>
  <c r="C346" i="1"/>
  <c r="E345" i="1"/>
  <c r="C345" i="1"/>
  <c r="E344" i="1"/>
  <c r="C344" i="1"/>
  <c r="E343" i="1"/>
  <c r="C343" i="1"/>
  <c r="E342" i="1"/>
  <c r="C342" i="1"/>
  <c r="E341" i="1"/>
  <c r="C341" i="1"/>
  <c r="E340" i="1"/>
  <c r="C340" i="1"/>
  <c r="E339" i="1"/>
  <c r="C339" i="1"/>
  <c r="E338" i="1"/>
  <c r="C338" i="1"/>
  <c r="E337" i="1"/>
  <c r="C337" i="1"/>
  <c r="E336" i="1"/>
  <c r="C336" i="1"/>
  <c r="E335" i="1"/>
  <c r="C335" i="1"/>
  <c r="E334" i="1"/>
  <c r="C334" i="1"/>
  <c r="E333" i="1"/>
  <c r="C333" i="1"/>
  <c r="E332" i="1"/>
  <c r="C332" i="1"/>
  <c r="E331" i="1"/>
  <c r="C331" i="1"/>
  <c r="E330" i="1"/>
  <c r="C330" i="1"/>
  <c r="E329" i="1"/>
  <c r="C329" i="1"/>
  <c r="E328" i="1"/>
  <c r="C328" i="1"/>
  <c r="E327" i="1"/>
  <c r="C327" i="1"/>
  <c r="E326" i="1"/>
  <c r="C326" i="1"/>
  <c r="E325" i="1"/>
  <c r="C325" i="1"/>
  <c r="E324" i="1"/>
  <c r="C324" i="1"/>
  <c r="E323" i="1"/>
  <c r="C323" i="1"/>
  <c r="E322" i="1"/>
  <c r="C322" i="1"/>
  <c r="E321" i="1"/>
  <c r="C321" i="1"/>
  <c r="E320" i="1"/>
  <c r="C320" i="1"/>
  <c r="E319" i="1"/>
  <c r="C319" i="1"/>
  <c r="E318" i="1"/>
  <c r="C318" i="1"/>
  <c r="E317" i="1"/>
  <c r="C317" i="1"/>
  <c r="E316" i="1"/>
  <c r="C316" i="1"/>
  <c r="E315" i="1"/>
  <c r="C315" i="1"/>
  <c r="E314" i="1"/>
  <c r="C314" i="1"/>
  <c r="E313" i="1"/>
  <c r="C313" i="1"/>
  <c r="E312" i="1"/>
  <c r="C312" i="1"/>
  <c r="E311" i="1"/>
  <c r="C311" i="1"/>
  <c r="E310" i="1"/>
  <c r="C310" i="1"/>
  <c r="E309" i="1"/>
  <c r="C309" i="1"/>
  <c r="E308" i="1"/>
  <c r="C308" i="1"/>
  <c r="E307" i="1"/>
  <c r="C307" i="1"/>
  <c r="E306" i="1"/>
  <c r="C306" i="1"/>
  <c r="E305" i="1"/>
  <c r="C305" i="1"/>
  <c r="E304" i="1"/>
  <c r="C304" i="1"/>
  <c r="E303" i="1"/>
  <c r="C303" i="1"/>
  <c r="E302" i="1"/>
  <c r="C302" i="1"/>
  <c r="E301" i="1"/>
  <c r="C301" i="1"/>
  <c r="E300" i="1"/>
  <c r="C300" i="1"/>
  <c r="E299" i="1"/>
  <c r="C299" i="1"/>
  <c r="E298" i="1"/>
  <c r="C298" i="1"/>
  <c r="E297" i="1"/>
  <c r="C297" i="1"/>
  <c r="E296" i="1"/>
  <c r="C296" i="1"/>
  <c r="E295" i="1"/>
  <c r="C295" i="1"/>
  <c r="E294" i="1"/>
  <c r="C294" i="1"/>
  <c r="E293" i="1"/>
  <c r="C293" i="1"/>
  <c r="E292" i="1"/>
  <c r="C292" i="1"/>
  <c r="E291" i="1"/>
  <c r="C291" i="1"/>
  <c r="E290" i="1"/>
  <c r="C290" i="1"/>
  <c r="E289" i="1"/>
  <c r="C289" i="1"/>
  <c r="E288" i="1"/>
  <c r="C288" i="1"/>
  <c r="E287" i="1"/>
  <c r="C287" i="1"/>
  <c r="E286" i="1"/>
  <c r="C286" i="1"/>
  <c r="E285" i="1"/>
  <c r="C285" i="1"/>
  <c r="E284" i="1"/>
  <c r="C284" i="1"/>
  <c r="E283" i="1"/>
  <c r="C283" i="1"/>
  <c r="E282" i="1"/>
  <c r="C282" i="1"/>
  <c r="E281" i="1"/>
  <c r="C281" i="1"/>
  <c r="E280" i="1"/>
  <c r="C280" i="1"/>
  <c r="E279" i="1"/>
  <c r="C279" i="1"/>
  <c r="E278" i="1"/>
  <c r="C278" i="1"/>
  <c r="E277" i="1"/>
  <c r="C277" i="1"/>
  <c r="E276" i="1"/>
  <c r="C276" i="1"/>
  <c r="E275" i="1"/>
  <c r="C275" i="1"/>
  <c r="E274" i="1"/>
  <c r="C274" i="1"/>
  <c r="E273" i="1"/>
  <c r="C273" i="1"/>
  <c r="E272" i="1"/>
  <c r="C272" i="1"/>
  <c r="E271" i="1"/>
  <c r="C271" i="1"/>
  <c r="E270" i="1"/>
  <c r="C270" i="1"/>
  <c r="E269" i="1"/>
  <c r="C269" i="1"/>
  <c r="E268" i="1"/>
  <c r="C268" i="1"/>
  <c r="E267" i="1"/>
  <c r="C267" i="1"/>
  <c r="E266" i="1"/>
  <c r="C266" i="1"/>
  <c r="E265" i="1"/>
  <c r="C265" i="1"/>
  <c r="E264" i="1"/>
  <c r="C264" i="1"/>
  <c r="E263" i="1"/>
  <c r="C263" i="1"/>
  <c r="E262" i="1"/>
  <c r="C262" i="1"/>
  <c r="E261" i="1"/>
  <c r="C261" i="1"/>
  <c r="E260" i="1"/>
  <c r="C260" i="1"/>
  <c r="E259" i="1"/>
  <c r="C259" i="1"/>
  <c r="E258" i="1"/>
  <c r="C258" i="1"/>
  <c r="E257" i="1"/>
  <c r="C257" i="1"/>
  <c r="E256" i="1"/>
  <c r="C256" i="1"/>
  <c r="E255" i="1"/>
  <c r="C255" i="1"/>
  <c r="E254" i="1"/>
  <c r="C254" i="1"/>
  <c r="E253" i="1"/>
  <c r="C253" i="1"/>
  <c r="E252" i="1"/>
  <c r="C252" i="1"/>
  <c r="E251" i="1"/>
  <c r="C251" i="1"/>
  <c r="E250" i="1"/>
  <c r="C250" i="1"/>
  <c r="E249" i="1"/>
  <c r="C249" i="1"/>
  <c r="E248" i="1"/>
  <c r="C248" i="1"/>
  <c r="E247" i="1"/>
  <c r="C247" i="1"/>
  <c r="E246" i="1"/>
  <c r="C246" i="1"/>
  <c r="E245" i="1"/>
  <c r="C245" i="1"/>
  <c r="E244" i="1"/>
  <c r="C244" i="1"/>
  <c r="E243" i="1"/>
  <c r="C243" i="1"/>
  <c r="E242" i="1"/>
  <c r="C242" i="1"/>
  <c r="E241" i="1"/>
  <c r="C241" i="1"/>
  <c r="E240" i="1"/>
  <c r="C240" i="1"/>
  <c r="E239" i="1"/>
  <c r="C239" i="1"/>
  <c r="E238" i="1"/>
  <c r="C238" i="1"/>
  <c r="E237" i="1"/>
  <c r="C237" i="1"/>
  <c r="E236" i="1"/>
  <c r="C236" i="1"/>
  <c r="E235" i="1"/>
  <c r="C235" i="1"/>
  <c r="E234" i="1"/>
  <c r="C234" i="1"/>
  <c r="E233" i="1"/>
  <c r="C233" i="1"/>
  <c r="E232" i="1"/>
  <c r="C232" i="1"/>
  <c r="E231" i="1"/>
  <c r="C231" i="1"/>
  <c r="E230" i="1"/>
  <c r="C230" i="1"/>
  <c r="E229" i="1"/>
  <c r="C229" i="1"/>
  <c r="E228" i="1"/>
  <c r="C228" i="1"/>
  <c r="E227" i="1"/>
  <c r="C227" i="1"/>
  <c r="E226" i="1"/>
  <c r="C226" i="1"/>
  <c r="E225" i="1"/>
  <c r="C225" i="1"/>
  <c r="E224" i="1"/>
  <c r="C224" i="1"/>
  <c r="E223" i="1"/>
  <c r="C223" i="1"/>
  <c r="E222" i="1"/>
  <c r="C222" i="1"/>
  <c r="E221" i="1"/>
  <c r="C221" i="1"/>
  <c r="E220" i="1"/>
  <c r="C220" i="1"/>
  <c r="E219" i="1"/>
  <c r="C219" i="1"/>
  <c r="E218" i="1"/>
  <c r="C218" i="1"/>
  <c r="E217" i="1"/>
  <c r="C217" i="1"/>
  <c r="E216" i="1"/>
  <c r="C216" i="1"/>
  <c r="E215" i="1"/>
  <c r="C215" i="1"/>
  <c r="E214" i="1"/>
  <c r="C214" i="1"/>
  <c r="E213" i="1"/>
  <c r="C213" i="1"/>
  <c r="E212" i="1"/>
  <c r="C212" i="1"/>
  <c r="E211" i="1"/>
  <c r="C211" i="1"/>
  <c r="E210" i="1"/>
  <c r="C210" i="1"/>
  <c r="E209" i="1"/>
  <c r="C209" i="1"/>
  <c r="E208" i="1"/>
  <c r="C208" i="1"/>
  <c r="E207" i="1"/>
  <c r="C207" i="1"/>
  <c r="E206" i="1"/>
  <c r="C206" i="1"/>
  <c r="E205" i="1"/>
  <c r="C205" i="1"/>
  <c r="E204" i="1"/>
  <c r="C204" i="1"/>
  <c r="E203" i="1"/>
  <c r="C203" i="1"/>
  <c r="E202" i="1"/>
  <c r="C202" i="1"/>
  <c r="E201" i="1"/>
  <c r="C201" i="1"/>
  <c r="E200" i="1"/>
  <c r="C200" i="1"/>
  <c r="E199" i="1"/>
  <c r="C199" i="1"/>
  <c r="E198" i="1"/>
  <c r="C198" i="1"/>
  <c r="E197" i="1"/>
  <c r="C197" i="1"/>
  <c r="E196" i="1"/>
  <c r="C196" i="1"/>
  <c r="E195" i="1"/>
  <c r="C195" i="1"/>
  <c r="E194" i="1"/>
  <c r="C194" i="1"/>
  <c r="E193" i="1"/>
  <c r="E192" i="1"/>
  <c r="C192" i="1"/>
  <c r="E191" i="1"/>
  <c r="C191" i="1"/>
  <c r="E190" i="1"/>
  <c r="C190" i="1"/>
  <c r="E189" i="1"/>
  <c r="C189" i="1"/>
  <c r="E188" i="1"/>
  <c r="C188" i="1"/>
  <c r="E187" i="1"/>
  <c r="C187" i="1"/>
  <c r="E186" i="1"/>
  <c r="C186" i="1"/>
  <c r="E185" i="1"/>
  <c r="C185" i="1"/>
  <c r="E184" i="1"/>
  <c r="C184" i="1"/>
  <c r="E183" i="1"/>
  <c r="C183" i="1"/>
  <c r="E182" i="1"/>
  <c r="C182" i="1"/>
  <c r="E181" i="1"/>
  <c r="C181" i="1"/>
  <c r="E180" i="1"/>
  <c r="C180" i="1"/>
  <c r="E179" i="1"/>
  <c r="C179" i="1"/>
  <c r="E178" i="1"/>
  <c r="C178" i="1"/>
  <c r="E177" i="1"/>
  <c r="C177" i="1"/>
  <c r="E176" i="1"/>
  <c r="C176" i="1"/>
  <c r="E175" i="1"/>
  <c r="C175" i="1"/>
  <c r="E174" i="1"/>
  <c r="C174" i="1"/>
  <c r="E173" i="1"/>
  <c r="C173" i="1"/>
  <c r="E172" i="1"/>
  <c r="C172" i="1"/>
  <c r="E171" i="1"/>
  <c r="C171" i="1"/>
  <c r="E170" i="1"/>
  <c r="C170" i="1"/>
  <c r="E169" i="1"/>
  <c r="C169" i="1"/>
  <c r="E168" i="1"/>
  <c r="C168" i="1"/>
  <c r="E167" i="1"/>
  <c r="C167" i="1"/>
  <c r="E166" i="1"/>
  <c r="C166" i="1"/>
  <c r="E165" i="1"/>
  <c r="C165" i="1"/>
  <c r="E164" i="1"/>
  <c r="C164" i="1"/>
  <c r="E163" i="1"/>
  <c r="C163" i="1"/>
  <c r="E162" i="1"/>
  <c r="C162" i="1"/>
  <c r="E161" i="1"/>
  <c r="C161" i="1"/>
  <c r="E160" i="1"/>
  <c r="C160" i="1"/>
  <c r="E159" i="1"/>
  <c r="C159" i="1"/>
  <c r="E158" i="1"/>
  <c r="C158" i="1"/>
  <c r="E157" i="1"/>
  <c r="C157" i="1"/>
  <c r="E156" i="1"/>
  <c r="C156" i="1"/>
  <c r="E155" i="1"/>
  <c r="C155" i="1"/>
  <c r="E154" i="1"/>
  <c r="C154" i="1"/>
  <c r="E153" i="1"/>
  <c r="C153" i="1"/>
  <c r="E152" i="1"/>
  <c r="C152" i="1"/>
  <c r="E151" i="1"/>
  <c r="C151" i="1"/>
  <c r="E150" i="1"/>
  <c r="C150" i="1"/>
  <c r="E149" i="1"/>
  <c r="C149" i="1"/>
  <c r="E148" i="1"/>
  <c r="C148" i="1"/>
  <c r="E147" i="1"/>
  <c r="C147" i="1"/>
  <c r="E146" i="1"/>
  <c r="C146" i="1"/>
  <c r="E145" i="1"/>
  <c r="C145" i="1"/>
  <c r="E144" i="1"/>
  <c r="C144" i="1"/>
  <c r="E143" i="1"/>
  <c r="C143" i="1"/>
  <c r="E142" i="1"/>
  <c r="C142" i="1"/>
  <c r="E141" i="1"/>
  <c r="C141" i="1"/>
  <c r="E140" i="1"/>
  <c r="C140" i="1"/>
  <c r="E139" i="1"/>
  <c r="C139" i="1"/>
  <c r="E138" i="1"/>
  <c r="C138" i="1"/>
  <c r="E137" i="1"/>
  <c r="C137" i="1"/>
  <c r="E136" i="1"/>
  <c r="C136" i="1"/>
  <c r="E135" i="1"/>
  <c r="C135" i="1"/>
  <c r="E134" i="1"/>
  <c r="E133" i="1"/>
  <c r="C133" i="1"/>
  <c r="E132" i="1"/>
  <c r="C132" i="1"/>
  <c r="E131" i="1"/>
  <c r="C131" i="1"/>
  <c r="E130" i="1"/>
  <c r="C130" i="1"/>
  <c r="E129" i="1"/>
  <c r="C129" i="1"/>
  <c r="E128" i="1"/>
  <c r="C128" i="1"/>
  <c r="E127" i="1"/>
  <c r="C127" i="1"/>
  <c r="E126" i="1"/>
  <c r="C126" i="1"/>
  <c r="E125" i="1"/>
  <c r="C125" i="1"/>
  <c r="E124" i="1"/>
  <c r="C124" i="1"/>
  <c r="E123" i="1"/>
  <c r="C123" i="1"/>
  <c r="E122" i="1"/>
  <c r="C122" i="1"/>
  <c r="E121" i="1"/>
  <c r="C121" i="1"/>
  <c r="E120" i="1"/>
  <c r="C120" i="1"/>
  <c r="E119" i="1"/>
  <c r="C119" i="1"/>
  <c r="E118" i="1"/>
  <c r="C118" i="1"/>
  <c r="E117" i="1"/>
  <c r="C117" i="1"/>
  <c r="E116" i="1"/>
  <c r="C116" i="1"/>
  <c r="E115" i="1"/>
  <c r="C115" i="1"/>
  <c r="E114" i="1"/>
  <c r="C114" i="1"/>
  <c r="E113" i="1"/>
  <c r="C113" i="1"/>
  <c r="E112" i="1"/>
  <c r="C112" i="1"/>
  <c r="E111" i="1"/>
  <c r="C111" i="1"/>
  <c r="E110" i="1"/>
  <c r="C110" i="1"/>
  <c r="E109" i="1"/>
  <c r="C109" i="1"/>
  <c r="E108" i="1"/>
  <c r="C108" i="1"/>
  <c r="E107" i="1"/>
  <c r="C107" i="1"/>
  <c r="E106" i="1"/>
  <c r="C106" i="1"/>
  <c r="E105" i="1"/>
  <c r="C105" i="1"/>
  <c r="E104" i="1"/>
  <c r="C104" i="1"/>
  <c r="E103" i="1"/>
  <c r="C103" i="1"/>
  <c r="E102" i="1"/>
  <c r="C102" i="1"/>
  <c r="E101" i="1"/>
  <c r="C101" i="1"/>
  <c r="E100" i="1"/>
  <c r="C100" i="1"/>
  <c r="E99" i="1"/>
  <c r="C99" i="1"/>
  <c r="E98" i="1"/>
  <c r="C98" i="1"/>
  <c r="E97" i="1"/>
  <c r="C97" i="1"/>
  <c r="E96" i="1"/>
  <c r="C96" i="1"/>
  <c r="E95" i="1"/>
  <c r="C95" i="1"/>
  <c r="E94" i="1"/>
  <c r="C94" i="1"/>
  <c r="E93" i="1"/>
  <c r="C93" i="1"/>
  <c r="E92" i="1"/>
  <c r="C92" i="1"/>
  <c r="E91" i="1"/>
  <c r="C91" i="1"/>
  <c r="E90" i="1"/>
  <c r="C90" i="1"/>
  <c r="E89" i="1"/>
  <c r="C89" i="1"/>
  <c r="E88" i="1"/>
  <c r="C88" i="1"/>
  <c r="E87" i="1"/>
  <c r="C87" i="1"/>
  <c r="E86" i="1"/>
  <c r="C86" i="1"/>
  <c r="E85" i="1"/>
  <c r="C85" i="1"/>
  <c r="E84" i="1"/>
  <c r="C84" i="1"/>
  <c r="E83" i="1"/>
  <c r="C83" i="1"/>
  <c r="E82" i="1"/>
  <c r="C82" i="1"/>
  <c r="E81" i="1"/>
  <c r="C81" i="1"/>
  <c r="E80" i="1"/>
  <c r="C80" i="1"/>
  <c r="E79" i="1"/>
  <c r="C79" i="1"/>
  <c r="E78" i="1"/>
  <c r="C78" i="1"/>
  <c r="E77" i="1"/>
  <c r="C77" i="1"/>
  <c r="E76" i="1"/>
  <c r="C76" i="1"/>
  <c r="E75" i="1"/>
  <c r="C75" i="1"/>
  <c r="E74" i="1"/>
  <c r="C74" i="1"/>
  <c r="E73" i="1"/>
  <c r="C73" i="1"/>
  <c r="E72" i="1"/>
  <c r="C72" i="1"/>
  <c r="E71" i="1"/>
  <c r="C71" i="1"/>
  <c r="E70" i="1"/>
  <c r="C70" i="1"/>
  <c r="E69" i="1"/>
  <c r="C69" i="1"/>
  <c r="E68" i="1"/>
  <c r="C68" i="1"/>
  <c r="E67" i="1"/>
  <c r="C67" i="1"/>
  <c r="E66" i="1"/>
  <c r="C66" i="1"/>
  <c r="E65" i="1"/>
  <c r="C65" i="1"/>
  <c r="E64" i="1"/>
  <c r="C64" i="1"/>
  <c r="E63" i="1"/>
  <c r="C63" i="1"/>
  <c r="E62" i="1"/>
  <c r="C62" i="1"/>
  <c r="E61" i="1"/>
  <c r="C61" i="1"/>
  <c r="E60" i="1"/>
  <c r="C60" i="1"/>
  <c r="E59" i="1"/>
  <c r="C59" i="1"/>
  <c r="E58" i="1"/>
  <c r="C58" i="1"/>
  <c r="E57" i="1"/>
  <c r="C57" i="1"/>
  <c r="E56" i="1"/>
  <c r="C56" i="1"/>
  <c r="E55" i="1"/>
  <c r="C55" i="1"/>
  <c r="E54" i="1"/>
  <c r="C54" i="1"/>
  <c r="E53" i="1"/>
  <c r="C53" i="1"/>
  <c r="E52" i="1"/>
  <c r="C52" i="1"/>
  <c r="E51" i="1"/>
  <c r="C51" i="1"/>
  <c r="E50" i="1"/>
  <c r="C50" i="1"/>
  <c r="E49" i="1"/>
  <c r="C49" i="1"/>
  <c r="E48" i="1"/>
  <c r="C48" i="1"/>
  <c r="E47" i="1"/>
  <c r="C47" i="1"/>
  <c r="E46" i="1"/>
  <c r="C46" i="1"/>
  <c r="E45" i="1"/>
  <c r="C45" i="1"/>
  <c r="E44" i="1"/>
  <c r="C44" i="1"/>
  <c r="E43" i="1"/>
  <c r="C43" i="1"/>
  <c r="E42" i="1"/>
  <c r="C42" i="1"/>
  <c r="E41" i="1"/>
  <c r="C41" i="1"/>
  <c r="E40" i="1"/>
  <c r="C40" i="1"/>
  <c r="E39" i="1"/>
  <c r="C39" i="1"/>
  <c r="E38" i="1"/>
  <c r="C38" i="1"/>
  <c r="E37" i="1"/>
  <c r="C37" i="1"/>
  <c r="E36" i="1"/>
  <c r="C36" i="1"/>
  <c r="E35" i="1"/>
  <c r="C35" i="1"/>
  <c r="E34" i="1"/>
  <c r="C34" i="1"/>
  <c r="E33" i="1"/>
  <c r="C33" i="1"/>
  <c r="E32" i="1"/>
  <c r="C32" i="1"/>
  <c r="E31" i="1"/>
  <c r="C31" i="1"/>
  <c r="E30" i="1"/>
  <c r="C30" i="1"/>
  <c r="E29" i="1"/>
  <c r="C29" i="1"/>
  <c r="E28" i="1"/>
  <c r="C28" i="1"/>
  <c r="E27" i="1"/>
  <c r="C27" i="1"/>
  <c r="E26" i="1"/>
  <c r="C26" i="1"/>
  <c r="E25" i="1"/>
  <c r="C25" i="1"/>
  <c r="E24" i="1"/>
  <c r="C24" i="1"/>
  <c r="E23" i="1"/>
  <c r="C23" i="1"/>
  <c r="E22" i="1"/>
  <c r="C22" i="1"/>
  <c r="E21" i="1"/>
  <c r="C21" i="1"/>
  <c r="E20" i="1"/>
  <c r="C20" i="1"/>
  <c r="E19" i="1"/>
  <c r="C19" i="1"/>
  <c r="E18" i="1"/>
  <c r="C18" i="1"/>
  <c r="E17" i="1"/>
  <c r="C17" i="1"/>
  <c r="E16" i="1"/>
  <c r="C16" i="1"/>
  <c r="E15" i="1"/>
  <c r="C15" i="1"/>
  <c r="E14" i="1"/>
  <c r="C14" i="1"/>
  <c r="E13" i="1"/>
  <c r="C13" i="1"/>
  <c r="E12" i="1"/>
  <c r="C12" i="1"/>
  <c r="E11" i="1"/>
  <c r="C11" i="1"/>
  <c r="E10" i="1"/>
  <c r="C10" i="1"/>
  <c r="E9" i="1"/>
  <c r="C9" i="1"/>
  <c r="E8" i="1"/>
  <c r="C8" i="1"/>
  <c r="E7" i="1"/>
  <c r="C7" i="1"/>
  <c r="E6" i="1"/>
  <c r="C6" i="1"/>
  <c r="E5" i="1"/>
  <c r="C5" i="1"/>
  <c r="E4" i="1"/>
  <c r="C4" i="1"/>
  <c r="E3" i="1"/>
  <c r="C3" i="1"/>
  <c r="E2" i="1"/>
  <c r="C2" i="1"/>
</calcChain>
</file>

<file path=xl/sharedStrings.xml><?xml version="1.0" encoding="utf-8"?>
<sst xmlns="http://schemas.openxmlformats.org/spreadsheetml/2006/main" count="13397" uniqueCount="12430">
  <si>
    <t>公开(公告)号</t>
  </si>
  <si>
    <t>IDS00202309011A</t>
  </si>
  <si>
    <t>工业4.0的发展迫使我们与科技相处,需要多种工具可以通过物联网(IoT)进行操作和监控。 物联网在学校环境中的应用仍然很少。 因此,有必要向教育机构建议一种可以在学校中应用的基于物联网的工具,以一种易于理解的形式介绍物联网系统的准备,以便学生能够重新创建物联网系统。它通过一个 教练套件 其目的是在培训师套件中引入物联网概念,该套件称为物联网研讨会套件 (IWK)。 该 IWK 针对学校机构,特别是电子工程系。 基于这些目标,IWK以实用且简单的方式创建,以将环境传感器系统实现为可在学校实现的检测室内外温度的系统。 物联网研讨会套件 是工具的复制品,可在安装在套件板上的工具框架内作为职业学校学生的学习媒介。 环境传感器 本身就是一个功能是检测温度的工具,室内外温度都有。 除了温度之外,环境传感器还可以通过屏幕显示所需城市的时间和天气。</t>
  </si>
  <si>
    <t>基于物联网的环境温度传感器实用装置</t>
  </si>
  <si>
    <t>IN202321058431A</t>
  </si>
  <si>
    <t>一种用于提供用于使用卷积神经网络(CNN)模型对板球学习者分类板球击球的系统(100)的方法和系统。 该系统(100)包括相机(102)。 摄像机(102)被配置为捕捉学习者打板球的视频。 该系统执行以下步骤:在带注释的板球视频和系统的综合数据集上训练CNN模型(106),学习使用训练数据在没有人为干预的情况下准确分类镜头,接收学习者打球的输入视频(104) 板球,使用训练数据对学习者击球的类型进行实时分类,并为学习者提供对学习者表现、比赛策略和辅导帮助的快速评估。 图1-2</t>
  </si>
  <si>
    <t>使用 CNN 模型为板球学习者分类板球击球的方法和系统</t>
  </si>
  <si>
    <t>IN202341057764A</t>
  </si>
  <si>
    <t>视频摘要是仅选择和呈现较长视频中最重要和最相关部分的过程。 此过程很重要,因为它减少了查看和分析视频所需的时间和资源,从而更容易从中提取有意义的信息。 关键帧提取、场景分割和对象跟踪是用于视频摘要的一些技术。 机器学习和计算机视觉的最新进展促进了更复杂、更有效的视频摘要算法的发展,这些算法可以生成准确、简洁且信息丰富的视频摘要,为视频内容提供有价值的见解。 视频摘要具有广泛的应用,包括监控、体育分析和在线视频共享,并且有可能改变我们与视频内容交互和理解的方式。</t>
  </si>
  <si>
    <t>用于个性化金融服务的物联网增强型自动聊天机器人</t>
  </si>
  <si>
    <t>IN202341057083A</t>
  </si>
  <si>
    <t>我们的发明“高级网络安全设计”是利用通过网络连接的“智能”小工具和应用程序可以提高个人和团体的表现。 体育领域的物联网(IoT)是指通过网络连接的所有“智能”小工具和程序,以最大限度地减少伤害,创建尖端的训练方法,并使用分析复杂的运动改进方法来提高整体运动表现。 物联网在体育运动中的使用证明,体育运动中的安全和隐私目标是紧密相关的,并且近年来已成为体育行业的主要担忧。 因此,安全故障可能会产生灾难性的影响,例如私人信息的泄露、统计结果的伪造、公司声誉的损害以及体育组织的重大财务损失。 正如已经提到的,其中一项或多项影响与体育组织和属于这些组织的运动员有关,并且对相应的体育相关、医疗相关和辅助医疗企业群体产生直接影响,特别是那些 提供专门的运动器材和相关服务。</t>
  </si>
  <si>
    <t>先进的网络安全设计</t>
  </si>
  <si>
    <t>AU2023214372A1</t>
  </si>
  <si>
    <t>一种用于监视、记录和处理活动的系统,包括用于自动记录活动的视频的一个或多个摄像机。 远程媒体系统位于活动地点。 网络媒体处理器和服务与远程媒体系统通信地耦合。 远程媒体系统包括一台或多台支持人工智能的摄像机。 启用人工智能的摄像头被配置为记录活动。 网络媒体处理器被配置为接收启用AI的摄像机的激活请求并验证记录请求。 系统可以自动管理基于技能的竞赛。</t>
  </si>
  <si>
    <t>自主高尔夫比赛系统和方法</t>
  </si>
  <si>
    <t>CN116758461A</t>
  </si>
  <si>
    <t>本发明公开了基于神经网络的排球比赛智能判罚方法、设备及存储介质，所述方法包括从实时视频流中获取采样图像，提取目标检测区域图像；基于霍夫梯度法计算目标检测区域图像的非零点梯度，形成圆形数据集并计算得到目标球体预测结果；将所述检测数据集归一化处理后得到目标球体的坐标；基于多层卷积神经网络结构，对目标检测区域图像进行特征提取，生成目标人体特征图，结合目标球体的坐标，计算并输出人物交互检测序列。从实时视频流中获取采样图像，进而在目标检测算法中得到结果，较小的球体目标检测具备更好的泛化能力，自适应采样的方法提升了检测的实时性，基于多层降级神经网络结构，提高了目标人体特征图以及目标球体预测结果的准确率。</t>
  </si>
  <si>
    <t>基于神经网络的排球比赛智能判罚方法、设备及存储介质</t>
  </si>
  <si>
    <t>IN202311053684A</t>
  </si>
  <si>
    <t>面向孕妇和初级/社区卫生中心的 ASHA 工作人员的人工智能驱动的移动应用程序系统,包括文本生成指南(101)、饮食计划演示器(102)和体育锻炼推荐系统(103); 这是基于人工智能的信息传递系统; 其中系统向 ASHA 工作人员提供有关政府或预定准则的实时信息以及其他必要信息。 该应用程序使孕妇可以通过提交移动验证注册流程轻松注册并开始使用。 注册后,孕妇可以使用许多有用的功能,以利用 ASHA 工作人员提供的所有医疗服务。</t>
  </si>
  <si>
    <t>一种面向阿莎工作者的人工智能辅助移动应用系统及其方法</t>
  </si>
  <si>
    <t>CN116785677A</t>
  </si>
  <si>
    <t>本发明公开了一种基于可穿戴传感器与机器学习的篮球动作识别评估系统及方法，包括可穿戴传感器、智能移动终端以及云存储服务器，可穿戴传感器与智能移动终端数据连接，智能移动终端与云存储服务器数据连接，可穿戴传感器设置于篮球运动员的手臂上，用于采集篮球运动员肢体中的一个或多个运动动作的运动数据，智能移动终端用于显示可穿戴传感器测量的运动数据和显示云存储服务器返回的识别结果。本发明的技术方案能够并对相同动作的完成者进行分类，识别出动作的完成者是专业运动员或是业余爱好者，帮助使用者提高篮球技术，且可穿戴传感器结构紧凑，组装方便快捷，且牢固可靠，防水性能高，测量精度高，使用方便，成本低廉。</t>
  </si>
  <si>
    <t>一种基于可穿戴传感器与机器学习的篮球动作识别评估系统及方法</t>
  </si>
  <si>
    <t>CN116726457A</t>
  </si>
  <si>
    <t>本发明涉及健身设备领域，具体公开了一种力量型健身设备的个性化智能力量调节方法，包括AI能力层、服务层、交互渠道和应用层，AI能力层包括语音识别模块、人工智能算法库、用户画像模块、课程动作图谱模块；服务层包括命令词识别模块、体能评估模块、动作完成度检测模块、肌群承受力预测模块、课程强度推荐模块、动作力量预测模块和运动数据采集模块，交互渠道。本发明专利技术能够充分利用语音识别技术、用户画像、知识图谱和人工智能算法，为用户提供更加个性化的健身训练服务，并且健身的过程中可以享受实时精准地自动力量调节，让用户更专注健身本身，让健身更高效、更科学。</t>
  </si>
  <si>
    <t>一种力量型健身设备的个性化智能力量调节方法</t>
  </si>
  <si>
    <t>IN202311050587A</t>
  </si>
  <si>
    <t>本发明公开了一种在血糖仪装置中使用机器学习来实时预测分析血糖水平的方法。 该方法包括使用传感器测量血糖水平并使用机器学习算法持续分析数据。 它还包括集成来自外部来源的数据,例如可穿戴健身追踪器和营养应用程序,以进行全面分析。 使用收集的数据训练机器学习模型,以根据个体模式和特征优化预测。 该方法还包括通过用户界面显示当前血糖水平、趋势图和预测见解,根据预测的血糖水平提供智能警报和个性化建议,并通过行业标准加密协议确保隐私和数据安全。 该发明提供了一种管理血糖水平的先进方法,能够进行实时分析和个性化指导,以改善糖尿病管理。</t>
  </si>
  <si>
    <t>在血糖仪设备中使用机器学习实时预测分析血糖水平的系统和方法</t>
  </si>
  <si>
    <t>CN116810790A</t>
  </si>
  <si>
    <t>本发明公开了一种基于深度学习的网球拾取服务型机器人，包括上位机、控制主板、双目相机、机器人底盘以及网球拾取机构，所述网球拾取机构与机器人底盘插接，所述上位机基于Yolov5s识别算法和极线约束的立体匹配算法，通过基于Yolov5s识别算法和极线约束的立体匹配算法，进一步地基于双目视差原理对目标的三维坐标进行计算，提高网球拾取服务型机器人对网球识别稳定性更高，并且其精度和速度表现也非常优秀，通过基于多目标A&amp;lt;supgt;*&amp;lt;/supgt;捡球路径规划算法的捡球路径规划方案，为机器人规划出一条较为高效和合理的捡球路径，该算法会考虑到球场上实际存在的障碍物，使得规划出的路径较为合理，确保机器人在捡球阶段不会撞到障碍物。</t>
  </si>
  <si>
    <t>一种基于深度学习的网球拾取服务型机器人</t>
  </si>
  <si>
    <t>IN202311049245A</t>
  </si>
  <si>
    <t>[0001] 本发明涉及人工智能技术体育教学领域。 该发明的重点是人工智能设备,可以帮助识别体育馆礼堂中错误的体育活动,促进安全有效的训练环境。 现实世界的实施需要彻底的测试、与健身专家的合作以及密切监控准确性和安全性。 战略性地放置了摄像机和深度传感器网络,以捕获活动的全面视图。 人工智能系统可以记录错误活动的实例,存储数据进行分析,跟踪一段时间内的改进情况,识别重复出现的问题,并对模型进行微调。</t>
  </si>
  <si>
    <t>使用人工智能设备识别体育馆礼堂中错误体育活动的新流程</t>
  </si>
  <si>
    <t>IN202341048657A</t>
  </si>
  <si>
    <t>公开了一种用于比赛中司线裁判的系统(100)。 该系统包括外壳单元(102)和处理子系统(112)。 壳体单元(102)包括顶部单元(104)和底部单元(110)。 顶部单元包括用于捕捉球场中移动物体的图像和视频的多个摄像机(106),多个附件(108)将多个摄像机附接到壳体单元。 底部单元可灵活移动。 该处理子系统包括图像处理模块(118),用于使用人工智能分析捕获的图像、确定多条线和区域以用于确定游戏工具的位置、检测移动物体、与该移动物体相对应的多个像素坐标。 移动物体,检测并分析一个或多个决策图像,显示模块(120)将决策实时呈现给裁判。</t>
  </si>
  <si>
    <t>一种用于比赛中司线裁判的系统及其操作方法</t>
  </si>
  <si>
    <t>IN202321048286A</t>
  </si>
  <si>
    <t>本发明涉及一种智能防溺水救生圈,其将先进技术与传统救生设备相结合,增强水上救援作业能力。 本发明是一种集成智能控制的救生圈,用于检测和拯救溺水者。 本发明描述了基于电池供电的智能救生圈100的利用人工智能和机器学习的系统,包括安装在救生圈101上的MV相机单元、电子驱动控制(EDC) 102、作为主控制单元(MCU)的Raspberry Pi微控制器 )103、作为电机接口单元(MIU)的Arduino Nano板104、用于拍摄溺水者图像的隔离相机105、以及直流电机106。主控制单元(MCU)处理从图像捕捉单元接收的数据并生成 如果发现任何异常情况,则发出命令以在游泳时保护溺水者。 安装在救生圈上的MV摄像机不断扫描水中的溺水者,并迅速向溺水者移动,帮助他们脱离危险。 本发明包括基于用于人脸检测的图像处理方法Haar-Cascade的图像跟踪算法。 本发明的智能救生圈将捕捉到的溺水者的图像和位置传输给救援队,使得救援队能够找到溺水者的准确位置。 本发明的智能救生圈可以在不利的条件下抵抗海水的波浪,为救生提供了快速有效的方法。</t>
  </si>
  <si>
    <t>采用人脸识别算法的智能防溺水救生圈</t>
  </si>
  <si>
    <t>CN116880224A</t>
  </si>
  <si>
    <t>本发明属于物联网技术领域，涉及一种家用电器与健身器材的联动控制方法。所述家用电器运行过程中，根据所述健身器材的运行参数控制所述家用电器的工作参数。所述健身器材的运行参数与所述家用电器的工作参数之间具有预设的对应关系；所述家用电器运行过程中，获取所述健身器材当前的运行参数；根据获取的运行参数以及所述预设的对应关系，确定所述家用电器的工作参数。本发明的联动控制方法实现了健身器材和家用电器之间的联动，根据健身器材的运行参数控制家用电器的工作参数，让健身更加有目标挑战性，优化了健身方案，更贴近用户生活。</t>
  </si>
  <si>
    <t>一种家用电器与健身器材的联动控制方法</t>
  </si>
  <si>
    <t>CN116861954A</t>
  </si>
  <si>
    <t>本发明公开了一种基于图学习和不确定行为建模的胜率预测系统及方法，该系统设有依次连接的多维度行为表征模块、耦合图对比学习模块、随机行为表征模块及前馈神经网络模型；多维度行为表征模块设有序列图、知识图及第一图注意力网络，序列图用于表征单个玩家局部比赛序列的技能信息；知识图用于表征从游戏系统全局抽取的游戏角色间的合作和对抗信息，第一图注意力网络采用注意力机制，将序列图和知识图的邻居节点信息聚合成玩家特征耦合图；耦合图对比学习模块对玩家特征耦合图进行强化；随机行为表征用于模拟玩家的真实实力以及玩家在游戏内受环境影响的波动情况；前馈神经网络模型输入玩家特征并输出最终的预测结果。本发明提高了预测的准确性。</t>
  </si>
  <si>
    <t>基于图学习和不确定行为建模的胜率预测系统及方法</t>
  </si>
  <si>
    <t>CN116781856A</t>
  </si>
  <si>
    <t>本发明涉及多媒体控制的技术领域，特别是涉及一种基于深度学习的视听转换控制方法，其能够高效地从多组别讨论会议或竞技比赛的视频中提取每个与会人员的发言视频，解决设备和工作量的问题，并提高操作效率；所述方法包括：采集相同时间节点内，不同组别的现场讨论视频信息；将视频信息转换为音频数据和图像数据；遍历音频数据，根据不同与会人员的声音特征，分别提取每个与会人员的语音信息数据；其中语音信息数据由若干段独立分割的音频组成，并且若干段独立的音频均隶属于同一个与会人员，其中每段音频均标记有时间戳；遍历图像数据，根据不同与会人员的人脸特征，分别提取每个与会人员的唇语信息数据。</t>
  </si>
  <si>
    <t>基于深度学习的视听转换控制方法、系统及存储介质</t>
  </si>
  <si>
    <t>CN116808548A</t>
  </si>
  <si>
    <t>本发明公开了一种具有乒乓球轨迹识别及统计功能的乒乓球桌，包括：乒乓球桌主体包括球桌面，通过球桌面进行乒乓球比赛和训练；感应装置分布于乒乓球桌主体上；感应装置用于实时获取乒乓球桌上的乒乓球运动轨迹的参数数据，参数数据包括乒乓球的位置、速度和旋转信息；轨迹识别单元用于根据机器学习算法对参数数据进行分析操作，获取轨迹分析结果；统计处理单元用于根据轨迹分析结果，获取对应的球路策略，再对球员的表现进行统计分析，获取统计结果；数据显示单元用于将乒乓球轨迹分析结果、球路策略以及统计结果进行可视化形式的展示。有利于提高训练效果和球员的实战能力。</t>
  </si>
  <si>
    <t>一种具有乒乓球轨迹识别及统计功能的乒乓球桌</t>
  </si>
  <si>
    <t>CN116863076A</t>
  </si>
  <si>
    <t>本发明公开了一种获取运动球体三维信息的优化方法。包括：摄像机标定，获取球员位置的三维坐标，获取球体B的二维图像坐标，绘制辅助十字线，人脑根据上下文信息，通过改变辅助十字线的方式来估计交点的确切位置，显示球员位置与球体之间的距离，即d_player；显示击球点的高度和击球点到球网的距离，计算球体的三维坐标。本发明提出的d_player引导法，能够有效的降低三维重建结果的误差，根据计算机视觉方法得到的已知信息，为操作人员在单目三维重建时提供可视化引导；该方法相当于用计算机视觉计算得到的解，对下一步求解行为进行约束，可以避免操作人员产生超过正常范围的较大误差，帮助操作人员在从二维图像感知羽毛球运动员击球姿态时进一步提高精度。</t>
  </si>
  <si>
    <t>一种获取运动球体三维信息的优化方法</t>
  </si>
  <si>
    <t>IN202311046140A</t>
  </si>
  <si>
    <t>本发明提供了这里描述的智能镜子系统,旨在通过提供将家庭锻炼的便利性与私人教练的个性化指导和反馈相结合的沉浸式和交互式锻炼体验来解决这些挑战。 该系统利用计算机视觉和硬件来跟踪用户动作并提供有关形式和技术的实时反馈,同时还提供个性化的锻炼程序和进度跟踪。 通过解决这些关键挑战,智能镜子系统有可能彻底改变个人进行健身训练和实现健康目标的方式。</t>
  </si>
  <si>
    <t>基于人工智能的智能镜子系统,用于个性化健身训练</t>
  </si>
  <si>
    <t>MOJ007203C</t>
  </si>
  <si>
    <t>本发明公开了一种基于深度学习的马匹速计算系统及方法,通过摄像机获取马匹比赛前围绕比赛场地行走的视频,通过光流场计算、基于深度学习的对象检测、光流场过滤、摄像机速度计算 、利用马匹位移对摄像机速度的调整、单位转换最终得到目标马匹的平均速度。 本发明实现利用人工智能技术,以更科学的方法进行马匹观察并对马匹速度进行预测和计算。</t>
  </si>
  <si>
    <t>一种基于深度学习的马匹速度计算系统及方法。</t>
  </si>
  <si>
    <t>CN116758641A</t>
  </si>
  <si>
    <t>本发明涉及用于图像数据处理技术领域，具体涉及基于人工智能的体育训练不良姿态实时检测系统，包括：利用梯度值对训练图像进行超像素分割后，根据超像素区域中的目标区域存在训练人员在运动过程中发生运动模糊的情况，通过分析目标区域中像素点的梯度方向和像素点数量获取了目标区域的趋近度，进一步获得利用分段线性灰度变换算法，对目标区域进行增强处理时的灰度区间，实现对目标区域进行增强处理。本发明通过自适应调节分段线性灰度变换算法的参数，实现了对训练图像的区域增强处理，提高了对训练图像的细节增强效果，并进一步提高了后续对体育训练不良姿态的检测结果准确性。</t>
  </si>
  <si>
    <t>基于人工智能的体育训练不良姿态实时检测系统</t>
  </si>
  <si>
    <t>CN116542828A</t>
  </si>
  <si>
    <t>本发明提供了一种智能体育教学管理方法及系统，属于人工智能技术领域，该方法如下：根据体育考试项目和考试点位的位置信息在考试点位处配置多个摄像头，并将所述多个摄像头与所述考试点位关联；获取考生考号将所述考生考号与所述考试点位关联，并启动与所述考试点位相关联的摄像头记录考生的考试视频；若考生对考试成绩发起申诉时，则根据所述考生考号、考试开始时间和考试结束时间调取该考生的考试视频，通过对该考生的考试视频的回放确定所述申诉是否有效；若确定申诉有效，则重新对该考生进行测试。本发明通过对体育考试视频的快速调取进行回放，可以提高体育考试的准确性和可靠性。</t>
  </si>
  <si>
    <t>一种智能体育教学管理方法及系统</t>
  </si>
  <si>
    <t>JP2023130433A</t>
  </si>
  <si>
    <t>描述训练游戏角色的方法。 该方法包括促进游戏的一个或多个场景的显示。 
  一个或多个场景包括角色和虚拟对象。 该方法包括接收用于由用户操纵角色以与虚拟对象交互的输入数据,以及分析输入数据以识别角色在一个或多个场景中的交互模式,并且还包括。 交互模式定义用于训练与用户的用户帐户关联的人工智能(AI)模型的输入。 该方法涉及让角色与基于AI模型的新场景进行交互。 该方法涉及跟踪角色与新场景的交互,以对 AI 模型进行额外的训练。</t>
  </si>
  <si>
    <t>训练竞技比赛人工智能模型的系统和方法</t>
  </si>
  <si>
    <t>IN202341043912A</t>
  </si>
  <si>
    <t>由于无法联系到教练的新型冠状病毒肺炎 (COVID-19) 大流行,许多人被迫在家锻炼,导致很难联系到专业教练来验证运动姿势。 因此,需要一种自动化的培训设施。 为了应对这一挑战,本研究工作开发了一种深度学习模型,该模型使用机器学习和计算机视觉解决方案 Mediapipe 和实时姿势估计模型 BlazePose 来分析运动动作并向用户提供实时反馈 。 我们的模型通过验证姿势并提供纠正建议来实现更安全、更有效的家庭锻炼程序,同时增加可及性并降低与专业体能教练相关的成本。 这项发明提出了我们提出的模型,它有可能彻底改变人们在家锻炼的方式。 该模型已在运动视频数据集上进行了评估,其性能令人满意。</t>
  </si>
  <si>
    <t>使用人体姿势估计作为健身教练的人工智能工具</t>
  </si>
  <si>
    <t>IN202341043508A</t>
  </si>
  <si>
    <t>智能辅导系统是旨在为用户提供个性化指导和反馈的计算机系统,通常使用人工智能技术并且无需人类教师。 与现有的系统/应用程序相比,本发明具有以下独特的特征: 1)它充当调谐器和健身助手。 2)它充当健身教练系统,可以提高/重新培训解决问题的能力。 3) 它提出了重新培训/提高解决问题能力所需的概念、建议、示例和相关提示。 4)它推动解决方案。 现有平台仅提供解决方案或解决方案的解释。 我们提出的工具/平台是独特的,与其他平台不同的是:1)它将增强学习者解决类似问题的思维能力。 2)它将帮助和指导学习者找到给定问题的解决方案。 4)可定制以满足讲师的需求。</t>
  </si>
  <si>
    <t>学习数学概念的健身助手</t>
  </si>
  <si>
    <t>CN116637324A</t>
  </si>
  <si>
    <t>本发明公开了一种人工智能运动辅助设备，包括提拉装置中两个支撑件对称竖直设置，且两个支撑件的底端固定在地面上，且两个升降件分别可升降安装在两个支撑件上，两个升降件的顶端水平固定有单杠杆，计数装置中支架固定在单杠杆上，且上升框的顶面一侧水平固定有激光发射器，且上升框的顶面另一侧固定有应答件，且应答件与激光发射器对应安装在同一水平线上，且上升框的两个下拉件底部分别对应安装有应答件与激光发射器。本发明克服现有训练人员向上提拉时，教练视线与标准竖直不在同一高度，因此目视存在误差，同时训练用的单杠高度固定，这就导致了对于身高较矮的训练人员造成不便，影响了训练的灵活性的问题。</t>
  </si>
  <si>
    <t>一种人工智能运动辅助设备</t>
  </si>
  <si>
    <t>IN202341042931A</t>
  </si>
  <si>
    <t>步态分析对于理解和提高运动员在各种运动中的表现起着至关重要的作用。 传统的步态分析技术通常需要昂贵的实验室设置和专用设备,使得它们无法用于常规性能分析。 然而,可穿戴传感器技术的最新进展为以更实用和更具成本效益的方式进行步态分析开辟了新的可能性。该专利概述了使用可穿戴传感器进行运动员表现分析的步态分析。 目的是探索可穿戴设备在准确、实时地了解运动员步态特征方面的潜力,例如步长、步频、触地时间和关节角度。使用可穿戴传感器可以让运动员执行步态 在自然训练环境中进行分析,无需专门的设施。 这些传感器可以轻松集成到运动服或鞋类中,使其非侵入性且方便运动员在训练或比赛期间佩戴。可以采用各种类型的传感器,包括加速度计、陀螺仪和压力传感器来捕获相关步态 数据。 这些传感器收集原始运动数据,然后可以使用专门为步态分析设计的算法进行处理和分析。 机器学习技术还可用于识别运动员步态的模式和异常,为性能优化和伤害预防提供有价值的反馈。此外,可穿戴设备可以长时间连续监测运动员的步态特征,从而识别长时间的步态特征。 - 长期趋势和改进。 教练、培训师和医疗专业人员可以利用这些数据就培训计划、康复计划和伤害管理策略做出明智的决策。 总之,使用可穿戴传感器进行步态分析为运动员表现分析提供了一种实用且有效的方法。 将可穿戴设备集成到日常训练中,使运动员能够获得步态的实时反馈,使他们能够优化表现、预防受伤并提高整体运动能力。 该领域未来的研究和开发对于推进运动科学和提高运动员表现具有巨大潜力。</t>
  </si>
  <si>
    <t>一种利用步态分析预测运动员表现指标的新型装置</t>
  </si>
  <si>
    <t>IN202341042836A</t>
  </si>
  <si>
    <t>物联网技术正迅速应用于智能医疗系统中,用于健身计划、监测、数据分析等。为了提高监测精度,人们进行了许多研究。 功率吸收和精度是物联网云系统架构中的关键问题。 我们研究这一发展,以改善医疗保健物联网系统。 物联网数据传输和接收标准可以通过了解设备功率吸收来帮助改善医疗保健发展。 我们利用云功能来检查医疗保健系统中物联网的性能和局限性。 我们还研究了用于有效监控老年医疗保健问题的物联网系统的设计,以及根据需要部署在多个设备中时现有系统在资源、功率吸收和安全性方面的限制。 高强度NB-IoT(窄带物联网)应用包括孕妇血压和心脏监测。 本研究使用单节点和多节点技术分析窄带物联网延迟和吞吐量。 MQTTP 发送传感器数据的效率比 LAP 更高。</t>
  </si>
  <si>
    <t>用于物联网驱动的医疗保健的无线通信,用于智能分配</t>
  </si>
  <si>
    <t>IN202341041906A</t>
  </si>
  <si>
    <t>由于欧洲人口老龄化,监护就是这样的问题之一。 为了帮助老年人在城市中独立、安全地生活,而不用担心成为潜在健康问题的受害者,我们提出了一种可扩展、易于修改的实时辅助技术系统,该系统基于能够检测步行行为的舒适、创新的鞋类。 管理由此产生的海量数据、传输和预处理数据,然后对其进行分析以实时或近实时地提取有价值的见解,这是一项重大挑战。 事实上,信息论正是建立在这个前提之上的。 这项工作利用从 20 个不同传感器测量(16 个压电压力传感器、1 个返回 3 个轴读数的加速度计和 1 个温度传感器)收集的数据,提出了一个针对老年人的综合系统,可以检测不同的用户行为/事件(坐、坐、 不平衡站立、不平衡站立、行走、跑步、绊倒)。 开发了二进制模型的级联层次结构,并将其与 ANN 算法和深度学习方法一起使用来检测这些事件。 卷积分层 ANN 和多层感知器可生成最准确的模型。 事件检测的平均准确度和 ROC 曲线下面积分别为 0.84 和 0.96。</t>
  </si>
  <si>
    <t>基于机器学习、人工智能、深度学习和数据挖掘的系统,可评估老年人穿着科技鞋的行走模式,以避免骨骼问题</t>
  </si>
  <si>
    <t>IN202341042193A</t>
  </si>
  <si>
    <t>本发明公开了一种支持物联网的智能盖,设计用于实时水安全和水池活动监控。 该智能帽利用集成传感器、无线通信和物联网 (IoT) 技术来持续监控水安全参数并实时跟踪用户活动。 该专利旨在提供一种创新的解决方案,以增强游泳池环境中的水安全、风险预防和实时警报。</t>
  </si>
  <si>
    <t>支持物联网的智能上限,用于实时水安全和泳池活动监控</t>
  </si>
  <si>
    <t>CN116453067B</t>
  </si>
  <si>
    <t>本发明公开了一种基于动态视觉识别的短跑计时方法，其在比赛现场设置摄像头，对起跑线和运动员进行拍摄，获取起跑图像；采用基于深度学习的人工智能技术，挖掘所述起跑图像的隐含特征分布信息，并基于此对于运动对象是否发生抢跑违规现象进行检测判断。这样，可以提高比赛结果的公正性和可信度。</t>
  </si>
  <si>
    <t>基于动态视觉识别的短跑计时方法</t>
  </si>
  <si>
    <t>CN116870444A</t>
  </si>
  <si>
    <t>本发明公开了一种基于YOLOv5的云上乒乓球智慧训练系统，涉及人工智能技术领域，该系统针对企业级用户使用；企业级用户包括上位机模块、发球机模块、客户端模块、云上乒乓球落点检测及评分模块、展示检测结果功能模块、音频提示交互模块、控制模块。本发明采用基于改进的YOLO&amp;nbsp;v5模型，将乒乓球的坐标检测、训练评分与多线程时序信号交互相结合，基于Jetson&amp;nbsp;nano和单个工业摄像头进行检测，节省了大量的成本，能够顺利完成闭环智慧训练。并且针对小物体检测精确率低的问题，提出能够自动调节亮度的指数均值亮度均衡算法和改进的YOLO&amp;nbsp;v5的anchor生成机制，不仅提高模型检测的精度，而且能够提高乒乓球落点检测准确率，给用户更好的体验。</t>
  </si>
  <si>
    <t>一种基于YOLOv5的云上乒乓球智慧训练系统</t>
  </si>
  <si>
    <t>IN202341041364A</t>
  </si>
  <si>
    <t>由于支持物联网 (IoT) 的便携式医疗设备,智能医疗保健监控系统正在激增。 医疗保健领域的物联网和深度学习通过将医疗保健从面对面咨询发展到远程医疗来预防疾病。 为了保护运动员的生命免受训练和比赛中危及生命的严重状况和伤害,生理指标的实时监测至关重要。 在本发明中,我们提出了一种基于深度学习的物联网实时健康监测系统。 所提出的系统使用可穿戴医疗设备来测量生命体征,并应用各种深度学习算法来提取有价值的信息。 为此,我们以散打运动员为例进行研究。 深度学习算法可以帮助医生正确分析这些运动员的病情,并为他们提供适当的药物,即使医生不在身边。 通过考虑各种基于统计的性能测量指标,使用交叉验证测试对所提出的系统的性能进行了广泛的评估。 该发明被认为是诊断运动员可怕疾病的有效工具,如脑肿瘤、心脏病、癌症等</t>
  </si>
  <si>
    <t>使用深度学习和物联网分析运动健康记录的方法和装置</t>
  </si>
  <si>
    <t>CN116421953A</t>
  </si>
  <si>
    <t>本发明涉及网球训练的技术领域，特别是涉及一种基于深度学习的网球训练方法，其无需人工教练指导即可针对运动员的个体差异性进行自动化训练，能够有效提高运动员训练效果和网球技能；方法包括：在训练前，对运动员进行试训，获取运动员试训数据；通过预先训练的第一循环神经网络，根据运动员试训数据确定运动员的技术水平；根据运动员技术水平确定训练强度；在训练中，实时获取运动员击球后网球运动状态以及场地环境因素；通过预先训练的第二循环神经网络根据网球运动状态和场地环境因素，确定网球的轨迹；结合网球的轨迹和训练强度，控制回球机进行回击。</t>
  </si>
  <si>
    <t>基于深度学习的网球训练方法及系统</t>
  </si>
  <si>
    <t>CN116747495A</t>
  </si>
  <si>
    <t>本申请涉及人工智能技术领域，提供一种动作计数方法、装置、终端设备及可读存储介质。动作计数方法包括：获取预设时段内每个时刻的速度信息，所述速度信息为用户佩戴的穿戴设备上的传感器所采集的数据；提取所述速度信息中的有效数据，所述有效数据为所述用户处于运动状态的时刻对应的数据；将所述有效数据输入预设模型，得到所述预设模型输出运动类型；根据每个时刻对应的所述运动类型确定所述预设时段内用户的动作次数。实施本申请，可识别不同类型健身动作并进行计数，改善健身体验。</t>
  </si>
  <si>
    <t>一种动作计数方法、装置、终端设备及可读存储介质</t>
  </si>
  <si>
    <t>CN116673955A</t>
  </si>
  <si>
    <t>本发明提供了一种基于深度学习的柔性物体外肢体操作方法及系统，该方法在获取柔性物体的原始图像信息后，利用生成对抗网络模型对原始图像信息进行增强处理，能够提升图像质量和亮度；利用深度学习模型提取经过增强处理后的图像信息中柔性物体的形变数据，并对所述形变数据进行实时反馈，然后基于反馈的形变数据控制外肢体机器人的运动，以执行柔性物体的操作。本发明能够精准的识别柔性物体的形变状态，并根据形状状态实时调整外肢体对柔性物体的姿态进行调整，实现了柔性物体的有效操作和控制。</t>
  </si>
  <si>
    <t>一种基于深度学习的柔性物体外肢体操作方法及系统</t>
  </si>
  <si>
    <t>CN116705239A</t>
  </si>
  <si>
    <t>本发明涉及运动健身领域，具体公开了一种基于骨骼点驱动的虚拟人健身课程生成方法，包括如下步骤：步骤1：通过深度学习摄像头采集用户进行各种健身动作的运动数据；步骤2：对用户的身体进行骨骼点检测，获取关键的运动姿势信息；步骤3：创建虚拟人模型；通过骨骼点驱动和实时跟踪，能够准确捕捉用户的姿势和动作，提供个性化的健身指导，满足用户的特定需求和能力水平；系统通过实时跟踪和分析用户的姿势和动作，提供实时反馈，帮助用户调整姿势和动作的准确性和安全性，避免错误姿势导致的伤害，健身视频素材包括运动示范、指导语音和倒计时等内容，能够全面指导用户的健身动作和训练计划，提高训练效果和效率。</t>
  </si>
  <si>
    <t>一种基于骨骼点驱动的虚拟人健身课程生成方法</t>
  </si>
  <si>
    <t>CN116630864A</t>
  </si>
  <si>
    <t>本申请涉及基于YOLOV5算法的拾球机控制方法、装置及存储介质，该方法包括：获取羽毛球训练过程中的视频，视频包括多帧视频图像帧；利用预训练的球体识别网络，在每帧视频图像帧中检测候选球体，确定候选球体对应的包围盒，球体识别网络是基于YOLOV5算法，采用预设的融合浅层特征作为YOLOV5算法的浅层特征所训练的神经网络，融合浅层特征是浅层特征和预设的深层特征进行融合所生成的；根据包围盒与对应视频图像帧的中线的距离信息，从候选球体筛选出目标球体；按预设的移动驱动模式，控制拾球机驶向与目标球体所处位置对应的实景场地位置，以风力吸取处于实景场地位置上的羽毛球。通过本申请，解决了对羽毛球进行识别的方案存在检测精准度及拾球效率低的问题。</t>
  </si>
  <si>
    <t>基于YOLOV5算法的拾球机控制方法、装置及存储介质</t>
  </si>
  <si>
    <t>CN116434125B</t>
  </si>
  <si>
    <t>本申请涉及一种基于一维卷积神经网络的羽毛球落地点检测方法，它包括如下步骤：S1：制作羽毛球坐标序列数据集；S2：构建基于一维卷积神经网络的羽毛球落地点检测模型；S3：训练与验证羽毛球落地点检测模型；S4：使用训练好的模型实现羽毛球落地点实时检测。本发明使用一维卷积神经网络模型，对羽毛球运动轨迹序列进行检测，输入羽毛球坐标序列，由模型推理输出不含有落地点或者含有落地点时各个点属于落地点的概率。相较于使用曲线拟合或者对速度、加速度建立数学模型等设置先验阈值的方式，本发明具有更高的准确率和更强的泛化性，适用于许多序列特征点检测任务。</t>
  </si>
  <si>
    <t>一种基于一维卷积神经网络的羽毛球落地点检测方法</t>
  </si>
  <si>
    <t>CN116734102A</t>
  </si>
  <si>
    <t>本发明公开了基于物联网与云计算系统的体育场馆全方位监控装置，涉及监控技术领域，包括固定气梁柱、摄像头，固定气梁柱上滑动连接有主体固定块，主体固定块内设置有第一工作腔、第二工作腔，第二工作腔中固定连接有放线仓，摄像头固定连接在放线仓底端，无论在固定气梁柱受热膨胀还是受冷收缩期间，通过松紧度自调节组件的设置可以有效将装置固定在固定气梁柱上，避免现有技术中安装在充气结构上的监控设备并不能像安装固定在墙体上那样稳定，随着充气结构长时间热胀冷缩的情况，固定监控设备的连接件的螺丝会发生松动，影响监控效果，同时若是监控设备因松动掉落砸伤下面众多运动的人，不仅会导致设备损坏，还会出现人员受伤的情况。</t>
  </si>
  <si>
    <t>基于物联网与云计算系统的体育场馆全方位监控装置</t>
  </si>
  <si>
    <t>US20230316316A1</t>
  </si>
  <si>
    <t>票证交换服务器被配置为基于预测的出席率来分发事件的票证。 票交换服务器访问描述多个历史事件的历史事件期间的统计和出席情况的一组训练数据。 门票交换服务器使用训练数据训练机器学习模型,该模型被配置为根据实时统计数据预测赛事期间体育场座位空置的可能性。 在体育场举行的活动期间,票交换服务器检测与第一用户的第一张票相关联的空座位。 票交换服务器至少部分地通过将机器学习模型应用于事件的实时统计来确定空座的第二票的价值,并将第二票分配给第二用户。</t>
  </si>
  <si>
    <t>机器学习的部分票值预测</t>
  </si>
  <si>
    <t>CN116564469A</t>
  </si>
  <si>
    <t>本发明提供了一种基于物联网的运动员体能智能监测系统及方法，包括：初始根据用户体质及健康信息、运动环境及位置信息和运动项目种类，对预置第一模型的参数进行设置和调整，利用得到的模型对体能状态进行监测和预警，并生成对应的建议和策略，后续基于运动过程中的相关数据信息对模型进行更新和替换，基于更新和替换后的模型实现对用户体能状态的监测；初始还根据用户体质及健康信息制定初始运动计划，后续将基于运动结束后收集到的用户针对运动计划的反馈、运动过程中的客观数据信息和个人体能增减情况，对运动计划进行整体和局部的调整，进而提高运动效果，帮助运动员培养信心。</t>
  </si>
  <si>
    <t>一种基于物联网的运动员体能智能监测系统及方法</t>
  </si>
  <si>
    <t>US20230316750A1</t>
  </si>
  <si>
    <t>用于评估运动能力和生成表现数据的方法、系统和计算机程序产品。 在一个实施例中,运动员表现数据是通过对例如在练习或比赛期间的运动表现的视频进行计算机视觉分析来生成的。 所生成的运动员表现数据可以包括例如最大速度、最大加速度、达到最大速度的时间、过渡时间(例如,改变方向的时间)、接近速度(例如,接近另一运动员的距离的时间)、 平均间隔(例如,运动员与另一名运动员之间)、比赛能力、运动能力(例如,加权计算和/或多个指标的组合)和/或其他表现数据。 该表现数据可用于生成和/或更新与运动员相关联的档案,其可用于以更高的效率和精度招募、侦察、比较和/或评估运动员。</t>
  </si>
  <si>
    <t>用于评估运动能力和生成表现数据的系统、方法和计算机程序产品</t>
  </si>
  <si>
    <t>IN202311038336A</t>
  </si>
  <si>
    <t>用于实时心肺运动管理的人工智能可穿戴设备 摘要 提出了一种用于管理实时心肺运动的人工智能可穿戴设备和系统。 该设备包括一个心率监测器,用于收集用户的实时心率数据,以及一个呼吸传感器,用于测量用户每次呼吸的摄氧量和二氧化碳产生量。 设备内的处理单元采用机器学习算法来分析这些收集到的数据,从而有助于对用户的生理状态进行深入的解释。 该设备还配备显示屏,可实时更新用户预定锻炼目标的进展情况,从而促进健身坚持和动力。 此外,设备中集成了通信模块,用于将数据无缝传输到基于云的存储和处理单元,从而实现安全数据存储和额外的计算分析。 这种先进的可穿戴技术提供个性化的锻炼指导,促进更健康、更明智的生活方式。</t>
  </si>
  <si>
    <t>支持人工智能的可穿戴设备,用于实时心肺运动管理</t>
  </si>
  <si>
    <t>CN116492656A</t>
  </si>
  <si>
    <t>本发明提供了一种基于人工智能的自动乒乓球捡球机，涉及体育设备技术领域，包括主框，主框的两端对称设有可折叠支架，主框的上部两端对称设有高速摄像头，主框的中部设有移动机构，移动机构的一侧设有三加一轴并联机器手，三加一轴并联机器手的执行端设于回球机构的一端，回球机构设于主框的一侧，回球机构的输出端连接外部球框，多个高速摄像头、移动机构、三加一轴并联机器手和回球机构均电信连接人工智能控制器，人工智能控制器设于移动机构的内部，该发明通过人工智能控制器根据监控视频计算出每个球的轨迹，并通过移动机构和三加一轴并联机器手控制回球机构在回球轨迹上接球并送回球框，从而实现不间断补充训练用球的效果。</t>
  </si>
  <si>
    <t>一种基于人工智能的自动乒乓球捡球机</t>
  </si>
  <si>
    <t>CN116679641A</t>
  </si>
  <si>
    <t>本发明提供了一种考虑工序刚性约束的自动化装配生产线多目标优化方法，具体操作步骤如下：S1：生产线材料运输优化操作处理；S2：生产线工艺流程优化处理；S3：生产线工序优化处理；S4：生产线机器人集成和控制优化操作；S5：数据分析和可视化操作；S6：人机交互界面优化；S7：生产线资源利用率优化，本发明通过上述的七个步骤可以依次对自动化装配生产线进行材料运输优化、工艺流程优化、工序优化、机器人集成和控制优化、数据分析和可视化操作、人机交互界面优化和资源利用率优化，可以达到对自动化装配生产线进行全面的优化处理，并且所设计的工序优化，可以有效的提高工序调整的灵活性。</t>
  </si>
  <si>
    <t>一种考虑工序刚性约束的自动化装配生产线多目标优化方法</t>
  </si>
  <si>
    <t>CN116611966A</t>
  </si>
  <si>
    <t>本发明提供了一种基于人工智能的智慧体育教学方法，通过VR终端设备对体育场景教学课程内容获取处理，确定目标体育教学模块布局，对目标受教者进行教学，针对目标受教者受训过程中追随度姿态描述，与第一目标模拟追随度模块的标准姿态与参数指标对比，VR终端设备识别所述目标受教者的错误姿态，并对所述错识姿态纠正，直到运动姿态正确，最后,VR终端设备对所述目标受教者运动训练学习过程进行评价评分，并记录所述每一次运动姿态。通过本发明的实施，可以达到在体育教学过程中，不受教师的体育教学水平及体育场地、场馆的限制，用户可以在VR大空间中通过对应的场景进行空间移动，可以让使用者做为视角中心，全方位、沉浸式、体验全新的视觉感受。</t>
  </si>
  <si>
    <t>一种基于人工智能的智慧体育教学方法</t>
  </si>
  <si>
    <t>CN116543765A</t>
  </si>
  <si>
    <t>用于体育赛事系统的语音识别方法、电子设备及存储介质，属于智能语音识别技术领域。为解决在体育比赛中的嘈杂环境下使用语音识别技术提高语音信号的质量、准确进行语音识别。本发明采集体育赛事系统的语音信号数据，对采集的体育赛事系统的语音信号数据进行预处理，得到体育赛事系统的数字信号数据利用Mel频率倒谱系数进行特征提取，得到体育赛事系统的特征提取数据进行降噪处理，得到体育赛事系统的降噪处理数据；构建体育赛事系统的语音参考模式库；将得到的体育赛事系统的降噪处理数据利用构建的体育赛事系统的语音参考模式库进行体育赛事系统的语音识别。本发明提高语音信号质量，解决了语音识别过程中存在的噪声环境下识别率低的问题。</t>
  </si>
  <si>
    <t>用于体育赛事系统的语音识别方法、电子设备及存储介质</t>
  </si>
  <si>
    <t>IN202331036947A</t>
  </si>
  <si>
    <t>一种辅助鲍鱼棋盘游戏装置,包括开发成放置在地面上的平台1,安装在平台1上的触摸交互式显示面板3,用于使用户能够输入有关用户希望玩的鲍鱼游戏模式的详细信息 ,安装在平台1上的全息投影单元4用于投影一系列图像以指导用户玩游戏的方法,安装在平台1上的音频单元5用于指导用户将黑白球排列在相对两端的插槽2上,并且用户 需要将对手的球推入平台 1 上制作的空腔 6 以赢得比赛,并且需要安装在平台 1 上的基于人工智能的图像捕捉模块 7 以确定犯规行为。</t>
  </si>
  <si>
    <t>辅助鲍鱼棋盘游戏装置</t>
  </si>
  <si>
    <t>IN202331036971A</t>
  </si>
  <si>
    <t>一种缓解麻木的运动装置,包括平台1,平台1配置有供使用者跑步锻炼的传送带2,一对可伸缩支撑板3,用于捕捉图像的人工智能摄像头4,用于选择级别的触摸屏5 用于运动的伸缩杆6伸出以保持腰带角度,直流电机用于旋转腰带,C形电动夹子8用于夹住使用者的腰部,压力传感器用于检测夹子8施加的压力,麦克风9用于 发出语音命令、储存盐水的腔室10、用于喷洒盐水的多个喷水器11、收集废水的废物容器12、提供舒适感的缓冲垫、用于干燥的热风鼓风机、用于检测水位的液位传感器。 盐水,以及用于通知重新填充室10的计算单元。</t>
  </si>
  <si>
    <t>解除麻木运动器具</t>
  </si>
  <si>
    <t>IN202331036955A</t>
  </si>
  <si>
    <t>一种网球击球训练装置,包括一个 U 形框架 1,该框架配置有一对圆盘,可悬挂在外壳的天花板部分,电动滚轮 2 缠绕有绳索 3,用于缠绕/解开绳索 3 以悬挂球,该绳索 3 连接到 处于最佳高度的绳索 3、用于使用户能够输入关于用户希望达到的网球击球训练水平的详细信息的用户界面、用于向球提供旋转运动的机动球窝接头5、用于向球提供旋转运动的冲击传感器 在获得训练时检测网球拍与球的接触,基于人工智能的图像捕捉模块6检测用户在获得训练时的姿势,以及音频单元7用于生成音频通知以提醒用户在整个训练过程中保持适当的姿势。</t>
  </si>
  <si>
    <t>网球击球训练器</t>
  </si>
  <si>
    <t>IN202311036838A</t>
  </si>
  <si>
    <t>由于健身计划的游戏化,最终用户可能会投资于身体健康。 研究了健身应用程序中使用的游戏化策略及其对用户行为和福利的影响。 通过仔细研究当前文献的主体和流行的健身应用程序,我们能够查明经常用于激励用户的关键游戏化元素。 这些元素包括积分、徽章、排行榜、挑战和虚拟奖励。 我们还讨论了游戏化背后的心理学原理,包括目标设定、社会影响、内在和外在动机,以及内在与外在驱动力。 这些原则和机制有助于解释这些策略如何鼓励长期参与和建设性的行为改变。 跑步和慢跑可以转化为一个鼓励用户参与追求身体健康的系统。 我们可以实施基于用户日常目标成就的绩效制度。 最新添加的是身体姿势检测功能,可以确定个人是否以正确的姿势进行锻炼。 仅此一点就证明了它的可访问性。 目前,FitSetGo 专注于基于卡路里的运动,如步行、骑自行车和慢跑。 这个想法是让用户不必将全部注意力投入举重和有氧运动,从而专注于自己的健康。</t>
  </si>
  <si>
    <t>Fitsetgo:利用机器学习释放健身应用程序中游戏化的潜力,以提高锻炼坚持性和幸福感</t>
  </si>
  <si>
    <t>CN116778377A</t>
  </si>
  <si>
    <t>本发明公开了一种基于视频图像技术的羽毛球击球速度测定方法，涉及速度测定技术领域，包括如下步骤：S1、图像序列获取：采用拍摄设备于羽毛球场场外拍摄获取若干羽毛球运动图像序列，选取羽毛球场其中一个顶点作为基准坐标系；S2、图像序列预处理：根据对应羽毛球场地的规格建立标准坐标系；S3、羽毛球三维坐标模型构建：基于标准坐标系，将若干图像序列中羽毛球球头位置转化为三维坐标，形成若干离散位置点；S4、轨迹拟合：利用深度学习神经网络模型，形成羽毛球连续运动轨迹；S5、瞬时速度测定：根据羽毛球连续运动轨迹，求得羽毛球瞬间击球速度；以达到低成本、实时、准确记录并开展羽毛球击球速度专项技能评价，并为扣杀专项技能提高提供定量数据支撑。</t>
  </si>
  <si>
    <t>一种基于视频图像技术的羽毛球击球速度测定方法以及系统</t>
  </si>
  <si>
    <t>CN116570904A</t>
  </si>
  <si>
    <t>本发明公开一种基于深度学习及人体跟踪的游泳考试智能化计时系统，它是基于计算机视觉和人工智能技术的新型计时系统，它至少包括体育游泳考试管理云平台、验证及泳道分配终端，发令终端，终点计时终端，显示终端，管理云平台和各终端相连接，验证及泳道分配终端与采集设备连接，发令终端外接音频输出设备，终点计时每个泳道有一个终端与摄像头连接。通过体育游泳考试管理云平台，结合人脸识别分配泳道和基于深度学习及人体姿态跟踪技术通过SNTP精准校时；通过图像识别和人脸验证实现泳道分配，避免替考确保考试公平公正；通过深度学习及实时人体姿态跟踪实现自动触壁计时，避免因水的波动对人体图像识别造成干扰，避免了人工计时的误差和主观因素的干扰，确保公平公正，确保计时准确，同时实时大屏显示成绩，避免学生质疑，同时记录出发，触壁时刻记录、图片及视频供申诉和仲裁；降低人力成本，通过设备代替计时裁判。</t>
  </si>
  <si>
    <t>一种基于深度学习及人体跟踪的游泳考试智能化计时系统</t>
  </si>
  <si>
    <t>CN116631639A</t>
  </si>
  <si>
    <t>本发明提供了一种个性化健身课程的推荐方法，包括以下步骤：步骤1，向用户进行交互式的问答，问答内容选自预制知识库，根据用户的回答答案，将用户进行初步的分类，并基于此分类进行初步的课程推荐；步骤2，用户按照推荐的课程进行训练，系统实时获取用户的呼吸率和心率；步骤3，系统根据用户的呼吸率和心率作出课程推荐调整。本发明提出一种按照用户喜欢和运动能力给用户推荐课程的方法，解决用户使用线上健身软件时，健身课程与用户喜好和运动能力不匹配的问题。</t>
  </si>
  <si>
    <t>一种个性化健身课程的推荐系统、方法</t>
  </si>
  <si>
    <t>IN202341035872A</t>
  </si>
  <si>
    <t>该专利公开内容涵盖使用 ML 的 T20 板球结果预测系统和方法。 20 20 板球,缩写为 T20,是板球运动的简称。 在 Twenty20 比赛中,两队各有 11 名球员,各有一局,最多 20 轮。 体育分析方面正在进行大量工作,但板球运动的分析工作很少或根本没有。 该项目旨在应用机器学习方法对板球比赛的结果和球员的个人得分进行各种预测。 我们证明,使用机器学习进行板球预测比人们做出的随机猜测更重要。 预测未来听起来像是魔术,无论是提前检测潜在客户购买公司产品的意图,还是弄清楚股票价格的走向。 如果我们能够可靠地预测某件事的未来,那么我们就拥有巨大的优势。 数据集的影响特征已使用基于过滤器的方法进行了识别,包括基于相关性的特征选择、信息增益 (IG)、救济和包装。 更重要的是,可以采用朴素贝叶斯、随机森林、K 最近邻 (KNN) 和模型树(通过回归分类)等机器学习技术,从基于过滤器的方法导出的独特特征集生成预测模型。</t>
  </si>
  <si>
    <t>使用机器学习进行 t20 板球比赛结果预测的系统和方法</t>
  </si>
  <si>
    <t>IN202341035695A</t>
  </si>
  <si>
    <t>我们的生活越来越依赖“植入框架”,即已经融入我们当代环境的尖端数据技术。 植入框架是计算机硬件和软件的综合体,构成我们每天使用的电子设备的一个组件。 我们都同意,健康的生活是一项基本人权,世界卫生组织已将此作为其首要使命。 因此,个人使用当前的医疗保健系统来保持健康和健身至关重要。 该临床公司正在经历两三个推动市场扩张和创新的因素。 人们,尤其是婴儿潮一代,正在更好地照顾他们,需要检查自己在家的健康状况。 这推动了对更智能、联网设备的需求,这些设备可以监测高血压、糖尿病和哮喘等疾病的治疗效果。 电源管理对于保持这些设备高效运行至关重要。 除了内部电池和电源之外,医疗设备中的电源管理还包括集成半导体解决方案,支持从高功率成像系统到便携式和植入式设备等各种应用的能量管理。</t>
  </si>
  <si>
    <t>通过物联网监控和控制基于嵌入式的医疗设备</t>
  </si>
  <si>
    <t>CN116595584A</t>
  </si>
  <si>
    <t>本发明公开了一种基于云雾架构纵向联邦学习的体医数据融合隐私保护方法，旨在解决云雾架构研究中运动指导中心和医院数据的独立性和隐私问题。本发明的方法使用差分隐私技术来保护数据和模型的隐私，并采用中央服务器进行模型参数聚合，从而避免了数据泄露和模型隐私的风险。方法分为三个阶段：(1)数据预处理阶段，从运动指导中心和医院的数据集中选择有关的特征进行处理；(2)纵向联邦学习模型阶段，采用特定的神经网络架构，通过差分隐私机制加密个体的数据，将处理后的数据传输至中央服务器进行模型训练，最终生成共享的全局模型；(3)应用模型预测阶段，使用联合建模所得到的模型进行健身健康指导、疾病预测和决策，以达到提高预测准确性。</t>
  </si>
  <si>
    <t>基于云雾架构纵向联邦学习的体医数据融合隐私保护方法</t>
  </si>
  <si>
    <t>CN116739631A</t>
  </si>
  <si>
    <t>本发明属于体育运营领域，涉及数据分析技术，用于解决现有技术中的交互式体育运动运营管理系统，无法对用户活跃状态进行监测分析的问题，具体是一种基于人工智能的交互式体育运动运营管理系统，包括运营管理平台，运营管理平台通信连接有区域管理模块、周期管理模块、优化分析模块以及存储模块，区域管理模块用于对交互式体育运动馆进行区域性管理分析：将交互式体育运动馆的运动区域分割为若干个管理区域，生成管理周期，获取管理区域在管理周期内的噪声数据、振频数据以及振幅数据；本发明是对交互式体育运动馆进行区域性管理分析，并通过区域分割的方式，在用户活跃状态可能影响到其他用户时及时进行提醒，以提高整体的用户体验。</t>
  </si>
  <si>
    <t>一种基于人工智能的交互式体育运动运营管理系统</t>
  </si>
  <si>
    <t>US20230285832A1</t>
  </si>
  <si>
    <t>一种球机,包括用于捕获图像数据的成像系统和处理器,该处理器被配置为对于图像数据的帧,使用神经网络分析图像数据以检测多个人,确定每个人的比赛表面上的坐标位置。 提取多个检测到的人中每个人的特征,生成对应于多个检测到的人的第一组特征向量,将第一特征向量关联到第一检测到的人的游戏台面上的坐标位置。 人生成第一唯一标识符,将第二特征向量与第二检测到的人的比赛场地上的坐标位置相关联以生成第二唯一标识符,并控制发球机基于与第一唯一标识符对应的第一设置来发射球 标识符以及与第二唯一标识符对应的第二设置。</t>
  </si>
  <si>
    <t>利用球员识别和球员跟踪的自动发球机装置</t>
  </si>
  <si>
    <t>CN116570899A</t>
  </si>
  <si>
    <t>本发明涉及深度学习技术领域，公开了一种基于大数据和深度学习的体育训练系统，包括：图像特征提取模块，其用于生成肢体依赖CNN模型；特征转换模块，其用于将肢体依赖CNN模型的输出进行向量化；特征输入模块，将每个肢体对应的第一卷积空间的卷积链的输出的向量化之后的结果按照时间进行排序生成序列数据；状态生成模块，将每个肢体对应的序列数据对应的输入GMM‑HMM模型，输出隐状态；本发明综合考虑了一般图像特征表征的人体动作和红外图像表征的人体运动特征，来对人体肢体进行图像分解，然后综合引入运动特征进行综合的卷积，将卷积获得的综合运动特征基于HMM模型来表达发力状态，并辅助可视化能够实现对于学生拉单杠运动的指导。</t>
  </si>
  <si>
    <t>一种基于大数据和深度学习的体育训练系统及方法</t>
  </si>
  <si>
    <t>CN116563922A</t>
  </si>
  <si>
    <t>本发明涉及智能健身运动相关技术领域，更具体地说，本发明提供了一种基于人工智能的跳绳自动计数方法，包括以下步骤：S1：通过视频数据采集设备采集实时的视频信息，视频信息通过显示设备的屏幕显示；S2：对视频中的人脸进行捕捉，根据捕捉的人脸信息确定需要测试的人员后，识别出测试人员的人体姿态信息关键点，人体姿态信息关键点包括人体的脚踝和肩膀；并实时采集测试人员的人体姿态信息关键点的位置信息；能够通过对脚踝位置的定点实现对测试人员是否处于测试区中进行判定，然后通过将测试人员在跳绳过程中采集测试人员肩膀的y&amp;lt;subgt;2&amp;lt;/subgt;坐标的改变来对跳绳进行自动计数，解决了通过人工进行跳绳计数的方式容易因为计数人员疲劳而导致计数误差的问题。</t>
  </si>
  <si>
    <t>一种基于人工智能的跳绳自动计数方法</t>
  </si>
  <si>
    <t>CN116563946A</t>
  </si>
  <si>
    <t>本发明公开了一种基于人工智能的学生体育运动训练测评系统及方法，系统包括：信息获取模块、信息存储模块、人工智能测评模块和结果输出模块，所述信息获取模块用于获取待测评学生的基本信息和完成体育运动项目的图像信息；所述信息存储模块用于存储学生的基本信息，各项体育运动项目的标准动作、标准动作解析以及评分规则；所述人工智能测评模块用于对待测评学生完成体育运动项目的图像信息进行处理和分析，结合信息存储模块中的标准动作和评分规则对待测评学生完成体育运动项目进行评分，得到评分结果；所述结果输出模块用于输出评分结果。系统能对学生的体育运动项目进行客观测评，得到测评结果。</t>
  </si>
  <si>
    <t>一种基于人工智能的学生体育运动训练测评系统及方法</t>
  </si>
  <si>
    <t>CN116453025A</t>
  </si>
  <si>
    <t>本发明属于计算机视觉、图像处理、群体行为识别等交叉技术领域，公开一种缺帧环境下融合时空信息的排球比赛群体行为识别方法，该方法使用VGG16网络处理输入的排球视频帧序列得到全局特征，然后把特征向量和个体边框输入到RoiAlign层，得到个体特征，将个体特征输入推理网络得到初始群体特征和个体时空交互特征，得到原始特征，将原始特征输入至时空Transformer模块进行时空交互信息的建模，通过推理网络模块处理有效改善不连续特征过渡的复杂性。本发明能够完成对时空依赖关系进行整体建模，降低缺少帧带来的影响，捕获个体的复杂交互关系，有效提高排球比赛群体行为识别能力。</t>
  </si>
  <si>
    <t>一种缺帧环境下融合时空信息的排球比赛群体行为识别方法</t>
  </si>
  <si>
    <t>CN116561632A</t>
  </si>
  <si>
    <t>本发明提供基于预训练和门控神经网络的语步识别方法、系统、设备及介质，通过采集目标文段中的数据进行预处理，并按照预设语步打标签；对目标文段中长难复杂句进行甄别与拆分；搭建基于ERNIE_AT‑GRU语步自动识别模型；将拆分之后的数据输入ERNIE_AT‑GRU模型训练，经过轮次训练对测试数据进行语步识别测试，得到语步识别结果；基于预训练模型和门控神经网络的语步识别方法在具体操作时，利用结合大规模文本内容与知识图谱的ERNIE预训练模型学习文本深层语义，改善了传统机器学习未充分挖掘和利用词语之间的内在关系和特征的弊端，与现有技术相比，本发明有效提取文本中利于分类的重要部分，因而模型更加精简化，效率更高。</t>
  </si>
  <si>
    <t>基于预训练和门控神经网络的语步识别方法、系统、设备及介质</t>
  </si>
  <si>
    <t>CN116650940A</t>
  </si>
  <si>
    <t>本发明提出一种冰壶运动虚拟现实比赛实现方法。本发明基于力反馈与动作捕捉技术建立冰壶投掷动作与冰壶球运动初始状态之间关系的模型，在虚拟空间基于摩擦力模型实时估计并显示冰壶球运动状态，同时建立擦冰动作与虚拟空间冰刷运动对冰壶球运动状态改变之间的模型，基于多体碰撞模型预测冰壶球的位置分布，最后通过VR眼镜虚拟现实平台交互显示冰壶比赛过程，实现冰壶运动比赛对抗。所述方法通过对冰壶运动建模搭建冰壶比赛虚拟现实系统的软硬件平台，能够实时估计冰壶球运动状态和落点分布，实现虚拟现实环境中多人/人机交互冰壶比赛，为冰壶运动的大众推广提供条件。</t>
  </si>
  <si>
    <t>一种冰壶运动虚拟现实比赛实现方法</t>
  </si>
  <si>
    <t>IN202341032839A</t>
  </si>
  <si>
    <t>基于物联网的智能射箭自动化评分系统该项目旨在通过减少人为失误,确保评分公平准确,改善射箭比赛的评分流程。 目前的评估流程几十年来都没有改变,导致的不一致可能会极大地影响运动员。 为了实现这一目标,将在目标板顶部放置一个专门设计的框架,两侧各有传感器,以收集击中点的数据。 然后收集到的数据将由软件进行处理,该软件将分配分数并为用户提供查看窗口。 该项目的成果将是一个数字化评分系统,可以减少人为错误并提高准确性,从而为射箭运动提供更加公平和透明的评估过程。</t>
  </si>
  <si>
    <t>基于物联网的智能射箭自动化评分系统</t>
  </si>
  <si>
    <t>CN116251358B</t>
  </si>
  <si>
    <t>本发明提供了一种基于图像识别的电竞赛车竞速管理系统，包括电竞赛车竞速终端、选手操控终端、比赛全流程监测终端、图像识别终端和裁判处管理终端；选手操控终端用于操控电竞赛车竞速比赛中的各辆电竞赛车；比赛全流程监测终端用于生成赛前预备流程监测信息、竞赛期间监测信息和赛后流程监测信息；图像识别终端用于对赛前预备流程监测信息、竞赛期间监测信息和赛后流程监测信息进行图像识别分析，生成赛前预备流程分析信息、竞赛期间分析信息和赛后流程分析信息；裁判处管理终端用于根据赛前预备流程分析信息、竞赛期间分析信息和赛后流程分析信息作出对应的管理操作。本发明具有提高电竞赛车竞速管理质量的效果。</t>
  </si>
  <si>
    <t>一种基于图像识别的电竞赛车竞速管理系统</t>
  </si>
  <si>
    <t>CN116721126A</t>
  </si>
  <si>
    <t>本发明提供一种乒乓球拍运动轨迹跟踪的方法和系统，所述方法将待分析视频输入预设的球拍目标检测模型中获取部分球拍运动轨迹，将待分析视频输入预设的人体姿态识别模型获取人体关键点信息，计算各视频帧中获取的球拍位置到特定人体关键点的距离，筛除错误球拍位置，再利用人体关键点信息将待分析视频按球拍运动形式分类为向前挥拍帧和其余动作帧，分别使用基于深度学习的时间序列预测模型和插值法补全两类视频帧的缺失轨迹，合并两类视频帧，获得完整的乒乓球拍运动轨迹。该方法能克服单一使用目标检测算法时查准率和召回率低、单一使用插值法时效果差、单一使用时间序列预测模型时训练数据单一等问题，从而准确完整地跟踪乒乓球拍的运动轨迹。</t>
  </si>
  <si>
    <t>一种乒乓球拍运动轨迹跟踪的方法和系统</t>
  </si>
  <si>
    <t>CN116335487A</t>
  </si>
  <si>
    <t>本发明公开了一种物联网远程的五防电磁锁，包括锁体，所述锁体正面的顶部固定连接有指示灯，指示灯的底部设置有NFC信号区，NFC信号区的底部设置有二维码扫描区，安装区的右侧活动连接有弹簧锁舌，锁体右侧的顶部转动连接有盖板，限位块的内腔中固定连接有数据线，数据线的左侧设置有绕线辊，锁体正面右侧的顶部固定连接有锁紧组件，锁紧组件正面的正中活动连接有把手。本发明所述的一种物联网远程的五防电磁锁，此五防电磁锁可以在开关锁后台实时监控到状态，可以通过wife、手机APP、5G网络、手机、手环、钥匙进行开关锁的功能，整体操作高效快捷、安全可靠，同时具备五防功能、开关锁后台远程云台监控以及及开关锁状态。</t>
  </si>
  <si>
    <t>一种物联网远程的五防电磁锁</t>
  </si>
  <si>
    <t>CN116524596A</t>
  </si>
  <si>
    <t>本发明属于计算机视觉与视频动作识别领域，公开了一种基于动作粒度分组结构的体育视频动作识别方法，提出了一种基于动作粒度的层次化分组结构，设计了一种轻量级的多尺度时空建模与信息融合机制。步骤如下：视频抽帧，分段随机帧采样，视频帧预处理，选取骨干网络，在骨干网络中插入动作粒度分组模块实现多尺度时空特征聚合，使用全连接层和softmax层进行类别预测，使用交叉熵损失对动作类别进行训练，训练及验证。通过使用本发明可有效的提取多粒度动作信息，适用于包含多层次类别的体育视频动作识别，并显著提高体育视频动作识别的精度。本发明作为一种基于动作粒度分组结构的体育视频动作识别方法，可广泛应用于体育视频动作识别领域。</t>
  </si>
  <si>
    <t>一种基于动作粒度分组结构的体育视频动作识别方法</t>
  </si>
  <si>
    <t>CN116701977A</t>
  </si>
  <si>
    <t>本发明提供了一种基于聚类算法和神经网络的人体温度数据拟合方法，包括：步骤S1，在预设时间段内，持续采集多位实验者于跑步机上持续跑步时的实时温度数据；步骤S2，将预设时间段分割为多个子时间段，针对每个子时间段，统计得到子时间段内的各实时温度数据作为子时间段对应的簇类数据集；步骤S3，针对每个簇类数据集，对簇类数据集内的各实时温度数据进行聚类处理得到对应的簇中心点；步骤S4，针对每个实验者，将实验者对应的各簇中心点及各簇中心点对应的子时间段输入至预先构建的神经网络模型中，得到对应的人体温度数据拟合曲线。有益效果是本发明通过聚类算法和神经网络取出簇中心点并进行曲线拟合，可以有效减小误差。</t>
  </si>
  <si>
    <t>一种基于聚类算法和神经网络的人体温度数据拟合方法</t>
  </si>
  <si>
    <t>CN116503785A</t>
  </si>
  <si>
    <t>本申请公开了一种游泳馆监管系统及其方法，涉及智能监管领域，其通过采用基于机器视觉的人工智能检测技术，以通过对于所述被监控对象的游泳监控视频中的各个游泳监控关键帧进行时间维度上的隐含关联特征挖掘来提取出所述被监控对象的游泳姿势的语义理解特征信息，并将该游泳姿势的语义理解特征通过分类器来进行所述被监控对象的游泳状态是否正常的分类检测。这样，能够精准地对于游泳者的游泳状态进行检测，以实现对游泳人员的安全监管来避免发生溺水事件，保证游泳人员的游泳安全性。</t>
  </si>
  <si>
    <t>游泳馆监管系统及其方法</t>
  </si>
  <si>
    <t>CN116268547A</t>
  </si>
  <si>
    <t>本发明公开了一种用于卷烟外观检测的一体化智能终端及其使用方法，智能终端包括终端主体、外观图像采集设备、物联网网关、手持式PDA、报警灯和人脸识别摄像头，其中：所述终端主体上方镶嵌触摸显示屏，触摸显示屏通过USB线和HDMI线与物联网网关连接，所述外观图像采集设备位于终端主体操作面下部，所述物联网网关固定于终端主体内部下方，所述手持式PDA通过蓝牙与物联网网关连接，所述报警灯通过信号线连接物联网网关的IO输出口，所述人脸识别摄像头通过USB线与物联网网关连接。利用本发明的一体化智能终端，在生产过程中能实时检测产品外观缺陷，分析缺陷原因，报警并呼叫维修，从根源上及时有效地避免了外观缺陷的产生。</t>
  </si>
  <si>
    <t>一种用于卷烟外观检测的一体化智能终端及其使用方法</t>
  </si>
  <si>
    <t>CN219660932U</t>
  </si>
  <si>
    <t>本实用新型公开了一种用于卷烟外观检测的一体化智能终端，包括终端主体、外观图像采集设备、物联网网关、手持式PDA、报警灯和人脸识别摄像头，其中：所述终端主体上方镶嵌触摸显示屏，触摸显示屏通过USB线和HDMI线与物联网网关连接，所述外观图像采集设备位于终端主体操作面下部，所述物联网网关固定于终端主体内部下方，所述手持式PDA通过蓝牙与物联网网关连接，所述报警灯通过信号线连接物联网网关的IO输出口，所述人脸识别摄像头通过USB线与物联网网关连接。利用本实用新型的一体化智能终端，在生产过程中能实时检测产品外观缺陷，分析缺陷原因，报警并呼叫维修，从根源上及时有效地避免了外观缺陷的产生。</t>
  </si>
  <si>
    <t>一种用于卷烟外观检测的一体化智能终端</t>
  </si>
  <si>
    <t>CN308180663S</t>
  </si>
  <si>
    <t>1.本外观设计产品的名称：体育训练机器人。
 2.本外观设计产品的用途：本外观设计产品用于辅助体育训练的智能机器人。
 3.本外观设计产品的设计要点：在于形状。
 4.最能表明设计要点的图片或照片：立体图。</t>
  </si>
  <si>
    <t>体育训练机器人</t>
  </si>
  <si>
    <t>CN116385425A</t>
  </si>
  <si>
    <t>本发明为一种改进CA注意力机制的YOLOv5织物疵点检测方法，具体涉及在深度学习网络结构中更换融入CA注意力机制C3模块的织物疵点检测方法。发明目的旨在解决传统疵点检测过度依赖人工，而基于深度学习的疵点检测方法存在检测精度低、模型泛化性能差的问题。解决方案为在YOLOv5算法模型的躯干网络中用融入CA注意力机制的C3模块替换原有的C3模块来实现，具体操作流程如附图可以有效提升模型对疵点区域的关注程度，增强模型检测精度提升模型鲁棒性。主要用途为提高模型对疵点的识别能力以及检测的精确度。</t>
  </si>
  <si>
    <t>一种改进CA注意力机制的YOLOv5织物疵点检测方法</t>
  </si>
  <si>
    <t>CN116186561B</t>
  </si>
  <si>
    <t>本发明公开了一种基于高维时序图网络的跑步姿势识别纠正方法及系统，包括：通过无线传输模块采集跑步者各个身体部位的传感器信息，对采集的人体骨架图网络传感器信号进行滤波处理和特征提取，对高维时序图网络特征信息进行图卷积神经网络的参数学习和模型训练，得到运动姿势识别模型，并进行实时监控，参照专业运动员的特征信息进行对比分析，判断跑步者在运动过程中错误的身体发力部位，对该身体部位发送纠正信号，通过震动和受击的方式进行提醒和改正。本发明基于图神经网络的运动姿势纠正方法，能够实时高效的识别运动过程中的错误姿势，在线对运动者错误的运动姿势部位进行纠正提醒，养成正确的运动习惯。</t>
  </si>
  <si>
    <t>基于高维时序图网络的跑步姿势识别纠正方法及系统</t>
  </si>
  <si>
    <t>IN202341029628A</t>
  </si>
  <si>
    <t>该项目旨在通过减少人为错误并确保公平准确的评分来改进射箭比赛的评估过程。 目前的评估过程几十年来没有改变,导致的不一致会对运动员产生很大影响。 为实现这一目标,将在目标板顶部放置一个特别设计的框架,每侧都有传感器,以收集命中点数据。 收集到的数据随后将由软件进行处理,该软件将分配分数并为用户提供查看窗口。 该项目的成果将是一个数字化评分系统,可减少人为错误并提高准确性,从而为射箭提供更加公平和透明的评估过程。</t>
  </si>
  <si>
    <t>基于物联网的射箭计分自动化系统</t>
  </si>
  <si>
    <t>CN116370920A</t>
  </si>
  <si>
    <t>本发明涉及基于穿戴设备的速度同步方法及系统，包括以下步骤：基于穿戴式惯性测量单元获取运动数据，经预处理后，划分步伐并确定步伐的起止时间；根据得到的运动数据提取特征，基于训练完毕的神经网络得到估计的步长；利用得到的步伐起止时间和估计步长确定步速，发送给控制器实现速度同步。利用穿戴式惯性测量单元获取患者的运动数据，根据运动数据划分患者的步伐并确定步伐的起止时间，再利用神经网络估计步长确定步伐速度，将确定的步伐速度传输给跑步机控制器，实现患者的步速与跑步机的速度同步，从而使常规的跑步机适用于患者康复领域。</t>
  </si>
  <si>
    <t>基于穿戴设备的速度同步方法及系统</t>
  </si>
  <si>
    <t>US20230267738A1</t>
  </si>
  <si>
    <t>一种在计时体育赛事期间识别运动员并为其计时的系统。 运动员使用图像识别技术进行计时,其中相机在体育赛事期间拍摄运动员的一张或多张图像( 106 a, 106 b , 或者 106 c ) 带有时间戳以生成运动员的完成时间。 通过将体育赛事期间拍摄的图像之一与运动员的个人资料图像进行比较来识别运动员。</t>
  </si>
  <si>
    <t>用于识别体育赛事中的人所佩戴的品牌的系统和方法</t>
  </si>
  <si>
    <t>CN116637351A</t>
  </si>
  <si>
    <t>本发明公开了一种智能人机交互式音乐跑步机控制方法，涉及跑步机控制领域，旨在解决现有技术中使用人频繁手动调整跑步带速度的问题，采用的技术方案是，采集音乐BPM值，获得最佳SMF值和当前SMF值，调整跑步机跑步带速度以使当前SMF值等于最佳SMF值。通过获取当前播放音乐的BPM值、当前步幅值，结合BPM值和SMF的对应关系，以及步幅、步频与带传动辊外表面周长、马达转速的关系，能够通过调节马达转速以改变使用者的步频，使其与BPM值相对应，本发明能够根据音乐自动调整跑步带速度，使用人运动的主动性和自由度大幅提高，能够更便于获得随心所欲式自由轻松的运动。</t>
  </si>
  <si>
    <t>一种智能人机交互式音乐跑步机控制方法</t>
  </si>
  <si>
    <t>CN116453396A</t>
  </si>
  <si>
    <t>本发明涉及一种海上风电安装船动力定位操作训练模拟系统，包括传感器与定位模块、运动模型仿真模块、人机交互模块、控制器模块、导航规划模块、推进器分配模块、网络接口模块、记录与回放模块和评估模块。教练员可自定义模拟本船的初始状态和航行作业环境，利用模拟驾驶台实现对模拟风电安装船的航行和动力定位操作训练。与现有技术相比，本发明可用于风电安装船动力定位操作员培训、考核、日常训练，从而提升动力定位操作员的操作水平、提高海上作业效率，同时也可以打破国外动力定位培训的垄断局面。</t>
  </si>
  <si>
    <t>一种海上风电安装船动力定位操作训练模拟系统</t>
  </si>
  <si>
    <t>CN308034925S</t>
  </si>
  <si>
    <t>1.本外观设计产品的名称：显示屏幕面板的课程详情介绍图形用户界面。2.本外观设计产品的用途：显示图形用户界面。3.本外观设计产品的设计要点：在于显示屏幕面板上所显示的图形用户界面。4.最能表明设计要点的图片或照片：主视图。5.显示屏幕面板为惯常设计，省略左视图、右视图、俯视图、仰视图、后视图。6.图形用户界面的用途：本外观设计产品的界面为运动课程详情介绍的图形界面。用户可查看运动课程的名称、教练名称和课程简介。本设计界面中灰色图片为可替换的运动课程视频封面。本设计界面中的叉号代表文字和/或数字和/或字母和/或符号。本显示屏幕面板用于手机。7.图形用户界面的人机交互方式：点击“三角”图标可播放运动视频，点击“旗帜”图标可跳转至课程收藏列表，点击“爱心”图标可收藏本课程，点击任意灰色图片可跳转至对应的课程，点击“五角星”图标可对课程进行评分。</t>
  </si>
  <si>
    <t>显示屏幕面板的课程详情介绍图形用户界面</t>
  </si>
  <si>
    <t>CN308034924S</t>
  </si>
  <si>
    <t>1.本外观设计产品的名称：显示屏幕面板的课程搜索图形用户界面。2.本外观设计产品的用途：显示图形用户界面。3.本外观设计产品的设计要点：在于显示屏幕面板上所显示的图形用户界面。4.最能表明设计要点的图片或照片：主视图。5.显示屏幕面板为惯常设计，省略左视图、右视图、俯视图、仰视图、后视图。6.图形用户界面的用途：本外观设计产品的界面为运动课程搜索的图形界面。用户可查看课程名称、视频时长以及热门教练排行榜。本设计界面中灰色图片为可替换的运动课程视频封面图片。本设计界面中的叉号代表文字和/或数字和/或字母和/或符号。本显示屏幕面板用于手机。7.图形用户界面的人机交互方式：点击"放大镜"图标可搜索用户想要的课程。点击灰色图片可跳转至对应的课程。</t>
  </si>
  <si>
    <t>显示屏幕面板的课程搜索图形用户界面</t>
  </si>
  <si>
    <t>CN116523962A</t>
  </si>
  <si>
    <t>本公开提供了一种针对目标对象的视觉跟踪方法、装置、设备和介质，涉及人工智能领域，具体涉及计算机视觉、图像处理和深度学习等技术领域。针对目标对象的视觉跟踪方法的具体实现方案为：根据事件相机采集的事件数据，确定执行体操类运动的目标对象的运动信息；响应于根据运动信息确定目标对象的运动满足视觉跟踪条件，获取针对目标对象在至少两个视角下同步采集的视频数据；以及根据视频数据，生成描述目标对象所执行的体操类运动的待播放数据。</t>
  </si>
  <si>
    <t>针对目标对象的视觉跟踪方法、装置、系统、设备和介质</t>
  </si>
  <si>
    <t>US20230252358A1</t>
  </si>
  <si>
    <t>本文描述的是用于保护隐私的无监督学习的系统和技术。 所公开的系统和方法可以使得由单独的实体操作的单独的计算机能够基于它们各自的数据池共同执行无监督学习,同时保护隐私。 该系统提高了效率和可扩展性,同时保护隐私并避免泄露集群标识。 该系统可以基于 N 中的 1 不经意传输 (OT),通过对来自计算机的相应数据值 x 和 y 进行隐私保护相乘来联合计算安全距离。 在各种实施例中,N可以是2、4或某个其他数量的份额。 第一台计算机可以用 N 进制表示其数据值 x。 第二台计算机可以组成一个 ×N 矩阵包括 随机数 m i,0 其余元素 m i,j =(yjN i −m i,0 ) 模组 。 第一台计算机可以接收来自 OT 的输出向量,其分量为 m i =(yx i 氮 i −m i,0 ) 模组 。</t>
  </si>
  <si>
    <t>两服务器隐私保护集群</t>
  </si>
  <si>
    <t>IN202341028224A</t>
  </si>
  <si>
    <t>机器人夹持器广泛用于工业自动化和其他需要精确、高效地操纵物体的应用。 然而,控制这些夹具可能具有挑战性,特别是对于未受过机器人技术培训或对夹具控制系统经验有限的操作员而言。 为了应对这一挑战,我们提出了一种用于机器人抓手的直观控制系统,使操作员能够轻松、精确地操纵物体。 我们的系统基于计算机视觉和物体传感的结合。 我们通过一系列实验评估了我们的系统,并将其与传统的夹持器控制系统进行了比较。 我们的结果表明,我们的系统允许操作员以比传统控制系统更高的精度和速度操纵物体。 总的来说,我们的模型提供了一种直观有效的方法来控制机器人抓手进行物体操作。</t>
  </si>
  <si>
    <t>使用夹具控制系统自动识别物体</t>
  </si>
  <si>
    <t>IN202311028106A</t>
  </si>
  <si>
    <t>本发明由控制单元、心率传感器、SpO2传感器、加速度计、体温传感器、环境温度传感器、触摸屏、AI、离线存储、蓝牙模块、手机APP和电池组成。 心率传感器、SpO2传感器、加速度计、体温传感器和环境温度传感器将被嵌入系统中,这些将成为监测数据并将数据传送到控制单元,之后控制单元将这些数据显示在触摸屏上 并将其存储在离线存储中。 当用户靠近他们的智能手机时,它会自动通过蓝牙模块连接到他们的智能手机,然后控制单元会从离线存储中提取所有数据并进行人工智能处理,并将该数据发送到手机应用程序 通过蓝牙模块。 在移动应用程序的帮助下,运动员也可以看到其他运动员的一些特定数据,这样他们就可以更好地制定策略,教练也可以反馈他们的数据,让运动员的 训练计划可以更好。</t>
  </si>
  <si>
    <t>提高运动员表现和预测竞争对手表现的人工智能系统</t>
  </si>
  <si>
    <t>CN116343725A</t>
  </si>
  <si>
    <t>本发明实施例中提供了一种基于人工智能的作曲方法、装置及电子设备，属于人工智能技术领域，该方法包括：在作曲阶段，对音乐按照预设的方式进行编码，编码后的音乐被称为染色体；针对编码后的染色体音乐，分别计算其选择概率和累积概率；使用GA中的交叉和变异运算符来对编码后的染色体音乐执行进化操作，得到进化结果；使用健身函数来衡量对进化结果的性能进行确认，以确保进化结果满足预设要求。采用本方案，能够提高作曲的效率。</t>
  </si>
  <si>
    <t>基于人工智能的作曲方法及装置</t>
  </si>
  <si>
    <t>CN116418847A</t>
  </si>
  <si>
    <t>本发明涉及室内外环境技术领域，且公开了一种基于物联网的地掷球运动系统，包括多个地掷球，球杆以及球窝，每个球体内部安装有线圈和磁铁，球体、球杆、球窝内部均安装定位模块、Zigbee模块。定位模块用来对地掷球进行定位、轨迹记录；Zigbee模块采用CC2530,通过连接线圈来对地掷球进行测距并且传输数据；外加无线通信模块和移动终端，实现了对地掷球的实时记录和监测。系统电路结构简单、成本低，可以线上进行地掷球比赛，不在拘泥于线下。这使得地掷球这项运动具有更强的便捷性，使得地掷球更加的智能、便捷。</t>
  </si>
  <si>
    <t>一种基于物联网的地掷球运动系统</t>
  </si>
  <si>
    <t>CN116661590A</t>
  </si>
  <si>
    <t>一种人机交互动作引导纠正装置及方法，它包括压力感应单元，肢体追踪单元，图像获取单元,核心处理单元，显示单元，肢体定位单元，用户可根据自身需要选择练习模式，练习模式包括自主练习模式和教练指导模式，当选择自主练习模式时，通过佩戴在用户肢体上的肢体定位单元与肢体追踪单元配合，肢体追踪单元预先运行至指定位置，用户佩戴的肢体定位单元到达指定空间位置后，核心处理单元判定用户的肢体动作是准确的，从而能够使用户的动作更加精准。当选择教练指导模式时，肢体追踪单元跟踪肢体定位单元的位置，并将位置信息反馈给核心处理单元储存，生成配套的练习数据，当用户选择自主练习模式时，便可以使用生成的练习数据进行练习。</t>
  </si>
  <si>
    <t>一种人机交互动作引导纠正装置及方法</t>
  </si>
  <si>
    <t>CN116664910A</t>
  </si>
  <si>
    <t>本发明公开了一种基于人工智能的游泳动物多参数测量装置及方法，包括支撑底盘，所述支撑底盘上设置有两根支撑柱，所述支撑柱的顶部通过铰接机构与置物盘相铰接，所述支撑底盘上还设置有推杆电机，所述推杆电机上的输出端与伸缩杆的一端配合连接，所述伸缩杆的另一端与所述置物盘相连接；所述置物盘上设置有三脚支撑架，所述三脚支撑架上设置有安装盘，所述安装盘上安装有水平调节机构，通过本装置能够获取游泳动物的图像信息，然后通过对图像信息进行分析，从而完成对游泳动物进行鉴定与测量过程，能够消除人为误差，所获取的数据的可靠较高，能够提高后续预测种群动态特征的预测准确度。</t>
  </si>
  <si>
    <t>基于人工智能的游泳动物多参数测量装置及方法</t>
  </si>
  <si>
    <t>IN202311027506A</t>
  </si>
  <si>
    <t>在本公开的实施例中可以包括用于改善患有自闭症的个体的社会化结果的方法。 这种方法可能包括接收有关个人社交技能的数据,例*自可穿戴设备的数据、视频记录以及来自护理人员或社交教练的反馈。 此外,实施例可以包括使用人工智能系统分析数据以便发现可以改进的领域,例如识别可能导致社交挑战的行为模式。 此外,实施例可以涉及基于所识别的发展领域为个人生成个性化社交目标。 此类目标的示例包括保持目光接触、开始讨论和解读社交信号。 实施例还可以通过用户界面(例如移动应用程序或在线门户)向个人和/或护理人员展示个性化的社交目标,并提供对个人或护理人员实现目标的进展的反馈 .</t>
  </si>
  <si>
    <t>改善自闭症患者社交结果的人工智能平台</t>
  </si>
  <si>
    <t>CN116510318A</t>
  </si>
  <si>
    <t>本申请提供了一种体育活动的自动组局方法，包括：基于组局决策向用户端发起组局邀请；监测基于所述组局邀请的组局任务是否成功；若所述组局任务成功，则对生成所述组局决策的组局模型评分值加1；若所述组局任务不成功，则对生成所述组局决策的组局模型评分值减1；基于组局模型的评分值高低对多个组局模型进行排序；将所述组局模型的评分值小于预设阈值的组局模型列为待优化模型；将所述组局模型的评分值大于等于所述预设阈值的组局模型列为可用模型，调用所述可用模型生成下一条组局决策。本申请提供的方法，并基于此提供的系统、电子设备和存储介质，可以将人工智能技术在智能体育的应用场景下发挥效能，提高体育场馆经营业绩。</t>
  </si>
  <si>
    <t>体育活动的自动组局方法、系统、电子设备及存储介质</t>
  </si>
  <si>
    <t>CN116847042A</t>
  </si>
  <si>
    <t>本发明公开了一种艺术体操动作生成方法，包括：对专业的艺术体操运动员进行动作捕捉；先进行音频特征提取，将音频特征分为音频片段；艺术体操动作捕捉视频分为视频片段；将音频片段和体视频片段进行数据归一化，再输入至生成扩散模型中，进行模型训练；对每个艺术体操片段生成的体操动作和音频的适配性进行打分，得分最高的艺术体操片段作为生成片段保留；使用损失函数结合动量梯度下降法算法对数据集的视频进行训练，得到艺术体操动作生成模型，输入音频通过模型得到艺术体操动作视频。本发明使用了生成扩散模型用于艺术体操的，相比于GAN等神经网络模型具有长期建模能力，能够生成长期稳定的动作序列。</t>
  </si>
  <si>
    <t>一种艺术体操动作生成方法</t>
  </si>
  <si>
    <t>CN116326502A</t>
  </si>
  <si>
    <t>本发明提供一种智能宠物跑步机，涉及宠物狗用品技术领域。该智能宠物跑步机，包括固定座、底座和控制机构，所述固定座的内部固定连接有驱动电机，所述驱动电机的输出端固定连接有第一传送轮，所述第一传送轮的外壁传送连接有第一传送链，所述第一传送链的右侧传送连接有第二传送轮，所述第二传送轮的后侧固定连接有第三传送轮，所述控制机构包括语音识别模块和控制模块，所述语音识别模块用于识别狗叫，并将信息传递给控制模块，控制模块控制驱动电机模块和彩色球模块工作。本发明，当宠物狗发生吠叫时，语音识别模块识别该信号，并通过控制模块进行控制驱动电机和彩色球的工作，使得宠物狗转移注意力至跑步带上，进行跑步锻炼。</t>
  </si>
  <si>
    <t>一种智能宠物跑步机</t>
  </si>
  <si>
    <t>WO2023197007A1</t>
  </si>
  <si>
    <t>一种用于生成概率(例如用于在视频馈送上显示)的方法、系统和装置,其可以使用机器学习和/或人工智能来生成或调整。 一个实施例包括一种用于生成和调整概率的方法,生成的概率以便在显示设备上创建和显示概率图形。 可以使用人工智能或机器学习来生成和/或更新图形。 显示信息可能会随着比赛中的变化(例如球员受伤、换人、天气条件变化等)而实时更新。 这些变化可以通过场上附着在球员或设备上的检测系统来检测。</t>
  </si>
  <si>
    <t>直播事件信息显示方法、系统及装置</t>
  </si>
  <si>
    <t>IN202311026393A</t>
  </si>
  <si>
    <t>本发明涉及连接到计算单元的传感器,其中安装了预训练的 AI 芯片组,其中为某些状态(例如正常、放松和疲倦)定义了阈值,然后它收集基于 EMG 传感器的所有信息。 为了实现精确的工作,电池电源连接到计算单元以实现高效工作。 然后该数据通过连接到另一个计算单元的蓝牙接收器发送,该计算单元是可穿戴设备,如健身追踪器、智能手表和其他类似设备,然后 Oled 显示器连接到计算单元供玩家使用。</t>
  </si>
  <si>
    <t>基于物联网的运动肌肉骨骼压力监测装置</t>
  </si>
  <si>
    <t>IN202311026265A</t>
  </si>
  <si>
    <t>在身体和情感上,瑜伽对所有年龄段的人都有好处。 为避免伤害骨骼、肌肉和韧带,即使没有老师,您也应该知道如何准确地练习瑜伽姿势。 因此,人工智能、机器学习和图像处理将有助于在没有现场教练的情况下向表演者提供反馈。 所提出方法的目的是向用户演示如何正确练习瑜伽姿势并提供有关其形式的即时反馈。 该应用程序的文本和音频评论可以帮助用户避免受伤并最大限度地发挥瑜伽姿势。 这种形式的反馈包含在用户体验中。 通过从 Internet 获取多张图像,可以编译一个全面的瑜伽姿势数据库。 使用 OpenCV 和媒体管道,相机捕获的每个图像都被解析为数据点。 当这些数据被输入基于卷积神经网络的深度学习模型时,它有助于识别姿势缺陷并计算错误百分比,然后以文本或音频的形式向用户提供适当的反馈,分类准确率约为 95% .</t>
  </si>
  <si>
    <t>基于人工智能和物联网的自动瑜伽姿势检测和训练系统,使用机器学习和深度学习算法提供系统性更好的瑜伽训练</t>
  </si>
  <si>
    <t>IN202311026068A</t>
  </si>
  <si>
    <t>本发明涉及用于监测康复运动员的边缘节点和基于深度学习的可扩展系统。 运动生物力学代表了一个重要的研究领域,旨在分析运动运动以定量评估运动员的表现,为教练员在运动员训练期间应用有用的工具和指南,并预防或减少受伤风险。 由于紧凑型可穿戴传感器不影响运动员的技术动作,最近的技术创新允许在体育活动中进行运动分析。 本研究涉及人工智能和云辅助运动系统康复。 康复节点(1)和(2)用于收集受伤球员的信息并将其传输到边缘模式。 借助 Wi-Fi 的边缘模式将从 Node(1) 和 Node(2) 获得的数据传输到云服务器和 Web 仪表板。 我们使用了 EMG 传感器(肌电图)、EMC(电子)、光学、电气和陀螺仪传感器。 计算单元借助电池供电和键盘将信息发送到显示单元和扬声器。</t>
  </si>
  <si>
    <t>用于监测康复运动员的边缘节点和基于深度学习的可扩展系统</t>
  </si>
  <si>
    <t>CN116392368A</t>
  </si>
  <si>
    <t>本发明提供了一种可穿戴智能助盲运动肩带及其助盲交互方法，包括：信息采集模块、处理器模块、语音反馈模块以及振动警示模块。信息采集模块将采集的数据信息发送给处理器模块处理，处理器模块将处理后的信息分别发送至振动警示模块和语音反馈模块，语音反馈模块将所接收的信息转化为音频实时传输至人耳，振动警示模块通过振动向视障人士紧急提醒。信息采集模块、处理器模块、语音反馈模块以及振动警示模块均内置于智能肩带并穿戴在人体上。本发明通过利用RGB‑D相机对外界环境进行感知，并基于深度学习的方法对信息进行处理，通过语音和振动的方式对视障人士进行导航，能够帮助视障人士在运动场上进行跑步运动，并提高对运动场环境的感知能力以及自身的行动能力。</t>
  </si>
  <si>
    <t>可穿戴智能助盲运动肩带及其助盲交互方法</t>
  </si>
  <si>
    <t>US20230316811A1</t>
  </si>
  <si>
    <t>识别体育锻炼的系统和方法,包括:对用户的身体进行成像,使用图像处理确定用户身体上的参考点,应用机器学习算法来识别从接收到的帧序列内所确定的参考点的运动的重复。 成像器,对至少两个不同用户的所识别的重复进行聚类,以基于参考点的移动勾画出潜在的体育锻炼的轮廓,并且将轮廓验证为体育锻炼。</t>
  </si>
  <si>
    <t>识别体育锻炼的系统和方法</t>
  </si>
  <si>
    <t>KR1020230051652A</t>
  </si>
  <si>
    <t>根据本发明实施例的提供数字化AI法律问题解答服务的系统是查询终端,请求对查询内容进行法律咨询:以及与上述查询类似的案件的判例信息和律师法律从至少一个外部服务器收集咨询信息后,以预设形式处理并建立数据库,并根据已建立的判例信息和法律对上述查询的肯定和否定提供法律答复咨询信息,通过人工智能机器学习算法分析后,AI法律/问答服务器提供正负数值,查询终端将数值以仪表的形式展示给用户。它的特点是跑步。</t>
  </si>
  <si>
    <t>一种为法律问题提供量化人工智能答疑服务的系统和方法</t>
  </si>
  <si>
    <t>CN116485605A</t>
  </si>
  <si>
    <t>面向大型体育场馆的人群应急疏散路径规划方法，包括：(1)基于卷积神经网络实现对体育场馆目标的自动识别与标注，构建场景信息；(2)然后使用基于密度驱动的人群仿真技术获取体育场馆人员分布情况；(3)最后基于人群密度的路径规划算法，确定每个区域人员的疏散路径。本发明通过对人群密度、建筑物地形、出口分布等实时数据进行科学的检测和综合分析，从而实现灾情检测、灾情分布显示、人群疏散避障、救援方案决策等功能。本发明的优点是：在险情发生时能够快速找到最佳疏散的路径；科学性和直观性好，容易使用和操作；工作人员能够完整模拟疏散全过程，并熟悉防灾应急流程，以便掌握体育场馆信息，从而在灾情发生时立即作出反应。</t>
  </si>
  <si>
    <t>面向大型体育场馆的人群应急疏散路径规划方法</t>
  </si>
  <si>
    <t>IN202311024613A</t>
  </si>
  <si>
    <t>智能手环已经从时尚配饰发展成为综合性的健康和健身追踪器,可以通过各种传感器追踪日常活动、锻炼、睡眠和一般健康状况。 跟踪血压、异常心律、心电图的智能手表。 这应该是基于人工智能的,如果有任何问题就会发出警报。 与上述记录跟踪的应用程序。 基于边缘的智能手环是一种可穿戴设备,可以跟踪您日常活动的各个方面,并提供有关您的健康和健身的见解。 这种设备的一些常见功能包括计步、心率监测、睡眠跟踪和卡路里跟踪。 除了这些基本功能外,手环还可以具备GPS追踪、血氧监测、压力监测等更高级的功能。 这些功能可以让您更全面地了解您的健康和健身水平。</t>
  </si>
  <si>
    <t>适合日常活动的基于边缘的智能手环</t>
  </si>
  <si>
    <t>CN116524590A</t>
  </si>
  <si>
    <t>本发明属于泳姿评估系统技术领域，具体为一种基于动作捕捉的泳姿评估系统，包括硬件系统和软件系统，硬件系统包括POE交换机、水下摄像头、GPU服务器、数据服务器和客户端，所述水下摄像头的输出端与POE交换机的输入端相连，所述GPU服务器、数据服务器和客户端的输出端与POE交换机的输入端相连，所述POE交换机的输出端与视频切换器的输入端相连，所述视频切换器的输出端与显示大屏的输入端相连。该泳姿评估系统运用数据库、流程优化、人工智能等技术，建设游泳智能辅助训练评估系统，实现游泳流程自动化控制，游泳姿态智能化识别，游泳训练科学化指导功能，达到游泳训练快速、高效、可控的目的。</t>
  </si>
  <si>
    <t>一种基于动作捕捉的泳姿评估系统</t>
  </si>
  <si>
    <t>CN116327144A</t>
  </si>
  <si>
    <t>本发明涉及一种可拉伸、可呼吸的电子纹身传感器及其制备方法，包括：压电传感薄膜；分别贴附在所述压电传感薄膜上下表面的上电极与下电极；对称复合于所述上电极上表面和所述下电极下表面的两层硅胶层；以及贴附在面向皮肤表面一侧硅胶层上的水溶性高分子聚合物层；所述压电传感薄膜或硅胶层的部分区域镂空并形成具有高延展性的剪纸图案。与现有技术相比，本发明提供的电子纹身传感器可被粘附在用户的各个身体部位，不会引起佩戴者任何不适，可避免运动伪影的出现，并且具有良好的透气性，可长期监测人体的各项生物力学信号，包括生命体征信号以及各类身体运动信号，在临床医疗保健、移动健身跟踪、人机交互以及虚拟现实中实现广泛的应用。</t>
  </si>
  <si>
    <t>一种可拉伸、可呼吸的电子纹身传感器及其制备方法</t>
  </si>
  <si>
    <t>CN308245351S</t>
  </si>
  <si>
    <t>1.本外观设计产品的名称：显示屏幕面板的商品信息展示图形用户界面。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6.图形用户界面的用途：本图形用户界面用于展示商品信息。
 7.图形用户界面的人机交互方式：设计1至设计5主视图的图形用户界面为商品信息展示的界面，用户可以点击界面下部的条形控件进入相应的商品详情页面或搜索结果页面，该条形控件位置对应设计1主视参考图下部的“xx口红”、“xx精华面霜”条形控件位置。
 各设计界面中的灰色色块为可替换的图片或视频。
 各设计界面中的叉号代表文字和/或数字和/或字母和/或符号。
 8.其他需要说明的情形其他说明：（1）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
 （2）显示屏幕面板为惯常设计，省略各项设计的后视图、左视图、右视图、俯视图、仰视图。</t>
  </si>
  <si>
    <t>显示屏幕面板的商品信息展示图形用户界面</t>
  </si>
  <si>
    <t>CN308250724S</t>
  </si>
  <si>
    <t>1.本外观设计产品的名称：用于显示屏幕面板的心音采集数据报告图形用户界面。2.本外观设计产品的用途：显示屏幕面板用于交互及显示信息。3.本外观设计产品的设计要点：在于图形用户界面。4.最能表明设计要点的图片或照片：主视图。5.本外观设计的显示屏幕面板为惯常设计，省略后视图、左视图、右视图、俯视图及仰视图。6.图形用户界面的用途：本外观设计的界面用于心音信息的采集。7.图形用户界面的人机交互方式：通过滑动或点击显示屏幕面板等操作可以触发界面产生上移效果，以从主视图开始逐渐变化为界面变化状态图1和界面变化状态图2。此外，用户可以点击界面内的拍照、录音（心形）、播放、编辑等按钮并触发与之对应的功能。8.其他需要说明的情形参考图说明：本外观设计的图形用户界面可嵌入于其他应用（例如微信）中使用，界面展开参考图右上角的按键为其他应用固有的控件，故而在主视图中省略。9.其他需要说明的情形其他说明：本外观设计的显示屏幕面板可以应用于计算机、平板电脑、手机、智能手环、智能手表、智能眼镜、健身监视器、个人数字助理、智能音箱、电视、监视器、投影仪、机顶盒、游戏机、导航仪、用于车辆的显示屏。</t>
  </si>
  <si>
    <t>用于显示屏幕面板的心音采集数据报告图形用户界面</t>
  </si>
  <si>
    <t>WO2023195682A1</t>
  </si>
  <si>
    <t>本发明涉及一种基于物联网的用户定制非面对面人工游泳池系统。 更具体地说,它可以不受时间和地点的限制,远程进行游泳课程,并根据用户的个人健康状况和游泳水平,自动创建合适的人工波浪,实现定制化的游泳练习。基于物联网的面对面人工泳池系统。 为此,本发明包括Kinect设备单元,其检测用户的游泳动作; 一种人工游泳设备单元,设置有供用户游泳的水池,并包括由设备控制单元控制以产生人工波浪的人工波浪产生模块; 设备控制单元,通过无线通信与人工游泳设备单元连接,控制人工游泳设备产生人工波浪的水流量、流量、喷射速度、喷射高度; 显示单元,接收Kinect设备识别的用户运动信息,并输出包括用户的实时锻炼画面和其他用户的实时游戏图像等信息; 它提供用户定制的基于物联网的非面对面人工泳池系统,包括提供人工泳池使用预约和支付的终端以及个性化的游泳锻炼指南。</t>
  </si>
  <si>
    <t>基于物联网的用户定制非面对面人工泳池系统</t>
  </si>
  <si>
    <t>CN308266254S</t>
  </si>
  <si>
    <t>1.本外观设计产品的名称：显示屏幕面板的拍摄图形用户界面。2.本外观设计产品的用途：用于显示图形用户界面。3.本外观设计产品的设计要点：在于显示屏幕面板中展示图形用户界面的内容和布局。4.最能表明设计要点的图片或照片：主视图。5.图形用户界面的用途：本图形用户界面用于显示和人机交互。从主视图起，当用户切换到拍照模式时，点击拍摄按键实现拍照，则进入界面变化状态图1；从主视图起，当用户切换到录像模式时，进入界面变化状态图2；从主视图起，当用户切换到录像模式，按下拍摄按键后，进入界面变化状态图3；从主视图起，当选择滤镜功能后，进入界面变化状态图4；从主视图起，当选择滤镜功能，向右浏览后，进入界面变化状态图5；从主视图起，选择灯光图标后，进入界面变化状态图6；从主视图起，当选择美颜图标后，进入界面变化状态图7。6.其他需要说明的情形其他说明：该显示屏幕面板用于：计算机、笔记本电脑、平板电脑、手机、智能手机、手表、智能手表、健身监视器、头戴式耳机、智能手环、智能音箱、电视、监视器、投影仪、游戏机。7.由于本外观设计要求保护图形用户界面，且显示屏幕面板为惯常设计，故省略后视图、左视图、右视图、俯视图和仰视图。</t>
  </si>
  <si>
    <t>显示屏幕面板的拍摄图形用户界面</t>
  </si>
  <si>
    <t>CN307997126S</t>
  </si>
  <si>
    <t>1.本外观设计产品的名称：显示屏幕面板的跑步消耗及音乐播放器图形用户界面。
 2.本外观设计产品的用途：显示图形用户界面。
 3.本外观设计产品的设计要点：在于显示屏幕面板上所显示的图形用户页面。
 4.最能表明设计要点的图片或照片：主视图。
 5.显示屏幕面板为惯常设计，省略左视图、右视图、俯视图、仰视图、后视图。
 6.图形用户界面的用途：本外观设计产品的界面为跑步消耗及音乐播放器的界面。
 用户可查看本次运动的时长，心率和消耗卡路里数。
 运动时用户可自行控制音乐播放器。
 本设计页面中的叉号代表文字和/或数字和/或字母和/或符号。
 右上角小铃铛处的叉号代表未读消息数。
 本显示屏幕面板用于手机。
 7.图形用户界面的人机交互方式：点击右上角的人形小图标，可跳转至个人中心页面。
 点击右上角的铃铛小图标，可跳转未读消息页面。
 点击三角符号可调节上一首或者下一首音乐，点击圆圈加两条竖线图标可暂停或播放音乐。</t>
  </si>
  <si>
    <t>显示屏幕面板的跑步消耗及音乐播放器图形用户界面</t>
  </si>
  <si>
    <t>CN116337013A</t>
  </si>
  <si>
    <t>本发明提供了一种基于神经网络的软体操作臂的位姿测量方法，包括：S1、在软体操作臂外侧面设置标记点，控制软体操作臂弯曲变形，其中，软体操作臂内部开设第一腔道、第二腔道和第三腔道，外侧壁间隔分布凹凸结构，通过对第一腔道、第二腔道和第三腔道内施加气压控制软体操作臂弯曲变形；S2、获取摄像机拍摄的图像；S3、提取软体操作臂弯曲变形图像，其中，通过建立识别神经网络，从摄像机拍摄的图像中提取软体操作臂弯曲变形图像；S4、通过测量神经网络对软体操作臂弯曲变形图像测量，输出软体操作臂弯曲变形的位姿信息。本发明利用两个独立的神经网络分别进行对软体操作臂“识别”和“测量”，完成了基于视觉传感方法的软体操作臂位姿测量。</t>
  </si>
  <si>
    <t>一种基于神经网络的软体操作臂的位姿测量方法</t>
  </si>
  <si>
    <t>CN308250723S</t>
  </si>
  <si>
    <t>1.本外观设计产品的名称：用于显示屏幕面板拍摄的图形用户界面。2.本外观设计产品的用途：用于运行程序、显示相机、云台相机等拍摄或设备设置。3.本外观设计产品的设计要点：在于显示屏幕面板中的图形用户界面。4.最能表明设计要点的图片或照片：主视图。5.图形用户界面的用途：本外观设计界面为显示屏幕面板中拍摄的图形用户界面。6.图形用户界面的人机交互方式：主视图为相机、云台相机等拍摄设备的界面，当进入相机功能的篮球模式，图形用户界面显示主视图。当用户点击主视图界面中下方的黄色长条图标，进入界面变化状态图1所示的界面。当用户点击主视图界面右边的红色圆形图标，进入界面变化状态图2所示的界面。各界面中的“X”表示可变化的文字内容区域，包括文字和/或数字和/或符号。主视使用状态参考图对应主视图，使用状态参考图1对应界面变化状态图1，使用状态参考图2对应界面变化状态图2。7.其他需要说明的情形其他说明：该显示屏幕面板应用于手机、平板电脑和电脑。</t>
  </si>
  <si>
    <t>用于显示屏幕面板拍摄的图形用户界面</t>
  </si>
  <si>
    <t>CN116453097A</t>
  </si>
  <si>
    <t>本发明属于羽毛球质量检测技术领域，具体涉及一种基于VIT的羽毛球头软木图像识别方法及其分拣方法，为了解决目前羽毛球头软木人工分拣效率低的问题，本方案通过步骤一：采集羽毛球头软木图像，人工标注得到标签；步骤二：对存在软木圆片进行图像采集，构建负例样本集，同时从良品中抽取部分进行图像采集，构建正例样本集；步骤三：对负例样本进行增强，缓解不良品不足的限制，达到正负例样本的平衡；步骤四：对样本进行扩容；步骤五：依据扩容后的样品数量进行离线训练，进而得到深度学习模型的参数；步骤六：根据深度学习模型结果，按照软木圆片质量的判断逻辑，判定四种质量等级，完成羽毛球头软木的自动识别与分拣，提高分拣效率和分拣精度。</t>
  </si>
  <si>
    <t>一种基于VIT的羽毛球头软木图像识别方法及其分拣方法</t>
  </si>
  <si>
    <t>CN308245344S</t>
  </si>
  <si>
    <t>1.本外观设计产品的名称：用于显示屏幕面板的答案拍照上传图形用户界面。
 2.本外观设计产品的用途：显示屏幕面板用于交互及显示信息。
 3.本外观设计产品的设计要点：在于图形用户界面。
 4.最能表明设计要点的图片或照片：主视图。
 5.本外观设计产品的显示屏幕面板为惯常设计，省略后视图、左视图、右视图、俯视图及仰视图。
 6.图形用户界面的用途：本外观设计用于在主观题测试练习时拍摄答案并上传答案照片。
 7.图形用户界面的人机交互方式：主视图显示了答案拍照界面，界面中的“继续添加”、“删除此张”和“确认上传”等按钮用于实现人机交互。
 8.本外观设计产品的显示屏幕面板可以应用于计算机、笔记本电脑、平板电脑、手机、智能手机、智能手环、智能眼镜、手表、智能手表、健身监视器、头戴式耳机、个人数字助理、智能音箱、电视、监视器、投影仪、机顶盒、游戏机、导航仪、用于车辆的显示屏。</t>
  </si>
  <si>
    <t>用于显示屏幕面板的答案拍照上传图形用户界面</t>
  </si>
  <si>
    <t>CN116844222A</t>
  </si>
  <si>
    <t>本发明公开一种基于深度摄影技术的平衡木游戏反馈系统及反馈方法，方法包含以下步骤：Step1、通过深度摄像相机拍摄体操运动员平衡木训练时各种动作的照片，制作运动员动作数据集，并对数据做增强处理；Step2、使用nnformer作为体操运动员加分动作分割模型，采用监督学习训练动作分割模型；Step3、对监督学习方法进行改进，并对改进后的模型进行训练；Step4、使用训练好的子模型进行图像分割。Step5、结合游戏反馈系统，进行动作智能评分修正。本发明提出改进的监督学习方法，结合计算机视觉，准确率更高，且不会增加推理时间，模型的实用性和泛化性更高。且本发明结合游戏反馈系统，可以增加运动员训练趣味，并可以应用于生活中。</t>
  </si>
  <si>
    <t>一种基于深度摄影技术的平衡木游戏反馈系统及反馈方法</t>
  </si>
  <si>
    <t>IN202341021527A</t>
  </si>
  <si>
    <t>世界上移动电话用户的数量正在增加。配备传感器的移动系统的激增使得情境感知用户界面的增加成为可能,从而根据最终用户的情境提供个性化系统服务。 基于机器学习的系统收集用户感知数据,但没有提供关于使用和披露敏感数据的明确声明。 系统包含GPS、加速度计、代理传感器和麦克风以推断智能移动系统。该模型包括在跑步期间提醒用户的Geo-Note,跟踪用户位置、慢跑轨迹。</t>
  </si>
  <si>
    <t>提高移动系统基于上下文的服务质量的方法和系统</t>
  </si>
  <si>
    <t>CN116129529A</t>
  </si>
  <si>
    <t>本发明公开了一种基于深度学习的乒乓球发球机发球系统及方法，包括发球机、控制模块和深度学习模块，发球机上部设置有识别摄像头和红外摄像头，发球机还设置有伺服发球机构，控制模块设置在发球机构内，控制模块通过数据分析处理模块连接有图像采集模块，识别摄像头和红外摄像头均连接于图像采集模块，控制模块通过深度学习模块连接运动调节模块，运动调节模块连接于伺服发球机构。本发明有益效果：本发明设置有识别摄像头和深度学习模块，识别摄像头识别人发的乒乓球模式，深度学习模块然后机器记住人发的这个模式来执行发球任务，录入人发的多种模式，实现更加贴近实际训练的需要。</t>
  </si>
  <si>
    <t>一种基于深度学习的乒乓球发球机发球系统及方法</t>
  </si>
  <si>
    <t>CN115994911B</t>
  </si>
  <si>
    <t>本发明涉及计算机视觉监控技术领域，具体提供了一种基于多模态视觉信息融合的游泳馆目标检测方法，包括：在游泳馆布置热成像摄像头、可见光摄像头，服务器通过共享内存机制获取热成像数据，通过RTSP协议获取可见光数据；对两种模态的数据分别进行不同的图像预处理；两个模态的图像分别进行独立的YOLOv4目标检测与跟踪。本发明巧妙利用热成像图像对于水面的透过性低，可见光图像特征全面这一特点，能够准确通过深度学习目标检测算法识别出复杂多变的游泳场景中的人体，进而通过运动一致性等特征判别游泳者是否出现溺水，具有判别准确度高、发现及时、适用面广等特点。</t>
  </si>
  <si>
    <t>一种基于多模态视觉信息融合的游泳馆目标检测方法</t>
  </si>
  <si>
    <t>CN116343091A</t>
  </si>
  <si>
    <t>本发明提出了基于投篮曲线分析与位姿匹配的投篮定点方法及系统，涉及计算机视觉领域,对采集到的投篮视频进行预处理，得到视频图像序列；从视频图像序列中提取运动物体的完整二值化图像，确定运动目标，基于运动目标中篮球中心点，构建篮球运动轨迹，并确定投篮轨迹起点；根据篮球运动轨迹和投篮轨迹起点，反向推演运行轨迹，确定投篮球员及投篮球员的位姿；基于投篮球员的位姿，确定投篮球员的投篮点位；本发明从静态的图像序列中提取篮球运动轨迹和运动员手部姿态，基于这两个信息，通过反向推演运行轨迹的方式进行初始点位的预估，实现投篮者进球点位的自动检测，有助于教练和运动员制定战术策略和模拟训练方向，提高球队比赛获胜率。</t>
  </si>
  <si>
    <t>基于投篮曲线分析与位姿匹配的投篮定点方法及系统</t>
  </si>
  <si>
    <t>US20230211205A1</t>
  </si>
  <si>
    <t>一种具有集成医疗保健诊断和治疗能力的基于云的游戏平台的方法和方法。 在一个实施例中,该系统和方法包括基于云的游戏平台,该平台包括可从在一个或多个游戏服务器上操作游戏环境的各种游戏客户端访问的前端、提供由游戏服务器使用的游戏数据库和分析的后端。 操作游戏环境,以及集成到平台中的医疗保健诊断和治疗模块,包括符合 HIPPA 标准的安全网关、人工智能辅助医疗保健诊断模块以及警报和治疗模块。 在与基于云的游戏平台兼容的健身器材上锻炼可以让用户感到愉悦,同时捕获有关用户身体和心理表现的数据,这些数据可用于诊断医疗状况,并根据配置实施包括锻炼程序和心理模拟在内的治疗方案 通过游戏环境中的任务。</t>
  </si>
  <si>
    <t>医疗诊断和治疗平台的健康相关数据采集系统</t>
  </si>
  <si>
    <t>CN116486297A</t>
  </si>
  <si>
    <t>本发明提出了结合位姿判别与力度估计的投篮命中率预测方法及系统，涉及计算机视觉技术领域,对球场全景图像和投球人从准备投篮到出手的连续视频数据进行处理，得到一组投球连续图像；获取投球人手腕、手肘和持球侧肩部的坐标，确定投球人的投球方向；利用视频目标跟踪，估计投球力度；基于投球方向和投球力度，确定篮球位移曲线，最终判定是否投球命中；本发明仅需获取球员从准备到出手时的视频信息，分析投篮运动员在投篮时刻的位姿，判定其出手角度是否与篮筐方位一致，再通过篮球运动过程进行力度估计，结合这两个信息计算出发射方向与篮筐坐标的关系，预判最终是否进球，从而提高投篮命中率预测的效率和准确性，更好地辅助球员训练。</t>
  </si>
  <si>
    <t>结合位姿判别与力度估计的投篮命中率预测方法及系统</t>
  </si>
  <si>
    <t>CN116542731A</t>
  </si>
  <si>
    <t>本发明公开一种基于知识图谱的健身计划课程推荐方法，涉及健身个性化推荐领域。该基于知识图谱的健身计划课程推荐方法，包括收集用户身体素质特征情况和健身动作课程数据集，对健身课程动作描述进行知识属性抽取，结构化知识图谱，将一个用户身体素质特征u和一个课程v作为输入，输出是用户身体素质特征u会做训练课程动作v的概率，调整模型的超参数。该基于知识图谱的健身计划课程推荐方法，基于RippleNet的健身个性化推荐比基于CF的推荐模型更细粒度地发现用户潜在的健身动作掌握情况，并且丰富了课程多样性，最终提高了推荐的精度到90％、AUC值到84.4％。</t>
  </si>
  <si>
    <t>一种基于知识图谱的健身计划课程推荐方法</t>
  </si>
  <si>
    <t>IN202311020233A</t>
  </si>
  <si>
    <t>本发明正在为偏远地区的人们提供帮助,这些地区现在不再有合适的智力健康中心对他们的情绪和智力健康进行基本评估。 这个应用程序认为我们所有人都一样得到正确的治疗。 该应用程序还可以帮助智能健身中心每天对患者进行测试。 该应用程序希望处理一些智力健康问题的角色与任何人交谈,并确定他们是否需要与精神科医生进行正确的一对一治疗。</t>
  </si>
  <si>
    <t>一个基于人工智能的系统来跟踪心理健康</t>
  </si>
  <si>
    <t>CN116308926A</t>
  </si>
  <si>
    <t>本发明涉及考生分配的技术领域，特别是涉及一种基于人工智能视觉算法的体育中考过程考核系统，其提高便捷性；步骤一、相关工作人员根据考点教室的数量和教室座位的数量进行相关的电子查阅，对容纳考生数量进行初步估算，打印成教室信息表；步骤二，相关工作人员手持教室信息表对相关教室和教室座位进行实际数量的核对，防止存在桌椅损坏无法提供给考试进行考试的情况；步骤三、核对完毕后教室数量和教室座位的数量生成教室信息表，录入到中心服务单元；步骤四、工作人员收集相关考生的个人电子档案；步骤五、工作人员收集相关考生的指纹信息；步骤六、将步骤四中的考生个人电子档案和指纹信息进行匹配生成考生考试信息核对表存入到中心服务单元。</t>
  </si>
  <si>
    <t>一种基于人工智能视觉算法的体育中考过程考核系统</t>
  </si>
  <si>
    <t>CN116304874A</t>
  </si>
  <si>
    <t>本申请实施例提供一种基于人工智能的VR跑步机用户分类控制方法及系统，通过对训练用VR跑步行为数据进行肢体部位行为分组以及状态向量编码输出，获得基础状态编码向量序列，再对基础状态编码向量序列中的基础状态编码向量进行不同方式的扩展衍生，获得第一状态编码向量序列与第二状态编码向量序列，进而可依据不同扩展衍生方式下的状态编码向量序列对VR跑步偏好分析模型进行初始化权重优化，不需要依据携带标签数据的训练用VR跑步行为数据进行初始化权重优化，降低训练搜集数量，并且可以保证所述VR跑步偏好分析模型的VR跑步偏好分析性能，进而提高VR跑步偏好分析的可靠性，从而提高后续用户分类控制的针对性。</t>
  </si>
  <si>
    <t>一种基于人工智能的VR跑步机用户分类控制方法及系统</t>
  </si>
  <si>
    <t>CN116455812A</t>
  </si>
  <si>
    <t>本发明公开了一种基于物联网的无线传输大范围覆盖的智慧体育系统，包括路由器，所述路由器另一侧对称螺纹连接有天线，所述路由器内部的上端设置有移动吹风机构，所述路由器内部的下端固定连接有电路板，所述电路板顶部设置有云平台数据传输芯片，所述路由器内部的一侧对称固定连接有密封箱，路由器将物联网的无线传输大范围覆盖的智慧体育系统的信号进行放大处理过程中，内部的元器件会产生热温，通过驱动密封箱内部一端的微型换热器将气体转换为冷气，再通过微型风泵将冷气经过管道输送至分流箱的内部，由分流箱将冷气分流后通过喷头对外排出，这时便可将路由器内部的电子元件进行散热处理，且更好的提高该设备的使用寿命。</t>
  </si>
  <si>
    <t>一种基于物联网的无线传输大范围覆盖的智慧体育系统</t>
  </si>
  <si>
    <t>IN202341020290A</t>
  </si>
  <si>
    <t>由于比赛中存在争议,现代板球运动中的准确决策变得越来越困难。 为了克服这一挑战,我们正在开发一种基于 AI 的解决方案,以帮助主裁判 (401) 和第三裁判做出 LBW 决策。 该技术包括球场报告(603)和全面的板球规则(702),以及用于捕捉球场视频以检查土壤类型(803)、裂缝(802)、草覆盖和湿度的无人机。 这些数据将帮助板球队在掷球后做出击球/守场的决定 (805),并选择他们最强的 11 名球员 (804)。 此外,还将采用语音识别系统来解决有关罕见的边门呼叫、边界和罚球的争议。 该系统不仅有助于球迷更好地理解做出决定的原因,而且还可以让场上裁判(401)清楚地了解相关法律(702)。</t>
  </si>
  <si>
    <t>用于球场报告和自动第三裁判决策审查系统的可定制人工智能平台</t>
  </si>
  <si>
    <t>CN308226715S</t>
  </si>
  <si>
    <t>1.本外观设计产品的名称：显示屏幕面板的智能收单审核系统图形用户界面。
 2.本外观设计产品的用途：用于显示界面内容。
 3.本外观设计产品的设计要点：在于显示的图形用户界面的界面内容。
 4.最能表明设计要点的图片或照片：主视图。
 5.其他视图无设计要点，省略其他视图。
 6.图形用户界面的用途：用于进行票据的识别与审核。
 7.图形用户界面的人机交互方式：主视图为智能收单审核系统的主界面；若设置的设备为扫描仪，点击主视图中的“单据扫描”按钮，跳转至界面变化状态图1；若设置的设备为高拍仪，点击主视图中的“单据扫描”按钮，跳转至界面变化状态图2；点击界面变化状态图1‑2中任一界面中的“附件”按钮、或“票据”按钮，跳转至界面变化状态图3；票据识别之后自动跳转至界面变化状态图4；界面变化状态图4中的摄像头识别完成后，自动跳转至界面变化状态图5；点击界面变化状态图5中发票验真区域中的“详情”按钮，跳转至界面变化状态图6；点击界面变化状态图6发票列表中任一单据右侧的“详情”按钮，跳转至界面变化状态图7；点击界面变化状态图6右上角的“返回”按钮，跳转至界面变化状态图8；点击界面变化状态图8中重复报销审查区域中的“详情”按钮，跳转至界面变化状态图9；点击界面变化状态图9发票列表中任一单据右侧的“详情”按钮，跳转至界面变化状态图10；点击界面变化状态图5中出租车票连号审查区域中的“详情”按钮，跳转至界面变化状态图11；点击界面变化状态图11中发票列表中任一单据右侧的“详情”按钮；跳转至界面变化状态图12；点击界面变化状态图5中的图片放大按钮，跳转至界面变化状态图13；双击界面变化状态图5中左侧矩形框内的图片，跳转至界面变化状态图14；点击界面变化状态图14中出租车票连号审查区域中的“重审”按钮，跳转至界面变化状态图15；点击主视图中的“单据检索”按钮，跳转至界面变化状态图16；点击主视图中的“设置”按钮，跳转至界面变化状态图17；点击界面变化状态图17中的“票据智能识别”按钮，跳转至界面变化状态图18；点击界面变化状态图17‑18任一界面中的“扫描设备设置”按钮，跳转至界面变化状态图19；点击界面变化状态图17‑19任一界面中的“关键字段设置”按钮，跳转至界面变化状态图20；上述所有界面中的有关灰色单一色块均表示为内容画面显示区域，界面中的“X”均表示为文字内容。
 8.其他需要说明的情形其他说明：显示用的载体设备为现有设计，该显示屏幕面板可以应用于计算机、笔记本电脑、平板电脑、手机、智能手机、智能手环、智能眼镜、手表、智能手表、健身监视器、头戴式耳机、个人数字助理机、智能音箱、电视、监视器、机顶盒、导航仪。</t>
  </si>
  <si>
    <t>显示屏幕面板的智能收单审核系统图形用户界面</t>
  </si>
  <si>
    <t>CN308239171S</t>
  </si>
  <si>
    <t>1.本外观设计产品的名称：带运动图形用户界面的显示屏幕面板。2.本外观设计产品的用途：本外观设计产品用于显示图形用户界面的界面内容，完成人机交互。3.本外观设计产品的设计要点：在于产品屏幕中的图形用户界面的内容。4.最能表明设计要点的图片或照片：主视图。5.本外观设计的其它视图无设计要点，省略其它视图。6.图形用户界面的用途：产品的图形用户界面为显示屏上关于运动的用户交互界面。7.图形用户界面的人机交互方式：通过滑动主视图的界面，使界面由主视图切换至界面变化状态图1；通过滑动界面变化状态图1的界面，使界面由界面变化状态图1切换至界面变化状态图2；通过滑动界面变化状态图2的界面，使界面由界面变化状态图2切换至界面变化状态图3；通过滑动界面变化状态图3的界面，使界面由界面变化状态图3切换至界面变化状态图4；通过滑动界面变化状态图4的界面，使界面由界面变化状态图4切换至界面变化状态图5；通过滑动界面变化状态图5的界面，使界面由界面变化状态图5切换至界面变化状态图6；通过滑动界面变化状态图6的界面，使界面由界面变化状态图6切换至界面变化状态图7；通过滑动界面变化状态图7的界面，使界面由界面变化状态图7切换至界面变化状态图8；通过滑动界面变化状态图8的界面，使界面由界面变化状态图8切换至界面变化状态图9；通过滑动界面变化状态图9的界面，使界面由界面变化状态图9切换至界面变化状态图10；通过滑动界面变化状态图10的界面，使界面由界面变化状态图10切换至界面变化状态图11；通过滑动界面变化状态图11的界面，使界面由界面变化状态图11切换至界面变化状态图12；通过滑动界面变化状态图12的界面，使界面由界面变化状态图12切换至界面变化状态图13；通过滑动界面变化状态图13的界面，使界面由界面变化状态图13切换至界面变化状态图14；通过滑动界面变化状态图14的界面，使界面由界面变化状态图14切换至界面变化状态图15；通过滑动界面变化状态图15的界面，使界面由界面变化状态图15切换至界面变化状态图16；通过滑动界面变化状态图16的界面，使界面由界面变化状态图16切换至界面变化状态图17；通过滑动界面变化状态图17的界面，使界面由界面变化状态图17切换至界面变化状态图18；通过滑动界面变化状态图18的界面，使界面由界面变化状态图18切换至界面变化状态图19；通过滑动界面变化状态图19的界面，使界面由界面变化状态图19切换至界面变化状态图20；通过滑动界面变化状态图20的界面，使界面由界面变化状态图20切换至界面变化状态图21；通过滑动界面变化状态图21的界面，使界面由界面变化状态图21切换至界面变化状态图22；通过滑动界面变化状态图22的界面，使界面由界面变化状态图22切换至界面变化状态图23；通过滑动界面变化状态图23的界面，使界面由界面变化状态图23切换至界面变化状态图24；通过滑动界面变化状态图24的界面，使界面由界面变化状态图24切换至界面变化状态图25；通过滑动界面变化状态图25的界面，使界面由界面变化状态图25切换至界面变化状态图26；通过滑动界面变化状态图26的界面，使界面由界面变化状态图26切换至界面变化状态图27；通过滑动界面变化状态图27的界面，使界面由界面变化状态图27切换至界面变化状态图28。通过点击界面变化状态图28 中的“添加训练”进入界面变化状态图29；通过滑动界面变化状态图29的界面，使界面由界面变化状态图29切换至界面变化状态图30；通过滑动界面变化状态图30的界面，使界面由界面变化状态图30切换至界面变化状态图31。点击主视图、界面变化状态图1至界面变化状态图28 右侧中的任一“设置”图标进入界面变化状态图32。点击界面变化状态图32中的“热量”进入界面变化状态图33，点击或长按界面变化状态图33 中的“+”增加热量数据的数值，点击或长按界面变化状态图33 中的“‑”减少热量数据的数值，其中，热量数据的数值可在0‑9999范围内调节，点击界面变化状态图33 中的“完成”返回界面变化状态图32。如果未打开定位，点击主视图中的“户外步行”进入界面变化状态图34，点击界面变化状态图34的“开始运动”进入界面变化状态图36，界面变化状态图36的界面经预设时间后，例如界面变化状态图36的界面经2秒后，界面由界面变化状态图36切换至界面变化状态图37；如果定位已打开，点击主视图中的“户外步行”进入界面变化状态图36的界面，界面变化状态图36的界面经预设时间后，例如界面变化状态图36的界面经2秒后，界面由界面变化状态图36切换至进入界面变化状态图37的界面。如果在显示屏幕面板息屏的状态下，且感应到用户正在跑步，显示屏幕面板亮起并进入界面变化状态图35，点击界面变化状态图35的“开始”进入界面变化状态图36的界面，界面变化状态图36的界面经预设时间后，例如界面变化状态图36的界面经2秒后，界面由界面变化状态图36切换至进入界面变化状态图37的界面；通过滑动界面变化状态图37的界面，使界面由界面变化状态图37切换至界面变化状态图47。点击界面变化状态图1中的“户外骑行”进入界面变化状态图38；通过滑动界面变化状态图38的界面，使界面由界面变化状态图38切换至界面变化状态图47。点击界面变化状态图1中的“动感单车”进入界面变化状态图39；通过滑动界面变化状态图39的界面，使界面由界面变化状态图39切换至界面变化状态图47。点击界面变化状态图4中的“开放水域游泳”进入界面变化状态图40；通过滑动界面变化状态图40的界面，使界面由界面变化状态图40切换至界面变化状态图47。点击界面变化状态图4中的“划船机”进入界面变化状态图41；通过滑动界面变化状态图41的界面，使界面由界面变化状态图41切换至界面变化状态图47。点击界面变化状态图5中的“登山”进入界面变化状态图42；通过向左或向右滑动界面变化状态图42的界面，使界面由界面变化状态图42切换至界面变化状态图47；通过向上或向下滑动界面变化状态图42的界面，使界面由界面变化状态图42切换至界面变化状态图43。点击界面变化状态图7中的“瑜伽”进入界面变化状态图44；通过滑动界面变化状态图44的界面，使界面由界面变化状态图44切换至界面变化状态图47。点击界面变化状态图12中的“哑铃训练”进入界面变化状态图45；通过滑动界面变化状态图45的界面，使界面由界面变化状态图45切换至界面变化状态图47。点击界面变化状态图17中的“泰拳”进入界面变化状态图46；通过滑动界面变化状态图46的界面，使界面由界面变化状态图46切换至界面变化状态图47。点击界面变化状态图47的“结束”进入界面变化状态图48，通过滑动界面变化状态图48的界面，使界面由界面变化状态图48切换至界面变化状态图49；通过滑动界面变化状态图49的界面，使界面由界面变化状态图49切换至界面变化状态图50。点击界面变化状态图50的“完成”返回主视图。8.其他需要说明的情形其他说明：本外观设计的显示屏幕面板用于智能手表、智能手环、手机、电脑或平板电脑。</t>
  </si>
  <si>
    <t>带运动图形用户界面的显示屏幕面板</t>
  </si>
  <si>
    <t>CN307979174S</t>
  </si>
  <si>
    <t>1.本外观设计产品的名称：显示屏幕面板的运动日历图形用户界面。
 2.本外观设计产品的用途：显示图形用户界面。
 3.本外观设计产品的设计要点：在于显示屏幕面板上所显示的图形用户页面。
 4.最能表明设计要点的图片或照片：主视图。
 5.显示屏幕面板为惯常设计，省略左视图、右视图、俯视图、仰视图、后视图。
 6.图形用户界面的用途：本外观设计产品的界面为运动日历的界面。
 用户可查看当月日历、历史跑步路程和用时。
 本设计页面中的叉号代表文字和/或数字和/或字母和/或符号。
 右上角小铃铛处的叉号代表未读消息数。
 本显示屏幕面板用于手机。
 7.图形用户界面的人机交互方式：点击日历中的任一日期，可跳转至当日运动详情的功能页面。
 点击右上角的人形小图标，可跳转至个人中心页面。
 点击右上角的铃铛小图标，可跳转未读消息页面。</t>
  </si>
  <si>
    <t>显示屏幕面板的运动日历图形用户界面</t>
  </si>
  <si>
    <t>CN116452514A</t>
  </si>
  <si>
    <t>一种利用Transformer深度学习模型检测羽毛球球头质量的方法，属于羽毛球质量检测技术领域，本发明为了解决当前我国羽毛球球头生产中的质量评估存在效率低下、品质不稳定、一致性差的问题，本申请所述方法通过利用对软木圆片的质量分级检测、对球头圆润度检测和对皮革缺陷检测三个关键的自动化识别技术的整合运用，实现了对球头的整体进行全面检测，保证了球头质量评估的准确性，本申请主要用做对羽毛球球头质量检测的方法。</t>
  </si>
  <si>
    <t>一种利用Transformer深度学习模型检测羽毛球球头质量的方法</t>
  </si>
  <si>
    <t>IN202311019555A</t>
  </si>
  <si>
    <t>本发明公开了一种使用机器学习方法预测 IPL 板球比赛获胜者的方法。 在本发明中,发明者使用 python Jupiter 作为 IDE。 他们使用 python 3 及其库(如 numpy、pandasm seaborn、matplotlib 等)进行分析。 发明家在Jupiter笔记本中使用python编程来分析数据并给出IPL数据问题的结果。 他们通过使用几个函数来找到解决方案进行了分析。 了解IPL记录是非常有帮助的项目。 他们分析了球队记录、击球记录、保龄球记录、守备记录、裁判记录、场地和城市。 他们对雨林的数据进行了预测,以了解比赛的获胜者。</t>
  </si>
  <si>
    <t>一种使用机器学习方法预测板球比赛获胜者的方法</t>
  </si>
  <si>
    <t>CN308220652S</t>
  </si>
  <si>
    <t>1.本外观设计产品的名称：用于显示屏幕面板的查阅实验报告动态图形用户界面。2.本外观设计产品的用途：显示屏幕面板用于交互及显示信息。3.本外观设计产品的设计要点：在于图形用户界面。4.最能表明设计要点的图片或照片：主视图。5.本外观设计的显示屏幕面板为惯常设计，省略后视图、左视图、右视图、俯视图及仰视图。6.图形用户界面的用途：本外观设计用于查阅实验报告动态界面的展示。7.图形用户界面的人机交互方式：在主视图中，界面中部上方文字区域显示当前实验名称，界面左上角显示有倒计时时间，用于提醒实验剩余时间，点击倒计时按钮右侧箭头会折叠倒计时显示，再次点击展开，用户可以点击界面右上角的“交卷”进入交卷测评环节；界面左侧显示实验报告，实验报告上显示放大图标用以提示用户可以放大查看报告详细内容，用户可以点击界面左侧的实验报告，界面依此进入变化状态图1、变化状态图2和变化状态图3，以逐渐拉进视角的方式放大显示实验报告；在变化状态图3中，用户可以查阅、编辑实验报告或点击“保存”按钮保存实验报告。8.其他需要说明的情形其他说明：本外观设计产品的显示屏幕面板可以应用于计算机、笔记本电脑、平板电脑、手机、智能手机、学习机、智能手环、智能眼镜、智能手表、健身监视器、头戴式耳机、个人数字助理、智能音箱、电视、监视器、投影仪、机顶盒、游戏机、导航仪、用于车辆的显示屏。</t>
  </si>
  <si>
    <t>用于显示屏幕面板的查阅实验报告动态图形用户界面</t>
  </si>
  <si>
    <t>US20230325554A1</t>
  </si>
  <si>
    <t>一种在计算机实现的平台中执行的方法包括在用户使用健身器材进行锻炼时从嵌入在健身器材的第一握把和第二握把中的传感器获取传感器数据。 用户在使用健身器材锻炼时与第一握把和第二握把交互。 该方法还包括分析传感器数据以确定用户身体的左侧和用户身体的右侧之间的性能差异,并为用户提供个性化活动以补偿这些差异。</t>
  </si>
  <si>
    <t>人类物联网平台中的活动数据建模</t>
  </si>
  <si>
    <t>IN202311018618A</t>
  </si>
  <si>
    <t>本发明涉及使用机器学习算法使不正确的瑜伽活动偏离预定义的瑜伽练习风格模式。 该发明包括显示多种瑜伽模式的显示器、Wi-Fi 连接、电缆连接器、用于锻炼的封闭环境。 在常规过程中,终端用户来到瑜伽室是为了让他们的身体适应物理模式并开始在该环境中练习。 本发明允许瑜伽相关活动模板的多种设计模式,例如 kapalbhati、anulom vilom 等,并且基于用户选择任何样式模式,并且与预定义模式的任何偏差都会警告最终用户使用此机器学习返回到定义的路径 算法。 它的用途是使最终用户能够在没有任何物理瑜伽教练帮助的情况下为身体提供能量,没有任何偏差。</t>
  </si>
  <si>
    <t>通过基于物联网的室内数字监控器识别瑜伽活动偏差</t>
  </si>
  <si>
    <t>US20230218948A1</t>
  </si>
  <si>
    <t>一种创建可扩展的动态关节骨骼 (DJS) 模型的方法,用于使用人工智能 (AI) 引擎或图像处理器实现的增强认知方法来增强精神运动学习。 该方法涉及从运动员、教师或专家的视频文件的实时运动图像中提取 DJS 模型,以创建用于训练的可扩展参考模型,人工智能引擎由此提取对象的物理属性,包括臂长、长度、 躯干长度以及捕捉运动技能的连续动作,例如挥动金球杆,包括位置、姿势、球杆位置、挥杆速度和加速度、扭转等。</t>
  </si>
  <si>
    <t>精神运动学习中同步反馈的增强认知方法和装置</t>
  </si>
  <si>
    <t>DE202023101305U1</t>
  </si>
  <si>
    <t>一种智能系统(10),用于通过物联网设备使用人工智能来管理健康和健身数据,该系统包括: 
  各种物联网设备 (1),用于使用物联网传感器和用户输入收集各种数据,包括用户健康数据和健身数据; 其中,多个物联网设备(1)连接到不同的健身设备和医疗监测设备,其中,多个物联网设备(1)从健身设备和医疗监测设备接收数据; 
  数据存储器(2),用于存储多个物联网设备(1)处理后的数据; 
  通信单元(3),用于将处理后的数据传输到用户的网络和外部云数据库; 
  机器学习模块(4),包括基于人工智能的算法,用于处理从多个物联网设备(1)接收的数据; 和 
  中央控制单元(5),连接到多个物联网设备(1)、数据存储器(2)、通信单元(3)和机器学习模块(4),中央控制单元(5)是为此目的,使用人工智能算法收集、分析和存储用户的健康和健身数据,使用中央控制单元(5)使用能够分析用户的健康和健身数据的人工智能引擎,中央控制单元(5)为用户提供有关其健康和健身活动的实时反馈。</t>
  </si>
  <si>
    <t>使用人工智能和物联网设备的智能健康和健身数据管理系统</t>
  </si>
  <si>
    <t>CN116448103A</t>
  </si>
  <si>
    <t>本发明请求保护一种基于UWB测距辅助的行人足绑式惯性导航系统误差修正方法。本发明包括以下步骤：S1：根据惯性测量单元输出数据，利用捷联惯导算法解算得到行人导航信息，并根据UWB模块测量双足间实时距离，通过IMU数据划分步态区间，并利用时间因子修正错误区间；S2：利用自适应随机森林算法对行人运动模式进行识别，在静止区间内利用零速修正算法修正导航系统误差；S3：针对平地行走、跑步模式进行足间距约束与抬脚高度约束，而针对上下楼运动模式进行楼梯高度约束，最终抑制惯导系统的误差漂移。本发明能够解决足绑式行人惯性导航系统中航向漂移的问题，减小行人导航定位的累积误差，提高定位精度。</t>
  </si>
  <si>
    <t>基于UWB测距辅助的行人足绑式惯性导航系统误差修正方法</t>
  </si>
  <si>
    <t>CN219517730U</t>
  </si>
  <si>
    <t>本实用新型涉及运动健身技术领域，尤其涉及一种基于人机交互的运动健身设备。本实用新型是提供一种能够对用户进行保护，提高用户倒立时的安全性的基于人机交互的运动健身设备。一种基于人机交互的运动健身设备，包括有安装架、靠板和脚部固定组件等，安装架上部连接有转动控制器，转动控制器上转动式连接有靠板，靠板下部滑动式连接有脚部固定组件。本实用新型通过用户倒立时手部握住支撑板对身体进行支撑，能够达到对用户进行保护，提高用户倒立时的安全性的效果。</t>
  </si>
  <si>
    <t>一种基于人机交互的运动健身设备</t>
  </si>
  <si>
    <t>CN116151520A</t>
  </si>
  <si>
    <t>本发明公开了一种太极拳自动打分方法及装置，将信息技术领域的传感器技术与太极拳比赛相结合，使用深度相机、表面肌电系统、压力传感器对运动员完成二十四式太极拳的多维度数据进行采集；通过对运动员数据的分析，建立基于深度学习的二十四式太极拳打分模型，并使用专家的打分策略对模型进行训练；针对基于单一传感器信息难以保证分析结果的可靠性和准确性，本发明综合分析深度相机、表面肌电传感器以及压力传感器测量的人体运动数据，对运动员完成的指定动作进行打分，充分利用多维数据的互补性和冗余性、设备的容错性能较高，并且装置的使用不易受到环境光线条件等因素的干扰、没有使用场景的限制。</t>
  </si>
  <si>
    <t>一种二十四式太极拳自动打分方法及装置</t>
  </si>
  <si>
    <t>ZA202303472B</t>
  </si>
  <si>
    <t>本公开设想了一种基于 IOT 的管理系统,用于在游泳池周围协助用户。 该系统包括多个传感器,这些传感器被配置为感测对应于与所述游泳池关联的各种预定义事件的多个参数; 控制单元通过通信网络通信地耦合到所述多个传感器以接收所述多个参数并且被配置为基于至少一种机器学习算法处理所述多个参数以生成与所述预传感器相关联的信号形式的可操作情报 对应于所述多个参数的定义事件; 至少一个基于物联网的驱动机构,配置为接收所述信号并在接收到所述信号时执行至少一个动作。</t>
  </si>
  <si>
    <t>一种基于物联网的管理系统和一种在游泳池周围协助用户的方法</t>
  </si>
  <si>
    <t>CN116271745A</t>
  </si>
  <si>
    <t>本发明涉及运动器材技术领域，具体涉及一种人工智能足球；包括球胆、气门嘴、固定模块和无线射频模块，气门嘴贯穿球胆，固定模块设置于球胆的内部，无线射频模块与固定模块连接；固定模块包括芯片仓、固定座、固定柱、抵持弹簧和引导弧块，芯片座具有安装腔，固定座具有卡槽，芯片仓与球胆固定连接，并位于球胆的内侧壁，固定座与芯片仓相适配，抵持弹簧设置于安装腔的内部，抵持弹簧的两端分别与芯片座和固定柱固定连接，且固定柱与卡槽相适配，引导弧块与固定柱固定连接，通过上述结构，获得提高无线射频模块与球胆之间连接的稳定性，避免在使用过程中无线射频模块与球胆分离，影响后续数据分析结果的效果。</t>
  </si>
  <si>
    <t>一种人工智能足球</t>
  </si>
  <si>
    <t>IN202341015528A</t>
  </si>
  <si>
    <t>本发明涉及提供一种基于人工智能的运动训练心率监测系统。人工智能是利用海量数据进行机器训练和计算算法的新技术。 人工智能用于复杂过程的机器人和自动化以获得精确的结果。 人工智能也知道人工神经网络。 AI也被用在运动中。 用于板球运动的智能回顾、预测球的运动、解决争议事件、监测运动员的活动等。因此,创建了一个基于人工智能的运动训练心率监测系统,以预测和监测运动员的心率。 实时运动训练。该系统由可穿戴手表、心率检测传感器、物联网网络、云存储引擎、智能显示、警告和警报系统组成。心率检测传感器是心脏上的害虫。 它检测心音、心脏运动、心律。可穿戴手表由运动男士佩戴在左手腕上。 它通过物联网网络与心率检测传感器连接。 实时显示心率、5天历史、心脏周期、血压、心跳、实时心电图。</t>
  </si>
  <si>
    <t>基于人工智能的运动训练心率监测系统</t>
  </si>
  <si>
    <t>IN202311015530A</t>
  </si>
  <si>
    <t>本发明涉及提供一种基于网络的智能应用程序,用于使用机器学习算法提取人类特征的思维教育。 该应用程序正在提取人类的特征,如领导素质、处理同辈压力、心理健康、身体活动、沟通能力、协调能力、处理实时问题、决策能力、体育活动和表现、冷静气质等。所有上述活动 性能指数是由机器学习算法生成的,该算法检测到单个孩子的性能,并根据性能指数提取她的思维活动。</t>
  </si>
  <si>
    <t>基于网络的智能应用程序,用于使用机器学习算法提取人类特征的思维教育</t>
  </si>
  <si>
    <t>ZA202303408A</t>
  </si>
  <si>
    <t>本发明公开了一种基于物联网的智能仓储管理系统,涉及智能仓储管理技术领域,解决了无法分析仓储过程智能决策、降低仓储工作效率的技术问题。 现有技术中存在的存储过程。 本发明通过分析存储进程的实时任务执行效率,判断当前存储进程的实时任务执行效率是否合格,达到了保证当前任务正常执行的效果。 本发明能够降低存储过程的执行风险,提高整体操作过程的稳定性,保证操作过程的进度效率。 本发明还对存储进程进行智能分析和决策,在提高存储进程智能性能的同时,保证存储进程的运行效率,防止存储进程存在的运行风险导致存储进程执行异常。 后期的存储过程,从而导致整个操作过程的结果不合格。</t>
  </si>
  <si>
    <t>基于物联网的智能仓储管理系统</t>
  </si>
  <si>
    <t>US20230285834A1</t>
  </si>
  <si>
    <t>一种用于对诸如骑牛和体操比赛等运动中的表演者的表现进行评分的系统和方法。 可以使用表演的视频源来完成评分。 该系统的计算机视觉可以检测视频帧中表演者的预定义身体部位。 此后,可以定义预定义身体部位的几何中心。 此后,可以通过连接几何中心来构建框架,并且可以跟踪框架中的时空变化以确定预定义的身体运动。 基于深度神经网络的评分模块可以使用预定义的身体动作对表现进行评分。</t>
  </si>
  <si>
    <t>体育评分系统和方法</t>
  </si>
  <si>
    <t>IN202341014600A</t>
  </si>
  <si>
    <t>本发明是一种基于情绪的音乐系统,它利用机器学习技术,特别是卷积神经网络 (CNN) 算法,来生成与用户当前情绪状态相匹配的定制音乐播放列表。 该系统使用面部表情识别、心率监测或自我报告的情绪等级等多种方法分析用户的情绪状态,并生成与用户当前情绪状态相匹配的歌曲播放列表。 系统会随着用户心情的变化实时调整播放列表,并利用音频特征识别不同的情绪状态,为用户提供更加个性化和准确的音乐体验。 该系统可以作为可穿戴设备、智能手机应用程序或在零售店、健身房、治疗课程和汽车音响系统等各种环境中实施,以增强用户的情绪状态和整体体验。</t>
  </si>
  <si>
    <t>使用机器学习技术的基于情绪的音乐系统</t>
  </si>
  <si>
    <t>IN202321014357A</t>
  </si>
  <si>
    <t>本发明涉及人工智能利用系统领域。 利用人工智能提高足球表现和分析的系统包括一个用于收集足球比赛实时数据的数据采集模块,一个用于处理收集到的数据并产生洞察力以提高足球运动员表现的人工智能模块,一个机器学习模块。 用于分析和识别收集到的足球运动员行为数据中的模式的模块,用于向足球运动员和教练提供生成的见解以做出明智的决定和改进他们的比赛的反馈模块,用于基于识别的模式生成预测模型的预测建模模块 ,用于向玩家展示生成的预测模型和见解的用户界面模块,以及用于存储收集的数据和生成的见解以供将来参考和分析的数据库模块。</t>
  </si>
  <si>
    <t>利用人工智能提高足球表现和分析的系统</t>
  </si>
  <si>
    <t>CN116434326A</t>
  </si>
  <si>
    <t>本发明的目的在于提供一种基于单目RGB相机及MEMS多传感器融合人体姿态识别的方法，包括如下步骤：惯性动捕单元数据采集及姿态解算；UWB数据采集及分析定位；通过RGB相机采集数据并进行数据解算；多传感器融合优化姿态解算；数据格式转化；驱动虚拟人物，完成人机交互：导入设计好的人体模型，通过对输出数据进行解析并且更新到各个骨骼节点驱动三维人体模型。本发明为教练和滑雪者在未来进行滑雪动作改进训练，提高滑雪技能，加快滑雪者掌握滑雪能力速度，同时降低滑雪训练装备成本并适于普通滑雪爱好者，有助于滑雪机的推广和滑雪运动的普及。</t>
  </si>
  <si>
    <t>一种基于单目RGB相机及MEMS多传感器融合人体姿态识别的方法</t>
  </si>
  <si>
    <t>CN116071830A</t>
  </si>
  <si>
    <t>本发明公开了一种羽毛球运动的动作评分方法、装置和设备，该羽毛球运动的动作评分方法包括：获取羽毛球运动视频，并对羽毛球运动视频进行预处理，得到多个子视频；对子视频进行标注，得到子视频的动作类别和动作评分；获取待评分视频，并将待评分视频输入3D卷积神经网络，得到待评分视频的动作特征；将待评分视频的动作特征输入动作分类器，得到待评分视频的动作类别；从多个子视频中任意选择一个与待评分视频具有相同动作类别的子视频作为样例视频，并将该样例视频的动作评分作为待评分视频的第一动作评分，其通过待评分视频的第一动作评分即可对羽毛球运动的动作技能水平进行评估，不仅方便，而且有助于羽毛球运动的动作技能的提升。</t>
  </si>
  <si>
    <t>一种羽毛球运动的动作评分方法、装置和设备</t>
  </si>
  <si>
    <t>CN116469158A</t>
  </si>
  <si>
    <t>本发明涉及智慧体育技术领域，公开了一种基于物联网的校园智慧体育数据分析系统，包括：动作数据采集模块，其用于采集学生在运动项目中的运动数据；动作节点数据生成模块，其基于采集的运动数据生成动作节点数据；关键动作节点数据提取模块，其用于从学生在一个运动项目的运动数据生成的动作节点数据的集合中提取关键动作节点数据；第一体育数据分析模块，其用于对当前学生的在当前运动项目中的运动数据进行评估，判断当前学生在当前运动项目是否合格；本发明通过物联网配合动捕设备来采集学生的运动数据作为数据来源，基于学生的运动数据关联数据库进行正反向双面评估来获得评估结果。</t>
  </si>
  <si>
    <t>一种基于物联网的校园智慧体育数据分析系统</t>
  </si>
  <si>
    <t>US20230206170A1</t>
  </si>
  <si>
    <t>公开了一种使用车辆路线引导的路径选择方法。 该方法接收包括多个食物组合和多个目的地的多个请求; 根据第一个机器学习过程计算预计的营养指导订单量; 确定多个组装时间,该多个组装时间包括作为营养指导订单量的函数的每种食物组合的组装时间; 从多个跑步者路线中选择一条跑步者路线,用于根据多个集合时间来输送多种营养组合中的至少一种营养组合; 根据多个目的地与聚合站的接近度生成多个预测路线; 并与快递员配对,优化目标函数的预测路线。 还公开了一种路径选择系统。</t>
  </si>
  <si>
    <t>一种选择配送路径的方法及系统</t>
  </si>
  <si>
    <t>IN202311013493A</t>
  </si>
  <si>
    <t>本发明涉及一种用于碰撞头盔的便携式可拆卸组件(100),其检测事故事件或事件发生并将警报和SOS信号发送到用户定义的联系号码。 智能组件包括传感器模块(102)、车载控制器(101)、通信模块(103)、GSM模块(104)、GPS模块(105)、用户控制开关(106)、危险信号灯 模块 (108) 和物联网模块 (109)。 智能组件 (100) 可以安装或附接在任何头盔上,也可以用作数据记录器,用于记录参与不同体育活动的运动员的活动,如骑自行车、自行车赛、轮滑、滑冰、曲棍球、跟踪和 还有很多。</t>
  </si>
  <si>
    <t>用于安全头盔的救生智能组件</t>
  </si>
  <si>
    <t>CN116092197A</t>
  </si>
  <si>
    <t>本发明涉及行为识别和计算机视觉领域，公开了一种基于运动和时序增强的运动员动作识别网络和系统。其中，网络架构包括顺次连接的第一卷积层、第二卷积层、第三卷积层、第四卷积层、第五卷积层和全连接层；第一卷积层用于对输入的运动视频帧进行卷积操作和最大池化操作；第二卷积层至所述第五卷积层均用于对接收的特征图进行降维处理、运动特征激励、时序增强和时空特征提取；全连接层用于根据第五卷积层输出的特征信息进行分类识别，输出运动员动作识别结果。本发明能够端到端的完成对运动篮球视频中球员的动作识别任务，可解决对运动视频中球员的运动信息提取不充分以及对长时序特征提取困难等问题。</t>
  </si>
  <si>
    <t>一种基于运动和时序增强的运动员动作识别网络和系统</t>
  </si>
  <si>
    <t>TR202302196A2</t>
  </si>
  <si>
    <t>本发明涉及一种系统和算法,使得想要在人造草皮上进行比赛的球员能够通过查看广告来选择适合自己的比赛,并找到他们球队中失踪的球员,并找到合适的球员。 astroturf 场地上的玩家及其算法; 服务器 (1),其中许多模块之间的双向通信通过网络进行控制,并且系统中至少包含一个用户,用户登录 (2),用户通过输入其信息登录到系统,配置文件页面,用户在其中查看自己的信息信息(2),用户过滤模块(4),其中通过输入关键字来限制足球场和/或球员的所需特征,研究模块(4),其中通过输入的信息搜索所需特征过滤模块 (4),位置模块,根据用户的位置列出其环境中最合适的球员或球队 (6),博客模块,用户可以在其中分享、写下他们的感受、想法以及提出愿望和投诉 ( 7),一个交流模块,个人可以在方便的搜索后通过音频或书面或视频交流与他们想要联系的球员或球队进行交流 (5),在博客模块 (7) 评估模块 (9),在帖子中的帖子可以由用户评分,包括含有人工智能算法的处理器(10),系统推荐球员,以便用户可以处理自己的球员资料并加入球队。</t>
  </si>
  <si>
    <t>在地毯上寻找玩家的系统及其算法</t>
  </si>
  <si>
    <t>CN116152928A</t>
  </si>
  <si>
    <t>本发明提供了基于轻量级人体姿态估计模型的防溺水预警方法和系统，其中，防溺水预警方法包括：获取水下摄像头实时拍摄的游泳者的游泳视频数据；截取游泳视频数据得到多帧游泳图像，将多帧游泳图像依次输入至轻量级人体姿态估计模型进行人体关键点标记，得到多个人体关键点的坐标；根据多个人体关键点的坐标之间关系，计算得到关键点特征向量；判断多帧游泳图像中关键点特征向量与任一溺水状态判定集合的关键点特征向量的溺水相似度是否大于或等于各自的预设相似度阈值；若是，则确定游泳者溺水，发送溺水预警信号。本发明的技术方案能解决现有技术中大部分深度学习模型体量过大，参数过多，难以部署到嵌入式设备进行推理的问题。</t>
  </si>
  <si>
    <t>基于轻量级人体姿态估计模型的防溺水预警方法和系统</t>
  </si>
  <si>
    <t>US20230206465A1</t>
  </si>
  <si>
    <t>本文公开了一种校准捕捉体育赛事的移动摄像机的系统和方法。 计算系统检索体育赛事的广播视频馈送。 广播视频馈送包括多个视频帧。 计算系统通过神经网络标记每个视频帧中捕获的游戏表面的组成部分。 计算系统将标记视频帧的子集与具有各种摄像机视角的一组模板进行匹配。 计算系统将游戏表面模型拟合到与模板集匹配的标记视频帧集。 计算系统使用光流模型识别每个视频帧中的摄像机运动。 计算系统根据拟合的比赛表面模型和摄像机运动为每个视频帧生成单应矩阵。 计算系统根据为每个视频帧生成的单应矩阵来校准每个相机。</t>
  </si>
  <si>
    <t>用于校准捕获广播视频的移动摄像机的系统和方法</t>
  </si>
  <si>
    <t>IN202311012735A</t>
  </si>
  <si>
    <t>本发明涉及拳击比赛领域,具体涉及一种基于人工智能的电子元器件拳击比赛方法。 基于人工智能的拳击游戏的方法包括呈现由计算设备执行的虚拟现实程序的交互会话,使用传感器控制至少一名拳击手的身体运动和所述一名拳击手对抗另一名拳击手的手臂运动,接收 来自计算设备的传感器数据用于交互会话的辅助视频流,基于虚拟现实程序的状态和便携式设备的跟踪位置和方向生成,利用基于环境约束的人工智能优化目标寻求决策,识别 参与者在视野内执行活动以产生识别的参与者,并通过通信网络将标记的记录图像集传输到参与者的客户端计算设备,该传输基于参与者的身份。</t>
  </si>
  <si>
    <t>基于人工智能的拳击游戏</t>
  </si>
  <si>
    <t>CN115941759B</t>
  </si>
  <si>
    <t>本发明提供一种基于元宇宙的卡丁车仿真电竞人机交互系统，所述交互系统基于元宇宙网络运行；元宇宙网络中包括运行有至少一条区块链；同时所述交互系统包括多个终端服务器，用于提供元宇宙运算和数据服务，同时作为所述区块链的节点，支持区块链的数据保存、加密和验证；用户通过客户端接入所述交互系统；所述交互系统通过监测单元获取第一用户在使用虚拟卡丁车应用程序时产生的第一数据，从而分析得用户的第一能力值，并将第一数据和第一能力值保存于区块链上；第一用户可以选择通过有偿公开的方式，公开其第一数据以及第一能力值；第二用户可以区块链交易的方式获取第一数据并与第一用户进行比赛互动，从而学习第一用户的比赛技巧。</t>
  </si>
  <si>
    <t>一种基于元宇宙的卡丁车仿真电竞人机交互系统</t>
  </si>
  <si>
    <t>DE102023104651A1</t>
  </si>
  <si>
    <t>当确定移动物体正在接近水体上的冰层时,就会获得冰层的热图像。 热图像和环境温度数据被输入到神经网络,神经网络输出冰层的各个区域以及这些区域各自的估计厚度。 每个区域的分类是根据其估计的厚度和移动物体来确定的。 该分类是优选或不优选之一。 输出区域的分类。</t>
  </si>
  <si>
    <t>移动物体操作的冰厚估计</t>
  </si>
  <si>
    <t>CN115829071A</t>
  </si>
  <si>
    <t>本发明涉及物联网控制技术领域，具体公开了一种体育馆物联网控制方法及系统。本发明通过识别预约凭证，获取预约信息，确定预约场地；根据所述预约场地，规划入场路线，进行物联网的入场灯光指引控制；根据所述预约信息，确定占用时间，进行场地占用计时和不同场地状态的灯光提示控制；识别确定离场状态，确定离场路线，进行物联网的离场灯光指引控制。能够基于物联网技术，对进入体育馆的用户进行预约凭证的识别，规划入场路线，进行入场灯光指引控制，并在场地占用时，进行占用计时和不同场地状态的灯光提示控制，在离场状态时，进行离场灯光指引控制，从而将物联网技术应用在体育馆中，实现对体育馆的自动管理与控制。</t>
  </si>
  <si>
    <t>一种体育馆物联网控制方法及系统</t>
  </si>
  <si>
    <t>CN116311509A</t>
  </si>
  <si>
    <t>本发明公开了一种引体向上检测装置和方法，引体向上检测装置，包括引体向上支架，及设于引体向上支架前侧的摄像支架，引体向上支架包括二个竖杆，及设于二个竖杆上端之间的横杆；摄像支架上端固定有摄像头，还包括与摄像头连接的控制主机，控制主机的图像识别单元设有横杆标线和人体头部模块；图像识别单元根据实时图像识别出的人体头部模块完全置于横杆标线之下，再完全置于横杆标线之上，统计为一次引体向上动作。本发明通过人体头部模块和横杆标线的比较，来快速识别出来引体向上的动作是否完成，以此实现电子化的计数，具有操作起来方便、稳定性好的特点。设有弹性助力器，实现助力式的引体向上动作，提升学生或运动员对引体向上运动的信心。</t>
  </si>
  <si>
    <t>引体向上检测装置和方法</t>
  </si>
  <si>
    <t>CN116341368A</t>
  </si>
  <si>
    <t>本发明提供了一种基于LSTM神经网络的软体操作臂姿态重构的方法，包括：在LSTM神经网络的输入层，输入软体操作臂输出的光纤曲率向量；在LSTM神经网络的输出层，对软体操作臂的姿态预测，得到软体操作臂的预测姿态向量；在LSTM神经网络的输出层，通过概率分布的方式描述所述预测姿态向量；构建损失函数，对描述所述预测姿态向量的概率分布进行修正，输出软体操作臂的姿态。本发明通过概率分布的方式描述预测姿态向量，并对描述预测姿态向量概率分布进行修正，从而降低系统误差导致的软体操作臂姿态重构精确度的影响，提高软体操作臂姿态重构的精确度。</t>
  </si>
  <si>
    <t>一种基于LSTM神经网络的软体操作臂姿态重构的方法</t>
  </si>
  <si>
    <t>US11755912B2</t>
  </si>
  <si>
    <t>机器学习系统包括教练机器学习系统,该系统使用机器学习来帮助学生机器学习系统学习其系统。 通过监控学生学习系统,教练机器学习系统可以(通过机器学习技术)学习学生学习系统的“超参数”,这些“超参数”控制学生学习系统的机器学习过程。 机器学习教练还可以确定学生学习系统架构的结构修改。 学习教练还可以控制流向学生学习系统的数据流。</t>
  </si>
  <si>
    <t>控制训练数据向集成成员的分发</t>
  </si>
  <si>
    <t>CN116524586A</t>
  </si>
  <si>
    <t>本发明公开了基于CNN与GCN姿态估计与相似度计算的舞蹈评分算法，设计了姿态相似度算法流程，通过卷积神经网络(CNN)技术获取输入图像中的人物位置，基于人物位置识别人体骨骼点的坐标信息，将人体骨骼点当作图结构数据，利用图卷积神经网络(GCN)提取骨骼点的特征向量，再经过两层全连接网络进一步提取骨骼点的特征向量；经过网络训练，计算任意两个骨骼点特征向量之间的余弦距离，经过分数转换得到0～100的姿态相似度分数，可用于舞蹈、体育、应急救援培训、消防训练等领域的姿态相似度计算。</t>
  </si>
  <si>
    <t>基于CNN与GCN姿态估计与相似度匹配的舞蹈评分算法</t>
  </si>
  <si>
    <t>IN202341011361A</t>
  </si>
  <si>
    <t>需求预测是一种基于对当前市场条件下对该产品或服务的过去需求的分析来估计未来对该产品或服务的可能需求的技术。 如果没有适当的需求预测,任何企业都无法运作。 不正确的需求预测将导致重大损失。 不同的行业或公司有不同的方法来预测需求。 就食品工业而言,最重要的是需求需要在靶心上,因为食品材料容易腐烂并且有固定的使用时间范围。 因此,每天和每周的需求需要精确,以避免浪费,否则会增加运营成本。 食品配送和餐厅受益于预测食品需求,因为它通过减少劳动力和食物浪费的不确定性来增加利润,这两个成本是餐厅最大的成本。 该项目的数据是从本次比赛中获得的。 该项目试图使用历史数据预测一家公司每周的食品交付量。 一些研究认为目前的浪费水平存在问题,例如 Garre 等人将食物浪费描述为一个由不确定性驱动的复杂过程,通常会导致负面的经济和环境影响。 机器学习被认为是减少这些类型不确定性的有效工具,因此使用它可能会提高盈利能力并减少浪费。 在这项研究中,测试了几种机器学习方法,但可以得出结论,随机森林在准确性方面产生了最好的结果。 该方法应用于训练集和测试集,以年为间隔以识别趋势,并根据每个销售区域的平均值进行预测。 根据给定的数据,我们得出了以下特征来提高我们的模型性能。 折扣金额:这定义了“基本价格”和“结帐价格”之间的差异。 折扣百分比:这定义了向客户提供的折扣百分比。 折扣:定义是否提供折扣 - 如果有折扣则为 1,如果没有折扣则为 0。 比较周价格:这定义了与前一周相比特定中心的膳食价格的增加/减少。 比较周价格:价格上涨或下跌 - 如果价格上涨则为 1,如果价格与前一周相比下跌则为 0。 Quarter:根据给定的周数,导出一个名为 Quarter 的新特征,它定义了一年中的季度。 Year:根据给定的周数,推导出一个名为Year的新特征,定义了Year。</t>
  </si>
  <si>
    <t>使用机器学习进行食品需求预测</t>
  </si>
  <si>
    <t>IN202311011326A</t>
  </si>
  <si>
    <t>描绘了本发明提供的自动化定制健康管理系统。 该系统包括智能设备(1)、远程服务器(2)、数据管理模块(3)、基于人工智能的处理器单元(4)、输出模块(5)和数据安全模块(6)。 克服现有技术的缺点,即基于人工智能、高级加密、解密和网状网络标准和技术,以高度安全的方式向用户提供医生批准的定制化建议,让用户保持他当前的 通过提供建议进行健身,执行病史检索以提供定制建议,并为用户提供基于症状的医疗决策支持。</t>
  </si>
  <si>
    <t>自动化定制健康管理系统</t>
  </si>
  <si>
    <t>CN116135267A</t>
  </si>
  <si>
    <t>本发明涉及健康运动设备智能控制技术领域，具体公开一种具有人机交互功能的健康运动设备智能控制系统，包括：运动人员运动参数设置模块、运动心率分析模块、运动阶段划分模块、当前状态监测分析模块、当前姿态监测分析模块、当前运动健康分析模块、语音播报与人员行为分析模块、跑步机调控分析与执行模块和数据库。通过对目标运动人员对应运动阶段中当前监测时间段的运动状态评估指数进行分析，不仅有效规避了因目标运动人员对应跑步过程中心率或呼吸频率过于急促而造成的健身安全事故，同时还对目标运动人员进行相应的语音提示，在最大限度上避免了因目标运动人员对应运动知识储备不足而无法达到最佳运动效果的问题。</t>
  </si>
  <si>
    <t>一种具有人机交互功能的健康运动设备智能控制系统</t>
  </si>
  <si>
    <t>IT202200005436U1</t>
  </si>
  <si>
    <t>-</t>
  </si>
  <si>
    <t>基于人工智能模型的游泳设施能源管理平台</t>
  </si>
  <si>
    <t>CN116251334A</t>
  </si>
  <si>
    <t>本发明的羽毛球辅助训练智能机器人通过收集装置、导正提升装置对羽毛球进行归集和高度提升，并利用重力来实现自由落体叠球；控制程序基于电子罗盘的全区域覆盖路径规划算法，提高拾球的覆盖率和效率；结构合理、性能优异、成本低廉、功耗低、智能化程度较高。具有以下功能：叠球效率高、自动规避障碍物；智能识别球场，自动捡球，将散落在预定落点之外的球进行回收；将球场划分为坐标系后由操作人员或者是与发球机通过蓝牙连接确定位置；通过对不同范围的落点进行赋值，计算球员得分，直观地评测球员对在特定技术动作下对于球的控制能力。如按顺序先对特定范围内的球进行收集并进行打分，再通过自身感知将剩余散落在球场上的球进行收集并打分。</t>
  </si>
  <si>
    <t>羽毛球辅助训练智能机器人</t>
  </si>
  <si>
    <t>US20230206464A1</t>
  </si>
  <si>
    <t>本文提供了一种重新识别广播视频馈送中的玩家的系统和方法。 计算系统检索体育赛事的广播视频馈送。 广播视频馈送包括多个视频帧。 计算系统基于多个视频帧生成多个轨道。 每个轨道包括与至少一个玩家相关联的多个图像块。 多个图像块中的每个图像块是多个视频帧中的相应帧的子集。 对于每个轨道,计算系统都会生成一个图像补丁库。 在画廊的每个图像块中都可以看到每个球员的球衣号码。 计算系统通过卷积自动编码器在画廊之间进行匹配。 计算系统通过神经网络测量每个匹配曲目的相似度分数,并基于测量的相似度关联两个曲目。</t>
  </si>
  <si>
    <t>用于广播视频中的玩家重新识别的系统和方法</t>
  </si>
  <si>
    <t>CN116363746A</t>
  </si>
  <si>
    <t>本发明涉及图像处理技术领域，具体涉及一种基于人工智能的溺水识别方法及应急处理系统。该方法首先将采集的泳池视频图像输入训练好的溺水识别网络中，输出溺水特征向量，由溺水特征向量判断是否发生溺水情况；其中溺水识别网络的训练过程为：基于每帧视频图像中的关键点计算视频图像的模式相似度；对历史泳池视频进行两两匹配，得到视频对；根据视频图像的背景区域的灰度值频次，计算背景相似度；基于模式相似度和背景相似度将视频对中两个视频的视频图像两两匹配，得到图像对；通过图像对训练溺水识别网络。提高了网络对正常游泳和溺水的识别精度，避免由于溺水动作和正常游泳动作较相似时，没有及时识别到导致人员的伤亡。</t>
  </si>
  <si>
    <t>一种基于人工智能的溺水识别方法及应急处理系统</t>
  </si>
  <si>
    <t>CN308215073S</t>
  </si>
  <si>
    <t>1.本外观设计产品的名称：显示屏幕面板的信息显示图形用户界面。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6.图形用户界面的用途：本图形用户界面用于自动化干预率信息显示。
 设计1主视图为SAS干预率显示界面，系统从远程和就地两种模式对采煤机干预情况进行统计分析，用户可根据界面提示进行相关操作。
 设计2主视图为SAC干预率显示界面，系统从远程和就地两种模式对采煤机干预情况进行统计分析，用户可根据界面提示进行相关操作。
 7.其他需要说明的情形其他说明：本显示屏幕面板应用于计算机、笔记本电脑、平板电脑、手机、智能手表、智能手环、健身监视器、头戴式耳机、个人数字助理（PDA）、智能音箱、电视、机顶盒、投影仪、游戏机或导航仪、车辆。</t>
  </si>
  <si>
    <t>显示屏幕面板的信息显示图形用户界面</t>
  </si>
  <si>
    <t>KR102569505B1</t>
  </si>
  <si>
    <t>本发明在使用手机或平板设备近距离伸手或架设终端对自己进行拍照时,通过具有自动放大缩小功能的姿势估计来实时进行人体识别,并通过此来纠正姿势一种用于具有实时自动身体识别功能的移动设备的人工智能姿势估计系统和方法,可以支持家庭健身等运动环境下的人工智能姿势估计和矫正指导。 
  相关国家研发项目 
  【详细任务号】INNO-2022-01 
  [部门及管理机构名称] 研究基金会 
  [项目名称] 景福大学创新项目产学联合研究项目 
  【任务名称】基于人工智能(AI)数据的实时运动分析程序开发 
  [执行机构名称] 景福大学产学合作财团 
  [研究期间]2022年11月1日。 ~ 2023 年 2 月 28 日。</t>
  </si>
  <si>
    <t>用于具有实时自动身体识别功能的移动设备的人工智能姿势估计系统和方法</t>
  </si>
  <si>
    <t>WO2023157005A1</t>
  </si>
  <si>
    <t>一种用于在观众侧控制播放的比赛的呈现的系统,包括在真实比赛场地周围部署的一组摄像机、用于存储获取的视频片段的存储器,所述视频片段是真实比赛场地和真实比赛中的玩家的帧序列; 每个球员的 3D 模型,在比赛前根据每个球员的表现在之前拍摄的视频流中生成; 对象检测模块,包括至少一个处理器,该处理器适于接收并处理视频片段; 识别视频片段的每一帧中的每个玩家和真实的比赛场地; 确定每一帧中每个玩家在游戏场上的位置; 使用深度学习模型从视频片段中提取每个球员的骨骼和皮肤特征; 使用 3D 模型和提取的特征为所有玩家生成 3D 头像,以动画化各自的 3D 头像; 通过获取的视频片段持续跟踪每个玩家的位置和动作; 确定每个玩家随时间变化的姿势特征。 发送器将与游戏场地相关的数据、位置数据和3D化身发送到观众侧的软件应用程序,并且观众侧的计算机化终端设备执行软件应用程序,从而生成合成的游戏场地并使3D化身动画化 根据每个玩家的姿势特征。</t>
  </si>
  <si>
    <t>用于观看现场体育比赛的增强现实界面</t>
  </si>
  <si>
    <t>CN116110194A</t>
  </si>
  <si>
    <t>本发明公开一种基于半监督支持向量机的防溺水监测方法和系统，其中，防溺水监测方法，包括：根据点二列算法对游泳者的游泳特征数据进行溺水相关性分析，得到带有溺水相关因子的第一训练测试数据集；将带有溺水相关因子的第一训练测试数据集输入至支持向量机进行初次训练和测试，得到测试通过的初始支持向量机模型；使用初始支持向量机模型得到的溺水发生概率，筛选得到二次训练测试数据集；使用二次训练测试数据集对初始支持向量机模型进行二次训练和测试，得到半监督支持向量机模型；使用半监督支持向量机模型对游泳特征数据进行溺水预测，得到溺水预测结果。本发明的技术方案能解决现有技术数据样本量较小，难以参照对比的问题。</t>
  </si>
  <si>
    <t>一种基于半监督支持向量机的防溺水监测方法和系统</t>
  </si>
  <si>
    <t>US20230201693A1</t>
  </si>
  <si>
    <t>本文描述了用于棒球或垒球比赛的自动化或辅助裁判的方法和系统。 好球区的位置是根据摄像机拍摄的站在本垒旁边的击球手的视频图像来确定的。 基于至少两个具有不同位置的摄像机捕获的视频图像,使用计算机视觉自动跟踪朝击球手移动的球的位置以及击球手握住的球棒的位置。 另外,存在对球的位置是否与击球区相交以及击球手是否真正尝试将球棒挥向球的自主确定,并且基于这些确定中的至少一项,存在自主确定 是否发生“击球”或“球”。 另外,自动输出是否发生“击球”或“球”的指示。</t>
  </si>
  <si>
    <t>使用计算机视觉自动或辅助裁判棒球比赛</t>
  </si>
  <si>
    <t>US20230191229A1</t>
  </si>
  <si>
    <t>本文公开了一种生成体育赛事结果的方法。 计算系统从数据存储中检索跟踪数据。 计算系统使用深度神经网络生成预测模型。 深度神经网络的一个或多个神经网络基于跟踪数据生成包括团队特定信息和代理特定信息的一种或多种嵌入。 计算系统从跟踪数据中选择与体育赛事的当前背景相关的一个或多个特征。 计算系统通过深度神经网络学习一项或多项体育赛事的一项或多项可能的结果。 计算系统接收体育赛事的赛前阵容。 计算系统通过预测模型,基于主队每个代理人、客队每个代理人的历史信息以及球队特定的特征,生成体育赛事的可能结果。</t>
  </si>
  <si>
    <t>用于团队运动中交互式、可解释且改进的比赛和球员表现预测的方法和系统</t>
  </si>
  <si>
    <t>WO2023158612A1</t>
  </si>
  <si>
    <t>在一些方面,本文描述的技术涉及一种方法,该方法包括:收集与用户对健身装置的使用有关的用户数据; 可选地捕获用户的图像; 为用户建立个人资料; 通过交互数据增强个人资料; 将配置文件输入到机器学习模型,机器学习模型生成分类; 并输出分类。</t>
  </si>
  <si>
    <t>利用大规模运动设备指标提供个性化体验</t>
  </si>
  <si>
    <t>CN219609884U</t>
  </si>
  <si>
    <t>本实用新型公开一种输油臂操控训练比赛平台，包括控制器、输油臂、法兰识别盘、探棒、至少一个法兰对接检测模块、至少一个越障检测模块；探棒为长型；输油臂为多自由度液压可控机械臂，其末端分别与法兰识别盘、探棒的一端固定连接；法兰对接检测模块包括拍摄设备、法兰圈；法兰圈为空心圆环，其固定设置在拍摄设备的前方，供法兰识别盘对接；拍摄设备与控制器通信连接，用于拍摄法兰识别盘并将拍摄图像发送给控制器；控制器根据拍摄图像识别法兰识别盘的位置；越障检测模块在横向方向上设置有多个检测模块，其与控制器连接，用于检测探棒的越障方向及准确性。本实用新型方便对流体装卸工的作业流程进行训练，提高流体装卸作业的安全性及效率。</t>
  </si>
  <si>
    <t>一种输油臂操控训练比赛平台</t>
  </si>
  <si>
    <t>IN202341008335A</t>
  </si>
  <si>
    <t>教室或任何机构内的出勤是耗时和警惕的过程之一。 为了优化流程,减少涉及的人力、金钱、精力和时间,提出了一种高度先进的基于深度学习的机器人考勤系统。 本发明部署了一种机器人智能机器,该机器构成了在机构场所使用的深度学习视觉系统。 它通过语音识别部分捕获图像或接收输入。 然后对接收到的输入进行处理、学习、识别,并与机构的云存储数据库进行比较。 比赛进行后,在云服务器内维护的数据表中输入出勤率,并作为输出显示给用户,表明他们的出勤率已被标记。 一个额外的短信模块将以这样的方式得到帮助,它将它发送到相关人员的手机进行验证。 因此,通过使用学习、人工智能和机器人技术,传统的机构出勤方式已被取消。</t>
  </si>
  <si>
    <t>高度先进的基于深度学习的机器人考勤系统</t>
  </si>
  <si>
    <t>CN308220614S</t>
  </si>
  <si>
    <t>1.本外观设计产品的名称：显示屏幕面板的流程监测图形用户界面。2.本外观设计产品的用途：用于运行程序、信息显示、人机交互。3.本外观设计产品的设计要点：在于屏幕中图形用户界面的界面内容。4.最能表明设计要点的图片或照片：主视图。5.图形用户界面的用途：主视图为信用快贷流程监测界面，界面显示审批通过情况、流程转化、页面跳失率、转化趋势等信息。6.其他需要说明的情形其他说明：本显示屏幕面板应用于计算机、笔记本电脑、平板电脑、手机、智能手表、智能手环、健身监视器、头戴式耳机、个人数字助理（PDA）、智能音箱、电视、机顶盒、投影仪、游戏机或导航仪、车辆。</t>
  </si>
  <si>
    <t>显示屏幕面板的流程监测图形用户界面</t>
  </si>
  <si>
    <t>KR102533898B1</t>
  </si>
  <si>
    <t>本公开包括与提供游戏信息的游戏服务器通信的通信单元; 处理器控制与基于人工智能的游戏信使的每个团队的聊天头像调整相关的操作。 处理器通过通信单元接收来自游戏服务器的比赛信息,查看比赛信息中的球队分类信息,基于人工智能模型学习分析球队分类信息,并对球队分类信息进行分析。其特征在于:提取各队聊天头像的边框颜色,并将对应的边框颜色信息传输至游戏服务器,以应用提取的各队伍聊天头像的边框颜色。</t>
  </si>
  <si>
    <t>基于AI的游戏信使各组群聊管理服务器、方法及程序</t>
  </si>
  <si>
    <t>CN308116965S</t>
  </si>
  <si>
    <t>1.本外观设计产品的名称：带半导体操控界面的图形用户界面的显示屏幕面板。;2.本外观设计产品的用途：控制半导体原子层沉积设备运行的图形用户界面。;3.本外观设计产品的设计要点：在于图形用户界面内容及界面布局。;4.最能表明设计要点的图片或照片：主视图。;5.不涉及设计要点，省略其他视图。;6.图形用户界面的用途：用于控制半导体原子层沉积设备的运行状态。;7.图形用户界面在产品中的区域：该显示屏幕面板用于电脑。;8.图形用户界面的人机交互方式：主视图是显示屏幕面板的主界面，点击主视图中的“控制页面”按钮可进入界面变化状态图&amp;nbsp;1，点击主视图中的“配方页面”按钮可进入界面变化状态图&amp;nbsp;2。;1.本外观设计产品的名称：带半导体操控界面的图形用户界面的显示屏幕面板。;2.本外观设计产品的用途：控制半导体原子层沉积设备运行的图形用户界面。;3.本外观设计产品的设计要点：在于图形用户界面内容及界面布局。;4.最能表明设计要点的图片或照片：主视图。;5.不涉及设计要点，省略其他视图。;6.图形用户界面的用途：用于控制半导体原子层沉积设备的运行状态。;7.图形用户界面在产品中的区域：该显示屏幕面板用于电脑。;8.图形用户界面的人机交互方式：主视图是显示屏幕面板的主界面，点击主视图中的“控制页面”按钮可进入界面变化状态图&amp;nbsp;1，点击主视图中的“配方页面”按钮可进入界面变化状态图&amp;nbsp;2。</t>
  </si>
  <si>
    <t>带半导体操控界面的图形用户界面的显示屏幕面板</t>
  </si>
  <si>
    <t>CN308151464S</t>
  </si>
  <si>
    <t>1.本外观设计产品的名称：带半导体操控界面的图形用户界面的显示屏幕面板。2.本外观设计产品的用途：控制半导体原子层沉积设备运行的图形用户界面。3.本外观设计产品的设计要点：在于半导体原子层沉积设备屏幕中的图形用户界面内容及界面布局。4.最能表明设计要点的图片或照片：主视图。5.本外观设计产品为惯常设计，故省略后、左、右、俯、仰视图。6.图形用户界面的用途：用于控制半导体原子层沉积设备的运行状态。7.图形用户界面在产品中的区域：该显示屏幕面板用于电脑。8.图形用户界面的人机交互方式：主视图是显示屏幕面板的主界面，点击主视图中的“手动页面”按钮可进入界面变化状态图1，点击主视图中的“配方界面”按钮可进入界面变化状态图2，点击主视图中的“实时数据”按钮可进入界面变化状态图3，点击主视图中的“历史数据”按钮可进入界面变化状态图4，点击主视图中的“报警数据”按钮可进入界面变化状态图5。</t>
  </si>
  <si>
    <t>US11711497B2</t>
  </si>
  <si>
    <t>一种用于将运动员图像识别注册到体育赛事中的系统和方法。 运动员使用图像识别技术在体育赛事中进行注册。 相机拍摄的运动员的数字化开始图像( 106 )当运动员越过起跑线时。 将数字开始图像与存储的运动员个人资料图像进行比较,以识别运动员并将其输入到赛事中,而不需要运动员预先注册特定赛事。 结合模式识别的增强识别技术可用于提高身份准确性。</t>
  </si>
  <si>
    <t>图像识别体育赛事录入系统及方法</t>
  </si>
  <si>
    <t>IN202311006384A</t>
  </si>
  <si>
    <t>确定何时启动扫描信号以减少与不同运动员相关的收发器的干扰。 倍频器电路被配置为在接收扫描信号的同时以等于两倍扫描频率的不同频率生成返回信号。 执行处理的装置包括确定何时发起扫描信号以减少与不同运动员相关联的收发器的干扰。 球运动监测系统将压力传感器产生的数据与惯性传感器产生的数据进行比较。 推进决策模块将力传感器生成的数据与惯性传感器生成的数据与游戏球进行比较。 身体活动是具有上挥杆运动锻炼和随后的下挥杆运动锻炼的高尔夫挥杆运动。 运动参数基于至少一个速度值、加速度值、运动员身体部位的位置或运动装置在图像中的位置。</t>
  </si>
  <si>
    <t>系统的方法与基于人工智能的技术相结合,比较和对比不同运动员的优缺点</t>
  </si>
  <si>
    <t>CN307971462S</t>
  </si>
  <si>
    <t>1.本外观设计产品的名称：带运动类信息的图形用户界面的智能手表屏幕。
 2.本外观设计产品的用途：用于显示及人机交互。
 3.本外观设计产品的设计要点：在于显示智能手表屏幕的图形用户界面内容。
 4.最能表明设计要点的图片或照片：设计1主视图。
 5.指定设计1为基本设计。
 6.图形用户界面的用途：显示及操作运动类信息相关功能。
 7.图形用户界面的变化状态说明：设计1主视图示出了运动场景下手表显示的运动时长Tile界面，界面显示运动状态指示、GPS定位状态、当前时间、步数、心率、电量和锁屏状态。
 旋转手表侧面的按钮180度以上解锁，依次呈现设计1界面变化状态图1‑7，解锁后旋转90度（顺时针或逆时针）切换不同的运动类Tile。
 在设计1主视图中，界面上方的箭头表示定位状态，箭头闪烁表示定位中，箭头消失表示运动类型不支持GPS，呈现设计1界面变化状态图8。
 运动支持步频则由步数图标及数据切换至步频图标及数据，呈现设计1界面变化状态图9。
 运动不支持步数则步数图标及数据消失。
 界面中间区域显示运动时长数值，运动时长超过1个小时呈现设计1界面变化状态图10。
 运动时长超过10个小时呈现设计1界面变化状态图11。
 时间设置12小时制和24小时制，设置为24小时制时运动时长超过10小时呈现设计1界面变化状态图12。
 运动暂停时界面中间运动时长数值闪烁。
 设计2主视图示出了运动场景下手表显示的运动时长默认界面，解锁切换至运动距离Tile，锁定后呈现设计2界面变化状态图1。
 界面显示运动状态指示、GPS定位状态、当前时间、步数、心率、电量和锁屏状态。
 旋转手表侧面的按钮180度以上解锁，依次呈现设计2界面变化状态图2‑8，解锁后旋转90度（顺时针或逆时针）切换不同的运动类Tile。
 在设计2界面变化状态图1中，界面上方的箭头表示定位状态，箭头闪烁表示定位中，箭头消失表示运动类型不支持GPS，呈现设计2界面变化状态图9。
 运动支持步频则由步数图标及数据切换至步频图标及数据，呈现设计2界面变化状态图10。
 运动不支持步数则步数图标及数据消失。
 界面中间区域显示运动距离数值，数值下方表示运动距离Tile的图标亮起。
 当运动距离超过100km时呈现设计2界面变化状态图11。
 运动距离Tile支持公里(KM)和英里（MI）,设置为英里（MI）时呈现设计2界面变化状态图12。
 运动距离超过100&amp;nbsp;MI时呈现设计2界面变化状态图13。
 运动暂停时界面中间运动距离数值闪烁。
 设计3主视图示出了运动场景下手表显示的运动时长默认界面，解锁切换至心率Tile，锁定后呈现设计3界面变化状态图1。
 界面显示运动状态指示、GPS定位状态、当前时间、步数、心率、电量和锁屏状态。
 旋转手表侧面的按钮180度以上解锁，依次呈现设计3界面变化状态图2‑8，解锁后旋转90度（顺时针或逆时针）切换不同的运动类Tile。
 在设计3界面变化状态图1中，界面上方的箭头表示定位状态，箭头闪烁表示定位中，箭头消失表示运动类型不支持GPS，呈现设计3界面变化状态图9。
 运动不支持步数则步数图标及数据消失。
 界面中间区域显示心率数值，数值下方表示心率Tile的图标亮起，界面右下方默认情况下的心率图标及数值消失。
 心率无检测结果时呈现设计3界面变化状态图10，并且界面中“‑‑”闪烁。
 心率检测得出结果并更新数值，呈现设计3界面变化状态图11。
 心率检测数值超过200时呈现设计3界面变化状态图12。
 运动暂停时界面中间心率数值闪烁。
 设计4主视图示出了运动场景下手表显示的运动时长默认界面，解锁后换至配速Tile，锁定后呈现设计4界面变化状态图1。
 界面显示运动状态指示、GPS定位状态、当前时间、步频、心率、电量和锁屏状态。
 旋转手表侧面的按钮180度以上解锁，依次呈现设计4界面变化状态图2‑8，解锁后旋转90度（顺时针或逆时针）切换不同的运动类Tile。
 在设计4界面变化状态图1，界面上方的箭头表示定位状态，箭头闪烁表示定位中，箭头消失表示运动类型不支持GPS，呈现设计4界面变化状态图9。
 运动支持步数则由步频图标及数据切换至步数图标及数据，呈现设计4界面变化状态图10。
 运动不支持步频则步频图标及数据消失。
 界面中间区域显示配速数值，数值下方代表配速Tile的图标亮起。
 配速Tile支持每公里用时（/KM）和每英里用时（/MI），设置为每英里用时（/MI）时呈现设计4界面变化状态图11。
 无配速或者速度过低时呈现设计4界面变化状态图12。
 运动暂停时界面中间配速数值闪烁。
 设计5主视图示出了运动场景下手表显示的运动时长默认界面，解锁切换至速度Tile，锁定后呈现设计5界面变化状态图1。
 界面显示运动状态指示、GPS定位状态、当前时间、步数、心率、电量和锁屏状态。
 旋转手表侧面的按钮180度以上解锁，依次呈现设计5界面变化状态图2‑8，解锁后旋转90度（顺时针或逆时针）切换不同的运动类Tile。
 在设计5界面变化状态图1中，界面上方的箭头表示定位状态，箭头闪烁表示定位中，箭头消失表示运动类型不支持GPS，呈现设计5界面变化状态图9。
 运动支持步频则由步数图标及数据切换至步频图标及数据，呈现设计5界面变化状态图10。
 运动不支持步数则步数图标及数据消失。
 界面中间区域显示速度数值，数值下方代表速度Tile的图标亮起。
 速度数值为0时呈现设计5界面变化状态图11。
 速度数值大于10时呈现设计5界面变化状态图12。
 速度数值大于100时呈现设计5界面变化状态图13。
 速度Tile支持公里/小时（KM/H）和英里/小时（MI/H），设置为英里/小时（MI/H）时呈现设计5界面变化状态图14。
 运动暂停时界面中间速度数值闪烁。
 设计6主视图示出了运动场景下手表显示的运动时长默认界面，解锁后换至运动卡路里Tile，锁定后呈现设计6界面变化状态图1。
 界面显示运动状态指示、GPS定位状态、当前时间、步数、心率、电量和锁屏状态。
 旋转手表侧面的按钮180度以上解锁，依次呈现设计6界面变化状态图2‑8，解锁后旋转90度（顺时针或逆时针）切换不同的运动类Tile。
 在设计6界面变化状态图1中，界面上方的箭头表示定位状态，箭头闪烁表示定位中，箭头消失表示运动类型不支持GPS，呈现设计6界面变化状态图9。
 运动支持步频则由步数图标及数据切换至步频图标及数据，呈现设计6界面变化状态图10。
 运动不支持步数则步数图标及数据消失。
 界面中间区域显示当前运动消耗的卡路里数值，数值下方表示运动卡路里Tile的图标亮起。
 卡路里数值4位数呈现设计6界面变化状态图11。
 卡路里数值5位数呈现设计6界面变化状态图12。
 运动暂停时界面中间卡路里数值闪烁。
 设计7主视图示出了运动场景下手表显示的运动时长默认界面，解锁切换至计数Tile，锁定后呈现设计7界面变化状态图1。
 界面显示运动状态指示、GPS定位状态、当前时间、步数、心率、电量和锁屏状态。
 旋转手表侧面的按钮180度以上解锁，依次呈现设计7界面变化状态图2‑8，解锁后旋转90度（顺时针或逆时针）切换不同的运动类Tile。
 在设计7界面变化状态图1中，界面上方的箭头表示定位状态，箭头闪烁表示定位中，箭头消失表示运动类型不支持GPS，呈现设计7界面变化状态图9。
 运动不支持步数则步数图标及数据消失。
 计数可以统计例如跑步的圈数、游泳的趟数、跳绳的个数、HIIT运动（比如开合跳）的个数等。
 运动暂停时界面中间计数数值闪烁。
 设计8主视图示出了运动场景下手表显示的运动时长默认界面，解锁切换至当前海拔/累计上升/累计下降Tile，锁定后呈现设计8界面变化状态图1。
 界面显示运动状态指示、GPS定位状态、当前时间、步数、心率、电量和锁屏状态。
 旋转手表侧面的按钮180度以上解锁，依次呈现设计8界面变化状态图2‑8，解锁后旋转90度（顺时针或逆时针）切换不同的运动类Tile。
 在设计8界面变化状态图1中，界面上方的箭头表示定位状态，箭头闪烁表示定位中，箭头消失表示运动类型不支持GPS，呈现设计8界面变化状态图9。
 运动支持步频则由步数图标及数据切换至步频图标及数据，呈现设计8界面变化状态图10。
 运动不支持步数则步数图标及数据消失。
 界面中当前海拔/累计上升/累计下降的数值依次显示，每间隔2秒自动切换，并且数值切换时相应的图标亮起，呈现设计8界面变化状态图11‑13。
 当前海拔/累计上升/累计下降Tile支持公制和英制（M&amp;nbsp;或&amp;nbsp;ft）两个单位，切换至英制单位依次显示呈现设计8界面变化状态图14‑16。
 当前海拔为负海拔时公制单位呈现设计8界面变化状态图17。
 切换至英制单位呈现设计8界面变化状态图18。
 运动暂停时界面中间当前海拔/累计上升/累计下降数值闪烁。
 设计9&amp;nbsp;主视图示出了运动场景下手表显示的运动时长默认界面，解锁切换至指南针Tile，锁定后呈现设计9界面变化状态图1。
 界面显示运动状态指示、GPS定位状态、当前时间、步数、心率、电量和锁屏状态。
 旋转手表侧面的按钮180度以上解锁，依次呈现设计9界面变化状态图2‑8，解锁后旋转90度顺时针或逆时针）切换不同的运动类Tile。
 在设计9界面变化状态图1中，界面上方的箭头表示定位状态，箭头闪烁表示定位中，箭头消失表示运动类型不支持GPS，呈现设计9界面变化状态图9。
 运动支持步频则由步数图标及数据切换至步频图标及数据，呈现设计9界面变化状态图10。
 运动不支持步数则步数图标及数据消失。
 界面中间用数值代表角度，尚未检测到数值呈现设计9界面变化状态图11。
 角度数值为2位数呈现设计9界面变化状态图12。
 角度数值为3位数呈现设计9界面变化状态图13。
 需要校准时呈现设计9界面变化状态图14来进行提示。
 运动暂停时界面中间指南针数值闪烁。</t>
  </si>
  <si>
    <t>带运动类信息的图形用户界面的智能手表屏幕</t>
  </si>
  <si>
    <t>CN307987175S</t>
  </si>
  <si>
    <t>1.本外观设计产品的名称：用于显示屏面板的足球智能训练分析的图形用户界面。
 2.本外观设计产品的用途：本外观设计产品用于运行程序以及显示信息，该显示屏面板用于手机、电脑、平板电脑。
 3.本外观设计产品的设计要点：在于屏幕中的图形用户界面内容，显示屏面板为现有设计。
 4.最能表明设计要点的图片或照片：主视图。
 5.显示屏面板为惯常设计，省略后视图;显示屏面板为惯常设计，省略左视图;显示屏面板为惯常设计，省略右视图;显示屏面板为惯常设计，省略俯视图;显示屏面板为惯常设计，省略仰视图。
 6.图形用户界面的用途：本外观设计产品用于训练计划的查看和编辑。
 7.其他需要说明的情形其他说明：图形用户界面的人机交互方式：具体的，点击主视图“数据统计”进入变化状态图1，点击变化状态图1中“比赛回顾”进入变化状态图2，在变化状态图2中点击“文件管理”进入变化状态图3。</t>
  </si>
  <si>
    <t>用于显示屏面板的足球智能训练分析的图形用户界面</t>
  </si>
  <si>
    <t>CN116186324A</t>
  </si>
  <si>
    <t>本发明公开了一种基于人工智能的数据采集方法及系统，包括以下操作步骤：步骤S1、通过影像采集模块对基准图像数据进行采集；本发明的有益效果是，通过影像采集模块对标准的健身体态图像进行采集，通过音频采集模块对标准的健身体态语音讲解进行采集，通过基准数据分析模块得到单元影音数据，即标准的健身体态图像与健身体态语音讲解对应的数据组，通过影像采集模块对使用者健身体态图像进行采集，通过数据对比模块将使用者的体态与标准体态进行对比，挑选与使用者健身体态图像相似的单元影音数据，通过播放模块将目标单元影音数据组进行显示，起到智能纠正使用者的健身体态的作用，实现人工智能健身。</t>
  </si>
  <si>
    <t>一种基于人工智能的数据采集方法及系统</t>
  </si>
  <si>
    <t>IN202311005682A</t>
  </si>
  <si>
    <t>确定在第一设施、区域、部门或团队中工作的第一组雇员的更新的第一组健康报告,其中更新的第一组健康报告是基于雇员的更新的健康概况来确定的。 对员工在网络上操作的电子设备的电子监控,所述第三数据包括与员工操作电子设备相关的数据。 员工工作站被配置为感测员工的生物统计特征并输出指示员工生物统计特征的相应生物统计健康数据,包括多个生物统计传感器。 传感器数据基于至少一个传感器监测与所涵盖实体相关联且不同于所涵盖实体的个人活动。 使用至少一个传感器监测与工作场所实体相关联且不同于工作场所实体的员工的活动水平相关数据。 从与第一雇员相关联的个人健身追踪器接收监控信息。</t>
  </si>
  <si>
    <t>研究人工智能对工业 4.0 LED 组织员工影响的系统方法</t>
  </si>
  <si>
    <t>WO2023150464A1</t>
  </si>
  <si>
    <t>实施例包括利用人工智能和/或机器学习来基于特定球队、球员、事件或其他相关数据的历史得分数据来产生体育分析。 机器学习可以应用于历史数据以提高投注赔率。 赔率模块可以提前实时分析赛事结果与可用参数之间的相关性,以给出准确且最新的赔率。</t>
  </si>
  <si>
    <t>人工智能和机器学习增强投注赔率方法、系统和装置</t>
  </si>
  <si>
    <t>WO2023139567A1</t>
  </si>
  <si>
    <t>本专利申请公开了一种用于分析人的运动、特别是用于相对于定义的标准条件识别运动中的异常的可穿戴设备和方法。 所述装置包括用于采集与特定解剖区域的运动相关的数据的一个或多个运动检测器以及被配置为执行用于处理运动数据的人工智能(AI)算法的集中式或分布式控制系统。 与已知技术相比,所述运动检测器和AI算法能够以不同共享级别交换运动数据。 有利地,该特征改善了异常检测,并且在创伤后运动康复期间(例如,改善恢复)或运动训练期间(例如,优化运动员的表现)以及当运动异常与以下情况相关时是有用的: 预测病理(例如中风或短暂性脑缺血发作)。</t>
  </si>
  <si>
    <t>用于分析人的运动的可穿戴装置及其方法</t>
  </si>
  <si>
    <t>WO2023143648A1</t>
  </si>
  <si>
    <t>本发明提供了一种用于诸如足球比赛的竞技赛事中的数据通信和管理的装置,其包括由太阳能或其他来源供电的光信号,并且其取代了旧的红牌和黄牌以及来自裁判的手势信号。 这些光或全息投影信号连接到分布在通过物联网连接的一个或多个设备上的一个或多个处理器,多个传感器和换能器连接到这些处理器,通过人工智能逻辑方法,准确地识别被警告的玩家,避免 诸如积卡未被驱逐、冒充球员等错误,以及在裁判、俱乐部、教练、电视、广播或互联网频道、应急机构和球迷的设备之间进行双向实时信息共享 运动员的球队或球迷,从而最大限度地减少欺诈的发生,提高比赛的透明度,并为所有参与者提供实时裁判决策数据的访问。</t>
  </si>
  <si>
    <t>用于足球比赛数据通信和管理的智能设备</t>
  </si>
  <si>
    <t>DE202023100275U1</t>
  </si>
  <si>
    <t>一种基于人工智能的健康追踪系统,该系统包括: 
  健身追踪器设备,用于记录重要的健康相关数据,如 SpO 2 、睡眠、脉率、心电图、血压等; 
  包含基于人工智能的软件的云平台,该软件使用基于人工智能的编码分析个人记录的健康相关数据; 和 
  一个协议处理单元,用于使用基于人工智能的编码生成一个人的协议,在协议生成之后,它被发送给联网的健康专业人员进行重新评估,并且在重新评估之后,该协议是一个立即发送的运动处方给那个人。</t>
  </si>
  <si>
    <t>基于人工智能的系统,用于健康跟踪、大多数死亡的早期风险识别和运动调节</t>
  </si>
  <si>
    <t>ZA202300814B</t>
  </si>
  <si>
    <t>本发明提供一种AI识别运动轨迹数据分析方法及系统,涉及运动轨迹分析技术领域。 AI识别运动轨迹数据分析系统,包括可穿戴传感器设备、传感器节点、传输基站、云服务器、智能终端、数据处理模块和AI处理单元,多个可穿戴传感器设备均匀排列。 分布在运动员身体的各个部位; 通常设置在运动员身体的八个部位:左右前臂和前臂,左右腿和大腿,可穿戴传感器设备的每个部位对应一个传感器节点。 本发明可以利用可穿戴传感器设备搭建人体运动数据采集系统,完成运动数据的有效采集; 与基于计算机视觉的模式相比,该方法在隐私保护和外部环境容忍度方面具有很大的优势。</t>
  </si>
  <si>
    <t>人工智能识别运动轨迹数据分析方法及系统</t>
  </si>
  <si>
    <t>CN308167735S</t>
  </si>
  <si>
    <t>1.本外观设计产品的名称：显示屏幕面板的工艺表编辑器显示图形用户界面。
 2.本外观设计产品的用途：用于运行程序、信息显示、人机交互。
 3.本外观设计产品的设计要点：在于屏幕中图形用户界面的界面内容。
 4.最能表明设计要点的图片或照片：主视图。
 5.图形用户界面的用途：主视图为工艺表编辑器显示界面，界面通过表格的方式，同时显示采煤机和液压支架的作业任务，用户可根据界面提示进行相关操作。
 6.其他需要说明的情形其他说明：本显示屏幕面板应用于计算机、笔记本电脑、平板电脑、手机、智能手表、智能手环、健身监视器、头戴式耳机、个人数字助理（PDA）、智能音箱、电视、机顶盒、投影仪、游戏机或导航仪、车辆。</t>
  </si>
  <si>
    <t>显示屏幕面板的工艺表编辑器显示图形用户界面</t>
  </si>
  <si>
    <t>CN116757379A</t>
  </si>
  <si>
    <t>本发明公开了一种基于物联网的智慧泳池购票管理系统，属于智能网联技术领域，该购票管理系统能够通过对下一周期内各时间段内的游泳者数量进行预测，并主动提示用户在人数较少的时间区段前往进行游泳锻炼，另外本发明考虑到游泳池中不同区域由于功能不同，用户对于游泳者密度的敏感程度也会出现明显的区别，因此，本发明通过活跃系数来对舒适度进行判断，相较于直接通过人密度来判断的方式，能够更加的准确，且合理考虑到了不同区域的需求，另外还能够充分利用各泳池功能区域的空间，在保证各区域用户的使用体验的同时，提升各区域的空间利用率。</t>
  </si>
  <si>
    <t>一种基于物联网的智慧泳池购票管理系统及方法</t>
  </si>
  <si>
    <t>CN308232602S</t>
  </si>
  <si>
    <t>1.本外观设计产品的名称：显示屏幕面板的创建组件流程图形用户界面。2.本外观设计产品的用途：用于运行程序、信息显示、人机交互。3.本外观设计产品的设计要点：在于屏幕中图形用户界面的界面内容。4.最能表明设计要点的图片或照片：主视图。5.图形用户界面的用途：本图形用户界面用于创建组件流程。主视图为代码库界面，用户输入必填项信息后，点击右上角的“同时创建流水线”按钮，界面跳转至界面变化状态图1，用户可创建或选择相应的流水线模版进行操作，点击任意模版后，界面跳转至界面变化状态图2，界面显示可配置相应的流水线信息，用户根据界面提示操作完毕后，点击右上角的“保存并创建组件”按钮，界面跳转至界面变化状态图3，界面显示可编辑相应的应用信息，以及配置组件内相应制品库信息，用户根据界面提示操作完毕后，点击右上角的“保存”按钮，界面跳转至界面变化状态图4。6.其他需要说明的情形其他说明：本显示屏幕面板应用于计算机、笔记本电脑、平板电脑、手机、智能手表、智能手环、健身监视器、头戴式耳机、个人数字助理（PDA）、智能音箱、电视、机顶盒、投影仪、游戏机或导航仪、车辆。</t>
  </si>
  <si>
    <t>显示屏幕面板的创建组件流程图形用户界面</t>
  </si>
  <si>
    <t>CN308167736S</t>
  </si>
  <si>
    <t>1.本外观设计产品的名称：用于显示屏幕面板的商品列表页快筛项发券的动态图形用户界面。
 2.本外观设计产品的用途：用于运行程序和展示信息，本外观设计图形用户界面可用于计算机、笔记本电脑、平板电脑、手机、智能手机、智能手环、智能眼镜、手表、智能手表、健身监视器、头戴式耳机、智能音箱、电视、监视器、投影仪、机顶盒、游戏机、导航仪、用于车辆的显示屏。
 3.本外观设计产品的设计要点：在于屏幕中图形用户界面的内容。
 4.最能表明设计要点的图片或照片：界面变化状态图7。
 5.图形用户界面的用途：用于人机交互和显示图形用户界面，主视图至界面变化状态图6为列表页发券时券快筛项逐渐推出的动态过程，点击界面变化状态图6的优惠券以筛选可用券商品，显示界面变化状态图7的界面。</t>
  </si>
  <si>
    <t>用于显示屏幕面板的商品列表页快筛项发券的动态图形用户界面</t>
  </si>
  <si>
    <t>CN308266185S</t>
  </si>
  <si>
    <t>1.本外观设计产品的名称：用于显示屏幕面板的商品列表页弹窗发券的动态图形用户界面。2.本外观设计产品的用途：用于运行程序和展示信息，本外观设计图形用户界面可用于计算机、笔记本电脑、平板电脑、手机、智能手机、智能手环、智能眼镜、手表、智能手表、健身监视器、头戴式耳机、智能音箱、电视、监视器、投影仪、机顶盒、游戏机、导航仪、用于车辆的显示屏。3.本外观设计产品的设计要点：在于屏幕中图形用户界面的内容。4.最能表明设计要点的图片或照片：界面变化状态图1。5.图形用户界面的用途：用于人机交互和显示图形用户界面。主视图至界面变化状态图7显示弹窗发券的动态过程。</t>
  </si>
  <si>
    <t>用于显示屏幕面板的商品列表页弹窗发券的动态图形用户界面</t>
  </si>
  <si>
    <t>IN202311002990A</t>
  </si>
  <si>
    <t>本发明涉及使用机器学习算法使不正确的健身房锻炼偏离预定义的健身房活动风格模式。 本发明包括显示多种锻炼模式的显示器、Wi-Fi 连接、电缆连接器、封闭的锻炼环境。 在传统流程中,终端用户来到健身房是为了让他们的身体在物理模式下适应并开始在那个环境中练习。 本发明允许健身房相关锻炼模板的多种设计模式,并且基于该用户选择任何样式模式并且与预定义模式的任何偏差警告最终用户使用该机器学习算法返回到定义的路径。 它的用途是使最终用户能够在没有任何体能教练帮助的情况下毫无偏差地进行锻炼。</t>
  </si>
  <si>
    <t>使用机器学习算法识别偏差的不正确健身房运动检测</t>
  </si>
  <si>
    <t>US20230169766A1</t>
  </si>
  <si>
    <t>此处公开了一种用于为球队生成比赛预测的系统和方法。 计算系统从数据存储中检索多个播放的轨迹数据。 计算系统使用变分自动编码器和神经网络生成预测模型,方法是生成一个或多个输入数据集,由变分自动编码器学习,为多个播放中的每个播放生成多个变体,并学习,通过 神经网络,一种球队风格对应于多个比赛中的每个比赛。 计算系统接收对应于目标游戏的轨迹数据。 预测模型通过确定与目标团队的目标团队身份相对应的目标变量的数量来生成目标团队执行目标游戏的可能性。</t>
  </si>
  <si>
    <t>体育内容和风格预测的系统和方法</t>
  </si>
  <si>
    <t>CN116095243A</t>
  </si>
  <si>
    <t>本发明涉及一种航海模拟器语音通话方法、设备、介质，所述方法应用于服务端，包括如下步骤：建立与船舶模拟终端的第一连接，建立与控制端的第二连接，其中，船舶模拟终端部署在航海模拟器上；通过第一连接获取训练语音信息并通过第二连接转发至控制端，针对训练语音信息，通过语音识别获取文本信息，基于文本信息与预设的通话情景进行匹配，判断是否匹配成功，若是，将与匹配的通话情景对应的响应语音信息通过第一连接发送到对应的船舶模拟终端，若否，通过第二连接向控制端发送提示信号；侦听第二连接，若接收到人工干预话音信号，则通过第一连接转发至对应的船舶模拟终端。与现有技术相比，本发明改善了受训学员及控制台教练员的体验。</t>
  </si>
  <si>
    <t>一种航海模拟器语音通话方法、设备、介质</t>
  </si>
  <si>
    <t>IN202341002084A</t>
  </si>
  <si>
    <t>使用基于 AI 的多目标数据预测模型开发了一个推荐系统,用于优化运动员的表现。 可穿戴传感器设备用于收集运动员的生理数据。 该系统基于当前和之前的生理数据,为运动员在训练和比赛中提供激励的推荐系统,以帮助他们发挥最大的能力。 为此,有关运动员的过去和现在的信息都会被考虑在内。 使用云计算系统存储和分析数据。 使用基于 SVM 和自适应分类器模型的机器学习技术处理数据。 对于这项研究,包括年龄、性别、卡路里、温度、压力、心率、脉搏率、呼吸问题和身体状况在内的因素都被考虑在内。 在体育活动期间使用可穿戴设备从参与者那里捕获实时数据,并从数据集中检索特征子集。</t>
  </si>
  <si>
    <t>使用基于人工智能的数据预测模型优化运动员表现的推荐系统</t>
  </si>
  <si>
    <t>CN308111969S</t>
  </si>
  <si>
    <t>1.本外观设计产品的名称：带设备健康管理图形用户界面的显示屏幕面板。2.本外观设计产品的用途：用于显示图形用户界面。3.本外观设计产品的设计要点：在于屏幕中的图形用户界面。4.最能表明设计要点的图片或照片：主视图。5.无设计要点，省略后视图，左视图，右视图，俯视图，仰视图。6.图形用户界面的用途：界面用于硬件设备健康监控、管理与展示信息的用途。图形用户界面的人机交互方式：在主视图中，界面展示了与设备健康内容相关的模块布局，用户可以点击任意模块中的可操作控件执行更多操作。7.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</si>
  <si>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带设备健康管理图形用户界面的显示屏幕面板</t>
  </si>
  <si>
    <t>CN308124225S</t>
  </si>
  <si>
    <t>1.本外观设计产品的名称：带卫星资源规划图形用户界面的显示屏幕面板。;2.本外观设计产品的用途：用于显示图形用户界面。;3.本外观设计产品的设计要点：在于屏幕中的图形用户界面。;4.最能表明设计要点的图片或照片：主视图。;5.无设计要点，省略后视图，左视图，右视图，俯视图，仰视图。;6.图形用户界面的用途：界面用于卫星资源规划、调控、管理与展示信息的用途。;7.图形用户界面的变化状态说明：主视图显示的图形用户界面为打开程序的起始界面；点击主视图左上角的“作战应用场景”按钮进入界面变化状态图1；点击主视图左上角的“资源系统画像”按钮进入界面变化状态图2；点击界面变化状态图2左上角的“用户中心”按钮进入界面变化状态图3；点击界面变化状态图2左上角的“用户目标”按钮进入界面变化状态图4；点击主视图右上角的“申请模式优化”按钮进入界面变化状态图5；点击界面变化状态图5左上角的“中继资源申请规划”按钮进入界面变化状态图6；点击主视图右上角的“规划模型优化”按钮进入界面变化状态图7；点击主视图右上角的“准备时间优化”按钮进入界面变化状态图8。;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单一色块“X”涂覆部分属于内容画面。;1.本外观设计产品的名称：带卫星资源规划图形用户界面的显示屏幕面板。;2.本外观设计产品的用途：用于显示图形用户界面。;3.本外观设计产品的设计要点：在于屏幕中的图形用户界面。;4.最能表明设计要点的图片或照片：主视图。;5.无设计要点，省略后视图，左视图，右视图，俯视图，仰视图。;6.图形用户界面的用途：界面用于卫星资源规划、调控、管理与展示信息的用途。;7.图形用户界面的变化状态说明：主视图显示的图形用户界面为打开程序的起始界面；点击主视图左上角的“作战应用场景”按钮进入界面变化状态图1；点击主视图左上角的“资源系统画像”按钮进入界面变化状态图2；点击界面变化状态图2左上角的“用户中心”按钮进入界面变化状态图3；点击界面变化状态图2左上角的“用户目标”按钮进入界面变化状态图4；点击主视图右上角的“申请模式优化”按钮进入界面变化状态图5；点击界面变化状态图5左上角的“中继资源申请规划”按钮进入界面变化状态图6；点击主视图右上角的“规划模型优化”按钮进入界面变化状态图7；点击主视图右上角的“准备时间优化”按钮进入界面变化状态图8。;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单一色块“X”涂覆部分属于内容画面。</t>
  </si>
  <si>
    <t>带卫星资源规划图形用户界面的显示屏幕面板</t>
  </si>
  <si>
    <t>CN308209832S</t>
  </si>
  <si>
    <t>1.本外观设计产品的名称：显示屏幕面板的商品信息展示图形用户界面。2.本外观设计产品的用途：本外观设计产品用于显示图形用户界面。3.本外观设计产品的设计要点：在于图形用户界面。4.最能表明设计要点的图片或照片：设计1主视图。5.指定设计1为基本设计。6.图形用户界面的用途：本图形用户界面用于展示商品信息。7.图形用户界面的人机交互方式：设计1至设计5主视图的图形用户界面为商品信息展示的界面，用户可以点击商品图片或视频进入相应的商品详情页面。各设计界面中的灰色色块为可替换的图片或视频。各设计界面中的叉号代表文字和/或数字和/或字母和/或符号。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9.显示屏幕面板为惯常设计，省略各项设计的后视图、左视图、右视图、俯视图、仰视图。</t>
  </si>
  <si>
    <t>CN308226664S</t>
  </si>
  <si>
    <t>1.本外观设计产品的名称：带卫星任务规划图形用户界面的显示屏幕面板。
 2.本外观设计产品的用途：用于显示图形用户界面。
 3.本外观设计产品的设计要点：在于屏幕中的图形用户界面。
 4.最能表明设计要点的图片或照片：界面变化状态图3。
 5.无设计要点，省略后视图，左视图，右视图，俯视图，仰视图。
 6.图形用户界面的用途：界面用于卫星任务规划、管理与展示信息的用途。
 7.图形用户界面的变化状态说明：主视图显示的图形用户界面为打开程序的起始界面；点击主视图左上角的“计划查询与发送”按钮进入界面变化状态图1；点击主视图左上角的“任务规划”按钮进入界面变化状态图2；点击主视图左上角的“任务评估”按钮进入界面变化状态图3；点击主视图右上角的“仿真验证”按钮进入界面变化状态图4；点击主视图右上角的“配置管理”按钮进入界面变化状态图5；点击界面变化状态图5左上角的“用户目标”按钮进入界面变化状态图6；点击界面变化状态图5左上角的“中继卫星”按钮进入界面变化状态图7；点击界面变化状态图5左上角的“空白窗口”按钮进入界面变化状态图8。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本外观设计产品的图形用户界面中的单一色块“X”涂覆部分属于内容画面。</t>
  </si>
  <si>
    <t>带卫星任务规划图形用户界面的显示屏幕面板</t>
  </si>
  <si>
    <t>CN308250672S</t>
  </si>
  <si>
    <t>1.本外观设计产品的名称：带天线配置管理图形用户界面的显示屏幕面板。2.本外观设计产品的用途：用于显示图形用户界面。3.本外观设计产品的设计要点：在于屏幕中的图形用户界面。4.最能表明设计要点的图片或照片：界面变化状态图1。5.无设计要点，省略后视图，左视图，右视图，俯视图，仰视图。6.图形用户界面的用途：界面用于卫星天线信号配置、分析与展示信息的用途。7.图形用户界面的变化状态说明：主视图显示的图形用户界面为打开程序的登录起始界面；在主视图中央右侧出入账号密码后并点击“登录”按钮进入界面变化状态图1；点击界面变化状态图1右上角的“结果查询”按钮弹出界面变化状态图2；点击界面变化状态图1左上角的“新建项目”按钮弹出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本外观设计产品的图形用户界面中的单一色块“X”涂覆部分属于内容画面。</t>
  </si>
  <si>
    <t>带天线配置管理图形用户界面的显示屏幕面板</t>
  </si>
  <si>
    <t>CN308270548S</t>
  </si>
  <si>
    <t>1.本外观设计产品的名称：带卫星数据处理图形用户界面的显示屏幕面板。2.本外观设计产品的用途：用于显示图形用户界面。3.本外观设计产品的设计要点：在于屏幕中的图形用户界面。4.最能表明设计要点的图片或照片：界面变化状态图2。5.无设计要点，省略后视图，左视图，右视图，俯视图和仰视图。6.图形用户界面的用途：界面用于卫星数据处理、管理与信函收发的用途。7.图形用户界面的人机交互方式：主视图显示的图形用户界面为打开程序的登录起始界面；在主视图中央输入账号和密码后并单击“登录”按钮进入界面变化状态图1；点击界面变化状态图1中央的“国际电联IFIC周报处理软件”按钮进入界面变化状态图2；点击界面变化状态图2最左侧主菜单的“任务列表”按钮进入界面变化状态图3；点击界面变化状态图2最左侧主菜单的“生成函件”按钮进入界面变化状态图4；先点击界面变化状态图2最左侧主菜单“数据管理”展开子菜单后并点击“发函数据管理”按钮进入界面变化状态图5；点击界面变化状态图5最左侧主菜单的“SIGNSAT数据管理”按钮进入界面变化状态图6；点击界面变化状态图5最左侧主菜单的“IFIC数据管理”按钮进入界面变化状态图7；先点击界面变化状态图2最左侧主菜单“辅助信息管理”展开子菜单后并点击“ITU条款配置项管理”按钮进入界面变化状态图8；点击界面变化状态图8最左侧主菜单的“函件模板管理”按钮进入界面变化状态图9；点击界面变化状态图1中央的“国际电联信函处理软件”按钮进入界面变化状态图10；点击界面变化状态图10最左侧主菜单的“来函查询”按钮进入界面变化状态图11；先点击界面变化状态图10最左侧主菜单“发函管理”展开子菜单后并点击“发函编辑”按钮进入界面变化状态图12；点击界面变化状态图12最左侧主菜单的“发函查询”按钮进入界面变化状态图13；先点击界面变化状态图10最左侧主菜单“用户配置”展开子菜单后并点击“模板管理”按钮进入界面变化状态图14。8.其他需要说明的情形参考图说明：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其他需要说明的情形其他说明：本外观设计产品的图形用户界面中的单一色块“X”涂覆部分属于内容画面。</t>
  </si>
  <si>
    <t>带卫星数据处理图形用户界面的显示屏幕面板</t>
  </si>
  <si>
    <t>IN202331001873A</t>
  </si>
  <si>
    <t>作为物联网设备部署的结果,正在创建大量应用程序,并且呈指数级增长。 定位技术在运动员训练系统中越来越重要,可以在不涉及人工干预和感知的情况下为物联网数据提供位置上下文。 对于大众市场本地化应用,第五代技术和最近开发的低功耗广域网现在是极好的可能性。 然而,由于使用此类物联网信号的多个错误源导致定位性能受限。 本发明检查物联网本地化系统,如审查物联网本地化系统和本地化数据来源、定位错误来源和补救措施,以及起草本地化算法和本地化性能评估。</t>
  </si>
  <si>
    <t>运动员训练系统中启用定位的物联网的定位错误缓解技术</t>
  </si>
  <si>
    <t>CN116052274A</t>
  </si>
  <si>
    <t>本发明提供一种篮球上篮的测试方法、装置、设备和介质，基于计算机视觉技术使用AI深度学习算法对上篮过程的多个环节进行判断，包括抢跑测试、人或球出界测试、运球路线行进测试、返点指定区域进入测试以及进球测试，只需采用低成本、低功耗、高算力的边缘智能化设备和两个消费品级2D摄像头，结合AI深度学习中的目标检测算法、人体关节点检测算法，实现了篮球上篮运动项目的实时精确测量。且由于同时保存全程视频，便于后续的回话和动作分析，例如可以实时播报出测试人员的篮球上篮成绩，计时成绩精度达到了体育考试级别的要求。</t>
  </si>
  <si>
    <t>一种篮球上篮的测试方法、装置、设备和介质</t>
  </si>
  <si>
    <t>CN116437114A</t>
  </si>
  <si>
    <t>本发明实施例涉及自然语言处理技术领域，公开了一种直播字幕转写方法，该方法包括：对当前直播视频画面进行场景识别确定场景类别；场景类别为演播室场景时，通过第一数据特征输入演播场景字幕转写模型中，得到转写后的字幕文本；第一数据特征包括当前直播视频画面中当前发言人的音频特征、口型视频特征、文本特征及知识图谱特征；场景类别为比赛场景时，将第二数据特征输入比赛场景字幕转写模型，得到转写后的字幕文本；第二数据特征包括当前直播视频画面中当前发言人的音频特征、文本特征和知识图谱特征；将转写后的字幕文本以字幕的形式显示在当前直播视频画面中。通过上述方式，本发明实施例实现了有效提高实时字幕转写的准确率的效果。</t>
  </si>
  <si>
    <t>直播字幕转写方法、装置、设备及计算机可读存储介质</t>
  </si>
  <si>
    <t>CN219301668U</t>
  </si>
  <si>
    <t>本实用新型公开了一种多功能人机交互测试仪，包括工作台、支撑柱、控制处理模块、风扇和触摸控制屏，所述工作台的顶端一侧外表面设置有控制处理模块，所述工作台的顶端另一侧设置有触摸控制屏，所述工作台靠近触摸控制屏的顶端一侧外表面转动安装设置有限位齿牙盘。该多功能人机交互测试仪，该测试仪中的触摸控制屏，在实际使用的过程中通过限位齿牙盘、固定块、限位杆、辅助拉手、定位块、复位弹簧和抵触齿块的设置，从而使得整体在进行角度转动时，只需将一侧的辅助拉手拉动，使得抵触齿块与限位齿牙盘脱离即可进行转动，之后通过复位弹簧回弹进行自动复位抵触，整体操作简单使用方便，整体的稳定性高。</t>
  </si>
  <si>
    <t>一种多功能人机交互测试仪</t>
  </si>
  <si>
    <t>CN308141461S</t>
  </si>
  <si>
    <t>1.本外观设计产品的名称：显示屏幕面板的语音助理管理图形用户界面。2.本外观设计产品的用途：用于交互和显示。3.本外观设计产品的设计要点：在于图形用户界面。4.最能表明设计要点的图片或照片：界面变化状态图1。5.其他视图无设计要点，省略其他视图。6.图形用户界面的用途：用于例如在驾驶状态下通过此类语音助理无需频繁切换视角实现唤醒、聆听、处理、播报的语音交互。7.图形用户界面的人机交互方式：主视图为带有语音助理管理功能的主界面，在此界面用户通过语音、点击主视图中的APP或点击按键等方式唤醒语音助理，跳转至界面变化状态图1展示的语音唤醒界面，在语音唤醒界面下，语音球为聆听态，聆听状态下，语音球输入框中的提示语（例如：说点什么吧）引导用户发出指令，当用户说出指令，则跳转至界面变化状态图2展示的语音聆听界面，在语音聆听界面下，语音球在接收用户说出的指令的过程中为聆听态，语音完毕后，自动跳转至界面变化状态图3展示的语音处理界面，在语音处理界面下，语音球为处理态，处理状态下，语音球输入框中的提示语来展示用户处理需求，用户语音处理完毕后，自动跳转至界面变化状态图4展示带有卡片展示区的处理结果界面；上述界面中语音球处于聆听状态或处理状态时的动态效果的振幅根据语音的音量高低变化，若无语音输入则语音球的振幅无大小变化，语音球输入框中的引导语根据实际使用而变化；上述所有界面中的有关填充的单一色块均表示为可变化的内容画面显示区域，界面中的“X”均表示为可变化的字符或文字内容。8.显示用的载体设备为现有设计，该显示屏幕面板可以应用于计算机、笔记本电脑、平板电脑、手机、智能手机、智能手环、智能眼镜、手表、智能手表、健身监视器、头戴式耳机、个人数字助理机、智能音箱、电视、监视器、机顶盒、导航仪。</t>
  </si>
  <si>
    <t>显示屏幕面板的语音助理管理图形用户界面</t>
  </si>
  <si>
    <t>CN116128756B</t>
  </si>
  <si>
    <t>本发明提供了一种体育运动视频去除拖影的方法及装置、存储介质、设备，该方法包括：对待去除拖影视频中的图像帧进行切片；利用预设的对抗神经网络模型对切片子图像对应的数据变换的数据进行不同采样倍数的多次下采样，生成多个不同尺度的特征；将多个不同尺度的特征分别上采样到切片子图像的1/n大小的特征图像，并将上采样后得到的多个不同尺度的特征图像拼接为包含多个尺度的整体特征信息的目标图像;对目标图像进行多次上采样，生成与多张切片子图像大小一致的去除拖影的多张切片子图像；根据去除拖影的多张切片子图像拼接合成去除拖影后的图像帧。本发明通过去除拖影，修复图像质量，来提升对抗神经网络模型的预测精度。</t>
  </si>
  <si>
    <t>体育运动视频去除拖影的方法及装置、存储介质、设备</t>
  </si>
  <si>
    <t>CN116248906A</t>
  </si>
  <si>
    <t>本发明实施例涉及音视频技术领域，公开了一种体育直播字幕方法、装置及设备，该方法包括：将从直播流中提取的待转写音频实时进行文本转写，得到第一文本；所述第一文本中包括字幕时间戳；对所述第一文本进行纠错，得到第二文本；所述对所述第一文本进行纠错，包括根据预设的图谱热词对所述第一文本进行纠错；所述预设的图谱热词为根据预设的知识图谱及所述直播流对应的直播信息确定；据所述第二文本生成带有字幕时间戳的第一字幕；根据所述字幕时间戳将所述第一字幕添加至所述直播流中。通过上述方式，本发明实施例通过预设的图谱热词，使最后得到的直播字幕在垂直场景下准确率有效提高，提高用户的观看体验。</t>
  </si>
  <si>
    <t>直播字幕添加方法、装置及设备</t>
  </si>
  <si>
    <t>KR1020230105668A</t>
  </si>
  <si>
    <t>本发明的目的是通过机器学习,通过颜色和亮度的差异成像,提供比机器合同保障信息提供最优保障的保险产品,以便投保人能够快速、准确地识别他们需要的保险产品。一种用于提供有保证的健身的装置和方法。 为此,本发明可以通过保险公司数据集提取每个渠道的机器合同担保细节来构建模型集成过程,并通过模型集成过程进行机器学习学习以进行比较分析。</t>
  </si>
  <si>
    <t>提供保险范围的装置和方法</t>
  </si>
  <si>
    <t>CN308090291S</t>
  </si>
  <si>
    <t>1.本外观设计产品的名称：显示屏幕面板的工作面远程监控图形用户界面。2.本外观设计产品的用途：用于运行程序、信息显示、人机交互。3.本外观设计产品的设计要点：在于屏幕中的图形用户界面。4.最能表明设计要点的图片或照片：主视图。5.图形用户界面的用途：主视图为远程监控工作面设备实时状态的界面，用户可根据界面提示进行相关操作。6.其他说明：本显示屏幕面板应用于网络型控制器、计算机、笔记本电脑、平板电脑、手机、智能手表、智能手环、健身监视器、头戴式耳机、个人数字助理（PDA）、智能音箱、电视、机顶盒、投影仪、游戏机或导航仪、车辆。</t>
  </si>
  <si>
    <t>显示屏幕面板的工作面远程监控图形用户界面</t>
  </si>
  <si>
    <t>CN308090290S</t>
  </si>
  <si>
    <t>1.本外观设计产品的名称：显示屏幕面板的采煤机监控和控制图形用户界面。2.本外观设计产品的用途：用于运行程序、信息显示、人机交互。3.本外观设计产品的设计要点：在于屏幕中的图形用户界面。4.最能表明设计要点的图片或照片：主视图。5.图形用户界面的用途：主视图为远程监控采煤机实时状态与控制采煤机实时采煤的界面，用户可根据界面提示进行相关操作。6.其他说明：本显示屏幕面板应用于网络型控制器、计算机、笔记本电脑、平板电脑、手机、智能手表、智能手环、健身监视器、头戴式耳机、个人数字助理（PDA）、智能音箱、电视、机顶盒、投影仪、游戏机或导航仪、车辆。</t>
  </si>
  <si>
    <t>显示屏幕面板的采煤机监控和控制图形用户界面</t>
  </si>
  <si>
    <t>CN308090295S</t>
  </si>
  <si>
    <t>1.本外观设计产品的名称：显示屏幕面板的滚筒控制图形用户界面。2.本外观设计产品的用途：用于运行程序、信息显示、人机交互。3.本外观设计产品的设计要点：在于屏幕中图形用户界面的界面内容。4.最能表明设计要点的图片或照片：主视图。5.图形用户界面的用途：主视图为滚筒高度指针展示界面，用户可根据界面提示进行操作。6.其他说明：本显示屏幕面板应用于计算机、笔记本电脑、平板电脑、手机、智能手表、智能手环、健身监视器、头戴式耳机、个人数字助理（PDA）、智能音箱、电视、机顶盒、投影仪、游戏机或导航仪、车辆。</t>
  </si>
  <si>
    <t>显示屏幕面板的滚筒控制图形用户界面</t>
  </si>
  <si>
    <t>CN308096064S</t>
  </si>
  <si>
    <t>1.本外观设计产品的名称：显示屏幕面板的截割模板设置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截割模板设置。设计1主视图为截割模板单架调整界面，设计2主视图为截割模板坑包数据调整界面，设计3主视图为截割模板多架调整界面，用户可根据界面提示进行操作。7.其他说明：本显示屏幕面板应用于计算机、笔记本电脑、平板电脑、手机、智能手表、智能手环、健身监视器、头戴式耳机、个人数字助理（PDA）、智能音箱、电视、机顶盒、投影仪、游戏机或导航仪、车辆。</t>
  </si>
  <si>
    <t>显示屏幕面板的截割模板设置图形用户界面</t>
  </si>
  <si>
    <t>CN308096063S</t>
  </si>
  <si>
    <t>1.本外观设计产品的名称：显示屏幕面板的工作面综采设备控制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集中控制工作面综采设备。;设计1主视图为自动化触屏集控的闭锁界面，设计2主视图为自动化触屏集控界面，设计3主视图为带键盘输入的自动化触屏集控界面，设计4主视图为自动化触屏集控界面，设计5主视图为触控按钮居中显示的自动化触屏集控界面，用户可根据界面提示进行相关操作。;设计6主视图为自动化触屏集控的闭锁界面，用户在界面顶部滑动可解锁，如设计6界面变化状态图所示。;设计7主视图为自动化触屏集控界面，用户点击界面左侧视频区的数字输入区域，界面出现键盘弹窗，如设计7界面变化状态图所示。;7.其他说明：本显示屏幕面板应用于计算机、笔记本电脑、平板电脑、手机、智能手表、智能手环、健身监视器、头戴式耳机、个人数字助理（PDA）、智能音箱、电视、机顶盒、投影仪、游戏机或导航仪、车辆。;1.本外观设计产品的名称：显示屏幕面板的工作面综采设备控制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集中控制工作面综采设备。;设计1主视图为自动化触屏集控的闭锁界面，设计2主视图为自动化触屏集控界面，设计3主视图为带键盘输入的自动化触屏集控界面，设计4主视图为自动化触屏集控界面，设计5主视图为触控按钮居中显示的自动化触屏集控界面，用户可根据界面提示进行相关操作。;设计6主视图为自动化触屏集控的闭锁界面，用户在界面顶部滑动可解锁，如设计6界面变化状态图所示。;设计7主视图为自动化触屏集控界面，用户点击界面左侧视频区的数字输入区域，界面出现键盘弹窗，如设计7界面变化状态图所示。;7.其他说明：本显示屏幕面板应用于计算机、笔记本电脑、平板电脑、手机、智能手表、智能手环、健身监视器、头戴式耳机、个人数字助理（PDA）、智能音箱、电视、机顶盒、投影仪、游戏机或导航仪、车辆。</t>
  </si>
  <si>
    <t>显示屏幕面板的工作面综采设备控制图形用户界面</t>
  </si>
  <si>
    <t>CN308124222S</t>
  </si>
  <si>
    <t>1.本外观设计产品的名称：显示屏幕面板的规划模板设置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规划模板设置。;设计1主视图为截割模板查看编辑界面，设计2主视图为工作面写实数据录入界面，设计3主视图为工作面写实数据效果展示界面，用户可根据界面提示进行操作。;7.其他说明：本显示屏幕面板应用于计算机、笔记本电脑、平板电脑、手机、智能手表、智能手环、健身监视器、头戴式耳机、个人数字助理（PDA）、智能音箱、电视、机顶盒、投影仪、游戏机或导航仪、车辆。;1.本外观设计产品的名称：显示屏幕面板的规划模板设置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规划模板设置。;设计1主视图为截割模板查看编辑界面，设计2主视图为工作面写实数据录入界面，设计3主视图为工作面写实数据效果展示界面，用户可根据界面提示进行操作。;7.其他说明：本显示屏幕面板应用于计算机、笔记本电脑、平板电脑、手机、智能手表、智能手环、健身监视器、头戴式耳机、个人数字助理（PDA）、智能音箱、电视、机顶盒、投影仪、游戏机或导航仪、车辆。</t>
  </si>
  <si>
    <t>显示屏幕面板的规划模板设置图形用户界面</t>
  </si>
  <si>
    <t>CN308124221S</t>
  </si>
  <si>
    <t>1.本外观设计产品的名称：显示屏幕面板的支架监控和控制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支架的监控和控制。;设计1主视图为远程监控支架实时状态与控制支架实时动作的界面，设计2主视图为远程监控全部支架实时动作状态的界面，设计3主视图为远程监控全部支架实时护帮板、故障等状态的界面，设计4主视图为远程监控全部支架实时压力状态的界面，用户可根据界面提示进行相关操作。;7.其他说明：本显示屏幕面板应用于网络型控制器、计算机、笔记本电脑、平板电脑、手机、智能手表、智能手环、健身监视器、头戴式耳机、个人数字助理（PDA）、智能音箱、电视、机顶盒、投影仪、游戏机或导航仪、车辆。;1.本外观设计产品的名称：显示屏幕面板的支架监控和控制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支架的监控和控制。;设计1主视图为远程监控支架实时状态与控制支架实时动作的界面，设计2主视图为远程监控全部支架实时动作状态的界面，设计3主视图为远程监控全部支架实时护帮板、故障等状态的界面，设计4主视图为远程监控全部支架实时压力状态的界面，用户可根据界面提示进行相关操作。;7.其他说明：本显示屏幕面板应用于网络型控制器、计算机、笔记本电脑、平板电脑、手机、智能手表、智能手环、健身监视器、头戴式耳机、个人数字助理（PDA）、智能音箱、电视、机顶盒、投影仪、游戏机或导航仪、车辆。</t>
  </si>
  <si>
    <t>显示屏幕面板的支架监控和控制图形用户界面</t>
  </si>
  <si>
    <t>CN308151456S</t>
  </si>
  <si>
    <t>1.本外观设计产品的名称：显示屏幕面板的工作面远程控制图形用户界面。2.本外观设计产品的用途：用于运行程序、信息显示、人机交互。3.本外观设计产品的设计要点：在于屏幕中的图形用户界面。4.最能表明设计要点的图片或照片：主视图。5.图形用户界面的用途：主视图为远程控制工作面设备启动和停止的界面，用户可根据界面提示进行相关操作。6.其他说明：本显示屏幕面板应用于网络型控制器、计算机、笔记本电脑、平板电脑、手机、智能手表、智能手环、健身监视器、头戴式耳机、个人数字助理（PDA）、智能音箱、电视、机顶盒、投影仪、游戏机或导航仪、车辆。</t>
  </si>
  <si>
    <t>显示屏幕面板的工作面远程控制图形用户界面</t>
  </si>
  <si>
    <t>KR102538224B1</t>
  </si>
  <si>
    <t>本发明涉及一种具有无人值守功能的自助美发器,本发明的自助美发器具有信用卡或移动支付功能,并设有吹风机和熨烫装置,使用户支付在预定时间段内向美发设备供电的售货亭单元; 提供通过拍摄用户面部获得的用户图像的拍摄单元; 配备人工智能算法,通过了解用户的脸型、头发长度和当前发型,识别通过拍摄单元提供的用户图像,控制自助服务机单元的整体操作并向用户推荐发型。和控制单元向用户推荐发型。</t>
  </si>
  <si>
    <t>具有无人服务亭功能的自助美发器</t>
  </si>
  <si>
    <t>CN116259105A</t>
  </si>
  <si>
    <t>本发明涉及智能终端技术领域，特别是涉及一种运动辅助指导方法、系统及计算机终端，包括以下步骤：输入运动指导信息，并获取当下使用者的运动图像信息；判断该运动图像信息与输入运动指导信息是否为相同运动，若是，则进入下一步，若否则报错提醒；采用机器学习算法对该运动图像信息进行识别训练，获得人体运动模型；将该人体运动模型与标准动作库进行对比判断，并在产生差异值时，显示修正提示信息，本发明可根据运动者的运动，进行判断锻炼方式是否正确，无需教练指导，降低了人员和运动成本，根据运动者的运动，进行判断锻炼方式是否正确，提高锻炼的效率，指导给出了正确的发力方式。</t>
  </si>
  <si>
    <t>一种运动辅助指导方法、系统及计算机终端</t>
  </si>
  <si>
    <t>CN219514119U</t>
  </si>
  <si>
    <t>本实用新型为一种视频/比分一键切换电路，属于切换电路技术领域，包括开关电路和选择电路，开关电路的输入为物理开关KEY1，开关电路与选择电路间还包括隔离模块隔离模块的输入端连接开关电路的输出端，隔离模块的输出端连接选择电路的输入端，选择模块包括Input1口和Input2口，Input1口和Input2口分别外接有信号源，选择电路的输出端Vout口外接视频设备。选择电路外接两路信号源，分别是比赛视频和比分信息信号源，操作人员可以通个控制物理开关KEY1，物理开关被按下后，发出切换指令，开关电路经过隔离模块将指令以数字信号的形式传递至选择电路，从而选择电路可以根据物理开关的命令选择将Input1接口或Input2接口所输入的信息传递至后端外接的人机交互模块。</t>
  </si>
  <si>
    <t>一种视频/比分一键切换电路</t>
  </si>
  <si>
    <t>CN308034902S</t>
  </si>
  <si>
    <t>1.本外观设计产品的名称：显示屏幕面板的运动数据监测的图形用户界面。2.本外观设计产品的用途：本外观设计产品用于显示界面，该显示屏幕面板用于手机、平板电脑、笔记本电脑、台式电脑、智能手表、智能手环、智能相机、健身监视器。3.本外观设计产品的设计要点：在于屏幕中图形用户界面的内容。4.最能表明设计要点的图片或照片：主视图。5.无设计要点，省略后视图、左视图、右视图、俯视图、仰视图。6.图形用户界面的用途：用于记录监测用户相关运动数据、辅助训练以及创建训练计划的图形用户界面。7.图形用户界面的人机交互方式：主视图为产品的首页；向上滑动主视图屏幕，可展示其余界面内容，得到界面变化状态图1；点击界面变化状态图1“编辑卡片”，可对首页的卡片进行编辑，主视图变为界面变化状态图2状态；点击主视图顶部A区域卡片，得到界面变化状态图3；点击界面变化状态图3的“锻炼时间”“步数”，可分别得到界面变化状态图4‑界面变化状态图5；点击主视图“本周计划”所在卡片区域，得到界面变化状态图6；点击界面变化状态图6右上角“…”，得到界面变化状态图7；点击界面变化状态图6下方“添加”，得到界面变化状态图8；点击主视图“本周负荷”所在的卡片区域，得到界面变化状态图9；点击界面变化状态图9右上角下拉箭头，得到界面变化状态图10；分别点击界面变化状态图10“月”“年”，可得到界面变化状态图11‑界面变化状态图12；点击界面变化状态图11“体能状态”右侧下拉箭头，得到界面变化状态图13；点击主视图“实时体力”所在的卡片区域，得到界面变化状态图14；点击界面变化状态图14右上角下拉箭头，得到界面变化状态图15；点击界面变化状态图15“30天”，得到界面变化状态图16；点击主视图“跑步能力”所在的卡片区域，得到界面变化状态图17；向上滑动界面变化状态图17屏幕，可展示其余界面内容，得到界面变化状态图18；点击界面变化状态图17的“跑步能力”，得到界面变化状态图19；点击界面变化状态图17的“基础指标”，得到界面变化状态图20；点击界面变化状态图20“乳酸阀配速”“乳酸阀心率”，可分别得到界面变化状态图21‑界面变化状态图22；点击界面变化状态图17的“能力分析”，得到界面变化状态图23；点击界面变化状态图23“乳酸阀能力”“无氧耐力”“无氧能力”，得到界面变化状态图24‑界面变化状态图26；点击界面变化状态图18的“编辑”，得到界面变化状态27；点击界面变化状态27“10km”所在的区域，得到界面变化状态图28，可进行该项目修改；点击主视图“心率”所在的卡片区域，得到界面变化状态图29；点击界面变化状态图29右上角下拉箭头，得到界面变化状态图30；点击界面变化状态图30“周”“月”“年”，可分别得到界面变化状态图31‑界面变化状态图33；点击主视图“睡眠”所在的卡片区域，得到界面变化状态图34；点击界面变化状态图34右上角下拉箭头，得到界面变化状态图35；点击界面变化状态图35“周”“月”“年”，可分别得到界面变化状态图36‑界面变化状态图38；点击主视图“HRV”所在的卡片区域，得到界面变化状态图39；点击界面变化状态图39右上角下拉箭头，得到界面变化状态图40；点击界面变化状态图40“7天”“30天”“年”，可分别得到界面变化状态图41‑界面变化状态图43；点击主视图“体型管理”所在的卡片区域，得到界面变化状态图44；点击界面变化状态图44顶部“体重”，得到界面变化状态图45。</t>
  </si>
  <si>
    <t>显示屏幕面板的运动数据监测的图形用户界面</t>
  </si>
  <si>
    <t>CN115869602A</t>
  </si>
  <si>
    <t>本发明公开了一种基于物联网技术的智能羽毛球，包括软木安装座，所述软木安装座的内部贯穿安装有保护壳，所述保护壳的顶部通过螺丝体安装有拆卸盖，所述拆卸盖的底部安装有安装壳，所述安装壳的内部设置有小型电池，所述保护壳的底部内壁上设置有基板，所述基板的顶部设置有物联网芯片，所述基板的顶部设置有陀螺仪芯片。本发明通过在羽毛球中置入陀螺仪芯片、物联网芯片与小型电池，在羽毛球击球时通过陀螺仪芯片获取当前羽毛球的姿态、加速度等相关运动数据，对羽毛球空中姿态的监控，通过算法可以分析计算击球力度，落球点等数据，可用于专业的羽毛球训练，使该羽毛球更加智能化，为羽毛球的训练提供方便。</t>
  </si>
  <si>
    <t>一种基于物联网技术的智能羽毛球及其使用方法</t>
  </si>
  <si>
    <t>CN116016983A</t>
  </si>
  <si>
    <t>本公开提供了一种比赛画面的识别方法、装置、设备以及存储介质，涉及人工智能技术领域，具体涉及深度学习和计算机视觉技术。该方法包括：响应于确定用户将直播视频切换至后台，实时获取直播视频；利用画面识别模型对直播视频中的直播画面进行识别，确定直播画面是否为比赛画面；响应于确定直播画面为比赛画面，生成并显示提醒弹窗，以提醒用户继续观看直播视频。本公开提供的比赛画面的识别方法实现了对直播画面是否为比赛画面的实时检测判断，从而在比赛恢复后能够及时提醒用户继续观看比赛直播。</t>
  </si>
  <si>
    <t>比赛画面的识别方法、装置、设备以及存储介质</t>
  </si>
  <si>
    <t>CN116129521A</t>
  </si>
  <si>
    <t>本申请公开了一种智能视觉体育评测系统及方法。本系统中通过设置在操场的每个运动项目区域处的视频采集装置采集每个运动项目区域中的运动视频数据；传输设备获取每个运动项目区域中的运动视频数据；对于每个运动项目，利用其对应的AI算法模型对该运动区域所获取的运动视频数据进行分析，得到运动分析结果；根据得到的运动分析结果在各个终端进行展示；根据运动分析结果生成学生体质健康报告。本申请能够通过物联网摄像头与人工智能运动视觉算法，实现体育科学化训练、个性化教学、规模化测试。</t>
  </si>
  <si>
    <t>一种智能视觉体育评测系统及方法</t>
  </si>
  <si>
    <t>CN116882533A</t>
  </si>
  <si>
    <t>本发明涉及一种基于遗传算法的背越式跳高技术优化方法和系统。该方法包括：从助跑阶段、踏跳阶段以及越杆阶段三个阶段进行分析，构建背越式跳高的特征指标；利用构建的背越式跳高的特征指标，以最大化最终跳高成绩为目标，构建背越式跳高技术动作优化模型；根据构建的构建背越式跳高技术动作优化模型，使用遗传算法获取最优解，得到跳高者的最优技术组合和能够达成的最优跳高成绩。本发明能够实现基于跳高训练和比赛数据的背越式跳高技术特征提取、跳高技术动作优化建模和最优技术组合求解，为科学提高运动员的跳高成绩提供有益参考。</t>
  </si>
  <si>
    <t>一种基于遗传算法的背越式跳高技术优化方法和系统</t>
  </si>
  <si>
    <t>IN202241076463A</t>
  </si>
  <si>
    <t>本发明涉及一种板球保龄球训练装置,包括一个可伸缩操作的倒U形框架1,该框架1开发用于建立在板球场上并附有多个吸盘2以固定在地面上以提供稳定性,基于人工智能的成像 安装在进行保龄球训练时用于捕获和检测用户身高的单元3,安装在框架1上的触摸交互式显示面板4,用于接收用户关于吹球类型和投球类型的输入,安装在框架上的全息投影单元6 图1用于根据用户指定类型的保龄球投射描绘正确保龄球轨迹的一系列全息光,并且安装在框架1上的速度传感器检测用户投掷的球的速度。</t>
  </si>
  <si>
    <t>板球保龄球训练器</t>
  </si>
  <si>
    <t>IN202241076043A</t>
  </si>
  <si>
    <t>摘要 使用无人机使救生员的工作自动化 使用无人机使救生员的工作自动化具有许多优势,例如能够更有效地覆盖更大的区域并快速响应紧急情况。 当物联网控制单元给出一个估计位置时,它可以快速到达该位置,并且由于无人机配备了传感器和摄像头来检测和监控游泳者,它们可以放下个人漂浮设备 (PFD) 来救人,直到 帮助到达。 通过使用无线充电系统处于半活动状态,无人机可以随时准备运行。 图。1。</t>
  </si>
  <si>
    <t>使用无人机使救生员的工作自动化</t>
  </si>
  <si>
    <t>CN115814361A</t>
  </si>
  <si>
    <t>本发明公开了一种智能健身动作检测和指导方法，包括以下步骤：接受用户输入的个人相关信息和用户选择的训练视频信息；获取不同位置像素点的深度值和幅度值，形成用户数据；进行数据清洗、数据筛选和标准化处理，形成预处理的数据集，对数据集采用基于计算机视觉的处理方法进行用户动作三维重建，构建出用户运动区域的三维空间；按照人体关键关节点进行识别和划分，标记出用户的运动动作；选择对应的预设用户动作模型，将用户的运动动作与预设用户动作模型进行比对，最后将判定结果输出。本发明还公开一种智能健身动作检测和指导系统。本发明提供的一种智能健身动作检测和指导方法以及系统，无需无专业教练指导，成本较低，能够保障用户健身动作规范性和安全性。</t>
  </si>
  <si>
    <t>一种智能健身动作检测和指导方法以及系统</t>
  </si>
  <si>
    <t>TR202220767A2</t>
  </si>
  <si>
    <t>该发明包括一个基于情感的认知社交机器人开发项目,人们可以在家里作为数字助理和虚拟朋友/宠物进行互动。 工作环境被视为室内空间。 此外,其目标是开发一种量子认知模型,使机器人能够表现出自主行为。 在本发明中,提出了一种计算结构,其包括用于部分可观察域的受人脑启发的架构,包括基于长期短期记忆(LTSM)的深度强化学习。 作为本发明的新颖之处,这种综合计算结构由量子计算操作提供动力,以证明与经典方法相比学习速度和鲁棒性的优越性。 量子计算算法使用叠加和量子纠缠等量子力学公理,在 IBM 量子计算机基础设施提供的基于云的环境中实现。 另一个主要贡献是所提出的架构提供了一些功能,例如元认知和态势感知。 通过这种方式,他们将能够执行情绪反应(模仿)、性格模拟和基于内容的逻辑对话(议程、艺术、技术/科学、历史、体育、幽默)的任务。 除此之外,地图/导航、舞蹈/动画、呼叫注释、提醒、闹钟设置、货币/公制转换、计算器、预订、基于互联网的信息(时间/日期、位置/导航、天气、新闻、金融)、运动等)、拍照、图像/录音、物体/人脸识别、语音识别、异常检测、视频对话。 此外,借助机器人的手和手臂,可以握住/抓取物体、使用简单的工具、携带/承担任务并执行基本服务(清洁(除尘/吸尘)、洗涤、使用洗碗机等)在家里等封闭的地方可能需要。</t>
  </si>
  <si>
    <t>基于量子计算的认知行动充当数字家庭服务助手 
  社交机器人设计</t>
  </si>
  <si>
    <t>IN202211075545A</t>
  </si>
  <si>
    <t>本发明提供了一种基于人工智能的健身解决方案显示装置和方法,考虑了此类问题并适应用户的身体状态和预期运动。 该创新使用AI(人工智能)技术匹配电影,然后显示适合用户的电影。 身体信息采集单元采集用户体内水分、蛋白质、无机物、体脂、体重、骨骼肌量、脂肪、肥胖、体脂率、部位肌肉和体脂等数据。 公平公正的精神转折点,关于运动历史和强度的信息现在与运动类型一起输入,并且关于基础疾病和过敏反应的详细信息包括在用户诊断信息收集单元中。 最近,已经输入了锻炼的历史和强度以及用户偏好的运动类型。 用户输入有关主要疾病、任何已经发生的过敏反应以及他们应该避免或不吃的任何食物的详细信息。</t>
  </si>
  <si>
    <t>ai(人工智能)驱动的健身解决方案展示装置和方法</t>
  </si>
  <si>
    <t>CN116189851A</t>
  </si>
  <si>
    <t>本发明涉及一种基于自然语言处理的运动员心理咨询服务系统及方法，属于运动心理与人工智能应用技术领域。本发明利用自然语言处理中正则表达式匹配与替换方法对文本进行替换，实现对运动员求询者实时的情绪化对话反馈，能够引导来访者倾诉，完成心理咨询初阶段的信息收集。通过基于概率的文本分类方法，结合心理学问题语料库，对咨询初阶段收集的信息进行分类，将运动员求询者所描述的心理问题进行专业、可靠的分类。针对不同心理问题类别，通过心理学标准化聊天过程实施心理干预，以专业化的心理学咨询方式为运动员求询者的提供心理援助和心理支持。本发明对维护运动员备战及参赛期间的心理健康，提升竞技运动表现具有重要意义。</t>
  </si>
  <si>
    <t>一种基于自然语言处理的运动员心理咨询服务系统及方法</t>
  </si>
  <si>
    <t>CN308078612S</t>
  </si>
  <si>
    <t>1.本外观设计产品的名称：带财务权限配置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企业财务权限配置、管理与展示信息的用途。;7.图形用户界面的人机交互方式：主视图显示的图形用户界面为打开程序的起始界面；点击主视图最右侧上方的“+新增账户查看权限配置”按钮弹出界面变化状态图1；点击界面变化状态图1弹窗中央的“可选择员工、部门、角色、职级”按钮进入界面变化状态图2；在界面变化状态图2弹窗右上方姓名左侧下方方框任意勾选3个并点击确定按钮进入界面变化状态图3；点击主视图最右侧“操作”下方的第1个“编辑”按钮弹出界面变化状态图4；点击主视图中央上方的“账户使用权限配置”按钮进入界面变化状态图5；点击界面变化状态图5最右侧上方的“+新增账户使用权限配置”按钮弹出界面变化状态图6；在界面变化状态图6弹窗中依次勾选“机票、火车票、企业购、保险、团购”左侧的方框按钮得到界面变化状态图7；点击界面变化状态图5最右侧“操作”下方的第1个“编辑”按钮弹出界面变化状态图8。;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财务权限配置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企业财务权限配置、管理与展示信息的用途。;7.图形用户界面的人机交互方式：主视图显示的图形用户界面为打开程序的起始界面；点击主视图最右侧上方的“+新增账户查看权限配置”按钮弹出界面变化状态图1；点击界面变化状态图1弹窗中央的“可选择员工、部门、角色、职级”按钮进入界面变化状态图2；在界面变化状态图2弹窗右上方姓名左侧下方方框任意勾选3个并点击确定按钮进入界面变化状态图3；点击主视图最右侧“操作”下方的第1个“编辑”按钮弹出界面变化状态图4；点击主视图中央上方的“账户使用权限配置”按钮进入界面变化状态图5；点击界面变化状态图5最右侧上方的“+新增账户使用权限配置”按钮弹出界面变化状态图6；在界面变化状态图6弹窗中依次勾选“机票、火车票、企业购、保险、团购”左侧的方框按钮得到界面变化状态图7；点击界面变化状态图5最右侧“操作”下方的第1个“编辑”按钮弹出界面变化状态图8。;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</si>
  <si>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带财务权限配置图形用户界面的显示屏幕面板</t>
  </si>
  <si>
    <t>IN202211074750A</t>
  </si>
  <si>
    <t>本发明涉及用于智能城市基础设施平台的智能定制公民身份管理系统的物联网和区块链集成框架。智能城市以可承受的成本向其公民提供一线城市的所有设施。 智慧城市拥有高质量的医疗服务、高质量的儿童教育、国家或国际水平的基础设施、顺畅的银行服务、当地制造单位生产成本可承受的制造产品、按时提供高质量的供水、高互联网连接、体育学院 、清洁的公园和道路、高效的排水系统、清洁和绿色的能源、无污染的城市等。因此,基于物联网的基于区块链的技术可以用于实时、随时随地的公民身份识别。 IoT 网络提供数据共享,因此可以随时随地轻松识别人员。识别设备还可以在几分钟内使用激光或 RTPCR 检测任何疾病病原体。</t>
  </si>
  <si>
    <t>面向智慧城市基础设施平台的智能定制公民身份管理系统的物联网和区块链集成框架</t>
  </si>
  <si>
    <t>CN116228477A</t>
  </si>
  <si>
    <t>本发明公开了体育考试领域的基于物联网的体育监测考试系统，包括主控中心、信息录入单元、监测单元和辅助单元，信息录入单元包括个人信息录入模块和成绩录入模块，监测单元包括设备管理模块和成绩核验模块，辅助单元包括通信模块和验证模块，个人信息录入模块配置为考生信息录入系统，通过个人信息录入模块将考生的个人信息进行录入，成绩录入模块配置为考生成绩录入系统，设备管理模块配置为智能体育考核设备管理模块，设备管理模块通过通信模块与体育考核设备建立信号连接。本发明的有益效果是：可通过物联网技术对体育监测考试过程进行实时监控，可有效去除体育考试中的人为因素影响，提高考试的严谨性和准确性。</t>
  </si>
  <si>
    <t>基于物联网的体育监测考试系统</t>
  </si>
  <si>
    <t>US20230201667A1</t>
  </si>
  <si>
    <t>提供了一种人工智能(AI)锻炼指导装置,包括被配置为估计PMW的个人最大体重(PMW)估计器 estimation 根据基于用户数据计算的估计肌肉力量值,以及被配置为提供 PMW 的 PMW 引导器,确定用户要使用的健身器材的数量 individual 通过补充 PMW 来用于健身器材 estimation 具有用户的个人客观化指数。</t>
  </si>
  <si>
    <t>人工智能锻炼指导装置及方法</t>
  </si>
  <si>
    <t>CN115880777A</t>
  </si>
  <si>
    <t>本发明公开了一种基于AI技术的智慧体育监测方法，涉及AI技术领域，解决了体育动作数据的规范性分析处理的技术问题；通过获取若干个用户在进行运动时的体态参数；将体态参数作为输入数据，基于输入数据和对应的动作标签整合生成标准训练组；通过标准训练组对人工智能模型进行训练，获取运动监测模型；采集用户在运动过程中体态参数，将体态参数整合生成原始数据；获取运动监测模型，将原始数据输入至运动监测模型中，获取动作标签；对动作标签进行识别，当用户的动作处于非标准状态时，控制用户的智能穿戴设备进行语音提醒，同时发送预警信号以及用户对应的体态参数至关联的负责人；实现了科学合理的分析用户在运动过程中所做的各项动作状态。</t>
  </si>
  <si>
    <t>一种基于AI技术的智慧体育监测方法</t>
  </si>
  <si>
    <t>CN308049005S</t>
  </si>
  <si>
    <t>1.本外观设计产品的名称：显示屏幕面板的车辆乘客服务管理图形用户界面。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6.图形用户界面的用途：用于乘坐列车时在显示屏上展示车辆运行及乘客服务信息。
 7.图形用户界面的人机交互方式：主视图为列车运行的显示屏提示信息界面，界面包含车辆运行信息、车站基础设施信息。
 8.显示用的载体设备为现有设计，该显示屏幕面板可以应用于计算机、笔记本电脑、平板电脑、手机、智能手机、智能手环、智能眼镜、手表、智能手表、健身监视器、头戴式耳机、个人数字助理、智能音箱、电视、监视器、机顶盒、导航仪、车辆的显示装置。</t>
  </si>
  <si>
    <t>显示屏幕面板的车辆乘客服务管理图形用户界面</t>
  </si>
  <si>
    <t>CN116228789A</t>
  </si>
  <si>
    <t>本发明公开一种基于DeepLabv3+网络的遥感图像分割方法，包括：从卫星影像的AI分类与识别比赛中下载出遥感图像数据集；对下载的遥感图像进行预处理；在DeepLabv3+网络结构的基础上，添加注意力模块，所述注意力模块包括位置注意力模块和通道注意力模块；在PyTorch深度学习框架中设置训练参数；将得到的数据集输入到设计好的DeepLabv3+深度学习网络结构中，并在深度学习框架中进行训练，得到最终的改进DeepLabv3+网络结构模型；将待分割遥感图像输入到最终的网络结构模型中，得到遥感图像分割结果。本发明的分割精度更高，对于多尺度目标和边缘特征提取效果明显。</t>
  </si>
  <si>
    <t>一种基于DeepLabv3+网络的遥感图像分割方法</t>
  </si>
  <si>
    <t>CN308084225S</t>
  </si>
  <si>
    <t>1.本外观设计产品的名称：显示屏幕面板的视频信息展示图形用户界面。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6.图形用户界面的用途：本图形用户界面用于展示视频信息。
 7．图形用户界面的人机交互方式：设计1至设计4主视图的图形用户界面为视频信息展示的界面，用户可以点击界面下部的横向排布的方框添加或查看视频。
 各设计界面中的灰色色块为可替换的图片或视频。
 各设计界面中的叉号代表文字和/或数字和/或字母和/或符号。
 8．该图形用户界面可用于手机、计算机、平板电脑、电视、车载中控屏幕、车载导航仪、车载显示屏、游戏机、导航仪、多媒体一体机、智能音箱、带显示屏幕的智能健身镜、带显示屏幕的健身监视器、带显示屏幕的冰箱、带显示屏幕的空调、带显示屏幕的料理机、带显示屏幕的机器人、智能手环、智能手表、智能眼镜、智能耳机、智能台灯、带显示屏幕的门禁、广告显示屏、自动售卖机、带显示屏幕的按摩器、带显示屏幕的康复护理仪。
 9．显示屏幕面板为惯常设计，省略各项设计的后视图、左视图、右视图、俯视图、仰视图。</t>
  </si>
  <si>
    <t>显示屏幕面板的视频信息展示图形用户界面</t>
  </si>
  <si>
    <t>CN308167723S</t>
  </si>
  <si>
    <t>1.本外观设计产品的名称：显示屏幕面板的列车运行查询管理图形用户界面。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6.图形用户界面的用途：用于列车运行过程中显示屏上播放的车站三维图、站点出口引导、本地美食、本地景点、总线网图的查询管理。
 7.图形用户界面的人机交互方式：主视图为列车运行过程中的美食展示界面，点击主视图缩略图标右侧的大图标，跳转至界面变化状态图1；点击主视图中的“xx市景点”按钮，跳转至界面变化状态图2；点击界面变化状态图2缩略图标右侧的大图标，跳转至界面变化状态图3；点击界面变化状态图3中的“站点三维”按钮，跳转至界面变化状态图4；点击界面变化状态图4中的“站点周边”按钮，跳转至界面变化状态图5；点击界面变化状态图5中的“地铁线网”按钮，跳转至界面变化状态图6；当通过列车硬件操作切换为货运车厢界面时，由主视图切换至界面变化状态图7；点击界面变化状态图7中的“站点三维”按钮，跳转至界面变化状态图8。
 8.显示用的载体设备为现有设计，该显示屏幕面板可以应用于计算机、笔记本电脑、平板电脑、手机、智能手机、智能手环、智能眼镜、手表、智能手表、健身监视器、头戴式耳机、个人数字助理、智能音箱、电视、监视器、机顶盒、导航仪。</t>
  </si>
  <si>
    <t>显示屏幕面板的列车运行查询管理图形用户界面</t>
  </si>
  <si>
    <t>CN308049003S</t>
  </si>
  <si>
    <t>1.本外观设计产品的名称：显示屏幕面板的列车运行控制管理图形用户界面。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6.图形用户界面的用途：用于列车运行过程中对列车中的设备、信息显示、参数设定、功能测试、数据存储等的控制管理。
 7.图形用户界面的人机交互方式：主视图为列车运行的主界面；列车运行至道岔路段时，页面跳转至界面变化状态图1；列车运行至障碍物路段时，跳转至界面变化状态图2；列车运行至与前车会车时，跳转至界面变化状态图3；列车运行至站台路段时，跳转至界面变化状态图4；列车运行至进站路段时，跳转至界面变化状态图5；列车正常运行时，跳转至界面变化状态图6；点击界面变化状态图6中的“运行”菜单按钮，跳转至界面变化状态7展示的全自动报站模式的广播界面；点击界面变化状态图7中“运行”菜单下的“火灾”按钮，跳转至界面变化状态图8展示的火灾信息详情界面；点击界面变化状态图8中“运行”菜单下的“旁路”按钮，跳转至界面变化状态图9展示的旁路信息界面；点击界面变化状态图9中“运行”菜单下的“运行设定”按钮，跳转至界面变化状态图10展示的运行设定界面；点击界面变化状态图10中“运行”菜单下的“运行图”按钮，跳转至界面变化状态图11展示的运行详情界面；点击主视图中的“车辆”菜单按钮，跳转至界面变化状态图12展示的车辆牵引界面；点击界面变化状态图12中“车辆”菜单下的“制动”按钮，跳转至界面变化状态图13展示的制动详情界面；点击界面变化状态图13中“车辆”菜单下的“辅助”按钮，跳转至界面变化状态图14展示的车辆辅助详情界面；点击界面变化状态图14中“车辆”菜单下的“紧急制动”按钮，跳转至界面变化状态图15展示的车辆紧急制动详情界面；点击主视图中“网络”菜单按钮，跳转至界面变化状态图16展示的网络刷新周期界面；点击界面变化状态图16中“网络”菜单下的“生命信号”按钮，跳转至界面变化状态图17展示的网络生命信号详情界面；点击界面变化状态图17中“网络”菜单下的“IO查询”按钮，跳转至界面变化状态图18展示的查询界面；点击主视图中“空调”菜单按钮，跳转至界面变化状态图19展示的空调界面；点击主视图中“事件”菜单按钮，跳转至界面变化状态图20展示的事件界面；点击主视图中“维修”菜单按钮，跳转至界面变化状态图21展示的上电自检维修界面；点击界面变化状态图21中“维修”菜单下的“静态测试”按钮，跳转至界面变化状态图22展示的静态测试界面；点击界面变化状态图22中“维修”菜单下的“动态测试”按钮，跳转至界面变化状态图23展示的动态测试界面；点击主视图中的“设置”菜单按钮，跳转至界面变化状态图24展示的亮度调节界面；点击界面变化状态图24中“设置”菜单下的“音量”按钮，跳转至界面变化状态图25展示的音量调节界面；点击界面变化状态图25中“设置”菜单下的“洗车”按钮，跳转至界面变化状态26展示的洗车详情界面；点击主视图中的“帮助”菜单按钮，跳转至界面变化状态图27展示的帮助界面。
 8.显示用的载体设备为现有设计，该显示屏幕面板可以应用于计算机、笔记本电脑、平板电脑、手机、智能手机、智能手环、智能眼镜、手表、智能手表、健身监视器、头戴式耳机、个人数字助理、智能音箱、电视、监视器、机顶盒、导航仪、车辆的显示装置。</t>
  </si>
  <si>
    <t>显示屏幕面板的列车运行控制管理图形用户界面</t>
  </si>
  <si>
    <t>EP4207212A1</t>
  </si>
  <si>
    <t>提供了一种人工智能(Al)锻炼指导装置,包括个人最大体重(PMW)估计器,被配置为基于基于用户数据计算的估计肌肉力量值来估计用户将使用的健身器材的PMWestimation,以及PMW 引导器配置为通过用用户的个人客观化指数补充 PMWestimation 来为健身设备提供 PMWindividual</t>
  </si>
  <si>
    <t>KR102552867B1</t>
  </si>
  <si>
    <t>根据实施例,设备从用户终端接收包括用户姓名、性别、年龄、日程安排、地址、消费详情和疾病信息的用户信息,并从用户终端接收性格类型调查问卷的结果。获取性格信息包括性格类型调查结果,从乐器数据库获取乐器信息包括乐器的类型、名称、尺寸、重量、价格、难度等信息,获取用户信息、性格信息和音乐乐器信息可用于推荐用户定制的乐器、定制的教练、定制的练习歌曲。</t>
  </si>
  <si>
    <t>利用人工智能模型的用户性格类型分析结果定制仪器、教练、练习曲推荐方法、装置和系统</t>
  </si>
  <si>
    <t>TR202219706A2</t>
  </si>
  <si>
    <t>本发明连同为 IFAB 和 FIFA 及其附属联合会和联合会在培训和研讨会中使用的比赛位置以及在比赛中引起巨大争论的位置创建数据库系统池,允许即时扫描位置现场进行的比赛,以及在比赛提供以前经历过的位置的情况下。它是关于一种系统和方法,可以在比赛期间对位置做出决定(警告/驱逐、处罚、越位等)由人工智能通知裁判工作人员。</t>
  </si>
  <si>
    <t>裁判决策支持系统和方法</t>
  </si>
  <si>
    <t>IN202241073006A</t>
  </si>
  <si>
    <t>一种足球头球射门训练装置,包括开发供用户佩戴的可穿戴充气体1、人工智能摄像头2和安装在体1上用于检测来球速度的速度传感器3、振动单元 5与主体1集成,用于产生振动感,超声波传感器映射在主体1上,用于检测足球与用户之间的距离,角度传感器6映射在主体1上,用于检测用户的倾斜角度。 头部,水合作用传感器映射在身体1上,用于检测排汗水平,温度传感器7映射在身体1上,用于检测周围环境的温度,FBG(光纤布拉格光栅)传感器映射在 body 1 用于检测用户的健康参数。</t>
  </si>
  <si>
    <t>足球头球射门训练器</t>
  </si>
  <si>
    <t>IN202241073112A</t>
  </si>
  <si>
    <t>本发明涉及一种平台1,其通过第一组和第二组伸缩操作杆3、4以平行方式安装有一对杆2,用于进行体操活动,安装在平台1上的触摸屏5用于选择专业水平 从初学者或高级水平开始,一对伸缩操作的夹持器6被固定在每个杆2上,用于抓握和帮助用户进行初级水平的活动,每个杆2上配置有多个虹膜孔7 为了提供专业水平的难度级别,AI(人工智能)启用的摄像头 8 安装在每个杆 2 上,与激光传感器同步,用于监控用户的移动,扬声器 9 映射在平台 1 上,用于通知用户 准确地执行活动。</t>
  </si>
  <si>
    <t>体操训练辅助器具</t>
  </si>
  <si>
    <t>IN202241073027A</t>
  </si>
  <si>
    <t>一种台球打球辅助装置,包括分成两半 2,3 的平台 1,通过多个可伸缩操作的杆 9 安装在地面上,其中平台 1 由用户用来打台球球,一个支持人工智能的相机 4用于捕获用户的多个图像,C形板5通过电动铰链6以最佳角度展开板5以保持平台1的适当曲率,全向轮7用于在地面上随机操纵平台1以用于 为用户在平台 1 上击球提供困难,与摄像机 4 同步的多个触摸传感器用于检测每个用户每次击球后球的移动,RTC(实时时钟)模块用于实时监控, 其中,一旦监控的时间与用户定义的持续时间相匹配,扬声器就会通知每个用户的分数。</t>
  </si>
  <si>
    <t>台克球比赛辅助器具</t>
  </si>
  <si>
    <t>IN202241072991A</t>
  </si>
  <si>
    <t>本发明涉及一种乒乓球运动训练器,包括一个中空的圆柱形本体1,其附接有一对L形杆2以在表面上提供稳定性,触摸交互显示面板4安装在本体1上以供使用者使用。 关于难度级别的输入,连接在主体 1 内的多个伸缩杆 5 延伸以展开网,连接杆 5 用于创建障碍,连接在杆 5 和主体 1 之间的圆形滑块提供移动到网,一对电动滚轮 6 连接在它们之间 杆 2 和主体 1 用于旋转主体 1 很难摆出姿势,基于人工智能的图像捕获模块 7 检测主体 1 内是否存在灰尘,与安装在主体 1 内的腔室 8 相连的电子操作阀在主体 1 上分配清洁溶液,a 伸缩操作的 L 形杆附有机动洗涤器 9 去除主体 1 上的灰尘。</t>
  </si>
  <si>
    <t>乒乓球运动训练器</t>
  </si>
  <si>
    <t>IN202221072764A</t>
  </si>
  <si>
    <t>在本发明中,开发了一种太阳能织物帐篷。 对于内部结构,可以使用竹子。 所以帐篷变得完全环保。 太阳能织物帐篷产生的电力储存在电池组中。 储存的能量用于太阳能帐篷的照明和其他电气设备。 太阳能织物帐篷配备了物联网和人工智能。 开发的太阳能织物帐篷重量轻。 开发的太阳能织物帐篷可用于马戏、展览、年度节日、舞蹈比赛、室内运动、乡村集市、住宅用途和其他娱乐活动。</t>
  </si>
  <si>
    <t>配备物联网和人工智能的娱乐用太阳能织物帐篷</t>
  </si>
  <si>
    <t>CN307979131S</t>
  </si>
  <si>
    <t>1.本外观设计产品的名称：显示屏幕面板的三机实时监测图形用户界面。
 2.本外观设计产品的用途：用于运行程序、信息显示、人机交互。
 3.本外观设计产品的设计要点：在于屏幕中图形用户界面的界面内容。
 4.最能表明设计要点的图片或照片：主视图。
 5.图形用户界面的用途：主视图为三机实时监测界面，用户可根据界面提示进行相关操作。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</si>
  <si>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显示屏幕面板的三机实时监测图形用户界面</t>
  </si>
  <si>
    <t>CN307979129S</t>
  </si>
  <si>
    <t>1.本外观设计产品的名称：用于显示屏幕面板的广告互动图形用户界面。
 2.本外观设计产品的用途：用于显示信息。
 3.本外观设计产品的设计要点：在于屏幕中的图形用户界面。
 4.最能表明设计要点的图片或照片：设计1主视图。
 5.指定设计1为基本设计。
 6.图形用户界面的用途：界面用于引导用户参与广告互动。
 7.图形用户界面的人机交互方式：在设计1主视图中，当用户前倾手机并达到一定前倾角度时，界面下方的手机图标根据手机前倾程度进行实时填充反馈展示并随即进入广告详情页面，呈现出设计1主视图至设计1界面变化状态图2的界面变化。
 设计1界面变化状态图2中的灰色遮罩区域为内容画面。
 在设计2主视图中，当用户前倾手机并达到一定前倾角度时，界面下方的手机图标根据手机前倾程度进行实时填充反馈展示，足球组件从界面底部向顶部抛出，随后进入广告详情页面，呈现出设计2主视图至设计2界面变化状态图4的界面变化。
 设计2界面变化状态图4中的灰色遮罩区域为内容画面。
 在设计3主视图中，当用户前倾手机并达到一定前倾角度时，界面下方的手机图标根据手机前倾程度进行实时填充反馈展示，圆形组件从界面底部向顶部抛出，随后进入广告详情页面，呈现出设计3主视图至设计3界面变化状态图4的界面变化。
 设计3界面变化状态图4中的灰色遮罩区域为内容画面。
 在设计4主视图中，当用户前倾手机并达到一定前倾角度时，界面下方的手机图标根据手机前倾程度进行实时填充反馈展示，打开礼盒并且罐子组件从礼盒内向界面中心移动并放大显示，随后进入广告详情页面，呈现出设计4主视图至设计4界面变化状态图5的界面变化。
 设计4界面变化状态图5中的灰色遮罩区域为内容画面。
 在设计5主视图中，当用户前倾手机并达到一定前倾角度时，界面下方的手机图标根据手机前倾程度进行实时填充反馈展示，打开礼盒并且红包组件从礼盒内向界面中心移动并放大显示，随后进入广告详情页面，呈现出设计5主视图至设计5界面变化状态图5的界面变化。
 设计5界面变化状态图5中的灰色遮罩区域为内容画面。
 在设计6主视图中，当用户前倾手机并达到一定前倾角度时，界面下方的手机图标根据手机前倾程度进行实时填充反馈展示，并且界面底部的小卡片分别向左右两侧移出界面，中间大卡片向上移动并放大至最大状态，呈现出设计6主视图至设计6界面变化状态图3的界面变化；当卡片放大至最大状态时，卡片顺时针向后翻转180°展示卡片正面内容，随后进入广告详情页面，呈现出设计6界面变化状态图3至设计6界面变化状态图6的界面变化。
 设计6界面变化状态图6中的灰色遮罩区域为内容画面。
 在设计7主视图中，当用户前倾手机时，界面下方的手机图标根据手机前倾程度进行实时填充反馈展示，呈现出设计7主视图至设计7界面变化状态图的界面变化。
 在设计8主视图中，当用户前倾手机并达到一定前倾角度时，界面下方的手机图标根据手机前倾程度进行实时填充反馈展示，足球组件从界面底部向顶部抛出，呈现出设计8主视图至设计8界面变化状态图3的界面变化。
 在设计9主视图中，当用户前倾手机并达到一定前倾角度时，界面下方的手机图标根据手机前倾程度进行实时填充反馈展示，打开礼盒并且罐子组件从礼盒内向界面中心移动并放大显示，呈现出设计9主视图至设计9界面变化状态图4的界面变化。
 在设计10主视图中，当用户前倾手机并达到一定前倾角度时，界面下方的手机图标根据手机前倾程度进行实时填充反馈展示，并且界面底部的小卡片分别向左右两侧移出界面，中间大卡片向上移动并放大至最大状态，呈现出设计10主视图至设计10界面变化状态图3的界面变化；当卡片放大至最大状态时，卡片顺时针向后翻转180°展示卡片正面内容并出现提示信息，呈现出设计10界面变化状态图3至设计10界面变化状态图5的界面变化。
 8.该显示屏幕面板可用于手机、计算机、平板电脑、智能电视、车载中控屏幕。</t>
  </si>
  <si>
    <t>用于显示屏幕面板的广告互动图形用户界面</t>
  </si>
  <si>
    <t>CN308048995S</t>
  </si>
  <si>
    <t>1.本外观设计产品的名称：显示屏幕面板的支架实时监测图形用户界面。
 2.本外观设计产品的用途：用于运行程序、信息显示、人机交互。
 3.本外观设计产品的设计要点：在于屏幕中图形用户界面的界面内容。
 4.最能表明设计要点的图片或照片：主视图。
 5.图形用户界面的用途：主视图为支架实时监测界面，用户可根据界面提示进行相关操作。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</si>
  <si>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显示屏幕面板的支架实时监测图形用户界面</t>
  </si>
  <si>
    <t>CN308048996S</t>
  </si>
  <si>
    <t>1.本外观设计产品的名称：显示屏幕面板的采煤机实时监测图形用户界面。
 2.本外观设计产品的用途：用于运行程序、信息显示、人机交互。
 3.本外观设计产品的设计要点：在于屏幕中图形用户界面的界面内容。
 4.最能表明设计要点的图片或照片：主视图。
 5.图形用户界面的用途：主视图为采煤机实时监测界面，用户可根据界面提示进行相关操作。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</si>
  <si>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显示屏幕面板的采煤机实时监测图形用户界面</t>
  </si>
  <si>
    <t>CN308048994S</t>
  </si>
  <si>
    <t>1.本外观设计产品的名称：显示屏幕面板的泵站实时监测图形用户界面。
 2.本外观设计产品的用途：用于运行程序、信息显示、人机交互。
 3.本外观设计产品的设计要点：在于屏幕中图形用户界面的界面内容。
 4.最能表明设计要点的图片或照片：主视图。
 5.图形用户界面的用途：主视图为泵站实时监测界面，用户可根据界面提示进行相关操作。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</si>
  <si>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显示屏幕面板的泵站实时监测图形用户界面</t>
  </si>
  <si>
    <t>CN308020721S</t>
  </si>
  <si>
    <t>1.本外观设计产品的名称：带工作排班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作排班管理、编辑与展示信息的用途。;7.图形用户界面的人机交互方式：主视图显示的图形用户界面为打开程序的起始界面；点击主视图中央最上方的“月”按钮得到界面变化状态图1；点击主视图左上角的“按组排班”按钮进入界面变化状态图2；点击主视图左上角的“按班次排班”按钮进入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工作排班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作排班管理、编辑与展示信息的用途。;7.图形用户界面的人机交互方式：主视图显示的图形用户界面为打开程序的起始界面；点击主视图中央最上方的“月”按钮得到界面变化状态图1；点击主视图左上角的“按组排班”按钮进入界面变化状态图2；点击主视图左上角的“按班次排班”按钮进入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</si>
  <si>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带工作排班管理图形用户界面的显示屏幕面板</t>
  </si>
  <si>
    <t>CN308020720S</t>
  </si>
  <si>
    <t>1.本外观设计产品的名称：带工时监控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时监控、管理、编辑与展示信息的用途。;7.图形用户界面的人机交互方式：主视图显示的图形用户界面为打开程序的起始界面；点击主视图中央右上方“周五11/11”下方的“+”单元格按钮弹出界面变化状态图1；点击主视图左上角的“团队工时”按钮进入界面变化状态图2；点击界面变化状态图2中央上方“周四11/03”下方从上至下第8个单元格按钮弹出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工时监控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时监控、管理、编辑与展示信息的用途。;7.图形用户界面的人机交互方式：主视图显示的图形用户界面为打开程序的起始界面；点击主视图中央右上方“周五11/11”下方的“+”单元格按钮弹出界面变化状态图1；点击主视图左上角的“团队工时”按钮进入界面变化状态图2；点击界面变化状态图2中央上方“周四11/03”下方从上至下第8个单元格按钮弹出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</si>
  <si>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带工时监控管理图形用户界面的显示屏幕面板</t>
  </si>
  <si>
    <t>CN308173678S</t>
  </si>
  <si>
    <t>1.本外观设计产品的名称：带视频图片浏览图形用户界面的显示屏幕面板。
 2.本外观设计产品的用途：用于显示图形用户界面。
 3.本外观设计产品的设计要点：在于屏幕中的图形用户界面。
 4.最能表明设计要点的图片或照片：主视图。
 5.请求保护的外观设计包含色彩。
 6.其他视图无设计要点，省略其他视图。
 7.图形用户界面的用途：界面用于视频/图片浏览、搜索与展示信息的用途。
 8.图形用户界面的人机交互方式：在主视图中，界面展示了与媒体内容浏览相关的模块布局，用户可以点击任意模块中的可操作控件执行更多操作。
 9.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10、本外观设计产品的图形用户界面中的单一色块“X”涂覆部分属于内容画面。</t>
  </si>
  <si>
    <t>带视频图片浏览图形用户界面的显示屏幕面板</t>
  </si>
  <si>
    <t>CN116228938A</t>
  </si>
  <si>
    <t>本公开提供一种虚拟数字人的生成方法、装置和电子设备，涉及人机交互技术领域，用于解决如何保证用户执行电子设备播放的健身视频对应的健身动作的一致性的问题。该方法包括：获取播放目标视频时图像采集装置采集的第一帧图像；对第一帧图像进行人体关键识别，确定人体关键点之间的位置信息、目标身体部位的第一实际长度以及除目标身体部位以外的其它身体部位的第二实际长度；根据目标比例关系和第一实际长度，确定除目标身体部位以外的其它身体部位的第预测长度；基于第二实际长度和所述预测长度，确定其它身体部位的绘制高度；基于第一实际长度、绘制高度以及位置关系进行绘制，生成虚拟数字人。</t>
  </si>
  <si>
    <t>一种虚拟数字人的生成方法、装置和电子设备</t>
  </si>
  <si>
    <t>US20230215175A1</t>
  </si>
  <si>
    <t>公开了用于识别视频内的快照时刻的系统和方法。 示例性实施可以:训练神经网络来检测一个或多个基本的进攻队形要素; 使用神经网络识别输入视频中的一个或多个基本进攻队形元素; 使用所识别的一个或多个基本进攻队形元素来确定包括有效队形的一个或多个视频帧; 以及利用检测到的一个或多个必要的进攻队形元素来确定有效队形解散的一个或多个视频帧。</t>
  </si>
  <si>
    <t>用于识别美式足球视频中的快照时刻的系统和方法</t>
  </si>
  <si>
    <t>US20230215172A1</t>
  </si>
  <si>
    <t>公开了用于在视频内构建网格模型的系统和方法。 示例性实现可以:在视频的一帧或多帧上覆盖一条或多条场线、散列标记线或边线; 构造平行于一条或多条场线的多条均匀间隔的纵向线; 使用神经网络模型检测一个或多个视频帧中的一个或多个场对象; 沿着检测到的现场对象的顶部构建一条或多条锚线; 构造平行于一条或多条哈希标记线或一条或多条锚线的多条均匀间隔的纬度线; 将多条均匀间隔的纵向线、一条或多条锚线、或多条均匀间隔的纬线叠加在一帧或多帧视频上。</t>
  </si>
  <si>
    <t>用于在美式足球视频内对球场上的球员进行地理定位的系统和方法</t>
  </si>
  <si>
    <t>CN116416759A</t>
  </si>
  <si>
    <t>本发明公开了一种基于深度学习的人员落水预警监测系统，涉及人员落水监测技术领域，包括监控单元、监控分析单元、越界预警单元、落水判断单元、数据库单元、落水报警位置指示单元、人工核对单元；所述监控单元，包括多个监控摄像头，多个监控摄像头监控不同位置消除监控死角，并将实时的监控视频传递给监控分析单元；该基于深度学习的人员落水预警监测系统，通过通过监控分析单元与越界预警单元配合，可对进入监控范围内的人员进行识别、追踪，并在人员靠近水边进入预警区域，通过发声进行预警提醒，通过监控分析单元、落水判断单元、数据库单元配合，使得可通过对水面人员的动作检测，判断水面人员是戏水、游泳，还是意外落水需要救援。</t>
  </si>
  <si>
    <t>一种基于深度学习的人员落水预警监测系统</t>
  </si>
  <si>
    <t>CN115984733A</t>
  </si>
  <si>
    <t>本发明公开了基于大数据的智慧体育项目测评方法，涉及智慧体育项目测评技术领域，该方法通过每种体育项目的历史运动视频数据训练出识别体育项目的神经网络模型；根据每项体育项目的得分特性，为每项体育项目设置关键得分特征；并预先收集每项体育项目的关键得分的动作视频；再根据关键得分的动作视频训练出根据关键得分特征进行自动打分的神经网络模型；对于每个实时的体育项目测评，设置对应数量的视频捕捉设备，对进行体育项目的人员动作进行实时捕捉；根据动作视频，使用神经网络模型识别体育项目类型；并根据体育项目类型，使用对应的神经网络模型自动打分；极大的降低了体育测评的人力成本并避免了测评主观性的弊端。</t>
  </si>
  <si>
    <t>基于大数据的智慧体育项目测评方法</t>
  </si>
  <si>
    <t>IN202241071080A</t>
  </si>
  <si>
    <t>多种疾病诊断和健康管理系统包括健康预测单元,包括:输入单元,包括用于提取关于患者临床报告的数据的自然语言处理; 训练处理单元,用于使用公开可用的糖尿病和心脏病数据训练随机森林机器学习模型; 用于预测患者的血糖和胆固醇水平以识别患者疾病发生的中央处理器; 饮食计划推荐单元包括:控制单元,用于利用人工智能技术生成针对各类患者的饮食计划和运动图表; 以及配置有人工智能技术的图形用户界面,用于辅助患者早期监测和管理疾病并发症,其中图形用户界面可视化针对不同类别患者的饮食计划和体育锻炼图表。</t>
  </si>
  <si>
    <t>一种多病症诊断与健康管理系统及其方法</t>
  </si>
  <si>
    <t>CN219435436U</t>
  </si>
  <si>
    <t>本申请属于心肺复苏练习技术领域，具体涉及一种心肺复苏练习考核装置，包括：至少一个练习模拟装置，以及与所述练习模拟装置无线连接的监控终端；所述练习模拟装置内置有依次连接的传感器模块、数据处理模块和物联网模块；所述物联网模块与所述监控终端无线连接；所述传感器模块至少包括测距传感器。可以理解的是，该心肺复苏练习考核装置能够采集至少一名学员操作练习模拟装置时的传感器数据，并将该传感器数据传递至监控终端，使得教练通过监控终端上的数据对学员进行考核。</t>
  </si>
  <si>
    <t>一种心肺复苏练习考核装置</t>
  </si>
  <si>
    <t>CN308020713S</t>
  </si>
  <si>
    <t>1.本外观设计产品的名称：带绩效考核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作绩效目标创建、修改、管理与展示信息的用途。;7.图形用户界面的人机交互方式：主视图显示的图形用户界面为打开程序的起始界面；在主视图右下方的任意位置向上滑动得到界面变化状态图1；点击主视图右上角最右侧的“三道杠”图形按钮得到界面变化状态图2；点击主视图左上角的“OKR地图”按钮进入界面变化状态图3；点击主视图右上角的“+添加目标”按钮进入界面变化状态图4；点击主视图中央的“修改对齐”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绩效考核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工作绩效目标创建、修改、管理与展示信息的用途。;7.图形用户界面的人机交互方式：主视图显示的图形用户界面为打开程序的起始界面；在主视图右下方的任意位置向上滑动得到界面变化状态图1；点击主视图右上角最右侧的“三道杠”图形按钮得到界面变化状态图2；点击主视图左上角的“OKR地图”按钮进入界面变化状态图3；点击主视图右上角的“+添加目标”按钮进入界面变化状态图4；点击主视图中央的“修改对齐”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</si>
  <si>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带绩效考核管理图形用户界面的显示屏幕面板</t>
  </si>
  <si>
    <t>CN308020716S</t>
  </si>
  <si>
    <t>1.本外观设计产品的名称：带项目工时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项目工时监控、管理、编辑与展示信息的用途。;7.图形用户界面的人机交互方式：主视图显示的图形用户界面为打开程序的起始界面；点击主视图下方周三右边的“+工时”按钮进入界面变化状态图1；点击主视图最上方的“团队工时”按钮进入界面变化状态图2；点击界面变化状态图2最右侧上面第1个的“+”按钮进入界面变化状态图3；点击主视图最上方的“项目工时”按钮进入界面变化状态图4；点击界面变化状态图4最上方的“北京‑XXXXXXX”按钮进入界面变化状态图5；点击界面变化状态图5最左侧上面第1个的“XX”按钮进入界面变化状态图6；点击界面变化状态图5左上角的“基本信息”按钮进入界面变化状态图7。;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项目工时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项目工时监控、管理、编辑与展示信息的用途。;7.图形用户界面的人机交互方式：主视图显示的图形用户界面为打开程序的起始界面；点击主视图下方周三右边的“+工时”按钮进入界面变化状态图1；点击主视图最上方的“团队工时”按钮进入界面变化状态图2；点击界面变化状态图2最右侧上面第1个的“+”按钮进入界面变化状态图3；点击主视图最上方的“项目工时”按钮进入界面变化状态图4；点击界面变化状态图4最上方的“北京‑XXXXXXX”按钮进入界面变化状态图5；点击界面变化状态图5最左侧上面第1个的“XX”按钮进入界面变化状态图6；点击界面变化状态图5左上角的“基本信息”按钮进入界面变化状态图7。;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</si>
  <si>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带项目工时管理图形用户界面的显示屏幕面板</t>
  </si>
  <si>
    <t>CN308020717S</t>
  </si>
  <si>
    <t>1.本外观设计产品的名称：带奖金分配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奖金分配管理、数据监控与展示信息的用途。;7.图形用户界面的人机交互方式：主视图显示的图形用户界面为打开程序的起始界面；点击主视图左上角的“北京总部销售部门‑1月”按钮进入界面变化状态图1；点击变化状态图1右上角的“员工端”按钮进入界面变化状态图2。;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奖金分配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奖金分配管理、数据监控与展示信息的用途。;7.图形用户界面的人机交互方式：主视图显示的图形用户界面为打开程序的起始界面；点击主视图左上角的“北京总部销售部门‑1月”按钮进入界面变化状态图1；点击变化状态图1右上角的“员工端”按钮进入界面变化状态图2。;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</si>
  <si>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带奖金分配管理图形用户界面的显示屏幕面板</t>
  </si>
  <si>
    <t>CN308020714S</t>
  </si>
  <si>
    <t>1.本外观设计产品的名称：带简历筛选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招聘简历筛选、管理、编辑与展示信息的用途。;7.图形用户界面的人机交互方式：主视图显示的图形用户界面为打开程序的起始界面；在主视图中央任意位置向上滑动得到界面变化状态图1；点击主视图右上角的“添加成绩”按钮弹出界面变化状态图2；点击主视图右下角的“留言”按钮弹出界面变化状态图3；点击主视图左上角的“投递分析”按钮进入界面变化状态图4；点击主视图左上角的“面试登记表”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色块涂覆部分属于内容画面。;1.本外观设计产品的名称：带简历筛选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招聘简历筛选、管理、编辑与展示信息的用途。;7.图形用户界面的人机交互方式：主视图显示的图形用户界面为打开程序的起始界面；在主视图中央任意位置向上滑动得到界面变化状态图1；点击主视图右上角的“添加成绩”按钮弹出界面变化状态图2；点击主视图右下角的“留言”按钮弹出界面变化状态图3；点击主视图左上角的“投递分析”按钮进入界面变化状态图4；点击主视图左上角的“面试登记表”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色块涂覆部分属于内容画面。</t>
  </si>
  <si>
    <t>带简历筛选管理图形用户界面的显示屏幕面板</t>
  </si>
  <si>
    <t>CN308027620S</t>
  </si>
  <si>
    <t>1.本外观设计产品的名称：带绩效考核自评图形用户界面的显示屏幕面板。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6.图形用户界面的用途：界面用于效考核自评、编辑与展示信息的用途。
 7.图形用户界面的人机交互方式：主视图显示的图形用户界面为打开程序的起始界面；点击主视图最下方的“下一步”按钮进入界面变化状态图1；在界面变化状态图1中央任意位置向上滑动得到界面变化状态图2。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</si>
  <si>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带绩效考核自评图形用户界面的显示屏幕面板</t>
  </si>
  <si>
    <t>CN308027619S</t>
  </si>
  <si>
    <t>1.本外观设计产品的名称：带成本分摊管理图形用户界面的显示屏幕面板。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6.图形用户界面的用途：界面用于企业项目成本分摊管理、工时填写编辑与展示信息的用途。
 7.图形用户界面的人机交互方式：主视图显示的图形用户界面为打开程序的起始界面；点击主视图右上角的“+添加”按钮弹出界面变化状态图1；点击主视图左上方的“北京‑XXXXXXX”按钮进入界面变化状态图2；点击界面变化状态图2中央上方“周四11/03”下方的单元格按钮弹出界面变化状态图3；点击界面变化状态图2左上方姓名下方的第1个“XX”按钮进入界面变化状态图4；点击界面变化状态图4中央右上方“周五11/11”下方的“+”单元格按钮弹出界面变化状态图5。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</si>
  <si>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带成本分摊管理图形用户界面的显示屏幕面板</t>
  </si>
  <si>
    <t>IN202241070530A</t>
  </si>
  <si>
    <t>糖尿病患者是开发连续血糖监测 (CGM) 系统的主要目标人群。 与此同时,没有糖尿病的人越来越频繁地使用这些设备。 这篇简短的评论描述了 CGM 系统在健康人的运动、健康和医疗保健中的潜在用途。 结果:使用 CGM 系统可以早期诊断不当的葡萄糖调节。 改善饮食和身体活动习惯可能会受益于使用 CGM 数据了解具有各种血糖负荷的膳食消费和体育锻炼如何改变葡萄糖反应。 此外,有可能确定对葡萄糖动力学有影响的压力条件。 由于 CGM 系统可以提供有关葡萄糖读数和动态的信息,这些信息可能有助于优化运动前、运动中和运动后的饮食习惯,因此可以增强身体机能和再生能力。 CGM 很有可能实现自我优化和健康收益。 为了加强对 CGM 数据的分析,需要进行更多的研究。 与其他可穿戴设备的交互以及在单个设备中收集和处理数据的组合将有助于为用户提供更准确的建议。</t>
  </si>
  <si>
    <t>物联网驱动的系统,用于使用机器学习在医疗保健中检测血液泄漏的连续血糖监测</t>
  </si>
  <si>
    <t>JP2023092483A</t>
  </si>
  <si>
    <t>我想创造一个生物(人类)。 
  【解决方案】配备触觉传感器和图像处理功能,编程生长,具有发酵味噌的功能,附有呼吸装置,具有去除人体血液中的杂质(切削油)的功能,经过滤后杂质可排出,可以编程显示“对不起”,当人们通过图像识别并通过涉及人员杀死时,可以打乒乓球,工具尖端附有刷子,苹果等。通过显示通过摄像头的物质,可以自动生成苹果等专利并写入申请文件(可打印),并作为想象力的证明,在背景技术的第一行写上“Written by a Living Thing”。可以编写产生专利权的专利,并且可以用烤肉(不是木炭)制成的两条腿行走,连接到邮局工作人员来收集排出书面专利的皮带输送机构建电池供电的 CNC带有太阳能电池板。</t>
  </si>
  <si>
    <t>生物(人类)</t>
  </si>
  <si>
    <t>CN116179343A</t>
  </si>
  <si>
    <t>本发明公开了一种保护性好的造血干细胞分化培养装置，包括第一细胞分化培养箱、第二细胞分化培养箱和第三细胞分化培养箱，第二细胞分化培养箱的一端安装有第一细胞分化培养箱，第二细胞分化培养箱的另一端安装有第三细胞分化培养箱，第一细胞分化培养箱的一侧安装有控制箱，第三细胞分化培养箱的一侧安装有服务器，该造血干细胞分化培养装置可同时进行多组细胞分化培养，能实现远程统一监测和管控，从而提高效率，节约管理成本，还能实现故障报警等功能，从而给细胞分化培养提供更加准确合适的环境，有利于细胞进行分化，整体操作十分简单方便，实现物联网控制，降低人工成本。</t>
  </si>
  <si>
    <t>一种保护性好的造血干细胞分化培养装置</t>
  </si>
  <si>
    <t>CN115937665A</t>
  </si>
  <si>
    <t>本发明涉及海洋牧场渔业资源量统计技术领域，尤其涉及一种基于图像识别技术的海洋牧场渔业资源量统计方法。本发明通过多波束进行水深地形测量并构建水下三维地形模型，根据水下三维地形模型以及多波束地形测量水深图进行鱼礁投放量计算；然后选择示范区边缘与人工鱼礁，采用图像识别技术统计单位礁体海洋牧场渔业资源量，完成基于图像识别技术的海洋牧场渔业资源量统计；本发明探索性尝试了利用图像识别技术测量海洋牧场渔业资源变化测量及评估方法，得出海洋牧场游泳生物及沉性卵资源量的变化，为海洋牧场的建设提供数据支持。</t>
  </si>
  <si>
    <t>一种基于图像识别技术的海洋牧场渔业资源量统计方法</t>
  </si>
  <si>
    <t>CN116189278A</t>
  </si>
  <si>
    <t>本发明涉及一种基于全局上下文感知的细粒度篮球动作识别方法，属于计算机视觉领域，包括以下步骤：S1：针对篮球动作视频，利用MTSA模块采用时间金字塔的方式将不同距离的帧进行聚合；S2：利用SCI模块分别沿着空间的两个方向和通道进行特征的跨维度交互；S3：采用动态卷积融合MTSA模块和SCI得到GCA‑Module；S4：在ResNet‑50中引入块GCA‑Module，构成GCA‑Block；S5：堆叠多个GCA‑Block，搭建细粒度篮球动作识别模型GCA‑Net；S6：构造训练数据集；S7：对模型进行训练、预测及优化，得到训练后的模型，对篮球动作视频进行细粒度篮球动作识别。</t>
  </si>
  <si>
    <t>一种基于全局上下文感知的细粒度篮球动作识别方法</t>
  </si>
  <si>
    <t>IN202241069563A</t>
  </si>
  <si>
    <t>本发明是一种基于数字数据收集框架的智能精准营养分析模型,通过输入饮食回忆数据来分析营养素摄入量。 AI精准营养分析模型,通过数字化数据语义分析模型自动分析菜品、份量,分析菜品成分,计算营养摄入量。 这项研究的结果表明模型之间的营养摄入差异很小,分析非常准确; 因此,AI模型可以作为营养调查和个人营养分析的参考。 在数据获取方面,实现了完整的食品营养成分公开数据集。 另一方面,应扩大食谱的范围。 智能手机应用程序还可以帮助监控和跟踪进度,以激励个人实现他们的健康和健身目标。</t>
  </si>
  <si>
    <t>面向爱好者的人工智能营养分析仪</t>
  </si>
  <si>
    <t>CN115949992A</t>
  </si>
  <si>
    <t>本发明提供一种基于物联网的智能化水电暖控制装置及控制系统，涉及水电暖控制装置技术领域，包括外框，所述外框的一侧固定连接有显示屏，所述外框一侧相对于显示屏下方的位置安装有控制按钮，所述外框的内壁上方均匀固定连接有两个卡块，所述外框的下表面固定连接有温度探头，所述外框的内壁开设有插孔，所述外框的内壁滑动连接有内框，所述内框上表面相对于两个卡块的位置均开设有卡孔，内框上表面两个卡孔的内壁均与两个卡块滑动连接，所述内框的内壁固定连接有插头，插头的一侧与外框内插框内壁滑动连接。本发明，方便了人员可快速拆装内框的效果，有效避免拆装内框需借助多种工具，整体操作简单快捷，一定程度上提高人员拆装内框的效率。</t>
  </si>
  <si>
    <t>一种基于物联网的智能化水电暖控制装置及控制系统</t>
  </si>
  <si>
    <t>CN115880774A</t>
  </si>
  <si>
    <t>本发明公开了一种基于人体姿态估计的健身动作识别方法、装置及相关设备，包括：通过获取视频流，并基于视频流提取人体关键点数据，进而将人体关键点数据输入到训练好的健身动作分类网络中进行动作识别，得到动作分类结果，其中，训练好的健身动作分类网络为多层神经网络MLP与长短时记忆神经网络LSTM的叠加神经网络；获取预设的标准健身动作字典，并针对每个识别动作数据，将识别动作数据与标准健身动作字典中对应类别的标准动作数据进行相似度计算，得到相似度值；基于每组识别动作数据对应的相似度值，进行健身动作质量评估，得到质量评估结果，采用本发明提高健身动作规范性识别的精准程度。</t>
  </si>
  <si>
    <t>基于人体姿态估计的健身动作识别方法、装置及相关设备</t>
  </si>
  <si>
    <t>CN115953466A</t>
  </si>
  <si>
    <t>一种基于yolov5s的篮球目标定位方法，属于计算机视觉与嵌入式系统领域。可以由部署于计算机或NVIDIA&amp;nbsp;Jetson&amp;nbsp;TX2(以下简称为TX2)平台的yolov5s模型对摄像系统实时采集的篮球赛事图像进行预测，并将检测结果，即预测框位置与置信度等信息通过串口通讯发送至由STM32单片机控制的两轴摄像云台，STM32端对收到的检测结果进行数据解析，然后通过GPIO口输出pwm信号驱动搭载高清摄像机的两轴摄像云台的pitch轴与yaw轴电机进行转动，不断调整摄像机的摄像视角以实现对篮球赛事图像的持续采集并在后续帧对篮球目标进行实时检测与跟踪。</t>
  </si>
  <si>
    <t>一种基于yolov5s的篮球目标定位方法</t>
  </si>
  <si>
    <t>CN307992100S</t>
  </si>
  <si>
    <t>1.本外观设计产品的名称：显示屏幕面板的流程管理图形用户界面。
 2.本外观设计产品的用途：用于显示图形用户界面。
 3.本外观设计产品的设计要点：在于图形用户界面。
 4.最能表明设计要点的图片或照片：设计1主视图。
 5.显示屏幕面板为惯常设计，省略其他视图。
 6.指定设计1为基本设计。
 7.图形用户界面的用途：用于流程的展示和管理，可查看所处流程节点的位置和内容，引导使用者进行后续流程。
 8.图形用户界面的人机交互方式：在设计1‑4的主视图中，用户可通过触控界面中圆角矩形按钮查看管控流程内容，设计4主视图通过手势滑动显示设计4变化状态图。
 界面中的灰色色块为可替换的图片或视频，本设计界面中的叉号代表文字和/或数字和/或字母和/或符号。
 9.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</si>
  <si>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显示屏幕面板的流程管理图形用户界面</t>
  </si>
  <si>
    <t>CN115837150A</t>
  </si>
  <si>
    <t>本发明公开了一种乒乓球智能收集机器人，该机器人包括外壳、控制器、图像识别机构、收集机构、行走机构，收集机构包括收集箱、伸缩杆、弹簧，伸缩杆的一端连接在外壳上，另一端连接收集箱，收集箱的底部为镂空结构，其上布置有若干弹簧，弹簧的间距小于乒乓球的直径，伸缩杆能够带动收集箱上下移动，行走机构设置在外壳的底部，图像识别机构设置在外壳上并能够采集周围环境信息，控制器设置在外壳上，并且能够连接控制图像识别机构、伸缩杆和行走机构。该机器人能智能地识别乒乓球的位置，计算出最简易的收集路径，并通过电机带动机器人进行行走，收集范围广泛，减少了人力的使用。</t>
  </si>
  <si>
    <t>一种乒乓球智能收集机器人</t>
  </si>
  <si>
    <t>KR102517958B1</t>
  </si>
  <si>
    <t>公开了一种设置在智能健身房中的运动信息记录和提供系统。 
  根据一个实施例的运动信息记录和提供系统包括通信模块、存储器以及可操作地连接到通信模块和存储器的处理器,其中处理器通过通信模块确定运动机模块的操作状态。接收关于运动机模块的信息,当基于关于运动机模块的运行状态的信息确定运动机模块对应于占用状态时,响应于用户使用运动机模块,关于接收到运行状态,可以存储信息。</t>
  </si>
  <si>
    <t>使用物联网设备在智能健身房中记录运动信息或提供运动辅助信息的装置和方法</t>
  </si>
  <si>
    <t>CN308020708S</t>
  </si>
  <si>
    <t>1.本外观设计产品的名称：带项目平台管理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汽车经销商问卷项目后台管理、编辑与展示信息的用途。;7.图形用户界面的人机交互方式：主视图显示的图形用户界面为打开程序的登录起始界面；在主视图有右方输入用户名和密码后并点击“登录”按钮进入界面变化状态图1；点击界面变化状态图1最上方主菜单的“项目概览”按钮进入界面变化状态图2；在界面变化状态图2下方任意位置向上滑动得到界面变化状态图3；点击界面变化状态图1最上方主菜单的“样本复核”按钮进入界面变化状态图4；点击界面变化状态图1最上方主菜单的“失分点报告”按钮进入界面变化状态图5；点击界面变化状态图1最上方主菜单的“经销商单店报告”按钮进入界面变化状态图6；在界面变化状态图6下方任意位置向上滑动得到界面变化状态图7；点击界面变化状态图1最上方主菜单的“本期失分结果”按钮进入界面变化状态图8；点击界面变化状态图1最上方主菜单的“历史报告下载”按钮进入界面变化状态图9；点击界面变化状态图1最上方主菜单的“审核计划披露”按钮进入界面变化状态图10。;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浅灰色涂覆部分属于内容画面。;1.本外观设计产品的名称：带项目平台管理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汽车经销商问卷项目后台管理、编辑与展示信息的用途。;7.图形用户界面的人机交互方式：主视图显示的图形用户界面为打开程序的登录起始界面；在主视图有右方输入用户名和密码后并点击“登录”按钮进入界面变化状态图1；点击界面变化状态图1最上方主菜单的“项目概览”按钮进入界面变化状态图2；在界面变化状态图2下方任意位置向上滑动得到界面变化状态图3；点击界面变化状态图1最上方主菜单的“样本复核”按钮进入界面变化状态图4；点击界面变化状态图1最上方主菜单的“失分点报告”按钮进入界面变化状态图5；点击界面变化状态图1最上方主菜单的“经销商单店报告”按钮进入界面变化状态图6；在界面变化状态图6下方任意位置向上滑动得到界面变化状态图7；点击界面变化状态图1最上方主菜单的“本期失分结果”按钮进入界面变化状态图8；点击界面变化状态图1最上方主菜单的“历史报告下载”按钮进入界面变化状态图9；点击界面变化状态图1最上方主菜单的“审核计划披露”按钮进入界面变化状态图10。;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浅灰色涂覆部分属于内容画面。</t>
  </si>
  <si>
    <t>带项目平台管理图形用户界面的显示屏幕面板</t>
  </si>
  <si>
    <t>KR102549119B1</t>
  </si>
  <si>
    <t>本发明公开了一种智能健身房管理系统及方法。 本发明的智能健身房管理系统及方法包括通信模块; 记忆; 处理器,可操作地连接到通信模块和存储器,其中处理器通过通信模块接收关于锻炼机模块的操作状态的信息,并发送关于锻炼机模块的操作状态的信息。可以被配置为分析健身器材模块的占用状态信息并通过通信模块将分析的占用状态信息发送到用户终端。 另外,各种实施例都是可能的。</t>
  </si>
  <si>
    <t>利用物联网设备的智能健身房设备占用状态管理系统及方法</t>
  </si>
  <si>
    <t>CN308220590S</t>
  </si>
  <si>
    <t>1.本外观设计产品的名称：显示屏幕面板的数据拆分及推送图形用户界面。2.本外观设计产品的用途：用于运行程序、信息显示、人机交互。3.本外观设计产品的设计要点：在于屏幕中图形用户界面的界面内容。4.最能表明设计要点的图片或照片：主视图。5.图形用户界面的用途：本图形用户界面用于数据拆分及推送。主视图为数据分配界面，界面显示当前客群及商机的情况，用户点击下拉菜单栏中的“规则配置”按钮，进入规则配置界面，如界面变化状态图所示，设置完毕后，点击“分配”按钮，界面返回至主视图。6.其他需要说明的情形其他说明：本显示屏幕面板应用于计算机、笔记本电脑、平板电脑、手机、智能手表、智能手环、健身监视器、头戴式耳机、个人数字助理（PDA）、智能音箱、电视、机顶盒、投影仪、游戏机或导航仪、车辆。</t>
  </si>
  <si>
    <t>显示屏幕面板的数据拆分及推送图形用户界面</t>
  </si>
  <si>
    <t>CN308245288S</t>
  </si>
  <si>
    <t>1.本外观设计产品的名称：带答题结果评分图形用户界面的显示屏幕面板。
 2.本外观设计产品的用途：用于显示图形用户界面。
 3.本外观设计产品的设计要点：在于屏幕中的图形用户界面。
 4.最能表明设计要点的图片或照片：设计1主视图。
 5.设计1、设计2、设计3、设计4其他视图无设计要点，省略设计1、设计2、设计3、设计4其他视图。
 6.指定设计1为基本设计。
 7.图形用户界面的用途：界面用于问卷答题结果页评分展示与显示信息的用途。
 8.图形用户界面的人机交互方式：在设计1、设计2、设计3、设计4视图中，界面展示了与答题结果评分内容相关的模块布局，用户可以点击任意模块中的可操作控件执行更多操作。
 9.其他需要说明的情形其他说明：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10.本外观设计产品的图形用户界面中的背景深色涂覆部分属于内容画面。</t>
  </si>
  <si>
    <t>带答题结果评分图形用户界面的显示屏幕面板</t>
  </si>
  <si>
    <t>CN115761470A</t>
  </si>
  <si>
    <t>本发明提供了一种游泳场景下的运动轨迹追踪方法及系统。所述游泳场景下的运动轨迹追踪方法，包括：通过游泳场景下的人物识别算法、全连接神经网络位置预测模型，特征提取算法、匈牙利匹配算法相互配合，获得判定游泳场景中前一帧图像中的人物识别目标是否与后一帧图像中的人物识别目标相同的综合相似度评估值，并基于综合相似度评估值，匹配出前一帧图像中所有人物识别目标分别在下一帧图像中的最佳匹配人物识别目标，以实现对游泳场景下人物识别目标的运动轨迹准确追踪。利用游泳场景的运动规律和人物特征信息，进行人物目标精准识别和前后两帧图像中人物识别目标的相似匹配，以简便高效地对游泳场景下人物识别目标运动轨迹进行准确追踪。</t>
  </si>
  <si>
    <t>游泳场景下的运动轨迹追踪方法及系统</t>
  </si>
  <si>
    <t>ZA202212937B</t>
  </si>
  <si>
    <t>本发明公开了一种基于深度学习的体育视频关键动作检测系统,包括以下步骤:通过采集模块获取体育视频数据,所述体育视频数据包括田径教学视频数据; 提取模块从体育教学视频数据中提取感兴趣区域,并根据提取结果得到特征区域; 通过检测模块,利用深度学习模块识别特征区域,根据识别结果提取关键帧,得到体育视频的关键动作,展示体育视频的关键动作 并由显示模块存储。</t>
  </si>
  <si>
    <t>基于深度学习的体育视频关键动作检测系统</t>
  </si>
  <si>
    <t>KR102509337B1</t>
  </si>
  <si>
    <t>本发明处理家电、跑步机、划船机、按摩椅的产品发货输入,将产品类型、型号、目的地输入云端进行发货输入,在处理下单终端发货输入时,产品识别物流基地库存,分配目的地对应的送货司机终端,显示物流路线,引导送货司机到物流基地,将库存货物送达目的地。</t>
  </si>
  <si>
    <t>基于大数据人工智能模型的物流处理自动化方法、装置及系统</t>
  </si>
  <si>
    <t>CN308078597S</t>
  </si>
  <si>
    <t>1.本外观设计产品的名称：显示屏幕面板的工作管理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工作管理。;设计1主视图为工作管理的主界面，该界面包含菜单栏、最新公告栏和工作提示栏，用户可根据界面进行相关操作。;设计2主视图为显示二级菜单的工作管理的主界面，用户可根据界面进行相关操作。;设计3主视图为用户管理界面，用户可根据界面进行相关操作。;7.其他说明：本显示屏幕面板应用于车辆、计算机、笔记本电脑、平板电脑、手机、智能手表、智能手环、健身监视器、头戴式耳机、个人数字助理（PDA）、智能音箱、电视、机顶盒、投影仪、游戏机或导航仪。;1.本外观设计产品的名称：显示屏幕面板的工作管理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工作管理。;设计1主视图为工作管理的主界面，该界面包含菜单栏、最新公告栏和工作提示栏，用户可根据界面进行相关操作。;设计2主视图为显示二级菜单的工作管理的主界面，用户可根据界面进行相关操作。;设计3主视图为用户管理界面，用户可根据界面进行相关操作。;7.其他说明：本显示屏幕面板应用于车辆、计算机、笔记本电脑、平板电脑、手机、智能手表、智能手环、健身监视器、头戴式耳机、个人数字助理（PDA）、智能音箱、电视、机顶盒、投影仪、游戏机或导航仪。</t>
  </si>
  <si>
    <t>显示屏幕面板的工作管理图形用户界面</t>
  </si>
  <si>
    <t>CN308111941S</t>
  </si>
  <si>
    <t>1.本外观设计产品的名称：地铁自助客服图形用户界面的显示屏幕面板。2.本外观设计产品的用途：用于交互和显示。3.本外观设计产品的设计要点：在于图形用户界面内容。4.最能表明设计要点的图片或照片：主视图。5.其他视图无设计要点，省略其他视图。6.图形用户界面的用途：用于用户乘坐地铁时实现自助办理地铁各项服务业务。7.图形用户界面的人机交互方式：主视图为地铁办理业务的首页，展示有办理业务类型，包括“票卡处理”、“人脸注册”、“充值”、“电子发票”、“票卡查询”等业务服务，界面左下角显示当前车站名称；点击主视图中的“票卡处理”按钮，跳转至界面变化状态图1展示的票卡处理服务界面；用户通过在界面变化状态图1中按照提示刷车票/卡后，由界面变化状态图1跳转至界面变化状态图2展示的票卡信息界面（例如：车票已过期，不能使用），点击界面下方的“返回”按钮，返回主视图；点击主视图中的“人脸注册”按钮，跳转至界面变化状态图3展示的人脸注册服务界面，界面中包含“开通人脸过闸”、“关闭人脸过闸”、“打开人脸过闸”、“更新人脸过闸”、“注销人脸过闸”、“人脸进出闸处理”等人脸注册服务流程项目选项；点击界面变化状态图3中的任意一个人脸注册服务流程项目选项，跳转至界面变化状态图4展示的放置身份证界面，点击界面下方的“返回”按钮，返回主视图；点击主视图中的“充值”按钮，跳转至界面变化状态图5充值读卡界面；用户在界面变化状态图5中按照提示刷储值票后，由界面变化状态图5跳转至界面变化状态图6展示的充值详情信息界面，界面包含选择充值金额类型，以及包含充值车票的“车票类型”、“车票编号”、“余额”、“有效期”、“状态”、“累计金额”等车票信息，点击界面下方的“返回”按钮，返回主视图；点击主视图中的“电子发票”按钮，跳转至界面变化状态图7展示的单程票/储值票读卡界面；用户在界面变化状态图7中按照提示刷单程票/储值票后，由界面变化状态图7跳转至界面变化状态图8展示的电子发票信息界面，界面包含通过申请电子发票信息生成的二维码，以及包含电子发票的“车票类型”、“车票编号”、“车票金额”、“状态”、“发售车站”、“发售时间”、“进站车站”、“进站时间”等车票信息的电子发票内容，点击界面下方的“返回”按钮，返回主视图；点击主视图中的“票卡查询”按钮，跳转至界面变化状态图9展示的票卡查询读卡界面；用户在界面变化状态图9中按照提示刷车票/卡读取内容后，由界面变化状态图9跳转至界面变化状态图10展示的票卡查询信息界面，界面包含乘坐地铁过程中的“消费地点”、“时间”、“消费类型”、“金额”等信息，以及包含票卡信息的“车票类型”、“车票编号”、“余额”、“乘车次数”、“有效期”、“状态”、“累计金额”等乘车过程中的车票信息，点击界面下方的“返回”按钮，返回主视图；点击主视图中的“智能语音问询”按钮，跳转至界面变化状态图11展示的智能语音问答界面，点击界面下方的“返回首页”按钮，返回主视图。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装置。</t>
  </si>
  <si>
    <t>地铁自助客服图形用户界面的显示屏幕面板</t>
  </si>
  <si>
    <t>WO2023127370A1</t>
  </si>
  <si>
    <t>根据本公开的图像处理设备包括:获取装置,用于获取拍摄的体育比赛场地的图像以适合视角;检测装置,用于检测图像中的多个对象;以及识别装置。用于基于修剪的图像识别多个对象中的特定玩家的动作的装置。 这里,修整装置修整多个对象中的包括基于体育比赛中使用的第一对象的位置而指定的特定选手的范围。</t>
  </si>
  <si>
    <t>图像处理装置、图像处理方法及程序</t>
  </si>
  <si>
    <t>CN308220587S</t>
  </si>
  <si>
    <t>1.本外观设计产品的名称：显示屏幕面板的金融信息应用管理图形用户界面。2.本外观设计产品的用途：用于运行程序、信息显示、人机交互。3.本外观设计产品的设计要点：在于屏幕中图形用户界面的界面内容。4.最能表明设计要点的图片或照片：界面变化状态图1。5.图形用户界面的用途：本图形用户界面用于金融信息应用管理。主视图为金融信息应用管理系统概览图界面，用户点击界面底部的“进入流程”按钮进入项目管理界面，如界面变化状态图1所示，界面显示进行中的项目数与参与人员数，并展示项目所处的阶段，界面变化状态图2为鼠标悬停在任意模块上的界面。6.其他需要说明的情形其他说明：本显示屏幕面板应用于计算机、笔记本电脑、平板电脑、手机、智能手表、智能手环、健身监视器、头戴式耳机、个人数字助理（PDA）、智能音箱、电视、机顶盒、投影仪、游戏机或导航仪、车辆。</t>
  </si>
  <si>
    <t>显示屏幕面板的金融信息应用管理图形用户界面</t>
  </si>
  <si>
    <t>IN202211068171A</t>
  </si>
  <si>
    <t>传统的股票价格预测机器学习方法使用前几年价格的数据,导致模型模棱两可或准确度低,因为股票价值不仅受到财务因素的影响,还受到情绪因素的影响。 这是因为投资不是金融学科。 这是对人们如何处理金钱的研究。 即使对于最聪明的人,行为也很难教。 您不能通过记住公式或遵循电子表格模型来总结行为。 行为是与生俱来的,因人而异,难以量化,并随时间演变。 Stock Overflow 试图提供一个衡量投资者行为的平台,同时也让他们有机会学习和试验各种投资技巧。 用户可以使用 Stock Overflow 在多个会话中使用虚拟货币在虚拟环境中买卖股票,以比较替代投资技术。 它还为他们提供了一个竞争平台,让他们可以在比赛中竞争,并通过获得最佳投资回报率提升联赛阶梯。 我们将我们平台创建的情感数据与其他财务质量(如 Twitter 提要、谷歌新闻和前一年的股票价格)相结合,以提供更全面的预测形式</t>
  </si>
  <si>
    <t>库存溢出</t>
  </si>
  <si>
    <t>IN202211068022A</t>
  </si>
  <si>
    <t>[0001] 本发明涉及体育管理系统领域,更具体地,涉及一种使用神经网络管理需求驱动游戏的系统。 用于管理需求驱动游戏的系统包括用于注册需求驱动游戏或比赛和其他事件、玩家和/或团队的基于深度神经网络的用户界面、被配置为允许至少一个管理员配置包括至少 一场比赛、球队、球员姓名、配置为允许注册实体选择需求驱动的比赛或比赛和其他事件、球员和/或球队的公共界面、配置为存储通过基于深度神经网络的用户界面获得的信息的数据库 、用于存储一个或多个计算机可读验证规则的存储器、被配置为执行计算机可读程序代码以创建需求驱动的游戏时段和类别以及设置相关偏好的处理单元,包括活动游戏匹配、未注册玩家访问、培训 模块,其中训练模块向至少多个用户提供关于至少o的教育信息 一种运动,以及用于在教练和多个用户之间传送数据的通信模块。</t>
  </si>
  <si>
    <t>管理需求驱动游戏的系统</t>
  </si>
  <si>
    <t>CN307987109S</t>
  </si>
  <si>
    <t>1.本外观设计产品的名称：带分子结构建模图形用户界面的显示屏幕面板。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6.图形用户界面的用途：界面用于材料分子结构模型创建、编辑与展示的用途。
 7.图形用户界面的人机交互方式：主视图显示的图形用户界面为打开程序的起始界面；在主视图右侧模型显示区内任意位置按住并向右滑动得到界面变化状态图。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</si>
  <si>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带分子结构建模图形用户界面的显示屏幕面板</t>
  </si>
  <si>
    <t>CN307987110S</t>
  </si>
  <si>
    <t>CN308078588S</t>
  </si>
  <si>
    <t>1.本外观设计产品的名称：带企业出行打车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企业员工用车、打车与展示信息的用途。;7.图形用户界面的人机交互方式：主视图显示的图形用户界面为打开程序的起始界面；点击主视图中央最右边的“三道杠”图形按钮弹出界面变化状态图1；点击主视图下方“输入你的目的地”按钮进入界面变化状态图2；在界面变化状态图2最上方“请输入终点”输入框内输入任意内容得到界面变化状态图3；点击界面变化状态图3上方的三个搜索结果的任意一个进入界面变化状态图4；在界面变化状态图4右上方勾选“全选舒适型”右边的方框得到界面变化状态图5；点击界面变化状态图4右下角的“下一步”按钮进入界面变化状态图6；点击界面变化状态图6右下角的“确认呼叫”按钮进入界面变化状态图7；界面变化状态图8为在界面变化状态图6不符合差旅标准的情况下点击“确认呼叫”时进入的界面；点击界面变化状态图7右下方的“取消订单”按钮得到界面变化状态图9；界面变化状态图10为在界面变化状态图7等待司机接单后自动进入的界面；在界面变化状态图10下方任意位置向上滑动得到界面变化状态图11；在界面变化状态图11中央任意位置向上滑动得到界面变化状态图12；界面变化状态图13为在界面变化状态图10等待司机跑完行程后自动进入的界面；点击界面变化状态图13右下角的“去支付”按钮并完成付款后进入界面变化状态图14；在界面变化状态图14下方任意位置向上滑动得到界面变化状态图15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部分属于内容画面。;1.本外观设计产品的名称：带企业出行打车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企业员工用车、打车与展示信息的用途。;7.图形用户界面的人机交互方式：主视图显示的图形用户界面为打开程序的起始界面；点击主视图中央最右边的“三道杠”图形按钮弹出界面变化状态图1；点击主视图下方“输入你的目的地”按钮进入界面变化状态图2；在界面变化状态图2最上方“请输入终点”输入框内输入任意内容得到界面变化状态图3；点击界面变化状态图3上方的三个搜索结果的任意一个进入界面变化状态图4；在界面变化状态图4右上方勾选“全选舒适型”右边的方框得到界面变化状态图5；点击界面变化状态图4右下角的“下一步”按钮进入界面变化状态图6；点击界面变化状态图6右下角的“确认呼叫”按钮进入界面变化状态图7；界面变化状态图8为在界面变化状态图6不符合差旅标准的情况下点击“确认呼叫”时进入的界面；点击界面变化状态图7右下方的“取消订单”按钮得到界面变化状态图9；界面变化状态图10为在界面变化状态图7等待司机接单后自动进入的界面；在界面变化状态图10下方任意位置向上滑动得到界面变化状态图11；在界面变化状态图11中央任意位置向上滑动得到界面变化状态图12；界面变化状态图13为在界面变化状态图10等待司机跑完行程后自动进入的界面；点击界面变化状态图13右下角的“去支付”按钮并完成付款后进入界面变化状态图14；在界面变化状态图14下方任意位置向上滑动得到界面变化状态图15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部分属于内容画面。</t>
  </si>
  <si>
    <t>带企业出行打车图形用户界面的显示屏幕面板</t>
  </si>
  <si>
    <t>CN308078592S</t>
  </si>
  <si>
    <t>1.本外观设计产品的名称：显示屏幕面板的物业行业党组织管理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物业行业党组织管理。;设计1主视图为物业行业党组织管理的主界面，用户点击左侧导航栏可查看更多信息。;设计2主视图为行业党组织管理界面，用户可点击选择管理已建立的行业党组织，亦可新建行业党组织。;设计3主视图为小区党组织管理界面，用户可点击选择管理已建立的行业党组织，亦可新建小区党组织。;设计4主视图为党建活动界面，界面默认显示所有状态的党建活动，用户可根据界面提示进行修改操作。;设计5主视图为党建动态界面，界面默认显示所有为已发布状态的党建活动，用户可根据界面提示进行修改操作。;设计6主视图为党务公开界面，界面默认显示所有状态的党建活动，用户可根据界面提示进行修改操作。;7.其他说明：本显示屏幕面板应用于车辆、计算机、笔记本电脑、平板电脑、手机、智能手表、智能手环、健身监视器、头戴式耳机、个人数字助理（PDA）、智能音箱、电视、机顶盒、投影仪、游戏机或导航仪。;1.本外观设计产品的名称：显示屏幕面板的物业行业党组织管理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物业行业党组织管理。;设计1主视图为物业行业党组织管理的主界面，用户点击左侧导航栏可查看更多信息。;设计2主视图为行业党组织管理界面，用户可点击选择管理已建立的行业党组织，亦可新建行业党组织。;设计3主视图为小区党组织管理界面，用户可点击选择管理已建立的行业党组织，亦可新建小区党组织。;设计4主视图为党建活动界面，界面默认显示所有状态的党建活动，用户可根据界面提示进行修改操作。;设计5主视图为党建动态界面，界面默认显示所有为已发布状态的党建活动，用户可根据界面提示进行修改操作。;设计6主视图为党务公开界面，界面默认显示所有状态的党建活动，用户可根据界面提示进行修改操作。;7.其他说明：本显示屏幕面板应用于车辆、计算机、笔记本电脑、平板电脑、手机、智能手表、智能手环、健身监视器、头戴式耳机、个人数字助理（PDA）、智能音箱、电视、机顶盒、投影仪、游戏机或导航仪。</t>
  </si>
  <si>
    <t>显示屏幕面板的物业行业党组织管理图形用户界面</t>
  </si>
  <si>
    <t>CN115718811A</t>
  </si>
  <si>
    <t>本发明公开了一种基于活动流的学生成长追踪数据处理方法，具体为：训练获取五大活动流描述模型，自主学习活动流，测试学习活动流，互动学习活动流，体育活动流，科普活动流；收集针对学生在不同区域所产生的数据；收集的数据存入基础数据平台(ODS)中,并采用基于日志的变更数据捕获(CDC)进行数据更新；对基础数据平台(ODS)中的非结构化数据，文本，图像/视频，音频通过深度学习方式进行活动流信息提取；通过已封装的ETL Engine轮询调用SQL Merge，将更新的数据送入数据仓库(DW)；对数据仓库(DW)的数据根据预设的五大活动流描述模型进行特征级数据融合以及决策级数据融合；可用于学生成长追踪分析。</t>
  </si>
  <si>
    <t>一种基于活动流的学生成长追踪数据处理方法</t>
  </si>
  <si>
    <t>US20230094822A1</t>
  </si>
  <si>
    <t>本发明提供了一种用于促进基于健身挑战来奖励个人的方法和系统。 该方法及系统包括接收用户数据、分析用户数据生成用户账号的步骤; 向至少一个用户设备发送多个主动健身挑战,接收选择; 接收对应于选择的付款; 接收用户活动数据和个人身体数据; 分析用户活动数据和个人身体数据,生成归一化的活动分数; 基于至少一种机器学习算法处理归一化的活动分数; 验证归一化的活跃分数; 生成与至少一个用户相关联的有效归一化活动分数; 生成记分卡; 产生奖励; 至少将奖励传送到获胜者设备; 存储奖励、用户数据、有效归一化活跃分数、选择、个人身体数据、用户活动数据和支付。</t>
  </si>
  <si>
    <t>促进基于健身挑战奖励个人的方法和系统</t>
  </si>
  <si>
    <t>CN308048955S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</si>
  <si>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6.图形用户界面的用途：本图形用户界面用于泵站控制系统。
 设计1主视图为泵站控制系统的首页界面，设计2主视图为带菜单栏的泵站控制系统首页界面，设计3主视图至设计5为带弹窗的泵站控制系统首页界面，用户可根据界面提示进行相关操作。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</si>
  <si>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显示屏幕面板的泵站控制系统图形用户界面</t>
  </si>
  <si>
    <t>CN308048951S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</si>
  <si>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4.最能表明设计要点的图片或照片：主视图。
 5.图形用户界面的用途：主视图为泵站控制系统的基本信息显示界面，用户可根据界面提示进行相关操作。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</si>
  <si>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CN308048954S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</si>
  <si>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6.图形用户界面的用途：设计1主视图和设计2主视图为设备的参数显示界面，用户可根据界面提示进行相关操作。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</si>
  <si>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CN308048956S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</si>
  <si>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4.最能表明设计要点的图片或照片：主视图。
 5.图形用户界面的用途：主视图为泵站控制系统的参数设置界面，用户可根据界面提示进行相关操作。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</si>
  <si>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CN308048952S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</si>
  <si>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4.最能表明设计要点的图片或照片：主视图。
 5.图形用户界面的用途：主视图为泵站控制系统的先导参数设置界面，用户可根据界面提示进行相关操作。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</si>
  <si>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CN308048953S</t>
  </si>
  <si>
    <t>1.本外观设计产品的名称：显示屏幕面板的泵站控制系统图形用户界面。
 2.本外观设计产品的用途：用于运行程序、信息显示、人机交互。
 3.本外观设计产品的设计要点：在于屏幕中图形用户界面的界面内容。
 4.最能表明设计要点的图片或照片：主视图。
 5.图形用户界面的用途：主视图为泵站控制系统的故障信息显示界面，用户可根据界面提示进行相关操作。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</si>
  <si>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CN308070338S</t>
  </si>
  <si>
    <t>1.本外观设计产品的名称：用于测序仪操作的图形用户界面。2.本外观设计产品的用途：用于操作仪器完成预通测序、预通和清洗等功能。3.本外观设计产品的设计要点：在于图形用户界面。4.最能表明设计要点的图片或照片：主视图。5.无设计要点，省略其他视图。6.图形用户界面的用途：界面变化状态图1为主界面；界面变化状态图2登陆界面；界面变化状态图3为主要功能模块的入口的开锁状态；界面变化状态图4为主要功能模块的入口的关锁状态，关锁状态下无法点击界面中其他按钮；其余界面变化状态图为具体操作过程。7.图形用户界面的人机交互方式：点击界面变化状态图3 “测序”，进入界面变化状态图5；点击“标准测序”或“灵活测序”下的“启动”，进入界面变化状态图6；点击“导入”，导入实验表单后，进入界面变化状态图7，点击“下一步”，进入界面变化状态图8；放置对应测序试剂后，在“灵活测序”下，点击“下一步”，进入界面变化状态图9；点击“预通”，进入界面变化状态图10，待“预通”完成后自动进入界面变化状态图12；在“标准测序”下，在界面变化状态图8中点击“下一步”，进入界面变化状态图11，再点击“下一步”，进入界面变化状态图12；在界面变化状态图12中点击“下一步”，进入界面变化状态图13；点击“启动测序”，进入界面变化状态图14，测序运行到有图像质量数据后，自动进入界面变化状态图15；点击“实验信息”，进入界面变化状态图16；点击“测序报告”，进入界面变化状态图17；若在界面变化状态图14或15，点击“暂停测序”，进入界面变化状态图18；若在界面变化状态图14或15点击“停止测序”，则进入界面变化状态图19，再点击“是”，进入界面变化状态图20；若无停止测序，待测序完成后，自动则进入界面变化状态图21‑22；点击界面变化状态图3 “清洗”，进入界面变化状态图23；点击“快速清洗”，“常规清洗”，“维护清洗”下任一“启动”，进入界面变化状态图24；点击“启动清洗”，进入界面变化状态图25；点击“暂停清洗”，进入界面变化状态图26；若点击“停止清洗”，则进入界面变化状态图27；点击“是”，进入界面变化状态图28；若无停止清洗，待清洗完成后，自动则进入界面变化状态图29；在任一界面中点击右上角第一个图标，进入界面变化状态图2；在任一界面中点击右上角第二个图标，进入界面变化状态图30；在任一界面中点击右上角第三个图标，进入界面变化状态图31；在任一界面中点击右上角第四个图标，进入界面变化状态图32；在界面变化状态图32；点击“数据设置”，进入界面变化状态图33；点击“维护”，进入界面变化状态图34；点击“系统设置”，进入界面变化状态图35；点击“帮助”，进入界面变化状态图36；点击“关于”，进入界面变化状态图37；点击“关机”，进入界面变化状态图38。</t>
  </si>
  <si>
    <t>用于测序仪操作的图形用户界面</t>
  </si>
  <si>
    <t>CN308096009S</t>
  </si>
  <si>
    <t>1.本外观设计产品的名称：显示屏幕面板的内容展示图形用户界面。;2.本外观设计产品的用途：用于显示图形用户界面。;3.本外观设计产品的设计要点：在于图形用户界面。;4.最能表明设计要点的图片或照片：设计1主视图。;5.显示屏幕面板为惯常设计，省略其他视图。;6.指定设计1为基本设计。;7.图形用户界面的用途：用于照片和/或视频内容的展示、评论、点赞。;8.图形用户界面的人机交互方式：在设计1‑6的主视图中，用户可通过上下滑动中部区域查看更多内容，用户触控界面中部内容画面区域可查看具体的图片或视频。;界面中带有灰色小方块的区域为可替换图片或视频的马赛克效果，并非许多小图片和视频的组合，圆形灰色区域为可替换的用户头像。;设计界面中的X代表文字和/或数字和/或字母和/或符号。;9.其他需要说明的情形其他说明：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1.本外观设计产品的名称：显示屏幕面板的内容展示图形用户界面。;2.本外观设计产品的用途：用于显示图形用户界面。;3.本外观设计产品的设计要点：在于图形用户界面。;4.最能表明设计要点的图片或照片：设计1主视图。;5.显示屏幕面板为惯常设计，省略其他视图。;6.指定设计1为基本设计。;7.图形用户界面的用途：用于照片和/或视频内容的展示、评论、点赞。;8.图形用户界面的人机交互方式：在设计1‑6的主视图中，用户可通过上下滑动中部区域查看更多内容，用户触控界面中部内容画面区域可查看具体的图片或视频。;界面中带有灰色小方块的区域为可替换图片或视频的马赛克效果，并非许多小图片和视频的组合，圆形灰色区域为可替换的用户头像。;设计界面中的X代表文字和/或数字和/或字母和/或符号。;9.其他需要说明的情形其他说明：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</si>
  <si>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显示屏幕面板的内容展示图形用户界面</t>
  </si>
  <si>
    <t>IN202241066640A</t>
  </si>
  <si>
    <t>本发明涉及一种排球网管理装置,包括设置在排球场内用于抓握的一对杆1,设置在杆1上用于采集并处理场地多幅图像的人工智能图像采集模块2,保持单元3配置在 用于包裹/展开网5的杆1,布置在杆1上用于测量网5上水的存在的非接触式湿度传感器,布置在网5的下部纵向部分上的弯曲板4用于布置吸盘6和轮7 、鼓风机8和与板4设置的振动电机在板4在网5下方移动时启动以收集滴水并将热空气吹过网5表面干燥,拉力传感器设置在吊环螺栓9上用于测量 在网 5 上施加张力。</t>
  </si>
  <si>
    <t>排球网管理器</t>
  </si>
  <si>
    <t>IN202241066491A</t>
  </si>
  <si>
    <t>我们的发明“使用基于物联网的区块链平台的医疗保健支持管理系统” 由于在电子医疗应用程序中不仅可以使用参与者和无线组件,还可以提供更多的安全保障。 此外,确保不同服务中的数据机密性成为关键要求。 在这项创新中,我们建议从与拟议的物联网区块链平台相关部署的健康和健身智能设备中收集数据。 这些设备的使用有助于我们提取大量非常有价值的健康数据,这些数据经过过滤、分析并存储在电子健康记录 (EHR) 中。 该平台的不同参与者、教练、患者和医生合作,以一种简单且具有成本效益的方式为各种疾病提供及时的诊断和治疗。 我们的主要目的是使用以太坊区块链技术提供对这些敏感数据的分布式、安全和授权访问。 我们为医疗保健应用程序设计了一个集成的低功耗物联网区块链平台来存储和审查 EHR。 *是基于区块链以太坊的架构,包括一个网络和移动应用程序,允许患者以及医疗和辅助医疗人员安全地访问健康信息。 以太坊节点在嵌入式平台上实现,尽管多处理器平台资源有限且功耗低,但仍应提供高效、灵活和安全的系统。</t>
  </si>
  <si>
    <t>使用基于物联网的区块链平台的医疗保健支持管理系统</t>
  </si>
  <si>
    <t>IN202241066416A</t>
  </si>
  <si>
    <t>一种足球训练装置,包括供使用者佩戴在腰部进行足球训练的腰带1,安装在腰带1上的计算单元,使用户可以选择要练习的踢球类型,可伸缩的L形连杆2配置有 带1并通过足球背带3与足球相连,配置在连杆2和带1之间的机动滑块4沿带1平移连杆2以将带1定位在适当位置,吸盘5通过伸缩杆与连杆2相连 6伸长以夹住足球,弹簧8配置杆6和连杆2压缩以支撑足球,人工智能图像捕捉模块7安装在皮带1上以监控练习,电动滚轮9缠绕绳子 10 连接到线束 3 用于定位背部足球。</t>
  </si>
  <si>
    <t>足球训练器</t>
  </si>
  <si>
    <t>CN115691758A</t>
  </si>
  <si>
    <t>本公开提供一种健身操锻炼评估方法及系统，该方法包括：根据运动时预设身体部位的感知信息对预设神经网络模型进行训练得到健身操动作识别模型；根据获取的待预测对象的预设身体部位的感知信息确定每个单元动作的起始点以及结束点，并将每个单元动作的感知信息输入至所述健身操动作识别模型，得到所述每个单元动作的动作相似度；根据预设的动作强度计算方法计算每个单元动作的动作强度，并根据预设的心率计算方法计算每个单元动作的心率达标度，以及根据预设的肌肉锻炼达标计算方法计算每个单元动作的肌肉锻炼达标率；根据所述待预测对象的各个单元动作的动作相似度、动作强度、心率达标度以及肌肉锻炼达标率生成待预测对象的锻炼评估结果。</t>
  </si>
  <si>
    <t>健身操锻炼评估方法及系统</t>
  </si>
  <si>
    <t>US20230158368A1</t>
  </si>
  <si>
    <t>一种用于确定机械运行功率的系统、方法和计算机程序产品。 从位于脚下的多个力传感器获取多个传感器读数。 使用合计力数据确定多个步幅的力值。 确定每个步幅的坡度、站立时间和跑步速度。 与多个传感器读数相关联的机械跑步功率通过将力值、斜率、站立时间和跑步速度输入到训练以预测机械跑步功率的机器学习模型来确定。 然后可以将机械运行功率作为反馈提供给用户或存储起来以供日后查看和分析之用。 机器学习模型的输入可以完全基于从用户佩戴的可穿戴设备接收到的传感器数据来确定。</t>
  </si>
  <si>
    <t>用于确定运行功率的系统和方法</t>
  </si>
  <si>
    <t>CN308220582S</t>
  </si>
  <si>
    <t>1.本外观设计产品的名称：显示屏幕面板的视频信息展示图形用户界面。2.本外观设计产品的用途：本外观设计产品用于显示图形用户界面。3.本外观设计产品的设计要点：在于图形用户界面。4.最能表明设计要点的图片或照片：设计1主视图。5.指定设计1为基本设计。6.图形用户界面的用途：本图形用户界面用于展示视频信息。7.图形用户界面的人机交互方式：设计1至设计5主视图的图形用户界面为视频信息展示的界面，用户可以点击界面底部的长条按钮进行视频的制作，该长条按钮位置对应设计1主视参考图的底部右侧的长条按钮位置。各设计界面中的灰色色块为可替换的图片或视频。各设计界面中的叉号代表文字和/或数字和/或字母和/或符号。8.该图形用户界面可用于手机、计算机、平板电脑、电视、车载中控屏幕、车载导航仪、车载显示装置、游戏机、导航仪、智能音箱、带显示屏幕的智能健身镜、带显示屏幕的健身监视器、带显示屏幕的冰箱、带显示屏幕的空调、带显示屏幕的料理机、带显示屏幕的机器人、智能手环、智能手表、智能眼镜、智能耳机、智能台灯、智能门系统、广告显示屏、自动售卖机、带显示屏幕的按摩器、带显示屏幕的康复护理仪。9.显示屏幕面板为惯常设计，省略各项设计的后视图、左视图、右视图、俯视图、仰视图。</t>
  </si>
  <si>
    <t>US20230084808A1</t>
  </si>
  <si>
    <t>本申请公开了一种基于人工智能(AI)的虚拟赛车控制方法。 该方法包括:通过客户端控制第一虚拟赛车在某轮赛车游戏的虚拟地图上行驶,第一虚拟赛车为追逐赛车,第一账户为参与该轮比赛的账户。 赛车游戏; 在客户端显示当第一虚拟赛车在虚拟地图上的预定位置撞到第二虚拟赛车时,第二虚拟赛车的续航值降低,第二虚拟赛车为逃跑赛车 由登录本轮次的账号控制的轮次; 当第二虚拟赛车的续航值大于预设阈值一定时间后,在客户端显示第二虚拟赛车赢得本轮赛车游戏。</t>
  </si>
  <si>
    <t>虚拟赛车的控制方法、装置、存储介质和装置</t>
  </si>
  <si>
    <t>US20230153641A1</t>
  </si>
  <si>
    <t>包括一个或多个机器学习模型的应用程序实例从订户计算系统接收包括非结构化数据的文档。 基于非结构化数据,应用程序实例生成包括多个已解析文档部分的优化模型输入。 对于每个解析的文档部分,应用实例通过机器学习模型执行至少一个关键信息提取操作来生成输出集。 机器学习模型将结构化形式的输出传输到至少部分由与订户计算系统相关联的订户实体操作或托管的目标应用程序。</t>
  </si>
  <si>
    <t>用于在组织中构建数据的机器学习平台</t>
  </si>
  <si>
    <t>WO2023091522A1</t>
  </si>
  <si>
    <t>包括一个或多个机器学习模型的应用实例从订户计算系统接收包括非结构化数据的文档。 基于非结构化数据,应用程序实例生成包括多个已解析文档部分的优化模型输入。 对于每个解析的文档部分,应用实例通过机器学习模型执行至少一个关键信息提取操作来生成输出集。 机器学习模型将结构化形式的输出传输到至少部分由与订户计算系统相关联的订户实体操作或托管的目标应用程序。</t>
  </si>
  <si>
    <t>CN308110892S</t>
  </si>
  <si>
    <t>1.本外观设计产品的名称：带自定义足球主题表盘图形用户界面的手表。2.本外观设计产品的用途：用于显示信息和交互。3.本外观设计产品的设计要点：在于图形用户界面内容中的界面内容。4.最能表明设计要点的图片或照片：主视图。5.载体为现有设计，省略后视图、左视图、右视图、俯视图及仰视图。6.图形用户界面的用途：本外观设计产品为可自定义的足球主题的图形用户界面。7.图形用户界面的人机交互方式：主视图所示为主题主界面；用户长按主视图表盘界面，可进入变化状态图1所示界面；用户点击变化状态图1中底部编辑按钮，进入变化状态图2所示界面；用户在变化状态图2至变化状态图5中上下滑动界面，可切换显示不同的背景，并通过点击上述视图中底部完成按钮选定背景；用户在变化状态图2至变化状态图5任一界面向左滑动界面，可进入变化状态图6界面；用户在变化状态图6至变化状态图9中上下滑动界面，可切换显示不同的样式，并通过可点击上述视图中底部完成按钮选定样式；变化状态图10至变化状态图24所示界面，为该主题图案下选择不同背景及样式后搭配效果界面；在变化状态图2中，向左滑动界面进入变化状态图6后，在变化状态图6中点击完成按钮，进入主视图；在变化状态图2中，向左滑动界面进入变化状态图6后，在变化状态图6中上下滑动界面进入变化状态图7、变化状态图8或变化状态图9，在变化状态图7中上下滑动界面进入变化状态图6、变化状态图8或变化状态图9，在变化状态图8中上下滑动界面进入变化状态图6、变化状态图7或变化状态图9，在变化状态图9中上下滑动界面进入变化状态图6、变化状态图7或变化状态图8，其中，在变化状态图7中点击完成按钮进入变化状态图10，在变化状态图8中点击完成按钮进入变化状态图11，在变化状态图9中点击完成按钮进入变化状态图12；在变化状态图3中，向左滑动界面进入变化状态图6后，在变化状态图6中点击完成按钮，进入变化状态图13；在变化状态图3中，向左滑动界面进入变化状态图6后，在变化状态图6中上下滑动界面进入变化状态图7、变化状态图8或变化状态图9，在变化状态图7中上下滑动界面进入变化状态图6、变化状态图8或变化状态图9，在变化状态图8中上下滑动界面进入变化状态图6、变化状态图7或变化状态图9，在变化状态图9中上下滑动界面进入变化状态图6、变化状态图7或变化状态图8，其中，在变化状态图7中点击完成按钮进入变化状态图14，在变化状态图8中点击完成按钮进入变化状态图15，在变化状态图9中点击完成按钮进入变化状态图16；在变化状态图4中，向左滑动界面进入变化状态图6后，在变化状态图6中点击完成按钮，进入变化状态图17；在变化状态图4中，向左滑动界面进入变化状态图6后，在变化状态图6中上下滑动界面进入变化状态图7、变化状态图8或变化状态图9，在变化状态图7中上下滑动界面进入变化状态图6、变化状态图8或变化状态图9，在变化状态图8中上下滑动界面进入变化状态图6、变化状态图7或变化状态图9，在变化状态图9中上下滑动界面进入变化状态图6、变化状态图7或变化状态图8，其中，在变化状态图7中点击完成按钮进入变化状态图18，在变化状态图8中点击完成按钮进入变化状态图19，在变化状态图9中点击完成按钮进入变化状态图20；在变化状态图5中，向左滑动界面进入变化状态图6后，在变化状态图6中点击完成按钮，进入变化状态图21；在变化状态图5中，向左滑动界面进入变化状态图6后，在变化状态图6中上下滑动界面进入变化状态图7、变化状态图8或变化状态图9，在变化状态图7中上下滑动界面进入变化状态图6、变化状态图8或变化状态图9，在变化状态图8中上下滑动界面进入变化状态图6、变化状态图7或变化状态图9，在变化状态图9中上下滑动界面进入变化状态图6、变化状态图7或变化状态图8，其中，在变化状态图7中点击完成按钮进入变化状态图22，在变化状态图8中点击完成按钮进入变化状态图23，在变化状态图9中点击完成按钮进入变化状态图24。</t>
  </si>
  <si>
    <t>带自定义足球主题表盘图形用户界面的手表</t>
  </si>
  <si>
    <t>CN219705182U</t>
  </si>
  <si>
    <t>本实用新型属于智能机器人技术领域，尤其是一种轻量化高稳定性智能巡线机器人，针对现有的规定时间内智能机器人自动程序高速运行不稳定的问题，现提出如下方案，其包括底盘；驱动组件，所述驱动组件固定连接在底盘的底部并用于使得机器人能够自由行走；控制组件，所述控制组件固定连接在底盘的顶部并用于控制机器人的移动和工作；爪部，所述爪部位于底板的一侧并用于获取不在线上的魔方，将其拉回到黑线附近，并推到终点。本实用新型中，机器人底盘、爪部、过渡装置等基本采用3D打印构建或者科技梁，其基本相对较轻，引用轻量化的理念，减轻车身质量，不打滑的前提下，比赛规定时间内提高巡线推魔方的效率。</t>
  </si>
  <si>
    <t>一种轻量化高稳定性智能巡线机器人</t>
  </si>
  <si>
    <t>CN308074393S</t>
  </si>
  <si>
    <t>1.本外观设计产品的名称：显示屏幕面板的拍摄图形用户界面。2.本外观设计产品的用途：本外观设计产品用于显示图形用户界面。3.本外观设计产品的设计要点：在于图形用户界面。4.最能表明设计要点的图片或照片：设计1主视图。5.指定设计1为基本设计。6.图形用户界面的用途：本图形用户界面用于拍摄。7．图形用户界面的人机交互方式：设计1至设计5主视图的图形用户界面为拍摄的界面，用户可以点击界面下部的圆形控件进行拍摄，该圆形控件位置对应设计1主视参考图下部的圆形控件位置。各设计界面中的灰色或白色色块为可替换的图片或视频。各设计界面中的叉号代表文字和/或数字和/或字母和/或符号。8．该图形用户界面可用于手机、计算机、平板电脑、电视、车载中控屏幕、车载导航仪、车载显示屏、游戏机、导航仪、多媒体一体机、智能音箱、带显示屏幕的智能健身镜、带显示屏幕的健身监视器、带显示屏幕的冰箱、带显示屏幕的空调、带显示屏幕的料理机、带显示屏幕的机器人、智能手环、智能手表、智能眼镜、智能耳机、智能台灯、带显示屏幕的门禁、广告显示屏、自动售卖机、带显示屏幕的按摩器、带显示屏幕的康复护理仪。9．显示屏幕面板为惯常设计，省略各项设计的后视图、左视图、右视图、俯视图、仰视图。</t>
  </si>
  <si>
    <t>KR102565179B1</t>
  </si>
  <si>
    <t>本发明公开了一种基于人工智能的图书策展平台运营服务器及其运营方法。 基于人工智能的图书策展平台操作服务器可以包括至少一个处理器和存储指令该至少一个处理器执行至少一个步骤的指令的存储器。 这里,至少一个步骤包括根据用户之前的信息将用户分配到联赛组,根据用户的比赛情况生成该比赛的对阵表,并根据创建的对阵表进行比赛。根据用户之前参与开启游戏的历史信息和游戏状况,修改基础地图的地形信息,生成用户定制的游戏地图,根据开启游戏的进度生成用户的挥杆信息,确定用户的技能变化趋势根据影响信息、地图策略信息和过往历史信息,根据确定的技能变化趋势计算用户的游戏操作得分,并根据游戏操作得分为用户提供差别奖励。可以包括提供步骤。</t>
  </si>
  <si>
    <t>能够调整任务难度并提供差别奖励的高尔夫模拟装置和方法</t>
  </si>
  <si>
    <t>IN202231064958A</t>
  </si>
  <si>
    <t>一种跳高训练装置,包括位于地面上方的平台 1、用户访问以提供输入的显示屏 2、基于人工智能 (AI) 的成像单元 3,用于捕获和处理周围图像以确定高度 用户在屏幕 2 上提供输入的同时,面板 4 安装有多个激光灯 5,其在平台 1 的周围投射一束激光以形成轨迹供用户在跑步时追踪,一对杆 6 定位有杆 7经由电动滑动器8沿杆6平移杆7以将杆7定向在最佳高度以供用户跳过杆7以在完成轨迹后执行跳高,扬声器9用于产生语音命令以指示用户执行 以适当的方式跳高。</t>
  </si>
  <si>
    <t>跳高训练器</t>
  </si>
  <si>
    <t>CN307960235S</t>
  </si>
  <si>
    <t>1.本外观设计产品的名称：显示屏幕面板的测试平台用例管理图形用户界面。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6.图形用户界面的用途：本图形用户界面用于测试平台用例管理。
 设计1主视图和设计2主视图为测试用例的全部用例显示界面，列表展示所有测试类型用例的通用字段。
 设计3主视图为测试用例的功能显示界面，列表展示用例通用字段及功能测试用例专用字段。
 设计4主视图为测试用例的压力显示界面，列表展示用例通用字段及压力测试用例专用字段。
 设计5主视图为测试用例的性能显示界面，列表展示用例通用字段及性能测试用例专用字段。
 7.其他说明：本显示屏幕面板应用于车辆、计算机、笔记本电脑、平板电脑、手机、智能手表、智能手环、健身监视器、头戴式耳机、个人数字助理（PDA）、智能音箱、电视、机顶盒、投影仪、游戏机或导航仪。</t>
  </si>
  <si>
    <t>显示屏幕面板的测试平台用例管理图形用户界面</t>
  </si>
  <si>
    <t>CN308141427S</t>
  </si>
  <si>
    <t>1.本外观设计产品的名称：显示屏幕面板的线上学习图形用户界面。2.本外观设计产品的用途：用于交互和显示。3.本外观设计产品的设计要点：在于图形用户界面。4.最能表明设计要点的图片或照片：设计1主视图。5.设计1、设计2、设计3、设计4的其他视图无设计要点，省略设计1其他视图、设计2其他视图、设计3其他视图、设计4其他视图。6.指定设计1为基本设计。7.图形用户界面的用途：用于线上学习和查看各学科学习情况。8.图形用户界面的人机交互方式：设计1主视图为线上学习的主界面；点击设计1主视图中的“A.I.学”按钮，跳转至设计1界面变化状态图1；点击设计1界面变化状态图1中的“百宝箱”按钮，跳转至设计1界面变化状态图2；点击设计1界面变化状态图2中的“成长”按钮，跳转至设计1界面变化状态图3；点击设计1界面变化状态图3中的“完成度”按钮，跳转至设计1界面变化状态图4；设计2主视图为线上学习的主界面；点击设计2主视图中的“A.I.学”按钮，跳转至设计2界面变化状态图1；点击设计2界面变化状态图1中的“百宝箱”按钮，跳转至设计2界面变化状态图2；点击设计2界面变化状态图2中的“成长”按钮，跳转至设计2界面变化状态图3；点击设计2界面变化状态图3中的“完成度”按钮，跳转至设计2界面变化状态图4；设计3主视图为线上学习的主界面；点击设计3主视图中的“A.I.学”按钮，跳转至设计3界面变化状态图1；点击设计3界面变化状态图1中的“百宝箱”按钮，跳转至设计3界面变化状态图2；点击设计3界面变化状态图2中的“成长”按钮，跳转至设计3界面变化状态图3；点击设计3界面变化状态图3中的“完成度”按钮，跳转至设计3界面变化状态图4；设计4主视图为线上学习的主界面；点击设计4主视图中的“A.I.学”按钮，跳转至设计4界面变化状态图1；点击设计4界面变化状态图1中的“百宝箱”按钮，跳转至设计4界面变化状态图2；点击设计4界面变化状态图2中的“成长”按钮，跳转至设计4界面变化状态图3；点击设计4界面变化状态图3中的“完成度”按钮，跳转至设计4界面变化状态图4；设计1、设计2、设计3、设计4中的界面的灰色和黑色填充块为可变图画内容。9.显示用的载体设备为现有设计，该显示屏幕面板可以应用于计算机、笔记本电脑、平板电脑、手机、智能手机、智能手环、智能眼镜、手表、智能手表、健身监视器、头戴式耳机、个人数字助理、智能音箱、电视、监视器、机顶盒、导航仪。</t>
  </si>
  <si>
    <t>显示屏幕面板的线上学习图形用户界面</t>
  </si>
  <si>
    <t>IN202211064167A</t>
  </si>
  <si>
    <t>本发明涉及一种游泳训练装置,包括矩形平台1,第一部分和第二部分安装在地面上。 用于向平台1提供延伸和缩回的伸缩操作杆,用于将平台1粘附到地面的多个吸盘3,用于容纳用户的细长构件4,允许用户发出命令的触摸屏5, 人工智能启用图像 7,用于捕获用户的各种图像,一对通过细绳 9 连接的可穿戴单元 8,用于帮助用户执行游泳动作,电动滑块 10 用于为用户提供前后运动,全息投影仪 12 用于投影视觉表示以指导用户进行培训。</t>
  </si>
  <si>
    <t>游泳训练器</t>
  </si>
  <si>
    <t>CN115845349A</t>
  </si>
  <si>
    <t>本发明提供了一种基于深度学习技术进行运动目标检测的球类运动项目通用训练方法及辅助裁判系统，包括：建立基础权重参数，通过深度学习，建立训练后的权重参数；特定运动场景的参数优化，当基础权重参数出现误差时，通过设计参数优化模块，采集实际运动场景图像，进行优化训练，建立特定场景的优化权重参数。本发明建立网格化运动指标参数，训练或比赛时实时反馈网格运动指标变化，辅助教练员根据网格运动指标变化，优化或改进训练效果。可以任意叠加扩展的多相机的集成技术既可以用于比赛时的辅助裁判，也可以在训练时回放任意视角的高速高清影像帮助运动员分析动作姿态等。</t>
  </si>
  <si>
    <t>基于深度学习技术进行运动目标检测的球类运动项目通用训练方法及辅助裁判系统</t>
  </si>
  <si>
    <t>ZA202212258B</t>
  </si>
  <si>
    <t>公开了一种基于运动分量阈值和机器学习的溺水检测方法及系统。 该方法包括以下步骤:利用九轴传感器获取人体游泳运动数据,对数据进行滤波、归一化和快速傅里叶变换(FFT)处理,提取特征值,对特征值进行模式匹配, 在模式匹配失败时对运动数据进行分量分解,在计算水平位移前进行零速校正。 设置水平位移阈值作为确定可能溺水的条件。 当模式匹配失败,存在非溺水预警状态时,采用机器学习方法提取特征数据,并将特征数据分类存储在模式库中,模式库不断更新,预测准确率 检测算法可以不断改进。</t>
  </si>
  <si>
    <t>基于运动分量阈值和机器学习的溺水检测方法及系统</t>
  </si>
  <si>
    <t>CN115903799A</t>
  </si>
  <si>
    <t>本发明公开了一种基于桌壶机器人比赛的实验装置，属于人工智能与自动控制技术领域，包括：桌壶实验场地、桌壶机器人和桌壶裁判模块，其中，桌壶实验场地包括出发区、投掷区、自由防守区、得分区和自主返航通道；桌壶裁判模块包括裁判机、支架和摄像头，裁判机连接摄像头，摄像头安装在支架上；桌壶机器人在桌壶实验场地上运动，桌壶裁判模块固定在桌壶实验场地上，桌壶裁判模块的摄像头通过支架固定在得分区的圆心的正上方，且视场覆盖自由防守区和得分区。该装置设计了适用于人工智能领域的桌壶机器人比赛实验场地，不仅实现了桌壶机器人智能投掷桌壶球并自主返航，还实现了桌壶球定位和比分判定，可为研制冰壶机器人提供重要参考价值。</t>
  </si>
  <si>
    <t>基于桌壶机器人比赛的实验装置</t>
  </si>
  <si>
    <t>CN308141426S</t>
  </si>
  <si>
    <t>1.本外观设计产品的名称：显示屏幕面板的呼叫中心系统管理图形用户界面。2.本外观设计产品的用途：用于交互和显示。3.本外观设计产品的设计要点：在于图形用户界面。4.最能表明设计要点的图片或照片：主视图。5.其他视图无设计要点，省略其他视图。6.图形用户界面的用途：用于实现呼叫中心系统的客服管理。7.图形用户界面的人机交互方式：主视图为呼叫中心系统的主界面；点击主视图中的“通话”按钮，跳转至界面变化状态图1；点击界面变化状态图1中的“在线客服”按钮，跳转至界面变化状态图2；点击界面变化状态图2中的“联系历史”按钮，跳转至界面变化状态图3；点击界面变化状态图3中的“客户”按钮，跳转至界面变化状态图4；点击界面变化状态图4中的“公告”按钮，跳转至界面变化状态图5；点击界面变化状态图5中的 “待办任务”按钮，跳转至界面变化状态图6；点击界面变化状态图6中的“知识库”按钮，跳转至界面变化状态图7；点击界面变化状态图7中的“工单”按钮，跳转至界面变化状态图8；点击界面变化状态图8中的“运营监控”按钮，跳转至界面变化状态图9；点击界面变化状态图9中的“统计报表”按钮，跳转至界面变化状态图10；点击界面变化状态图10中的“短信”按钮，跳转至界面变化状态图11；点击界面变化状态图11中的“系统设置”按钮，跳转至界面变化状态图12；点击界面变化状态图12中的“运维配置”按钮，跳转至界面变化状态图13。8.显示用的载体设备为现有设计，该显示屏幕面板可以应用于计算机、笔记本电脑、平板电脑、手机、智能手机、智能手环、智能眼镜、手表、智能手表、健身监视器、头戴式耳机、个人数字助理、智能音箱、电视、监视器、机顶盒、导航仪。</t>
  </si>
  <si>
    <t>显示屏幕面板的呼叫中心系统管理图形用户界面</t>
  </si>
  <si>
    <t>IN202241064068A</t>
  </si>
  <si>
    <t>我们的发明"使用AI区块链平台的医疗保健和健身数据管理。"是由于超越艺术家的访问性和在电子障碍应用程序中的偏远部分的结果,提供更大的安全性和安全性是正常的。此外,保证各个管理部门内部的信息分类变成了关键的必要性。在本发明中,我们建议收集有关福利和健康精明的小工具的信息。这些小工具的利用有助于我们解脱出一定程度的重大健康信息,这些信息被分离,崩溃并放在电子健康记录中(EHRS)。舞台,导师,患者和专家的各种演艺人员合作以简单而实用的方式对不同疾病进行准时发现和治疗。我们的主要设计是通过以太坊区块链创新对这些微妙的信息进行传播,安全和批准的接纳。我们已经计划了一个合并的低控制的物联网区块链阶段,用于存储和调查EHRS的医疗服务。根据以太坊的区块链,这种设计结合了网络和多功能应用程序,允许患者以及临床和护理人员的工作人员对福祉数据具有可靠的访问。以太坊集线器是在植入阶段执行的,尽管多处理器阶段的资产受到限制和低功率利用,该阶段应该具有生产性,适应性和安全的框架。</t>
  </si>
  <si>
    <t>使用人工智能区块链平台进行医疗保健和健身数据管理</t>
  </si>
  <si>
    <t>CN115758138A</t>
  </si>
  <si>
    <t>本发明提供了一种基于深度学习的象棋软件作弊检测方法，主要包括以下步骤：将象棋软件提供的回放数据集按比例分为训练数据集和测试数据集，在训练数据集上训练模型；将训练数据集做预处理；构造神经网络；根据比赛选手的水平等级选择不同的训练数据集训练模型；使用不同的参数配置训练不同的模型，并将训练好的模型在测试数据集上运行；应用训练后的模型，将棋局特征和落子时间差存储在三维数组中，计算落子时间差的方差；将待检测的监督数据集输入模型，预测比赛选手作弊的概率。相较于现有技术，本发明在数据的特征设计以及落子时间差方面具有易于提取特征、维数低且全面的优点，通过深度学习并采用多种算法能够提高预测准确性和预测效率。</t>
  </si>
  <si>
    <t>基于深度学习的象棋软件作弊检测方法</t>
  </si>
  <si>
    <t>IN373734001S</t>
  </si>
  <si>
    <t>使用人工智能的瑜伽教练设备</t>
  </si>
  <si>
    <t>CN308078577S</t>
  </si>
  <si>
    <t>1.本外观设计产品的名称：显示屏幕面板的船只运行管理图形用户界面。;2.本外观设计产品的用途：用于交互和显示。;3.本外观设计产品的设计要点：在于图形用户界面的界面内容。;4.最能表明设计要点的图片或照片：主视图。;5.其他视图无设计要点，省略其他视图。;6.图形用户界面的用途：用于查看散杂货船代的艘次、净吨、货量的总量与趋势。;7.图形用户界面的人机交互方式：主视图为船代可视化界面的主界面，包含有“客户（船代指定方）排行榜”模块、“客户（委托方）排行榜”模块、“业务趋势图”模块、“业务类型分析”模块、“统计分析”模块、“代理评价”模块、地图模块等详细数据信息模块，包含“艘次”、“净吨”、“货量”、“预抵船舶”、“锚地船舶”、“泊位船舶”等实时数据展示；点击主视图上方的“艘次”选项，跳转至界面变化状态图1展示的包含有航次任务弹窗界面；在界面变化状态图1中的弹窗中选择“本港航次任务（货轮）”选项，跳转至界面变化状态图2展示的包含有本港航次任务（货轮）对应的艘次、净吨、货量趋势等航运信息；点击主视图中的“地图”按钮，跳转至界面变化状态图3展示的含有华东的地理位置信息，并展示该地理位置信息中对应的艘次、净吨、货量等航运信息；选中主视图中的“客户（船代指定方）排行榜”列表中任一客户并点击柱形图，跳转至界面变化状态图4展示的选中客户的详细信息，包含客户名称、业务类型等详细信息；选中主视图中的“统计分析”模块下的“艘次”扇形图中的任一区域并点击，跳转至界面变化状态图5展示的选中客户的详细信息，包含公司名称、业务类型、艘次等详细信息；选中主视图中的“统计分析”模块下的“货类”扇形图中的任一区域并点击，跳转至界面变化状态图6展示的货类分析界面，包含货类、艘次、净吨、货量等详细信息；选中主视图中的统计分析”模块下的“船型”扇形图中的任一区域并点击，跳转至界面变化状态图7展示的船型分析界面，包含船型名称、艘次、净吨、货量等详细信息；选中主视图中的“预抵船舶”按钮，跳转至界面变化状态图8展示的包含有预抵船舶类型弹窗界面；在界面变化状态图8中的余地船舶类型弹窗界面中选中“本港货轮”选项，跳转至界面变化状态图9展示的本港船舶列表界面，包含船名、航次、指定方、委托方、预计抵港时间、港口、船舶状态、处理状态等详细信息。;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1.本外观设计产品的名称：显示屏幕面板的船只运行管理图形用户界面。;2.本外观设计产品的用途：用于交互和显示。;3.本外观设计产品的设计要点：在于图形用户界面的界面内容。;4.最能表明设计要点的图片或照片：主视图。;5.其他视图无设计要点，省略其他视图。;6.图形用户界面的用途：用于查看散杂货船代的艘次、净吨、货量的总量与趋势。;7.图形用户界面的人机交互方式：主视图为船代可视化界面的主界面，包含有“客户（船代指定方）排行榜”模块、“客户（委托方）排行榜”模块、“业务趋势图”模块、“业务类型分析”模块、“统计分析”模块、“代理评价”模块、地图模块等详细数据信息模块，包含“艘次”、“净吨”、“货量”、“预抵船舶”、“锚地船舶”、“泊位船舶”等实时数据展示；点击主视图上方的“艘次”选项，跳转至界面变化状态图1展示的包含有航次任务弹窗界面；在界面变化状态图1中的弹窗中选择“本港航次任务（货轮）”选项，跳转至界面变化状态图2展示的包含有本港航次任务（货轮）对应的艘次、净吨、货量趋势等航运信息；点击主视图中的“地图”按钮，跳转至界面变化状态图3展示的含有华东的地理位置信息，并展示该地理位置信息中对应的艘次、净吨、货量等航运信息；选中主视图中的“客户（船代指定方）排行榜”列表中任一客户并点击柱形图，跳转至界面变化状态图4展示的选中客户的详细信息，包含客户名称、业务类型等详细信息；选中主视图中的“统计分析”模块下的“艘次”扇形图中的任一区域并点击，跳转至界面变化状态图5展示的选中客户的详细信息，包含公司名称、业务类型、艘次等详细信息；选中主视图中的“统计分析”模块下的“货类”扇形图中的任一区域并点击，跳转至界面变化状态图6展示的货类分析界面，包含货类、艘次、净吨、货量等详细信息；选中主视图中的统计分析”模块下的“船型”扇形图中的任一区域并点击，跳转至界面变化状态图7展示的船型分析界面，包含船型名称、艘次、净吨、货量等详细信息；选中主视图中的“预抵船舶”按钮，跳转至界面变化状态图8展示的包含有预抵船舶类型弹窗界面；在界面变化状态图8中的余地船舶类型弹窗界面中选中“本港货轮”选项，跳转至界面变化状态图9展示的本港船舶列表界面，包含船名、航次、指定方、委托方、预计抵港时间、港口、船舶状态、处理状态等详细信息。;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</si>
  <si>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显示屏幕面板的船只运行管理图形用户界面</t>
  </si>
  <si>
    <t>CN307971326S</t>
  </si>
  <si>
    <t>1.本外观设计产品的名称：带问卷主题设置图形用户界面的显示屏幕面板。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6.图形用户界面的用途：界面用于问卷的主题设置、编辑与预览的用途。
 7.图形用户界面的人机交互方式：主视图显示的图形用户界面为打开程序的起始界面；点击主视图右上角的“显示设置”按钮得到界面变化状态图1；点击主视图左上角的“开始页”按钮进入界面变化状态图2；点击主视图左上角的“答题页”按钮进入界面变化状态图3；点击主视图左上角的“结束页”按钮进入界面变化状态图4。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9.本外观设计产品的图形用户界面中的灰色“X”涂覆部分属于内容画面。</t>
  </si>
  <si>
    <t>带问卷主题设置图形用户界面的显示屏幕面板</t>
  </si>
  <si>
    <t>CN307971323S</t>
  </si>
  <si>
    <t>1.本外观设计产品的名称：带账号权限管理图形用户界面的显示屏幕面板。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6.图形用户界面的用途：界面用于账号管理与角色权限分配的用途。
 7.图形用户界面的人机交互方式：主视图显示的图形用户界面为打开程序的起始界面；点击主视图左上角的“角色权限”按钮进入界面变化状态图1。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</si>
  <si>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带账号权限管理图形用户界面的显示屏幕面板</t>
  </si>
  <si>
    <t>CN307971327S</t>
  </si>
  <si>
    <t>1.本外观设计产品的名称：带问卷创建编辑图形用户界面的显示屏幕面板。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6.图形用户界面的用途：界面用于问卷的创建、编辑与展示信息的用途。
 7.图形用户界面的人机交互方式：主视图显示的图形用户界面为打开程序的起始界面；点击主视图左上角的“设置”按钮进入界面变化状态图1；在界面变化状态图1中央任意位置向上滑动得到界面变化状态图2；在界面变化状态图2中央任意位置向上滑动得到界面变化状态图3；点击主视图最上方的“开启提醒”按钮进入界面变化状态图4；点击主视图最上方的“投放问卷”按钮进入界面变化状态图5；在界面变化状态图5中央任意位置向上滑动得到界面变化状态图6；点击主视图最上方的“数据报表”按钮进入界面变化状态图7；点击界面变化状态图7左上角的“配额进度”按钮进入界面变化状态图8。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</si>
  <si>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带问卷创建编辑图形用户界面的显示屏幕面板</t>
  </si>
  <si>
    <t>CN307971324S</t>
  </si>
  <si>
    <t>1.本外观设计产品的名称：带问卷项目管理图形用户界面的显示屏幕面板。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6.图形用户界面的用途：界面用于卷项目管理与展示信息的用途。
 7.图形用户界面的人机交互方式：主视图显示的图形用户界面为打开程序的起始界面；点击主视图右上方[示例]问卷调查项目卡片中的“答卷数”按钮弹出界面变化状态图1；点击主视图右上方[示例]问卷调查项目卡片中的“NPS”按钮弹出界面变化状态图2；点击主视图左上角的“三道杠”图形按钮得到界面变化状态图3；点击主视图左上角屏幕边缘的“圆形小三角”图形按钮弹出界面变化状态图4；点击界面变化状态图4左上角文件夹水平右方的“+”图形按钮弹出界面变化状态图5；点击界面变化状态图5左上角弹窗中的“保存”按钮得到界面变化状态图6；在界面变化状态图6左上角长按“未命名文件夹”标签弹出界面变化状态图7。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</si>
  <si>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带问卷项目管理图形用户界面的显示屏幕面板</t>
  </si>
  <si>
    <t>CN307971325S</t>
  </si>
  <si>
    <t>1.本外观设计产品的名称：带数据分析管理图形用户界面的显示屏幕面板。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6.图形用户界面的用途：界面用于问卷数据分析、管理与展示信息的用途。
 7.图形用户界面的人机交互方式：主视图显示的图形用户界面为打开程序的起始界面；点击主视图右上方的“进入分析项目”按钮进入界面变化状态图1；在界面变化状态图1的中央任意位置向上滑动得到界面变化状态图2；在界面变化状态图2的中央任意位置向上滑动得到界面变化状态图3；点击界面变化状态图1右上角的“话题管理”按钮进入界面变化状态图4。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</si>
  <si>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带数据分析管理图形用户界面的显示屏幕面板</t>
  </si>
  <si>
    <t>CN307971322S</t>
  </si>
  <si>
    <t>1.本外观设计产品的名称：带问卷数据管理图形用户界面的显示屏幕面板。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6.图形用户界面的用途：界面用于问卷数据管理、分析与浏览信息的用途。
 7.图形用户界面的人机交互方式：主视图显示的图形用户界面为打开程序的起始界面；点击主视图右上角操作标签下方从上至下第1个“详情”按钮进入界面变化状态图1；点击界面变化状态图1右上方的“数据清洗操作”按钮弹出界面变化状态图2；点击界面变化状态图1左上角的“字段管理”按钮进入界面变化状态图3；点击界面变化状态图1右上角的“+新增操作”按钮进入界面变化状态图4；点击界面变化状态图4右上角操作标签下的“详情”按钮弹出界面变化状态图5；点击界面变化状态图5左上方的“追加规则”按钮得到界面变化状态图6；点击界面变化状态图4右上角的“追加数据”按钮进入界面变化状态图7；在界面变化状态图7左上方点击勾选“[示例]问卷调查项目_答卷数据”左边的方框按钮并点击中央的“下一步”按钮进入界面变化状态图8；点击主视图右上角的“创建数据源”按钮弹出界面变化状态图9；点击界面变化状态图9右上角弹窗中的“添加答卷数据”按钮进入界面变化状态图10；在界面变化状态图10左上方点击勾选“[示例]问卷调查项目”左边的方框按钮并点击中央的“下一步”按钮进入界面变化状态图11；点击界面变化状态图9右上角弹窗中的“上传本地文件”按钮进入界面变化状态图12；点击界面变化状态图9右上角弹窗中的“创建合表数据”按钮弹出界面变化状态图13；点击界面变化状态图13右上角弹窗中的“多表连接(左右合表)”按钮进入界面变化状态图14；点击界面变化状态图14中央的“下一步”按钮进入界面变化状态图15；点击界面变化状态图13右上角弹窗中的“多表联合(上下合表)”按钮进入界面变化状态图16；点击界面变化状态图16中央的“下一步”按钮进入界面变化状态图17。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</si>
  <si>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带问卷数据管理图形用户界面的显示屏幕面板</t>
  </si>
  <si>
    <t>CN308020682S</t>
  </si>
  <si>
    <t>1.本外观设计产品的名称：带数据报表查看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问卷数据报表看板查看、编辑与展示信息的用途。;7.图形用户界面的人机交互方式：主视图显示的图形用户界面为打开程序的起始界面；点击主视图右上角的“九宫格”图形按钮得到界面变化状态图1；点击主视图右上角的“设置”按钮弹出界面变化状态图2；点击界面变化状态图1右上角弹窗中的“添加图表”按钮进入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数据报表查看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问卷数据报表看板查看、编辑与展示信息的用途。;7.图形用户界面的人机交互方式：主视图显示的图形用户界面为打开程序的起始界面；点击主视图右上角的“九宫格”图形按钮得到界面变化状态图1；点击主视图右上角的“设置”按钮弹出界面变化状态图2；点击界面变化状态图1右上角弹窗中的“添加图表”按钮进入界面变化状态图3。;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</si>
  <si>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带数据报表查看图形用户界面的显示屏幕面板</t>
  </si>
  <si>
    <t>CN308020681S</t>
  </si>
  <si>
    <t>1.本外观设计产品的名称：带数据分析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问卷仪表盘数据分析、编辑、管理与展示信息的用途。;7.图形用户界面的人机交互方式：主视图显示的图形用户界面为打开程序的起始界面；点击主视图左上角的“仪表盘”水平右方的“齿轮”图形按钮进入界面变化状态图1；点击主视图右上角的“编辑”按钮进入界面变化状态图2；点击界面变化状态图2中央最上方的“深色”按钮得到界面变化状态图3；点击界面变化状态图2右上角新建控件标签下方的“图表”卡片按钮弹出界面变化状态图4；点击界面变化状态图2右上角新建控件标签下方的“筛选器”卡片按钮弹出界面变化状态图5；点击界面变化状态图5中央弹窗中的“下一步”按钮得到界面变化状态图6；点击界面变化状态图6中央弹窗中的“下一步”按钮得到界面变化状态图7；点击界面变化状态图2最右侧批量设置标签下方的“标题&amp;nbsp;边框&amp;nbsp;尺寸”按钮弹出界面变化状态图8；点击界面变化状态图2中央左上方的“本月样本数”卡片按钮得到界面变化状态图9；点击界面变化状态图2右上角新建控件标签下方的“定制图表”卡片按钮进入界面变化状态图10；在界面变化状态图10最右侧任意位置向上滑动得到界面变化状态图11；在界面变化状态图11最右侧任意位置向上滑动得到界面变化状态图12；点击界面变化状态图10左上角的“维度”按钮弹出界面变化状态图13；点击界面变化状态图10左上角的“度量”按钮弹出界面变化状态图14；点击界面变化状态图10左上角的“+”图形按钮弹出界面变化状态图15；点击界面变化状态图15左上角弹窗中的“添加计算字段”按钮弹出界面变化状态图16；点击界面变化状态图15左上角弹窗中的“添加分组字段”按钮弹出界面变化状态图17；点击主视图右上角的“分享管理”按钮进入界面变化状态图18；点击界面变化状态图18右上角的“管理分享对象”按钮弹出界面变化状态图19。;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数据分析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问卷仪表盘数据分析、编辑、管理与展示信息的用途。;7.图形用户界面的人机交互方式：主视图显示的图形用户界面为打开程序的起始界面；点击主视图左上角的“仪表盘”水平右方的“齿轮”图形按钮进入界面变化状态图1；点击主视图右上角的“编辑”按钮进入界面变化状态图2；点击界面变化状态图2中央最上方的“深色”按钮得到界面变化状态图3；点击界面变化状态图2右上角新建控件标签下方的“图表”卡片按钮弹出界面变化状态图4；点击界面变化状态图2右上角新建控件标签下方的“筛选器”卡片按钮弹出界面变化状态图5；点击界面变化状态图5中央弹窗中的“下一步”按钮得到界面变化状态图6；点击界面变化状态图6中央弹窗中的“下一步”按钮得到界面变化状态图7；点击界面变化状态图2最右侧批量设置标签下方的“标题&amp;nbsp;边框&amp;nbsp;尺寸”按钮弹出界面变化状态图8；点击界面变化状态图2中央左上方的“本月样本数”卡片按钮得到界面变化状态图9；点击界面变化状态图2右上角新建控件标签下方的“定制图表”卡片按钮进入界面变化状态图10；在界面变化状态图10最右侧任意位置向上滑动得到界面变化状态图11；在界面变化状态图11最右侧任意位置向上滑动得到界面变化状态图12；点击界面变化状态图10左上角的“维度”按钮弹出界面变化状态图13；点击界面变化状态图10左上角的“度量”按钮弹出界面变化状态图14；点击界面变化状态图10左上角的“+”图形按钮弹出界面变化状态图15；点击界面变化状态图15左上角弹窗中的“添加计算字段”按钮弹出界面变化状态图16；点击界面变化状态图15左上角弹窗中的“添加分组字段”按钮弹出界面变化状态图17；点击主视图右上角的“分享管理”按钮进入界面变化状态图18；点击界面变化状态图18右上角的“管理分享对象”按钮弹出界面变化状态图19。;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</si>
  <si>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CN308020683S</t>
  </si>
  <si>
    <t>1.本外观设计产品的名称：带行动规则设置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问卷开启的行动规则设置、管理与展示信息的用途。;7.图形用户界面的人机交互方式：主视图显示的图形用户界面为打开程序的起始界面；点击主视图左上方触发条件下方的“自定义条件”按钮得到界面变化状态图1；点击主视图左上方的“跟进处理”按钮进入界面变化状态图2；点击界面变化状态图2左上方跟进处理下方的“工单”按钮得到界面变化状态图3；点击主视图左上方的“通知内容”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行动规则设置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问卷开启的行动规则设置、管理与展示信息的用途。;7.图形用户界面的人机交互方式：主视图显示的图形用户界面为打开程序的起始界面；点击主视图左上方触发条件下方的“自定义条件”按钮得到界面变化状态图1；点击主视图左上方的“跟进处理”按钮进入界面变化状态图2；点击界面变化状态图2左上方跟进处理下方的“工单”按钮得到界面变化状态图3；点击主视图左上方的“通知内容”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</si>
  <si>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带行动规则设置图形用户界面的显示屏幕面板</t>
  </si>
  <si>
    <t>CN308020679S</t>
  </si>
  <si>
    <t>1.本外观设计产品的名称：带答题奖励管理图形用户界面的显示屏幕面板。;2.本外观设计产品的用途：用于显示图形用户界面。;3.本外观设计产品的设计要点：在于屏幕中的图形用户界面。;4.最能表明设计要点的图片或照片：界面变化状态图2。;5.其他视图无设计要点，省略其他视图。;6.图形用户界面的用途：界面用于问卷答题奖励设置与管理的用途。;7.图形用户界面的人机交互方式：主视图显示的图形用户界面为打开程序的起始界面；点击主视图右上角的“+添加奖励”按钮进入界面变化状态图1；点击界面变化状态图1左上方的“抽奖”卡片按钮进入界面变化状态图2。;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答题奖励管理图形用户界面的显示屏幕面板。;2.本外观设计产品的用途：用于显示图形用户界面。;3.本外观设计产品的设计要点：在于屏幕中的图形用户界面。;4.最能表明设计要点的图片或照片：界面变化状态图2。;5.其他视图无设计要点，省略其他视图。;6.图形用户界面的用途：界面用于问卷答题奖励设置与管理的用途。;7.图形用户界面的人机交互方式：主视图显示的图形用户界面为打开程序的起始界面；点击主视图右上角的“+添加奖励”按钮进入界面变化状态图1；点击界面变化状态图1左上方的“抽奖”卡片按钮进入界面变化状态图2。;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</si>
  <si>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带答题奖励管理图形用户界面的显示屏幕面板</t>
  </si>
  <si>
    <t>CN308020678S</t>
  </si>
  <si>
    <t>1.本外观设计产品的名称：带联系人管理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联系人管理、编辑与浏览信息的用途。;7.图形用户界面的人机交互方式：主视图显示的图形用户界面为打开程序的起始界面；点击主视图左上方姓名标签下的“XXX”按钮进入界面变化状态图1；点击主视图右上角的“管理”按钮弹出界面变化状态图2；点击界面变化状态图2右上角弹窗中的“标签管理”按钮进入界面变化状态图3；点击主视图右上角的“新建联系人”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联系人管理图形用户界面的显示屏幕面板。;2.本外观设计产品的用途：用于显示图形用户界面。;3.本外观设计产品的设计要点：在于屏幕中的图形用户界面。;4.最能表明设计要点的图片或照片：界面变化状态图1。;5.其他视图无设计要点，省略其他视图。;6.图形用户界面的用途：界面用于联系人管理、编辑与浏览信息的用途。;7.图形用户界面的人机交互方式：主视图显示的图形用户界面为打开程序的起始界面；点击主视图左上方姓名标签下的“XXX”按钮进入界面变化状态图1；点击主视图右上角的“管理”按钮弹出界面变化状态图2；点击界面变化状态图2右上角弹窗中的“标签管理”按钮进入界面变化状态图3；点击主视图右上角的“新建联系人”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</si>
  <si>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带联系人管理图形用户界面的显示屏幕面板</t>
  </si>
  <si>
    <t>CN308020677S</t>
  </si>
  <si>
    <t>1.本外观设计产品的名称：带客户旅程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客户旅程安排、管理与信息浏览的用途。;7.图形用户界面的人机交互方式：主视图显示的图形用户界面为打开程序的起始界面；在主视图中央的任意位置向上滑动得到界面变化状态图1；点主视图右上角的“编辑”按钮进入界面变化状态图2；点击界面变化状态图2中央的“会员权益、服务人员、支付体验”单元格按钮得到界面变化状态图3；点击界面变化状态图2右上角的“关联数据”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客户旅程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客户旅程安排、管理与信息浏览的用途。;7.图形用户界面的人机交互方式：主视图显示的图形用户界面为打开程序的起始界面；在主视图中央的任意位置向上滑动得到界面变化状态图1；点主视图右上角的“编辑”按钮进入界面变化状态图2；点击界面变化状态图2中央的“会员权益、服务人员、支付体验”单元格按钮得到界面变化状态图3；点击界面变化状态图2右上角的“关联数据”按钮进入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</si>
  <si>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带客户旅程管理图形用户界面的显示屏幕面板</t>
  </si>
  <si>
    <t>CN308020676S</t>
  </si>
  <si>
    <t>1.本外观设计产品的名称：带工单记录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调查问卷的工单处理、管理与浏览信息的用途。;7.图形用户界面的人机交互方式：主视图显示的图形用户界面为打开程序的起始界面；点击主视图编号为“T2021092900004”水平最右侧的“查看”按钮进入界面变化状态图1；点击主视图右上方的“创建工单”按钮进入界面变化状态图2；点击主视图右上方的“更多”按钮弹出界面变化状态图3；点击界面变化状态图3右上方弹窗中的“行动模板管理”按钮进入界面变化状态图4；点击界面变化状态图4右上角操作标签下从上至下第2个“编辑”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工单记录管理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调查问卷的工单处理、管理与浏览信息的用途。;7.图形用户界面的人机交互方式：主视图显示的图形用户界面为打开程序的起始界面；点击主视图编号为“T2021092900004”水平最右侧的“查看”按钮进入界面变化状态图1；点击主视图右上方的“创建工单”按钮进入界面变化状态图2；点击主视图右上方的“更多”按钮弹出界面变化状态图3；点击界面变化状态图3右上方弹窗中的“行动模板管理”按钮进入界面变化状态图4；点击界面变化状态图4右上角操作标签下从上至下第2个“编辑”按钮进入界面变化状态图5。;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</si>
  <si>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带工单记录管理图形用户界面的显示屏幕面板</t>
  </si>
  <si>
    <t>CN308020680S</t>
  </si>
  <si>
    <t>1.本外观设计产品的名称：带模板库浏览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调查问卷模板库浏览、查询的用途。;7.图形用户界面的人机交互方式：在主视图中，界面展示了与模板库内容相关的模块布局，用户可以点击任意模块中的可操作控件执行更多操作。;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部分属于内容画面。;1.本外观设计产品的名称：带模板库浏览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调查问卷模板库浏览、查询的用途。;7.图形用户界面的人机交互方式：在主视图中，界面展示了与模板库内容相关的模块布局，用户可以点击任意模块中的可操作控件执行更多操作。;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部分属于内容画面。</t>
  </si>
  <si>
    <t>带模板库浏览图形用户界面的显示屏幕面板</t>
  </si>
  <si>
    <t>CN115690913A</t>
  </si>
  <si>
    <t>本发明涉及一种基于多摄像机视觉的泳池安全管理装置和方法，包括：图像获取模块，数据分析模块和报警支持模块；图像获取模块包括固定于泳池周边的多个摄像机，泳池中每一片区域均有超过两个摄像机的摄像范围的覆盖；其中，图像获取模块，用于获取泳池内待识别视频流；数据分析模块，用于基于训练之后的机器学习模型对待识别视频流进行识别和分析，获取泳池中的人物特征数据；人物特征数据包括：人体运动状态和游泳人数；数据分析模块，还用于基于人物特征数据确定泳池是否存在安全事件；报警支持模块，用于基于安全事件发出报警信号。本发明缓解了现有技术中存在的对处于水花中的人体识别率不高以及水下设备成本高的技术问题。</t>
  </si>
  <si>
    <t>基于多摄像机视觉的泳池安全管理装置和方法</t>
  </si>
  <si>
    <t>CN115590484A</t>
  </si>
  <si>
    <t>本发明涉及智能健身设备领域，具体公开了一种基于人工智能物联网设备的运动处方系统，所述系统包括静态信息获取模块，用于根据预设的采集设备获取用户的静态生理信息，基于所述个人信息存储所述静态生理信息；运动处方读取模块，用于根据所述静态生理信息在预设的运动处方库中读取运动处方；动态信息获取模块，用于根据预设的采集设备实时获取用户的动态生理信息；运动处方修正模块，用于根据所述动态生理信息修正所述运动处方；信息显示模块，用于实时显示生理信息和运动处方。本发明在传统的跑步机的基础上，增设智能化电子设备，实时获取用户的运动信息，生成运动指引，极大地提高了用户锻炼效果，智能化水平极高。</t>
  </si>
  <si>
    <t>基于人工智能物联网设备的运动处方系统</t>
  </si>
  <si>
    <t>CN115713805A</t>
  </si>
  <si>
    <t>本申请提出了一种健身动作识别监控方法及系统，涉及图像处理领域。一种健身动作识别监控方法包括：获取用户的健身项目对应健身动作图像中目标肌群的图像数据，同时获取健身动作标准图像库；对采集到的目标肌群的图像数据进行标注，对标注后的目标肌群的图像数据进行方向梯度直方图特征提取并进行特征处理；建立神经网络模型，根据特征处理后的目标肌群的图像数据和健身动作标准图像库训练神经网络模型，利用训练好的神经网络模型分析识别图像中用户的人体姿态信息。能够提高健身识别监控系统的识别精度和判断柔软度，使识别监控系统能够更加动态化、合理化。此外本申请还提出了一种健身动作识别监控系统。</t>
  </si>
  <si>
    <t>一种健身动作识别监控方法及系统</t>
  </si>
  <si>
    <t>IN202241062116A</t>
  </si>
  <si>
    <t>一种棒球击球训练装置,包括具有上部2和下部3的细长主体1、附接水平伸缩杆5的上部2、具有柔性材料的球8、基于人工智能的图像捕获模块4以捕获主体1的图像 ,可自由旋转的轴承 12 以评估用户施加的力量,触摸式显示面板 6 以允许用户输入有关定位角度的详细信息,电动球窝接头 7 用于为球 8 提供多向运动,多个 压力传感器 9 用于测量用户施加在球 8 上的压力,机动滑块 11 用于向滚轮 10 提供线性运动,滚轮 10 缠绕有细绳 13 以在杆 5 上施加压力,这有助于用户提供 训练。</t>
  </si>
  <si>
    <t>棒球击球训练器</t>
  </si>
  <si>
    <t>IN202241062072A</t>
  </si>
  <si>
    <t>一种便携式网球训练设备,包括开发用于放置在地面上并布置有多个全向轮2用于在表面上操纵平台1的平台1,基于人工智能的成像单元3,用于捕捉周围环境的图像并确定目标位置 用户并进一步启动轮子 2 以将平台 1 移向用户以进行网球训练,触摸交互式显示面板 4 使用户能够输入有关球速的详细信息,并启动发射单元 5 以发射定位在发射单元 5 内的球, 进一步通过用户手持的网球拍击打球,绳6与电磁弹簧7相连,用于在发射后对绳6提供阻力,增加用户击球时的体验难度。</t>
  </si>
  <si>
    <t>便携式网球训练器</t>
  </si>
  <si>
    <t>CN115471139B</t>
  </si>
  <si>
    <t>本发明公开了一种基于图像识别技术的大型群众体育赛事综合评估系统，包括赛事数据采集模块、赛事数据综合评估模块及评估报告生成模块。本发明在安全保障评估中引入目标跟踪算法对运动员的运动状态进行实时跟踪以及利用Mean shift算法与卡尔曼滤波算法相结合的目标跟踪算法，当参赛运动员被遮挡时引入卡尔曼滤波对目标进行跟踪，利用卡尔曼滤波器进行参数辨识使得发生遮挡后的跟踪系统能够具有后续的状态预测能力，从而对运动风险进行了较高的安全评估，从而无法对运动风险进行全面的安全评估，从而实现对大型群众体育赛事的综合评估，从而可以更好地满足于大型群众体育赛事的评估需求。</t>
  </si>
  <si>
    <t>一种基于图像识别技术的大型群众体育赛事综合评估系统</t>
  </si>
  <si>
    <t>CN115901031A</t>
  </si>
  <si>
    <t>本发明公开了一种柔性压力传感器的制备方法及应用，使用TPU作为柔性基体材料，炭黑作为导电填料；利用丝网印刷工艺制作出单层式叉指电极，在传感器的压阻层表面引入微结构，通过二次倒模法制备出表面带有金字塔微结构的压阻层。该传感器应用在人体行走特征识别中，将制备的传感器单元进行阵列化设计，感知足底压力的变化。该识别方法基于硬件电路板采集五种不同的人体行走特征，并将阵列式传感器数据进行区域划分取均值，对区域化传感器数据进行样本分割及特征提取获得特征样本，对特征样本进行支持向量机算法的模型训练与验证，该模型测试结果的整体识别准确率为90.625％，从而实现了对步行、跑步、直立、上楼、下楼五种人体行走特征的识别。</t>
  </si>
  <si>
    <t>一种柔性压力传感器的制备方法及应用</t>
  </si>
  <si>
    <t>CN307971314S</t>
  </si>
  <si>
    <t>1.本外观设计产品的名称：用于显示屏幕面板的搜索图形用户界面。
 2.本外观设计产品的用途：用于运行程序及显示图形用户界面。
 3.本外观设计产品的设计要点：在于显示屏幕面板上所显示的图形用户界面。
 4.最能表明设计要点的图片或照片：设计1主视图。
 5.显示屏幕面板为惯常设计，省略其他视图。
 6.指定设计1为基本设计。
 7.本外观设计产品的界面可以伴随用户在搜索中不断地给出相关的搜索建议。
 人机交互过程：设计1主视图为第一搜索图形用户界面。
 用户通过搜索栏输入关键词，如人名“ABC”时，界面呈现搜索建议的浮层，并激活人物筛选器。
 设计2主视图为第一搜索图形用户界面。
 用户通过搜索栏输入关键词，如人名“ABC”时，界面呈现搜索建议的浮层，并激活人物筛选器。
 通过用户操作，关键词高亮显示。
 设计3主视图为第二搜索图形用户界面。
 用户通过搜索栏输入关键词，如名称“文件”时，界面呈现搜索建议的浮层，并激活类型筛选器。
 浮层呈现的推荐结果纵向排列。
 设计4主视图为第二搜索图形用户界面。
 用户通过搜索栏输入关键词，如名称“文件”时，界面呈现搜索建议的浮层，并激活类型筛选器。
 浮层呈现的推荐结果纵向排列。
 通过用户操作，关键词高亮显示。
 设计5主视图为第三搜索图形用户界面。
 用户通过搜索栏输入关键词，如垂类的关键词时“消息”时，界面呈现搜索建议的浮层，并激活对应筛选器。
 设计6主视图为第三搜索图形用户界面。
 用户通过搜索栏输入关键词，如垂类的关键词时“消息”时，界面呈现搜索建议的浮层，并激活对应筛选器。
 通过用户操作，关键词高亮显示。
 设计1‑设计6界面中的“x”代表文字、数字、字母和/或符号。
 该图形用户界面可用于手机、计算机、平板电脑、智能电视、车载中控屏幕、多媒体一体机、电子记事本、头戴式显示器、智能音箱、投影仪、游戏机、导航仪、智能手表、智能手环、智能台灯、带屏幕的冰箱、带屏幕的抽油烟机、带屏幕的空调、智能健身镜、带屏幕的消毒柜、带屏幕的洗碗机、带屏幕的烤箱。</t>
  </si>
  <si>
    <t>用于显示屏幕面板的搜索图形用户界面</t>
  </si>
  <si>
    <t>CN116035334A</t>
  </si>
  <si>
    <t>本申请公开了智能钥匙链或附件设备、系统和方法。示例智能钥匙链是厚度约为10毫米、直径约为50‑80毫米的电子设备。示例智能钥匙链包括一个集成电路片上系统(SOC)层，其封装在图形用户界面的触摸屏表面和智能钥匙链背面之间，并且还包括一个用于物理钥匙或钥匙扣的附加钥匙环。该示例智能钥匙链还包括双向查找功能，该功能使用诸如蓝牙、WiFi、蜂窝和GPS等多个通信通道，允许智能钥匙链和智能手机(或其他个人电子设备)相互发送信号以确定彼此的位置。该示例智能钥匙链还包括但不限于数字支付、数字音乐/娱乐、健身步数/卡路里计数、用于呼叫/文本的WiFi/蜂窝网络选项、用于语音控制的人工智能以及其他合适的功能。</t>
  </si>
  <si>
    <t>智能钥匙链或附件设备、系统和方法</t>
  </si>
  <si>
    <t>CN308129629S</t>
  </si>
  <si>
    <t>1.本外观设计产品的名称：显示屏幕面板的煤矿设备三维模型库图形用户界面。;2.本外观设计产品的用途：用于运行程序、信息显示、人机交互。;3.本外观设计产品的设计要点：在于屏幕中图形用户界面的界面内容。;4.最能表明设计要点的图片或照片：设计1主视图。;5.显示屏幕面板为惯常设计，省略设计1‑10的其它视图。;6.指定设计1为基本设计。;7.图形用户界面的用途：本图形用户界面用于煤矿设备三维模型库系统。;设计1主视图为显示液压支架正视图的界面，设计2主视图为显示采煤机正视图的界面，设计3主视图为显示液刮板机正视图的界面，设计4主视图为显示搜索框的三维模型库界面，设计5主视图为显示采煤机正视图的界面，设计6主视图为显示采煤机左视图的界面，设计7主视图为显示采煤机标准视图的界面，设计8主视图为显示液压支架背视图的界面，设计9主视图为显示液压支架背视图的界面，设计10主视图为显示液压支架标准视图的界面，用户可根据界面提示在界面左侧导航栏中选择设备，并可根据界面提示设置已选设备的瞬时驱动、动作操作、设备信息等。;8.其他需要说明的情形其他说明：本显示屏幕面板应用于计算机、笔记本电脑、平板电脑、手机、智能手表、智能手环、健身监视器、头戴式耳机、智能音箱、电视、机顶盒、投影仪、游戏机或导航仪。;1.本外观设计产品的名称：显示屏幕面板的煤矿设备三维模型库图形用户界面。;2.本外观设计产品的用途：用于运行程序、信息显示、人机交互。;3.本外观设计产品的设计要点：在于屏幕中图形用户界面的界面内容。;4.最能表明设计要点的图片或照片：设计1主视图。;5.显示屏幕面板为惯常设计，省略设计1‑10的其它视图。;6.指定设计1为基本设计。;7.图形用户界面的用途：本图形用户界面用于煤矿设备三维模型库系统。;设计1主视图为显示液压支架正视图的界面，设计2主视图为显示采煤机正视图的界面，设计3主视图为显示液刮板机正视图的界面，设计4主视图为显示搜索框的三维模型库界面，设计5主视图为显示采煤机正视图的界面，设计6主视图为显示采煤机左视图的界面，设计7主视图为显示采煤机标准视图的界面，设计8主视图为显示液压支架背视图的界面，设计9主视图为显示液压支架背视图的界面，设计10主视图为显示液压支架标准视图的界面，用户可根据界面提示在界面左侧导航栏中选择设备，并可根据界面提示设置已选设备的瞬时驱动、动作操作、设备信息等。;8.其他需要说明的情形其他说明：本显示屏幕面板应用于计算机、笔记本电脑、平板电脑、手机、智能手表、智能手环、健身监视器、头戴式耳机、智能音箱、电视、机顶盒、投影仪、游戏机或导航仪。</t>
  </si>
  <si>
    <t>显示屏幕面板的煤矿设备三维模型库图形用户界面</t>
  </si>
  <si>
    <t>CN308256463S</t>
  </si>
  <si>
    <t>1.本外观设计产品的名称：显示屏幕面板的获得勋章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设计1主视图至设计9主视图为完成系统任务后获得勋章的界面，用户可根据界面提示进行相关操作。7.其他需要说明的情形其他说明：本显示屏幕面板应用于车辆、计算机、笔记本电脑、平板电脑、手机、智能手表、智能手环、健身监视器、头戴式耳机、个人数字助理（PDA）、智能音箱、电视、机顶盒、投影仪、游戏机或导航仪。</t>
  </si>
  <si>
    <t>显示屏幕面板的获得勋章图形用户界面</t>
  </si>
  <si>
    <t>IN202241061340A</t>
  </si>
  <si>
    <t>一种乒乓球比赛训练装置,包括由多个可伸缩操作的杆2组装而成的用于进行比赛训练的平台1、用于确定用户身高的基于人工智能的成像单元3、用于启用 用户输入有关训练水平和模式的详细信息,用于向用户发射球的圆柱形主体 5,用于存储球的腔室 6,组装用于分配球的虹膜盖 7,用于展开球的电磁弹簧 8 弹簧8将球发射向使用者,多个球拍9用于击打球,以及带有多个连杆11的气动夹具10用于夹住使用者的手腕部分以击打球。</t>
  </si>
  <si>
    <t>乒乓球比赛训练器</t>
  </si>
  <si>
    <t>IN202241061369A</t>
  </si>
  <si>
    <t>一种足球训练装置,包括安装有圆形框架4以提供使用者瞄准的目标结构的平台1、存放多个足球以供使用者继续进行足球训练的电动架5、人工智能- 基于成像单元6用于捕获和处理用户的图像并驱动全息投影单元7用于将目标对象的全息图像投影到框架4上,伸缩杆8用于以改变框架4的高度的方式延伸以便调整 训练强度,可穿戴组件 9 开发为由用户装备并驱动通过绳子 11 连接的机动滚轮 10,以便滚动和展开绳子 11 为用户提供阻力,以及多个冲击传感器 12 用于检测冲击区域 足球在第 4 帧。</t>
  </si>
  <si>
    <t>CN308035889S</t>
  </si>
  <si>
    <t>1.本外观设计产品的名称：带智能体测图形用户界面的健身器(一体式2)。2.本外观设计产品的用途：用于显示智能体测的程序界面。3.本外观设计产品的设计要点：在于屏幕中图形用户界面的界面内容。4.最能表明设计要点的图片或照片：界面放大图。5.图形用户界面的用途：用于显示智能体测的程序界面。6.图形用户界面的人机交互方式：界面放大图为健身器启动时的主界面，界面变化状态图1 为点击界面放大图右上角“自由训练”进入的动作选择界面，界面变化状态图2 为点击界面变化状态图1 中右上角“召唤教练”进入的虚拟教练选择界面，界面变化状态图3 为选中界面变化状态图2“就选TA”进入的虚拟教练选中界面，界面变化状态图4 为点击界面变化状态图3 左上角返回三角箭头进入的动作选择界面，界面变化状态图5 为点击界面变化状态图4 中“平板支撑”进入的该动作计时动作调节界面，界面变化状态图6 为选中界面变化状态图5 中时长“30”显示的界面，界面变化状态图7 点击界面变化状态图6 中“加入列表”进入的选择动作后的界面，界面变化状态图8 为点击界面变化状态图7 中“站姿抗旋前推”进入的计次动作调节界面，界面变化状态图9 为界面变化状态图8 点击“加入列表”进入的再次选择动作后的界面，界面变化状态图10 为点击界面变化状态图9 右上角“开始训练”进入的平板支撑训练初始状态界面，界面变化状态图11 为点击界面变化状态图10 中间“开始”按钮进入的开始训练倒计时界面，界面变化状态图12 为界面变化状态图11 倒计时结束时进入的训练开始界面，界面变化状态图13 为训练结束后由界面变化状态图12 完成动效播放结束后进入的准备开始下一组倒计时界面，界面变化状态图14 为界面变化状态图13 准备开始下一组的倒计时5 秒后进入的站姿抗旋前推动作初始状态界面，界面变化状态图15 为拉动设备力臂绳3 下后由界面变化状态图14 进入的抓取基准值显示的界面，界面变化状态图16 为拉出设备的左边力臂绳由界面变化状态图15 进入的达到基准值的界面，界面变化状态图17 为拉动设备的力臂绳连续3 次达到基准值后由界面变化状态图16 进入的基准值连击显示界面，界面变化状态图18 为拉出与收回设备力臂绳未达到基准值由界面变化状态图17 跳出的弹窗提示界面，界面变化状态图19 为拉动设备力臂绳出现力竭而未完成动作时候由界面变化状态图18 进入的助力模式开启界面，界面变化状态图20 为点击界面变化状态图19 右上角“结束训练”进入的训练结束询问界面，界面变化状态图21 为朝左边滑动界面变化状态图2 进入的“Bardi”虚拟教练选项界面，界面变化状态图22 为点击界面变化状态图21“就选TA”进入的虚拟教练选中界面，界面变化状态图23 为点击界面变化状态图22 左上角返回三角箭头进入的动作选择界面，界面变化状态图24 为点击界面变化状态图23“站姿抗旋前推”进入的计次动作调节界面，界面变化状态图25 为界面变化状态图24“开始训练”进入的“站姿抗旋前推”动作初始状态界面，界面变化状态图26 为拉动设备力臂绳3 下后由界面变化状态图25 进入的抓取基准值显示的界面，界面变化状态图27 为拉出设备的左边力臂绳由界面变化状态图26 进入的达到基准值的界面，界面变化状态图28 为拉出与收回设备力臂绳未达到基准值由界面变化状态27 跳出的弹窗提示界面，界面变化状态图29 为拉动设备次数达到目标后由界面变化状态图28 进入的达标目标次数界面，界面变化状态图30 为拉动设备力臂绳1 下由界面变化状态图29 进入的燃尽模式开启界面，界面变化状态图31 为界面变化状态图30 动态特效播放完毕后进入的燃尽模式训练界面，界面变化状态图32 为拉动设备力臂绳出现力竭而未完成动作时候由界面变化状态图31 进入的助力模式开启界面，界面变化状态图33 为点击界面变化状态图32 右上角“结束训练”进入的训练结束询问界面，界面变化状态图34 为点击界面变化状态图33 中“结束训练”进入的训练结束概况界面。</t>
  </si>
  <si>
    <t>带智能体测图形用户界面的健身器(一体式2)</t>
  </si>
  <si>
    <t>CN115440107A</t>
  </si>
  <si>
    <t>本发明涉及驾驶模拟控制领域，公开了一种基于VR虚拟现实的聋哑人智能驾驶训练系统及方法，包括构建模块，用于根据目标人员的身份信息构建相应的VR车辆模型和VR场景模型；训练模块，用于利用VR车辆模型和VR场景模型对目标人员进行驾驶训练，在训练过程中实时采集训练数据；人机交互模块，用于在训练过程中与目标人员实现交互功能；评估模块，用于对训练数据进行评估以确定目标人员的合格率和错误操作并进行错误指导。通过构建VR模型对聋哑人员进行驾驶训练即可提供直接、生动、直观、智能、安全的驾驶训练课程，提高训练质量与效率，同时降低训练成本，避免聋哑人与教练人员沟通困难的问题，提高实用性，降低风险的同时提高安全性。</t>
  </si>
  <si>
    <t>一种基于VR虚拟现实的聋哑人智能驾驶训练系统及方法</t>
  </si>
  <si>
    <t>CN115474766A</t>
  </si>
  <si>
    <t>本发明公开了一种计算机人工智能信息筛选装置，包括安装架、升降板、机箱、固定板以及散热区间，其特征在于，所述升降板上固定安装有两半圆形磁块一，且固定板上通过滑动部件安装有两与半圆形磁块一相配合的半圆形磁块二，且两滑动部件上均安装有移动座一，两所述安装架相靠近的一侧均转动安装有与移动座一相配合的丝杆一。优点在于：整体操作简便，用手对方形座施加一个向下移动力，使其卡合至方形块上，然后再不松开方形座的前提下直接带动其进行转动即可实现机箱高度的调节；且薄挡片可在机箱发生竖直方向移动的高度调节的同时，相对机箱向下移动，从而对相应的散热区间进行遮挡，从而避免灰尘通过散热区间进入到机箱内。</t>
  </si>
  <si>
    <t>一种计算机人工智能信息筛选装置</t>
  </si>
  <si>
    <t>CN115599999A</t>
  </si>
  <si>
    <t>本发明公开了一种基于数据分析的游泳教练智能化推荐系统，包括用户模块、云服务模块和匹配模块；用户模块用于用户输入对游泳教练的属性要求，属性要求包括范围类属性和非范围类属性；云服务模块用于存储各个游泳教练的属性信息；匹配模块用于通过两种不同的相似度计算方式来计算游泳教练的属性信息和非范围类属性之间的综合相似度，然后根据综合相似度来获得匹配结果。用户模块还用于显示匹配结果。由于本发明采用了两种不同的计算方式来计算相似度，然后还综合了两种相似度的计算结果，因此，本发明有效地提高了推荐结果的准确率。</t>
  </si>
  <si>
    <t>一种基于数据分析的游泳教练智能化推荐系统</t>
  </si>
  <si>
    <t>CN115393964B</t>
  </si>
  <si>
    <t>本发明提出一种基于BlazePose的健身动作识别方法及装置，基于BlazePose轻量级卷积神经网络对图像进行人体姿态估计，得到图像中用户在进行健身时的关节点位置信息；将关节点位置信息转换为特征向量，基于KNN分类提取当前运动类别；通过角度分析与距离阈值判断检测用户在当前运动类别的姿态准确与否，并根据结果反馈动作改进建议。本发明能够自动分析运动动作，准确检测运动错误姿势提高健身效率，降低用户因动作不标准所导致肌肉拉伤的风险性。</t>
  </si>
  <si>
    <t>基于BlazePose的健身动作识别方法及装置</t>
  </si>
  <si>
    <t>CN307897476S</t>
  </si>
  <si>
    <t>1.本外观设计产品的名称：显示屏幕面板的变频器图形用户界面。
 2.本外观设计产品的用途：用于运行程序、信息显示、人机交互。
 3.本外观设计产品的设计要点：在于屏幕中图形用户界面的界面内容。
 4.最能表明设计要点的图片或照片：主视图。
 5.图形用户界面的用途：主视图为综采自动化系统的变频器界面，用户可根据界面提示进行相关操作。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</si>
  <si>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显示屏幕面板的变频器图形用户界面</t>
  </si>
  <si>
    <t>CN307897483S</t>
  </si>
  <si>
    <t>1.本外观设计产品的名称：显示屏幕面板的故障报警图形用户界面。
 2.本外观设计产品的用途：用于运行程序、信息显示、人机交互。
 3.本外观设计产品的设计要点：在于屏幕中图形用户界面的界面内容。
 4.最能表明设计要点的图片或照片：主视图。
 5.图形用户界面的用途：主视图为采煤自动化系统的采煤机故障报警界面，界面显示采煤机故障点信息，用户可根据界面提示进行相关操作。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</si>
  <si>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显示屏幕面板的故障报警图形用户界面</t>
  </si>
  <si>
    <t>CN307897484S</t>
  </si>
  <si>
    <t>1.本外观设计产品的名称：显示屏幕面板的操控图形用户界面。
 2.本外观设计产品的用途：用于运行程序、信息显示、人机交互。
 3.本外观设计产品的设计要点：在于屏幕中图形用户界面的界面内容。
 4.最能表明设计要点的图片或照片：主视图。
 5.图形用户界面的用途：主视图为采煤自动化系统的采煤机操控界面，用户可根据界面提示进行相关操作。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</si>
  <si>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显示屏幕面板的操控图形用户界面</t>
  </si>
  <si>
    <t>CN307897479S</t>
  </si>
  <si>
    <t>1.本外观设计产品的名称：显示屏幕面板的三机泵站监测图形用户界面。
 2.本外观设计产品的用途：用于运行程序、信息显示、人机交互。
 3.本外观设计产品的设计要点：在于屏幕中图形用户界面的界面内容。
 4.最能表明设计要点的图片或照片：主视图。
 5.图形用户界面的用途：主视图为综采自动化系统的三机泵站监测界面，用户可根据界面提示进行相关操作。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</si>
  <si>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显示屏幕面板的三机泵站监测图形用户界面</t>
  </si>
  <si>
    <t>CN307897482S</t>
  </si>
  <si>
    <t>1.本外观设计产品的名称：显示屏幕面板的机载音频图形用户界面。
 2.本外观设计产品的用途：用于运行程序、信息显示、人机交互。
 3.本外观设计产品的设计要点：在于屏幕中图形用户界面的界面内容。
 4.最能表明设计要点的图片或照片：主视图。
 5.图形用户界面的用途：主视图为采煤自动化系统的采煤机机载音频界面，界面显示声纹识别数据、机载陀螺仪设备采集数据、红外和可见光视频，用户可根据界面提示进行相关操作。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</si>
  <si>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显示屏幕面板的机载音频图形用户界面</t>
  </si>
  <si>
    <t>CN307897478S</t>
  </si>
  <si>
    <t>1.本外观设计产品的名称：显示屏幕面板的三机泵站操控图形用户界面。
 2.本外观设计产品的用途：用于运行程序、信息显示、人机交互。
 3.本外观设计产品的设计要点：在于屏幕中图形用户界面的界面内容。
 4.最能表明设计要点的图片或照片：主视图。
 5.图形用户界面的用途：主视图为综采自动化系统的三机泵站操控界面，用户可根据界面提示进行相关操作。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</si>
  <si>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显示屏幕面板的三机泵站操控图形用户界面</t>
  </si>
  <si>
    <t>CN307897477S</t>
  </si>
  <si>
    <t>1.本外观设计产品的名称：显示屏幕面板的巡检小车图形用户界面。
 2.本外观设计产品的用途：用于运行程序、信息显示、人机交互。
 3.本外观设计产品的设计要点：在于屏幕中图形用户界面的界面内容。
 4.最能表明设计要点的图片或照片：主视图。
 5.图形用户界面的用途：主视图为综采自动化系统的巡检小车界面，用户可根据界面提示进行相关操作。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</si>
  <si>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显示屏幕面板的巡检小车图形用户界面</t>
  </si>
  <si>
    <t>CN307897480S</t>
  </si>
  <si>
    <t>1.本外观设计产品的名称：显示屏幕面板的供电图形用户界面。
 2.本外观设计产品的用途：用于运行程序、信息显示、人机交互。
 3.本外观设计产品的设计要点：在于屏幕中图形用户界面的界面内容。
 4.最能表明设计要点的图片或照片：主视图。
 5.图形用户界面的用途：主视图为综采自动化系统的供电界面，用户可根据界面提示进行相关操作。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</si>
  <si>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显示屏幕面板的供电图形用户界面</t>
  </si>
  <si>
    <t>CN307897481S</t>
  </si>
  <si>
    <t>1.本外观设计产品的名称：显示屏幕面板的操控图形用户界面。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6.图形用户界面的用途：设计1主视图为综采工作面电液控系统的操控界面，用户可根据界面提示进行相关操作。
 设计2主视图为综采工作面电液控系统的操控界面，用户点击界面右上角的控制按钮（开关按钮的左侧），可对系统参数进行设置，如设计2界面变化状态图所示。
 7.其他说明：本显示屏幕面板应用于车辆、计算机、笔记本电脑、平板电脑、手机、智能手表、智能手环、健身监视器、头戴式耳机、个人数字助理（PDA）、智能音箱、电视、机顶盒、投影仪、游戏机或导航仪。</t>
  </si>
  <si>
    <t>CN307933431S</t>
  </si>
  <si>
    <t>1.本外观设计产品的名称：显示屏幕面板的监测图形用户界面。
 2.本外观设计产品的用途：用于运行程序、信息显示、人机交互。
 3.本外观设计产品的设计要点：在于屏幕中图形用户界面的界面内容。
 4.最能表明设计要点的图片或照片：主视图。
 5.图形用户界面的用途：主视图为采煤自动化系统的采煤机监测界面，界面显示割煤数据，用户可根据界面提示进行相关操作。
 6.其他说明：本显示屏幕面板应用于车辆、计算机、笔记本电脑、平板电脑、手机、智能手表、智能手环、健身监视器、头戴式耳机、个人数字助理（PDA）、智能音箱、电视、机顶盒、投影仪、游戏机或导航仪。</t>
  </si>
  <si>
    <t>显示屏幕面板的监测图形用户界面</t>
  </si>
  <si>
    <t>CN308020654S</t>
  </si>
  <si>
    <t>1.本外观设计产品的名称：显示屏幕面板的监测图形用户界面。;2.本外观设计产品的用途：用于运行程序、信息显示、人机交互。;3.本外观设计产品的设计要点：在于屏幕中图形用户界面的界面内容。;4.最能表明设计要点的图片或照片：设计1主视图。;5.指定设计3为基本设计。;6.图形用户界面的用途：设计1主视图为综采工作面电液控系统的监测界面，设计2主视图为综采工作面电液控系统的参数控制管理界面，用户可根据界面提示进行相关操作。;设计3主视图为综采工作面电液控系统的监测界面，用户点击界面右上角的控制按钮（开关按钮的左侧），可对系统参数进行设置，如设计3界面变化状态图所示。;7.其他需要说明的情形其他说明：本显示屏幕面板应用于车辆、计算机、笔记本电脑、平板电脑、手机、智能手表、智能手环、健身监视器、头戴式耳机、个人数字助理（PDA）、智能音箱、电视、机顶盒、投影仪、游戏机或导航仪。;1.本外观设计产品的名称：显示屏幕面板的监测图形用户界面。;2.本外观设计产品的用途：用于运行程序、信息显示、人机交互。;3.本外观设计产品的设计要点：在于屏幕中图形用户界面的界面内容。;4.最能表明设计要点的图片或照片：设计1主视图。;5.指定设计3为基本设计。;6.图形用户界面的用途：设计1主视图为综采工作面电液控系统的监测界面，设计2主视图为综采工作面电液控系统的参数控制管理界面，用户可根据界面提示进行相关操作。;设计3主视图为综采工作面电液控系统的监测界面，用户点击界面右上角的控制按钮（开关按钮的左侧），可对系统参数进行设置，如设计3界面变化状态图所示。;7.其他需要说明的情形其他说明：本显示屏幕面板应用于车辆、计算机、笔记本电脑、平板电脑、手机、智能手表、智能手环、健身监视器、头戴式耳机、个人数字助理（PDA）、智能音箱、电视、机顶盒、投影仪、游戏机或导航仪。</t>
  </si>
  <si>
    <t>CN307971311S</t>
  </si>
  <si>
    <t>1.本外观设计产品的名称：显示屏幕面板的带有轮播图的菜单管理图形用户界面。
 2.本外观设计产品的用途：用于交互和显示。
 3.本外观设计产品的设计要点：在于图形用户界面。
 4.最能表明设计要点的图片或照片：界面变化状态图5。
 5.其他视图无设计要点，省略其他视图。
 6.图形用户界面的用途：用于展示新会计准则系统的轮播图宣传、以及通过一级菜单和二级菜单的融合设计方便新会计准则系统的编辑操作。
 7.图形用户界面的人机交互方式：主视图为新会计准则系统的初始页面，包含用户登录使用的导航栏、展示轮播图的宣传区、以及用户自定义模块中的一级菜单等信息，导航栏用来展示系统名称、当前系统用户的名称、“切换语言”操作入口、“系统设置”操作入口等基本信息；在主视图中的轮播图间隔一定时间（例如：5秒）后，自动切换至界面变化状态图1展示的轮播图；在界面变化状态图1中的轮播图间隔一定时间（例如：5秒）后，自动切换至界面变化状态图2展示的轮播图；在界面变化状态图2中的轮播图间隔一定时间（例如：5秒）后，自动切换至界面变化状态图3展示的轮播图；点击主视图、界面变化状态图1‑3中任一界面中的“自定义模块”按钮，跳转至界面变化状态图4展示的自定义编辑一级菜单展示页面，用户通过点击一级菜单的右上方的关闭按钮（例如：灰色填充圆形，灰色×符号）来删除一级菜单，点击“新增一级菜单”按钮下方的“度擎·费用分摊规则”选项，跳转至界面变化状态图5展示的新增一级菜单后的展示页面，在该页面中用户通过鼠标选中其中一个一级菜单（例如：中心·开发运维管理中心）后，位于一级菜单下方展示包含“开发平台”、“同步平台”、“数据服务平台”、“资产平台”、“系统运维”等信息的二级菜单；点击界面变化状态图5中的“保存”按钮，跳转至界面变化状态图6展示的带有“操作成功”提示字样的弹窗页面；点击界面变化状态图6一级菜单中的“度擎·费用分摊规则”选项，跳转至界面变化状态图7展示的带有二级菜单展示的度擎·费用分摊规则页面；点击界面变化状态图6一级菜单中的“溯擎·列报披露追溯引擎”选项，跳转至界面变化状态图8展示的带有二级菜单展示的溯擎·列报披露追溯引擎页面；点击界面变化状态图6一级菜单中的“数核·业财数据处理平台”选项，跳转至界面变化状态图9展示的带有二级菜单展示的数核·业财数据处理平台页面；点击界面变化状态图6一级菜单中的“中心·开发运维管理中心”选项，跳转至界面变化状态图10展示的带有二级菜单展示的中心·开发运维管理中心页面。
 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装置。</t>
  </si>
  <si>
    <t>显示屏幕面板的带有轮播图的菜单管理图形用户界面</t>
  </si>
  <si>
    <t>CN115591210A</t>
  </si>
  <si>
    <t>本申请提供了羽毛球网前辅助训练装置，包括安装基座，安装基座顶部设置有梯形支架以及对称设置于梯形支架左右两侧的安装柱，两个安装柱的顶部对称设置有转动座，两个转动座之间旋转设置有驱动轴，转动座内嵌设有与驱动轴连接的第一转动机构，驱动轴设置于梯形支架正上方；梯形支架的前后两侧端面设置有弹射矩阵，弹射矩阵包括沿左右方向排列设置的若干弹射载具，弹射载具的顶部活动套设于驱动轴，梯形支架内部设置有用于驱动弹射载具发射羽毛球的精准发射机构；安装柱上设置有图像识别摄像机组，安装基座内部设置有控制器。本申请能够将掉落在网前区域的羽毛球自动发射给训练人员，节约了捡球时间，提高了训练效率和训练效果。</t>
  </si>
  <si>
    <t>羽毛球网前辅助训练装置</t>
  </si>
  <si>
    <t>US20230129708A1</t>
  </si>
  <si>
    <t>程序训练设备、方法和系统,在一个实施例中,允许外科受训者在现场手术期间接受专家临床指导,或使用增强现实耳机以逼真的方式在解剖模型上练习手术技能,该增强现实耳机与远程位置的设备进行音频和视频通信 拥有类似 AR 耳机的教练。 该系统的一个独特功能包括向受训者和培训师的 AR 耳机提供手术部位的实时或静态成像,其中成像是通过设备媒体中心从医疗或其他设备(例如超声波)提供的。 图像显示在外科医生的视野中,以便他们可以同时看到他们的手、患者(或模型)和成像。 控制允许相应 AR 耳机上的成像通常由培训师根据命令切换,这允许培训师将培训师的手术部位图像(例如,在他们自己的模型上)传送到受训者的 AR 耳机以说明正确的程序,对于 例子。 一旦受训者观看了培训师对正确程序的成像,成像源就可以切换回受训者的手术部位,以便他们可以继续该程序。 外科手术过程中的指导或现场临床支持允许记录手术过程,并通过机器学习模型和课程将记录分开,从而允许半监督和/或无监督学习。 创建机器学习模型后,可以在手术过程中给出自动指导和/或警报。</t>
  </si>
  <si>
    <t>程序指导和培训设备、方法和系统</t>
  </si>
  <si>
    <t>US20230298389A1</t>
  </si>
  <si>
    <t>一种用于跟踪在赛道上进行比赛的参赛者的系统,包括定位成识别沿着赛道的预定位置处的物体的多个物体识别装置。 对象识别设备被配置为识别每个参赛者的至少一个身体特征。 处理装置被配置为基于来自至少一个对象识别装置的对象识别数据来确定竞赛者在比赛期间到达预定位置中所选择的一个的时间。 发射器被配置为将参赛者在比赛期间到达所选位置的时间发射到输出装置。</t>
  </si>
  <si>
    <t>适用于参与式体育赛事市场的基于人工智能的计时、成像和跟踪系统</t>
  </si>
  <si>
    <t>IN202211060618A</t>
  </si>
  <si>
    <t>本文公开了一种用于评估足球运动员在足球比赛中的表现的系统和方法系统。 该系统包括多个3D深度相机(100); 一个或多个可穿戴传感器(200); 控制装置(300); 和互联网通讯渠道。 3D深度相机(100)安装在足球运动员参加足球比赛的足球场内的多个站中,而3D深度相机适于捕捉足球比赛的视频/图像。 可穿戴传感器(200)供足球运动员在进行足球比赛时佩戴,而可穿戴传感器(200)用于读取足球运动员的生理参数。 控制装置(300)与3D深度相机(100)和可穿戴传感器(200)进行互联网通信,以接收、记录和分析与视频/图像和生理参数相关的数据。 控制装置(300)包括嵌入有神经网络训练引擎的物联网(IoT)使能微处理器,该引擎被配置用于:基于在图像/视频帧中注意到的不公平做法检测犯规事件; 统计足球运动员身份证明的犯规次数; 利用足球运动员的生理参数来预测造成犯规事件的足球运动员的意图; 根据犯规事件的数量和造成该犯规事件的足球运动员的意图,计算每个足球运动员的表现等级。</t>
  </si>
  <si>
    <t>一种智能管理系统,用于在足球比赛中使用人工智能和机器学习技术进行犯规检测和性能分析</t>
  </si>
  <si>
    <t>IN202241060543A</t>
  </si>
  <si>
    <t>如今,越来越多的人被诊断出患有慢性疾病,这些疾病是由于没有遵循适当的饮食习惯、没有定期进行适当的运动,或者因为繁忙的日程表没有给予适当的关注而导致的。 因此,我们提出了一个系统,旨在通过分析和监测健康参数以及他们与疾病相关的最新报告中的值,向他们推荐更健康的饮食和锻炼计划,从而改善患有各种疾病的患者的健康。 我们考虑了患有糖尿病或血压或甲状腺的患者。 我们的系统对于医生根据他们的最新报告和个人健康细节推荐饮食和运动非常有用。 为此,我们将系统大致分为 2 个模块:1. 健康监测,2. 饮食和运动建议。 在健康监测模块中,系统会建议后续会话,直到报告正常。 对于饮食和运动推荐模块,使用的算法是用于分类的决策树。 准确的说,C4.5是用来给出饮食和运动的建议。 C4.5 决策树将有助于根据我们的定制数据集推荐和确定是否应向特定个人提供特定食品和锻炼。</t>
  </si>
  <si>
    <t>使用 c4.5 决策树模型的健身和饮食推荐</t>
  </si>
  <si>
    <t>IN202231060593A</t>
  </si>
  <si>
    <t>本发明涉及一种用于漂浮垃圾的遥控太阳能无人机净水器。 一种遥控太阳能无人机(100),包括螺旋桨、太阳能电池板、传送带、节点MCU和多个传感器。 遥控太阳能无人机(100)旨在最大限度地减少人类清洁水的努力,让蓝色地球再次变蓝,帮助劳动力更有效地恢复和保护湖泊生态系统。 遥控太阳能无人机(100)可用于清洁池塘、河流和游泳池,还可以提高水的PH值。 遥控太阳能无人机(100)具有多个传感器,用于测试水的清洁度并且还区分废物和水生生物。 遥控太阳能无人机(100)基于物联网平台,使用户能够直接收集有关湖泊环境生态系统的信息。</t>
  </si>
  <si>
    <t>用于漂浮废物的遥控太阳能无人机净水器</t>
  </si>
  <si>
    <t>IN202241060276A</t>
  </si>
  <si>
    <t>医疗诊断和治疗经常使用机器学习和物联网来监测患者的状况。 在出现异常情况时提醒患者同伴的物联网系统是利用附有传感器的可穿戴传感器系统的功能构建的。 机器学习已被用于通过利用经过训练的模型来发现患者状态的任何不一致,从而在医疗诊断领域提供帮助。 该系统使用温度传感器、脉搏血氧仪、物联网 (IoT) 传感器和云来监测患者的健康状况。 医疗数据由物联网为用户和医疗保健提供者分类、分发和分析。 将信息存储在云中 医院将通过 z-wave 设备从监测患者所需的各种传感器收集数据来获取物联网数据,并将这些数据保存在医院数据库中,利用基于 AI 和 ML 的算法来持续审查数据。 使用基于 FKNN 的分类技术,根据用户是否被感染将用户分成几组。 Wearable and We 利用相似系数根据患者的症状进行区分,并使用模糊 K-最近邻 (FKNN) 技术将用户分为感染组或未感染组。 如果任何遗漏的事情很快发生,患者可以通过可穿戴技术(如健身手环)和其他无线连接设备(如血压和心率监测袖带、血糖仪等)获得量身定制的关注。 可以对这些小工具进行编程,以提醒您注意各种事件,例如血压变化、约会、卡路里计算和锻炼。 物联网使人们能够实时跟踪自己的健康状况,从而极大地改变了人们的生活,尤其是老年患者的生活。 独居的家庭和个人受此影响很大。 如果一个人的日常活动被打断或改变,警报机制会通知相关的医疗专业人员、家庭成员、医生、救护车和其他人。</t>
  </si>
  <si>
    <t>使用机器学习设计基于物联网的远程智能医疗保健系统,用于个人应急响应</t>
  </si>
  <si>
    <t>CN115607936A</t>
  </si>
  <si>
    <t>本发明公开了一种基于人工智能的游泳训练智能化监管控制系统及方法，其方法包括使用者穿上智能训练泳衣，在放置有水下传感器的游泳池内游泳；智能训练泳衣在使用者游泳过程中采集游泳数据并上传至终端；终端通过与云服务器储存的职业运动员的游泳数据对比，得出指导意见；通过语音提示装置提示使用者，不断训练，获得最佳的游泳姿势。本发明以实时获得基于用户游泳过程中每一时刻的手臂、腿部动作和转身角度，通过语音提示调整姿势，训练形成特别适合用户个人的游泳运动状态、游泳姿势乃至套路，形成有针对性的指导以显著提高训练效果。</t>
  </si>
  <si>
    <t>一种基于人工智能的游泳训练智能化监管控制系统及方法</t>
  </si>
  <si>
    <t>KR1020230057986A</t>
  </si>
  <si>
    <t>本发明涉及使用可变控制体育场地板摩擦系数的人工智能机器人足球模拟比赛控制,以及用于识别基于人工智能的摩擦系数的方法和装置,更具体地,涉及之间的接触面的摩擦系数。机器人与球场地板 涉及一种配置为在比赛中可变控制的人工智能机器人足球模拟比赛控制,以及一种在模拟比赛中利用机器人的坐标信息使人工智能能够识别摩擦系数的方法和装置. 
  根据本发明,建立了一个机器人足球系统,其任务是在比赛期间改变体育场地板的摩擦力,并通过改进功能来鼓励人工智能的发展,使配备人工智能的机器人做出反应适当地做。 另外,在道路摩擦系数的检测中,本发明通过基于物体坐标变化学习的人工智能来识别道路摩擦系数,具有能够检测道路摩擦系数的效果。不依赖力/扭矩传感器的摩擦。</t>
  </si>
  <si>
    <t>一种人工智能机器人足球模拟比赛控制方法和装置及基于人工智能的摩擦系数识别方法和装置,利用体育场地板摩擦系数的可变控制</t>
  </si>
  <si>
    <t>CN116451919A</t>
  </si>
  <si>
    <t>本发明公开了一种基于物联网的游泳池运营管理监控系统和方法，其方法包括游泳馆工作人员通过搭载了客户端的终端登录进入系统；游泳馆工作人员通过信息查询单元为客户查询相关信息；游泳馆工作人员通过泳池购物单元为客户购买相关产品或门票；游泳馆工作人员通过泳池洁净单元呼叫其他工作人员对对应位置进行清洁工作。本发明以电子化为导向，借助信息通信工具对票据、人流、卫生和安全进行全过程监管，避免监管死角，数据与公安数据系统相连通，实时监测异常，保护用户安全，储存单元拥有断电保护模式，在突发事故时能够及时保存数据，避免数据丢失。</t>
  </si>
  <si>
    <t>一种基于物联网的游泳池运营管理监控系统和方法</t>
  </si>
  <si>
    <t>CN115623322A</t>
  </si>
  <si>
    <t>本发明公开了一种冰壶辅助训练小车，其特征在于，包括：车载服务端，包括车载中央处理模块、视觉系统控制模块、夹持机构控制模块、运动机构控制模块以及旋转机构控制模块；人机交互客户端，包括设置参数、获取图片、框选目标、瞄准投掷、键盘控制以及视频回放，基于计算机视觉瞄准和跟踪目标，通过视觉伺服系统控制训练小车的行动轨迹，能够瞄准冰壶场上的目标，将冰壶以一定的线速度和角速度进行投掷，达到辅助运动员训练的目的，可以完成一些运动员不能完成的目标，比如保持每次投掷冰壶的力度和速度相同，同时起到辅助训练的作用，提高训练效率，有利于冰壶运动的推广。</t>
  </si>
  <si>
    <t>一种冰壶辅助训练小车</t>
  </si>
  <si>
    <t>CN308090216S</t>
  </si>
  <si>
    <t>1.本外观设计产品的名称：显示屏幕面板的商品信息展示图形用户界面。2.本外观设计产品的用途：用于显示图形用户界面。3.本外观设计产品的设计要点：在于图形用户界面。4.最能表明设计要点的图片或照片：设计1主视图。5.指定设计1为基本设计。6.图形用户界面的用途：本图形用户界面用于展示商品信息。7．图形用户界面的人机交互方式：设计1至设计4主视图的图形用户界面为商品信息展示的界面，用户可以点击界面中部卡片进行相应商品的详情展示，该卡片位置对应设计1主视参考图的三款车型图所在的卡片位置，其中，设计1、设计3和设计4的该中部卡片上的车型图在对应车型发布后，展示对应车型图，在对应车型发布前，展示带有遮盖布的车型图。各设计界面中的灰色色块为可替换的图片或视频。各设计界面中的叉号代表文字或数字或字母或符号。8．该图形用户界面可用于手机、计算机、平板电脑、电视、车载中控屏幕、车载导航仪、车载显示装置、游戏机、导航仪、多媒体一体机、智能音箱、智能健身设备、智能家电设备、带显示屏幕的机器人、智能眼镜、智能耳机、智能台灯、智能门系统、广告显示屏、自动售卖机、带显示屏幕的医疗器械。9．显示屏幕面板为惯常设计，省略各项设计的后视图、左视图、右视图、俯视图、仰视图。</t>
  </si>
  <si>
    <t>CN307933423S</t>
  </si>
  <si>
    <t>1.本外观设计产品的名称：显示屏幕面板的运维管理图形用户界面。
 2.本外观设计产品的用途：用于交互和显示。
 3.本外观设计产品的设计要点：在于图形用户界面。
 4.最能表明设计要点的图片或照片：界面变化状态图2。
 5.其他视图无设计要点，省略其他视图。
 6.图形用户界面的用途：用于对一个或多个服务器进行监控及管理的一体化运营管理平台。
 7.图形用户界面的人机交互方式：主视图为一体化运维管理平台的主界面，在该主视图界面中包含环境状态、主机状态、实例状态和应用状态，还包括常用环境显示列表信息、资源使用情况、告警信息等使用详情；点击主视图左侧菜单栏中的“资源管理”选项后再选择资源管理选项下拉选项中的“主机管理”子选项，跳转至界面变化状态图1展示的主机信息列表界面；点击界面变化状态图1左侧菜单栏中的“集群管理”子选项，跳转至界面变化状态图2展示的集群管理界面；点击主视图、界面变化状态图1‑2任一界面中的左侧菜单栏中的“环境管理”选项，跳转至界面变化状态图3展示的环境详情界面；点击主视图、界面变化状态图1‑3任一界面中的左侧菜单栏中的“环境管理”选项后再选择环境管理选项下拉选项中的“环境管理”子选项，跳转至界面变化状态图4展示的环境管理列表界面；点击界面变化状态图4左侧菜单栏中的“环境市场”子选项，跳转至界面变化状态图5展示的环境市场详情界面；点击主视图、界面变化状态图1‑5任一界面中的左侧菜单栏中的“软件管理”选项后再选择软件管理选项下拉选项中的“软件市场”子选项，跳转至界面变化状态图6展示的软件市场信息列表界面；点击界面变化状态图6中左侧菜单栏中的“已装实例”子选项，跳转至界面变化状态图7展示的已装实例信息列表界面；点击界面变化状态图6或7的界面中的左侧菜单栏中的“软件清单”子选项，跳转至界面变化状态图8展示的软件清单信息列表界面；点击主视图、界面变化状态图1‑8任一界面中的左侧菜单栏中的“系统管理”选项后再选择系统管理选项下拉选项中的“用户管理”子选项，跳转至界面变化状态图9展示的用户管理界面；点击界面变化状态图9左侧菜单栏中的“操作日志”子选项，跳转至界面变化状态图10展示的操作日志详情界面；点击界面变化状态图9或10中左侧菜单栏中的“应用管理”子选项，跳转至界面变化状态图11展示的应用管理界面。
 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装置。</t>
  </si>
  <si>
    <t>显示屏幕面板的运维管理图形用户界面</t>
  </si>
  <si>
    <t>CN308006493S</t>
  </si>
  <si>
    <t>1.本外观设计产品的名称：显示屏幕面板的高速公路收费系统管理图形用户界面。
 2.本外观设计产品的用途：用于交互和显示。
 3.本外观设计产品的设计要点：在于图形用户界面。
 4.最能表明设计要点的图片或照片：主视图。
 5.其他视图无设计要点，省略其他视图。
 6.图形用户界面的用途：用于高速公路车辆收费、放行的智能收费系统管理。
 7.图形用户界面的人机交互方式：主视图为收费站入口的车辆取卡提示界面，用于提示非ETC通道的机动车司机在高速公路收费站入口处拿取通行卡，该界面会显示自动识别车辆的车牌以及车型等车辆信息；机动车司机根据提示拿取通行卡后由主视图跳转至界面变化状态图1展示的系统控制抬杠界面；机动车司机行驶至收费站出口，则由界面变化状态图1跳转至界面变化状态图2展示的插卡回收界面，机动车司机在收费站出口根据提示将通行卡插入回收；通行卡插入回收之后，则由界面变化状态图2跳转至界面变化状态图3展示的付款码提示界面；缴费成功后，则由界面变化状态图3跳转至界面变化状态图4展示的请取发票提示界面；取走发票后，则由界面变化状态图4返回至界面变化状态图1展示的系统控制抬杠界面；在收费站入口无机动车行驶进入情况下（例如：上一车辆行驶通过后间隔10秒），则由界面变化状态图1跳转至界面变化状态图5展示的无机动车辆驶入界面；车辆到达收费站入口而系统未检测出车型类型，则由界面变化状态图1跳转至界面变化状态图6展示的无车型提示信息界面；车辆到达收费站入口而系统未检测出车牌信息，则由界面变化状态图1跳转至界面变化状态图7展示的无车牌信息提示界面；车辆到达收费站入口而系统未检测出车辆计重数据，则由界面变化状态图1跳转至界面变化状态图8展示的无计重数据提示信息界面；车辆到达收费站入口而停止前进，则由界面变化状态图1跳转至界面变化状态图9展示的车辆停止不动的警告界面。
 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装置。</t>
  </si>
  <si>
    <t>显示屏幕面板的高速公路收费系统管理图形用户界面</t>
  </si>
  <si>
    <t>CN115346161B</t>
  </si>
  <si>
    <t>本发明涉及人工智能技术领域，提供一种足球比赛态势评估和预测方法、装置和电子设备，其中方法包括：获取比赛中任一时刻的追踪数据的原始特征；对追踪数据的原始特征进行特征工程处理，得到追踪数据的处理特征；将追踪数据的处理特征输入至比赛态势评估和预测模型，得到比赛态势评估和预测模型输出的在任一时刻下的评估和预测结果；评估和预测结果包括控球方进球、非控球方进球和双方均无进球分别对应的概率。本发明提供的足球比赛态势评估和预测方法、装置和电子设备，相比于现有技术中仅评估有球球员的动作表现，有效利用了球场区域内所有球员和球的追踪数据，实现了从全局的视角进行综合性的比赛态势评估与预测。</t>
  </si>
  <si>
    <t>足球比赛态势评估和预测方法、装置和电子设备</t>
  </si>
  <si>
    <t>CN308260772S</t>
  </si>
  <si>
    <t>1.本外观设计产品的名称：显示屏幕面板的视觉模板选择图形用户界面。2.本外观设计产品的用途：用于显示图形用户界面。3.本外观设计产品的设计要点：在于图形用户界面。4.最能表明设计要点的图片或照片：设计1主视图。5.指定设计1为基本设计。6.图形用户界面的用途：用于多媒体信息处理过程中视觉效果模板的选择。7.图形用户界面的人机交互方式：设计1~7 的主视图通过选择界面中倒角正方形的视觉效果模板可显示对应视觉效果。设计界面中的灰色色块为可替换的图片或视频。8.其他需要说明的情形其他说明：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</si>
  <si>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显示屏幕面板的视觉模板选择图形用户界面</t>
  </si>
  <si>
    <t>CN307940988S</t>
  </si>
  <si>
    <t>1.本外观设计产品的名称：显示屏幕面板的作品展示图形用户界面。
 2.本外观设计产品的用途：用于显示图形用户界面。
 3.本外观设计产品的设计要点：在于图形用户界面。
 4.最能表明设计要点的图片或照片：设计6主视图。
 5.显示屏幕面板为惯常设计，省略其他视图。
 6.指定设计6为基本设计。
 7.图形用户界面的用途：用于照片和/或视频作品的展示。
 8.图形用户界面的人机交互方式：设计1‑10的主视图中，用户可通过手势上下滑动查看更多内容，用户触控界面中部灰色区域可查看具体的图片或视频。
 设计9、10界面中带有灰色小方块的区域为可替换图片或视频的马赛克效果，并非许多小图片和视频的组合，圆形灰色区域为可替换的用户头像。
 设计界面中的X代表文字和/或数字和/或字母和/或符号。
 9.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</si>
  <si>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显示屏幕面板的作品展示图形用户界面</t>
  </si>
  <si>
    <t>CN307960188S</t>
  </si>
  <si>
    <t>1.本外观设计产品的名称：显示屏幕面板的构件库图形用户界面。
 2.本外观设计产品的用途：用于运行程序、信息显示、人机交互。
 3.本外观设计产品的设计要点：在于屏幕中图形用户界面的界面内容。
 4.最能表明设计要点的图片或照片：主视图。
 5.图形用户界面的用途：主视图为构件库界面，用户可根据界面提示查找构件。
 6.其他说明：本显示屏幕面板应用于车辆、计算机、笔记本电脑、平板电脑、手机、智能手表、智能手环、健身监视器、头戴式耳机、个人数字助理（PDA）、智能音箱、电视、机顶盒、投影仪、游戏机或导航仪。</t>
  </si>
  <si>
    <t>显示屏幕面板的构件库图形用户界面</t>
  </si>
  <si>
    <t>US20230123704A1</t>
  </si>
  <si>
    <t>智能球机使用人工智能来训练球员或与球员一起比赛。 例如,发球机可以根据球员的回球成功率来调整网球的速度、上旋、弹跳。 球机可以预先配置有球员的资料。 例如,球机可以从比赛录像中下载网球运动员的完整资料,或者可以下载具有运动员定制资料的文件以使用球机训练运动员。 球机配备有多个轮子、电机和轴,以提供完全可定制的一个或多个球的发射。 例如,球可以从机器以各种速度、轨迹、上旋、弹跳等从网球场的一侧发射到网球场的另一侧。</t>
  </si>
  <si>
    <t>自适应网球发球机</t>
  </si>
  <si>
    <t>DE202022105825U1</t>
  </si>
  <si>
    <t>一种基于人工智能的运动员个性化营养计划管理系统,其特征在于,该系统包括:多个运动员接收膳食信息的电子设备,每个电子设备具有图像传感器、输入模块、输出模块和可选的用户识别。模块;云——配备了关于各种可食用物品的预存储信息的存储器,这些食物含有影响运动员健康的生物成分,例如脂肪、糖、蛋白质等;允许用户访问预存储的服务器通过运动员设备的电子访问信息; 以及连接到多个运动员电子终端和注册教练电子终端的处理器、云存储、服务器和处理从多个用户电子终端接收的数据的处理器;其中:运动员可以发送图片或膳食名称或通过用户终端电子设备向处​​理器发送代码;运动员和教练必须通过输入年龄、体重、身高、血型、运动、活动等信息创建新登录,如果适用,向系统提交慢性病和日常训练时间等;处理器接收到膳食信息后,计算出其中所含的生物成分,并向用户建议是否食用;处理器分别为每个运动员建议膳食量,处理器在教练端电子设备上产生警报如果对于运动员来说,饮食与系统中教练设定的所需饮食不匹配,则处理器根据运动员设定的进餐时间向用户端电子设备发送警报。</t>
  </si>
  <si>
    <t>基于人工智能的运动员个性化营养计划系统</t>
  </si>
  <si>
    <t>CN115738217A</t>
  </si>
  <si>
    <t>本发明公开了一种基于AI的数字跑道应用系统，具体涉及AI智能系统技术领域，其中该数字跑道包括水泥基层，水泥基层的顶部设置有地埋式结构的数据采集模块及AI检测模块，其中水泥基层的顶部两侧均设置有竖立式或悬挂式的液晶显示器，液晶显示器的内部设置有AI控制芯片，AI控制芯片连接有AI评估模块、AI检测模块、语音识别模块、数据采集模块和图像采集模块。本发明通过AI智能识别并控制，替代训练教练无法直观发现运动员的不足，同时弥补运动员在训练时不了解自身短处以及长处，且全面保证运动员在训练时的各项机能正常，减少危险事件发生，方便场内工作人员及时作出相应事件的应对措施，保证运动员训练时的正常进行。</t>
  </si>
  <si>
    <t>一种基于AI的数字跑道应用系统</t>
  </si>
  <si>
    <t>CN115475364A</t>
  </si>
  <si>
    <t>本发明涉及健身设备领域，具体是涉及一种物联网电子智能控制家用健身设备，包括固定底座、摇动底座、移动机构、支撑组件、健身设备主体和控制器；固定底座包括固定板、竖杆、横杆和加强板；摇动底座设置在固定底座的上方；移动机构具有四个；支撑组件具有四个；健身设备主体设置在摇动底座上；控制器安装在健身设备主体上；通过设置摇动底座、健身设备主体和控制器，用户使用手机与控制器连接，选择不同的地图和音乐，控制器根据地图和音乐的变化将不同的信号传递给摇动底座，摇动底座做出相应的变化，从而使摇动底座上的健身设备主体的姿态发生变化，进而实现使用户沉浸在不同环境下锻炼的效果，保持使用者的健身乐趣。</t>
  </si>
  <si>
    <t>一种物联网电子智能控制家用健身设备</t>
  </si>
  <si>
    <t>CN115640423A</t>
  </si>
  <si>
    <t>本发明公开了一种基于多目标跟踪的运动员识别方法，属于人工智能领域。首先对比赛视频进行运动员的多目标跟踪，得到每帧画面中每个运动员的边界框与其跟踪唯一标识。然后针对某一帧画面中每个运动员的边界框，识别边界框中包含的球衣号码数字，按照置信度排序，选取前K位数字根据边界框的横坐标排序，得到该运动员十进制的K位球衣号码，并与跟踪唯一标识形成映射。同时提取每个运动员边界框中包含的色彩特征，确定每个运动员所属队伍。最后根据跟踪唯一标识对应的球衣号码及其所属队伍，检索到唯一确定的运动员信息。选取下一帧画面重复上述过程，直至完成对比赛视频每一帧画面的处理。本发明对运动员识别准确，鲁棒性高，且应用场景广泛。</t>
  </si>
  <si>
    <t>一种基于多目标跟踪的运动员识别方法</t>
  </si>
  <si>
    <t>CN307905681S</t>
  </si>
  <si>
    <t>1.本外观设计产品的名称：用户显示屏幕面板的针对车辆异常问题报价的图形用户界面。
 2.本外观设计产品的用途：用于运行程序和展示信息，本外观设计图形用户界面可用于计算机、笔记本电脑、平板电脑、手机、智能手机、智能手环、智能眼镜、手表、智能手表、健身监视器、头戴式耳机、智能音箱、电视、监视器、投影仪、机顶盒、游戏机、导航仪、用于车辆的显示屏。
 3.本外观设计产品的设计要点：在于屏幕中图形用户界面的内容。
 4.最能表明设计要点的图片或照片：主视图。
 5.无设计要点，省略后视图、左视图、右视图、俯视图、仰视图。
 6.图形用户界面的用途：用于人机交互和展示图形用户界面，并且可以用于查看和联系服务人员、查看本次需要处理的车辆检查异常明细、查看商品、查看服务费、查看其他车辆检车异常明细、同意报价、拒绝报价。
 点击主视图中部的"检测异常：火花塞异常"框，呈现变化状态图1的界面，即显示"检测异常：火花塞异常"的详细信息；点击主视图下部的“检测异常：正时皮带”、“检测异常：刹车油含水量”框，呈现变化状态图2的界面，即显示“检测异常：正时皮带”、“检测异常：刹车油含水量”的详细信息。
 7.图形用户界面的人机交互方式：可通过轻击、按压、滚动或滑动图形用户界面进行交互。</t>
  </si>
  <si>
    <t>用户显示屏幕面板的针对车辆异常问题报价的图形用户界面</t>
  </si>
  <si>
    <t>CN307960181S</t>
  </si>
  <si>
    <t>1.本外观设计产品的名称：用于显示屏幕面板的商品配送信息展示的图形用户界面。
 2.本外观设计产品的用途：用于运行程序和展示信息，本外观设计图形用户界面可用于计算机、笔记本电脑、平板电脑、手机、智能手机、智能手环、智能眼镜、手表、智能手表、健身监视器、头戴式耳机、个人数字助理、智能音箱、电视、监视器、投影仪、机顶盒、游戏机、导航仪、用于车辆的显示屏。
 3.本外观设计产品的设计要点：在于屏幕中图形用户界面的内容。
 4.最能表明设计要点的图片或照片：主视图。
 5.无设计要点，省略后视图、左视图、右视图、俯视图、仰视图。
 6.图形用户界面的用途：用于人机交互和显示图形用户界面，并且可以基于多个商品同时下单对应配送地址的不同，分别显示配送到店和配送到家。
 7.图形用户界面的人机交互方式：可通过轻击、按压、滚动或滑动图形用户界面进行交互。</t>
  </si>
  <si>
    <t>用于显示屏幕面板的商品配送信息展示的图形用户界面</t>
  </si>
  <si>
    <t>CN307960183S</t>
  </si>
  <si>
    <t>1.本外观设计产品的名称：用于显示屏幕面板的汽修门店经营管理的图形用户界面。
 2.本外观设计产品的用途：用于运行程序和展示信息，本外观设计图形用户界面可用于计算机、笔记本电脑、平板电脑、手机、智能手机、智能手环、智能眼镜、手表、智能手表、健身监视器、头戴式耳机、个人数字助理、智能音箱、电视、监视器、投影仪、机顶盒、游戏机、导航仪、用于车辆的显示屏。
 3.本外观设计产品的设计要点：在于屏幕中图形用户界面的内容。
 4.最能表明设计要点的图片或照片：主视图。
 5.无设计要点，省略后视图、左视图、右视图、俯视图、仰视图。
 6.图形用户界面的用途：用于人机交互和显示图形用户界面，并且可用于查看订单、快速扫描车牌迎客、配置和调用常用功能、查看预约/排队/施工/结算车辆数、查看需派工车辆、查看施工中车辆、查看待收款车辆、查看本店当日经营状况等。
 当存在需派工车辆、施工中车辆、待收款车辆时，界面显示主视图，向下滑动主视图，界面显示变化状态图1，点击主视图下方中间的快捷功能按钮，界面显示变化状态图3。
 若没有需派工车辆、施工中车辆、待收款车辆时，界面显示变化状态图2。
 7.图形用户界面的人机交互方式：可通过轻击、按压、滚动或滑动图形用户界面进行交互。</t>
  </si>
  <si>
    <t>用于显示屏幕面板的汽修门店经营管理的图形用户界面</t>
  </si>
  <si>
    <t>CN307960182S</t>
  </si>
  <si>
    <t>1.本外观设计产品的名称：用于显示屏幕面板的商品推荐度展示的图形用户界面。
 2.本外观设计产品的用途：用于运行程序和展示信息，本外观设计图形用户界面可用于计算机、笔记本电脑、平板电脑、手机、智能手机、智能手环、智能眼镜、手表、智能手表、健身监视器、头戴式耳机、个人数字助理、智能音箱、电视、监视器、投影仪、机顶盒、游戏机、导航仪、用于车辆的显示屏。
 3.本外观设计产品的设计要点：在于屏幕中图形用户界面的内容。
 4.最能表明设计要点的图片或照片：主视图。
 5.无设计要点，省略后视图、左视图、右视图、俯视图、仰视图。
 6.图形用户界面的用途：用于人机交互和显示图形用户界面，并且可以用于显示轮胎与用户用车偏好的关联度。
 7.图形用户界面的人机交互方式：可通过轻击、按压、滚动或滑动图形用户界面进行交互。</t>
  </si>
  <si>
    <t>用于显示屏幕面板的商品推荐度展示的图形用户界面</t>
  </si>
  <si>
    <t>WO2023064563A1</t>
  </si>
  <si>
    <t>一种用于收集、操纵、传输和解释数据的方法、系统和装置。 在一个实施例中,多个传感器被配置为从包括多个动作的现场事件捕获实时传感器数据; 一个或多个运动游戏平台,以及一种用户设备,其中一个或多个运动游戏平台被配置为:接收并存储捕获的传感器数据,根据与即将发生的动作的ID匹配的相似事件数据过滤历史传感器数据库,其中 ID 识别即将发生的比赛的可能性,基于人工智能和/或机器学习并在即将发生的动作发生之前确定捕获的传感器数据与类似事件数据之间存在高度相关性,确定发生的概率 与投注 ID 关联的即将到来的比赛,并更新交易系统提供的赔率。</t>
  </si>
  <si>
    <t>用于处理运动相关数据的方法、系统和装置</t>
  </si>
  <si>
    <t>CN307996974S</t>
  </si>
  <si>
    <t>1.本外观设计产品的名称：用于显示屏幕面板的绑定车辆的图形用户界面。
 2.本外观设计产品的用途：用于运行程序和展示信息。
 3.本外观设计产品的设计要点：在于屏幕中图形用户界面的内容。
 4.最能表明设计要点的图片或照片：界面变化状态图2。
 5.无设计要点，省略后视图、左视图、右视图、俯视图、仰视图。
 6.图形用户界面的用途：用于人机交互和显示图形用户界面，并且可用于绑定车辆、查看已绑定车辆、查看车库。
 点击主视图的绑定车辆选项后绑定一辆车辆，界面显示界面变化状态图1，再绑定一辆车辆，界面显示界面变化状态图2，再绑定一辆车辆，界面显示界面变化状态图3。
 点击屏幕下方的去车库选项后还可查看车库。
 7.图形用户界面的人机交互方式：可通过轻击、按压、滚动或滑动图形用户界面进行交互。
 8.该显示屏幕面板可用于计算机、笔记本电脑、平板电脑、手机、智能手机、智能手环、智能眼镜、手表、智能手表、健身监视器、头戴式耳机、个人数字助理、智能音箱、电视、监视器、投影仪、机顶盒、游戏机、导航仪、用于车辆的显示屏。</t>
  </si>
  <si>
    <t>用于显示屏幕面板的绑定车辆的图形用户界面</t>
  </si>
  <si>
    <t>CN308020645S</t>
  </si>
  <si>
    <t>1.本外观设计产品的名称：用于显示屏幕面板的item推荐度展示的图形用户界面。;2.本外观设计产品的用途：用于运行程序和展示信息，本外观设计图形用户界面可用于计算机、笔记本电脑、平板电脑、手机、智能手机、智能手环、智能眼镜、手表、智能手表、健身监视器、头戴式耳机、个人数字助理、智能音箱、电视、监视器、投影仪、机顶盒、游戏机、导航仪、用于车辆的显示屏。;3.本外观设计产品的设计要点：在于屏幕中图形用户界面的内容。;4.最能表明设计要点的图片或照片：主视图。;5.无设计要点，省略后视图、左视图、右视图、俯视图、仰视图。;6.图形用户界面的用途：用于人机交互和显示图形用户界面，并且可以用于显示轮胎与用户用车偏好的关联度。;7.图形用户界面的人机交互方式：可通过轻击、按压、滚动或滑动图形用户界面进行交互。;1.本外观设计产品的名称：用于显示屏幕面板的item推荐度展示的图形用户界面。;2.本外观设计产品的用途：用于运行程序和展示信息，本外观设计图形用户界面可用于计算机、笔记本电脑、平板电脑、手机、智能手机、智能手环、智能眼镜、手表、智能手表、健身监视器、头戴式耳机、个人数字助理、智能音箱、电视、监视器、投影仪、机顶盒、游戏机、导航仪、用于车辆的显示屏。;3.本外观设计产品的设计要点：在于屏幕中图形用户界面的内容。;4.最能表明设计要点的图片或照片：主视图。;5.无设计要点，省略后视图、左视图、右视图、俯视图、仰视图。;6.图形用户界面的用途：用于人机交互和显示图形用户界面，并且可以用于显示轮胎与用户用车偏好的关联度。;7.图形用户界面的人机交互方式：可通过轻击、按压、滚动或滑动图形用户界面进行交互。</t>
  </si>
  <si>
    <t>用于显示屏幕面板的item推荐度展示的图形用户界面</t>
  </si>
  <si>
    <t>CN308173656S</t>
  </si>
  <si>
    <t>1.本外观设计产品的名称：用于显示屏幕面板的购物主页面的动态图形用户界面。
 2.本外观设计产品的用途：用于运行程序和展示信息，本外观设计图形用户界面可用于计算机、笔记本电脑、平板电脑、手机、智能手机、智能手环、智能眼镜、手表、智能手表、健身监视器、头戴式耳机、智能音箱、电视、监视器、投影仪、机顶盒、游戏机、导航仪、用于车辆的显示屏。
 3.本外观设计产品的设计要点：在于屏幕中图形用户界面的内容。
 4.最能表明设计要点的图片或照片：界面变化状态图4。
 5.图形用户界面的用途：用于人机交互和展示图形用户界面。
 点击主视图的添加汽车功能并填写汽车信息后，界面显示界面变化状态图1；点击界面变化状态图1显示的补充车型信息入口并补充车型信息后，若系统判断该车的车龄和/或已行驶里程等信息达到预设值，则显示界面变化状态图2；若系统判断该车的车龄和/或已行驶里程等信息未达到预设值，则显示界面变化状态图3；界面变化状态图3的专属推荐入口在用户未操作时间达到预设值或用户滑动刷新等情况下，切换至界面变化状态图4所示出的排行榜，同样地，界面变化状态图4中的排行榜在用户未操作时间达到预设值或用户滑动刷新等情况下切换至界面变化状态图3所示出的专属推荐入口。
 此外，主视图至界面变化状态图3的专属推荐入口亦会基于相同原因切换至排行榜、且排行榜会切换至专属推荐入口。</t>
  </si>
  <si>
    <t>用于显示屏幕面板的购物主页面的动态图形用户界面</t>
  </si>
  <si>
    <t>IN202241058684A</t>
  </si>
  <si>
    <t>提出的发明是一种基于人工智能的运动管理系统,用于持续管理和监控运动员的表现评估。 所提出的发明侧重于验证用于识别运动员或运动员能力的人工智能算法,本发明旨在评估运动员的表现,同时识别改进点,以提高运动员的表现。</t>
  </si>
  <si>
    <t>基于人工智能的运动管理系统,持续管理和监控运动员的表现评估</t>
  </si>
  <si>
    <t>CN308048921S</t>
  </si>
  <si>
    <t>1.本外观设计产品的名称：显示屏幕面板的列车运行管理图形用户界面。
 2.本外观设计产品的用途：用于交互和显示。
 3.本外观设计产品的设计要点：在于图形用户界面的界面内容。
 4.最能表明设计要点的图片或照片：主视图。
 5.图形用户界面的用途：用于管理列车运行状态。
 6.图形用户界面的人机交互方式：主视图为列车运行的站场界面；点击主视图中的“派班计划”选项按钮，跳转至界面变化状态图1；点击主视图或界面变化状态图1中的“列车信息”选项按钮，跳转至界面变化状态图2；点击主视图或界面变化状态图1‑2中的“编组信息”选项按钮，跳转至界面变化状态图3；点击主视图或界面变化状态图1‑3中的“洗车计划”选项按钮，跳转至界面变化状态图4；点击主视图或界面变化状态图1‑4中的“备车计划”选项按钮，跳转至界面变化状态图5；点击主视图右上角的“现地控制工作站‑RHCLD1”按钮，切换至界面变化状态图6。
 7.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仪。</t>
  </si>
  <si>
    <t>显示屏幕面板的列车运行管理图形用户界面</t>
  </si>
  <si>
    <t>IN202211058322A</t>
  </si>
  <si>
    <t>本发明提供了一种基于物联网的系统(100),用于提高在加拿大的印度移民的人际沟通技巧。 系统(100)包括多个用户端电子设备、云存储、服务器和处理器。 用户和培训师需要通过向系统(100)提供诸如考试名称、考试模式、当前英语语言技能等信息来创建新的登录。 处理器在接收到用户端信息后分析语法、口音和短语并提出改进建议。 处理器基于物联网和人工智能,为每个用户提供培训师单独批准的改进数据和测试。 如果用户错过了由系统(100)组织的测试,处理器会在教练端电子设备上生成警报。</t>
  </si>
  <si>
    <t>基于物联网的系统,用于提高加拿大印度移民的人际沟通技巧</t>
  </si>
  <si>
    <t>CN115311543A</t>
  </si>
  <si>
    <t>本发明涉及健身房设施布局优化技术领域，具体涉及一种基于图像数据的健身房设施布局优化方法及系统。该方法包括：获取健身房的全景图像，对全景图像进行语义分割得到包括过道类别和健身设备类别的语义分割图像；获取用户健身方向信息，以及配置健身房健身设备的设备描述矩阵；将语义分割图像、用户健身方向信息以及设备描述矩阵作为第一目标神经网络的输入，输出为优化后的优化图像；根据优化图像进行健身房布局调整。利用本发明，可以对健身房区域的最优布局策略，以此重新规划健身房区域健身设备的分布，使得整体布局更为合理，更好的引导人员充分利用健身设备。</t>
  </si>
  <si>
    <t>一种基于图像数据的健身房设施布局优化方法及系统</t>
  </si>
  <si>
    <t>CN307847939S</t>
  </si>
  <si>
    <t>1.本外观设计产品的名称：用于显示屏幕面板的直播互动图形用户界面。
 2.本外观设计产品的用途：用于显示信息。
 3.本外观设计产品的设计要点：在于屏幕中的图形用户界面。
 4.最能表明设计要点的图片或照片：设计1主视图。
 5.指定设计1为基本设计。
 6.图形用户界面的用途：界面用于直播观看和直播互动。
 7.图形用户界面的人机交互方式：在设计1主视图中，用户可以查看当前直播内容，点击“+关注”控件关注该平台账号，可以点击“更多直播”右侧箭头控件查看更多直播内容，可以在界面下方查看聊天内容，可以点击“赛况”/“数据”/“赛程”控件切换查看对应标签栏内容，可以在界面底部输入框中发送评论内容，可以在界面底部右侧浮窗中选择支持队伍，还可以点击“分享”控件分享直播。
 设计2的人机交互方式与设计1相同。
 在设计3主视图中，当用户在界面底部右侧浮窗中点击“队伍B”矩形控件时，界面底部的“点赞”控件变化为所选队伍标志图形并在其上方展示已支持队伍信息，呈现出设计3主视图至设计3界面变化状态图的界面变化效果。
 设计4的人机交互方式与设计3相同。
 在设计5主视图中，当直播赛事中运动员出现得分时，界面展示选手得分高光时刻及其他点赞用户的头像信息，呈现出设计5主视图至设计5界面变化状态图的界面变化效果；在设计5界面变化状态图中，用户可以点击“欢呼庆祝”控件进行点赞，还可以点击“分享高光时刻”控件进行分享。
 设计6的人机交互方式与设计5相同。
 在设计7主视图中，当用户快速点击界面底部圆形控件并且所选阵营率先完成进度条填充时，界面下方展示为队伍加油助威的浮层内容，呈现出设计7主视图至设计7界面变化状态图的界面变化效果；在设计7界面变化状态图中，界面下方的凸形浮层空白区域为内容画面。
 在设计8主视图中，当用户快速点击界面底部圆形控件并且所选阵营率先完成进度条填充时，界面下方展示为队伍加油助威的文字信息，呈现出设计8主视图至设计8界面变化状态图的界面变化效果。
 在设计1至设计4、设计7、设计8中，各设计界面上方矩形空白区域为直播画面，属于内容画面。
 8.该显示屏幕面板可用于手机、计算机、平板电脑、智能电视、车载中控屏幕。</t>
  </si>
  <si>
    <t>用于显示屏幕面板的直播互动图形用户界面</t>
  </si>
  <si>
    <t>CN308048920S</t>
  </si>
  <si>
    <t>1.本外观设计产品的名称：带应用编辑操作图形用户界面的显示屏幕面板。
 2.本外观设计产品的用途：用于显示人机交互界面并供用户触控。
 显示屏幕面板的使用范围：用于台式电脑、笔记本电脑、平板电脑、触控一体机、智能手机、可穿戴设备、智能手表、健身监视器、头戴式耳机、智能音箱、智能电视、带屏机顶盒、投影设备、投影仪、激光电视。
 3.本外观设计产品的设计要点：在于图形用户界面。
 4.最能表明设计要点的图片或照片：主视图。
 5.无设计要点，省略外观设计产品的后视图、左视图、右视图、俯视图及仰视图。
 6.图形用户界面的用途：图形用户界面用于对系统中的应用进行移动、卸载等编辑操作。
 主视图的界面左侧依次设置了搜索、网络、设置、信号源、会员、通知的图标。
 在主视图中，可通过遥控器按键或手势，向右选择下一图标，进入变化状态图1。
 在变化状态图1中，通过遥控器按键或手势，向右选择下一图标，进入变化状态图2，继续向右选择下一图标可进入变化状态图3。
 上述变化过程中，界面左上角文字也随之变化为与所选图标相对应的内容。
 在变化状态图3中，可通过遥控器按键或手势选中需要编辑的应用图标，进入变化状态图4；在变化状态图4状态下，可通过按遥控器按键或手势进入变化状态图5，此时可对选中应用进行相应编辑操作；在变化状态图5状态下选择“移动”操作，可进入变化状态图6，此时可以移动选中的应用。
 在变化状态图3中，点击选择“全部应用”图标，可进入变化状态图7；在变化状态图7通过遥控器按键或手势选中应用图标，可进入变化状态图8，此时可对选中应用进行相应编辑操作。
 所有基本视图中的灰色圆角矩形为内容画面显示区域。</t>
  </si>
  <si>
    <t>带应用编辑操作图形用户界面的显示屏幕面板</t>
  </si>
  <si>
    <t>CN218409225U</t>
  </si>
  <si>
    <t>本实用新型公开了一种用于体育深度学习影像识别的采集摄像头，包括固定轨道板和电机箱，固定轨道板的前侧与电机箱的后侧固定连接。本实用新型通过设置异步电机、第一红外感应器、第二红外感应器、控制器、单向螺杆、移动块、连接板、支撑柱和采集摄像器的配合使用，达到了使采集摄像头自动随着运动者运动时移动的优点，解决了现有的体育深度学习影像识别的采集摄像头在对运动过程中的动作进行采集的过程中，由于体育深度学习影像识别的采集摄像头是固定的，不便于使采集摄像头随着运动者运动时移动，从而对运动过程中的动作进行采集的数据不清晰，从而影响使用者在运动后对动作分析和学习的问题。</t>
  </si>
  <si>
    <t>一种用于体育深度学习影像识别的采集摄像头</t>
  </si>
  <si>
    <t>CN115691801A</t>
  </si>
  <si>
    <t>本发明提出了一种用于可穿戴设备的健康评估方法及系统，涉及健康评估领域。该方法包括通过采集青少年在跑步过程中的心率和血氧饱和率，对采集到的生理数据进行特征提取与筛选和分类建模，建立了一个基于机器学习的面向青少年跑步监测的穿戴式体质健康评估模型，可以将可穿戴设备采集到的原始生理数据转换为最终的青少年健康水平等级，用来评估青少年的体质健康状况。</t>
  </si>
  <si>
    <t>一种用于可穿戴设备的健康评估方法及系统</t>
  </si>
  <si>
    <t>CN308006486S</t>
  </si>
  <si>
    <t>1.本外观设计产品的名称：显示屏幕面板的叉车操控图形用户界面。
 2.本外观设计产品的用途：显示图形用户界面。
 3.本外观设计产品的设计要点：在于显示屏幕面板中的图形用户界面。
 4.最能表明设计要点的图片或照片：主视图。
 5.设计要点仅在于图形用户界面，产品其他视图为惯常设计，省略后视图、左视图、右视图、俯视图、仰视图。
 6.图形用户界面的用途：用于伸缩臂式叉车的状态监控操作和多媒体操作。
 7.图形用户界面的人机交互方式：主视图为主界面，点击主视图底部从左向右中的第二个按钮，可进入界面变化状态图1；点击主视图底部从左向右中的第三个按钮，可进入界面变化状态图2；点击主视图底部从左向右中的第四个按钮，可进入界面变化状态图3；点击主视图底部从左向右中的第五个按钮，可进入界面变化状态图4；点击主视图底部从左向右中的第六个按钮，可进入界面变化状态图5；点击主视图底部从左向右中的第七个按钮，可进入界面变化状态图6；收到“紧急开关拉起”信号、“与控制器通讯断开”信号或者倒车信号，可由主视图进入界面变化状态图7、界面变化状态图8或者界面变化状态图9；点击主视图底部从左向右中的第一个按钮，可进入界面变化状态图10；点击界面变化状态图10底部从左向右中的第二个按钮，可进入界面变化状态图11；点击界面变化状态图2中的“上车动作速度”按钮，可进入界面变化状态图12；点击界面变化状态图2中的“臂架动作”按钮，可进入界面变化状态图13；点击界面变化状态图2中的“传感器标定”按钮，可进入界面变化状态图14；点击界面变化状态图2中的“防倾翻标定”按钮，可进入界面变化状态图15；点击界面变化状态图2中的“属具类型”按钮，可进入界面变化状态图16；点击界面变化状态图3中的“输入监控”按钮，可进入界面变化状态图17；点击界面变化状态图17中的“故障信息”按钮，可进入界面变化状态图18；点击界面变化状态图6中的“权限管理”按钮，可进入界面变化状态图19；点击界面变化状态图6中的“显示设置”按钮，可进入界面变化状态图20；点击界面变化状态图6中的“语言”按钮，可进入界面变化状态图21；点击界面变化状态图6中的“单位”按钮，可进入界面变化状态图22；点击界面变化状态图4中的“收音机”按钮，可进入界面变化状态图23；点击界面变化状态图4中的“蓝牙”按钮，可进入界面变化状态图24；点击界面变化状态图4中的“随机资料”按钮，可进入界面变化状态图25；点击界面变化状态图25中的“零部件图册”按钮，可进入界面变化状态图26；点击界面变化状态图5中的“OFF”按钮，可进入界面变化状态图27。
 8.其他需要说明的情形其他说明：显示屏幕面板用于伸缩臂式叉车、手机、电脑、平板电脑、电视机、投影屏。</t>
  </si>
  <si>
    <t>显示屏幕面板的叉车操控图形用户界面</t>
  </si>
  <si>
    <t>ZA202211044B</t>
  </si>
  <si>
    <t>对象检测是一种计算机视觉技术,它使我们能够识别和定位图像或视频中的对象。 通过这种识别和定位,对象检测可用于对场景中的对象进行计数并确定和跟踪它们的精确位置,同时准确地标记它们。 例如,包含两只猫和一个人的图像。 对象检测使我们能够立即对所发现事物的类型进行分类,同时还能在图像中定位它们的实例。 对象识别是一个通用术语,用于描述涉及识别数码照片中的对象的相关计算机视觉任务的集合。 图像分类涉及预测图像中一个对象的类别。 对象定位是指识别图像中一个或多个对象的位置,并在其范围内绘制边界框。 对象检测结合了这两项任务,并对图像中的一个或多个对象进行定位和分类。 广泛应用于图像标注、活动识别、人脸检测、人脸识别、视频对象联合分割等计算机视觉任务。 它还用于跟踪对象,例如在足球比赛中跟踪球、跟踪板球拍的运动或跟踪视频中的人。 YOLO 预测每个网格单元的多个边界框。 在训练时,我们只希望一个边界框预测器负责每个对象。 我们分配一个预测器“负责”预测一个对象,基于该预测具有最高的当前 IOU 与基本事实。 这导致边界框预测器之间的专业化。 每个预测器在预测特定大小、纵横比或对象类别方面变得更好,从而提高整体召回率。</t>
  </si>
  <si>
    <t>使用 yolov3 防止 covid-19 传播的面罩安全检测系统</t>
  </si>
  <si>
    <t>CN307887992S</t>
  </si>
  <si>
    <t>1.本外观设计产品的名称：带上肢康复训练图形用户界面的显示屏幕面板。
 2.本外观设计产品的用途：本外观设计产品用于显示及交互信息。
 3.本外观设计产品的设计要点：在于显示屏幕面板中图形用户界面的界面内容。
 4.最能表明设计要点的图片或照片：界面变化状态图2。
 5.显示屏幕面板为惯常设计，省略后视图、左视图、右视图、俯视图、仰视图。
 6.图形用户界面的用途：本设计的图形用户界面是用于上肢综合康复训练系统的展示及操作的交互界面。
 7.图形用户界面的人机交互方式：主视图界面为系统登录的主界面。
 如果是新用户，在主视图界面点击“注册”按钮，进入界面变化状态图1；在界面变化状态图1中输入病历号、姓名、性别、年龄，点击“请登录”按钮，进入界面变化状态图2；如果是老用户，在主视图界面上输入正确的用户名和密码后，进入界面变化状态图2；在界面变化状态图2中点击“画圆任务”按钮，进入界面变化状态图3；在界面变化状态图3中点击提示框中的“是”或“否”按钮，进入界面变化状态图4；在界面变化状态图4中勾选参数信息，点击“确认”按钮，进入界面变化状态图5；在界面变化状态图5中点击“准备”按钮，进入界面变化状态图6；在界面变化状态图6中点击“设置”按钮，进入界面变化状态图4；在界面变化状态图6中点击“开始”按钮，进入界面变化状态图7；在界面变化状态图6中点击“暂停”按钮，进入界面变化状态图7；在界面变化状态图6中点击“复位”按钮，进入界面变化状态图8；在界面变化状态图6中点击“返回主界面”按钮，进入界面变化状态图2；在界面变化状态图2中点击“游泳任务”按钮，进入界面变化状态图9；在界面变化状态图9中勾选参数，点击“确认”按钮，进入界面变化状态图10；操控上肢康复训练器，将界面变化状态图10中虚拟手放置在虚线圈中，进入界面变化状态图11；在界面变化状态图11中，点击“开始”按钮，进入界面变化状态图12；在界面变化状态图11中，点击“设置”按钮，进入界面变化状态图9；在界面变化状态图11中，点击“暂停”按钮，进入界面变化状态图13；在界面变化状态图11中，点击“返回主界面”按钮，进入界面变化状态图2；在界面变化状态图11中，点击“背景音”按钮，控制背景音乐的播放与暂停；当完成设定的任务时，进入界面变化状态图14；在界面变化状态图2中，点击“示教任务”按钮，进入界面变化状态图15，在界面变化状态图15中，在示教次数输入框中输入示教次数；在界面变化状态图15中，点击“开始示教”按钮，进入界面变化状态图16；在界面变化状态图15中，点击“结束示教”按钮，进入界面变化状态图17；在界面变化状态图15中，点击“开始训练”按钮，进入界面变化状态图16；在界面变化状态图15中，点击“结束训练”按钮，进入界面变化状态图17；在界面变化状态图2中，点击“设备维护”按钮，进入界面变化状态图18；在界面变化状态图18中，在运转时间对话框输入时间，点击“调试开始”按钮，进入界面变化状态图19；在界面变化状态图18中，点击“系统复位”按钮，进入界面变化状态图19；在界面变化状态图18中，点击“调试停止”按钮，进入界面变化状态图19；当出现界面变化状态图20时，点击该界面的“解除警报”按钮，进入界面变化状态图21；在界面变化状态图2中，点击“数据管理”按钮，进入界面变化状态图22。
 8.本外观设计显示屏幕面板用于机器人、手机、平板电脑、便携式电脑、台式电脑、智能屏、可穿戴设备、智能电视和个人数字终端。</t>
  </si>
  <si>
    <t>带上肢康复训练图形用户界面的显示屏幕面板</t>
  </si>
  <si>
    <t>CN308215326S</t>
  </si>
  <si>
    <t>1.本外观设计产品的名称：带有动态操控图形用户界面的显示屏幕面板。
 2.本外观设计产品的用途：用于曲棍球馆的机器人。
 3.本外观设计产品的设计要点：在于屏幕中的用户图形界面的内容和图标。
 4.最能表明设计要点的图片或照片：主视图。
 5.图形用户界面的用途：该屏幕属于服务型机器人的一部分，用于曲棍球馆机器人用户与其进行交互操作，触摸屏点击等方式实现与机器人的交互。
 6.图形用户界面的人机交互方式：1、点击主视图中的“奖牌榜”跳转至界面变化状态图1，上下滑动查看奖牌信息；2、点击主视图中的“精彩回顾”跳转至界面变化状态图2；3、点击界面变化状态图2&amp;nbsp;中的视频跳转至界面变化状态图3，查看视频内容；4、点击主视图中的“参观导览”跳转至界面变化状态图4；5、点击主视图中的“XX知识”跳转至界面变化状态图5；6、点击界面变化状态图5&amp;nbsp;中的“XX城市”跳转至界面变化状态图6，查看城市信息；7、点击界面变化状态图5&amp;nbsp;中的“曲棍球项目”跳转至界面变化状态图7，查看项目详情；8、点击界面变化状态图5&amp;nbsp;中的“XX之星”跳转至界面变化状态图8，查看运动员信息；9、点击界面变化状态图5&amp;nbsp;中的“XX文化”跳转至界面变化状态图9，查看亚运文化；10、点击主视图中的“问路导航”跳转至界面变化状态图10；11、点击界面变化状态图10&amp;nbsp;中的“地点”跳转至界面变化状态图11，查看路线详情；12、点击界面变化状态图11&amp;nbsp;中的“导航”跳转至界面变化状态图12；13、在主视图状态下三指下滑跳转至界面变化状态图13&amp;nbsp;出现密码设置界面。</t>
  </si>
  <si>
    <t>带有动态操控图形用户界面的显示屏幕面板</t>
  </si>
  <si>
    <t>CN115643446A</t>
  </si>
  <si>
    <t>本申请提供了一种赛事组织方法、系统和装置。该方法包括：响应于赛事开启请求，启动赛事开启请求对应的竞赛应用程序，并展示竞赛应用程序的交互界面；通过对交互界面进行图像识别，确定竞赛对局所处的赛事阶段，并执行赛事阶段对应的赛事操作，直至赛事结束。该赛事组织方法免去人工开启比赛，技术上实现自动化推动赛事进行，避免了人工开赛出错、时间不稳定，并节约大量校对复核的时间，提高赛事组织效率。同时，还可以在无需大量人工的基础上批量开启多个赛事，进一步提高赛事组织效率。</t>
  </si>
  <si>
    <t>赛事组织方法、系统和装置</t>
  </si>
  <si>
    <t>CN115700843A</t>
  </si>
  <si>
    <t>本发明提出了一种基于现代机器学习模型的运动状态精准评估方法，涉及健身领域。通过先分别将不同疲劳状态下的人脸图像样本和肢体动作视频样本送给对应的卷积神经网络模型中进行训练学习，得到人脸疲劳状态检测模型和肢体动作疲劳检测模型。然后获取运动者的运动视频，将识别出的运动视频中的运动者的人脸图像和肢体动作信息分别送入人脸疲劳状态检测模型和肢体动作疲劳检测模型，接着根据人脸疲劳检测结果和肢体疲劳检测结果进行综合判断，即能够精准快速的识别出运动者的疲劳状态。该方法简单快捷，能够基于人脸图像和肢体动作信息，结合目标检测和超分辨率重建等技术，利用卷积神经网络模型对运动者的疲劳状态进行精准评估。</t>
  </si>
  <si>
    <t>一种基于现代机器学习模型的运动状态精准评估方法</t>
  </si>
  <si>
    <t>CN307853892S</t>
  </si>
  <si>
    <t>1.本外观设计产品的名称：带答卷积分管理图形用户界面的显示屏幕面板。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6.图形用户界面的用途：界面用于做答卷、做任务赚积分购买商品、管理与浏览信息的用途。
 7.图形用户界面的人机交互方式：主视图显示的图形用户界面为打开程序的起始界面；点击主视图最下方“做问卷”标签按钮进入界面变化状态图1；点击主视图最下方“返利购”标签按钮进入界面变化状态图2；在界面变化状态图2中央任意位置向上滑动得到界面变化状态图3；点击主视图最下方“我的”标签按钮进入界面变化状态图4。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</si>
  <si>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带答卷积分管理图形用户界面的显示屏幕面板</t>
  </si>
  <si>
    <t>IN202231057460A</t>
  </si>
  <si>
    <t>本发明为体育人员提供了一个基于人工智能的个性化饮食计划,这些饮食人员提供了机敏功能,以管理正确的膳食计划,并根据医疗保健设施实施的营养指南和应用程序密切确定适当的营养和饮食成分。系统(100)包括多个运动员端电子设备,云存储,服务器和处理器。收到进餐信息后,处理器计算其中的生物含量,并向用户建议是否消耗。如果运动员的饮食与系统中的教练设定的饮食不匹配,则处理器会在教练端电子设备上产生警报。此外,处理器根据运动员设定的用餐时间向用户最终电子设备发送警报。</t>
  </si>
  <si>
    <t>基于人工智能的运动人士个性化膳食计划</t>
  </si>
  <si>
    <t>KR102562810B1</t>
  </si>
  <si>
    <t>根据本发明实施例的在线辅导服务提供服务器包括用户面部信息接收器,用于在用户与用户之间使用在线辅导服务的过程中从用户终端接收使用在线辅导服务的用户的图像信息。 AI模型生成单元,在使用在线辅导服务过程中接收来自教练终端的提问信息,分析用户的图像信息,根据用户的心理状态变化判断用户的心理状态变化。实时在线辅导信息管理单元以及用户与教练之间的在线辅导服务启动后,将用户的初始心理状态应用到在线辅导信息数据库中。预先生成的AI模型,获取与正向状态变化对应的问题信息,在线辅导服务提供单元在输出时将问题信息提供给教练终端。</t>
  </si>
  <si>
    <t>基于人工智能的在线辅导服务提供系统、其执行方法和记录介质</t>
  </si>
  <si>
    <t>CN115463380A</t>
  </si>
  <si>
    <t>本发明公开了一种人工智能运动辅助设备，具体涉及人工智能运动技术领域，包括底座，底座的顶端一侧固定安装有U型框架，U型框架中设有跑步机器，U型框架、跑步机器之间设有一驱机构，本发明，通过设置一驱机构并配合使用二驱机构，同步调节跑步机器和交互平台的位置，便于整个运动设备的使用，且便于跑步机器和交互平台的同步收纳，减小整个运动设备的占地空间，从而提升了整个设备的使用效果；当跑步机器处于平行位置后，可通过驱动滑座、驱动座上升，带动跑步机器顶部进行一定距离的上升，此时跑步机器处于倾斜位置，便于使用者使用跑步机器进行模拟式爬坡跑步运动，从而提升了整个运动设备的使用效果和功能性。</t>
  </si>
  <si>
    <t>CN115518330A</t>
  </si>
  <si>
    <t>本发明属于体育器材技术领域，特别涉及一种基于人工智能的跳绳训练系统及方法，包括跳绳计数系统，跳绳计数系统包括违规检测模块，训练系统还包括移动训练装置，其中，违规检测模块用于检测用户在训练系统中的跳绳状态，当检测到跳绳状态为违规动作时，向移动训练装置发送数据校正消息，移动训练装置基于数据校正消息对用户当前跳绳状态进行违规调整；当未检测到违规状态时，移动训练装置将当前用户跳绳状态调整进入训练模式以实现跳绳训练。针对不会跳绳的学生，可以从零基础开始训练，包括训练手脚协调、手腕甩绳、起跳高度和起跳姿势，相比较人工教学，跳绳训练种类更全面，训练循序渐进，效率高且学习效果明显。</t>
  </si>
  <si>
    <t>一种基于人工智能的跳绳训练系统及方法</t>
  </si>
  <si>
    <t>CN115564731A</t>
  </si>
  <si>
    <t>本发明提供了一种基于视觉反馈的可变形物体操纵方法及系统，涉及机械臂操纵技术领域。本发明的实施例提供的基于视觉反馈的可变形物体操纵方法，其包括：对输入的图像进行二值化分割；从二值化分割后的随机分布中采样，以获得采样点；根据输入的状态训练神经网络模型；利用训练好的神经网络模型输出抓取点和放置点；操纵可变形物体从抓取点运动至放置点；其中，图像包含可变形物体的信息，状态包括图像和采样点。本发明提供的方法脱离了以高自由度的状态为输入，转而以视觉图像以及采样到的采样点作为输入，解决了状态难以表达的问题，进而有助于提高操纵成功率，同时避免了模仿学习中协变量漂移和克服状态表示的高自由度等问题。</t>
  </si>
  <si>
    <t>一种基于视觉反馈的可变形物体操纵方法及系统</t>
  </si>
  <si>
    <t>CN307897435S</t>
  </si>
  <si>
    <t>1.本外观设计产品的名称：显示屏幕面板的老年大学在线服务管理图形用户界面。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6.图形用户界面的用途：用于展示网上老年大学学习和活动信息，包括查看课程列表、课程介绍、观看课程视频、查看动态信息、报名活动、报名大赛、参与投票、参与答题等信息。
 7.图形用户界面的人机交互方式：主视图为用户登录后展示的老年大学主界面；通过向上拖动主视图或用鼠标拖动主视图右侧的滚动条，则如界面变化状态图1展示的界面；点击主视图中热门课程排行榜板块右侧的“更多”按钮，跳转至界面变化状态图2；点击界面变化状态图2中的任意一个课程信息，跳转至界面变化状态图3；点击界面变化状态图1中老年大学动态板块右侧的“更多”按钮，跳转至界面变化状态图4；点击界面变化状态图4中的任意一个老年大学动态信息；跳转至界面变化状态图5；点击界面变化状态图1中的“活动”按钮，跳转至界面变化状态图6；点击界面变化状态图6中体验活动报名模块中任一报名活动信息，跳转至界面变化状态图7；点击界面变化状态图6中的“线上答题活动”模块，跳转至界面变化状态图8；点击界面变化状态图8中线上答题活动模块中任一答题活动信息，跳转至界面变化状态图9；用户通过向上拖动界面变化状态图9的界面，则如界面变化状态图10接续展示的界面；点击界面变化状态图1中的“大赛”按钮，跳转至界面变化状态图11；点击界面变化状态图11中大赛报名模块中任一大赛信息，跳转至界面变化状态图12；点击界面变化状态图11中的“大赛投票”模块，跳转至界面变化状态图13；点击界面变化状态图13中大赛投票模块中任一大赛信息，跳转至界面变化状态图14；当投票结束且投票结果统计之后，则如界面变化状态图15展示的包含有投票数量的大赛投票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</si>
  <si>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显示屏幕面板的老年大学在线服务管理图形用户界面</t>
  </si>
  <si>
    <t>CN307933419S</t>
  </si>
  <si>
    <t>1.本外观设计产品的名称：显示屏幕面板的信息展示签图形用户界面。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6.图形用户界面的用途：用于多页签导航的信息展现，以便于用户查看各功能模块的信息。
 7.图形用户界面的人机交互方式：主视图为无悬浮窗的默认主界面，界面包含设置有页签的横向导航条、位于页签下方的二级子页签和三级子页签、以及可通过选择三级子页签来展示的信息内容；当将鼠标的光标等放置在主视图界面上部的横向导航条中任一页签任意位置，延时数秒（例如2秒）后，如界面变化状态图1所示，展开显示悬浮窗，将所有一级页签下的二级页签和三级页签一并向用户展示，用户可点击悬浮窗中任一三级子页签，跳转至目标界面，悬浮窗的高亮背景区域会根据鼠标的光标等的移动滑入而改变，当鼠标的光标等移出页签范围，则悬浮窗关闭，返回至主视图的界面；当用户想查看某一导航项下面二、三级页签的更多内容时，如界面变化状态图2所示，将鼠标的光标等移入该导航项对应的下面的悬浮窗区域，该区域背景高亮显示，在该状态下通过鼠标滚动或拖动该高亮区域右侧的滚动条来显示该区域下面的更多内容，当鼠标的光标等移出页签范围，则悬浮窗关闭，返回至主视图的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</si>
  <si>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显示屏幕面板的信息展示签图形用户界面</t>
  </si>
  <si>
    <t>US20230104313A1</t>
  </si>
  <si>
    <t>计算系统接收游戏数据。 数据包括跟踪数据或事件数据中的至少一种。 基于游戏的数据,计算系统确定在游戏内发生了事件。 基于该确定,计算系统生成响应事件的图形。 该图形包括与事件相关的见解。 计算系统基于与事件关联的元标签推荐与事件相关的图像。 计算系统通过合并图像和图形来生成视觉元素。</t>
  </si>
  <si>
    <t>基于人工智能生成的游戏指标的体育内容图像和图形推荐引擎</t>
  </si>
  <si>
    <t>WO2023056442A1</t>
  </si>
  <si>
    <t>基于人工智能生成的游戏指标组合体育内容图像和图形的推荐引擎</t>
  </si>
  <si>
    <t>CN308006483S</t>
  </si>
  <si>
    <t>1.本外观设计产品的名称：显示屏幕面板的任务调度管理图形用户界面。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6.图形用户界面的用途：用于对单分支单向流程任务进行节点操作调度管理及展示。
 7.图形用户界面的人机交互方式：主视图为展示的单向流程任务单分支节点初始操作界面；在主视图中鼠标滑入表头时，则如界面变化状态图1显示的交互界面；当点击主视图或界面变化状态图1中的“开始流程”，则如界面变化状态图2显示的交互界面；当在界面变化状态图2中选中呈现为执行中状态的节点（例如：合同分批准备）时，则如界面变化状态图3显示的交互界面；当系统的流程任务某节点（例如：合同分批准备）运行失败时，则如界面变化状态图4显示的交互界面；当在界面变化状态图4中选中呈现为执行失败状态的节点（例如：合同分组准备）时，则如界面变化状态图5显示的交互界面；当系统的流程任务某节点全部完成，则如界面变化状态图6显示的交互界面；在界面变化状态图6中，将鼠标的光标等滑入后再选中超长名称节点（例如：服务成分与投资成分拆分），则如界面变化状态图7显示的交互界面。
 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仪。</t>
  </si>
  <si>
    <t>显示屏幕面板的任务调度管理图形用户界面</t>
  </si>
  <si>
    <t>IN202241056058A</t>
  </si>
  <si>
    <t>IoT 是连接到 Internet 的唯一标识对象的网络。 商品包括机械、通用设备、人和动物。 物联网应用的例子有很多,例如手表之类的可穿戴设备,可以监控从运动到健身的一切,家庭自动化等。随后,在各种环境中运行的传感器可以创建大量智能传感器来执行数据收集和分析等任务。 并且这些传感器在不同节点之间共享数据并将其存储在中央网络中以供分析。 一般来说,无线传感器网络 (WSN) 的基本组件是硬件、通信层、中间件和该 WSN 的安全数据存储。 所有这些都包含在无线传感器网络 (WSN) 中。 这种物联网 (IoT) 的成功取决于分配给每个项目或设备的指针编号。 指针编号最重要的优点是统一、稳定、可靠</t>
  </si>
  <si>
    <t>使用经过身份验证的加密和相关数据加密算法保护车载网络中物联网设备之间的通信</t>
  </si>
  <si>
    <t>CN115282573B</t>
  </si>
  <si>
    <t>本发明涉及智能控制领域，具体涉及结合物联网和数据分析的跑步机智能控制方法及系统，包括：根据步频的合适度获得最小周期，根据最小周期获得压力变化曲线的当前子曲线和参考子曲线；根据斜率相似性获得参考子曲线的参考数据段；通过线性拟合获得参考数据段中每个数据点的参考斜率和参考压力；根据当前数据段中第一数据点的斜率与参考斜率，获得当前数据段的状态；当前数据段为激活状态时，根据预测方程获得预测压力；根据预测压力和参考压力计算当前时刻的异常程度；根据异常程度对跑步机的运动速度进行智能调控。本发明通过预测结果，在运动者出现异常情况前，对跑步机的速度进行实时调控，通过智能控制跑步机的速度，使得运动过程更安全。</t>
  </si>
  <si>
    <t>结合物联网和数据分析的跑步机智能控制方法及系统</t>
  </si>
  <si>
    <t>CN115531832A</t>
  </si>
  <si>
    <t>本申请适用于数据处理技术领域，提供了一种健身指导信息的生成方法、终端设备及计算机可读存储介质，所述方法包括：获取用户的体型数据、体测数据以及健身偏好信息；根据体型数据、体测数据、健身偏好信息以及预先构建的健身知识图谱，生成用户的健身指导信息；其中，健身知识图谱为以健身元素作为各个实体且描述各个实体之间连接关系的知识图谱。本申请提供的方法中，终端设备可以通过获取到的用户的体型数据、体测数据以及健身偏好信息确定不同用户的具体健身需求，同时还可以通过健身知识图谱丰富生成的该用户的健身指导信息内容，从而提高了生成的健身指导信息的准确性。</t>
  </si>
  <si>
    <t>一种健身指导信息的生成方法、终端设备及存储介质</t>
  </si>
  <si>
    <t>CN218458598U</t>
  </si>
  <si>
    <t>本实用新型公开了一种用于赛事实时数据记录和发布的装置，包括赛事专用服务器、显示设备、参赛人员终端、赛事管理设备、云存储数据服务器、记录员终端、语音识别设备、教练员终端、判决终端、鹰眼摄像设备，所述鹰眼摄像设备的顶部固定连接有连接筒体，所述连接筒体的顶部固定连接有安装架，所述安装架底部的一端固定连接有导向筒体，所述导向筒体的下端内部滑动连接有导向杆体。该用于赛事实时数据记录和发布的装置，通过设置的马达、丝杆、螺纹块、连接杆、连接块、升降柱、固定环、清洁毛刷的相互配合可以实现对鹰眼摄像设备外表面的清扫，避免了灰尘积累影响监控摄像，无需人工手动拆卸清理，提高了工作效率，增加了实用性。</t>
  </si>
  <si>
    <t>一种用于赛事实时数据记录和发布的装置</t>
  </si>
  <si>
    <t>CN115546688A</t>
  </si>
  <si>
    <t>本发明提供一种跳远评测方法、装置、电子设备和存储介质，其中方法包括：确定跳远评测区域下的待测视频和刻度线坐标；从所述待测视频中的各帧中，确定落地帧；基于所述落地帧中人员的脚部骨骼点的坐标，对所述落地帧进行脚部分割，得到所述落地帧中的多个脚部轮廓点的坐标；基于所述落地帧中的多个脚部轮廓点的坐标，以及所述刻度线坐标，进行跳远成绩评定，克服了传统方案中跳远成绩测算不准确的缺陷，通过人体检测、姿态估计以及脚部分割分析测试人员所处的状态，以确定落地帧对应的落地帧，并据此进行成绩评定，提升了跳远成绩测算的准确性；此外，利用计算机视觉技术和循环状态机进行跳远评测，还提升了跳远评测效率和体育课堂的教学效率。</t>
  </si>
  <si>
    <t>跳远评测方法、装置、电子设备和存储介质</t>
  </si>
  <si>
    <t>CN115588233A</t>
  </si>
  <si>
    <t>本发明公开了一种基于计算机视觉的跑步违规检测系统，涉及跑步违规检测技术领域，解决了裁判员依靠肉眼很难准确判断运动员是否起跑违规，以及利用压力感应器检测抢跑不准确的技术问题；本发明通过数据采集模块采集视频数据；并将视频数据发送至数据处理模块；数据处理模块接收视频数据，根据视频数据和违规检测模型获取违规标签；以及对违规标签进行识别，当运动员进行了违规动作时，取消运动员的成绩；实现了利用计算机视觉判断运动员是否有抢跑违规行为，提高了检测抢跑的准确率。</t>
  </si>
  <si>
    <t>一种基于计算机视觉的跑步违规检测系统</t>
  </si>
  <si>
    <t>CA3176034A1</t>
  </si>
  <si>
    <t>IN202211054917A</t>
  </si>
  <si>
    <t>一个排球训练系统,包括一个排球网1,该排球1在一对两极2之间附有一个由电磁驱动的引导导轨3组成的,该导轨3安装了多个望远镜4,该杆子4通过铁路3在铁路3上通过铁磁轮5转换至预定剂阻塞排球的高度,一个基于人工智能的成像模块6与超声传感器7同步以捕获用户的多个图像以检测用户和排球的位置,语音识别模块8,使用户能够输入语音命令,以选择难度级别的选择。,通过电动球和插座接头10连接到杆4的轴9,以多个方向向轴9提供运动,以及一个红外发射器和接收器11,用于检测通过杆4的排球传球数量的次数,并使扬声器Actuates A ACTUES A ACTUES 12通知用户。</t>
  </si>
  <si>
    <t>多层次排球训练系统</t>
  </si>
  <si>
    <t>IN202241054970A</t>
  </si>
  <si>
    <t>由于其跟踪个人日常健康生活的用户友好性,物联网 (IoT) 在我们这个时代变得越来越流行。 这是因为它是最具创新性、可穿戴、最方便的技术。 物联网使得独立于用户位置选择医疗保健系统成为可能。 由于它依靠传感器和执行器来跟踪人类健康,因此它还必须能够应对物联网缺乏基础设施的问题。 通过使用图像处理工具,帮助预防老年人跌倒。 老人需要重症监护,但在工作狂生活的今天,个人没有时间去照顾仍然住在家里的长辈。 现在每个人的生活都依赖于物联网,它将人们在线联系起来。 通过使用这些方法来改进科学发现,可以解决许多问题。 IoT 不仅支持通信,还支持通信。 它还提高了我们对各种紧迫问题的认识。 对于物联网中的这些有线或无线通信,安全性成为需要考虑的关键问题。 在包括医疗、健身、军事和其他学科在内的许多行业中,保护信息比保护传感器和执行器更为重要。 本发明的主要目标是通过使用符合 BAN 标准的设备使老年人更容易防止跌倒。 这项创新以两种主要方式解决了这个问题:旨在创建一个模型,该模型可以利用多种生理特征几乎完美地预测老年人何时会跌倒。 此外,该模型会在跌倒前发出警报,即使没有互联网,也可以通知个人的家人。 这将增加老人不跌倒的可能性。</t>
  </si>
  <si>
    <t>基于物联网的安全早期老年人跌倒检测和预防模型</t>
  </si>
  <si>
    <t>CN307853873S</t>
  </si>
  <si>
    <t>1.本外观设计产品的名称：显示屏幕面板的稽核规则管理图形用户界面。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6.图形用户界面的用途：用于按照稽核规则对稽核资源树应用呈现过程中的管理。
 7.图形用户界面的人机交互方式：主视图为稽核资源树应用呈现时的稽核规则主界面，该界面包含“基本属性”、“设置属性”、“空间数据属性”等稽核规则的基本信息详情；点击主视图基本信息一侧菜单栏中的“属性列表”按钮，跳转至界面变化状态图1展示的稽核规则的属性列表界面，该界面包含“属性英文名”、“属性中文名”等信息列表，列表包含有能够点击操作的“添加到规则”按钮；点击主视图或界面变化状态图1基本信息一侧菜单栏中的“规则列表”按钮，跳转至界面变化状态图2展示的稽核规则的规则列表界面，该界面包含“中文名称”、“规则序号”、“规则类型”、“细分类型”、“规则版本号”、“规则描述”、“比较类型”、“规则阈值”、具有删除、编辑、查询功能的操作栏等详情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</si>
  <si>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显示屏幕面板的稽核规则管理图形用户界面</t>
  </si>
  <si>
    <t>US11727490B1</t>
  </si>
  <si>
    <t>一个实施例涉及一种系统,包括:处理器、存储器和数据库; 其中处理器被配置为:接收实时数据以及运动员的实时表现; 使用包括推荐引擎的人工智能的机器学习模型,确定对未来时期的运动员股票的用户的推荐; 基于包括运动员在比赛中的实时表现和运动员的历史表现的计算指标,实时确定与运动员的股票相关联的股票价格,其中计算运动员的股票价格 使用区块链技术; 其中,区块链技术被配置为促进股票交易的创建中的至少一项; 并且其中网络安全模块被配置用于向系统提供安全性。</t>
  </si>
  <si>
    <t>将运动员的表现资料作为股票进行交易的系统</t>
  </si>
  <si>
    <t>CN115399249A</t>
  </si>
  <si>
    <t>一种可替代强迫游泳实验的智能吹气式实验装置，涉及动物实验装置技术领域，包括壳体、控制器、人机交互装置、端盖、热成像摄像机、隔板、透气孔、六轴机械手、喷气枪、高压气体供给装置。本发明可代替传统的强迫游泳实验装置，实验过程不再依赖于水，从而有效拓宽了实验装置的适用范围，可针对各种品系的老鼠或者造模中的老鼠进行强迫游泳实验，使实验的研究范围更宽广，拓宽了研究领域；同时，本发明也降低了实验难度，节省了水源，可对老鼠的移动轨迹以及停止活动的持续时间进行准确记录，提高了实验结果的有效性，并减少了实验人员的劳动量。</t>
  </si>
  <si>
    <t>一种可替代强迫游泳实验的智能吹气式实验装置</t>
  </si>
  <si>
    <t>US20230178216A1</t>
  </si>
  <si>
    <t>一种调整精神状态的方法,包括获取第一个体的视频数据,基于从视频数据中提取的图像、音频和文本数据识别第一组特征,基于第一组预测第一个体的基线精神状态 特征,识别目标心理状态,并模拟从基线心理状态到目标心理状态的预测路径。 使用多维心理状态模型、多个动作和计算机实现的机器学习模型来模拟预测路径。 预测路径包括多个动作中的一个或多个动作以及对多维心理状态模型的第一和第二维度中的至少一个的对应变化。 预测路径的一个或多个动作被输出到第二个人并且可执行以调整第一个人的基线精神状态。</t>
  </si>
  <si>
    <t>调整精神状态以提高任务绩效和教练改进</t>
  </si>
  <si>
    <t>IN202211054374A</t>
  </si>
  <si>
    <t>提出的发明是基于机器学习的方法来预测运动员在各种比赛中的表现。 本发明旨在分析运动员的表现,即运动员和运动员。 所提出的发明侧重于通过考虑运动员在先前事件中的记录来预测运动员的表现。 机器学习算法将用于通过决策制定方面来预测性能。 该研究考虑了运动员的积极和消极方面。</t>
  </si>
  <si>
    <t>基于机器学习的方法来预测各种比赛的运动员的表现</t>
  </si>
  <si>
    <t>IN202217054370A</t>
  </si>
  <si>
    <t>一种用于生物监测运动员的健康状况并在确定过度训练状况时提供警告338以减少伤害的系统300和方法。 通过实施高效的系统架构,微人工智能的使用对于互联网覆盖不足或不存在的移动情况是实用的。</t>
  </si>
  <si>
    <t>移动智能伤害最小化系统及方法</t>
  </si>
  <si>
    <t>IN202241053878A</t>
  </si>
  <si>
    <t>物联网和机器学习原理通常用于医学诊断和治疗以跟踪患者的状况。 安装有传感器的可穿戴传感器系统的功能已被用于物联网,以构建在出现异常情况时警告患者同伴的系统。 通过使用经过训练的模型来发现患者状态中的任何异常情况,机器学习已被用于协助医疗诊断领域。 该框架旨在利用温度传感器、脉搏血氧仪、物联网 (IoT) 传感器和云来跟踪患者的健康状况。 IoT 用于对用户和医疗保健专业人员之间的医疗数据进行分类、分发和分析。 使用 z-wave 设备从监测患者所需的各种传感器收集信息的云物联网中存储的数据将被传输到医院,这些数据将使用基于 AI 和 ML 的算法存储在医院数据库中,用于持续评估数据 . 使用基于 FKNN 的分类方法,根据用户是否被感染将用户分为几类。 可穿戴和我们应用模糊 K-最近邻 (FKNN) 方法将用户分类为感染或未感染的类别,并根据患者的症状使用相似系数进行区分。 如果有任何遗漏,患者可以通过健身手环等可穿戴技术和其他无线连接设备(如血压和心率监测袖带、血糖仪等)获得个性化关注。 这些设备可以设置为提醒您各种各样的事情,包括血压变化、约会、卡路里计算和锻炼。 通过使人们能够实时监控自己的健康状况,物联网彻底改变了人们的生活,尤其是老年患者的生活。 这对家庭和单身人士产生了巨大影响。 如果一个人的正常活动受到干扰或改变,警报机制会向相关医疗专业人员、家庭成员、医生、救护车和其他人发送消息。</t>
  </si>
  <si>
    <t>基于物联网的远程智能医疗系统,用于检测和预防使用人工智能的患者</t>
  </si>
  <si>
    <t>IDS00202210217A</t>
  </si>
  <si>
    <t>遗传算法在优化食物组成和患者饮食成本方面的适应性值的公式计算用于确定遗传算法方法在解决问题方面产生的溶液的质量。健身值显示了用个体或染色体代表的每种溶液的质量。每个综合体由一系列具有随机升高值的基因组成。每个基因都是由针对患者食物需求定制的食物成分的重量而形成的。可变XI代表遗传算法中种群初始化的过程中随机生成的基因。通常在某些单位定义的患者的食物需求由y表示。健身公式中的弹奏由10,000定义,以简化给出的结果昏迷。由于价格变量(价格)以一千个单位形式的价格变量(价格),因此进度是以数万的形式。健身值越大,解决方案越好。因此,分母越小会导致更大的适应性值。该公式用于最大程度地减少价格和罚款价值(罚款)。惩罚乘以随机生成的常数(c)。因此,分母中包括价格和罚款。可以使用此公式解决的问题是优化的问题,即以最低价格确定患者最佳营养含量的食物组成。</t>
  </si>
  <si>
    <t>计算遗传算法在优化食品成分和患者食品成本中的适应性值的公式</t>
  </si>
  <si>
    <t>CN115512262A</t>
  </si>
  <si>
    <t>面向转播视频的冰壶球运动状态检测方法、系统、计算机设备和存储介质，属于人工智能检测技术领域，解决难以从转播视频中提取冰壶球的运动信息问题。本发明的方法包括：对转播视频中的冰壶赛道进行语义分割，基于冰壶赛道中的尺寸先验信息，计算得出转播视频平面与冰壶赛道平面之间的坐标转换矩阵，将冰壶比赛转播视频从斜视视角变换到俯视视角；然后训练冰壶球目标检测网络，设计数据集标注原则，通过数据增强方法自动扩增数据集，得到冰壶球的检测框和位置信息，再基于图像分割算法和霍夫变换直线拟合方法得到描述冰壶球旋转的把柄角度信息，实现了转播视频中冰壶球的运动状态检测。本发明适用于冰壶比赛转播视频中冰壶球的运动状态检测。</t>
  </si>
  <si>
    <t>面向转播视频的冰壶球运动状态检测方法、系统、计算机设备和存储介质</t>
  </si>
  <si>
    <t>US20230088484A1</t>
  </si>
  <si>
    <t>计算系统接收对应于实况比赛的实况事件数据。 现场事件数据包括现场比赛中发生的事件。 计算系统分析直播事件数据以识别直播事件数据中的潜在错误。 计算系统生成对应于现场事件数据中标记的潜在错误的票证。 计算系统将票分配给第一质量保证代理来解决。 计算系统接收到票已被第一质量保证代理检查的指示。 计算系统将审查的事件数据提供给最终用户。</t>
  </si>
  <si>
    <t>人工智能辅助体育直播数据质量保障</t>
  </si>
  <si>
    <t>WO2023049745A1</t>
  </si>
  <si>
    <t>计算系统接收对应于实况比赛的实况事件数据。 现场事件数据包括现场比赛中发生的事件。 计算系统分析直播事件数据以识别直播事件数据中的潜在错误。 计算系统生成对应于现场事件数据中标记的潜在错误的票证。 计算系统将票分配给第一质量保证代理来解决。 计算系统接收到票已被第一质量保证代理审查的指示,计算系统将审查的事件数据提供给最终用户。</t>
  </si>
  <si>
    <t>人工智能辅助直播体育数据质量保障</t>
  </si>
  <si>
    <t>CN308120096S</t>
  </si>
  <si>
    <t>1.本外观设计产品的名称：电脑的圆桌会议图形用户界面。;2.本外观设计产品的用途：用于运行程序等。;3.本外观设计产品的设计要点：在于图形用户界面的界面内容。;4.最能表明设计要点的图片或照片：主视图。;5.图形用户界面的用途：本外观设计用于满足用户在线上辩论/对话/比赛的场景中对界面布局样式以及人员显示位置进行高度的自定义。;（示例：用于界面）。;6.图形用户界面的人机交互方式：通过点击界面变化状态图1中右上角“自定义布局”中从左往右数第一个按钮“去设置”跳转到界面变化状态图2。;通过点击界面变化状态图2中下方从左往右数第二个按钮“下一步”跳转到界面变化状态图3。;通过点击界面变化状态图3中下方从左往右数第二个按钮的“使用布局”跳转到主视图。;通过点击主视图中上方的椅子跳转到界面变化状态图4。;通过点击界面变化状态图4中“选择成员”下方从上往下数第二个按钮“参会”跳转到界面变化状态图5。;通过点击界面变化状态图2中上方从左往右数第二个按钮“8人布局”跳转到界面变化状态图6。;通过点击界面变化状态图6中下方从左往右数第二个按钮“下一步”跳转到界面变化状态图7。;通过点击界面变化状态图7中下方从左往右数第二个按钮“使用布局”跳转到界面变化状态图8。;通过点击界面变化状态图8中上方从左往右数第二个椅子跳转到界面变化状态图9。;通过点击界面变化状态图9中“选择成员”下方从上往下数第二个按钮“参会”跳转到界面变化状态图10。;通过点击界面变化状态图2中上方从左往右数第三个按钮“12人布局”跳转到界面变化状态图11。;通过点击界面变化状态图11中下方从左往右数第二个按钮“下一步”跳转到界面变化状态图12。;通过点击界面变化状态图12中下方从左往右数第二个按钮“使用布局”跳转到界面变化状态图13。;通过点击界面变化状态图13中上方从左往右数第三个椅子跳转到界面变化状态图14。;通过点击界面变化状态图14中“选择成员”下方从上往下数第二个按钮“参会”跳转到界面变化状态图15。;通过点击界面变化状态图2上方从左往右数第四个按钮“17人布局”跳转到界面变化状态图16。;通过点击界面变化状态图16中下方从左往右数第二个按钮“下一步”跳转到界面变化状态图17。;通过点击界面变化状态图17中下方从左往右数第二个按钮“使用布局”跳转到界面变化状态图18。;通过点击界面变化状态图18中上方从左往右数第三个椅子跳转到界面变化状态图19。;通过点击界面变化状态图19中“选择成员”下方从上往下数第二个按钮“参会”跳转到界面变化状态图20（示例：产品页面）。;1.本外观设计产品的名称：电脑的圆桌会议图形用户界面。;2.本外观设计产品的用途：用于运行程序等。;3.本外观设计产品的设计要点：在于图形用户界面的界面内容。;4.最能表明设计要点的图片或照片：主视图。;5.图形用户界面的用途：本外观设计用于满足用户在线上辩论/对话/比赛的场景中对界面布局样式以及人员显示位置进行高度的自定义。;（示例：用于界面）。;6.图形用户界面的人机交互方式：通过点击界面变化状态图1中右上角“自定义布局”中从左往右数第一个按钮“去设置”跳转到界面变化状态图2。;通过点击界面变化状态图2中下方从左往右数第二个按钮“下一步”跳转到界面变化状态图3。;通过点击界面变化状态图3中下方从左往右数第二个按钮的“使用布局”跳转到主视图。;通过点击主视图中上方的椅子跳转到界面变化状态图4。;通过点击界面变化状态图4中“选择成员”下方从上往下数第二个按钮“参会”跳转到界面变化状态图5。;通过点击界面变化状态图2中上方从左往右数第二个按钮“8人布局”跳转到界面变化状态图6。;通过点击界面变化状态图6中下方从左往右数第二个按钮“下一步”跳转到界面变化状态图7。;通过点击界面变化状态图7中下方从左往右数第二个按钮“使用布局”跳转到界面变化状态图8。;通过点击界面变化状态图8中上方从左往右数第二个椅子跳转到界面变化状态图9。;通过点击界面变化状态图9中“选择成员”下方从上往下数第二个按钮“参会”跳转到界面变化状态图10。;通过点击界面变化状态图2中上方从左往右数第三个按钮“12人布局”跳转到界面变化状态图11。;通过点击界面变化状态图11中下方从左往右数第二个按钮“下一步”跳转到界面变化状态图12。;通过点击界面变化状态图12中下方从左往右数第二个按钮“使用布局”跳转到界面变化状态图13。;通过点击界面变化状态图13中上方从左往右数第三个椅子跳转到界面变化状态图14。;通过点击界面变化状态图14中“选择成员”下方从上往下数第二个按钮“参会”跳转到界面变化状态图15。;通过点击界面变化状态图2上方从左往右数第四个按钮“17人布局”跳转到界面变化状态图16。;通过点击界面变化状态图16中下方从左往右数第二个按钮“下一步”跳转到界面变化状态图17。;通过点击界面变化状态图17中下方从左往右数第二个按钮“使用布局”跳转到界面变化状态图18。;通过点击界面变化状态图18中上方从左往右数第三个椅子跳转到界面变化状态图19。;通过点击界面变化状态图19中“选择成员”下方从上往下数第二个按钮“参会”跳转到界面变化状态图20（示例：产品页面）。</t>
  </si>
  <si>
    <t>电脑的圆桌会议图形用户界面</t>
  </si>
  <si>
    <t>IN202241053793A</t>
  </si>
  <si>
    <t>随着国家人口的日益增加,对电力的需求也日益增加。 与此同时,能源的浪费也在多方面增加。 因此,将这种能量重新转化为可用形式是主要的解决方案。 所以,在这个脚步发电项目中,我们是借助人的脚步来发电,无论是走路还是跑步。 它使用压电传感器。 为了从脚步声中产生电压,压电传感器安装在平台下方。 此外,它还包含一个 USB 手机充电点,用户可以在此处连接电缆以通过电池充电为手机充电。 电流使用(射频识别)RFID 卡分配,因此只有授权人员才能使用发电机充电。 因此,我们使用脚步声为电池充电,使用树莓派电路将其显示在 LCD 上,并允许通过设置进行移动充电</t>
  </si>
  <si>
    <t>使用压电传感器通过脚步产生基于人工智能的电力</t>
  </si>
  <si>
    <t>IN202241053629A</t>
  </si>
  <si>
    <t>在当今时代,健康和健身更受人们关注。 为了过上健康的生活,人们正在遵循不同的方式,如饮食计划、定期去健身室进行健康检查等。 在快节奏的世界中,技术发挥着举足轻重的作用。 对健康推荐的高需求驱使人类使用手持设备来保持健康。 最近的一项此类发明是智能手表。 在现有设备中大量用于健康监测。 健身追踪、血压、心率、Covid -19 症状、睡眠呼吸暂停等。 本发明着重于一种支持自然语言处理 (NLP) 和适当模块的可穿戴设备,以根据需要解决个人健康问题以及来自现场专家的健康建议。 此功能作为对每个人的一站式解决方案都很有吸引力,因为自我的内省也可以通过使用语音命令的电子设备来管理。</t>
  </si>
  <si>
    <t>具有个人健身和健康建议的nlp驱动智能手表</t>
  </si>
  <si>
    <t>CN115331314A</t>
  </si>
  <si>
    <t>本发明属于计算机视觉技术领域，具体涉及一种基于APP筛查功能的运动效果评估方法和系统。该方法包括：基于APP录制的标准健身视频进行播放显示，并多维度采集用户跟随标准健身视频进行运动的视频数据；对采集得到的多维度视频数据进行分帧处理，获得所有维度的视频图像帧后进行图像识别处理，确定每个健身动作的起止视频图像帧以及每个视频图像帧中关键特征点；基于关键特征点确定每个视频图像帧中健身动作的运动特征参数，并将运动特征参数输入至APP内与标准健身视频中同步的标准运动参数对比，确定用户的运动效果数据；根据运动效果数据对用户在完成一个阶段运动效果进行计分，并将计分数据进行显示，对用户线下运动的动作进行评估。</t>
  </si>
  <si>
    <t>一种基于APP筛查功能的运动效果评估方法和系统</t>
  </si>
  <si>
    <t>KR102477717B1</t>
  </si>
  <si>
    <t>本发明的一个实施例是包括在研讨会,旅行,体育比赛,表演和物流/分销等活动中使用的能量和废物,以及与活动相关的移动场所所消耗的能量。基于此,每个基于大数据的情况和人造碳排放量通过预测二氧化碳的量以及基于此基础的基础,以及基于人工智能的碳发射的自动交易来预测二氧化碳的量以及计算和销售碳排放量。它与设备和系统有关。</t>
  </si>
  <si>
    <t>基于大数据分情计算碳排放量并基于人工智能自动交易碳信用的方法、装置及系统</t>
  </si>
  <si>
    <t>CN307797208S</t>
  </si>
  <si>
    <t>1.本外观设计产品的名称：物联网淋浴控制器箱。
 2.本外观设计产品的用途：本物联网淋浴控制器箱用于服务区、学校、游泳池、浴场等场所淋浴花洒的付费控制和广告播放。
 3.本外观设计产品的设计要点：在于形状。
 4.最能表明设计要点的图片或照片：立体图。</t>
  </si>
  <si>
    <t>物联网淋浴控制器箱</t>
  </si>
  <si>
    <t>CN307874826S</t>
  </si>
  <si>
    <t>1.本外观设计产品的名称：带多媒体操控图形用户界面的显示屏幕面板。
 2.本外观设计产品的用途：本外观设计产品用于显示图像。
 3.本外观设计产品的设计要点：在于屏幕中的图形用户界面信息。
 4.最能表明设计要点的图片或照片：主视图。
 5.本图形用户界面可以使用现有的显示屏幕面板，显示屏幕面板无设计要素，省略后视图、左视图、右视图、俯视图、仰视图。
 6.图形用户界面的用途：本申请的界面主要用于车辆多媒体的内容展示及功能操作，显示多媒体的收音机模式、蓝牙模式以及USB连接模式的状态等，并进行选择操作。
 7.图形用户界面的人机交互方式：主视图所示的图形用户界面为多媒体的收音机模式界面，收音机模式界面下方显示所处于的频道以及调节与声音的触屏按键；当屏幕面板显示主视图所示的图形用户界面，点击&amp;nbsp;“蓝牙”触屏按键或点击“USB”触屏按键会切换至界面变化状态图1所示图形用户界面或切换至界面变化状态图2所示图形用户界面，当切换至界面变化状态图1所示图形用户界面时，该界面下方显示控制蓝牙状态的触屏按键；当切换至界面变化状态图2所示图形用户界面时，界面下方显示控制USB状态的触屏按键。
 8.显示屏幕面板可用于挖掘机、装载机、掘进机、推土机、铲运机、平地机、起重机、压路机、钻孔机、打桩机、破碎锤、平整机、凿岩机。</t>
  </si>
  <si>
    <t>带多媒体操控图形用户界面的显示屏幕面板</t>
  </si>
  <si>
    <t>IN202231053172A</t>
  </si>
  <si>
    <t>一种用于残疾人的乒乓球训练装置,包括平台1,平台1上设置有用户配备的可穿戴单元2,并通过伸缩杆3与平台1连接,伸缩杆3可伸缩以改变可穿戴单元2的高度,基于人工智能的成像 用于捕获和处理用户图像以检测用户的专业水平的单元4, 用于向用户投掷乒乓球的投球装置5,该乒乓球需要通过用户持有的球拍以使球到达距离的方式击球。 球场隔离在桌子上,以及用于测量球的速度和高度的传感模块,并激活耦合在平台1和桌子之间的双轴丝杠装置8,用于向平台1提供运动以将可穿戴单元2重新定位到球。</t>
  </si>
  <si>
    <t>残疾人乒乓球训练器</t>
  </si>
  <si>
    <t>CN307926626S</t>
  </si>
  <si>
    <t>1.本外观设计产品的名称：显示屏幕面板的相机拍摄的图形用户界面。
 2.本外观设计产品的用途：本外观设计产品用于相机拍摄。
 3.本外观设计产品的设计要点：在于显示屏幕面板上所显示的图形用户界面。
 4.最能表明设计要点的图片或照片：设计1主视图。
 5.指定设计1为基本设计。
 6.图形用户界面的用途：本图形用户界面为应用软件的相机拍摄的功能界面。
 7.图形用户界面的人机交互方式：设计1主视图是相机拍摄的显示界面，用户点击界面画面区域右侧的某个按钮可展示相应界面，设计2至设计6、设计8、设计9的交互方式与设计1相同。
 设计6主视图按钮显示在画面区域左侧。
 设计7主视图是相机拍摄的显示界面，画面区域右侧上部显示三个拍摄模式，用户可点击进行选择。
 界面中的灰色色块为可替换的图片或视频，本设计界面中的叉号代表文字和/或数字和/或字母和/或符号。
 8.该图形用户界面可用于手机、计算机、平板电脑、电视、车载中控屏幕、车载导航仪、车载显示装置、游戏机、导航仪、多媒体一体机、电子记事本、投影仪、智能音箱、智能健身设备、智能家电设备、带显示屏幕的机器人、智能手环、智能手表、智能眼镜、智能耳机、智能台灯、智能门系统、广告显示屏、自动售卖机、带显示屏幕的医疗器械、带屏幕的冰箱、带屏幕的抽油烟机、带屏幕的空调、带屏幕的消毒柜、带屏幕的洗碗机、带屏幕的烤箱。</t>
  </si>
  <si>
    <t>显示屏幕面板的相机拍摄的图形用户界面</t>
  </si>
  <si>
    <t>CN307926625S</t>
  </si>
  <si>
    <t>1.本外观设计产品的名称：显示屏幕面板的相机调节面板的图形用户界面。
 2.本外观设计产品的用途：本外观设计产品用于相机调节面板。
 3.本外观设计产品的设计要点：在于显示屏幕面板上所显示的图形用户界面。
 4.最能表明设计要点的图片或照片：设计1主视图。
 5.指定设计1为基本设计。
 6.图形用户界面的用途：本图形用户界面为应用软件的相机调节面板的功能界面。
 7.图形用户界面的人机交互方式：设计1主视图是相机调节面板的显示界面，用户点击界面底部的某个图标按钮可显示相应界面。
 设计2至设计7的交互方式与设计1相同。
 界面中的灰色色块为可替换的图片或视频，本设计界面中的叉号代表文字和/或数字和/或字母和/或符号。
 8.该图形用户界面可用于手机、计算机、平板电脑、电视、车载中控屏幕、车载导航仪、车载显示装置、游戏机、导航仪、多媒体一体机、电子记事本、投影仪、智能音箱、智能健身设备、智能家电设备、带显示屏幕的机器人、智能手环、智能手表、智能眼镜、智能耳机、智能台灯、智能门系统、广告显示屏、自动售卖机、带显示屏幕的医疗器械、带屏幕的冰箱、带屏幕的抽油烟机、带屏幕的空调、带屏幕的消毒柜、带屏幕的洗碗机、带屏幕的烤箱。</t>
  </si>
  <si>
    <t>显示屏幕面板的相机调节面板的图形用户界面</t>
  </si>
  <si>
    <t>CN308192210S</t>
  </si>
  <si>
    <t>1.本外观设计产品的名称：带视频图片搜索图形用户界面的显示屏幕面板。
 2.本外观设计产品的用途：用于显示图形用户界面。
 3.本外观设计产品的设计要点：在于屏幕中的图形用户界面。
 4.最能表明设计要点的图片或照片：界面变化状态图。
 5.其他视图无设计要点，省略其他视图。
 6.图形用户界面的用途：界面用于视频/图片浏览、搜索、分享与评论。
 7.图形用户界面的人机交互方式：主视图显示的图形用户界面为打开程序的起始界面；点击主视图中任意一个视频类卡片框（这里以点击中间最上方的第一个为例）任意位置进入界面变化状态图。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</si>
  <si>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带视频图片搜索图形用户界面的显示屏幕面板</t>
  </si>
  <si>
    <t>IN202211052207A</t>
  </si>
  <si>
    <t>该装置包括框架 1,框架 1 具有一对环 2,环 2 通过杆 3 相互连接,并通过导轨 4 在平台 5 上移动,用户在进行环训练时操作导轨 4,人工智能 连接在平台5上的启用的图像捕捉模块6用于捕捉用户的多个图像以获取用户的专业水平,安装在环2和杆3之间的机动滑块7用于根据获取的专业水平调整杆之间的空间, 多个伸缩块8沿导轨4的长度与平台5集成,突出在环2的前后部分,用于标记距离,一对电动C形夹具12安装在每个杆3上,用于夹住用户的手 和腿以安全的方式。</t>
  </si>
  <si>
    <t>体操训练器</t>
  </si>
  <si>
    <t>IN202231052321A</t>
  </si>
  <si>
    <t>一种游泳辅助装置,包括:V形框架1,其尾部3与腰带2连接,用于在游泳时固定用户;基于人工智能的成像单元5,安装在框架1上,用于捕获用户的多个图像; 一对用带子 13 包裹的滚轮 6,用于为使用者提供固定定位,一对 Z 形构件 7 铰接在船首部分 4 处,用于为使用者提供抓握,一对平台 9 通过 L 形连接在船尾部分 3 用于在游泳期间定位腿部和执行腿部运动的成形伸缩连杆10,与构件7集成的FBG(光纤布拉格光栅)传感器用于评估用户的重要健康参数,当确定的用户健康参数与标准水平不匹配时, 微控制器驱动构件7和平台9以帮助用户标准化检查的参数。</t>
  </si>
  <si>
    <t>游泳辅助装置</t>
  </si>
  <si>
    <t>IDS00202209819A</t>
  </si>
  <si>
    <t>机械能将设备转换为电能静态自行车物联网(物联网)使用人类电力来源手动工作,最大程度地获取电能,并最大程度地减少传统燃料废气在生产干/湿电池电池中存储的清洁电能,最终可以增加社区的负担得起的清洁电力,而无需拥有为了降低绩效的有效性并整合健康的生活方式会抑制肥胖症。除此之外,该工具的应用增强的智能功率(ESP32)集成Blynk云在指定时间存储和使用电能会增加印象灵活的环境友好的操作。
 这项发明的制作目的是解决负担得起的净电力需求问题,预计将在通用健身中心集成,并通过开发时间来用于电动汽车驾驶电池。
 机械能将设备转换为电能静态自行车物联网(物联网)由10(十)个主要组件组成,即:(a)静态桨自行车;(b)交流发电机24伏;(c)微控制器增强的智能功率(ESP32);(d)干/湿电池;(e)太阳充电控制器(SCC);(f)模块max30102;(g)交流发电机的链;(H)下属红色传感器;(一世)阻止二极管;(J)物联网(物联网)Blynk云。</t>
  </si>
  <si>
    <t>基于物联网(IoT)的机械能到电能转换器的静态桨式自行车</t>
  </si>
  <si>
    <t>CN307740662S</t>
  </si>
  <si>
    <t>1.本外观设计产品的名称：显示屏幕面板的数据总览监控图形用户界面。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6.图形用户界面的用途：设计1‑设计5主视图为软件数据总览监控界面，分别用于显示采煤机、转载机、运输机、泵站及破碎机的实时状态与数据中心统计、综采工作面指标。
 点击界面下方并排按钮可进入相应的功能界面。
 7.该显示屏幕面板可用于计算机、手机、平板电脑、智能手表、智能手环、健身监视器、头戴式耳机、个人数字助理（PDA）、智能音箱、电视、机顶盒、投影仪、游戏机、导航仪。</t>
  </si>
  <si>
    <t>显示屏幕面板的数据总览监控图形用户界面</t>
  </si>
  <si>
    <t>CN307913462S</t>
  </si>
  <si>
    <t>1.本外观设计产品的名称：显示屏幕面板的节点任务调度管理图形用户界面。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6.图形用户界面的用途：用于多分支任务的调度管理。
 7.图形用户界面的人机交互方式：主视图为多分支任务管理的主界面；点击主视图中呈现为未执行状态的节点例如“资产端账户余额分摊”，跳转至界面变化状态图1；用鼠标拖动界面或滑动界面变化状态图1一侧的滑动栏，则如界面变化状态图2所示接续展示下面的界面内容；点击主视图或界面变化状态图1中呈现为执行中状态的节点例如“模型适用性”，跳转至界面变化状态图3；用鼠标拖动界面或滑动界面变化状态图3一侧的滑动栏，则如界面变化状态图4所示接续展示下面的界面内容；点击主视图或界面变化状态图1或界面变化状态图3中呈现为已执行状态的节点例如“合同组合”，跳转至界面变化状态图5；用鼠标拖动界面或滑动界面变化状态图5一侧的滑动栏，则如界面变化状态图6所示接续展示下面的界面内容；点击主视图或界面变化状态图1或界面变化状态图3或界面变化状态图5中呈现为执行失败状态的节点例如“盈亏测试打标（直保）”，跳转至界面变化状态图7。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</si>
  <si>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显示屏幕面板的节点任务调度管理图形用户界面</t>
  </si>
  <si>
    <t>CN218394848U</t>
  </si>
  <si>
    <t>本实用新型公开了一种人工智能足球机器人对战平台，属于足球机器人对战领域，一种人工智能足球机器人对战平台，包括机器人对战平台组件，机器人对战平台组件包括支撑底板，支撑底板顶部的中间固定连接有液压伸缩杆，液压伸缩杆的输出端固定连接有对战平台，对战平台的内部设置有清扫组件，清扫组件包括内槽，内槽内壁的两侧之间通过轴承转动连接有丝杆，对战平台的一侧固定连接有伺服电机，伺服电机的输出端与丝杆的一端固定连接，它可以通过机械化操作来对平台的表面进行清理，从而有利于降低工作人员的劳动强度，方便节省工作人员的时间，进而可提高设备的实用性，方便工作人员使用。</t>
  </si>
  <si>
    <t>一种人工智能足球机器人对战平台</t>
  </si>
  <si>
    <t>US20230070051A1</t>
  </si>
  <si>
    <t>本文公开的示例可以估计在体育广播视频中不可见的运动员的位置。 可以基于场内跟踪数据的训练数据集生成预测模型,场内跟踪数据包括所有玩家在所有时间的位置和相应的广播跟踪数据,该数据可能不一定包含所有玩家在所有时间的位置。 预测模型可以基于算法逻辑(例如,样条回归)或机器学习模型(例如,k-最近邻、深度神经网络)。 生成的预测模型可用于基于已知位置估计广播跟踪中玩家的未知位置。</t>
  </si>
  <si>
    <t>估计广播视频源中丢失的播放器位置</t>
  </si>
  <si>
    <t>WO2023039084A1</t>
  </si>
  <si>
    <t>估计广播视频中丢失的播放器位置</t>
  </si>
  <si>
    <t>CN307946792S</t>
  </si>
  <si>
    <t>1.本外观设计产品的名称：带招聘审批管理图形用户界面的显示屏幕面板。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6.图形用户界面的用途：界面用于人员招聘、审批、管理和浏览工作招聘信息的用途。
 7.图形用户界面的人机交互方式：主视图显示的图形用户界面为打开程序的起始界面；在主视图的中央任意位置向上滑动得到界面变化状态图1；点击主视图右上角的“我的二维码”按钮弹出界面变化状态图2；点击主视图左上角的“灰色X圆形头像”按钮进入界面变化状态图3；在界面变化状态图3的中央任意位置向上滑动得到界面变化状态图4；在界面变化状态图4的中央任意位置向上滑动得到界面变化状态图5；点击界面变化状态图3右上角的“加我XX”按钮弹出界面变化状态图6；点击界面变化状态图3右上方的“去填写”蓝色按钮进入界面变化状态图7；点击界面变化状态图7中央的“出生年月”按钮弹出界面变化状态图8；点击主视图中央最上方的“编辑名片”按钮进入界面变化状态图9；在界面变化状态图9的中央任意位置向上滑动得到界面变化状态图10；点击界面变化状态图9中央的“分享标题”按钮进入界面变化状态图11；点击界面变化状态图10上方的“自我介绍”按钮进入界面变化状态图12；点击界面变化状态图10上方的“家乡”按钮弹出界面变化状态图13；点击界面变化状态图10中央的“我的标签”按钮进入界面变化状态图14；点击界面变化状态图14上方的“添加自定义标签”蓝色按钮进入界面变化状态图15；点击界面变化状态图10下方的“我的视频”按钮进入界面变化状态图16；点击界面变化状态图10下方的“我的图片”按钮进入界面变化状态图17；点击主视图中央“求职者订单”最右边的“查看全部”按钮进入界面变化状态图18；点击界面变化状态图18中央右上方的“待出发”按钮进入界面变化状态图19；在界面变化状态图19的中央任意位置向上滑动得到界面变化状态图20；点击界面变化状态图20中央右下方的“添加跟进”按钮进入界面变化状态图21；点击界面变化状态图18中央右边的“待面试”按钮进入界面变化状态图22；点击界面变化状态图18中央任意一个“修改状态”按钮进入界面变化状态图23；在界面变化状态图23的中央任意位置向上滑动得到界面变化状态图24；点击主视图中央“求职者订单”右边的“搜索”按钮进入界面变化状态图25；点击主视图下方“求职者跟进”最右边的“查看全部”按钮进入界面变化状态图26；点击界面变化状态图26中央左上方的“灰色X圆形头像”按钮进入界面变化状态图27；在界面变化状态图27的中央任意位置向上滑动得到界面变化状态图28；在界面变化状态图28的中央任意位置向上滑动得到界面变化状态图29；在界面变化状态图29的中央任意位置向上滑动得到界面变化状态图30；点击界面变化状态图26右下角的“+求职者”按钮进入界面变化状态图31；点击主视图下方的“离职预警”按钮进入界面变化状态图32；点击主视图最下方的“求职者”标签按钮进入界面变化状态图33；点击界面变化状态图33右上角的“筛选”按钮弹出界面变化状态图34；点击界面变化状态图33中央右侧的任意一个“产生意向”按钮进入界面变化状态图35；在界面变化状态图35的中央任意位置向上滑动得到界面变化状态图36；点击界面变化状态图35上方的“个人资料”标签按钮进入界面变化状态图37；点击界面变化状态图37上方的“行为记录”标签按钮进入界面变化状态图38；点击主视图左上角的“求职者页”按钮进入界面变化状态图39；点击界面变化状态图39最下方的“奖励中心”标签按钮进入界面变化状态图40；在界面变化状态图40的中央任意位置向上滑动得到界面变化状态图41；点击界面变化状态图39最下方的“代理中心”标签按钮进入界面变化状态图42；在界面变化状态图42的中央任意位置向上滑动得到界面变化状态图43；点击界面变化状态图39最下方的“我的”标签按钮进入界面变化状态图44。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</si>
  <si>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带招聘审批管理图形用户界面的显示屏幕面板</t>
  </si>
  <si>
    <t>US20230001284A1</t>
  </si>
  <si>
    <t>一种方法包括使用物联网 (IoT) 设备捕获执行与第一锻炼课程相关联的锻炼的用户的实时视频。 用户的实时视频通过显示器与教练的视频同时显示,以提供用户与教练的视觉比较。 执行用户的实时视频的图像分析以确定用户的表现,并显示其表示。 物联网设备在多个时间点从可穿戴设备接收与用户相关的生物特征数据。 基于生物特征数据识别心率,并通过显示器显示基于心率的分数。 不同于第一锻炼类别的第二锻炼类别的推荐基于用户的简档确定,并经由显示器显示。</t>
  </si>
  <si>
    <t>用于交互式培训和演示的反射式视频显示装置及其使用方法</t>
  </si>
  <si>
    <t>CN307609624S</t>
  </si>
  <si>
    <t>1.本外观设计产品的名称：显示屏幕面板的内容展示图形用户界面。
 2.本外观设计产品的用途：用于显示图形用户界面。
 3.本外观设计产品的设计要点：在于图形用户界面。
 4.最能表明设计要点的图片或照片：设计1主视图。
 5.显示屏幕面板为惯常设计，省略其他视图。
 6.指定设计1为基本设计。
 7.图形用户界面的用途：用于照片和/或视频内容的展示。
 8.图形用户界面的人机交互方式：在设计1‑2的主视图中，用户可通过上下滑动中部区域查看更多内容，用户触控界面中部可查看具体的图片或视频。
 界面中带有灰色小方块的区域为可替换图片或视频的马赛克效果，并非许多小图片和视频的组合，圆形灰色区域为可替换的用户头像。
 设计界面中的X代表文字和/或数字和/或字母和/或符号。
 9.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</si>
  <si>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CN307609623S</t>
  </si>
  <si>
    <t>1.本外观设计产品的名称：显示屏幕面板的内容展示图形用户界面。
 2.本外观设计产品的用途：用于显示图形用户界面。
 3.本外观设计产品的设计要点：在于图形用户界面。
 4.最能表明设计要点的图片或照片：设计1主视图。
 5.显示屏幕面板为惯常设计，省略其他视图。
 6.指定设计1为基本设计。
 7.图形用户界面的用途：用于照片和/或视频内容的展示。
 8.图形用户界面的人机交互方式：在设计1~5主视图中，用户可通过上下滑动中部区域查看更多内容，用户触控界面中部可查看具体的图片或视频。
 设计界面中的灰色色块为可替换的图片或视频。
 设计界面中的X代表文字和/或数字和/或字母和/或符号。
 9.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</si>
  <si>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CN307713406S</t>
  </si>
  <si>
    <t>1.本外观设计产品的名称：显示屏幕面板的拍照摄影图形用户界面。
 2.本外观设计产品的用途：用于显示图形用户界面。
 3.本外观设计产品的设计要点：在于图形用户界面。
 4.最能表明设计要点的图片或照片：设计1主视图。
 5.显示屏幕面板为惯常设计，省略其他视图。
 6.指定设计1为基本设计。
 7.图形用户界面的用途：用于多媒体信息处理过程中照片和/或视频的拍摄。
 8.图形用户界面的人机交互方式：设计1~8的主视图通过终端的摄像头实时进行影像获取，以实现用户的拍照摄影交互。
 设计界面中的灰色色块为可替换的图片或视频。
 设计界面中的X代表文字和/或数字和/或字母和/或符号。
 9.该图形用户界面可用于手机、计算机、平板电脑、智能电视、车载中控屏幕、多媒体一体机、电子记事本、智能音箱、投影仪、游戏机、导航仪、智能手表、智能手环、智能台灯、带屏幕的空调、智能健身镜。</t>
  </si>
  <si>
    <t>显示屏幕面板的拍照摄影图形用户界面</t>
  </si>
  <si>
    <t>CN307713407S</t>
  </si>
  <si>
    <t>1.本外观设计产品的名称：显示屏幕面板的拍照摄影动态图形用户界面。
 2.本外观设计产品的用途：用于显示图形用户界面。
 3.本外观设计产品的设计要点：在于图形用户界面。
 4.最能表明设计要点的图片或照片：设计1主视图。
 5.显示屏幕面板为惯常设计，省略其他视图。
 6.指定设计1为基本设计。
 7.图形用户界面的用途：用于多媒体信息处理过程中照片和/或视频的拍摄。
 8.图形用户界面的人机交互方式：设计1主视图、设计1界面动态变化状态图1~2为用户进入拍摄页后依次显示的动态显示界面，点击设计1界面动态变化状态图2下方对号按钮完成拍摄；设计2主视图、设计2界面动态变化状态图1~2为用户进入拍摄页后的动态显示界面，点击设计2界面动态变化状态图2下方对号按钮完成拍摄；设计3主视图、设计3界面动态变化状态图1~3为用户进入拍摄页后的动态显示界面，点击设计3界面动态变化状态图3下方对号按钮完成拍摄。
 设计界面中的灰色色块为可替换的图片或视频。
 设计界面中的X、N代表文字和/或数字和/或字母和/或符号。
 9.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</si>
  <si>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显示屏幕面板的拍照摄影动态图形用户界面</t>
  </si>
  <si>
    <t>WO2023033653A1</t>
  </si>
  <si>
    <t>描述了一种用于计时和识别参与体育赛事的对象的方法,其中该方法包括接收与由位于沿运动跑道的第一位置的第一计时系统的第一相机系统捕获的一个或多个第一图像相关联的第一图像信息 一个或多个第一图像包括参与体育赛事的对象通过虚拟计时线,第一图像信息包括关于至少第一对象的视觉信息,基于该一个或多个第一图像确定经过时间但其 无法根据一个或多个第一图像进行识别; 接收或检索与由位于与第一位置不同的位置的第二相机系统捕获的一个或多个第二图像相关联的第二图像信息,该一个或多个第二图像包括参加体育赛事的对象,第二图像信息包括视觉信息 关于可以基于一个或多个第二图像识别的一个或多个对象; 以及,识别第一对象,其中识别包括:使用第一图像信息和第二图像信息来确定一个或多个第二图像中与第一对象匹配的第二对象; 如果确定了第二对象,则根据第二对象的视觉信息识别第一对象。</t>
  </si>
  <si>
    <t>基于视觉的运动计时和识别系统</t>
  </si>
  <si>
    <t>CN307913460S</t>
  </si>
  <si>
    <t>1.本外观设计产品的名称：显示屏幕面板的运动数据的屏幕图形用户界面。
 2.本外观设计产品的用途：用于运行和显示程序，该显示屏幕面板可用于健身器材的显示屏幕。
 3.本外观设计产品的设计要点：在于产品图形用户界面的界面内容。
 4.最能表明设计要点的图片或照片：主视图。
 5.图形用户界面的用途：用于跟随所选的课程视频进行运动健身。
 6.图形用户界面的人机交互方式：主视图中点击日期，跳转到界面变化状态图1视频播放页面，界面变化状态图1中左滑跳转到界面变化状态图2。</t>
  </si>
  <si>
    <t>显示屏幕面板的运动数据的屏幕图形用户界面</t>
  </si>
  <si>
    <t>KR1020230142316A</t>
  </si>
  <si>
    <t>公开了一种电子设备。 电子装置包括通信接口、存储器以及处理器,其中处理器获取对应于运动比赛中的多个时间点的多个选手位置数据集,并从多个选手位置数据集中获取多个球队位置。循环神经网络系列,生成数据集,获取多个视点对应的多个球位数据,并按预定时间长度分段接收多个球队位置数据集和多个球位数据。获取有关多支球队的球权信息。</t>
  </si>
  <si>
    <t>预测运动球位置的方法、电子设备和系统</t>
  </si>
  <si>
    <t>CN115145984B</t>
  </si>
  <si>
    <t>本发明涉及数据监控预测技术领域，具体涉及一种健身器材的故障监控系统及方法。该方法对健身房中每个跑步机每日的功耗数据和温度数据进行监控并记录，构建每日历史数据库。分析每日历史数据库中的功耗数据和温度数据进而对不同跑步机进行分组。通过关联下一日的每日历史数据库，获得每个跑步机的状态转移置信度集合，对全连接神经网络进行训练。通过全连接神经网络根据前一日的数据预测当日健身房内跑步机所属的跑步机运行组，通过分布情况获得异常跑步机并对异常跑步机的PID参数进行控制。本发明实施例实现了对健身器材运行数据的监控及状态预测，识别出存在故障的异常跑步机并对其进行PID参数控制，保证了使用者使用体验和跑步机使用寿命。</t>
  </si>
  <si>
    <t>一种健身器材的故障监控系统及方法</t>
  </si>
  <si>
    <t>CN307713400S</t>
  </si>
  <si>
    <t>1.本外观设计产品的名称：显示屏幕面板的信息展示图形用户界面。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6.图形用户界面的用途：本图形用户界面用于展示信息。
 7.图形用户界面的人机交互方式：设计1至设计6主视图的图形用户界面为信息展示的界面，用户可以点击界面中部的横向排布的灰色卡片查看相应信息，其中，横向排布的灰色卡片位置对应设计1主视参考图的总榜/甜酷女装/服饰鞋包/母婴图书的卡片位置。
 各设计界面中的灰色色块为可替换的图片或视频。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
 9.显示屏幕面板为惯常设计，省略各项设计的后视图、左视图、右视图、俯视图、仰视图。</t>
  </si>
  <si>
    <t>显示屏幕面板的信息展示图形用户界面</t>
  </si>
  <si>
    <t>CN115862807A</t>
  </si>
  <si>
    <t>本申请的实施例提供了一种基于机器学习的健身训练方法、系统、计算机可读介质及电子设备。该基于机器学习的健身训练方法包括：获取用户的运动水平参数和身体机能参数，之后基于运动水平参数和身体机能参数，通过基于机器学习预先训练得到的体能运动模型确定与用户匹配的训练级别，通过获取用户的运动偏好信息从数据库中进行匹配，获取所述训练级别和所述偏好方式对应的训练方式，最后基于所述偏好方式和所述训练方式，生成所述用户对应的训练计划，上述方式能基于用户自身的运动水平和身体机能进行适配，确定合适的运动方式，并能结合用户的运动偏好生成对应的运动计划，提高了健身运动计划的个性化和适配性，进而有效提高运动效果。</t>
  </si>
  <si>
    <t>基于机器学习的健身训练方法、系统、介质及电子设备</t>
  </si>
  <si>
    <t>CN307960116S</t>
  </si>
  <si>
    <t>1.本外观设计产品的名称：显示屏幕面板的信息展示图形用户界面。
 2.本外观设计产品的用途：本外观设计产品用于显示图形用户界面。
 3.本外观设计产品的设计要点：在于图形用户界面。
 4.最能表明设计要点的图片或照片：设计1主视图。
 5.指定基本设计：指定设计1为基本设计。
 6.图形用户界面的用途：本图形用户界面用于展示信息。
 7.图形用户界面的人机交互方式：设计1至设计6主视图的图形用户界面为信息展示的界面，用户可以点击界面中部的横向排布的矩形卡片查看相应信息，其中，横向排布的矩形卡片位置对应设计1主视参考图的总榜/甜酷女装/服饰鞋包/母婴图书的卡片位置。
 各设计界面中的矩形、带圆角的矩形和圆形色块为可替换的图片或视频。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
 9.显示屏幕面板为惯常设计，省略各项设计的后视图、左视图、右视图、俯视图、仰视图。</t>
  </si>
  <si>
    <t>CN308035886S</t>
  </si>
  <si>
    <t>1.本外观设计产品的名称：带智能体测图形用户界面的健身器(一体式1)。2.本外观设计产品的用途：用于显示智能体测的程序界面。3.本外观设计产品的设计要点：在于屏幕中图形用户界面的界面内容。4.最能表明设计要点的图片或照片：界面放大图。5.图形用户界面的用途：用于健身器的程序界面。6.图形用户界面的人机交互方式：界面放大图为健身器启动时的主界面界面变化状态图 1 为点击界面放大图“为你推荐”下方右边“雷神索尔强手…”进入的该课程详情介绍界面，界面变化状态图 2 为点击或划下界面变化状态图 1 屏幕中正中间的小灰色横条显示的课程详情收起界面，界面变化状态图 3 为点击界面变化状态图 2 右上角“开始训练”进入的课程开场介绍界面，界面变化状态图 4 为拖动界面变化状态图 3 屏幕中下方中的控制圆盘内左下角的“闪电”图标到达圆盘上方显示的阻力面板调节界面，界面变化状态图 5 为点击界面变化状态图 4 控制面板中的数值进入的阻力面板激活状态界面，界面变化状态图 6为点击界面变化状态图 5 控制面板中的数值进入的阻力面板卸力状态界面，界面变化状态图 7 为点击界面变化状态图6 中屏幕中视频任意处进入的暂停面板界面，界面变化状态图8 为点击界面变化状态图7 中“下一个动作”进入的计时训练界面，界面变化状态图 9 为点击界面变化状态图 8 中屏幕中视频任意处进入的暂停面板界面，界面变化状态图 10 为点击界面变化状态图 9 中播放下一个图标按钮“单手拉绳”进入的单手拉绳界面，界面变化状态图 11 为点击界面变化状态图 10 屏幕中视频任意处进入的暂停面板界面，界面变化状态图 12 为点击界面变化状态图 11 中“结束训练”进入的课程训练结束询问界面，界面变化状态图 13 点击界面变化状态图 12 中“保存”进入的训练概况界面，界面变化状态图 14 为点击界面变化状态图 13 中“训练详情”进入的训练详情界面，界面变化状态图 15 为点击界面状态图左上角用户图标弹出侧边栏功能界面，界面变化状态图 16 为点击界面变化状态图 15 左上角“个人中心”进入的个人中心界面，界面变化状态图 17 为点击界面变化状态图 16“开始测评”进入的测评介绍界面，界面变化状态图 18 为点击界面变化状态图 17 屏幕中视频任意处进入的暂停面板界面，界面变化状态图 19 为点击界面变化状态图 18“结束测评”按钮进入的动作讲解界面，界面变化状态图 20 点击界面变化状态图 19右上角“立即测试”进入的开始测评倒计时界面，界面变化状态图 21 为界面变化状态图 20 倒计时 3 秒后进入的体测界面，界面变化状态图 22 为拉动健身器上的力臂三次进入的体测界面，界面变化状态图 23为拉动健身器上的力臂四次进入的体测完成界面，界面变化状态图 24 为界面变化状态图 23 体测完成后且停止拉动健身器上的力臂后进入的测试结束加载页面，界面变化状态图 25 为界面变化状态图 24 报告生产五秒后进入的测评数据界面，界面变化状态图 26 为点击界面变化状态图 25 中“训练宝典”进入的界面，界面变化状态图 27 为点击界面变化状态 26 中“课程指路”进入的界面，界面变化状态图 28 为点击界面变化状态图 27 左上角打叉图标关闭界面进入的个人中心已测评界面，界面变化状态图 29 为点击界面变化状态图 28“再测一次”进入的界面，界面变化状态图 30 为点击界面变化状态图 29 中全身测评后显示的界面。</t>
  </si>
  <si>
    <t>带智能体测图形用户界面的健身器(一体式1)</t>
  </si>
  <si>
    <t>CN307731707S</t>
  </si>
  <si>
    <t>1.本外观设计产品的名称：显示屏幕面板的文字生成视频图形用户界面。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6.图形用户界面的用途：本图形用户界面用于文字生成视频。
 7.图形用户界面的人机交互方式：设计1至设计5主视图的图形用户界面为文字生成视频的界面。
 在设计1主视图的界面中，当用户选择界面下部的选项卡并点击选项卡下部的控件时，界面进入设计1界面变化状态图。
 该选项卡位置对应设计1主视参考图的智能匹配素材或只导入文字选项卡位置。
 设计2至设计5的交互操作同设计1。
 各设计界面中的灰色色块为可替换的图片或视频。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
 9.显示屏幕面板为惯常设计，省略各项设计的后视图、左视图、右视图、俯视图、仰视图。</t>
  </si>
  <si>
    <t>显示屏幕面板的文字生成视频图形用户界面</t>
  </si>
  <si>
    <t>CN307811200S</t>
  </si>
  <si>
    <t>1.本外观设计产品的名称：显示屏幕面板的工单管理图形用户界面。
 2.本外观设计产品的用途：用于交互和显示。
 3.本外观设计产品的设计要点：在于图形用户界面。
 4.最能表明设计要点的图片或照片：主视图。
 5.其他视图无设计要点，省略其他视图。
 6.图形用户界面的用途：用于工单负责人对工单状态的管理。
 7.图形用户界面的人机交互方式：主视图为工单管理的主界面；点击主视图界面中的“分配负责人”按钮，则如界面变化状态图1所示弹出分配工单负责人的弹窗；点击主视图左侧菜单栏中的“待办工单管理”选项，跳转至界面变化状态图2展示的待反馈工单界面；点击界面变化状态图2中的待反馈工单列表右侧中的工单反馈栏的编辑按钮，跳转至界面变化状态图3展示的工单反馈和工单动态界面；点击界面变化状态图2中的“待归档工单”选项，之后点击其下级选项“待我归档”模块，跳转至界面变化状态图4展示的待我归档工单列表界面；点击界面变化状态图4中归档工单列表右侧中的工作归档栏显示为例如绿色等颜色的按钮，跳转至界面变化状态图5展示的待归档工单信息详情和工单动态界面；点击主视图、界面变化状态图2和4中任一界面左侧菜单栏中的“工单有效性管理”选项，跳转至界面变化状态图6展示的已归档的工单信息列表界面；点击主视图、界面变化状态图2、4和6中任一界面左侧菜单栏中的“工单信息统计”选项，跳转至界面变化状态图7展示的详细工单信息统计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</si>
  <si>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显示屏幕面板的工单管理图形用户界面</t>
  </si>
  <si>
    <t>CN307811197S</t>
  </si>
  <si>
    <t>1.本外观设计产品的名称：显示屏幕面板的用电监测设备管理图形用户界面。
 2.本外观设计产品的用途：用于交互和显示。
 3.本外观设计产品的设计要点：在于图形用户界面。
 4.最能表明设计要点的图片或照片：主视图。
 5.其他视图无设计要点，省略其他视图。
 6.图形用户界面的用途：用于环保用电监测的监测设备的安装调试。
 7.图形用户界面的人机交互方式：主视图为环保用电监测信息维护的主界面；点击主视图中“企业总体信息”右侧的修改按钮，跳转至界面变化状态图1；点击主视图中“产污设施”图标，跳转至界面变化状态图2；点击主视图中“采集器”图标，跳转至界面变化状态图3；点击主视图中“治理设施”图标，跳转至界面变化状态图4；点击主视图中的“监测点”图标，跳转至界面变化状态图5；点击主视图中“企业总表”图标，跳转至界面变化状态图6；点击界面变化状态图2中右上角的符号“+”即添加按钮，跳转至界面变化状态图7展示的添加产污设施界面；通过向上滑动界面变化状态图7界面，则如界面变化状态图8所示接续展示的添加产污设施界面；点击界面变化状态图7中的“污染治理设施”单元格，跳转至界面变化状态图9展示的产污设施选择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</si>
  <si>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显示屏幕面板的用电监测设备管理图形用户界面</t>
  </si>
  <si>
    <t>CN307811208S</t>
  </si>
  <si>
    <t>1.本外观设计产品的名称：显示屏幕面板的数据分析图形用户界面。
 2.本外观设计产品的用途：用于交互和显示。
 3.本外观设计产品的设计要点：在于图形用户界面。
 4.最能表明设计要点的图片或照片：主视图。
 5.其他视图无设计要点，省略其他视图。
 6.图形用户界面的用途：用于台区数据分析系统的系统管理。
 7.图形用户界面的人机交互方式：主视图为台区系统在线管理平台主界面；通过拖动主视图滚动条或滚动鼠标滚轮等，则如界面变化状态图1所示接续展示在线管理平台；点击主视图或界面变化状态图1的左侧菜单栏的“线损分析”选项，跳转至界面变化状态图2；点击主视图或界面变化状态图1‑2的左侧菜单栏的“智能诊断”选项，跳转至界面变化状态图3；点击主视图或界面变化状态图1‑3的左侧菜单栏的“台区信息”选项，跳转至界面变化状态图4显示的台区拓扑界面；点击界面变化状态图4中的其中一个分支，则如界面变化状态图5所示弹出“电能表明细”弹窗；点击界面变化状态图4‑5中的“台区线损”模块，跳转至界面变化状态图6；点击界面变化状态图4‑6的“台区智能诊断”模块，跳转至界面变化状态图7。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</si>
  <si>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显示屏幕面板的数据分析图形用户界面</t>
  </si>
  <si>
    <t>CN307811199S</t>
  </si>
  <si>
    <t>1.本外观设计产品的名称：显示屏幕面板的台区管理操作图形用户界面。
 2.本外观设计产品的用途：用于交互和显示。
 3.本外观设计产品的设计要点：在于图形用户界面。
 4.最能表明设计要点的图片或照片：界面变化状态图1。
 5.其他视图无设计要点，省略其他视图。
 6.图形用户界面的用途：用于台区数据分析、设备连接及管理客户端操作系统的管理。
 7.图形用户界面的人机交互方式：主视图为数据同步设置向导的界面，在该界面输入总表和户表的数据设置，点击“下一步”按钮，完成整个设置向导后，跳转至界面变化状态图1展示的台区系统单元的操作管理页面，点击界面变化状态图1左侧菜单栏的“台区线损”选项，跳转至界面变化状态图2；点击主视图或界面变化状态图2的左侧菜单栏的“智能诊断”选项，跳转至界面变化状态图3；点击界面变化状态图3中的“时钟超差”选项，跳转至界面变化状态图4；点击界面变化状态图3或界面变化状态图4中的“疑似窃电”选项，跳转至界面变化状态图5；点击界面变化状态图5中的疑似窃电列表中右侧的箭头图标，跳转至界面变化状态图6；点击界面变化状态图1‑5的左侧菜单栏的“台区拓扑”选项，跳转至界面变化状态图7；点击界面变化状态图7中的“电表明细”按钮，跳转至界面变化状态图8；点击界面变化状态图1‑5、7‑8的左侧菜单栏的“设备管理”选项，跳转至界面变化状态图9。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</si>
  <si>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显示屏幕面板的台区管理操作图形用户界面</t>
  </si>
  <si>
    <t>CN307811204S</t>
  </si>
  <si>
    <t>1.本外观设计产品的名称：显示屏幕面板的电能表输出设置图形用户界面。
 2.本外观设计产品的用途：用于交互和显示。
 3.本外观设计产品的设计要点：在于图形用户界面。
 4.最能表明设计要点的图片或照片：主视图。
 5.其他视图无设计要点，省略其他视图。
 6.图形用户界面的用途：用于现场实施人员进行电能表业务参数规则的设置操作。
 7.图形用户界面的人机交互方式：主视图为智能电能表运行误差监测模块业务参数设置中评价异常电能表输出设置的主界面；点击主视图界面中“输出结果上限设置”按钮，则如界面变化状态图1所示，弹出输出结果上限设置弹窗；通过点击复选框选择供电单位后，点击界面变化状态图1中的“批量修改”按钮，则如界面变化状态图2所示，弹出批量修改输出上限设置弹窗；点击界面变化状态图2弹窗界面中的“所选地市下区县”的单选框，则显示界面变化状态图3展示的批量修改输出上限设置弹窗的所选地市下区县界面；点击界面变化状态图2或界面变化状态图3中弹窗界面下方的“确定”按钮，则如界面变化状态图4所示弹出展示批量修改输出上限确认弹窗；点击主视图界面右下方的“添加输出策略”按钮，完成未来生效的输出策略设置后，则如界面变化状态图5展示的评价异常电能表输出设置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</si>
  <si>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显示屏幕面板的电能表输出设置图形用户界面</t>
  </si>
  <si>
    <t>CN307811203S</t>
  </si>
  <si>
    <t>1.本外观设计产品的名称：显示屏幕面板的能效监测系统图形用户界面。
 2.本外观设计产品的用途：用于交互和显示。
 3.本外观设计产品的设计要点：在于图形用户界面。
 4.最能表明设计要点的图片或照片：界面变化状态图4。
 5.其他视图无设计要点，省略其他视图。
 6.图形用户界面的用途：用于光伏电站设备运行情况的监测。
 7.图形用户界面的人机交互方式：主视图为能效监测系统的主界面；点击主视图右上角中的气象站图标，则如界面变化状态图1所示弹出气象站弹窗；点击界面变化状态图1气象站弹窗下方的“趋势分析”按钮，则如界面变化状态图2所示气象数据趋势分析弹窗；点击主视图右侧“故障告警”模块的当前告警数量蓝色数据，则如界面变化状态图3所示弹出故障告警明细弹窗；点击主视图中的拓扑图区块或选择全站下方下拉选框选择“交流汇流箱/逆变器/组串检索”，则如界面变化状态图4所展示的界面；点击界面变化状态图4中拓扑图右下角处的宽屏图标按钮，则如界面变化状态图5所展示的宽屏状态界面；点击主视图的系统名称右侧的第一个图标按钮即管理系统图标按钮，跳转至界面变化状态图6所展示的管理系统的停机分析界面；点击界面变化状态图6下方停机设备统计列表中右侧的停机分析明细图标按钮，则如界面变化状态图7所示弹出该设备的停机明细弹窗；点击界面变化状态图6左侧菜单栏的“配置中心”选项，跳转至界面变化状态图8展示的设备告警配置界面；点击界面变化状态图8配置中心标题下方的“智能诊断配置”选项，则如界面变化状态图9展示的智能诊断配置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</si>
  <si>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显示屏幕面板的能效监测系统图形用户界面</t>
  </si>
  <si>
    <t>CN307811202S</t>
  </si>
  <si>
    <t>1.本外观设计产品的名称：显示屏幕面板的电能表监督验证图形用户界面。
 2.本外观设计产品的用途：用于交互和显示。
 3.本外观设计产品的设计要点：在于图形用户界面。
 4.最能表明设计要点的图片或照片：主视图。
 5.其他视图无设计要点，省略其他视图。
 6.图形用户界面的用途：用于对智能电能表运行的数据进行数据仿真验证、抽样操作。
 7.图形用户界面的人机交互方式：主视图为智能电能表运行误差监测模块的数据仿真主界面；点击主视图界面下方的“下一步”按钮，跳转至界面变化状态图1展示的数据仿真参数设置界面；点击界面变化状态图1界面下方的“下一步”按钮，跳转至界面变化状态图2展示的数据仿真预览界面；点击界面变化状态图2界面右上角处的“仿真历史记录”按钮，则如界面变化状态图3所示弹出仿真历史记录弹窗；点击主视图或界面变化状态图1‑2中任一界面左侧菜单栏中的“模型验证”选项，跳转至界面变化状态图4展示的模型验证界面；在界面变化状态图4中的文件上传区域通过“点击”按钮或拖拽文件来上传文件，则跳转至如界面变化状态图5所示模型验证结果列表界面；点击主视图或界面变化状态图1、2、4和5中任一界面左侧菜单栏中的“抽样样本选取”选项，跳转至界面变化状态图6展示的抽样样本选取界面；在界面变化状态图6中设置包括有“厂家名称”、“供电单位”、“运行年限”、“电能表批”等抽样样本的条件信息，选择输入这些信息后点击“抽样”按钮，跳转至界面变化状态图7展示的抽样电能表明细界面；点击主视图或界面变化状态图1、2、4‑7中任一界面左侧菜单栏中的“检定结果数据对比分析”选项，跳转至界面变化状态图8展示的检定结果列表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</si>
  <si>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显示屏幕面板的电能表监督验证图形用户界面</t>
  </si>
  <si>
    <t>CN307811205S</t>
  </si>
  <si>
    <t>1.本外观设计产品的名称：显示屏幕面板的户变异常分析图形用户界面。
 2.本外观设计产品的用途：用于交互和显示。
 3.本外观设计产品的设计要点：在于图形用户界面。
 4.最能表明设计要点的图片或照片：主视图。
 5.其他视图无设计要点，省略其他视图。
 6.图形用户界面的用途：用于展示疑似户变关系错误用户及其可能隶属台区。
 7.图形用户界面的人机交互方式：主视图为户变异常数据分析的主页面；通过拖动主视图中的滚动条或滚动鼠标滚轮，则如界面变化状态图1所示接续展示的各单位户变异常数据统计界面；点击主视图菜单栏中的“异常电能表明细”选项，显示界面变化状态图2；点击界面变化状态图2供电表格中的详情按钮，显示界面变化状态图3详情界面；通过拖动界面变化状态图3中的滚动条或滚动鼠标滚轮，则如界面变化状态图4和界面变化状态图5所示接续展示的户变异常电能表详情界面；点击界面变化状态图3和4中的“采集拓扑诊断”选项，显示界面变化状态图6。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</si>
  <si>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显示屏幕面板的户变异常分析图形用户界面</t>
  </si>
  <si>
    <t>CN307811209S</t>
  </si>
  <si>
    <t>1.本外观设计产品的名称：显示屏幕面板的保护区管理图形用户界面。
 2.本外观设计产品的用途：用于交互和显示。
 3.本外观设计产品的设计要点：在于图形用户界面。
 4.最能表明设计要点的图片或照片：主视图。
 5.其他视图无设计要点，省略其他视图。
 6.图形用户界面的用途：用于安全平台系统保护区信息管理。
 7.图形用户界面的人机交互方式：主视图为展示安全平台系统保护区状态的主界面；点击主视图中的“终端区”卡片，则跳转至界面变化状态图1展示的终端区详细配置界面；点击主视图中的“zone3”卡片，则跳转至界面变化状态图2展示的保护区详细配置界面；点击界面变化状态图2中的“默认权限”下拉框，则如界面变化状态图3所示弹出保护区默认权限设置弹窗；在界面变化状态图2中勾选“设置为终端区”勾选框，则如界面变化状态图4所示弹出变更保护区属性设置的提示弹窗；点击界面变化状态图2中的“用户”下拉框，则如界面变化状态图5所示弹出选择用户弹窗；点击界面变化状态图2中的“状态”下拉框并选择“隔离”选项，则如界面变化状态图6所示弹出变更保护区状态的确认弹窗。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</si>
  <si>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显示屏幕面板的保护区管理图形用户界面</t>
  </si>
  <si>
    <t>CN307811210S</t>
  </si>
  <si>
    <t>1.本外观设计产品的名称：显示屏幕面板的用户活跃度分析图形用户界面。
 2.本外观设计产品的用途：用于交互和显示。
 3.本外观设计产品的设计要点：在于图形用户界面。
 4.最能表明设计要点的图片或照片：主视图。
 5.其他视图无设计要点，省略其他视图。
 6.图形用户界面的用途：用于安全平台系统用户活跃度分析的统计维度设置与结果展示。
 7.图形用户界面的人机交互方式：主视图为安全平台系统用户活跃度分析结果展示主界面；通过拖动主视图滚动条或滚动鼠标滚轮，则如界面变化状态图1所示接续展示用户活跃度分析结果；点击主视图或界面变化状态图1的“数据范围过滤”按钮，则如界面变化状态图2所示弹出数据范围过滤设置弹窗；点击主视图或界面变化状态图1的“设置”选项下的活跃度定义按钮，则如界面变化状态图3所示弹出活跃度定义设置弹窗；点击主视图或界面变化状态图1的“设置”选项下的展示图表设置按钮，则如界面变化状态图4所示弹出展示图表设置弹窗；点击主视图中“全时段访问桌面活跃Top10”模块右侧的“更多”导向按钮，则如界面变化状态图5所示弹出全时段活跃状态排名弹窗；点击主视图中用户活跃状态分析模块右侧的“全部用户”导向按钮，跳转至界面变化状态图6展示的全部用户活跃状态界面；点击界面变化状态图6中用户活跃度列表右侧“详情”栏的任一图标，则如界面变化状态图7所示弹出所选用户的活跃详情弹窗；点击界面变化状态图1中桌面活跃状态分析模块右侧的“全部桌面”导向按钮，跳转至界面变化状态图8展示的全部桌面活跃状态界面；点击界面变化状态图8中的桌面活跃度列表右侧“详情”栏的任一图标，则如界面变化状态图9所示弹出所选桌面的活跃详情弹窗。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</si>
  <si>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显示屏幕面板的用户活跃度分析图形用户界面</t>
  </si>
  <si>
    <t>CN307811211S</t>
  </si>
  <si>
    <t>1.本外观设计产品的名称：显示屏幕面板的场馆供电监测图形用户界面。
 2.本外观设计产品的用途：用于交互和显示。
 3.本外观设计产品的设计要点：在于图形用户界面。
 4.最能表明设计要点的图片或照片：界面变化状态图1。
 5.其他视图无设计要点，省略其他视图。
 6.图形用户界面的用途：用于场馆内的配电柜供电监测。
 7.图形用户界面的人机交互方式：主视图为场馆供电监测主界面；点击选主视图界面中配电柜列表中任意一个配电柜所在卡片，跳转至界面变化状态图1展示的所选择配电柜信息详情界面；通过向上滑动界面变化状态图1的界面，则如界面变化状态图2所示接续展示配电柜信息详情界面；点击界面变化状态图1中电流曲线右上角的放大图标按钮，则如界面变化状态图3展示的电流曲线的放大状态界面；点击主视图界面下方“告警”按钮，跳转至界面变化状态图4展示的不同位置配电柜信息列表界面；点击选择界面变化状态图4界面中配电柜列表中任意一个配电柜所在卡片，跳转至界面变化状态图5展示的所选择配电柜的告警信息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</si>
  <si>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显示屏幕面板的场馆供电监测图形用户界面</t>
  </si>
  <si>
    <t>CN307811201S</t>
  </si>
  <si>
    <t>1.本外观设计产品的名称：显示屏幕面板的充电监测管理图形用户界面。
 2.本外观设计产品的用途：用于交互和显示。
 3.本外观设计产品的设计要点：在于图形用户界面。
 4.最能表明设计要点的图片或照片：界面变化状态图3。
 5.其他视图无设计要点，省略其他视图。
 6.图形用户界面的用途：用于监测设备异常用电情况以及电动车充电操作系统的管理。
 7.图形用户界面的人机交互方式：主视图为电动车充电监测系统管理主页面；点击主视图页面下方的“设备分布”模块，跳转至界面变化状态图1展示的设备分布状态界面；点击界面变化状态图1右侧边的列表图标按钮，跳转至界面变化状态图2统计展示的所选范围内的设备个数界面；点击界面变化状态图1地图中所显示的某一地区块，并点击该地区的某一小区，则如界面变化状态图3所示，展示该小区设备分布情况；点击主视图下方的“历史监测”模块，跳转至界面变化状态图4展示的监测设备记录情况界面；点击主视图下方的“我的”模块，跳转至界面变化状态图5展示的用户信息界面；点击界面变化状态图5中的“管理设备”按钮后点击“离线”选项并勾选对应的监测设备，跳转至界面变化状态图6所示的设备管理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</si>
  <si>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显示屏幕面板的充电监测管理图形用户界面</t>
  </si>
  <si>
    <t>CN307811207S</t>
  </si>
  <si>
    <t>1.本外观设计产品的名称：显示屏幕面板的电能表检定周期调整图形用户界面。
 2.本外观设计产品的用途：用于交互和显示。
 3.本外观设计产品的设计要点：在于图形用户界面。
 4.最能表明设计要点的图片或照片：界面变化状态图1。
 5.其他视图无设计要点，省略其他视图。
 6.图形用户界面的用途：用于合格智能电能表申请延长检定周期的全部流程。
 7.图形用户界面的人机交互方式：主视图为拟调整检定周期电能表的主界面，该界面展示电能表的调整检定周期申请列表；点击主视图中表格右侧的详情图标按钮，弹出界面变化状态图1展示的电能表申请详情界面；点击主视图左侧菜单栏中的“组织汇总”选项，显示界面变化状态图2展示的组织汇总列表详情界面；通过点击复选框选择审核通过的调整检定周期电能表后，点击界面变化状态图2中的“组织汇总”按钮，则如界面变化状态图3所示，弹出显示组织汇总的预览汇总信息的弹窗；点击界面变化状态图3中弹窗右下方的“下一步”按钮，则跳转至界面变化状态图4展示的汇总表确认的弹窗界面；点击主视图或界面变化状态图2中左侧菜单栏的“检定周期调整”选项，展开包含“极限质量水平判断”和“检定结论报告”的选项，点击“检定结论报告”选项，显示界面变化状态图5展示的检定结论报告的详细信息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</si>
  <si>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显示屏幕面板的电能表检定周期调整图形用户界面</t>
  </si>
  <si>
    <t>CN307811198S</t>
  </si>
  <si>
    <t>1.本外观设计产品的名称：显示屏幕面板的数据深化分析图形用户界面。
 2.本外观设计产品的用途：用于交互和显示。
 3.本外观设计产品的设计要点：在于图形用户界面。
 4.最能表明设计要点的图片或照片：主视图。
 5.其他视图无设计要点，省略其他视图。
 6.图形用户界面的用途：用于电力数据信息的展示和分析管理。
 7.图形用户界面的人机交互方式：主视图为电能表运行误差监测模块的数据总览主界面；通过拖动主视图中的滚动条或滚动鼠标滚轮等，则如界面变化状态图1所示连续展示电能表数据界面；点击主视图或界面变化状态图1菜单栏中的“分析结果统计”选项，跳转至界面变化状态图2；点击界面变化状态图2中统计结果分析图右侧的收起图标，则如界面变化状态图3所示收起统计结果分析图栏；点击主视图至界面变化状态图3中任一界面菜单栏中的“计量点分析”选项，跳转至界面变化状态图4；点击界面变化状态图4中电能表统计表格中“异常表数量”表栏中绿色等色彩的折线图标，则如界面变化状态图5所示弹出异常电能表分析弹窗；点击界面变化状态图4中电能表统计表格中“电能表明细”表栏中绿色等色彩的跳转箭头图标，则如界面变化状态图6所示弹出跳转提示窗；点击主视图至界面变化状态图4中任一界面中的“电能表明细”选项或点击界面变化状态图6中的“跳转”按钮，跳转至界面变化状态图7；点击主视图至界面变化状态图4、界面变化状态图7中任一界面中的“数据质量治理”选项，跳转至界面变化状态图8；点击主视图至界面变化状态图4、界面变化状态图7‑8中任一界面中的“计算范围配置”选项，跳转至界面变化状态图9；点击界面变化状态图9中的“添加计算范围”按钮，则如界面变化状态图10所示，弹出添加计算范围的弹窗；点击界面变化状态图10中的“数据范围”选择器，则如界面变化状态图11所示，弹出选择数据范围弹窗。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</si>
  <si>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显示屏幕面板的数据深化分析图形用户界面</t>
  </si>
  <si>
    <t>CN307819736S</t>
  </si>
  <si>
    <t>1.本外观设计产品的名称：显示屏幕面板的环保用电监控图形用户界面。
 2.本外观设计产品的用途：用于交互和显示。
 3.本外观设计产品的设计要点：在于图形用户界面。
 4.最能表明设计要点的图片或照片：主视图。
 5.其他视图无设计要点，省略其他视图。
 6.图形用户界面的用途：用于对环保用电监测及监测点异常情况审批。
 7.图形用户界面的人机交互方式：主视图为环保用电监测的主界面；点击主视图界面中“企业用电曲线”右上角的放大图标按钮，则如界面变化状态图1展示的企业用电曲线的负荷曲线放大状态界面；点击主视图界面中的“审核”按钮后点击左侧复选框选择监测点后，则如界面变化状态图2展示的待审核监测点的选择审核数据列表界面；点击主视图界面中的“审核”按钮后点击“已审核”选项，跳转至界面变化状态图3展示的异常审核的已审核监测点列表界面，在该界面中可点击&amp;nbsp;“全部状态”中的选项按钮筛选监测点状态；点击界面变化状态图3列表中已通过状态的监测点所在卡片，跳转至界面变化状态图4展示的治理设施详情界面；通过向上滑动界面变化状态图4界面，则如界面变化状态图5所示接续展示的治理设施详情界面；通过向上滑动界面变化状态图5界面，则如界面变化状态图6所示接续展示治理设施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</si>
  <si>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显示屏幕面板的环保用电监控图形用户界面</t>
  </si>
  <si>
    <t>CN115839987A</t>
  </si>
  <si>
    <t>本发明公开了一种运动行为分析、语音识别和汗水成分检测的设备及其制备方法和应用。本发明制备了导电材料(rGO、PG)修饰的水凝胶和发光材料鲁米诺修饰的水凝胶。rGO水凝胶作为运动监测单元的主要元件，实现了对跑步步幅和运动时长的评价，同时收集储存汗液。随后与鲁米诺水凝胶自发愈合形成双极电极，构成汗液成分检测单元，实现了对汗液中尿素、乳酸和氯离子的检测。凭借水凝胶优良的拉伸性、粘附性和应变传感性能，以及双极电化学发光传感平台的高灵敏性、稳定性和准确性等优势，该设备可提供物理运动行为和汗液生化指标的双重传感分析。本发明还探索了PG水凝胶在语音识别领域中的应用，验证了该多功能水凝胶的性能可塑性。</t>
  </si>
  <si>
    <t>一种分析运动幅度、语音识别和检测运动汗水成分的设备及其制备方法和应用</t>
  </si>
  <si>
    <t>CN308074372S</t>
  </si>
  <si>
    <t>1.本外观设计产品的名称：带智能场景选择图形用户界面的显示屏幕面板。2.本外观设计产品的用途：用于显示人机交互界面并供用户触控。显示屏幕面板的使用范围：用于台式电脑、智能手机、平板电脑、触控一体机、笔记本电脑、车载触屏电脑、智能家居管理机器人、智能手表、健身监视器、头戴式耳机、智能音箱、带屏机顶盒、智能电视、投影设备、激光电视。3.本外观设计产品的设计要点：在于图形用户界面。4.最能表明设计要点的图片或照片：主视图。5.图形用户界面的用途：图形用户界面用于供用户了解、设置智能场景。在主视图界面中通过遥控器/滑动/手势任何一种操作，将圆角矩形选框框住界面底部的“早安”按钮即进入变化状态图1的界面。在变化状态图1中通过遥控器/滑动/手势任何一种操作，将圆角矩形选框框住界面底部的“助眠”按钮即进入变化状态图2的界面。在变化状态图2界面中点击“助眠”按钮后即进入变化状态图3的界面。在变化状态图2界面中将圆角矩形选框框住界面底部的“冥想”按钮即进入变化状态图4的界面。在变化状态图4界面中点击“冥想”按钮后即进入变化状态图5的界面。在变化状态图4界面中将圆角矩形选框框住界面底部的“惊喜”按钮即进入变化状态图6的界面。在主视图界面中点选界面顶部的“氛围摄影”按钮即进入变化状态图7的界面。在主视图界面中点选界面顶部的“时光相册”按钮即进入变化状态图8的界面。在主视图界面中点选界面顶部的“魔幻宇宙”按钮即进入变化状态图9的界面。6.无设计要点，省略后视图、左视图、右视图、俯视图及仰视图。</t>
  </si>
  <si>
    <t>带智能场景选择图形用户界面的显示屏幕面板</t>
  </si>
  <si>
    <t>CN307706444S</t>
  </si>
  <si>
    <t>1.本外观设计产品的名称：显示屏幕面板的门户登录窗口自定义图形用户界面。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6.图形用户界面的用途：本图形用户界面用于门户登录窗口自定义。
 7、图形用户界面的人机交互方式：设计1至设计4主视图的图形用户界面为门户登录窗口自定义的界面，用户可以点击界面中间区域内的控件对门户登录窗口进行自定义，并可以在界面右侧区域对门户登录窗口进行预览。
 设计1至设计4的灰色色块为可替换的图片或视频。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
 9、显示屏幕面板为惯常设计，省略各项设计的后视图、左视图、右视图、俯视图、仰视图。</t>
  </si>
  <si>
    <t>显示屏幕面板的门户登录窗口自定义图形用户界面</t>
  </si>
  <si>
    <t>CN307926608S</t>
  </si>
  <si>
    <t>1.本外观设计产品的名称：显示屏幕面板的虚拟专用网络展示图形用户界面。
 2.本外观设计产品的用途：本外观设计产品用于显示图形用户界面。
 3.本外观设计产品的设计要点：在于图形用户界面。
 4.最能表明设计要点的图片或照片：主视图。
 5.图形用户界面的用途：本图形用户界面用于展示虚拟专用网络。
 6．图形用户界面的人机交互方式：主视图的图形用户界面为虚拟专用网络展示的界面，用户可以点击界面中间偏左侧的竖向排列的卡片查看相应的虚拟专用网络的信息，该竖向排列的卡片对应主视参考图的节点管理下面的竖向排列的卡片位置。
 界面中的灰色色块为可替换的图片或视频。
 界面中的叉号代表文字和/或数字和/或字母和/或符号。
 7．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
 8．显示屏幕面板为惯常设计，省略各项设计的后视图、左视图、右视图、俯视图、仰视图。</t>
  </si>
  <si>
    <t>显示屏幕面板的虚拟专用网络展示图形用户界面</t>
  </si>
  <si>
    <t>CN307996956S9</t>
  </si>
  <si>
    <t>1.本外观设计产品的名称：显示屏幕面板的触发和处置图形用户界面。2.本外观设计产品的用途：本外观设计产品用于显示图形用户界面。3.本外观设计产品的设计要点：在于图形用户界面。4.最能表明设计要点的图片或照片：主视图。5.图形用户界面的用途：本图形用户界面用于展示触发条件和处置策略。6.图形用户界面的人机交互方式：主视图的图形用户界面为触发条件和处置策略展示的界面，用户可以点击界面中部最右侧的控件编辑触发条件，该控件位置对应主视参考图的中部最右侧表达式后面的编辑控件位置。设计界面中的灰色色块为可替换的图片或视频。设计界面中的叉号代表文字和/或数字和/或字母和/或符号。7.该图形用户界面可用于手机、计算机、平板电脑、电视、车载中控屏幕、车载导航仪、游戏机、导航仪、多媒体一体机、智能音箱、带显示屏幕的智能健身镜、带显示屏幕的健身监视器、带显示屏幕的冰箱、带显示屏幕的空调、带显示屏幕的洗衣机、带显示屏幕的热水器、带显示屏幕的抽油烟机、带显示屏幕的洗碗机、带显示屏幕的集成灶、带显示屏幕的蒸烤箱、带显示屏幕的机器人、智能手环、智能手表、智能眼镜、智能耳机、智能台灯、带显示屏幕的门禁系统、广告显示屏、自动售卖机。8.显示屏幕面板为惯常设计，省略后视图、左视图、右视图、俯视图、仰视图。</t>
  </si>
  <si>
    <t>显示屏幕面板的触发和处置图形用户界面</t>
  </si>
  <si>
    <t>CN115393769A</t>
  </si>
  <si>
    <t>本发明涉及计算机视觉的视频处理技术领域，提供了一种基于群体运动信息的体育视频中流畅回合定位方法。该方法包括：获得当前视频的运动变化指标，并将所述运动变化指标作为群体运动信息，衡量体育视频中运动员的运动剧烈程度；根据所述运动变化指标定位出视频中的流畅回合，以达到分割体育视频的目的。本发明通过将视频中运动员跟踪结果采用矩阵形式表示，获得将流畅回合和非流畅回合表示为易于区分的特征；采用的流畅回合的定位方法，获得了分割体育视频理想的定位效果。</t>
  </si>
  <si>
    <t>一种基于群体运动信息的体育视频中流畅回合定位方法</t>
  </si>
  <si>
    <t>CN307698874S</t>
  </si>
  <si>
    <t>1.本外观设计产品的名称：显示屏幕面板的端计算管理系统图形用户界面。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6.图形用户界面的用途：用于端计算管理平台系统中纳管设备的管理。
 7.图形用户界面的人机交互方式：主视图为端计算管理平台系统的概览界面，包含菜单栏、设备状态模块、告警概览模块等导向信息；拖动主视图界面，则如界面变化状态图1接续展示的概览界面；点击选择主视图中菜单栏的设备管理模块下的“设备列表”选项，跳转至界面变化状态图2；点击选择主视图中菜单栏的设备管理模块下的“设备型号”选项，跳转至界面变化状态图3；点击选择主视图中菜单栏的设备管理模块下的“设备分组”选项，跳转至界面变化状态图4；点击选择主视图中菜单栏的设备管理模块下的“上线认证”选项，跳转至界面变化状态图5；点击选择主视图中菜单栏的设备管理模块下的“固件升级”选项，跳转至界面变化状态图6；点击选择主视图中菜单栏的设备管理模块下的“通用配置”选项，跳转至界面变化状态图7；点击主视图中菜单栏的网络管理模块，再选择网络管理模块下的“网络设置”选项，跳转至界面变化状态图8；点击选择界面变化状态图8菜单栏的网络管理模块下的“VPN”选项，跳转至界面变化状态图9；点击选择界面变化状态图8中菜单栏的网络管理模块下的“防火墙”选项，跳转至界面变化状态图10；点击选择界面变化状态图8中菜单栏的网络管理模块下的“网络监控”选项，跳转至界面变化状态图11；点击选择界面变化状态图8中菜单栏的网络管理模块下的“高级设置”选项，跳转至界面变化状态图12；点击主视图菜单栏中应用管理模块，并选择“快速入门”选项，跳转至界面变化状态图13；点击选择界面变化状态图13菜单栏中应用管理模块下的“我的镜像”选项，跳转至界面变化状态图14；点击选择界面变化状态图13菜单栏中应用管理模块下的“应用配置”选项，跳转至界面变化状态图15；点击选择界面变化状态图13菜单栏中应用管理模块下的“应用模板”选项，跳转至界面变化状态图16；点击选择界面变化状态图13菜单栏中应用管理模块下的“部署任务”选项，跳转至界面变化状态图17；点击选择界面变化状态图13菜单栏中应用管理模块下的“边缘应用”选项，跳转至界面变化状态图18；点击主视图菜单栏中运维管理模块，并选择运维管理模块下的“实时监控”选项，跳转至界面变化状态图19；点击选择界面变化状态图19菜单栏中运维管理模块下的“设备上下线”选项，跳转至界面变化状态图20；点击选择界面变化状态图19菜单栏中运维管理模块下的“设备运维”选项，跳转至界面变化状态图21；点击选择界面变化状态图19菜单栏中运维管理模块下的“实时告警”选项，跳转至界面变化状态图22；点击选择界面变化状态图19菜单栏中运维管理模块下的“历史告警”选项，跳转至界面变化状态图23；点击选择界面变化状态图19菜单栏中运维管理模块下的“告警规则”选项，跳转至界面变化状态图24；点击选择界面变化状态图19菜单栏中运维管理模块下的“告警通知”选项，跳转至界面变化状态图25；点击选择界面变化状态图19菜单栏中运维管理模块下的“告警转发”选项，跳转至界面变化状态图26；点击选择界面变化状态图19菜单栏中运维管理模块下的“操作日志”选项，跳转至界面变化状态图27；点击选择界面变化状态图19菜单栏中运维管理模块下的“运行日志”选项，跳转至界面变化状态图28；点击选择界面变化状态图19菜单栏中运维管理模块下的“应用状态事件”选项，跳转至界面变化状态图29；点击主视图菜单栏中系统管理模块，并选择系统管理模块下的“菜单管理”选项，跳转至界面变化状态图30；点击选择界面变化状态图30系统管理模块下的“用户管理”选项，跳转至界面变化状态图31；点击选择界面变化状态图30系统管理模块下的“角色管理”选项，跳转至界面变化状态图32；点击选择界面变化状态图30系统管理模块下的“用户组管理”选项，跳转至界面变化状态图33；点击选择界面变化状态图30系统管理模块下的“系统配置”选项，跳转至界面变化状态图34；点击选择界面变化状态图30系统管理模块下的“字典管理”选项，跳转至界面变化状态图35；点击主视图菜单栏中的帮助中心模块，跳转至界面变化状态图36。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</si>
  <si>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显示屏幕面板的端计算管理系统图形用户界面</t>
  </si>
  <si>
    <t>CN307713397S</t>
  </si>
  <si>
    <t>1.本外观设计产品的名称：显示屏幕面板的网络管理系统图形用户界面。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6.图形用户界面的用途：用于5G专网管理系统中核心网网元、基站网元的运行状态概览，以及对网络进行相应的配置管理、开户管理、告警管理、性能管理、拓扑管理、维护管理、日志管理、系统管理。
 7.图形用户界面的人机交互方式：主视图为5G专网管理系统的主界面，包含菜单栏、核心网网元概览模块、基站网元概览模块、核心网告警概览模块、基站告警概览模块等信息；点击主视图菜单栏中的配置管理模块，再点击配置管理模块下的“核心网网元管理”选项，跳转至界面变化状态图1展示的PCF网元信息界面；点击界面变化状态图1右上角的“配置”按钮，跳转至界面变化状态图2展示的网元配置信息界面；点击界面变化状态图1中的UPF单元后，再点击UPF单元所在页面右上角的“CMD”选项，跳转至界面变化状态图3展示的UPF单元中的CMD配置页面信息；点击界面变化状态图1‑3中任一菜单栏配置管理模块下的“基站网元管理”选项，跳转至界面变化状态图4展示的基站详情界面；点击界面变化状态图4右上角的“配置”按钮，跳转至界面变化状态图5展示的基站配置管理界面；点击界面变化状态图1‑5中任一菜单栏配置管理模块下的“开户管理”选项，跳转至界面变化状态图6展示的开户管理界面；点击主视图、界面变化状态图1‑6中任一菜单栏中告警管理模块并选择“活动告警”选项，跳转至界面变化状态图7展示的活动告警详情界面；点击界面变化状态图7菜单栏中告警管理模块下的“告警统计”选项，跳转至界面变化状态图8展示的告警统计信息详情界面；点击主视图、界面变化状态图1‑7中任一菜单栏中的拓扑管理模块，跳转至界面变化状态图9展示的网络监控视图拓扑图；点击主视图、界面变化状态图1‑9中任一菜单栏中的性能管理模块并选择“性能任务”选项，跳转至界面变化状态图10展示的性能任务信息详情界面；点击界面变化状态图10菜单栏中性能管理模块下的“性能指标”选项，跳转至界面变化状态图11展示的性能指标详情界面；点击主视图、界面变化状态图1‑11中任一菜单栏中维护管理模块并选择“信令跟踪”选项，跳转至界面变化状态图12展示的任务详情界面；点击界面变化状态图12菜单栏中维护管理模块下的“网元日志”选项，跳转至界面变化状态图13展示的网元日志详情界面；点击界面变化状态图12‑13任一菜单栏中维护管理模块下的“license管理”选项，跳转至界面变化状态图14展示的license管理详情界面；点击主视图、界面变化状态图1‑14中任一菜单栏中日志管理模块并选择“操作日志”选项，跳转至界面变化状态图15展示的操作日志详情界面；点击界面变化状态图15菜单栏中日志管理模块下的“日志配置”选项，跳转至界面变化状态图16展示的日志文件设置界面；点击主视图、界面变化状态图1‑16任一菜单栏中的系统管理模块并选择“角色管理”选项，跳转至界面变化状态图17展示的角色列表详情信息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</si>
  <si>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显示屏幕面板的网络管理系统图形用户界面</t>
  </si>
  <si>
    <t>IN202241049117A</t>
  </si>
  <si>
    <t>在全球范围内,每个女孩和女性心中的首要问题是她的安全和骚扰问题。 困扰每个女孩的唯一想法是,即使在业余时间,她们也能在街上自由行动,而不用担心自己的安全。 在犯罪最严重的国家中,印度在各种形式的性剥削方面有着令人憎恶的记录。 在家中、街道、公共交通工具甚至办公室。 印度妇女时刻保持警惕,就像一个处于恐怖分子警戒状态的国家。 发生了*幼童、轮奸八岁儿童和拐卖妇女的离奇案件。 我们创造了一个女性正在学习应对生存焦虑的国家,我们应该感到羞耻。 许多非政府组织、康复中心和求助热线在过去几年已经投入运营,但它们都是对已经发生的骚扰的治疗,而不是我们需要的“预防”。 我们的目标是让女性感觉一如既往地坚强,坚强到足以对抗我们社会的寄生虫,坚强到足以战胜困难,坚强到足以保护自己免受任何性侵犯。 我们的目标是将权力赋予那些没有他们我们将不复存在的人。 根据国家犯罪记录局的数据,印度的*案总数达到了惊人的 228650 起,而德里,国家首都占其中的 5234 起,根据内政部,2011 年共报告了 24193 起案件。 与男性相比,女性拥有很多优势和技能,这也是女性在教育、体育、国防、行政、政治等各个领域大放异彩的原因。由于社会上的不安全感,女性无法 向我们的国家展示他们的才华。 为了保护学校、大学生、职业妇女等的安全,考虑了本发明。 我们的想法是设计一个系统,让女性在每个地方和每个小时都更加安全。 本发明提出了一种保护女性的新技术。 该项目侧重于为女性提供安全保障,让她们永远不会感到无助。 在本发明中,我们将介绍可穿戴设备,以保护女性的安全。 系统由传感器、GSM、GPS、存储卡、震动电路、蜂鸣器、摄像头、树莓派pi-3模块等各个模块组成。 连接到应用程序的系统的输出并被记录下来。</t>
  </si>
  <si>
    <t>使用人工智能保护女性安全的智能可穿戴设备</t>
  </si>
  <si>
    <t>CN307681002S</t>
  </si>
  <si>
    <t>1.本外观设计产品的名称：显示屏幕面板的网元运行状态管理图形用户界面。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6.图形用户界面的用途：用于5GC控制网元性能及链路状态监控、配置管理、告警管理、日志管理。
 7.图形用户界面的人机交互方式：主视图为5GC网元运行状态管理的主界面，点击主视图左侧菜单栏概述下的“部署”子模块，点击“部署”下的“拓扑”子模块，跳转至界面变化状态图1展示的拓扑界面；点击主视图、界面变化状态图1中任一菜单栏中的“状态”模块，跳转至界面变化状态图2；点击主视图、界面变化状态图1‑2任一菜单栏中的“监控”模块，跳转至界面变化状态图3；点击主视图、界面变化状态图1‑3任一菜单栏中的“系统日志”模块，跳转至界面变化状态图4展示的信息详情界面；点击主视图、界面变化状态图1‑4任一菜单栏中的“告警”模块，跳转至界面变化状态图5展示的活动告警界面；点击主视图、界面变化状态图1‑5任一菜单栏中“配置”模块下的“模板”子模块，跳转至界面变化状态图6。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</si>
  <si>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显示屏幕面板的网元运行状态管理图形用户界面</t>
  </si>
  <si>
    <t>CN307874791S</t>
  </si>
  <si>
    <t>1.本外观设计产品的名称：带园区服务图形用户界面的显示屏幕面板。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6.图形用户界面的用途：界面用于园区/社区生活服务浏览、打卡通行与企业认证管理的用途。
 7.图形用户界面的人机交互方式：在主视图中，界面展示了与园区生活服务内容相关的模块布局，用户可以点击任意模块中的可操作控件执行更多操作。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</si>
  <si>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带园区服务图形用户界面的显示屏幕面板</t>
  </si>
  <si>
    <t>CN307874797S</t>
  </si>
  <si>
    <t>1.本外观设计产品的名称：显示屏幕面板的融合定位平台图形用户界面。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6.图形用户界面的用途：用于显示标签的不同位置服务功能。
 7.图形用户界面的人机交互方式：主视图为高精融合定位平台的前台主界面，主界面包含菜单栏、平台概览、定位终端、行业场景统计、租户分布等模块；点击主视图菜单栏模块中的“定位地图”选项，跳转至界面变化状态图1展示的定位地图界面，在该界面中能够通过输入标签编号或标签名称来查看地图信息；点击主视图、界面变化状态图1任一菜单栏模块中的“告警明细”选项，跳转至界面变化状态图2展示的告警明细界面，该界面包含“电子围栏名称”、“管控规则”、“告警区域”、“告警标签”、“告警对象名称”、“告警时间”、“所属租户”等信息；点击主视图、界面变化状态图1‑2任一界面中的“进入驾驶舱”按钮，跳转至界面变化状态图3；点击界面变化状态图3菜单栏模块中的“地图管理”选项下方的“地点管理”按钮跳转至界面变化状态图4展示的地点管理界面；点击界面变化状态图3、界面变化状态图4中任一菜单栏模块中的“围栏管理”选项并选择点击“围栏绘制”按钮，跳转至界面变化状态图5展示的围栏绘制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</si>
  <si>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显示屏幕面板的融合定位平台图形用户界面</t>
  </si>
  <si>
    <t>IN202241049068A</t>
  </si>
  <si>
    <t>本文公开了一种使用基于人工智能的预测工具评估在线教育或技能培训网络的方法和系统。 所提出的系统包括第一交互工具(102); 第二交互工具(202); 监控云服务器(300)集成在在线教育方案或技能培训网络(1000)中。 第一交互工具(102)安装在第一用户设备(100)中以供参与在线教育计划或技能培训网络(1000)的教师访问。 第二交互工具(202)安装在第二用户设备(200)中以供参与在线教育计划或技能培训网络(1000)的学生访问。 监管云服务器(300)以无线通信方式耦合在第一用户设备(100)和第二用户设备(200)之间。 基于人工智能的预测模块 (302) 嵌入在主管云服务器 (300) 中,配置为:检查与在线教育方案或技能培训网络 (1000) 的一个会话期间教授的每门课程相关联的一个或多个教学大纲代码的状态 ); 将检查的状态与一组预定义的教育/培训参数进行比较; 在每门课程的比赛后评估学生/教师的各种表现水平/分数; 根据评估的绩效水平/分数输出结果表; 展示在线教育或技能培训网络的一项或多项改进建议。</t>
  </si>
  <si>
    <t>一种利用人工智能改进在线教育系统和教育技能教学评价系统的创新方法</t>
  </si>
  <si>
    <t>CN115131409B</t>
  </si>
  <si>
    <t>本发明公开了一种基于深度学习的亲密矩阵视点合成方法、应用及系统，涉及深度学习领域。本发明包括以下步骤：获取相邻两帧的数据对，将相邻两帧的数据对向参考帧对齐，得到边缘图像，并根据有效区域生成掩膜；利用双向光流网络相邻两帧的数据对的光流结果，根据光流结果推断帧间的遮挡区域；将边缘图像、掩膜以及光流结果归一化，输入到亲密矩阵网络；利用亲密矩阵网络和微调光流多次迭代结合合成全帧视点在RGB颜色空间图像。本发明吸取并融合传统算法和深度学习的优势，在日常视差，跑步，快速旋转和人群场景中可以提供优秀的视频稳像效果，并尽最大可能去保持高稳定性，降低截屏比和低扭曲变形的高质量视频。</t>
  </si>
  <si>
    <t>一种基于深度学习的亲密矩阵视点合成方法、应用及系统</t>
  </si>
  <si>
    <t>WO2023026256A2</t>
  </si>
  <si>
    <t>一种方法可能包括从一个或多个活动传感器中获取传感器数据,每个活动传感器都耦合到运动用户相应的区域。该方法可能包括获取运动用户的图像数据以及与体育用户相连的每个活动传感器。该方法可以包括通过机器学习模块并基于传感器数据和图像数据来识别与活动传感器相关的每个区域相关的肌肉。该方法可能包括根据活动传感器和已确定的身体部位的传感器数据识别运动用户的运动。该方法可能包括分析体育用户的确定运动,包括评估运动用户的身体姿势,识别运动用户的一种或多种运动模式以及/或对体育用户进行伤害评估。</t>
  </si>
  <si>
    <t>活动传感器智能分析自动分组</t>
  </si>
  <si>
    <t>KR1020230059133A</t>
  </si>
  <si>
    <t>公开了一种虚拟训练系统和方法。 该系统包括二维 (2D) 和三维 (3D) 图像传感器、生物特征数据传感器、处理器和输出设备。 2D图像传感器感测用户的2D图像,而3D图像传感器感测包括用户移动的3D图像。 生物数据传感器检测用户的至少一种生物特征。 处理器在会话期间实时生成与用户运动相比标准形式运动相关的反馈信息,标准形式运动可以是运动运动、舞蹈运动、武术运动或物理治疗运动。 反馈由输出设备提供,作为由 2D 图像传感器和 3D 图像传感器中的至少一个捕获的用户图像叠加在表示标准形式运动的指导者化身上。</t>
  </si>
  <si>
    <t>移动和物联网设备上的虚拟教练</t>
  </si>
  <si>
    <t>CN308095975S</t>
  </si>
  <si>
    <t>1.本外观设计产品的名称：带有遥控功能图形用户界面的显示屏幕面板。;2.本外观设计产品的用途：用于交互和显示。;3.本外观设计产品的设计要点：在于图形用户界面的内容。;4.最能表明设计要点的图片或照片：主视图。;5.其他视图无设计要点，省略其他视图。;6.图形用户界面的用途：用于通过遥控器屏幕来控制智能电器。;7.图形用户界面的人机交互方式：主视图为遥控智能电器的主界面，主界面设置在顶部的开关按钮以及设置在主界面中的功能区，通过开关按钮，可切换智能电器的开关机状态；功能区设置“0‑2岁模式”、“3‑6岁模式”、“7‑12岁模式”等不通同模式的控制模块，通过触动每个控制模块中的“制冷”、“制热”、“除湿”等按钮来调节功能模式，通过触动每个控制模块中的“△”按钮，可向上调节温度，通过触动每个控制模块中的“▽”按钮，可向下调节温度。;8.显示用的载体设备为现有设计，该显示屏幕面板可以应用于计算机、笔记本电脑、平板电脑、手机、智能手机、智能手环、智能眼镜、手表、智能手表、健身监视器、头戴式耳机、个人数字助理、智能音箱、电视。;1.本外观设计产品的名称：带有遥控功能图形用户界面的显示屏幕面板。;2.本外观设计产品的用途：用于交互和显示。;3.本外观设计产品的设计要点：在于图形用户界面的内容。;4.最能表明设计要点的图片或照片：主视图。;5.其他视图无设计要点，省略其他视图。;6.图形用户界面的用途：用于通过遥控器屏幕来控制智能电器。;7.图形用户界面的人机交互方式：主视图为遥控智能电器的主界面，主界面设置在顶部的开关按钮以及设置在主界面中的功能区，通过开关按钮，可切换智能电器的开关机状态；功能区设置“0‑2岁模式”、“3‑6岁模式”、“7‑12岁模式”等不通同模式的控制模块，通过触动每个控制模块中的“制冷”、“制热”、“除湿”等按钮来调节功能模式，通过触动每个控制模块中的“△”按钮，可向上调节温度，通过触动每个控制模块中的“▽”按钮，可向下调节温度。;8.显示用的载体设备为现有设计，该显示屏幕面板可以应用于计算机、笔记本电脑、平板电脑、手机、智能手机、智能手环、智能眼镜、手表、智能手表、健身监视器、头戴式耳机、个人数字助理、智能音箱、电视。</t>
  </si>
  <si>
    <t>带有遥控功能图形用户界面的显示屏幕面板</t>
  </si>
  <si>
    <t>CN308204200S</t>
  </si>
  <si>
    <t>1.本外观设计产品的名称：带天气预报图形用户界面的显示屏幕面板。
 2.本外观设计产品的用途：用于显示图形用户界面，该显示屏幕面板例如用于计算机、笔记本电脑、平板电脑、手机、智能手机、智能手环、智能眼镜、手表、智能手表、健身监视器、头戴式耳机、个人数字助理、智能音箱、电视、监视器、投影仪、机顶盒、游戏机、导航仪、用于车辆的显示屏。
 3.本外观设计产品的设计要点：在于显示屏幕面板中展示图形用户界面的内容和布局。
 4.最能表明设计要点的图片或照片：设计1主视图。
 5.指定设计1为基本设计。
 6.图形用户界面的用途：本图形用户界面用于根据所设定的地点来显示在当前时间和一定时间之后的天气情况，同时根据不同的天气情况显示对应的几何图形和主题，根据图形特点让用户轻松辨别当前天气状态。
 用户可以通过点击呼出对应天气音效和动态变化，通过滑动切换不同天气状态进行人机交互。
 视图中的X或x或文字属于可变内容。
 其中：设计1主视图至设计10主视图分别对应于晴天、多云、阴天、雾天、雾霾、沙尘暴、雪天、雨天、夜晚晴天以及雷暴时的图形用户界面，而设计1主视图参考图至设计10主视图参考图为对应设计的具体应用示例。
 当用户点击设计1主视图的天气几何图形时，进入设计1界面变化状态图1，其中几何图形发生了位移并且颜色也有变化，必要时同时可以发出对应天气的音效，在一定时间后或通过再次点击来回到设计1主视图；设计1界面变化状态1参考图也可以类似地进行解读。
 当用户从设计1主视图进行滑动（例如左滑）时，进入设计1界面变化状态图2，其中，地址下方的亮点的点亮位置发生了变化，此处为中间点亮，表示切换到了第二个地点。
 当用户再次进行相同方向的滑动时，则进入到设计1界面变化状态图3，其中，地址下方的亮点的点亮位置为右侧，表示此时界面针对的是第三个地址的天气情况。
 当用户从设计1界面变化状态图3反向滑动时（例如右滑），则会依次进入设计1界面变化状态图2和设计1主视图。
 设计1界面变化状态2参考图和设计1界面变化状态3参考图也可以类似地进行理解。
 7.其他需要说明的情形其他说明：由于本外观设计要求保护图形用户界面，且显示屏幕面板为惯常设计，故省略后视图、左视图、右视图、俯视图和仰视图。</t>
  </si>
  <si>
    <t>带天气预报图形用户界面的显示屏幕面板</t>
  </si>
  <si>
    <t>US20230065776A1</t>
  </si>
  <si>
    <t>根据一些实施例,本文公开了一种有助于响应与体育赛事相关联的查询的方法。 因此,该方法包括从用户设备接收与体育赛事相关联的查询,使用自然语言处理(NLP)模型分析查询,识别与查询相关联的意图以及基于对 查询,基于意图和参数为查询生成数据库查询,基于指示检索与体育赛事相关联的数据库,基于数据库查询在数据库中执行搜索,为搜索生成搜索结果 基于执行,使用基于搜索结果和查询的自然语言生成(NLG)模型为查询生成响应,并将响应发送到用户设备。</t>
  </si>
  <si>
    <t>用于促进响应与体育赛事相关联的查询的方法和系统</t>
  </si>
  <si>
    <t>IN202211047996A</t>
  </si>
  <si>
    <t>公开了一种健身管理系统(100)。 健身管理系统(100)包括具有卡路里目标模块(110)的基础模块(106),该卡路里目标模块(110)被配置为确定用户所需的总目标卡路里; 卡路里摄入模块(112),被配置为确定用户的总卡路里摄入量; 卡路里消耗模块(114),被配置为确定用户消耗的总卡路里; 以及与卡路里摄入模块、卡路里燃烧模块和卡路里目标模块(110)通信耦合的人工智能和机器学习(AI/ML)模块(120)。 AI/ML模块(118)被配置为至少基于用户在预定义时间期间的总卡路里摄入量和燃烧的总卡路里来确定结果,并且至少基于在预定义时间期间确定的结果生成一个或多个推荐。 预定义的时间。</t>
  </si>
  <si>
    <t>一种健身管理系统及其方法</t>
  </si>
  <si>
    <t>CN115366122A</t>
  </si>
  <si>
    <t>本发明提出了一种应用于运动场馆内的自助服务机器人，包括AGV无人车底盘，AGV无人车底盘上设置于储货舱，储货舱设置有可开启的舱门，储货舱内放置有可售卖的货品；还包括信息采集模块和人机交互模块；信息采集模块，用于对所述机器人所在运动场管内的环境进行监控，在监控到需要购物服务的情况时，调动机器人移动至服务对象附近；人机交互模块，用于运动场管内的服务对象与所述机器人进行人机交互，为服务对象提供货品选购和支付服务；解决了现有技术中，运动员在运动场馆内，需要远离所在的运动场所，才能购买到饮用水或药品的问题。</t>
  </si>
  <si>
    <t>一种应用于运动场馆内的自助服务机器人及工作方法</t>
  </si>
  <si>
    <t>CN218179937U</t>
  </si>
  <si>
    <t>本实用新型公开了一种冰鞋倾角智能识别系统，属于物联网领域。该装置包含冰鞋、电子标签、射频读写模块、六轴传感器、通信模块、计算单元，其中，冰鞋由鞋体和冰刀两部分构成，其特征在于：所述的电子标签呈直线贴与冰鞋的冰刀上；所述的射频读写模块固定安装在运动场中；所述的六轴传感器和通信模块一一对应连接，并分别安装在两只冰鞋的鞋体上；所述的计算单元为计算机，与射频读写模块通过通信进行连接，同时还与通信模块相连。本实用新型利用三边定位的射频读写装置和六轴陀螺仪，能够实现对冰刀倾角的准确计算以及辅助滑冰运动员准确、高效的训练，还可以通过边缘计算去中心化的实现计算。</t>
  </si>
  <si>
    <t>一种冰鞋倾角智能识别系统</t>
  </si>
  <si>
    <t>CN307790970S</t>
  </si>
  <si>
    <t>1.本外观设计产品的名称：用于手机的运动健身应用程序的图形用户界面。
 2.本外观设计产品的用途：为用户提供不同场景模式进行训练放松。
 3.本外观设计产品的设计要点：在于图形用户界面的内容。
 4.最能表明设计要点的图片或照片：变化状态图1。
 5.手机为惯常设计，省略后视图、左视图、右视图、俯视图、仰视图。
 6.图形用户界面的用途：本图形用户界面为应用软件的操作界面，界面用于人机交互。
 7.图形用户界面的人机交互方式：登录主视图后调转至变化状态图1；点击变化状态图1中去添加设备按钮，调转至变化状态图2，在设备开启状态，进行设备搜索添加，搜索失败可点击变化状态图2底部手动添加按钮，调转至变化状态图3，可选择对应产品进行添加，添加完成页面将调转至变化状态图1。
 变化状态图1底部标签栏中包括商城、方案、发现、我的按钮，点击各按钮，页面将调转至变化状态图4、5、6、7、8。
 灰色图块为内容画面。</t>
  </si>
  <si>
    <t>用于手机的运动健身应用程序的图形用户界面</t>
  </si>
  <si>
    <t>CN307811177S</t>
  </si>
  <si>
    <t>1.本外观设计产品的名称：用于管理员系统图形用户界面的显示屏幕面板（力诺健身）。
 2.本外观设计产品的用途：用于运行程序。
 3.本外观设计产品的设计要点：在于显示的图形用户界面的界面内容。
 4.最能表明设计要点的图片或照片：主视图。
 5.惯常设计，省略后视图、左右视图、俯仰视图。
 6.图形用户界面的用途：图形用户界面为健身管理员系统的交互界面，用于登录后对于程序界面的设置及使用。
 7.图形用户界面在产品中的区域：显示屏幕面板，该显示屏幕面板用于电脑。
 8.图形用户界面的人机交互方式：键盘输入文字内容或鼠标点击屏幕。
 9.图形用户界面的变化状态说明：程序启动后进入主视图；主视图中输入账号和密码后点击“登录”进入界面变化状态图1；界面变化状态图1依次点击：“课程管理”、“资讯管理”、“用户管理”、“打卡数据”，展开所有模块进入界面变化状态图2；界面变化状态图2中点击“添加课程”进入界面变化状态图3；界面变化状态图3中点击“选择分类”进入界面变化状态图4；界面变化状态图4中点击“确认添加”进入界面变化状态图5；界面变化状态图2中点击“课程列表”进入界面变化状态图6；界面变化状态图6中点击“编辑”进入”界面变化状态图7；界面变化状态图7中点击“确定修改”进入界面变化状态图8；界面变化状态图6中点击“删除”进入界面变化状态图9；界面变化状态图9中点击“确定”进入界面变化状态图10；界面变化状态图2中点击“添加资讯”进入界面变化状态图11；界面变化状态图2中点击“资讯列表”进入界面变化状态图12；界面变化状态图12中点击右上角“筛选”图标进入界面变化状态图13；界面变化状态图12中点击“删除”进入界面变化状态图14；界面变化状态图12中点击右上角“打印”图标进入界面变化状态图15；界面变化状态图12中点击右上角“导出”图标进入界面变化状态图16；界面变化状态图2中点击“系统用户”进入界面变化状态图17；界面变化状态图2中点击“打卡记录”进入界面变化状态图18。
 10.界面变化状态图12‑16中涂覆部分为内容画面。</t>
  </si>
  <si>
    <t>用于管理员系统图形用户界面的显示屏幕面板（力诺健身）</t>
  </si>
  <si>
    <t>WO2023053151A1</t>
  </si>
  <si>
    <t>不同领域的体育比赛的裁判根据相关的国际规则以不同的方式进行,通常由多名裁判员进行。 如今,由于科技的进步,比赛的裁判往往已经先进,智能设备也被取代。 现在,裁判只通过系统裁判来宣布结果。 在各种比赛中,运动员可能会在身体或衣服上安装一系列传感器,根据运动员的动作,将数据传输到裁判系统进行裁判。 在浮石跆拳道比赛领域,我们不具备这样的条件。 在浮石比赛中,表演动作的角度非常重要,而这些角度目前还没有被智能系统识别和判断。 在这个方案中,我们将Pumice的评判系统进行了智能化。 我们使用了一系列可穿戴传感器,将所需角度的数据传输到裁判系统,裁判可以看到。</t>
  </si>
  <si>
    <t>基于人工智能的跆拳道比赛技术识别判罚系统</t>
  </si>
  <si>
    <t>CN307987016S</t>
  </si>
  <si>
    <t>1.本外观设计产品的名称：用于用户系统图形用户界面的显示屏幕面板（力诺健身）。
 2.本外观设计产品的用途：用于运行程序。
 3.本外观设计产品的设计要点：在于显示的图形用户界面的界面内容。
 4.最能表明设计要点的图片或照片：主视图。
 5.惯常设计，省略后视图、左右视图、俯仰视图。
 6.图形用户界面的用途：图形用户界面为健身用户系统的交互界面，用于登录后对于程序界面的设置及使用。
 7.图形用户界面在产品中的区域：显示屏幕面板，该显示屏幕面板用于手机、电脑。
 8.图形用户界面的人机交互方式：手指及鼠标点击屏幕或手指触摸屏幕。
 9.图形用户界面的变化状态说明：程序启动后进入主视图；“主视图”中点击“新用户”进入界面变化状态图1；“主视图“中输入手机号和密码点击“登录”进入“界面变化状态图2；界面变化状态图2中点击“任意课程条”进入界面变化状态图3；界面变化状态图3点击“加号”进入界面变化状态图4；界面变化状态图2中点击“资讯”进入界面变化状态图5；界面变化状态图2中点击”我的“进入界面变化状态图6；界面变化状态图6中点击“我的课程”进入界面变化状态图7；界面变化状态图7点击“任意课程条”进入界面变化状态图8；界面变化状态图8点击右下角“人型图标”进入界面变化状态图9；界面变化状态图6点击”图表数据”，进入界面变化状态图10。</t>
  </si>
  <si>
    <t>用于用户系统图形用户界面的显示屏幕面板（力诺健身）</t>
  </si>
  <si>
    <t>CN308059193S</t>
  </si>
  <si>
    <t>1.本外观设计产品的名称：显示屏幕面板的模板选择图形用户界面。2.本外观设计产品的用途：用于显示图形用户界面。3.本外观设计产品的设计要点：在于图形用户界面。4.最能表明设计要点的图片或照片：设计1主视图。5.指定设计1为基本设计。6.图形用户界面的用途：用于显示屏幕面板上多媒体信息处理过程中主题模板的选择。7.图形用户界面的人机交互方式：设计1至设计9主视图的图形用户界面为多媒体信息处理过程中主题模板选择的界面，用户通过选择界面中的模板进行预览，设计界面中的灰色色块为可替换的图片或视频。设计界面中的X代表文字和/或数字和/或字母和/或符号。8.其他需要说明的情形其他说明：该图形用户界面可用于手机、计算机、平板电脑、智能电视、车载中控屏幕、多媒体一体机、电子记事本、智能音箱、投影仪、游戏机、导航仪、智能手表、智能手环、智能台灯、带屏幕的冰箱、带屏幕的抽油烟机、带屏幕的空调、智能健身镜、带屏幕的消毒柜、带屏幕的洗碗机、带屏幕的烤箱。</t>
  </si>
  <si>
    <t>显示屏幕面板的模板选择图形用户界面</t>
  </si>
  <si>
    <t>CN115346393A</t>
  </si>
  <si>
    <t>本发明涉及智能泊车系统技术领域，具体地说，涉及一种智能交通用智慧泊车调度方法，包括S10车辆停靠，S20人机交互，S30泊车机器人识别，S40泊车机器人定位运输一，S50扫码远程调控，S60泊车机器人定位运输二，S70停车区取车，步骤S10中车辆停靠具体操作步骤如下：首先车主将自己的车辆行驶至停车区的对应位置处，停车区上设置有数字标记从1至20的20个停车位，停车区上的每个停车位部位均标记有与对应停车位信息对应的二维码，每个二维码对应停车区内的从1至20个车位，车主将车辆停放在停车区内规定的1至20个停车位中的一个，完成车辆停靠操作。本发明利于进行泊车操作，节省时间，给大众带来便利。</t>
  </si>
  <si>
    <t>一种智能交通用智慧泊车调度方法</t>
  </si>
  <si>
    <t>CN115392517A</t>
  </si>
  <si>
    <t>本发明公开了一种基于物联网的可视化运动场预约系统，具体涉及体育器材管理技术领域，包括用户终端，所述用户终端的输出端连接有物联网服务器，在物联网服务器的通信输出端安装有中央处理器，且中央处理器输出端设有用于储存各个运动场馆VR视频的数据库。本发明采用可视化预约模块可以通过语音输入单元进行语音识别输入，在场馆中部，两侧面运行移动，体验到不同方位的场馆视角，这样可以预先在数据库中，这样人员在查看时，可以直接下载体验即使遇到多个用户一起使用也不会造成服务器崩溃，运行稳定性更好，同时VR可视化，这样人员可以体验不同的视角，方便客户身临其境体验效果更好，提高预约成功率。</t>
  </si>
  <si>
    <t>一种基于物联网的可视化运动场预约系统</t>
  </si>
  <si>
    <t>CN307978983S</t>
  </si>
  <si>
    <t>1.本外观设计产品的名称：显示屏幕面板的基站状态信息展示图形用户界面。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6.图形用户界面的用途：用于监控5G小基站运行状态。
 7.图形用户界面的人机交互方式：主视图为基站状态信息展示的主界面，点击主视图左侧菜单栏中的“平台表”、“GNB配置”、“CEL配置”、“维护”、“调试”选项按钮获取基站对应界面信息。
 8.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</si>
  <si>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显示屏幕面板的基站状态信息展示图形用户界面</t>
  </si>
  <si>
    <t>CN308006490S</t>
  </si>
  <si>
    <t>1.本外观设计产品的名称：显示屏幕面板的智慧住建监管保障系统图形用户界面。
 2.本外观设计产品的用途：用于交互和显示。
 3.本外观设计产品的设计要点：在于图形用户界面。
 4.最能表明设计要点的图片或照片：界面变化状态图3。
 5.图形用户界面的用途：用于项目总体施工和投资进度的监管。
 6.图形用户界面的人机交互方式：主视图为用户登录之后展示的项目总体施工计划及进度变更的主界面；通过拖动主视图中的滚动条或滚动鼠标滚轮等，则如界面变化状态图1所示界面；通过拖动界面变化状态图1中的滚动条或滚动鼠标滚轮等，则如界面变化状态图2所示界面，点击界面下方的“提交”按钮完成总体施工计划项目的申报；项目申报完成之后，用户登录，则如界面变化状态图3所示界面；通过拖动界面变化状态图3中的滚动条或滚动鼠标等，则如界面变化状态图4所示界面；通过拖动界面变化状态图4中的滚动条或滚动鼠标等，则如界面变化状态图5所示界面；点击界面变化状态图5下方的“退回”按钮，则跳转至界面变化状态图6所示界面；通过拖动界面变化状态图6中的滚动条或滚动鼠标等，则如界面变化状态图7所示界面；通过拖动界面变化状态图7中的滚动条或滚动鼠标等，则如界面变化状态图8所示界面；点击界面变化状态图6中的“修改记录”按钮，跳转至界面变化状态图9；点击主视图、界面变化状态图1‑2、界面变化状态图6‑7任一界面中项目申报计划列表右侧的“修改”按钮，跳转至界面变化状态图10；点击界面变化状态图10中的“确定”按钮，则如界面变化状态图11所示界面；审批通过后，用户登录，则如界面变化状态图12所示界面；通过拖动界面变化状态图12中的滚动条或滚动鼠标等，则如界面变化状态图13所示界面；点击界面变化状态图13中的“提交”按钮，跳转至界面变化状态图14；通过拖动界面变化状态图14中的滚动条或滚动鼠标等，则如界面变化状态图15所示界面；点击界面变化状态图13中每月完成情况信息右侧的“查看已完成情况”按钮，跳转至界面变化状态图16。
 7.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机顶盒、导航仪。</t>
  </si>
  <si>
    <t>显示屏幕面板的智慧住建监管保障系统图形用户界面</t>
  </si>
  <si>
    <t>US11790386B2</t>
  </si>
  <si>
    <t>票证交换服务器被配置为确定为事件分发的票证的数量。 门票交换服务器访问体育场的训练数据,该训练数据描述了历史赛事的出席情况、运动队的历史对手以及运动队的历史胜/负记录。 票务交换服务器训练机器学习模型,该机器学习模型被配置为基于运动队在未来活动中的对手以及运动队当前或预测的获胜/失败记录来预测体育场中未来活动的出席率。 票务交换服务器为运动队选择与对手对抗的赛事,并使用机器学习模型确定预测的出席人数。 票务交换服务器基于预测的出席人数识别出大于体育场容量的可用门票数量,并将该数量的门票分发给潜在的出席者。</t>
  </si>
  <si>
    <t>用于门票分配的机器学习出席人数预测</t>
  </si>
  <si>
    <t>CN307804474S</t>
  </si>
  <si>
    <t>1.本外观设计产品的名称：带操作控制的图形用户界面的显示屏幕面板。
 2.本外观设计产品的用途：本外观设计产品用于显示信息、运行程序，该显示屏幕面板用于计算机、笔记本电脑、平板电脑、手机、智能手机、可穿戴设备、智能眼镜、虚拟现实眼镜、增强现实眼镜、混合现实眼镜、手表、智能手表、健身监视器、头戴式耳机、智能音箱、电视、机顶盒。
 3.本外观设计产品的设计要点：在于屏幕中的图形用户界面内容，显示屏幕面板为现有设计，界面中的“文字内容”仅用于指明内容区域，文字本身并非本外观设计的保护内容。
 4.最能表明设计要点的图片或照片：设计4界面变化状态图1。
 5.省略视图：产品硬件部分为常规设计，省略设计1‑设计4后视图、左视图、右视图、俯视图以及仰视图。
 6.指定设计4为基本设计。
 7.图形用户界面的用途：本外观设计产品的界面用于操作控制应用的界面。
 8.图形用户界面的人机交互方式：点击设计1主视图界面上方向下箭头按钮可进入设计1界面变化状态图，点击设计2主视图界面上方向下箭头按钮可进入设计2界面变化状态图1，点击设计2界面变化状态图1“录屏”按钮可进入设计2界面变化状态图2，点击设计3主视图界面上方向下箭头按钮可进入设计3界面变化状态图，点击设计4主视图界面上方向下箭头按钮可进入设计4界面变化状态图1，点击设计4界面变化状态图1“录屏”按钮可进入设计4界面变化状态图2。</t>
  </si>
  <si>
    <t>带操作控制的图形用户界面的显示屏幕面板</t>
  </si>
  <si>
    <t>US20230056531A1</t>
  </si>
  <si>
    <t>计算系统接收游戏的视频流。 计算系统使用一个或多个人工智能模型生成对应于视频流的跟踪数据。 计算系统通过将游戏的视频流与跟踪数据相结合来生成交互式视频数据。 计算系统通过将交互式视频数据发送到执行媒体播放器的客户端设备,使媒体播放器在视频流上渲染对应于跟踪数据的图形。</t>
  </si>
  <si>
    <t>在直播体育视频流中使用直播嵌入式跟踪数据的方法和系统</t>
  </si>
  <si>
    <t>US20230069720A1</t>
  </si>
  <si>
    <t>一种基于语音识别的体育视频目标视频检测计算机系统,用于将体育视频对应的接力语音转换为文本; 根据文本从体育视频中检测出与预设事件相关的目标视频。</t>
  </si>
  <si>
    <t>基于语音识别的体育视频目标视频检测计算机系统及其方法</t>
  </si>
  <si>
    <t>WO2023023333A3</t>
  </si>
  <si>
    <t>用于在直播体育视频流中使用直播嵌入式跟踪数据的方法和系统</t>
  </si>
  <si>
    <t>IN202241046927A</t>
  </si>
  <si>
    <t>近期,因呼吸道感染入院的人数迅速增加。 对患者进行筛查已成为公共卫生面临的无可匹敌的挑战。 由于 COPD、其他肺部疾病、心脏相关疾病和 COVID 大流行的发生率增加,对持续生命监测的需求越来越大。 持续监测呼吸系统患者的生命体征在重症监护中起着至关重要的作用。 拟议的系统是一种可穿戴、无创、经济、准确、实时的监测设备,能够监测和记录患者最重要的生命体征,如体温、水合水平、血氧饱和度 (Sp02) 、心率、呼吸频率和灌注指数。 该系统还能够测量身体成分:无脂肪质量、使用生物电阻抗光谱 (BIS) 测量的脂肪体重,更准确地说是全身水量(使用微安电流范围、不同频率的细胞外和细胞内水)。 对脱水、水合过多、体液潴留状态的患者有益; 心律失常; 呼吸系统疾病,老年病; 运动员、农民、ICU病人、水肿; 和消瘦通过提供临床决策支持系统。 获得的患者数据通过微控制器传输,并与用户友好的移动应用程序集成,在临床医生和患者之间提供有效的基于警报的双向通信系统。 每个患者都有自己独特的患者 ID,临床医生和护士将对其进行评估。 如遇任何紧急情况,救护车会收到警报。 这是通过在黄金时段保留生命来最大限度地降低病死率和患者临床入院的有效且可靠的方法。 该设备为患者提供高效、量化的自我健康监测技术。</t>
  </si>
  <si>
    <t>基于物联网的智能健康监测系统</t>
  </si>
  <si>
    <t>CN115414647A</t>
  </si>
  <si>
    <t>本发明公开了一种软硬件结合的拍类运动可视训练装置，包括设备采集模块，用于通过高速摄像机获得球速标签和球自旋标签，通过在人体和球拍上的传感器检测运动信号值；数据分析模块，用于通过神经网络模型的训练分别得到识别模型和回归模型，得到对应的击球位置和击球技术，得到球的速度和自旋；质量评价模块，用于基于教练评估得到击球表现阈值，通过将击球位置、击球技术、球的速度或自旋与击球表现阈值进行比较得到不良击球事件集合；将不良击球事件张量输入至反事实函数以调整张量中的元素得到满足击球表现阈值的优化击球事件张量集合。该装置能够基于采集和处理运动员的数据为教练员提供可视化建议。</t>
  </si>
  <si>
    <t>一种软硬件结合的拍类运动可视训练装置</t>
  </si>
  <si>
    <t>CN115546886A</t>
  </si>
  <si>
    <t>本发明提供一种基于视觉技术的排球对墙壁垫球测试方法及装置，涉及排球运动技术领域。所述方法包括配置阶段及运动阶段，采用低成本、低功耗、高算力的边缘智能化设备和消费品级2D摄像头，结合AI深度学习中的目标检测算法、人体关节点检测算法，实现了排球对墙壁垫球运动项目的实时精确测量。使用本发明方案后，可以实时播报出测试人员的排球对墙壁垫球成绩，计数成绩精度为±1个，达到了体育考试级别的要求。本发明解决了现有技术安装部署难、部分犯规无法判断问题，还可以查看测试过程录像和测试过程分析。</t>
  </si>
  <si>
    <t>一种基于视觉技术的排球对墙壁垫球测试方法及装置</t>
  </si>
  <si>
    <t>CN218420943U</t>
  </si>
  <si>
    <t>本实用新型提供一种无线发令器及无线发令系统，所述无线发令器包括：人机交互装置；信号触发器，与所述人机交互装置通信连接；声光装置，与所述信号触发器通信连接；无线通信装置，分别与所述信号触发器和云端计时器通信连接。本实用新型提供的无线发令器，通过人机交互装置，实现了简单的信息交互方式，基于人机交互装置、信号触发器、声光装置之间的配合，实现了比赛计时的自动化，可用于精确测定所有运动员的出发时间，防止人为操作的误差，提高成绩的判读速度和精确度，而且更安全更环保。</t>
  </si>
  <si>
    <t>无线发令器及无线发令系统</t>
  </si>
  <si>
    <t>US20230055078A1</t>
  </si>
  <si>
    <t>公开了用于锻炼的系统和方法的示例实施例,包括锻炼机,该锻炼机包括被配置为向锻炼机-人体界面施加多向力的多向力分量,该多向力分量还被配置为向锻炼机-人体界面提供发散强度 锻炼机器-人体接口,以在体育锻炼期间为人体提供阻力,以及配置为控制多方向力分量的人工智能 (AI) 组件。 在示例中,AI组件可以基于形态特征和跑步速度参数的可变性来控制多方向力分量,包括步幅长度、步幅频率、爆发驱动力和手臂驱动中的至少一个。</t>
  </si>
  <si>
    <t>全向扭矩训练</t>
  </si>
  <si>
    <t>KR102546613B1</t>
  </si>
  <si>
    <t>提供了一种为目标实体提供运动负荷信息的方法。 该方法包括:在包括多个时间单位的目标运动比赛期间目标实体的目标数据集,该目标数据集包括:针对多个时间单位中的每个时间单位的目标实体的运动学信息;获取-包括序列,利用人工神经网络从目标数据集中确定反映目标实体的目标锻炼次数的锻炼负荷程度的估计负荷指数,包括</t>
  </si>
  <si>
    <t>如何提供运动负荷信息</t>
  </si>
  <si>
    <t>CN115314037A</t>
  </si>
  <si>
    <t>本发明公开了一种人机交互组件、电器设备及电器设备的控制方法，其中人机交互组件包括负载触发传感器、操作控制传感器和控制器，所述负载触发传感器用于检测对电器设备中负载的触发信号，所述操作控制传感器用于检测对所述电器设备的操作控制信号，所述控制器与所述负载触发传感器和所述操作控制传感器通信连接。由此可以通过负载触发传感器和控制器负责用户对负载模块的触发；通过操作控制传感器和控制器负责用户对系统的整体操作控制，从而可以真正实现“零接触”操作。</t>
  </si>
  <si>
    <t>一种人机交互组件、电器设备及电器设备的控制方法</t>
  </si>
  <si>
    <t>US20220392263A1</t>
  </si>
  <si>
    <t>一种编辑器应用程序,被配置为设置至少一个评估数据结构,每个评估数据结构被配置为评估一系列图像数据结构中的相应特定运动模式。每个评估数据结构包括锻炼的机器学习(ML)模型工件 配置用于评估特定体育锻炼的特定 ML 模型。 此外,基于多个图像数据结构序列训练 ML 模型,这些图像数据结构显示特定体育锻炼的特定运动模式的不同变体,并且对于每个图像数据结构,提供一组关键数据元素,关键数据 指示图像数据结构中地标的相应位置的元素,所述训练进一步基于为每个图像数据结构提供的类别标签。 此外,ML模型被配置为基于包括为至少一个图像数据结构提供的关键数据元素的输入数据,确定每个图像数据结构的类标签,所述类标签识别以下至少之一:至少一个运动阶段 特定运动模式中的至少一个特定运动模式的评估点,其中关键数据元素指示界标在图像数据结构中的位置; 生成几何评估数据并对对应于评估点的特定图像数据结构的关键数据元素的配置进行几何评估,或者对特定运动模式的至少一个运动阶段进行几何评估; 生成反馈数据以向用户提供反馈,所述反馈取决于几何评估的结果。 此外,编辑器应用程序包括至少一个图形用户界面,该图形用户界面被配置为接受用户输入以训练ML模型人工制品下的ML模型。</t>
  </si>
  <si>
    <t>用于评估特定运动模式的评估数据结构和用于设置评估数据结构的仪表板</t>
  </si>
  <si>
    <t>IN202241046270A</t>
  </si>
  <si>
    <t>一种基于人工智能的卡路里水平检测和食物建议设备。 该设备包括一个套件。 该套件包括(i)多个传感器,用于测量身体活动期间消耗的能量,其中多个传感器包括(a)使用加速度计测量身体活动和在不同情况下消耗的能量,包括步行 上楼梯,(b) 使用传感器将所有接收到的信息存储在数据库中,并可检索以供后续参考,(c) 将数据传输 1 给医生/护士并存储在中央系统中以供后续操作使用。 (ii) 实施加速度计和心率传感器以确定体育活动期间的能量消耗,(iii) 使用 PPG 传感器测量心率,利用红外线 (IR) 发射器和接收器,( iv) 将 PPG 传感器安装在身体上并且人正在进行活动,设备可能会受到环境因素的影响并产生不适当的数据,(v) 根据自动分析的卡路里数据建议食物,( vi) 将 PPG 传感器安装在身体上并且人正在执行一项活动,其中设备可能会受到环境因素的影响并产生不适当的数据,并且非磨损成像设备和图像分析系统会受到人是否持续使用的限制 他们每顿饭或点心。</t>
  </si>
  <si>
    <t>基于人工智能的卡路里水平检测和食物建议设备</t>
  </si>
  <si>
    <t>CN115253158A</t>
  </si>
  <si>
    <t>本发明公开了一种基于物联网技术的体育运动用综合训练系统，包括智能移动终端、智能手环和训练装置；训练装置包括底座，底座的一端固定有连杆，连杆的两端固定有可调节立杆，可调节立杆的顶部设有挂钩板，挂钩板上放置有举重杆；底座上还设有坐板，坐板位于远离连杆的一端，坐板的底部固定于底座上，坐板的侧面通过第一调节杆与底座连接，第一调节杆上连接有第二调节杆，第二调节杆上转动连接有背板；第一调节杆和第二调节杆上均设有调节孔，第一调节杆和第二调节杆通过调节孔和螺钉固定。本发明可以对训练者进行多种力量训练，达到综合训练的目的，而且通过多种物联网设备进行实时监测、统计训练者的训练过程，设计合理，使用方便。</t>
  </si>
  <si>
    <t>一种基于物联网技术的体育运动用综合训练系统</t>
  </si>
  <si>
    <t>IN202241045671A</t>
  </si>
  <si>
    <t>本发明是一个由一组可穿戴单元组成的系统,可感知并发出警报以识别女性是否处于反社会人士的危险之中。 该系统包括一个心率传感器,用于检测危险情况引起的心悸。 该心率传感器与蓝牙发射器耦合。 一对 6 轴陀螺仪集成到两条可穿戴腕带中,每条腿上各戴一个。 这两个 MEMS 陀螺仪传感器还集成了相应的蓝牙传感器。 这个陀螺仪可以检测佩戴它的女性何时在跑步。 它还可以检测女性的双腿何时因*而张开。 麦克风传感器连接在可穿戴腰带上,以便在女性尖叫时激活警报系统。 本地计算单元检测到包括“求救”等一般性的感叹,该计算单元也与集成的 GPS 模块一起连接到可穿戴腰带上。 GPS 模块用于在生成警报信号时获取此人的位置。 所有传感器都连接到的嵌入式系统有一个内置的物联网模块。 机器学习技术用于训练基于物联网的嵌入式单元,通过使用真实世界数据进行训练来准确检测危险场景。</t>
  </si>
  <si>
    <t>人工智能支持基于多传感器数据融合的可穿戴系统,保障女性安全</t>
  </si>
  <si>
    <t>US20230044043A1</t>
  </si>
  <si>
    <t>公开了一种用于实现能够可靠且高效地对诸如钱币和交易卡的交易对象进行分级的自动分级系统的方法、系统和平台。 通过采用行业标准的分级标准,目前的计算机辅助钱币和体育交易卡平台利用了多种技术,如激光扫描、机器视觉、智能手机 IOS 和 Android 原生安装对象识别、神经网络模型、区块链、NFT 与智能合约 ,数字指纹识别为知识产权和特许权使用费,以实现对大量交易对象的一致分级和交易。 还可以对分级后的交易对象进行真伪验证和交易。</t>
  </si>
  <si>
    <t>用于钱币和交易卡的自动分级和交易的方法和系统</t>
  </si>
  <si>
    <t>WO2023019098A1</t>
  </si>
  <si>
    <t>CN307913437S</t>
  </si>
  <si>
    <t>1.本外观设计产品的名称：显示屏幕面板的列车运行状况图形用户界面。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6.图形用户界面的用途：用于监控轨道交通运行状态及拥挤度状态。
 7.图形用户界面的人机交互方式：主视图为列车运行的主界面，通过点击界面下方的“上一页”、“下一页”按钮来查看上一页、下一页的异常信息。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</si>
  <si>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显示屏幕面板的列车运行状况图形用户界面</t>
  </si>
  <si>
    <t>CN307913436S</t>
  </si>
  <si>
    <t>1.本外观设计产品的名称：显示屏幕面板的轨道交通仿真推演图形用户界面。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6.图形用户界面的用途：用于在监控轨道交通全线网运行状态时仿真推演预测客流、行车、站控及告警等信息。
 7.图形用户界面的人机交互方式：主视图为仿真推演轨道交通全线网运行状态的主界面；点击主视图线路选择框中的“10号线”按钮，跳转至界面变化状态图1展示的查看单条运行线路的界面；点击主视图界面下方时间轴右端的“列车”按钮以及时间轴左端的播放按钮，拖动时间轴，跳转至界面变化状态图2；点击主视图至界面变化状态图2中任一界面中左侧菜单栏中的“线路拥挤度”按钮，跳转至界面变化状态图3；点击主视图至界面变化状态图3中任一界面中左侧菜单栏中的“线路状态”按钮，跳转至界面变化状态图4；点击主视图至界面变化状态图4中任一界面中左侧菜单栏中的“进出站客流”按钮或“站控措施”按钮，跳转至界面变化状态图5；点击界面变化状态图5地铁站名为“西直门”上方的数字，跳转至界面变化状态图6；点击主视图至界面变化状态图6中任一界面左侧菜单栏中的“列车晚点状态”按钮，跳转至界面变化状态图7；点击主视图至界面变化状态图7中任一界面中左侧菜单栏中的“告警”按钮，跳转至界面变化状态图8。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</si>
  <si>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显示屏幕面板的轨道交通仿真推演图形用户界面</t>
  </si>
  <si>
    <t>CN115177937A</t>
  </si>
  <si>
    <t>本发明公开了一种交互式智能健身镜面装置，涉及智能家居及智能健身，包括：显示器，用于可操作地显示用户界面，所述用户界面具有至少一个交互对象，所述交互对象用于展示提供了供用户执行的控制动作；图像识别传感器，用于采集用户的动作数据；处理器，耦合至所述显示器和所述图像识别传感器，用于比对所述图像识别传感器所采集到的所述动作数据与所述用户界面上的至少一个交互对象中的任一交互对象展示所提供的所述控制动作是否匹配，基于匹配结果当匹配时生成与相匹配的交互对象对应的控制指令，所述控制指令用于控制所述用户界面切换或者在所述用户界面上完成指定操作；镜子，所述镜子用于展示用户在所述镜子上的镜像，包括部分反射部分，所述显示器透过所述镜子部分反射部分向用户显示的所述用户界面、以及用户在镜子中成像的至少一部分在所述部分反射部分上叠加。</t>
  </si>
  <si>
    <t>一种交互式智能健身镜面装置</t>
  </si>
  <si>
    <t>CN115440339A</t>
  </si>
  <si>
    <t>本发明公开了一种青少体育运动与健康管理方法及系统，属于数据管理技术领域，解决了青少体育运动数据的分析分类和预判问题，其技术方案要点是采用朴素贝叶斯模型进行数据处理，朴素贝叶斯模型是一种操作简单且性能较好的机器学习分类算法，达到了对数据的有效分类分析，提高学生体能的判断和导向预测，能够尽快，尽早的提醒和干预学生在体质方面的注意。</t>
  </si>
  <si>
    <t>青少体育运动与健康管理方法及系统</t>
  </si>
  <si>
    <t>US20230046493A1</t>
  </si>
  <si>
    <t>一种为提供代表体育赛事的视频内容的视频数据获取音频内容文件的信息处理系统,包括: 接收器被配置为接收包括视频数据的数据流; 偏好数据获取器,被配置为获取偏好数据,其中,偏好数据指示选择的参加体育赛事的参赛者; 类别标识符获取器,配置为从输入视频数据的机器学习算法获取类别标识符,其中机器学习算法被训练为将视频内容中表示的场景分类到与 体育赛事,其中类别标识符指示场景被归类到的类别; 音频内容文件获取器,配置为基于获取的类别标识符和获取的偏好数据,从预存储的音频内容文件集合中获取音频内容文件,其中音频内容文件提供与场景的类别相关联的音频内容,以及 偏好数据; 和 同步器,配置为同步音频内容和视频内容,以供媒体播放器同步播放场景,配置为播放视频内容和音频内容文件。</t>
  </si>
  <si>
    <t>信息处理系统及信息处理方法</t>
  </si>
  <si>
    <t>CN308226640S</t>
  </si>
  <si>
    <t>1.本外观设计产品的名称：显示屏幕面板的拍摄图形用户界面。
 2.本外观设计产品的用途：用于显示图形用户界面。
 3.本外观设计产品的设计要点：在于图形用户界面。
 4.最能表明设计要点的图片或照片：设计1主视图。
 5.指定设计1为基本设计。
 6.图形用户界面的用途：本图形用户界面用于拍摄。
 7.图形用户界面的人机交互方式：设计1至设计6主视图的图形用户界面为拍摄的界面，用户可以点击界面左侧中部或右侧中部的控件进行拍摄，该控件位置对应设计1主视参考图中的左侧或右侧的圆形控件位置。
 各设计界面的灰色色块为可替换的图片或视频。
 各设计界面中的叉号代表文字和/或数字和/或字母和/或符号。
 8.该图形用户界面可用于手机、计算机、平板电脑、电视、车载中控屏幕、车载导航仪、车载显示装置、游戏机、导航仪、多媒体一体机、智能音箱、带显示屏幕的智能健身镜、带显示屏幕的健身监视器、带显示屏幕的冰箱、带显示屏幕的冷柜、带显示屏幕的净水机、带显示屏幕的饮水机、带显示屏幕的空调、带显示屏幕的洗衣机、带显示屏幕的热水器、带显示屏幕的抽油烟机、带显示屏幕的洗碗机、带显示屏幕的集成灶、带显示屏幕的蒸烤箱、带显示屏幕的电饭煲、带显示屏幕的电压力锅、带显示屏幕的料理机、带显示屏幕的破壁机、带显示屏幕的热水器、带显示屏幕的热水壶、带显示屏幕的电磁炉、带显示屏幕的微波炉、带显示屏幕的微波饭煲、带显示屏幕的榨汁机、带显示屏幕的消毒柜、带显示屏幕的加湿器、带显示屏幕的除湿器、带显示屏幕的机器人、智能手环、智能手表、智能眼镜、智能耳机、智能台灯、智能门系统、广告显示屏、自动售卖机、带显示屏幕的按摩器、带显示屏幕的康复护理仪。
 9.显示屏幕面板为惯常设计，省略各项设计的后视图、左视图、右视图、俯视图、仰视图。</t>
  </si>
  <si>
    <t>CN217854396U</t>
  </si>
  <si>
    <t>本实用新型公开了一种上肢抓握伸展康复训练仪，包括：人体操作装置，包括操作筐和筐盖，操作筐的外侧壁上设有手柄和开关件，手柄上设有压力传感器；人机交互装置，与人体操作装置信号连接，人机交互装置包括游戏模块、显示模块和声音播放模块，显示模块显示游戏模块中的康复训练游戏，声音播放模块在用户进行游戏操作时播放对应的声音；感应反馈装置，位于人体操作装置上，感应反馈装置包括LED显示灯、震动件和控制器；在康复训练开始时，用户操作人体操作装置，对显示模块中的康复训练游戏进行相应的操作，LED显示灯和震动件对游戏操作的对错进行反馈；可以解决一般的上肢康复设备交互方式繁琐、患者练习不方便以及价格昂贵、设置复杂的问题。</t>
  </si>
  <si>
    <t>一种上肢抓握伸展康复训练仪</t>
  </si>
  <si>
    <t>CN307959405S</t>
  </si>
  <si>
    <t>1.本外观设计产品的名称：电脑的智慧体育数据显示图形用户界面。
 2.本外观设计产品的用途：电脑智慧大屏运行显示。
 3.本外观设计产品的设计要点：在于外观设计的界面布局。
 4.最能表明设计要点的图片或照片：主视图。
 5.图形用户界面的用途：用于显示运行数据。
 6.图形用户界面的人机交互方式：在主界面，点击右侧“成绩档案”图标，进入识别中的变化状态图1，识别成功后，跳转到变化状态图2，紧接着跳转到变化状态图3，进行测试历史数据的查看和操作。</t>
  </si>
  <si>
    <t>电脑的智慧体育数据显示图形用户界面</t>
  </si>
  <si>
    <t>CN115268586A</t>
  </si>
  <si>
    <t>本发明公开了一种基于大数据和人工智能入口的智能终端，包括壳体，所述壳体内部固定连接设有控制中心，所述壳体外右侧固定连接设有显示屏，所述显示屏和控制中心匹配对应连接设置，所述壳体外侧右侧固定连接设有扬声器，所述扬声器位于显示屏的下侧设置，且所述扬声器和控制中心之间匹配对应连接设置，所述控制中心左侧设有多个插槽，所述控制中心左侧设有主动槽，所述主动槽位于多个插槽的下侧设置，所述控制中心左侧设有稳固槽，所述稳固槽位于主动槽的后侧和稳固槽匹配对应设置。本发明可以更好的完成对插槽和控制中心保护操作的同时，可以根据实际的工作情况，完成对壳体和弧形杆之间的简单调整操作，整体操作简单，实用性强。</t>
  </si>
  <si>
    <t>一种基于大数据和人工智能入口的智能终端</t>
  </si>
  <si>
    <t>CN115414646A</t>
  </si>
  <si>
    <t>本公开提供的一种篮球辅助训练方法、装置，涉及人工智能技术，包括：获取目标球员在篮球出手时刻的第一图像，及出手后篮球的第二图像；根据第一图像、第二图像，确定在篮球出手时刻的运动参数；根据第二图像，确定篮球从出手到进入篮筐的第一时间；根据第二图像，确定第一偏心率；根据第一时间、第一偏心率、疲劳度分数，确定第一结果；根据运动参数，第一结果，确定最佳运动参数。本方案通过篮球出手时刻及出手后的图像，确定球员的运动参数、及篮球进球的准确性情况；然后根据球员的运动参数、进球准确性情况，确定球员进球的最佳运动参数，进而利用最佳运动参数辅助调整球员的训练。可以更准确的定位篮球运动员存在的问题，并及时纠正。</t>
  </si>
  <si>
    <t>篮球辅助训练方法、装置</t>
  </si>
  <si>
    <t>WO2023012672A1</t>
  </si>
  <si>
    <t>提供了一种用于为参与体育活动的用户提供数据驱动帮助的电子设备和方法。 电子设备接收与用户身体的一个或多个部分的运动模式相关联的第一传感器数据并且接收与用户进行身体活动的位置相关联的第一信息。 电子设备确定一个或多个可能影响用户或用户在身体活动中的表现的第一指标。 此后,电子设备基于第一机器学习模型对确定的一个或多个第一指示符的应用以及接收到的第一信息来生成呈现数据。 生成的呈现数据包括针对用户的与身体活动相关的一个或多个改进建议。 电子设备控制显示设备显示演示数据。</t>
  </si>
  <si>
    <t>为参与体育活动的用户提供数据驱动的帮助</t>
  </si>
  <si>
    <t>IN202241044005A</t>
  </si>
  <si>
    <t>[0001] 本发明涉及一种手杖式健身器,包括位于地面上的平台1,平台1上附有手杖2,手杖2供使用者进行身体锻炼,显示面板3映射在地面上。 平台 1 使用户能够提供与锻炼难度相关的触摸输入,一对 C 形夹具 4 通过电动滑块固定在手杖 2 上,用于夹住用户的每只脚,基于人工智能 (AI) 的成像 单元5配置在平台1上,用于拍摄操纵杆2的图像,在平台1和操纵杆2之间垂直放置多个气动杆6,用于调整操纵杆2的倾斜度,全息投影仪7位于平台1上,用于投影虚拟 用户要求的正确身体姿势图片。</t>
  </si>
  <si>
    <t>棒式健身器</t>
  </si>
  <si>
    <t>CN307804435S</t>
  </si>
  <si>
    <t>1.本外观设计产品的名称：用于显示屏幕面板的控件调取图形用户界面。
 2.本外观设计产品的用途：用于显示屏幕面板的控件调取。
 3.本外观设计产品的设计要点：在于屏幕中的图形用户界面。
 4.最能表明设计要点的图片或照片：主视图。
 5.其他视图无设计要点，省略其他视图。
 6.图形用户界面的用途：用于显示屏幕面板的控件调取。
 7.图形用户界面的人机交互方式：点击界面上圆形图的中心，可以使一系列控件沿弧形路径被逐一显示。
 8.图形用户界面的变化状态说明：点击主视图界面上圆形图的中心，从主视图依次变化到变化状态图1‑3。
 9.显示屏幕面板所应用的最终产品为手机、计算机、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t>
  </si>
  <si>
    <t>用于显示屏幕面板的控件调取图形用户界面</t>
  </si>
  <si>
    <t>DE102022119188A1</t>
  </si>
  <si>
    <t>一种信息处理系统,用于为提供表示体育赛事的视频内容的视频数据获取音频内容文件,包括:接收器,被配置为接收包括视频数据的数据流;偏好数据获取器,被配置为获取偏好数据,其中偏好数据指示参加体育赛事的选定参与者;类别标识符获取器,配置为从输入视频数据的机器学习算法获取类别标识符,机器学习算法在其上训练,对视频内容中呈现的场景进行分类进入与体育赛事相关联的一组预定类别中的一个类别,类别标识符指示场景被分类到的类别;音频内容文件获取器配置,基于获取的类别标识符,并获取获取的偏好数据,来自预先存储的一组音频内容文件的音频内容文件,该音频内容文件提供与场景类别和偏好数据相关联的音频内容; 以及同步器,被配置为同步音频内容和视频内容,以供媒体播放器同步播放场景,被配置为播放视频内容和音频内容文件。</t>
  </si>
  <si>
    <t>信息处理系统和信息处理程序</t>
  </si>
  <si>
    <t>CN307633051S</t>
  </si>
  <si>
    <t>1.本外观设计产品的名称：用于健身器材的健身程序图形用户界面。
 2.本外观设计产品的用途：本外观设计产品用于健身程序实时记录运动信息的交互。
 3.本外观设计产品的设计要点：在于显示器屏幕显示的图形用户界面内容。
 4.最能表明设计要点的图片或照片：主视图。
 5.显示屏幕面板为惯常设计，省略其他视图。
 6.图形用户界面的用途：本外观设计产品的界面用于人机交互及显示健身信息。
 7.图形用户界面的变化状态说明：主视图显示的界面为软件的初始登录界面；界面变化状态图1显示的界面为由点击主视图中的“人脸识别”或“NFC”按钮后显示的界面；界面变化状态图2显示的界面为由点击界面变化状态图1中的“快速开始”按钮后显示的界面；界面变化状态图3显示的界面为由点击界面变化状态图2中的“开始运动”按键后显示的界面；界面变化状态图4显示的界面为由点击界面变化状态图3中的“运动姿态”按键后显示的界面。</t>
  </si>
  <si>
    <t>用于健身器材的健身程序图形用户界面</t>
  </si>
  <si>
    <t>CN307725664S</t>
  </si>
  <si>
    <t>1.本外观设计产品的名称：用于显示屏幕面板的设备服务图形用户界面。
 2.本外观设计产品的用途：本外观设计产品用于计算机、笔记本电脑、平板电脑、智能手机、智能手表、健身监视器、头戴式耳机、智能音箱、电视、机顶盒的显示屏幕面板，旨在通过人机交互显示设备服务状态及操控服务，引导用户行为。
 3.本外观设计产品的设计要点：在于屏幕中的图形用户界面的内容。
 4.最能表明设计要点的图片或照片：设计1主视图。
 5.显示屏幕面板为惯常设计，省略其他视图。
 6.指定设计1为基本设计。
 7.图形用户界面的用途：用户在操作界面中设备权益的过程中，通过选择功能及添加信息，达到进行设备报修、清洗、延保等服务操作的目的。
 8.图形用户界面的人机交互方式：设计1主视图为用户设备服务的主界面，通过选择界面中任一图标或文字，界面跳转至下一界面；设计2主视图为用户设备服务的主界面，选择设计2主视图左下方的一键报修按钮，界面变换为设计2界面变化状态图1，向上滑动界面，界面变换为设计2界面变化状态图2，选择设计2界面变化状态图2的添加图片/视频的选项卡，填写相关信息及时间、地址，界面变换为设计2界面变化状态图3，向上滑动界面，界面变换为设计2界面变化状态图4；设计3主视图为用户设备服务的主界面，选择设计3主视图保修卡右侧的查看按钮，界面变换为设计3界面变化状态图，呈现保修卡的主要服务信息；设计4主视图为用户设备服务的主界面，选择设计4主视图保修卡右侧的领取权益按钮，界面变换为设计4界面变化状态图，呈现保修卡领取的相关信息界面；其中，界面中“灰色图块”表示为可变图片，界面中“灰色图块加交叉线”表示为可变图标。</t>
  </si>
  <si>
    <t>用于显示屏幕面板的设备服务图形用户界面</t>
  </si>
  <si>
    <t>CN307874759S</t>
  </si>
  <si>
    <t>1.本外观设计产品的名称：用于显示屏幕面板的控件展开图形用户界面。
 2.本外观设计产品的用途：用于显示及人机交互。
 3.本外观设计产品的设计要点：在于屏幕中的图形用户界面状态图。
 4.最能表明设计要点的图片或照片：主视图。
 5.其他视图无设计要点，省略其他视图。
 6.图形用户界面的用途：用于显示及人机交互。
 7.图形用户界面的人机交互方式：用户可点击界面上的箭头，使相应方向上的控件逐一被展开从主视图依次变化到变化状态图1、2、3及4。
 8.该界面用于手机、计算机、平板电脑、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t>
  </si>
  <si>
    <t>用于显示屏幕面板的控件展开图形用户界面</t>
  </si>
  <si>
    <t>CN307940933S</t>
  </si>
  <si>
    <t>1.本外观设计产品的名称：用于显示屏幕面板的控件折叠图形用户界面。
 2.本外观设计产品的用途：用于显示及人机交互。
 3.本外观设计产品的设计要点：在于图形用户界面。
 4.最能表明设计要点的图片或照片：主视图。
 5.图形用户界面的用途：用于显示及人机交互。
 6.图形用户界面的人机交互方式：用户可以依次点击界面上的箭头，使控件逐一被折叠；从主视图依次变化到变化状态图1，变化状态图2，变化状态图3，变化状态图4。
 7.其他需要说明的情形其他说明：该图形用户界面可用于手机、计算机、平板电脑、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t>
  </si>
  <si>
    <t>用于显示屏幕面板的控件折叠图形用户界面</t>
  </si>
  <si>
    <t>KR1020220110163A</t>
  </si>
  <si>
    <t>[0001] 本发明涉及一种用于检测体育赛事的方法和用于执行该方法的系统,包括以下步骤:获取在其中捕获特定体育赛事的视频的图像数据; 获取与特定体育比赛视频相关的多个在线文本数据,其中,在线文本数据包括创建时间和与在线文本数据的内容信息相关的内容,创建时间是关于在线文本数据被创建的时间的信息; 本发明涉及一种利用学习集训练的人工神经网络,其中预先获得的与多个体育赛事相关的图像数据被标记有在线文本数据中包括的书写内容的书写时间和分析结果。生成体育精彩图像,包括提取与文本数据的文本数据中反映的至少一个体育赛事相关的体育赛事数据。</t>
  </si>
  <si>
    <t>检测体育赛事的方法及执行该方法的系统</t>
  </si>
  <si>
    <t>CN307718789S</t>
  </si>
  <si>
    <t>1.本外观设计产品的名称：带运动服务图形用户界面的显示屏幕面板。
 2.本外观设计产品的用途：用于交互和显示。
 3.本外观设计产品的设计要点：在于图形用户界面的界面内容。
 4.最能表明设计要点的图片或照片：界面变化状态图2。
 5.其他视图无设计要点，省略其他视图。
 6.图形用户界面的用途：用于向用户提供运动辅助服务。
 7.图形用户界面的人机交互方式：主视图为用户登录主界面，其展示登录方式包含有“人脸识别登录”、“二维码登录”、“会员卡感应区”等登录方式；点击主视图中“人脸识别登录”按钮、二维码登录按钮、会员卡刷卡等其中一种方式登录界面，跳转至界面变化状态图1展示的训练模式选择页面；点击界面变化状态图1中的“开始训练”按钮，跳转至界面变化状态图2展示的训练页面，该页面包含有“当前行程”模块，“次数”、“当前重量”、“组数”、“卡路里”、“训练时长”、“心率”等运动信息；点击界面变化状态图2中的“开始”按钮，跳转至界面变化状态图3展示的训练记录报告页面，该页面包含每组训练的重量、训练组数列表；点击界面变化状态图3中的“每组训练的卡路里”按钮，切换至界面变化状态图4展示的训练卡路里的运动训练列表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</si>
  <si>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带运动服务图形用户界面的显示屏幕面板</t>
  </si>
  <si>
    <t>CN307718790S</t>
  </si>
  <si>
    <t>1.本外观设计产品的名称：带家用律动服务图形用户界面的显示屏幕面板。
 2.本外观设计产品的用途：用于交互和显示。
 3.本外观设计产品的设计要点：在于图形用户界面的界面内容。
 4.最能表明设计要点的图片或照片：界面变化状态图3。
 5.其他视图无设计要点，省略其他视图。
 6.图形用户界面的用途：用于向用户提供运动辅助服务。
 7.图形用户界面的人机交互方式：主视图为律动平台主界面；点击主视图中的“课程”标签，跳转至界面变化状态图1展示的课程分类页面；点击界面变化状态图1中选择的运动课程，跳转至界面变化状态图2展示的课程详情页面；点击主视图或界面变化状态图1下方的“设备”标签，跳转至界面变化状态图3展示的手动模式页面；点击界面变化状态图3中的控制按钮，则如界面变化状态图4展示的暂停弹窗页面；点击主视图或界面变化状态图1下方的“我的”标签，跳转至界面变化状态图5展示的用户页面；点击界面变化状态图5标题列表中的“锻炼记录”标题，跳转至界面变化状态图6展示的训练记录详情。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</si>
  <si>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带家用律动服务图形用户界面的显示屏幕面板</t>
  </si>
  <si>
    <t>CN307718791S</t>
  </si>
  <si>
    <t>1.本外观设计产品的名称：带场馆运动建议图形用户界面的显示屏幕面板。
 2.本外观设计产品的用途：用于交互和显示。
 3.本外观设计产品的设计要点：在于图形用户界面的界面内容。
 4.最能表明设计要点的图片或照片：界面变化状态图4。
 5.其他视图无设计要点，省略其他视图。
 6.图形用户界面的用途：用于向用户提供运动辅助服务。
 7.图形用户界面的人机交互方式：主视图为场馆律动平台服务主界面，该页面展示有“人脸识别登录”、“二维码登录”、“会员卡感应区”等登录方式；点击主视图中“人脸识别登录”按钮，跳转至界面变化状态图1展示的人脸识别页面，将面部移入方框内进行人脸识别登录，页面下方设置倒计时，超时未扫码则返回主视图，或点击“返回”按钮跳转至主视图；点击主视图中“二维码登录”按钮，跳转至界面变化状态图2展示的二维码登录页面，使用移动智能设备扫描二维码登录，页面下方设置倒计时，超时未扫码则返回主视图，或点击“返回”按钮跳转至主视图；在主视图的“会员卡感应区”处刷卡登录或完成界面变化状态图1中的人脸识别操作或扫描界面变化状态图2中的二维码实现登录，跳转至界面变化状态图3展示的用户登录成功后的运动模式页面，该页面展示“乐活模式”、“手动模式”等其他运动模式，点击任一模式下方的提示进行下一步运动步骤；点击界面变化状态图3其中一个运动模式下方的“点击开始运动”按钮，跳转至界面变化状态图4展示的运动建议页面，该页面能够查看运动用户的基本信息，并根据用户的基本信息推送包含有“建议档位”、“建议心率”、“建议时长”、“注意事项”等相关运动信息；点击界面变化状态图4中的“开始运动”按钮，跳转至界面变化状态图5展示的运动页面，该页面能够根据运动建议设置运动需要的档位，页面包含有建议档位进度条，建议心率进度条以及当前档位数值，还包括运动过程中的实时消耗能量、运动心率和运动时间；运动结束后自动跳转至界面变化状态图6展示的运动调查报告页面，该页面能够根据运动过程中的感受来选择具体选项，或者不做选择直接跳过该页面；点击界面变化状态图6中的“完成”按钮，跳转至界面变化状态图7展示的已经提交的运动调查报告页面，在该页面能够查看提交此次运动调查报告的“消耗卡路里”、“运动时间”、“平均心率”、“最高心率”、“平均档位”、“最高档位”等运动数据信息，点击页面下方的“返回”按钮，返回主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</si>
  <si>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带场馆运动建议图形用户界面的显示屏幕面板</t>
  </si>
  <si>
    <t>CN307748951S</t>
  </si>
  <si>
    <t>1.本外观设计产品的名称：带运动数据服务图形用户界面的显示屏幕面板。
 2.本外观设计产品的用途：用于交互和显示。
 3.本外观设计产品的设计要点：在于图形用户界面的界面内容。
 4.最能表明设计要点的图片或照片：界面变化状态图3。
 5.其他视图无设计要点，省略其他视图。
 6.图形用户界面的用途：用于向用户提供运动数据服务。
 7.图形用户界面的人机交互方式：主视图为用户登录主界面，其展示登录方式包含有“人脸识别登录”、“二维码登录”、“会员卡感应区”等登录方式；点击主视图中“人脸识别登录”按钮，跳转至界面变化状态图1展示的人脸识别登录页面；点击主视图中“二维码登录”按钮，跳转至界面变化状态图2展示的扫码登录页面；人脸移动至界面变化状态图1中的人脸识别框中或使用移动智能设备扫描界面变化状态图2中的二维码或使用会员卡刷卡登录，登录成功后跳转至界面变化状态图3展示的运动页面，页面的左侧展示运动提示画面，页面右侧包含“当前行程”、“当前次数”、“总行程”、“运动时长”、“当前速度”等详细运动数据信息，页面右上角含有“退出”按钮，退出运动页面；点击界面变化状态图3下方的“结束运动”按钮，跳转至界面变化状态图4展示的运动调查报告页面，该页面包含有“平均速度”、“运动总行程”、“运动总次数”、“运动时长”等累计运动信息，累计运动信息下方展示单次运动速度列表，单次运动速度信息包含“速度”、“运动次数”、“相应行程”等运动信息，点击页面下方的“返回”按钮返回运动初始页面，或待返回倒计时结束，页面自动返回运动初始页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</si>
  <si>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带运动数据服务图形用户界面的显示屏幕面板</t>
  </si>
  <si>
    <t>CN115519540A</t>
  </si>
  <si>
    <t>本发明公开了一种基于目标检测和模型预测控制的板球系统控制方法，属于计算机视觉处理领域和控制领域；本发明在霍夫圆检测的基础上引入颜色检测，提出了一种将颜色检测与霍夫圆检测算法相结合的算法，减少环境信息对霍夫圆检测算法的干扰。并提出一种利用MPC算法来根据小球位置求解板子倾斜角度的方法。</t>
  </si>
  <si>
    <t>一种基于目标检测和模型预测控制的板球系统控制方法</t>
  </si>
  <si>
    <t>CN307905605S</t>
  </si>
  <si>
    <t>1.本外观设计产品的名称：带体适能测试动态图形用户界面的显示屏幕面板。
 2.本外观设计产品的用途：用于交互和显示。
 3.本外观设计产品的设计要点：在于图形用户界面的界面内容。
 4.最能表明设计要点的图片或照片：主视图。
 5.其他视图无设计要点，省略其他视图。
 6.图形用户界面的用途：用于向用户提供体适能测试服务。
 7.图形用户界面的人机交互方式：主视图为体适能测试服务的主界面；点击主视图中的“睁眼平衡”测试类型按钮，跳转至界面变化状态图1；点击界面变化状态图1中的“点击测量”按钮，跳转至界面变化状态图2；检测到定位点之后自动跳转至界面变化状态图3展示的睁眼平衡计时测试页面；测试完毕后，自动跳转至界面变化状态图4展示的睁眼平衡测试评分页面；点击主视图中的“肌耐力”测试类型按钮，跳转至界面变化状态图5展示的肌耐力测试页面；点击界面变化状态图5中的“点击测量”按钮，跳转至界面变化状态图6展示的肌耐力测试页面；测试完毕后，自动跳转至界面变化状态图7展示的肌耐力测试评分页面；点击主视图中的“五次坐站”测试类型按钮，跳转至界面变化状态图8展示的五次坐站测试页面；点击界面变化状态图8中的“点击测量”按钮，跳转至界面变化状态图9展示的五次坐站测试页面；测试完毕后，自动跳转至界面变化状态图10展示的五次坐站测试评分页面；点击主视图中的“三公尺折返走”测试类型按钮，跳转至界面变化状态图11展示的三公尺折返走测试页面；点击界面变化状态图11中的“点击测量”按钮，跳转至界面变化状态图12展示的三公尺折返走测试页面；测试完毕后，自动跳转至界面变化状态图13展示的三公尺折返走测试评分页面；点击主视图中的“心肺适能”测试类型按钮，跳转至界面变化状态图14展示的心肺适能测试页面；点击界面变化状态图14中的“点击测量”按钮，跳转至界面变化状态图15展示的心肺适能实时测试页面；测试完毕后，自动跳转至界面变化状态图16展示的心肺适能测试评分页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</si>
  <si>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带体适能测试动态图形用户界面的显示屏幕面板</t>
  </si>
  <si>
    <t>CN307987005S</t>
  </si>
  <si>
    <t>1.本外观设计产品的名称：带运动指导图形用户界面的显示屏幕面板。
 2.本外观设计产品的用途：用于交互和显示。
 3.本外观设计产品的设计要点：在于图形用户界面的界面内容。
 4.最能表明设计要点的图片或照片：界面变化状态图8。
 5.其他视图无设计要点，省略其他视图。
 6.图形用户界面的用途：用于向用户提供运动指导和运动建议服务。
 7.图形用户界面的人机交互方式：主视图为登录主界面；点击主视图中的人脸识别按钮，跳转至界面变化状态图1；点击主视图中的二维码登录按钮，跳转至界面变化状态图2；若未注册会员不存在会员信息，则如界面变化状态图3展示的登录失败页面；若会员信息已完善，则如界面变化状态图4展示的登录中页面；在登陆失败之后，登陆失败页面的倒计时结束，则如界面变化状态图5展示的未完成登录用户的运动模式页面；在界面变化状态图4登录页面成功之后，则如界面变化状态图6展示运动模式界面；点击界面变化状态图6中的“立即开始评估”按钮，跳转至界面变化状态图7；点击界面变化状态图6中的“立即开始运动”按钮，运动结束后自动跳转至界面变化状态图8；点击界面变化状态图7或界面变化状态图8下方的“开始评估”按钮，跳转至界面变化状态图9；点击界面变化状态图9下方的“下一步”按钮，则如界面变化状态图10展示的带有评估步骤弹窗的评估页面；倒计时5秒结束之后，自动跳转至界面变化状态图11；点击界面变化状态图11中的“下一步”按钮，则如界面变化状态图12所示带有评估步骤弹窗的评估页面；倒计时5秒结束之后，自动跳转至界面变化状态图13；点击界面变化状态图13下方的“结束评估”按钮，则如界面变化状态图14所示带有评估步骤弹窗的评估页面；界面变化状态图14中的评估倒计时结束之后，自动跳转至界面变化状态图15展示的开始运动的初始页面；点击界面变化状态图15下方的“开始运动”按钮，则如界面变化状态图16所示带有目标值设定弹窗页面；点击界面变化状态图16中的“确定”按钮，跳转至界面变化状态图17；点击界面变化状态图17下方的“结束运动”按钮，跳转至界面变化状态图18；上述所有界面中的有关填充的单一色块均表示为可变化的内容画面显示区域，界面中的“X”均表示为可变化的字符或文字内容。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</si>
  <si>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带运动指导图形用户界面的显示屏幕面板</t>
  </si>
  <si>
    <t>CN308048899S</t>
  </si>
  <si>
    <t>1.本外观设计产品的名称：带人体成分分析图形用户界面的显示屏幕面板。
 2.本外观设计产品的用途：用于交互和显示。
 3.本外观设计产品的设计要点：在于图形用户界面的界面内容。
 4.最能表明设计要点的图片或照片：界面变化状态图9。
 5.其他视图无设计要点，省略其他视图。
 6.图形用户界面的用途：用于分析人体成分含量。
 7.图形用户界面的人机交互方式：主视图为用户登录主界面；点击主视图中“人脸识别登录”方式下方的按钮，跳转至界面变化状态图1；点击主视图中“二维码登录”方式下方的按钮，跳转至界面变化状态图2；通过人脸识别、或扫描二维码、或访客模式、或刷会员卡等方式登录后展现为界面变化状态图3；点击界面变化状态图3中的“START”按钮，跳转至界面变化状态图4；点击界面变化状态图4下方的“确定”按钮，跳转至界面变化状态图5；测量身高体重信息之后展现为界面变化状态图6；测量人体成分信息结束后跳转至界面变化状态图7；点击界面变化状态图7中的“概要”菜单导向栏，跳转至界面变化状态图8；点击界面变化状态图7至界面变化状态图8任一图示菜单导向栏中的“肥胖分析”按钮，跳转至界面变化状态图9；点击界面变化状态图7至界面变化状态图9任一图示菜单导向栏中的“人体成分”按钮，跳转至界面变化状态图10；点击界面变化状态图7至界面变化状态图10任一图示菜单导向栏中的“躯体分析”按钮，跳转至界面变化状态图11。
 8.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</si>
  <si>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带人体成分分析图形用户界面的显示屏幕面板</t>
  </si>
  <si>
    <t>CN115439879A</t>
  </si>
  <si>
    <t>本发明涉及人工智能领域，公开了一种体育项目的测试方法、装置、设备及存储介质。该方法包括：接收包括目标测试项目、目标测试场景、待测试人员列表的体育测试计划；根据待测试人员列表中测试顺序确定目标待测试人员，并广播测试准备提示；调用摄像装置对目标测试场景进行图像采集以得到场景实时图像，并对该实时图像执行人体的完整性检测；若检测通过则确定目标测试场景就绪，并基于目标测试方式对待测试人员执行目标测试项目的测试，目标测试方式包括调用摄像装置捕捉运动影像后进行图像识别，以及调用深度传感器进行深度测量中的至少一种方式。本发明通过图像识别和深度测量从而共用一套设备进行多项测试，进而减少体育测试的成本。</t>
  </si>
  <si>
    <t>体育项目的测试方法、装置、设备及存储介质</t>
  </si>
  <si>
    <t>CN307819701S</t>
  </si>
  <si>
    <t>1.本外观设计产品的名称：显示屏幕面板的云企业首页图形用户界面。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6.图形用户界面的用途：设计1主视图至设计3主视图为云企业首页界面，用户可根据界面提示进行相关操作。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</si>
  <si>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显示屏幕面板的云企业首页图形用户界面</t>
  </si>
  <si>
    <t>CN307940932S</t>
  </si>
  <si>
    <t>1.本外观设计产品的名称：显示屏幕面板的广告反馈图形用户界面。
 2.本外观设计产品的用途：用于运行程序、信息显示、人机交互。
 3.本外观设计产品的设计要点：在于屏幕中图形用户界面的界面内容。
 4.最能表明设计要点的图片或照片：界面变化状态图。
 5.图形用户界面的用途：本图形用户界面用于广告反馈。
 主视图为首页界面，用户点击界面中部的“反馈”按钮，进入带有弹窗的广告界面，如界面变化状态图所示，用户可根据弹窗提醒对广告内容进行反馈。
 6.其他说明：本显示屏幕面板应用于车辆、计算机、笔记本电脑、平板电脑、手机、智能手表、智能手环、健身监视器、头戴式耳机、个人数字助理（PDA）、智能音箱、电视、机顶盒、投影仪、游戏机或导航仪。</t>
  </si>
  <si>
    <t>显示屏幕面板的广告反馈图形用户界面</t>
  </si>
  <si>
    <t>CN218076302U</t>
  </si>
  <si>
    <t>本申请实施例公开了一种智慧跑道。所述智慧跑道包括互动屏和至少两个识别杆，所述互动屏设置在跑道的入口处，在所述跑道的起始处和终点处均设有识别杆，每个所述识别杆均与所述互动屏建立有通讯连接。该智慧跑道将新一代人工智能科技和大数据管理平台等融入到户外景观的健身场地或户外体验设施中，深入结合体育基建，有效构建了智能化可视化的智慧公园，通过科学互动的监测全民的运动情况，引导全民进行科学高效的锻炼，全面满足全民健身未来发展和智慧城市的建设需求。</t>
  </si>
  <si>
    <t>智慧跑道</t>
  </si>
  <si>
    <t>CN307847842S</t>
  </si>
  <si>
    <t>1.本外观设计产品的名称：显示屏幕面板用的样本关系图谱图形用户界面。
 2.本外观设计产品的用途：用于显示界面内容。
 3.本外观设计产品的设计要点：在于显示的图形用户界面的界面内容。
 4.最能表明设计要点的图片或照片：主视图。
 5.惯常设计，省略显示屏幕面板的其它视图。
 6.图形用户界面的用途：用于展示网络节点样本的多维度关系图谱，以及样本的深度挖掘和可视化关联分析等。
 人机交互内容：主视图是展示网络节点样本的多维度关系图谱的系统主界面，用户在该界面中可查看样本的关系图谱，并可通过上部的工具栏和右侧的查询区对样本图谱进行节点操作及查询，当用鼠标或触摸等方式点击主视图图谱中某个节点处，则如界面变化状态图1所示弹出可对该节点进行操作的菜单窗,当在主视图选中某一节点，则如界面变化状态图1所示在界面右侧呈现有该节点的详情信息；当选中界面图谱中的某一边，则如界面变化状态图2所示弹出该边的详情信息窗，当在主视图图谱中选中任意两个节点，再点击顶部工具栏中的“最短路径”，则如变化状态图2所示界面上呈现两点之间的最短路径，当点击界面右侧的“节点列表”，则显示出全部节点的信息。
 7.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</si>
  <si>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显示屏幕面板用的样本关系图谱图形用户界面</t>
  </si>
  <si>
    <t>CN307853809S</t>
  </si>
  <si>
    <t>1.本外观设计产品的名称：显示屏幕面板用的威胁组织图谱图形用户界面。
 2.本外观设计产品的用途：用于显示界面内容。
 3.本外观设计产品的设计要点：在于显示的图形用户界面的界面内容。
 4.最能表明设计要点的图片或照片：主视图。
 5.惯常设计，省略显示屏幕面板的其它视图。
 6.图形用户界面的用途：用于展示APT（高级持续性威胁）组织知识图谱，包含IP、域名、MD5、攻击者、受害单位等。
 人机交互内容：主视图是展示APT组织知识图谱的系统主界面，用户在该界面图谱中点击某个节点，可将该节点的下级节点展开或收起；当点击主视图右上的“显示名称”按钮，则如界面变化状态图1所示，展示全部节点的名称；当通过鼠标等输入设备在主视图图谱中滑过某任意节点，则如界面变化状态图2所示，高亮显示该节点及全部上级节点；当在右上的搜索框中输入节点类型或检索值并点击“查询”按钮，则如界面变化状态图3所示，高亮并放大显示该节点及全部上级节点。
 7.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</si>
  <si>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显示屏幕面板用的威胁组织图谱图形用户界面</t>
  </si>
  <si>
    <t>RU2796646C1</t>
  </si>
  <si>
    <t>领域:安全设备。物质:确保水体综合安全的系统。 用于确保水体综合安全的系统包括由软件和硬件组件组成的功能块,配置为接收-传输和/或分析有关水体事件的信息并发布适当的场景以防止危险情况,并包括一个自动救援工作站 访问分析单元的用户界面; 气象监控单元,视频监控单元,全景摄像机监控沙滩和游泳区,云台摄像机监控游泳区和水域; 水文监测单元,这是一种配备水平声纳和水温测量传感器的浮标形式的设备,电流通知单元,分析单元,基于服务器硬件和软件使用人工智能技术实现并设计 用于视频分析系统、水分析系统、外部设备管理系统、通知管理系统的操作。效果:不仅在水面上,而且在水下提供对游泳者的综合监控。1 cl,3 dwg</t>
  </si>
  <si>
    <t>水体综合安全</t>
  </si>
  <si>
    <t>IN202241042580A</t>
  </si>
  <si>
    <t>由于对工业运营、家庭自动化和医疗保健的智能生活和智能解决方案的需求,物联网 (IoT) 在技术和社会领域具有重要意义。 电信网络为物理系统和手持设备中的设备提供全天候的互联网连接。 这些发展使得在用户与一个或多个应用程序交互时随时随地保持参与变得容易。 许多智能设备可能会在后台进行交互,从而导致事件驱动的智能活动根据策略发出警报或记录状态摘要。 正在为工业、交通、电子医疗保健、电子教育和其他日常生活活动塑造智能解决方案。 IoT 活动是自主的,并支持动态的机器对机器 (M2M) 通信。 异质性、信号质量的动态变化和大量数据的挑战正在通过多种技术得到解决。 在本文中,我们讨论了基于物联网的智能系统技术、安全性、漏洞以及使用机器学习 (ML) 和人工智能 (AI) 的智能解决方案的作用。 阻碍广泛采用物联网的持续努力的一个关键因素是安全性。 物联网和机器学习 (ML) 在生活的许多方面具有广泛的适用性,医疗保健就是其中之一。 随着互联网的快速发展和完善,传统的患者服务策略逐渐被电子医疗系统所取代。 物联网技术的使用为医疗专业人员和患者提供了最现代化的医疗设备环境。 物联网和机器学习在从远程观察现代气候到机械化的各种领域中都很有价值。 此外,鉴于成本降低、易于理解和提高患者的个人满意度,医疗保健应用程序主要表明对物联网事物的兴趣。 物联网医疗的最新应用,经过调查并在临床环境中仍面临问题,需要基于智力和创造力的答案。 在特定的便携式和植入式物联网模型设备中,研究了计算数据传输的方法。 植入技术导致人体受伤部位的自然替代。 可穿戴和植入式医疗保健身体区域网络的创建面临着本研究中说明的几个挑战。 在本文中,详细展示了基于医疗保健的物联网和机器学习的概述,通过将机器学习 (ML) 结合到物联网 (IoT) 中,在医疗保健中使用的应用程序列出了使用它时的所有问题和挑战 用于医疗保健的应用程序或设备及其重要用途。 此外,通过显示以前的工作来指示物联网中机器学习用于开发设备的算法,并根据使用的方法对它们进行分类。</t>
  </si>
  <si>
    <t>用于医疗保健应用的基于机器学习 (ML) 和物联网 (IOT) 的智能人体活动发现系统</t>
  </si>
  <si>
    <t>CN307887937S</t>
  </si>
  <si>
    <t>1.本外观设计产品的名称：显示屏幕面板的智能指标图谱图形用户界面。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6.图形用户界面的用途：本图形用户界面用于智能指标图谱，以图谱的形式，查看挖掘指标与指标之间的关系，并支持图谱管理，指标图谱具有下钻、拖拽的功能。
 设计1主视图为显示一项指标的收起状态下的界面，用户在该指标上右击，出现功能窗口，如设计1界面变化状态图1所示，点击“下钻”按钮，展开与该指标相关的各种数据关系，如设计1界面变化状态图2所示。
 设计2主视图为显示一项指标的相关数据关系展开状态下的界面，用户在任意相关关系指标上右击，出现功能窗口，如设计2界面变化状态图1所示，点击“下钻”按钮，展开与该指标相关的各种数据关系，如设计2界面变化状态图2所示。
 设计3主视图为显示一项指标的相关关系展开状态下的界面，其中指标图谱具有拖拽功能，用户可根据需要进行拖拽，如设计3界面变化状态图所示。
 设计4至设计8的变化过程参照设计1。
 7.其他说明：本显示屏幕面板应用于车辆、计算机、笔记本电脑、平板电脑、手机、智能手表、智能手环、健身监视器、头戴式耳机、个人数字助理（PDA）、智能音箱、电视、机顶盒、投影仪、游戏机或导航仪。</t>
  </si>
  <si>
    <t>显示屏幕面板的智能指标图谱图形用户界面</t>
  </si>
  <si>
    <t>CN114984509A</t>
  </si>
  <si>
    <t>本发明公开了一种数字阻力器健身系统及系统数据处理方法，所述系统包括：数字阻力模块、控制模块、智能终端；其中，所述数字阻力模块与所述控制模块电连接；所述控制模块包括：处理单元、与所述处理单元分别连接的语音识别单元、触控显示单元、VR设备、速度传感器、负荷传感器、位置传感器、无线通信单元；所述控制模块通过所述无线通信单元与所述智能终端无线连接。利用本发明实施例，能够丰富健身器材的功能，提高健身器材的智能化程度，从而提升用户体验。</t>
  </si>
  <si>
    <t>一种数字阻力器健身系统及系统数据处理方法</t>
  </si>
  <si>
    <t>CN307783628S</t>
  </si>
  <si>
    <t>1.本外观设计产品的名称：船挖辅助作业图形用户界面的显示屏幕面板。
 2.本外观设计产品的用途：用于交互和显示。
 3.本外观设计产品的设计要点：在于图形用户界面的界面内容。
 4.最能表明设计要点的图片或照片：主视图。
 5.显示屏幕面板为惯常设计，省略显示屏幕面板的其他视图。
 6.图形用户界面的用途：用于对船挖作业进行辅助显示。
 7.图形用户界面在产品中的区域：该显示屏幕面板可以应用于计算机、笔记本电脑、平板电脑、手机、智能手环、智能眼镜、手表、健身监视器、头戴式耳机、个人数字助理、智能音箱、电视、监视器、投影仪、机顶盒、导航仪、用于车辆的显示装置。
 8.图形用户界面的人机交互方式：主视图为船挖初始位置界面视图，标尺实时显示船挖铲斗齿尖的坐标，界面右上方的方向键代表当前挖掘机的运行状态，右上方多个显示灯表示船挖铲斗齿尖当前在水下深度的警示灯；当船挖铲斗齿尖朝水面下移动时，界面经主视图跳转至界面变化状态图1，此时警示灯亮度从主视图的第一个亮起逐渐跳转至第三个亮起；当船挖铲斗齿尖继续向下移动且到达指定挖掘位置时，界面经界面变化状态图1转至界面变化状态图2，此时警示灯从界面变化状态图1的第三个亮起跳转至第四个亮起；挖掘一定时间后，界面经界面变化状态图2转至界面变化状态图3，同时界面变化状态图3中的右上方方向键从界面变化状态图2的向下键亮起转为向上键亮起，代表此时船挖铲斗齿尖挖掘状态是朝向水面移动；当船挖铲斗齿尖持续向上移动时，界面经界面变化状态图3依次转至界面变化状态图4和界面变化状态图5，界面变化状态图4为船挖铲斗齿尖向上移动的中间状态的界面视图，界面变化状态图5为船挖铲斗齿尖到达水面的界面视图，船挖铲斗向水面移动过程中，界面右上方的警示灯从右往左依次变暗。</t>
  </si>
  <si>
    <t>船挖辅助作业图形用户界面的显示屏幕面板</t>
  </si>
  <si>
    <t>IR108771B-该数据不支持导出</t>
  </si>
  <si>
    <t>CN115035762A</t>
  </si>
  <si>
    <t>本发明公开了基于人工智能教育互动系统，涉及人工智能技术领域，包括云人工智能服务器、识别端口、教学演示终端和电源启动终端，所述教学演示终端与云人工智能服务器、识别端口和电源启动终端通过互联网保持实时数据互通，本发明通过设置有云人工智能服务器、识别端口、教学演示终端和电源启动终端组成完整的教育互动系统，在进行使用时通过电源启动终端进行启动，对输入信息、操作人员当前信息进行双重信息识别，提高了识别效率与精准度，进行系统流程化的互动请求指令数据库对比、学习分析、对比推理、语言处理和演示操作，实现最佳互动效果得目的，从而缩短了整体操作流程，加大了整体的工作效率，满足了使用时所需。</t>
  </si>
  <si>
    <t>基于人工智能教育互动系统</t>
  </si>
  <si>
    <t>CN114937230B</t>
  </si>
  <si>
    <t>本发明涉及计算机视觉技术领域，具体涉及一种基于计算机视觉的健身动作危险性评估方法及系统，该方法首先提取出感兴趣区域，检测感兴趣区域中的关键点，由关键点构建特征多面体；获取特征多面体的特征值，根据特征值和特征多面体对应的健身视频图像帧数构建特征矩阵；计算特征矩阵对应的第一异常特征值、第二异常特征值和第三异常特征值，大于预设异常阈值的第三异常特征值为异常特征值；对异常特征值进行聚类得到多个异常类别，得到异常特征值的离散程度和密度；根据离散程度和密度得到健身人员动作的危害程度。本发明利用健身人员的特征多面体的特征值变化获得异常特征值，达到了提高其对健身动作危害程度评估的可靠性的目的。</t>
  </si>
  <si>
    <t>一种基于计算机视觉的健身动作危险性评估方法及系统</t>
  </si>
  <si>
    <t>CN115367080A</t>
  </si>
  <si>
    <t>本发明公开了一种游泳场馆水体净化和清洁用仿生机器蝠鲼。采用太阳能电池作为动力，通过马达驱动鳍条带动柔性胸鳍运动，配置有具备杀菌功能的紫外灯条。水质监测管可监测水混浊度、pH值、尿素、游离性余氯等指标。头部配置摄像头、LED照明设备，身体上配置探测传感器。可基于水质监测和图像识别结果，主动识别而自主进行水体净化和清洁。污水从蝠鲼的口部进入后，在水泵运转产生的负压的引流下，有两条路径。在水体净化模式下，水体通过净化过滤包净化；在垃圾过滤模式下，水体经粗过滤包过滤去除固体垃圾，净水从背部的排水口排出。装载在腹部的滚刷可转动刷洗池壁，污水经腹部的吸水口，经粗过滤包过滤后，净水从排水口排出。</t>
  </si>
  <si>
    <t>一种游泳场馆水体净化和清洁用仿生机器蝠鲼</t>
  </si>
  <si>
    <t>CN307706381S</t>
  </si>
  <si>
    <t>1.本外观设计产品的名称：带课程模考预约图形用户界面的显示屏幕面板。
 2.本外观设计产品的用途：本外观设计产品的图形用户界面用于在显示屏幕面板上进行人机交互，显示屏幕面板为惯常设计，并用于游戏机、手机、平板电脑、计算机、教育机、车载导航仪、智能电视、游戏主机显示器。
 3.本外观设计产品的设计要点：在于显示屏幕面板中显示的图形用户界面。
 4.最能表明设计要点的图片或照片：设计1主视图。
 5.指定设计1为基本设计。
 6.图形用户界面的用途：本外观设计的产品界面用于供驾校员工对学员的培训课程或模拟考试进行预约，设计1主视图显示的界面为驾校员工对学员的驾驶培训课程进行预约的界面，界面中展示出驾校教练多个可预约的培训课程，被选中的培训课程上方具有该课程信息的浮窗；在设计1主视图显示的界面点击任一驾驶培训课程进入设计1变化状态图1显示的约课编辑界面，具有多个编辑选项供驾校员工填写编辑；在设计1变化状态图1显示的界面点击确定选项进入设计1变化状态图2显示的驾校员工成功为学员预约相关培训课程之后的界面；设计2主视图显示的界面为驾校员工对学员的驾驶模拟考试进行预约的界面，界面中展示出驾校教练多个可预约的模拟考试；在设计2主视图显示的界面点击任一模拟考试进入设计2变化状态图1显示的学员模拟考试编辑界面，具有多个编辑选项供驾校员工填写编辑以对所选的模拟考试进行编辑；在设计2变化状态图1显示的界面点击保存选项进入设计2变化状态图2显示的驾校员工为学员成功预约相关模拟考试之后的界面；以上视图中，视图右上角的圆圈代表用户头像，左上角的方框代表驾校logo图片。
 7.省略视图：本外观设计产品设计1‑2的后视图、左视图、右视图、俯视图及仰视图无设计要点，故此省略。</t>
  </si>
  <si>
    <t>带课程模考预约图形用户界面的显示屏幕面板</t>
  </si>
  <si>
    <t>CN307847836S</t>
  </si>
  <si>
    <t>1.本外观设计产品的名称：显示屏幕面板用的智能助手交互图形用户界面。
 2.本外观设计产品的用途：用于交互和显示。
 3.本外观设计产品的设计要点：在于图形用户界面的界面内容。
 4.最能表明设计要点的图片或照片：界面变化状态图3。
 5.其他视图无设计要点，省略其他视图。
 6.图形用户界面的用途：用于智能助手进行对话问答。
 7.图形用户界面的人机交互方式：主视图为带有智能助手的主界面，在该主界面左侧菜单栏顶部展示站立且挥手的智能助手吉祥物，接着如界面变化状态图1所示界面中的吉祥物趴下，表示该页面功能已准备就绪；当没有对其进行操作时，则如界面变化状态图2所示界面中的吉祥物转换为睡觉形态，表示该界面功能处于待使用状态；将外接输入设备的光标等移动到界面中的吉祥物，则如界面变化状态图3展示的引导用户使用功能界面，该界面中的吉祥物做出探头动作并在一侧展示对话框；点击界面变化状态图3中的吉祥物，则如界面变化状态图4展示的对话问答弹框界面，与智能吉祥物进行问答对话以解决问题。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</si>
  <si>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显示屏幕面板用的智能助手交互图形用户界面</t>
  </si>
  <si>
    <t>CN308006449S</t>
  </si>
  <si>
    <t>1.本外观设计产品的名称：显示屏幕面板用的风险数据信息管理图形用户界面。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6.图形用户界面的用途：用于管理风险数据信息。
 7.图形用户界面的人机交互方式：主视图为风险数据信息管理系统展示的主界面；点击主视图菜单导航栏中的“信用风险”模块下的整体情况导向栏，跳转至界面变化状态图1；点击主视图菜单导航栏中的外部动向模块下的“宏观经济”中的“区域经济”导向栏，跳转至界面变化状态图2；拖动界面变化状态图2页面，则如界面变化状态图3所示接续展示页面；点击主视图菜单导航栏中的“机构视图”模块下的区域分析导向栏，跳转至界面变化状态图4；拖动界面变化状态图4页面，则如界面变化状态图5所示接续展示页面；拖动界面变化状态图5页面，则如界面变化状态图6所示接续展示页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</si>
  <si>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显示屏幕面板用的风险数据信息管理图形用户界面</t>
  </si>
  <si>
    <t>WO2023004285A1</t>
  </si>
  <si>
    <t>增强现实运动数据分析系统包括可由第一用户佩戴的计算机化视觉设备。 计算机化的视觉设备具有显示屏,该显示屏被配置为在第一用户的近端视野内显示数据集,而不会完全阻碍第一用户的远端视野。 运动设置在第一用户的远端视野内。 至少一名运动员位于运动环境中。 至少一个传感器与计算机化的视觉装置通信,该至少一个传感器感测数据对应于至少一名运动员。 计算机化数据处理系统与计算机化视觉装置和至少一个传感器通信。 由至少一个传感器感测到的数据由计算机化数据处理系统处理以产生分析运动数据,该数据被填充到计算机化视觉设备的显示屏上的数据集中。</t>
  </si>
  <si>
    <t>增强现实和人工智能运动数据分析系统和方法</t>
  </si>
  <si>
    <t>CN115311681A</t>
  </si>
  <si>
    <t>本发明公开了一种基于视觉技术的足球运球绕杆测试方法、装置和设备，涉及体育运动测试技术领域。本发明实施例采用低成本、低功耗、高算力的边缘智能化设备和消费品级2D摄像头，结合AI深度学习中的目标检测算法、人体关节点检测算法，实现了足球运球绕杆运动项目的实时精确测量。使用本发明方案后，可以实时播报出测试人员的足球运球绕杆成绩，计时成绩精度为±0.1s，达到了体育考试级别的要求。本发明解决了现有技术安装部署难、部分犯规无法判断问题，还可以查看测试过程录像和测试过程分析。</t>
  </si>
  <si>
    <t>一种基于视觉技术的足球运球绕杆测试方法、装置和设备</t>
  </si>
  <si>
    <t>CN307769355S</t>
  </si>
  <si>
    <t>1.本外观设计产品的名称：显示屏幕面板的桌面首页的图形用户界面。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6.图形用户界面的用途：本图形用户界面的设计点在于桌面首页，用户长按应用程序图标，可唤起该应用程序的快捷弹窗。
 设计1主视图为桌面首页界面，设计2主视图和设计3主视图为唤起快捷弹窗的桌面首页界面。
 7.其他说明：本显示屏幕面板应用于车辆、计算机、笔记本电脑、平板电脑、手机、智能手表、智能手环、健身监视器、头戴式耳机、个人数字助理（PDA）、智能音箱、电视、机顶盒、投影仪、游戏机或导航仪。</t>
  </si>
  <si>
    <t>显示屏幕面板的桌面首页的图形用户界面</t>
  </si>
  <si>
    <t>CN307769354S</t>
  </si>
  <si>
    <t>1.本外观设计产品的名称：显示屏幕面板的快捷方式编辑的图形用户界面。
 2.本外观设计产品的用途：用于运行程序、信息显示、人机交互。
 3.本外观设计产品的设计要点：在于屏幕中图形用户界面的界面内容。
 4.最能表明设计要点的图片或照片：主视图。
 5.图形用户界面的用途：本图形用户界面的设计点在于快捷方式编辑。
 主视图为智能助理界面，用户在应用程序显示区域长按，界面出现弹窗，点击弹窗的编辑按钮，界面出现快捷功能的弹窗，如界面变化状态图1所示，用户点击快捷功能弹窗右上角的编辑按钮，进入快捷功能编辑界面，如界面变化状态图2所示，点击快捷功能弹窗中的应用程序的添加按钮，可将该应用程序添加至界面左侧的应用程序显示区域，在快捷功能弹窗中上滑至底部，可选择其他应用程序，如界面变化状态图3所示，点击快捷功能弹窗底部的选择其他应用程序按钮，弹出其他应用程序弹窗，如界面变化状态图4所示，用户点击任意应用程序，该应用程序可添加至界面左侧的应用程序显示区域。
 6.其他说明：本显示屏幕面板应用于车辆、计算机、笔记本电脑、平板电脑、手机、智能手表、智能手环、健身监视器、头戴式耳机、个人数字助理（PDA）、智能音箱、电视、机顶盒、投影仪、游戏机或导航仪。</t>
  </si>
  <si>
    <t>显示屏幕面板的快捷方式编辑的图形用户界面</t>
  </si>
  <si>
    <t>CN307769353S</t>
  </si>
  <si>
    <t>1.本外观设计产品的名称：显示屏幕面板的桌面主屏设置的图形用户界面。
 2.本外观设计产品的用途：用于运行程序、信息显示、人机交互。
 3.本外观设计产品的设计要点：在于屏幕中图形用户界面的界面内容。
 4.最能表明设计要点的图片或照片：主视图。
 5.图形用户界面的用途：本图形用户界面的设计点在于桌面主屏设置。
 主视图为桌面编辑界面，点击界面右下角的设置图标唤起设置弹窗，如界面变化状态图1所示，点击弹窗内的设置主屏后，进入设置主屏界面，用户可点击选择需要设置为主屏的页面，如界面变化状态图2所示。
 6.其他说明：本显示屏幕面板应用于车辆、计算机、笔记本电脑、平板电脑、手机、智能手表、智能手环、健身监视器、头戴式耳机、个人数字助理（PDA）、智能音箱、电视、机顶盒、投影仪、游戏机或导航仪。</t>
  </si>
  <si>
    <t>显示屏幕面板的桌面主屏设置的图形用户界面</t>
  </si>
  <si>
    <t>CN307769356S</t>
  </si>
  <si>
    <t>1.本外观设计产品的名称：显示屏幕面板的桌面编辑的图形用户界面。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6.图形用户界面的用途：本图形用户界面的设计点在于桌面编辑。
 设计1主视图为桌面首页界面，用户在界面双指捏合进入桌面编辑界面，如设计1界面变化状态图所示。
 设计2主视图为桌面编辑界面，用户勾选任意应用图标唤起界面下方的小屏幕，如设计2界面变化状态图所示，用户拖动小屏幕可编辑屏幕顺序。
 7.其他说明：本显示屏幕面板应用于车辆、计算机、笔记本电脑、平板电脑、手机、智能手表、智能手环、健身监视器、头戴式耳机、个人数字助理（PDA）、智能音箱、电视、机顶盒、投影仪、游戏机或导航仪。</t>
  </si>
  <si>
    <t>显示屏幕面板的桌面编辑的图形用户界面</t>
  </si>
  <si>
    <t>CN307887927S</t>
  </si>
  <si>
    <t>1.本外观设计产品的名称：带记录车辆数据和状态图形用户界面的显示屏幕面板。
 2.本外观设计产品的用途：本外观设计产品的图形用户界面用于在显示屏幕面板上进行人机交互，显示屏幕面板为惯常设计，并用于游戏机、手机、平板电脑、计算机、教育机、车载导航仪、智能电视、游戏主机显示器。
 3.本外观设计产品的设计要点：在于显示屏幕面板中显示的图形用户界面。
 4.最能表明设计要点的图片或照片：设计1主视图。
 5.指定设计1为基本设计。
 6.图形用户界面的用途：本外观设计的产品界面用于帮助学员掌握汽车驾驶技术了解自己各个项目的练习情况以及帮助教练追踪学员练车情况；其中，设计1、2、5、6主视图显示的界面均为展现和记录驾驶员驾驶过程中手动挡车辆的相关状态和练习数据；设计3、4、7、8主视图显示的界面均为展现和记录驾驶员驾驶过程中自动挡车辆的相关状态和练习数据；以上视图中，视图左上角的圆圈代表用户头像。
 7.省略视图：本外观设计产品设计1‑8的后视图、左视图、右视图、俯视图及仰视图无设计要点，故此省略。</t>
  </si>
  <si>
    <t>带记录车辆数据和状态图形用户界面的显示屏幕面板</t>
  </si>
  <si>
    <t>CN307933378S</t>
  </si>
  <si>
    <t>1.本外观设计产品的名称：显示屏幕面板的股票编辑的图形用户界面。
 2.本外观设计产品的用途：用于运行程序、信息显示、人机交互。
 3.本外观设计产品的设计要点：在于屏幕中图形用户界面的界面内容。
 4.最能表明设计要点的图片或照片：主视图。
 5.图形用户界面的用途：本图形用户界面的设计点在于股票编辑。
 主视图为智能助理界面，用户在股票显示区域长按，界面出现弹窗，点击弹窗的“编辑”按钮，界面出现股票行情弹窗，如界面变化状态图1所示，点击股票行情弹窗内的配色方案后的上下按钮，可设置相关参数，如界面变化状态图2所示。
 6.其他说明：本显示屏幕面板应用于车辆、计算机、笔记本电脑、平板电脑、手机、智能手表、智能手环、健身监视器、头戴式耳机、个人数字助理（PDA）、智能音箱、电视、机顶盒、投影仪、游戏机或导航仪。</t>
  </si>
  <si>
    <t>显示屏幕面板的股票编辑的图形用户界面</t>
  </si>
  <si>
    <t>US20220351575A1</t>
  </si>
  <si>
    <t>一种基于棒球或板球阵容背景的人工智能调整赔率的方法。 具体的例子包括一个击球手可能因为下一个上场而被投球,以及当一名接球手接近他面对的第三个击球手时(他可以被替换之前的最低限度)。</t>
  </si>
  <si>
    <t>阵容特定赔率操纵</t>
  </si>
  <si>
    <t>WO2023286068A1</t>
  </si>
  <si>
    <t>一种用于协助体育比赛分析师的计算机实现系统包括:可操作以与用户交互的用户界面; 存储器存储运动游戏玩家和游戏对象在运动场地内的位置的记录; 可与用户界面和存储器协同操作的处理器。 该处理器被配置为执行训练有素的人工智能算法。 处理器被配置为通过人工智能算法查询运动游戏玩家和游戏对象的实时位置以及预测运动游戏玩家和游戏对象在比赛场地内的未来位置。</t>
  </si>
  <si>
    <t>辅助体育教练的装置及其实现方法</t>
  </si>
  <si>
    <t>CN307913423S</t>
  </si>
  <si>
    <t>1.本外观设计产品的名称：显示屏幕面板用的数字钱包图形用户界面。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6.图形用户界面的用途：用于展示数字钱包的功能信息。
 7.图形用户界面的人机交互方式：主视图为数字钱包的主界面，其展示数字钱包的封面；开机启动展示主视图后自动跳转至界面变化状态图1展示的带有“存钱”、“取钱”、“查询”、“帮助”等功能按钮的客户基本信息页面，该页面展示客户户名、账号以及交易记录等信息；点击界面变化状态图1中的“查询”按钮，跳转至界面变化状态图2展示的交易日历页面，该页面中发生交易记录的日期采用高亮显示，点击页面左上角的“返回主页”按钮，跳转至界面变化状态图1；点击界面变化状态图2中高亮显示的日期，则如界面变化状态图3展示的该高亮日期的交易明细弹窗，该弹窗展示具体的“交易日期”、“交易类型”、“收入”、“余额”等交易信息，点击弹窗下方的“关闭”按钮关闭交易明细弹窗；点击界面变化状态图1中的“帮助”按钮，跳转至界面变化状态图4展示的呼叫客服页面，该页面包含有客户经理头像、姓名、评分、职位等基本信息；点击界面变化状态图1中的“取钱”按钮，跳转至界面变化状态图5展示的取款金额页面，该页面包含数字输入框和输入键盘，通过输入键盘输入数字输入框内的取款金额，页面的左上角显示有“返回主页”按钮，点击“返回主页”按钮，跳转至界面变化状态图1；在界面变化状态图5中输入取出金额后点击“确定”按钮，则如界面变化状态图6展示的取款金额确认弹窗，该弹窗中包含有“交易日期”、“交易类型”、“金额”等交易信息，点击弹窗下方的“确定”按钮确认取款申请继续取款交易，点击“取消”按钮来取消取款交易；点击界面变化状态图6中的“确定”按钮，跳转至界面变化状态图7展示的上门服务信息提示页面；当工作人员上门服务时，则跳转至如界面变化状态图8展示的验证身份页面，该页面包含有客户经理头像、项目、职位、工作单位等基本信息，页面下方显示提示语引导工作人员刷卡验证身份；工作人员完成刷卡验证身份后，则如界面变化状态图9展示的动态验证码页面，提示取款人将该页面显示的动态验证码提供给工作人员，用来发起取款指令并解锁存钱或取钱的保险箱，点击左上角设置的“返回主页”按钮能够跳转至界面变化状态图1；工作人员利用动态验证码进行操作之后，则如界面变化状态图10展示的身份验证成功弹窗，该弹窗包含有“交易账户”、“交易明细”等取款信息，点击弹窗下方的“确定”按钮确认取款，点击“取消”按钮放弃取款；当点击界面变化状态图10中的“确定”按钮，则如界面变化状态图11展示的包含有“交易日期”、“交易类型”、“金额”、“余额”等交易信息的动帐信息弹窗，点击弹窗下方的“确定”按钮完成此次取款。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</si>
  <si>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显示屏幕面板用的数字钱包图形用户界面</t>
  </si>
  <si>
    <t>CN308141401S</t>
  </si>
  <si>
    <t>1.本外观设计产品的名称：显示屏幕面板用的群众服务图形用户界面。2.本外观设计产品的用途：用于交互和显示。3.本外观设计产品的设计要点：在于图形用户界面的界面内容。4.最能表明设计要点的图片或照片：界面变化状态图1。5.其他视图无设计要点，省略其他视图。6.图形用户界面的用途：用于向群众提供服务。7.图形用户界面的人机交互方式：主视图展示为群众服务的活动列表界面；点击主视图中的项目状态列表中的任一未开始项目，跳转至界面变化状态图1；点击界面变化状态图1中的“我要认领”按钮，跳转至界面变化状态图2；点击主视图下方的“发起项目”按钮，跳转至界面变化状态图3；拖动界面变化状态图3界面，则如界面变化状态图4所示；点击界面变化状态图4下方的“发布”按钮，跳转至界面变化状态图5；点击界面变化状态图5下方的“我发起的项目”按钮，跳转至界面变化状态图6；点击界面变化状态图6中待审核状态的项目，跳转至界面变化状态图7；点击界面变化状态图6中的已办结状态的项目，跳转至界面变化状态图8；拖动界面变化状态图8界面，则如界面变化状态图9所示；拖动界面变化状态图9界面，则如界面变化状态图10 所示；点击界面变化状态图9认领界面的“查看更多”按钮，跳转至界面变化状态图11；点击主视图中项目活动列表中的任一进行中活动，跳转至界面变化状态图12；点击界面变化状态图12界面下方的“上传服务动态”按钮，跳转至界面变化状态图13；拖动界面变化状态图13界面，则如界面变化状态图14所示；若用户为管理员角色，点击主视图中“我的”模块，跳转至界面变化状态图15。8.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</si>
  <si>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显示屏幕面板用的群众服务图形用户界面</t>
  </si>
  <si>
    <t>CN114898281B</t>
  </si>
  <si>
    <t>本发明涉及一种基于计算机视觉的篮球框异常检测方法及系统，涉及篮球框异常检测技术领域。方法包括以下步骤：根据目标篮球框和对应的标准圆之间的像素点差异，得到各目标篮球框对应的形态指标；计算最后一帧篮球场全景图像对应的各目标篮球框的最小外接矩形；根据各目标篮球框的最小外接矩形和对应的标准最小外接矩形之间的差异，得到各目标篮球框对应的弯折程度指标；将各帧篮球场全景图像输入到关键点检测网络，得到各帧篮球场全景图像对应的关键点热力图；根据关键点热力图，得到各目标篮球框对应的热度指标；根据各目标篮球框对应的形态指标、弯折程度指标和热度指标，得到各目标篮球框的异常程度。本发明能够提高篮球框异常检测的准确性。</t>
  </si>
  <si>
    <t>一种基于计算机视觉的篮球框异常检测方法及系统</t>
  </si>
  <si>
    <t>CN307960076S</t>
  </si>
  <si>
    <t>1.本外观设计产品的名称：显示屏幕面板的系统快捷设置图形用户界面。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6.图形用户界面的用途：本图形用户界面用于车辆系统快捷设置。
 设计1主视图和设计2主视图为车辆系统快捷设置界面，用户可根据界面提示进行相关操作。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</si>
  <si>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显示屏幕面板的系统快捷设置图形用户界面</t>
  </si>
  <si>
    <t>CN308006447S</t>
  </si>
  <si>
    <t>1.本外观设计产品的名称：显示屏幕面板用的竞赛答题图形用户界面。
 2.本外观设计产品的用途：用于交互和显示。
 3.本外观设计产品的设计要点：在于图形用户界面的界面内容。
 4.最能表明设计要点的图片或照片：界面变化状态图1。
 5.图形用户界面的用途：用于展示竞赛答题的信息。
 6.图形用户界面的人机交互方式：主视图为竞赛答题的主界面；点击主视图显示为进行中状态的任一活动，跳转至界面变化状态图1；拖动界面变化状态图1的界面，则如界面变化状态图2接续展示的活动详情界面；点击主视图显示为“未开始”状态的任一活动，跳转至界面变化状态图3；点击主视图显示为“已结束”状态的任一活动，跳转至界面变化状态图4；点击界面变化状态图1中的“开始答题”按钮，跳转至界面变化状态图5；点击界面变化状态图5中的“下一题”按钮，跳转至界面变化状态图6；点击界面变化状态图6中的“下一题”按钮，跳转至界面变化状态图7；点击界面变化状态图5或界面变化状态图6或界面变化状态图7中的答题卡图标，跳转至界面变化状态图8；点击界面变化状态图7中的“完成交卷”按钮，若成绩通过，跳转至界面变化状态图9；点击界面变化状态图7中的“完成交卷”按钮，若成绩未通过，跳转至界面变化状态图10。
 7.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仪。</t>
  </si>
  <si>
    <t>显示屏幕面板用的竞赛答题图形用户界面</t>
  </si>
  <si>
    <t>CN308120150S</t>
  </si>
  <si>
    <t>1.本外观设计产品的名称：带卫星频段监控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航天卫星频段监控、数据展示的用途。;7.图形用户界面的人机交互方式：主视图显示的图形用户界面为打开程序的起始界面；在主视图点击最左侧主菜单“和德二号A星X频段”展开右侧子菜单后并点击“星务计算机速变源包”按钮进入界面变化状态图1；点击界面变化状态图1中央左上角的“ZTMS001_上注指令接收计数”按钮得到界面变化状态图2；点击界面变化状态图2中央左上角的“ZTMS003_程控指令接收计数”按钮得到界面变化状态图3；点击界面变化状态图3中央最上方的“ZTMS002_上注指令执行计数”按钮得到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1.本外观设计产品的名称：带卫星频段监控图形用户界面的显示屏幕面板。;2.本外观设计产品的用途：用于显示图形用户界面。;3.本外观设计产品的设计要点：在于屏幕中的图形用户界面。;4.最能表明设计要点的图片或照片：主视图。;5.其他视图无设计要点，省略其他视图。;6.图形用户界面的用途：界面用于航天卫星频段监控、数据展示的用途。;7.图形用户界面的人机交互方式：主视图显示的图形用户界面为打开程序的起始界面；在主视图点击最左侧主菜单“和德二号A星X频段”展开右侧子菜单后并点击“星务计算机速变源包”按钮进入界面变化状态图1；点击界面变化状态图1中央左上角的“ZTMS001_上注指令接收计数”按钮得到界面变化状态图2；点击界面变化状态图2中央左上角的“ZTMS003_程控指令接收计数”按钮得到界面变化状态图3；点击界面变化状态图3中央最上方的“ZTMS002_上注指令执行计数”按钮得到界面变化状态图4。;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t>
  </si>
  <si>
    <t>带卫星频段监控图形用户界面的显示屏幕面板</t>
  </si>
  <si>
    <t>CN308146498S</t>
  </si>
  <si>
    <t>1.本外观设计产品的名称：显示屏幕面板的系统快捷设置图形用户界面。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6.图形用户界面的用途：本图形用户界面用于车辆系统快捷设置。
 设计1主视图为车辆系统快捷设置界面，用户点击“动力‑舒适”按钮，进入动力调节快捷设置界面，如设计1界面变化状态图所示。
 设计2主视图为车辆系统快捷设置界面，用户点击“HUD高度”按钮，进入抬头显示快捷设置界面，如设计2界面变化状态图所示。
 设计3主视图为车辆系统快捷设置界面，用户点击“模式‑混动”按钮，进入模式快捷设置界面，如设计3界面变化状态图所示。
 设计4主视图为车辆系统快捷设置界面，用户点击“空悬‑高位”按钮，进入空气悬挂快捷设置界面，如设计4界面变化状态图所示。
 7.其他说明：本显示屏幕面板应用于车辆、计算机、笔记本电脑、平板电脑、手机、智能手表、智能手环、健身监视器、头戴式耳机、个人数字助理（PDA）、智能音箱、电视、机顶盒、投影仪、游戏机或导航仪。</t>
  </si>
  <si>
    <t>WO2023146682A1</t>
  </si>
  <si>
    <t>训练代理的方法使用混合场景,旨在教授在更大领域有用的特定技能,例如混合一般赛车和非常具体的战术赛车场景。 该方法的方面可以包括以下一项或多项:(1)通过将一辆或多辆汽车分散在赛道上来训练智能体非常擅长计时赛; (2) 在各种赛车场景中运行代理,数量可变的对手在赛道上以不同的配置开始; (3)通过使用游戏提供的智能体、根据本发明的各方面训练的智能体或受控制遵循特定行驶路线的智能体来改变对手; (4) 在各种比赛情况下与对手设置特定的短场景,并具有特定的成功标准; (5) 根据智能体在各种评估场景中的表现制定动态课程。</t>
  </si>
  <si>
    <t>用课程和技能训练人工智能代理的方法</t>
  </si>
  <si>
    <t>CN115131183A</t>
  </si>
  <si>
    <t>本发明提供了一种提高体育教学效果的方法及系统，涉及教学方法优化技术领域，基于教学对象信息对教学对象进行体育素质分析，获得教学对象体育素质信息集，对教学内容信息进行获取，通过对各课程阶段对应的教学内容进行特征分析，确定教学安排特征信息集，根据教学目标、教学课程安排确定教学课程安排目标关系，进一步进行目标函数关系的构建，利用遗传算法确定教学目标最优课程安排信息，解决了现有技术中存在的大部分的教学课程安排多为集体化教学，未将学生的自身情况考虑其中，会一定程度上影响到教学结果的技术问题，达到了通过进行课程安排优化实现教学质量最大化的目的。</t>
  </si>
  <si>
    <t>一种提高体育教学效果的方法及系统</t>
  </si>
  <si>
    <t>CN115065705A</t>
  </si>
  <si>
    <t>本申请公开了健身效果监测方法、装置、电子设备、存储介质及系统，应用于人工智能领域，所述健身效果监测方法包括：通过三维监测装置获取用户点云数据，根据所述用户点云数据建立用户身体模型数据；将所述用户身体模型数据与预设模型库中的历史用户数据进行对比，得到用户历史对比结果；将所述用户身体模型数据与所述预设模型库中的大众典型数据进行对比，得到大众典型对比结果；根据所述用户历史对比结果和所述大众典型对比结果，确定健身效果监测结果。本申请解决了现有技术中对用户健身效果监测的准确性差的技术问题。</t>
  </si>
  <si>
    <t>健身效果监测方法、装置、电子设备、存储介质及系统</t>
  </si>
  <si>
    <t>US20220343899A1</t>
  </si>
  <si>
    <t>提供了使计算系统从多方对话(例如,教练和学员之间)中提取对话特征、将对话特征应用于机器学习系统以生成对话分析指标并将对话分析指标的映射应用于 行动和推论,以确定为多方对话采取的行动或作出的推论。 在各种实施方式中,动作和推断可以包括确定多方对话的分数,例如朝着教练目标的进展的分数、整个对话中各个点的即时分数、对话影响分数、所有权分数等。这些分数可以是, 例如,与上下文和基准指标一起出现在各种用户界面中,用于为教练或学员选择资源,用于更新教练/学员匹配,用于提供实时警报以表明对话的进展情况等。</t>
  </si>
  <si>
    <t>在计算上对多方对话做出反应</t>
  </si>
  <si>
    <t>CN217745652U</t>
  </si>
  <si>
    <t>本申请涉及一种健身设备，具体涉及一种划船机，该划船机包括：机架本体，所述机架本体上设置有滑轨；主机壳体，设置为竖立固定于所述机架本体前端的环形壳体，所述主机壳体内部固定设置有磁阻组件、磁控惯性轮组件及速度检测组件，所述主机壳体上设置有人机交互终端及与所述磁控惯性轮组件联动的手柄，所述磁阻组件、速度检测组件与所述人机交互终端通信连接；坐垫，通过滚轮滑动设置于所述机架本体的滑轨上。本申请划船机实现自动控制，不同阻力值间的切换的响应速度达到毫秒级别且精度更高，支持多种训练模式及可视化训练，优化了用户的训练体验。</t>
  </si>
  <si>
    <t>划船机</t>
  </si>
  <si>
    <t>CN307791063S</t>
  </si>
  <si>
    <t>1.本外观设计产品的名称：显示屏幕面板的编曲图形用户界面。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6.图形用户界面的用途：本图形用户界面用于编曲。
 7.图形用户界面的人机交互方式：设计1至设计4主视图的图形用户界面为编曲的界面，用户可以点击界面底部的控件进行编曲。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t>
  </si>
  <si>
    <t>显示屏幕面板的编曲图形用户界面</t>
  </si>
  <si>
    <t>CN307791062S</t>
  </si>
  <si>
    <t>1.本外观设计产品的名称：显示屏幕面板的和弦编辑图形用户界面。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6.图形用户界面的用途：本图形用户界面用于编辑和弦。
 7.图形用户界面的人机交互方式：设计1至设计4主视图的图形用户界面均为和弦编辑的界面。
 在设计1主视图的界面中，当用户点击界面中部每行最右侧的控件时，界面进入设计1界面变化状态图，该控件位置对应设计1主视参考图中每行和弦最右侧的控件时。
 设计2至设计4的交互操作同设计1。
 各设计界面中的叉号代表文字和/或数字和/或字母和/或符号。
 8.该显示屏幕面板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t>
  </si>
  <si>
    <t>显示屏幕面板的和弦编辑图形用户界面</t>
  </si>
  <si>
    <t>CN307791064S</t>
  </si>
  <si>
    <t>1.本外观设计产品的名称：显示屏幕面板的录音及录音编辑图形用户界面。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6.图形用户界面的用途：本图形用户界面用于录音及录音编辑。
 7．图形用户界面的人机交互方式：设计1至设计6主视图的图形用户界面为录音的界面，用户可以点击界面底部的控件进行录音。
 在设计5主视图的界面中，当用户点击界面中部的条状色块时，界面进入设计5界面变化状态图，用户可以点击设计5界面变化状态图的底部的控件进行录音编辑。
 设计6的交互操作同设计5。
 设计4中的灰色色块为可替换的图片或视频。
 各设计界面中的叉号代表文字和/或数字和/或字母和/或符号。
 8．该图形用户界面可用于手机、计算机、平板电脑、电视、车载中控屏幕、车载导航仪、车载显示装置、游戏机、导航仪、多媒体一体机、智能音箱、智能健身设备、智能家电设备、带显示屏幕的机器人、智能手环、智能手表、智能眼镜、智能耳机、智能台灯、智能门系统、广告显示屏、自动售卖机、带显示屏幕的医疗器械。</t>
  </si>
  <si>
    <t>显示屏幕面板的录音及录音编辑图形用户界面</t>
  </si>
  <si>
    <t>CN307960334S</t>
  </si>
  <si>
    <t>1.本外观设计产品的名称：显示屏幕面板的行业排名显示图形用户界面。
 2.本外观设计产品的用途：用于运行程序、信息显示、人机交互。
 3.本外观设计产品的设计要点：在于屏幕中的图形用户界面。
 4.最能表明设计要点的图片或照片：主视图。
 5.图形用户界面的用途：本图形用户界面用于企业行业排名的信息显示，主视图为企业顾问的首页，用户点击界面中部右侧的“查看行业排名”，可进入行业排名界面，如界面变化状态图所示，可以查看行业排名和得分。
 6.本显示屏幕面板可用于车辆、计算机、笔记本电脑、平板电脑、手机、智能手表、智能手环、健身监视器、头戴式耳机、个人数字助理（PDA）、智能音箱、电视、机顶盒、投影仪、游戏机或导航仪。</t>
  </si>
  <si>
    <t>显示屏幕面板的行业排名显示图形用户界面</t>
  </si>
  <si>
    <t>CN307971269S</t>
  </si>
  <si>
    <t>1.本外观设计产品的名称：显示屏幕面板的企业信息诊断的图形用户界面。
 2.本外观设计产品的用途：用于运行程序、信息显示、人机交互。
 3.本外观设计产品的设计要点：在于屏幕中的图形用户界面。
 4.最能表明设计要点的图片或照片：主视图。
 5.图形用户界面的用途：本图形用户界面用于企业财务信息的诊断和评估，主视图为企业顾问的首页，用户可根据界面提示进行相关操作。
 主视图为企业顾问的首页，向上滑动首页界面，可查看企业的不同信息，如界面变化状态图1和图2所示，进入界面变化状态图2后可向左滑动界面或者点击界面上方的菜单栏，切换至财务概况和同业比较的信息展示界面，如界面变化状态图3和图4所示。
 6.本显示屏幕面板可用于车辆、计算机、笔记本电脑、平板电脑、手机、智能手表、智能手环、健身监视器、头戴式耳机、个人数字助理（PDA）、智能音箱、电视、机顶盒、投影仪、游戏机或导航仪。</t>
  </si>
  <si>
    <t>显示屏幕面板的企业信息诊断的图形用户界面</t>
  </si>
  <si>
    <t>CN307971268S</t>
  </si>
  <si>
    <t>1.本外观设计产品的名称：显示屏幕面板用的组织活动管理图形用户界面。
 2.本外观设计产品的用途：显示屏幕面板用的组织活动管理图形用户界面。
 3.本外观设计产品的设计要点：在于图形用户界面的界面内容。
 4.最能表明设计要点的图片或照片：主视图。
 5.请求保护的外观设计包含色彩。
 6.其他视图无设计要点，省略其他视图。
 7.图形用户界面的用途：用于管理组织活动信息。
 8.图形用户界面的人机交互方式：主视图为组织活动管理的活动报名业务设置主界面，其展示的组织活动列表展示所有配置完成的活动信息，并通过拖动右侧蓝色等色彩的“拖动排序”按钮对活动进行排序，组织活动列表展示有“活动名称”、“举办时间”、“举办地点”、“名额限制”、“操作者”、“操作时间”、“状态”等详细活动信息；点击主视图中的“新增活动”按钮，跳转至界面变化状态图1展示的活动组织属性配置界面，该界面能够对“活动名称”、“活动介绍”、“活动图片”、“举办时间”、“举办地点”、“报名截止日期”等活动基本属性输入编辑；拖动界面变化状态图1，则如界面变化状态图2所示接续展示的包含“志愿者保障”、“注意事项”等基本属性输入编辑；点击界面变化状态图2下方的“下一步”按钮，跳转至界面变化状态图3所示志愿者信息必输项配置界面，点击下方的“提交”按钮，志愿者配置信息完成；点击主视图上方菜单栏中的“业务运营”按钮，跳转至界面变化状态图4所示活动组织运营界面，该界面上方展示具有“活动名称”、“举办时间”、“举办地点”、“状态”等信息的筛选活动列表，该界面下方展示具有“活动名称”、“举办时间”、“举办地点”、“名额限制”、“状态”等信息的订单活动列表；点击界面变化状态图4界面下方订单信息列表右侧的蓝色等色彩的“查看”按钮，跳转至界面变化状态图5展示的活动运营信息展示详情界面，该界面上方展示活动的“报名人数”、“待审核人数”、“审核通过人数”、“审核拒绝人数”等具体人数信息，下方的筛选信息栏包含有“订单状态”、“报名日期”、“订单编号”、“志愿者姓名”、“手机号”等筛选信息，输入具体的筛选信息来查询下方展示的包含有“报名时间”、“活动名称”、“举办时间”、“志愿者信息”、“订单状态”、“订单编号”等信息的订单详情列表，右侧显示有蓝色等色彩的“查看”和“审核”按钮，点击“审核”按钮，可对订单信息进行审核通过操作或者审核拒绝操作；点击界面变化状态图5中订单详情列表右侧的蓝色等色彩的“查看”按钮，跳转至界面变化状态图6展示的订单报名详情信息。
 9.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</si>
  <si>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显示屏幕面板用的组织活动管理图形用户界面</t>
  </si>
  <si>
    <t>CN307971459S</t>
  </si>
  <si>
    <t>1.本外观设计产品的名称：显示屏幕面板的企业信息评估的图形用户界面。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6.图形用户界面的用途：本图形用户界面用于企业财务信息的评估，设计1主视图至设计3主视图为企业顾问的首页，用户可根据界面提示进行相关操作。
 设计1主视图为企业顾问的首页，用户点击界面中上部菜单栏上的“风险评估”，可进入风险评估可视化报告展示的详情页，如设计1界面变化状态图所示，并可根据界面提示进行相关操作。
 设计2主视图为企业顾问的首页，用户点击界面中上部菜单栏上的“投资顾问”，可进入投资顾问可视化报告展示的详情页，如设计2界面变化状态图所示，并可根据界面提示进行相关操作。
 设计3主视图为企业顾问的首页，用户点击界面中上部菜单栏上的“融资顾问”，可进入融资顾问可视化报告展示的详情页，如设计3界面变化状态图所示，并可根据界面提示进行相关操作。
 7.本显示屏幕面板可用于车辆、计算机、笔记本电脑、平板电脑、手机、智能手表、智能手环、健身监视器、头戴式耳机、个人数字助理（PDA）、智能音箱、电视、机顶盒、投影仪、游戏机或导航仪。</t>
  </si>
  <si>
    <t>显示屏幕面板的企业信息评估的图形用户界面</t>
  </si>
  <si>
    <t>CN307971460S</t>
  </si>
  <si>
    <t>1.本外观设计产品的名称：显示屏幕面板的财务报表信息显示图形用户界面。
 2.本外观设计产品的用途：用于运行程序、信息显示、人机交互。
 3.本外观设计产品的设计要点：在于屏幕中的图形用户界面。
 4.最能表明设计要点的图片或照片：主视图。
 5.图形用户界面的用途：本图形用户界面用于企业财务报表的信息显示，主视图为企业顾问的首页，用户点击界面左上方的“财务报表”，可进入财务报表查看界面，如界面变化状态图1所示，向左滑动界面或者点击界面上方的菜单栏，可切换并查看不同类型的财务报表，如界面变化状态图2和界面变化状态图3所示。
 6.本显示屏幕面板可用于车辆、计算机、笔记本电脑、平板电脑、手机、智能手表、智能手环、健身监视器、头戴式耳机、个人数字助理（PDA）、智能音箱、电视、机顶盒、投影仪、游戏机或导航仪。</t>
  </si>
  <si>
    <t>显示屏幕面板的财务报表信息显示图形用户界面</t>
  </si>
  <si>
    <t>CN307979161S</t>
  </si>
  <si>
    <t>1.本外观设计产品的名称：显示屏幕面板的企业资料卡创建图形用户界面。
 2.本外观设计产品的用途：用于运行程序、信息显示、人机交互。
 3.本外观设计产品的设计要点：在于屏幕中的图形用户界面。
 4.最能表明设计要点的图片或照片：主视图。
 5.图形用户界面的用途：本图形用户界面用于企业资料卡的创建。
 主视图为企业顾问的首页，用户点击界面右上角的“切换”，进入自选企业界面，如界面变化状态图1所示，选中下方任意一个企业，如果无相关企业的行业信息，可进入企业资料卡界面，如界面变化状态图2所示，向上滑动界面直至上方的答题进度条显示完成后进入界面变化状态图3，点击界面下方的“提交”，即可完成企业资料卡的创建。
 6.本显示屏幕面板可用于车辆、计算机、笔记本电脑、平板电脑、手机、智能手表、智能手环、健身监视器、头戴式耳机、个人数字助理（PDA）、智能音箱、电视、机顶盒、投影仪、游戏机或导航仪。</t>
  </si>
  <si>
    <t>显示屏幕面板的企业资料卡创建图形用户界面</t>
  </si>
  <si>
    <t>CN307979162S</t>
  </si>
  <si>
    <t>1.本外观设计产品的名称：显示屏幕面板的企业信息诊断的图形用户界面。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6.图形用户界面的用途：本图形用户界面用于企业素质和财务信息的诊断和评估，设计1主视图和设计2主视图为企业顾问的首页，用户可根据界面提示进行相关操作。
 设计1主视图为企业顾问的首页，用户点击界面中上部菜单栏上的“企业素质”，可进入企业素质评估界面，如设计1界面变化状态图所示，可以查看企业素质评估的可视化结果，并根据界面提示进行相关操作。
 设计2主视图为企业顾问的首页，用户点击界面中上部菜单栏上的“财务诊断”，可进入财务诊断可视化报告展示的详情页，如设计2界面变化状态图所示，并可根据界面提示进行相关操作。
 7.本显示屏幕面板可用于车辆、计算机、笔记本电脑、平板电脑、手机、智能手表、智能手环、健身监视器、头戴式耳机、个人数字助理（PDA）、智能音箱、电视、机顶盒、投影仪、游戏机或导航仪。</t>
  </si>
  <si>
    <t>CN308006444S</t>
  </si>
  <si>
    <t>1.本外观设计产品的名称：显示屏幕面板用的报名活动管理图形用户界面。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6.图形用户界面的用途：用于管理报名活动信息。
 7.图形用户界面的人机交互方式：主视图为报名活动管理的主界面，其展示活动列表；点击全部活动列表中的任一活动的导向按钮，跳转至界面变化状态图1或界面变化状态图2中的其中一个界面来展示活动详情界面，界面变化状态图1表示该活动未开始且用户并未报名该活动，界面变化状态图2表示该活动名额已满，不具备报名资格；点击界面变化状态图1中的“立即报名”按钮，则如界面变化状态图3所示显示的信息登记界面，在该界面点击对应的业务填写详情信息；点击界面变化状态图3下方的&amp;nbsp;“立即报名”按钮，跳转至界面变化状态图4展示的报名成功界面；点击界面变化状态图4中的“查看订单”按钮，跳转至界面变化状态图5展示已报名的志愿者详情信息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</si>
  <si>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显示屏幕面板用的报名活动管理图形用户界面</t>
  </si>
  <si>
    <t>CN308006445S</t>
  </si>
  <si>
    <t>1.本外观设计产品的名称：显示屏幕面板用的健步走活动图形用户界面。
 2.本外观设计产品的用途：用于交互和显示。
 3.本外观设计产品的设计要点：在于图形用户界面的界面内容。
 4.最能表明设计要点的图片或照片：界面变化状态图3。
 5.其他视图无设计要点，省略其他视图。
 6.图形用户界面的用途：用于展示健步走活动的信息。
 7.图形用户界面的人机交互方式：主视图为健步走的主界面，其展示活动列表；若活动进行中且用户并未报名该活动，点击主视图全部活动列表中的活动“详情”按钮，跳转至界面变化状态图1；若活动进行中且用户已报名该活动，点击全部活动列表中活动&amp;nbsp;“详情”按钮，跳转至界面变化状态图2；若活动已结束且用户已报名该活动，点击全部活动列表中活动&amp;nbsp;“详情”按钮，跳转至界面变化状态图3；点击界面变化状态图1中的“我要报名”按钮，则如界面变化状态图4所示弹出报名成功确认提示窗，点击提示窗的“确认”按钮，报名成功；若活动进行中且用户已报名该活动，点击界面变化状态图2中的“活动详情”按钮，跳转至界面变化状态图5；点击界面变化状态图5中的“打卡”按钮，跳转至界面变化状态图6；点击界面变化状态图6中的“我的健步走”按钮，跳转至界面变化状态图7；通过向上拖动界面变化状态图7的界面等操作，则如界面变化状态图8所示接续展示活动进行中的个人信息详情界面；点击界面变化状态图3中的“我的健步走”按钮，跳转至界面变化状态图9；当用户步数达标，则界面变化状态图6弹出如界面变化状态图10中所示的“今日达标”弹窗；点击界面变化状态图6中的“累计步数”按钮，则界面变化状态图6弹出如界面变化状态图11&amp;nbsp;所示的“累计步数”弹窗；点击界面变化状态图9中的“勋章墙”按钮，跳转至界面变化状态图12展示的勋章墙界面；点击界面变化状态图8中的“查看更多”按钮，跳转至界面变化状态图13展示的累计步数详情界面。
 8.其他需要说明的情形其他说明：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</si>
  <si>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显示屏幕面板用的健步走活动图形用户界面</t>
  </si>
  <si>
    <t>CN114882228B</t>
  </si>
  <si>
    <t>本发明涉及人工智能技术领域，具体涉及基于知识蒸馏的健身场所布局优化方法。该方法包括：利用多个聚类特征对健身器械进行多种聚类得到多种聚类结果，每种聚类结果包括多个聚类集合；对所有聚类集合进行聚类得到多个聚类类别；每个聚类集合生成一张第一图像；构建一阶教师网络，得到每张第一图像对应的第一序号图以及第一置信度图；组成多个相似组合，获取每个相似组合的第二图像；构建二阶教师网络，得到第二图像对应的第二序号图和第二置信度图；构建学生网络得到第三序号图；将全景图像划分为多个区域，获取每个区域的热度分布评价指标；判断当前健身场所的热度分布是否均衡。本发明实施例能够利用局部的信息提高健身场所的整体利用率。</t>
  </si>
  <si>
    <t>基于知识蒸馏的健身场所布局优化方法</t>
  </si>
  <si>
    <t>CN115063537A</t>
  </si>
  <si>
    <t>本发明公开了一种基于IMU定位的多人多视角3D重建方法，通过在每个人身上放置一个无线IMU，获取人体的粗粒度全局3D坐标点，再利用多视角的信息进行人体关键点识别和3D重建，进行更加精准和细粒度的重建，提高了3D重建的稳定性、可靠性和准确性，具有极高的应用价值。本发明为实现计算机视觉的人体3D重建，对体育运动分析与深入研究具有重要与深远的意义。</t>
  </si>
  <si>
    <t>一种基于IMU定位的多人多视角3D重建方法</t>
  </si>
  <si>
    <t>MX2022008568A</t>
  </si>
  <si>
    <t>模式包括使用人工智能和/或机器学习,根据特定球队、球员、赛事或其他相关数据的历史得分数据进行体育分析。 机器学习可以应用于历史数据以提高投注赔率。 赔率模块可以提前实时分析赛事结果和可用参数之间的相关性,以提供准确和最新的赔率</t>
  </si>
  <si>
    <t>人工智能和机器学习增强投注赔率的方法、系统和设备</t>
  </si>
  <si>
    <t>CN115100746A</t>
  </si>
  <si>
    <t>本发明公开了基于人工智能的人体健身训练管理系统，涉及人体健身训练管理领域，其技术方案要点是包括主机控制模块，主机控制模块用于接收、处理整个系统的数据传输，数据收集模块通过对所使用人体的数据进行登记和编号建立文件夹，体型分析模块用于对人体的体型在初始自然状态下运动的动作进行录像绘制成三维立体曲线姿态图，对参数分析单元输出的标准运动体态动作幅度进行视频关键帧数提取，穿戴感应模块用于实时监测客户的健身运动数据，判断对比模块用于判断标准运动体态动作幅度X0和实训运动体态动作幅度记作数据Xi之间的重合面积S，显示模块显示客户录入的标准动作和在训人员连续跟练时的运动动作，便于提高实训人员的训练效果。</t>
  </si>
  <si>
    <t>基于人工智能的人体健身训练管理系统</t>
  </si>
  <si>
    <t>CN115240816A</t>
  </si>
  <si>
    <t>本发明属于人体机能监控技术领域，尤其涉及基于物联网的运动员无创机能监控方法及系统，基于生理数据集合，通过专家系统分析，形成专家分析报告，本发明解决了生理生化监控存在由于未利用大数据进行深度分析，从而导致无法实时掌握运动员机能状况，进而影响训练计划的制定和调整的问题，具有便于教练了解运动员机能状况，及时进行训练计划调整和对大数据进行深度分析，利用人工智能提升教研工作的有益技术效果。</t>
  </si>
  <si>
    <t>基于物联网的运动员无创机能监控方法及系统</t>
  </si>
  <si>
    <t>CN115348385A</t>
  </si>
  <si>
    <t>本发明提供了一种枪球联动的足球检测方法及系统，涉及计算机技术领域，该方法包括：S1、标定足球的可检测区域；S2、对多个枪机画面进行拼接，获取整个足球场的全景图；S3、通过全景足球检测深度学习网络对所述全景图进行检测，选择分数最高的足球检测结果作为目标足球；S4、以所述全景图中目标足球中心作为球机视野的中心，通过球机足球检测深度学习网络对所述全景图进行检测，选择分数最高的足球中心作为球机视野需要移动的中心，通过枪球联动来提高足球的检测效果，及时准确抓取局部放大的球员带球画面；加入了跟踪器，过滤静止足球结果，仅选择运动的足球，大大提高了检测效率。</t>
  </si>
  <si>
    <t>一种枪球联动的足球检测方法及系统</t>
  </si>
  <si>
    <t>IN202217038854A</t>
  </si>
  <si>
    <t>一种方法包括在遗传算法的时期期间确定每个多个自动编码器的适应性值。自动编码器的适应性值表示对代表一个或多个设备的第一个操作状态的数据响应的重建错误。该方法包括基于健身值,一个自动编码器的子集选择。该方法还包括对至少一个自动编码器进行遗传操作以生成可训练的自动编码器。该方法包括训练可训练的自动编码器以降低损失函数值以生成训练有素的自动编码器。损耗函数值基于可训练的自动编码器的重建误差,反应了设备的第二操作状态的数据。该方法包括将受过训练的自动编码器添加到人群中,以作为后续遗传算法的输入。</t>
  </si>
  <si>
    <t>协同使用遗传算法和优化训练器生成自动编码器</t>
  </si>
  <si>
    <t>CN307725618S</t>
  </si>
  <si>
    <t>1.本外观设计产品的名称：用于显示屏幕面板的音乐播放图形用户界面。
 2.本外观设计产品的用途：本外观设计产品用于运行程序、显示信息和人机交互。
 3.本外观设计产品的设计要点：在于图形用户界面的界面内容和布局。
 4.最能表明设计要点的图片或照片：设计1主视图。
 5.屏幕面板为惯常设计，省略后视图、仰视图、俯视图、左视图和右视图。
 6.指定设计1为基本设计。
 7.图形用户界面的用途：该图形用户界面用于展示音乐类评论的相关信息。
 在设计1主视图中，用户输入“《”唤起智能匹配框，根据输入内容匹配相应的资源信息，其资源类型为歌曲，则显示歌曲信息；用户选中歌曲后，页面跳转至设计1界面变化状态图1，“《》”中显示歌曲名称，右上角显示歌曲图标。
 资源类型还可以是歌单，在设计2主视图中，显示匹配的歌单信息；用户选中歌单后，页面跳转至设计2界面变化状态图1，“《》”中显示歌单名称，右上角显示歌单图标。
 资源类型还可以是视频，在设计3主视图中，显示匹配的视频信息；用户选中视频后，页面跳转至设计3界面变化状态图1，“《》”中显示视频名称，右上角显示视频图标。
 8.该显示屏幕面板用于手机、笔记本电脑、平板电脑、计算机、车载中控屏幕、智能电视、智能手环、智能眼镜、智能手表、个人数字助理（Personal&amp;nbsp;Digital&amp;nbsp;Assistant，PDA）、健身监视器、投影仪。</t>
  </si>
  <si>
    <t>用于显示屏幕面板的音乐播放图形用户界面</t>
  </si>
  <si>
    <t>CN307874707S</t>
  </si>
  <si>
    <t>1.本外观设计产品的名称：带地图模型图形用户界面的显示屏幕面板（扩展训练地图F）。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6.图形用户界面的用途：用于ROBOSIM的虚拟仿真软件中的教学与比赛地图。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
 该显示屏幕面板用于手机、电视、电脑、ipad。</t>
  </si>
  <si>
    <t>带地图模型图形用户界面的显示屏幕面板（扩展训练地图F）</t>
  </si>
  <si>
    <t>CN308006441S</t>
  </si>
  <si>
    <t>1.本外观设计产品的名称：显示屏幕面板用的语音搜索图形用户界面。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6.图形用户界面的用途：用于语音搜索信息。
 7.图形用户界面的人机交互方式：主视图为垃圾分类回收语音搜索知识库主界面，显示搜索框垃圾分类等信息；长按主视图中下方的语音搜索按钮，则如界面变化状态图1所示来唤醒语音搜索功能，界面下方的语音搜索按钮发生颜色变化，例如由绿色变为红色，用以提示用户可以开始进行语音输入；当用户进行语音输入时，则如界面变化状态图1和界面变化状态图2所示，在语音搜索按钮的上方通过声波动画动态模拟声音起伏频率，表示正在进行语音输入的状态；输入完成后，则如界面变化状态图3所示，语音搜索按钮为旋转动态动画，表示正在识别语音；语音识别完之后，搜索框中输入识别文字并执行搜索操作，跳转至界面变化状态图4所示的语音搜索结果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</si>
  <si>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显示屏幕面板用的语音搜索图形用户界面</t>
  </si>
  <si>
    <t>CN115147903A</t>
  </si>
  <si>
    <t>本发明公开了一种活体检测的实现方法及系统，所述方法可以在用户进行身份验证时，首先进行是否真人及人脸是否在检测区域等静态检测，本发明使用深度学习中多特征融合技术，通过设计神经网络结构提取不同层特征，构建特征金字塔结构对不同尺度特征图进行融合，利用最终特征层进行静态检测；当用户通过静态检测后，本发明可以利用语音提示来引导用户执行一些列面部的动态动作并实时采集用户执行动作时的人脸特征点坐标，利用人脸特征点坐标确定的动态轨迹，根据动态轨迹来验证是否为用户的真实活体操作。本发明不但能有效甄别欺诈与冒认行为，提高识别与检测的准确率，而且结合使用动态检测与静态检测，也能节省大量检测成本，并提高识别与检测的效率。</t>
  </si>
  <si>
    <t>一种活体检测的实现方法及系统</t>
  </si>
  <si>
    <t>CN115171016A</t>
  </si>
  <si>
    <t>本发明公开提供的一种基于人工智能的短视频自动生成方法、系统及存储介质。该基于人工智能的短视频自动生成方法包括：将其武术场馆内当前对应的训练视频以及训练主题上传至视频处理平台；对上传的训练视频进行初步解析和深度解析；对各学员在各训练环节对应的各训练图像进行选用分析；各学员在各训练环节对应的插入素材进行构建；生成学员训练展示短视频，并反馈至武术场馆教练进行修正和确认；本发明有效的解决了当前短视频自动生成方法存在一定的局限性问题，凸显了训练展示短视频展示内容的价值性，有效的挖掘出了展示短视频中的潜在特征，提高了短视频的生成效果，为武术场馆训练计划的调动提供了可靠的方向。</t>
  </si>
  <si>
    <t>一种基于人工智能的短视频自动生成方法、系统及存储介质</t>
  </si>
  <si>
    <t>US20220338798A1</t>
  </si>
  <si>
    <t>公开了用于提供使用的优选健身状态的系统和方法。 该系统至少包括检测用户的至少一个生物参数的传感器和使用机器学习和至少一个生物参数生成当前用户健身状态的健身状态分类模块。 提供用户的优选健身状态的方法包括至少检测用户的生物参数,通过健身状态分类模块确定当前用户健身状态,以及通过健身状态分类模块确定用户特定推荐。</t>
  </si>
  <si>
    <t>用于提供用户的优选健身状态的方法和系统</t>
  </si>
  <si>
    <t>WO2023000972A1</t>
  </si>
  <si>
    <t>本公开提供了结构化信息抽取方法、装置、设备、存储介质以及程序产品，涉及人工智能领域，尤其涉及计算机视觉和深度学习领域。具体实现方案包括：从体育赛事视频中抽取目标体育赛事视频帧；对目标体育赛事视频帧进行目标检测，得到体育赛事中的指定目标信息；对目标体育赛事视频帧进行解析，得到体育赛事的至少一个进程的特征信息，体育赛事包括一个或多个进程；对指定目标信息和至少一个进程的特征信息进行聚合，得到体育赛事结构化信息。本公开可以高效地提取出体育赛事视频中的关键信息，形成结构化数据，为体育赛事锦集提供高质量的素材，有助于完成体育赛事的快速内容创作。</t>
  </si>
  <si>
    <t>结构化信息抽取方法、装置、设备以及存储介质</t>
  </si>
  <si>
    <t>CN218772082U</t>
  </si>
  <si>
    <t>本实用新型公开了一种基于物联网的安全加密蓝牙模组，包括PCBA板、可编程模块、蓝牙数据模块和蓝牙语音模块，蓝牙数据模块固定于PCBA板的一侧。本实用新型通过安装有导热铜片和散热翅片，使得装置具体操作时，一方面通过在可编程模块、蓝牙数据模块和蓝牙语音模块上覆盖粘接有导热铜片，通过接触导热，提升了装置对于电子模块的导热散热效果，且通过在导热铜片的外侧壁设置有导热硅脂涂层，在保证铜结构导热效果的同时，避免其氧化，另一方面通过在PCBA板的背侧面均匀固定有散热翅片，提升了PCBA板的导热散热效果，进而利用双重导热结构，优化了装置对于电子模块的散热效果，减轻了热损耗。</t>
  </si>
  <si>
    <t>一种基于物联网的安全加密蓝牙模组</t>
  </si>
  <si>
    <t>CN307971265S</t>
  </si>
  <si>
    <t>1.本外观设计产品的名称：显示屏幕面板用的物流运单管理图形用户界面。
 2.本外观设计产品的用途：用于交互和显示。
 3.本外观设计产品的设计要点：在于图形用户界面的界面内容。
 4.最能表明设计要点的图片或照片：主视图。
 5.请求保护的外观设计包含色彩。
 6.其他视图无设计要点，省略其他视图。
 7.图形用户界面的用途：用于物流运单信息的管理。
 8.图形用户界面的人机交互方式：主视图为物流运营管理平台的运单中心信息模块主界面；点击主视图中运单信息列表右侧的带有橙色等色彩的“查看”按钮，跳转至界面变化状态图1展示的运单信息审核界面；拖动界面或者滑动界面变化状态图1右侧的滑动条，则如界面变化状态图2所示接续展示的运单信息审核界面；点击主视图菜单列表中的“运单管理”模块，跳转至界面变化状态图3展示的带有“运单状态”的运单信息列表界面；点击界面变化状态图3中运单信息列表右侧的带有橙色等色彩的“查看”按钮，跳转至界面变化状态图4展示的运单信息界面；点击主视图中左侧菜单列表中的“安全监控”模块，跳转至界面变化状态图5展示的带有“运行状态”的运单信息列表界面；点击界面变化状态图5中运单信息列表右侧的带有橙色等色彩的“运行轨迹”按钮，跳转至界面变化状态图6展示的运行轨迹图界面。
 9.显示用的载体设备为现有设计，该显示屏幕面板可以应用于计算机、笔记本电脑、平板电脑、手机、智能手机、智能手环、智能眼镜、手表、智能手表、健身监视器、头戴式耳机、个人数字助理机、智能音箱、电视机、监视器、投影仪、机顶盒、导航仪。</t>
  </si>
  <si>
    <t>显示屏幕面板用的物流运单管理图形用户界面</t>
  </si>
  <si>
    <t>CN308063944S</t>
  </si>
  <si>
    <t>1.本外观设计产品的名称：带导播操作控制图形用户界面的显示屏幕面板（赛画01‑UI‑001）。
 2.本外观设计产品的用途：用于运行程序、触控交互或显示信息。
 3.本外观设计产品的设计要点：在于显示屏幕面板中显示的图形用户界面。
 4.最能表明设计要点的图片或照片：主视图。
 5.无设计要点，省略后视图、俯视图、仰视图、左视图、右视图。
 6.图形用户界面的用途：图形用户界面用于显示软件的操作界面，例如在平板上进行控制、操作的客户端的操作界面。
 7.图形用户界面在产品中的区域：界面变化状态图1、2、3、4、5、6、7、8、9、14、15、24中灰色和白色框内均可显示对应的界面内容，界面变化状态图22、23白色框内放置相应的二维码。
 8.图形用户界面的人机交互方式：主视图中显示屏幕面板中显示的图形用户界面用于表示不同的具体操作图标，用户可以通过本导播平台软件app系统的操作界面，点击“镜头选择”选项，在已连接并成功识别的USB镜头、MiPI镜头、HDMI镜头之间快速切换，此操作会跳转至界面变化状态图1；用户可以通过添加本地导入文件的方式，将图片设置为虚拟摄像头的背景图层，或开启画中画模式，将副摄像头作为虚拟摄像头背景图层，此操作会跳转至界面变化状态图2；用户可以通过添加本地导入文件的方式，将多张图片设置为虚拟摄像头的背景图层，或开启画中画模式，将副摄像头作为虚拟摄像头背景图层，此操作会跳转至界面变化状态图3；用户可以通过添加本地导入文件的方式，将视频设置为虚拟摄像头的背景图层，或开启画中画模式，将副摄像头作为虚拟摄像头背景图层，此操作会跳转至界面变化状态图4；用户可以通过添加本地导入文件的方式，将图片、视频设置为前景，支持调整大小和位置，此操作会跳转至界面变化状态图5；用户可以通过添加本地导入文件的方式，将多张图片设置为前景，支持调整大小和位置，此操作会跳转至界面变化状态图6；是用户通过键盘输入文字的方式，将文字设置为前景，支持调整位置、大小、颜色、字体格式，此操作会跳转至界面变化状态图7；用户可以通过添加本地导入文件等方式将需要的文档导入到文件管理器内，点击文档进行浏览投屏等操作，此操作会跳转至界面变化状态图8；用户可以通过选择添加后的文档，此操作会跳转至界面变化状态图9；用户可以在本软件系统的声音输入模块，选择“内置/3.5麦克风”，将该设备作为音频输入来源，此操作会跳转至界面变化状态图10；用户点击“提词器”选项，可以通过键盘输入或者U盘导入方式编辑提词器，此操作会跳转至界面变化状态图11；用户点击“提词器”选项后，在提词器模块的列表界面会显示用户已导入的txt格式文本文件。
 点击列表中的任意一项，进入到提词器详情预览界面。
 用户通过该界面查看提词文本的详细内容，可以设置文本自动滚动，窗口位置、大小和透明度，文字属性等，此操作会跳转至界面变化状态图12；用户点击“提词器”选项内，会显示用户已通过键盘输入方式编辑或已导入的txt格式文本文件显示出来的预览界面，此操作会跳转至界面变化状态图13；用户通过本软件的场景功能，创建、修改、删除、切换场景。
 用户在本软件系统中所有的背景、前景（贴片）、文字、摄像头模块的相关设置信息都记录在当前选择的场景中。
 每个场景都是独立的，此操作会跳转至界面变化状态图14；用户通过点击“场景”选项在已经创建的场景进行来回切换，此操作会跳转至界面变化状态图15；用户通过点击“直播APP”选项，通过快捷方式直接切换直播App‑选择的操作界面，此操作会跳转至界面变化状态图16；用户可以通过点击“设置”选项，选择快捷键、窗口模式、语言和进入关于的操作界面，此操作会跳转至界面变化状态图17；用户可以点击“设置‑快捷键”选项，在本软件中的“快捷键”功能模块里，设置键盘按键与软件功能绑定，此操作会跳转至界面变化状态图18；用户可以点击“设置‑窗口模式”，设置本软件的显示模式。
 全屏模式下，主界面窗口几乎占满整个屏幕。
 浮窗模式下，所有的主要功能仅在主界面保留入口，详细的模块分离为多个二级页面，此操作会跳转至界面变化状态图19；用户通过点击“声音输入”选项，可以将输入的声音（包括USB音频设备、3.5毫米麦克风、音乐文件、视频文件）、摄像头画面、虚拟背景、前景合成音影视频，当用户结束录制后，软件自动将录制好的视频文件保存在设备存储中，此操作会跳转至界面变化状态图20；用户通过点击“录视频”选项，提醒用户此功能是用来录制视频文件，此操作会跳转至界面变化状态图21；用户点击“手机遥控”选项，在Android手机上通过微信扫码安装“赛画遥控”App软件，此操作会跳转至界面变化状态图22；用户点击“手机遥控”选项通过手机与直播机连接后，在Android手机上的&amp;nbsp;“梅花雀遥控”App软件与导播平台的设备连接在同一局域网，通过扫描本导播平台App的手机遥控二维码，进行遥控连接。
 本软件系统可接受遥控app的操作控制。
 并且可以接收手机遥控app上传的素材文件，文档，题词本，此操作会跳转至界面变化状态图23；用户通过“梅花雀遥控”App软件与导播平台的设备连接后，接收手机遥控app上传的素材文件，文档，题词本，此操作会跳转至界面变化状态图24。</t>
  </si>
  <si>
    <t>带导播操作控制图形用户界面的显示屏幕面板（赛画01-UI-001）</t>
  </si>
  <si>
    <t>IN202221038454A</t>
  </si>
  <si>
    <t>自动点球装置包括摄像头,用于捕捉球员和球门区域的视频; 图像排序单元,用于将捕获的视频转换为一组帧; 一个预处理单元,用于从帧集中去除噪声,并在将 RGB 格式帧转换为 HSV 格式帧时提高帧的精度; 背景去除单元在去除背景时分离前景对象,从而对提取的CE帧实施DPHE并突出帧质量; 用于检测运动物体的运动估计单元; 对象跟踪单元,用于跟踪视频帧上的运动对象; 特征提取单元,用于提取一组特征; 一个 RBF-FDLNN 分类器,用于从移动物体中检测玩家; 以及控制单元,用于启动足球射门机,通过躲避球员在球门柱内射门。</t>
  </si>
  <si>
    <t>一种基于人工智能和机器学习的自动处罚装置及其方法</t>
  </si>
  <si>
    <t>CN307769347S</t>
  </si>
  <si>
    <t>1.本外观设计产品的名称：显示屏幕面板的功能布局设置的图形用户界面。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6.图形用户界面的用途：本图形用户界面用于功能布局设置，用户长按拖动可调整布局。
 设计1主视图和设计2主视图为功能布局界面。
 设计3主视图为功能布局界面，用户点击并拖动界面下部更多功能区域的任意应用程序的图标，可将该应用程序添加至界面上部的首屏功能区域，如设计3界面变化状态图1、设计3界面变化状态图2和设计3界面变化状态图3所示。
 设计4的变化过程参照设计3。
 7.其他说明：本显示屏幕面板应用于车辆、计算机、笔记本电脑、平板电脑、手机、智能手表、智能手环、健身监视器、头戴式耳机、个人数字助理（PDA）、智能音箱、电视、机顶盒、投影仪、游戏机或导航仪。</t>
  </si>
  <si>
    <t>显示屏幕面板的功能布局设置的图形用户界面</t>
  </si>
  <si>
    <t>CN307769346S</t>
  </si>
  <si>
    <t>1.本外观设计产品的名称：显示屏幕面板的更多模式的图形用户界面。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6.图形用户界面的用途：本图形用户界面用于更多模式。
 设计1主视图和设计2主视图为更多模式界面。
 设计3主视图为更多模式界面，用户点击界面中的带下载图标的应用程序图标，可下载该应用程序，设计3界面变化状态图1为应用程序下载中的界面，设计3界面变化状态图2为应用程序下载完成的界面。
 设计4的变化过程参照设计3。
 7.其他说明：本显示屏幕面板应用于车辆、计算机、笔记本电脑、平板电脑、手机、智能手表、智能手环、健身监视器、头戴式耳机、个人数字助理（PDA）、智能音箱、电视、机顶盒、投影仪、游戏机或导航仪。</t>
  </si>
  <si>
    <t>显示屏幕面板的更多模式的图形用户界面</t>
  </si>
  <si>
    <t>CN307887919S</t>
  </si>
  <si>
    <t>1.本外观设计产品的名称：显示屏幕面板用的基金产品图形用户界面。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6.图形用户界面的用途：用于展示基金产品信息。
 7.图形用户界面的人机交互方式：主视图为基金产品信息展示的主界面，包含了机器人和数据图表，基金产品推荐算法启动；主视图中的机器人起飞且朝向右侧时，显示为界面变化状态图1展示的基金产品推荐算法结束状态；界面变化状态图1中的数据图表加载完成，显示为界面变化状态图2展示的基金产品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</si>
  <si>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显示屏幕面板用的基金产品图形用户界面</t>
  </si>
  <si>
    <t>US20220339522A1</t>
  </si>
  <si>
    <t>一种方法包括使用物联网(IoT)设备捕获执行与第一锻炼课程相关联的锻炼的用户的实时视频。 用户的实时视频通过显示器与教练的视频同时显示,以提供用户与教练的视觉比较。 对用户的实时视频进行图像分析以确定用户的表现,并显示其表现。 物联网设备在多个时间点从可穿戴设备接收与用户相关联的生物特征数据。 基于生物特征数据识别心率,并通过显示器显示基于心率的分数。 与第一运动课程不同的第二运动课程的推荐是基于用户的简档确定的,并通过显示器显示。</t>
  </si>
  <si>
    <t>US20220339521A1</t>
  </si>
  <si>
    <t>CN307769351S</t>
  </si>
  <si>
    <t>1.本外观设计产品的名称：显示屏幕面板的健身程序图形用户界面。
 2.本外观设计产品的用途：本外观设计产品用于运行程序，本外观设计产品用于平板电脑和手机。
 3.本外观设计产品的设计要点：在于图形用户界面中的界面内容。
 4.最能表明设计要点的图片或照片：主视图。
 5.其它视图无设计要点，省略其它视图。
 6.图形用户界面的用途：用于与健身器材链接进行力量健身训练、运动、娱乐。
 7.图形用户界面的人机交互方式：主视图计划训练为健身的主界面，主视图右下角“开始”图标下方为语音识别控件，可通过语音功能执行指令；点击主视图中的“跟我练”进入界面变化状态1；点击主视图中的“健身游戏”进入界面变化状态图2；点击主视图中的“快速燃脂”进入界面变化状态图3；点击主视图中的“超级组”进入界面变化状态图4；界面变化状态图3、界面变化状态图4通用于其他模式；点击主视图中“选择计划”进入界面变化状态图5；点击主视图中的“修改计划”进入界面变化状态图6；点击主视图中左下角的“设置”图标进入界面变化状态图7，默认版本更新，可下载更新软件版本；点击界面变化状态图7中的“重量校准”进入界面变化状态图8；点击界面变化状态图7中的“版本切换”进入界面变化状态图9；点击主视图中右下角的“开始”进入界面变化状态图10，界面变化状态图10为系统的加载页面，加载完成后自动进入变化状态图11；点击界面变化状态图11左侧上方的“选择教练”进入界面变化状态图12；点击界面变化状态图11左侧的“选择场景”进入界面变化状态图13；点击界面变化状态图11下方的“组数”进入界面变化状态图14；点击界面变化状态图11下方的“次数”进入界面变化状态图15；点击界面变化状态图11下方的“休息”进入界面变化状态图16；点击界面变化状态图11中的“开始”进行锻炼进入界面变化状态图&amp;nbsp;17；界面变化状态图&amp;nbsp;17上方有做功提示、用时提示、时间提示，及杆位提示来统计今日做功、用时、消耗时间、训练杆位，右上角显示有呼吸指示，可根据呼吸指示方向进行呼吸调节；界面变化状态图18为一组训练结束“休息画面”；点击界面变化状态图11中的“结束训练”进入界面变化状态图19；点击界面变化状态图1中的“开始”进入界面变化状态20，默认自由训练模式；点击界面变化状态图20下方的“组数”进入界面变化状态图21；点击界面变化状态图20中的“次数”进入界面变化状态图22；点击界面变化状态图20中的“休息”进入界面变化状态图23；点击界面变化状态图20右侧人体模型上的肌肉群，则在人体模型下方自动推荐相应部位的训练计划；点击界面变化状态图20中的“快速燃脂”进入界面变化状态图24；点击界面变化状态图20中的“超级组”进入界面变化状态图25；点击界面变化状态图20中的“开始”进入界面变化状态图26；点击界面变化状态图2中的“组数”进入界面变化状态图27；点击界面变化状态图2中的“次数”进入界面变化状态图28；击界面变化状态图2中的“休息”进入界面变化状态图29；界面变化状态图30为主视图连接上蓝牙状态的界面变化状态图。</t>
  </si>
  <si>
    <t>显示屏幕面板的健身程序图形用户界面</t>
  </si>
  <si>
    <t>CN307887911S</t>
  </si>
  <si>
    <t>1.本外观设计产品的名称：显示屏幕面板用的物流司机管理图形用户界面。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6.图形用户界面的用途：用于物流司机信息的管理。
 7.图形用户界面的人机交互方式：主视图为智慧物流平台管理端司机中心信息模块主界面，显示有包含“车牌号”、“司机姓名”、“车辆类型”、“申请时间”等车辆信息列表的司机车辆审核界面；点击主视图中车辆信息列表右侧的带有橙色等色彩的“查看”按钮，跳转至界面变化状态图1展示的车辆信息审核界面，该界面包含车辆的司机信息等车辆信息；鼠标拖动界面或者滑动界面变化状态图1右侧的滑动工具，则如界面变化状态图2接续展示的车辆信息审核界面；鼠标拖动界面或者滑动界面变化状态图2右侧的滑动工具，则如界面变化状态图3接续展示的车辆信息审核界面，该界面填写拒绝理由后点击下方的“审核拒绝”按钮来拒绝该审核信息，点击“审核通过”按钮，则该车辆审核信息通过；点击主视图菜单列表中的“司机管理”模块，跳转至界面变化状态图4展示的包含有“姓名”、“手机号”、“车辆信息”、“接单量”、“成交量”、“司机状态”等司机信息列表界面，司机状态显示有“忙碌”、“空闲”等状态；点击界面变化状态图4司机信息列表右侧的带有橙色等色彩的“查看”按钮，跳转至界面变化状态图5展示的包含“真实姓名”、“手机号码”等身份信息的司机信息界面；鼠标拖动界面或者滑动界面变化状态图5右侧的滑动工具，则如界面变化状态图6展示的包含“车辆信息”等司机信息界面；鼠标拖动界面或者滑动界面变化状态图6右侧的滑动工具，则如界面变化状态图7展示的包含行驶证等司机信息界面；鼠标拖动界面或者滑动界面变化状态图7右侧的滑动工具，则如界面变化状态图8展示的包含有“行驶证地址”等司机信息界面，点击“确定”按钮来保存司机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</si>
  <si>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显示屏幕面板用的物流司机管理图形用户界面</t>
  </si>
  <si>
    <t>CN114821819B</t>
  </si>
  <si>
    <t>本发明涉及图像识别技术领域，具体涉及一种健身动作实时监控方法及人工智能识别系统。该方法包括：获取图像与人体关键点类别标注图像；对图像进行人体部位分割；获取每个人体关键点类别所对应的人体部位分割的平均面积，并依此获取每个关键点的高斯分布大小、高斯分布标准差；将人体关键点类别标注转换为坐标一维分布向量，同时获取标签值分布向量；根据图像与坐标一维分布向量、标签值分布向量训练神经网络；根据所述每个人员的人体姿态信息进行人员健身动作状态识别。该方法基于图像中的人体部位面积来获取不同分布大小与标准差的人体姿态标注，降低了人为标注的歧义性，同时利用一维向量来实现人体姿态图像识别，节省计算资源，检测精度高。</t>
  </si>
  <si>
    <t>一种健身动作实时监控方法及人工智能识别系统</t>
  </si>
  <si>
    <t>CN115358437A</t>
  </si>
  <si>
    <t>本申请提供了一种基于卷积神经网络的供电负荷预测方法。所述基于卷积神经网络的供电负荷预测方法，包括以下步骤：S1.获取某地区的电力系统历史负荷数据，对历史负荷数据中的异常数据进行预处理；S2.对影响电力负荷的因素进行分析与量化，将修正后的负荷数据进行标准归一化，具体操作为：使用归一化公式将负荷数据归一化为[0，1]，使其负荷数据处于同一数量级别，从而加快神经网络的收敛速度。该方法按照电量、温度、节假日等三类数据，构建了卷积神经网络电量预测算法，提高了电量预测过程中海量数据处理效率、综合考虑温度等关联信息，并克服了预测过程过分依赖个人经验等问题。</t>
  </si>
  <si>
    <t>基于卷积神经网络的供电负荷预测方法</t>
  </si>
  <si>
    <t>CN308034506S</t>
  </si>
  <si>
    <t>1.本外观设计产品的名称：平板电脑的健身程序图形用户界面。2.本外观设计产品的用途：本外观设计产品用于运行程序。3.本外观设计产品的设计要点：在于图形用户界面中的界面内容，平板电脑为现有设计。4.最能表明设计要点的图片或照片：主视图。5.其它视图无设计要点，省略其它视图。6.图形用户界面的用途：用于与健身器材链接进行有氧运动及健身。7.图形用户界面的人机交互方式：主视图为轻松骑行的健身主界面，点击主视图中的“激情骑行”进入界面变化状态图1；主视图中部上方可点击“左侧”或“右侧”箭头进行场景切换，可按住主视图右侧“循环次数”中的“方格”上下滑动进行循环次数的选择；点击主视图中的“快速燃脂”进入界面变化状态图2；点击主视图中的“热门组合”进入界面变化状态图3；点击主视图中的“我的组合”进入界面变化状态图4；点击界面变化状态图4左下角的“设置”图标进入界面变化状态图5，可对软件版本进行下载更新；点击界面变化状态图5中的“器材设置”进入界面变化状态图6可对器材进行选择；点击主视图中的右下角的“PLAY”进入界面变化状态图7进行锻炼，一组锻炼360秒则自动进入暂停休息界面变化状态图8；点击界面变化状态图1中右下角的“PLAY”进入界面变化状态图9；点击界面变化状态图2中右下角的“PLAY”进入界面变化状态图10；当运动完成后则自动进入界面变化状态图11。</t>
  </si>
  <si>
    <t>平板电脑的健身程序图形用户界面</t>
  </si>
  <si>
    <t>US20230326211A1</t>
  </si>
  <si>
    <t>一个系统 ( 700 )包括媒体比较引擎(MCE)( 507 )以及一种用于确定媒体资产中的帧之间的匹配以实现下游媒体工作流程自动化的方法。 对于主媒体资产 (MMA) 的主镜头的每个边界中的目标主帧,MCE ( 507 ) 使用计算出的签名,在最佳搜索空间中与来自每个源媒体资产 (SMA) 的每个源帧进行比较; 确定最佳搜索空间中的匹配,计算机基于最终搜索空间中每个源帧的签名和相似度分数确定每个匹配的信息交换率(RIE)分数; 根据每场比赛的 RIE 分数确定最佳比赛; 对最佳匹配源帧之后的源帧与目标主帧之后的主帧进行比较。</t>
  </si>
  <si>
    <t>用于自动化下游媒体工作流程的基于人工智能的媒体匹配的系统和方法</t>
  </si>
  <si>
    <t>CN115131917A</t>
  </si>
  <si>
    <t>本发明涉及一种基于物联网系统的羽毛球拍自动租赁装置，包括租赁机构和多个羽毛球拍，所述租赁机构包括支架，设置在支架上端的控制箱，设置在控制箱上的多个锁扣装置，所述羽毛球拍锁定在锁扣装置上；锁扣装置包括挂钩、锁扣杆，与锁扣杆一端连接的滑动组件，所述锁扣杆可在滑动组件的驱动下与挂钩配合，形成闭环。通过识别芯片及重力传感器的双重设置，能够保证归还的球拍与借出的球拍相一致；通过锁扣式的设计，与传统的租赁装置相比极大的节约了占用空间；对于租赁规则进行重新规定，避免了其中球拍使用频次差异较大，导致磨损差异较大的问题。</t>
  </si>
  <si>
    <t>一种基于物联网系统的羽毛球拍自动租赁装置</t>
  </si>
  <si>
    <t>CN307960068S</t>
  </si>
  <si>
    <t>1.本外观设计产品的名称：显示屏幕面板用的灰度包管理图形用户界面。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6.图形用户界面的用途：用于灰度包信息的管理。
 7.图形用户界面的人机交互方式：主视图为灰度版本模块，主视图上方设置选择类型和是否强制更新的下拉选框，进行搜索或者新增版本列表信息，主视图中还显示有包含“AppUrl”、“版本”、“H5地址”、“App类型”、“版本所属批次”、“配置时间”等版本列表信息；点击主视图左侧菜单栏中的“发布版本”按钮，跳转至界面变化状态图1显示的发布版本中编辑详情信息界面，该界面对版本信息进行编辑，编辑完版本信息后点击下方的“确认”按钮，编辑的版本信息进行保存，点击下方的“取消”按钮，编辑的版本信息取消；在主视图搜索区选择Android，点击右侧的“搜索”按钮，跳转至界面变化状态图2展示的Android类型的版本信息列表，在该界面能够对任一信息列表内容执行查看、修改、转正式或删除操作；在主视图搜索区选择IOS，点击右侧的“搜索”按钮，跳转至界面变化状态图3展示的IOS版本信息列表，在该界面能够对任一信息列表内容执行查看、修改或删除操作。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</si>
  <si>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显示屏幕面板用的灰度包管理图形用户界面</t>
  </si>
  <si>
    <t>CN307986994S</t>
  </si>
  <si>
    <t>1.本外观设计产品的名称：显示屏幕面板用的设备管理图形用户界面。
 2.本外观设计产品的用途：用于交互和显示。
 3.本外观设计产品的设计要点：在于图形用户界面的界面内容。
 4.最能表明设计要点的图片或照片：界面变化状态图2。
 5.请求保护的外观设计包含色彩。
 6.其他视图无设计要点，省略其他视图。
 7.图形用户界面的用途：用于设备信息的统计管理。
 8.图形用户界面的人机交互方式：主视图为统计的设备信息总量数据模块，展示了手机系统分别为Android、IOS及其他的用户数量，点击主视图中的详细数据，跳转至界面变化状态图1展示的具体对应手机类型对应的用户数量以及对应单个手机类型占总用户比率，右侧通过图表进行展示；在界面变化状态图1中对应的搜索区选择手机系统为Andriod，点击右侧的蓝色等色彩的“搜索”按钮，跳转至界面变化状态图2展示手机系统类型为Andriod的统计用户数量信息界面；在界面变化状态图1或界面变化状态图2中对应的搜索区选择手机系统为IOS，点击右侧的蓝色等色彩的“搜索”按钮，跳转至界面变化状态图3展示手机系统类型为IOS的统计用户数量信息界面。
 9.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</si>
  <si>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显示屏幕面板用的设备管理图形用户界面</t>
  </si>
  <si>
    <t>CN114821816B</t>
  </si>
  <si>
    <t>本发明涉及人工智能技术领域，具体涉及基于人工智能的健身场所布局优化方法。该方法包括：获取用户的活动轨迹；根据活动轨迹获取用户的健身意向；获取健身设施的参考使用时长；通过使用时长与对应的参考使用时长的差值得到每个健身设施的第一热度；在每个用户的活动轨迹中获取每个轨迹点的感兴趣区域，并在每个感兴趣区域内选取与该用户最终选取的健身设施同类型的健身设施，并生成对应的描述向量；通过描述向量获取每个健身设施的热度优化参数；以热度优化参数与对应的第一热度的乘积作为健身设施的实际热度；当健身场所中健身设施的实际热度不均衡时，移动健身设施直至实际热度均衡。本发明实施例能够提高健身场所的健身设施利用率。</t>
  </si>
  <si>
    <t>基于人工智能的健身场所布局优化方法</t>
  </si>
  <si>
    <t>CN115115987A</t>
  </si>
  <si>
    <t>本发明公开了基于视觉视频分析技术的乒乓球智能导播技术方法，包括以下步骤：S101、数据集构建：S102、预处理：S103、构建模型：S104、测试：S105、视频逻辑处理，导播视频结果；本发明首次利用深度学习技术实现对乒乓球的智能导播，该方法针对智能导播的实时性进行优化，检测速度快，针对乒乓球运动进行优化，其对乒乓球动作识别率更高，应用于乒乓球比赛的导播中可以大幅减少人力，并且提升导播的速度，并且该方法可为其他比赛领域的智能导播提供参考范式。</t>
  </si>
  <si>
    <t>基于视觉视频分析技术的乒乓球智能导播技术方法</t>
  </si>
  <si>
    <t>CN307698792S</t>
  </si>
  <si>
    <t>1.本外观设计产品的名称：用于显示屏幕面板的音乐播放图形用户界面。
 2.本外观设计产品的用途：本外观设计产品用于运行程序、显示信息和人机交互。
 3.本外观设计产品的设计要点：在于图形用户界面的界面内容和布局。
 4.最能表明设计要点的图片或照片：设计1主视图。
 5.屏幕面板为惯常设计，省略后视图、仰视图、俯视图、左视图和右视图。
 6.指定设计1为基本设计。
 7.图形用户界面的用途：该图形用户界面用于展示音乐播放相关的信息。
 在设计1主视图中，当进度条播放或拖拽到指定位置时，歌曲封面图片消失，如设计1界面变化状态图1所示，而后播放彩蛋视频，如设计1界面变化状态图2所示，以投影为主要创意，用影子演绎生日氛围的场景与内容。
 歌曲封面图片可以配置不同形状，在设计2主视图中，歌曲封面图片为方形，设计2界面变化状态图1、2和设计1界面变化状态图1、2相同。
 8.该显示屏幕面板用于手机、笔记本电脑、平板电脑、计算机、车载中控屏幕、智能电视、智能手环、智能眼镜、智能手表、个人数字助理（Personal&amp;nbsp;Digital&amp;nbsp;Assistant，PDA）、健身监视器、投影仪。</t>
  </si>
  <si>
    <t>CN307706340S</t>
  </si>
  <si>
    <t>1.本外观设计产品的名称：显示屏幕面板用的药师审方图形用户界面。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6.图形用户界面的用途：用于药师审方。
 7.图形用户界面的人机交互方式：主视图为智慧医疗云平台系统的药师审方未审核界面，点击主视图的“已审核”模块，跳转至界面变化状态图1的药师审方已审核界面；点击主视图中任一待审核药方的“详情”按钮，跳转至界面变化状态图2显示的药师审方未审核详情的界面；点击界面变化状态图2提示窗中的“去签名”按钮，跳转至界面变化状态图3所示的药师审方后的签名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</si>
  <si>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显示屏幕面板用的药师审方图形用户界面</t>
  </si>
  <si>
    <t>CN307706342S</t>
  </si>
  <si>
    <t>1.本外观设计产品的名称：显示屏幕面板用的药师管理图形用户界面。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6.图形用户界面的用途：用于药师信息的管理。
 7.图形用户界面的人机交互方式：主视图为智慧医疗系统的药师管理主界面，用于展示药师信息的界面，在主视图中查询区填写具体的“所属院区”、“药师姓名”、“手机号”、“审方权限”等具体信息，可查询对应的药师信息，滑动主视图下方的滑动工具栏，则如界面变化状态图1所示连续显示详细药师信息界面；点击主视图或界面变化状态图1的“新增药师”按钮，跳转至界面变化状态图2显示的新增药师界面；滑动界面变化状态图2右侧的滑动工具栏，则如界面变化状态图3所示连续显示详细新增药师信息界面，点击“确认”按钮，来新增药师信息；点击主视图或界面变化状态图1中的“查看”按钮，跳转至界面变化状态图4显示的药师信息界面；点击主视图或界面变化状态图1中的“编辑”按钮，跳转至界面变化状态图5显示的编辑药师界面；滑动界面变化状态图5右侧的滑动工具栏，则如界面变化状态图6所示连续显示详细编辑药师信息界面；点击主视图或界面变化状态图1中的“重置”按钮，则如界面变化状态图7所示弹出重置密码提示窗，点击提示窗中的“确认”按钮来重置该药师的登录密码为初始密码，点击提示窗中的“取消”按钮，则不重置密码；点击界面变化状态图1中的“删除”按钮，则如界面变化状态图8所示弹出药师删除确认提示窗，点击提示窗中的“删除”按钮，则删除该药师信息，点击“取消”按钮，则取消删除该药师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</si>
  <si>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显示屏幕面板用的药师管理图形用户界面</t>
  </si>
  <si>
    <t>CN307706341S</t>
  </si>
  <si>
    <t>1.本外观设计产品的名称：显示屏幕面板用的调查管理图形用户界面。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6.图形用户界面的用途：用于各个院区的调查表调查管理。
 7.图形用户界面的人机交互方式：主视图为智慧医疗系统的调查管理主界面，用于展示各个院区的调查列表；在主视图中查询区填写具体的“所属院区”、“调查名称”等具体信息，点击“查询”按钮，跳转至界面变化状态图1显示的查询结果界面；点击主视图或界面变化状态图1中的“新增调查”按钮，跳转至界面变化状态图2显示的新增调查界面；滑动界面变化状态图2右侧的滑动工具栏，则如界面变化状态图3所示连续显示详细新增调查信息界面；滑动界面变化状态图3右侧的滑动工具栏，则如界面变化状态图4所示连续显示详细新增调查信息界面；滑动界面变化状态图4右侧的滑动工具栏，则如界面变化状态图5所示连续显示详细新增调查信息界面，点击下方的“发布”按钮，来新增调查；点击主视图或界面变化状态图1展示的调查列表右侧的“查看”按钮，跳转至界面变化状态图6显示的具体调查信息界面；滑动界面变化状态图6右侧的滑动工具栏，则如界面变化状态图7至界面变化状态图9所示连续显示详细调查信息界面；点击界面变化状态图9中的“展开”按钮，跳转至界面变化状态图10显示的所有用户的调查问卷；点击主视图中的“编辑”按钮，跳转至界面变化状态图11显示的编辑调查信息的界面；滑动界面变化状态图11右侧的滑动工具栏，则如界面变化状态图12至界面变化状态图13所示连续显示详细编辑调查信息界面，点击界面变化状态图13下方的“保存”按钮，对编辑后的调查信息进行保存，点击界面变化状态图下方的“发布”按钮，对编辑后的调查信息进行发布；点击主视图或界面变化状态图1调查列表的“删除”按钮，则如界面变化状态图14所示弹出调查删除提示窗，点击“确定”按钮来删除此条调查信息，点击“取消”按钮，取消删除此条调查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</si>
  <si>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显示屏幕面板用的调查管理图形用户界面</t>
  </si>
  <si>
    <t>CN307713294S</t>
  </si>
  <si>
    <t>1.本外观设计产品的名称：显示屏幕面板用的医生管理图形用户界面。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6.图形用户界面的用途：用于医生信息的管理。
 7.图形用户界面的人机交互方式：主视图为智慧医疗云平台系统的医生管理模块主界面，用于展示医生信息的界面，在主视图中查询区填写具体的“医生姓名”、“手机号”、“任职院区”、“入驻科室”、“在线复诊”等具体信息，可查询对应的医生信息，鼠标滑动或者拖动主视图下方的滑动工具栏，则如界面变化状态图1所示接续显示详细医生信息界面；点击主视图或界面变化状态图1的“新增医生”按钮，跳转至界面变化状态图2显示的新增医生信息界面；滑动界面变化状态图2右侧的滑动工具栏，则如界面变化状态图3所示接续显示详细新增医生信息界面，点击“确认”按钮来新增医生信息；点击主视图或界面变化状态图1中任一信息列表中的“查看”按钮，跳转至界面变化状态图4显示的医生信息界面；点击主视图或界面变化状态图1中任一信息列表中的“编辑”按钮，跳转至界面变化状态图5显示的编辑医生信息界面；鼠标滚动界面或拖动滑动界面变化状态图5右侧的滑动工具栏，则如界面变化状态图6所示接续显示详细编辑医生信息界面；点击主视图或界面变化状态图1中任一列表中的“重置”按钮，则如界面变化状态图7所示弹出重置密码提示窗，点击提示窗中的“确定”按钮来重置该医生的登录密码为初始密码，点击提示窗中的“取消”按钮，则不重置密码；点击主视图或界面变化状态图1中任一列表中的“删除”按钮，则如界面变化状态图8所示弹出医生删除确认提示窗，点击提示窗中的“删除”按钮，则删除该医生信息，点击“取消”按钮，则取消删除该医生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</si>
  <si>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显示屏幕面板用的医生管理图形用户界面</t>
  </si>
  <si>
    <t>CN307713291S</t>
  </si>
  <si>
    <t>1.本外观设计产品的名称：显示屏幕面板用的处方管理图形用户界面。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6.图形用户界面的用途：用于医生处方信息的管理。
 7.图形用户界面的人机交互方式：主视图为智慧医疗系统的处方管理主界面，用于展示医院下所有院区或某个院区医生开具的处方列表，若处方状态为已支付，“退费”按钮为蓝色等带有颜色，可点击进行退费，在主视图中查询区填写具体的“开具日期”、“所属院区”、“就诊科室”、“处方单号”、“就诊人姓名”、“开具医生”等具体信息，点击“查询”按钮，跳转至界面变化状态图1展示的处方查询结果界面；点击主视图或界面变化状态图1中处方管理列表中任一处方信息右边的“查看”按钮，跳转至界面变化状态图2显示的处方信息详情界面；点击主视图或界面变化状态图1中处方管理列表中任一处方信息右边的“退费”按钮，则如界面变化状态图3所示弹出显示退费确认提示窗，点击确认提示窗的“确定”按钮来进行退费，点击确认提示窗的“取消”按钮，则取消退费。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</si>
  <si>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显示屏幕面板用的处方管理图形用户界面</t>
  </si>
  <si>
    <t>CN307713293S</t>
  </si>
  <si>
    <t>1.本外观设计产品的名称：显示屏幕面板用的患者管理图形用户界面。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6.图形用户界面的用途：用于管理患者信息。
 7.图形用户界面的人机交互方式：主视图为智慧医疗云平台系统的患者管理界面，展示了“姓名”、“身份证”、“手机号”、“就诊次数”等信息，填写主视图中查询区的“姓名”、“身份证”、“手机号”信息，点击右侧的“查询”按钮，跳转至界面变化状态图1的查询结果界面，点击界面变化状态图1中展示的任一列就诊信息中的问诊信息列的“查看”按钮，跳转至界面变化状态图2展示的详细问诊信息界面；点击界面变化状态图1中任一列就诊信息中的病历列的“查看”按钮，跳转至界面变化状态图3的病历详情界面，查看患者的就诊病历信息；点击界面变化状态图1中展示的任一列就诊信息中的处方列的“查看”按钮，跳转至界面变化状态图4展示的处方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</si>
  <si>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显示屏幕面板用的患者管理图形用户界面</t>
  </si>
  <si>
    <t>CN307713292S</t>
  </si>
  <si>
    <t>1.本外观设计产品的名称：显示屏幕面板用的科室管理图形用户界面。
 2.本外观设计产品的用途：用于交互和显示。
 3.本外观设计产品的设计要点：在于图形用户界面的界面内容。
 4.最能表明设计要点的图片或照片：主视图。
 5.其他视图无设计要点，省略其他视图。
 6.图形用户界面的用途：用于各科室信息的管理。
 7.图形用户界面的人机交互方式：主视图为智慧医疗系统的科室管理主界面，展示“科室管理”模块的界面，点击主视图中的“科室类型管理”按钮，跳转至界面变化状态图1展示的科室类型管理界面；点击界面变化状态图1的“新增科室类型”按钮，跳转至界面变化状态图2显示的新增科室类型界面；点击界面变化状态图1展示的科室类型详情栏列表中右侧的“编辑”按钮，跳转至界面变化状态图3，用户通过该界面对科室类型信息进行编辑，点击“保存”按钮，对编辑的科室类型信息进行保存，点击“取消”按钮，则取消本次编辑操作；点击界面变化状态图1展示的科室类型详情栏列表中右侧的“删除”按钮，则如界面变化状态图4所示弹出科室类型删除确认提示窗，点击提示窗中的“删除”按钮，则本条科室类型记录消失，点击“取消”按钮，则不删除此条科室类型记录；点击主视图的“新增科室”按钮，跳转至界面变化状态图5展示的新增科室界面，用户可在该界面填写新增科室对应的“科室代码”、“科室名称”、“所属院区”、“科室类型”等具体信息，点击界面变化状态图5下方的“确认”按钮来新增科室信息，点击“取消”按钮，则取消本次新增科室的操作；点击主视图展示的科室管理界面的科室列表中右侧“编辑”按钮，跳转至界面变化状态图6显示的编辑科室界面，用户能够在该界面进行对科室的具体信息例如“科室代码”、“科室名称”、“所属院区”、“科室类型”等科室信息进行编辑；点击主视图展示的科室管理界面的科室列表中右侧“删除”按钮，则如界面变化状态图7所示弹出科室删除确认提示窗，点击提示窗中的“删除”按钮，则删除此条科室管理信息，点击“取消”按钮，则取消删除此条科室管理信息。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</si>
  <si>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显示屏幕面板用的科室管理图形用户界面</t>
  </si>
  <si>
    <t>CN307769340S</t>
  </si>
  <si>
    <t>1.本外观设计产品的名称：显示屏幕面板用的连接麦克风图形用户界面。
 2.本外观设计产品的用途：用于交互和显示。
 3.本外观设计产品的设计要点：在于图形用户界面的界面内容。
 4.最能表明设计要点的图片或照片：界面变化状态图2。
 5.其他视图无设计要点，省略其他视图。
 6.图形用户界面的用途：用于查看无线麦克风与设备连接的状态。
 7.图形用户界面的人机交互方式：主视图为开关机界面，开机之后单个麦克风通过蓝牙与设备连接时，显示界面变化状态图1；两个麦克风均通过蓝牙与设备连接为安全音轨模式时，显示界面变化状态图2；当麦克风使用过程中通过蓝牙与设备连接为破音及静音状态时，显示界面变化状态图3；当麦克风使用过程中通过蓝牙与设备连接为立体声道模式时，显示界面变化状态图4；单个麦克风与设备连接显示充电状态时，显示界面变化状态图5；两个麦克风与设备连接显示充电状态时，显示界面变化状态图6；关机后显示为关机界面，显示主视图。
 8.该显示屏幕面板可以应用于计算机、笔记本电脑、平板电脑、手机、智能手环、智能眼镜、手表、健身监视器、头戴式耳机、个人数字助理、智能音箱、电视、监视器、投影仪、机顶盒、导航仪、用于车辆的显示装置。</t>
  </si>
  <si>
    <t>显示屏幕面板用的连接麦克风图形用户界面</t>
  </si>
  <si>
    <t>CN307769341S</t>
  </si>
  <si>
    <t>1.本外观设计产品的名称：显示屏幕面板用的智慧办公图形用户界面。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6.图形用户界面的用途：用于进行会议。
 7.图形用户界面的人机交互方式：点击主视图的绑定按钮，跳转至显示界面变化状态图1；滑动界面变化状态图1的“会议已开始，滑动进入”按钮，跳转至显示界面变化状态图2；点击界面变化状态图2的“会议文档”按钮，跳转至界面变化状态图3。
 8.该显示屏幕面板可以应用于计算机、笔记本电脑、平板电脑、手机、智能手环、智能眼镜、手表、健身监视器、头戴式耳机、个人数字助理、智能音箱、电视、监视器、投影仪、机顶盒、导航仪、用于车辆的显示装置。</t>
  </si>
  <si>
    <t>显示屏幕面板用的智慧办公图形用户界面</t>
  </si>
  <si>
    <t>CN307847817S</t>
  </si>
  <si>
    <t>1.本外观设计产品的名称：显示屏幕面板的信息展示图形用户界面。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6.图形用户界面的用途：本图形用户界面用于展示信息。
 7.图形用户界面的人机交互方式：设计1至设计3主视图的图形用户界面为信息展示的界面，用户可以点击界面左上部的搜索框进行信息搜索和信息导入。
 各设计界面中的灰色色块为可替换的图片或视频。
 各设计界面中的叉号代表文字和/或数字和/或字母和/或符号。
 8.该图形用户界面可用于手机、计算机、平板电脑、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
 9.显示屏幕面板为惯常设计，省略各项设计的后视图、左视图、右视图、俯视图、仰视图。</t>
  </si>
  <si>
    <t>JP2022130567A5</t>
  </si>
  <si>
    <t>提供一种信息处理设备、信息处理方法和程序,其允许用户容易地从举办比赛观看活动的场所中搜索符合他/她的爱好和品味的场所。 
  [解决方案] 赛事场地推荐系统包括访客信息,其中包括正在访问或计划访问的访客用户的比赛中支持者相关的属性,以及举办比赛观看活动的每个场地的目标用户的属性。向目标用户推荐目标用户信息。</t>
  </si>
  <si>
    <t>信息处理装置、信息处理方法及程序</t>
  </si>
  <si>
    <t>CN307464327S</t>
  </si>
  <si>
    <t>1.本外观设计产品的名称：显示屏幕面板的商品信息展示图形用户界面。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6.图形用户界面的用途：本图形用户界面用于展示商品信息。
 7、图形用户界面的人机交互方式：设计1至设计3主视图的图形用户界面为商品信息展示的界面，用户可以点击界面下部的商品信息卡进入相应的商品详情页面。
 各设计界面中的灰色色块为可替换的图片或视频。
 各设计界面中的叉号代表文字和/或数字和/或字母和/或符号。
 8、该图形用户界面可用于手机、计算机、平板电脑、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
 9、显示屏幕面板为惯常设计，省略各项设计的后视图、左视图、右视图、俯视图、仰视图。</t>
  </si>
  <si>
    <t>CN307804360S</t>
  </si>
  <si>
    <t>1.本外观设计产品的名称：用于显示屏幕面板的3D档案室可视化管理图形用户界面。
 2.本外观设计产品的用途：用于触控交互和显示信息，该显示屏幕面板用于计算机、手机、平板电脑、电视。
 3.本外观设计产品的设计要点：在于图形用户界面显示的内容，显示屏幕面板为惯常设计。
 4.最能表明设计要点的图片或照片：主视图。
 5.其他视图无设计要点，省略其他视图。
 6.图形用户界面的用途：用于档案室可视化管理的交互界面。
 7.图形用户界面的人机交互方式：主视图为档案室可视化管理界面，主视图左上角为档案查询定位栏，输入档案相关信息可查询档案的具体位置。
 点击主视图中架体，界面底部弹出架体操作按钮栏，显示“变化状态图1”。
 点击变化状态图1底部“修改属性”操作按钮，弹出架体属性修改弹窗，可根据实际情况调整架体的属性信息，显示“变化状态图2”。
 点击变化状态图1底部第二个左移按钮和第三个右移按钮，可操控架体移动，如“变化状态图3”所示。
 架体移开后可自动切换至架体打开界面，显示“变化状态图4”。
 点击变化状态图1右上角的第一个图标按钮，进入档案室全局俯视界面，显示“变化状态图5”。
 通过鼠标以及操控键可放大、缩小以及调整档案室可视化角度，如“变化状态图6”所示。
 双击“变化状态图6”的温湿度一体机图形，界面弹出一体机远程控制弹窗，可查看设备运行状况并进行远程控制，显示“变化状态图7”。
 双击“变化状态图6”左下角区域控制器图形，界面弹出控制器信息列表，可以查看环境设备清单并进行远程控制，显示“变化状态图8”。</t>
  </si>
  <si>
    <t>用于显示屏幕面板的3D档案室可视化管理图形用户界面</t>
  </si>
  <si>
    <t>CN307847815S</t>
  </si>
  <si>
    <t>1.本外观设计产品的名称：显示屏幕面板用的就诊院内导航图形用户界面。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6.图形用户界面的用途：用于就诊医院院内导航信息的管理。
 7.图形用户界面的人机交互方式：主视图为智慧医疗云平台系统的就诊院内导航模块主界面，显示有包含“所属院区”、“建筑名称”、“楼层”、“状态”等的医院信息列表，列表区内带有蓝色等色彩的“编辑”按钮为可点击操作状态，灰色的“编辑”为不可点击操作状态；点击主视图中“所属院区”下拉选框选择院区，并点击右侧的“查询”按钮，跳转至界面变化状态图1显示的区筛选结果界面；点击主视图或界面变化状态图1的“新增”按钮，跳转至界面变化状态图2的新增院区导航信息的界面，用户可在该界面填写建筑物名称、建筑楼层等信息、以及上传对应建筑的导航地图的图片；用鼠标滚动页面或点击拖动界面变化状态图2右侧的滑动条，则如界面变化状态图3所示接续展示新增院区导航信息的界面；点击界面变化状态图3的“保存”按钮，则保存新增信息，新增的院区导航信息状态为未生效，在移动端查不到该院内导航信息，点击“发布”按钮，则发布新增信息，新增的院区导航信息状态为已生效，能够在移动端查看到该院内导航；点击主视图或界面变化状态图1展示的院内导航信息列表区内右侧的“查看”按钮，跳转至界面变化状态图4展示的对应院内导航的具体信息；点击主视图或界面变化状态图1展示的各院区的院内导航信息右侧的带有颜色的“编辑”按钮，跳转至界面变化状态图5展示的院内导航信息编辑界面，用户可在该界面内对导航信息进行编辑修改操作；用鼠标滚动页面或点击拖动界面变化状态图5右侧的滑动条，则如界面变化状态图6所示接续展示编辑对应院区导航信息的界面；点击主视图或界面变化状态图1展示的各院区的院内导航信息右侧的“删除”按钮，则如界面变化状态图7所示弹出删除确认提示窗，点击提示窗中的“确定”按钮，进行导航信息的删除操作，点击提示窗中的“取消”按钮，则取消该导航信息的删除操作。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</si>
  <si>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显示屏幕面板用的就诊院内导航图形用户界面</t>
  </si>
  <si>
    <t>CN116801027A</t>
  </si>
  <si>
    <t>本申请实施例提供了一种显示设备和投屏方法，涉及语音识别技术领域。该显示设备包括显示器；控制器，被配置为：响应于接收到的触发指令，在显示器显示跟练界面，其中，跟练界面包括第一视频播放窗口和第二视频播放窗口，第二视频窗口用于播放从服务器获取的健身视频；接收终端设备发送的第一视频流，根据标识信息、视频播放参数以及第一视频流的尺寸获取缩放比例，根据缩放比例对第一视频流进行缩放获取第二视频流，以及根据视频播放参数和第二视频流的尺寸获取布局偏移参数；视频播放参数包括第一视频播放窗口的尺寸和/或预设视频流尺寸；其中，第一视频流为终端设备的视频录制装置采集得到的视频流，且携带有用于标识终端设备录制第一视频流对应的视频时的姿态的标识信息；基于布局偏移参数对第二视频流进行偏移，并控制显示器在第一视频窗口播放偏移后的第二视频流。本申请实施例用于投屏显示。</t>
  </si>
  <si>
    <t>显示设备和投屏方法</t>
  </si>
  <si>
    <t>IN202231036564A</t>
  </si>
  <si>
    <t>本发明涉及一种多模式排球游戏装置,包括多个伸缩连杆1形成类似排球场的框架,可伸缩杆2安装有网3将场地分成两半,触控显示面板4允许用户选择 沙地、地面或水模式的比赛模式以及球员总数,用于将球员分成两支球队,并为每支球队分配一个半场,安装在框架上的 5 个房间分别装满水和沙子,用于在框架内分配水和沙子 ,安装在网3上的触摸传感器7用于确定球员的触摸,因此微控制器启动扬声器8以指示犯规情况,以及基于人工智能的成像单元9处理周围图像以评估每支球队的得分以及 跨线犯规。</t>
  </si>
  <si>
    <t>多模式排球游戏设备</t>
  </si>
  <si>
    <t>CN307581074S</t>
  </si>
  <si>
    <t>1.本外观设计产品的名称：用于手机显示的瑜伽健身图形用户界面。
 2.本外观设计产品的用途：用于手机的图形用户界面（瑜伽健身）的操作，显示信息和信息交互。
 3.本外观设计产品的设计要点：在于图形界面组合、内容。
 4.最能表明设计要点的图片或照片：主视图。
 5.图形用户界面的用途：用于手机的瑜伽健身图形用户界面。
 6.图形用户界面的人机交互方式：主视图为用于手机的瑜伽健身图形用户界面的首页，点击主视图中“运动”，跳转至界面变化状态图1；选择界面变化状态图1中“普拉提”、“阴瑜伽”、“流瑜伽”、“哈他瑜伽”和“阿斯汤加瑜伽”中任意一项后再带点击“开始”，跳转至界面变化状态图2，开始计时；点击界面变化状态图2最下方圆形按钮，跳转至界面变化状态图3，结束计时；点击主视图中“发现”，跳转至界面变化状态图4；点击主视图中“我的”，跳转至界面变化状态图5。</t>
  </si>
  <si>
    <t>用于手机显示的瑜伽健身图形用户界面</t>
  </si>
  <si>
    <t>US20220327829A1</t>
  </si>
  <si>
    <t>视频流的亮点元数据是从嵌入视频流中的卡片图像中提取的。亮点可能是视频流的细分市场,例如体育赛事的广播,对一个或多个用户特别感兴趣。确定并处理视频流的视频帧中嵌入的卡片图像以提取文本。可以通过应用机器学习的模型来识别文本字符,该模型训练了从体育电视节目内容中嵌入的卡片图像中提取的一组字符。可以预处理角色向量的训练集,以最大程度地提高训练集成员之间的度量距离。文本可以被解释为获得元数据。元数据可以与视频流的一部分合作存储。元数据可能会提供有关亮点的信息,并且可以同时显示亮点的播放。</t>
  </si>
  <si>
    <t>用于识别和解释嵌入式信息卡内容的机器学习</t>
  </si>
  <si>
    <t>CN307632221S</t>
  </si>
  <si>
    <t>1.本外观设计产品的名称：显示屏幕面板的卡片信息显示图形用户界面。
 2.本外观设计产品的用途：用于运行程序及显示图形用户界面。
 3.本外观设计产品的设计要点：在于显示屏幕面板上所显示的图形用户界面。
 4.最能表明设计要点的图片或照片：设计1主视图。
 5.显示屏幕面板为惯常设计，省略其他视图。
 6.指定设计1为基本设计。
 7.本外观设计产品的图形用户界面的用途：本外观设计产品的界面为商品特性显示的功能界面。
 设计1为第一种界面设计，设计1主视图为商品卡的显示界面。
 用户通过点击界面中的商品详情（界面中部显示区域）或入口“”按钮，进入相应界面，如商品购买界面。
 设计2‑设计4分别为相似界面设计，其界面交互方式与设计1相同。
 设计1‑设计4的商品卡显示区域（界面上部显示区域）可显示商品图片或视频，各设计界面中的“x”代表文字、数字、字母和/或符号。
 该图形用户界面可用于手机、计算机、平板电脑、智能电视、车载中控屏幕、多媒体一体机、电子记事本、头戴式显示器、智能音箱、投影仪、游戏机、导航仪、智能手表、智能手环、智能台灯、带屏幕的冰箱、带屏幕的抽油烟机、带屏幕的空调、智能健身镜、带屏幕的消毒柜、带屏幕的洗碗机、带屏幕的烤箱。
 通过本外观设计产品界面，可以实现本产品与用户的人机交互操作。</t>
  </si>
  <si>
    <t>显示屏幕面板的卡片信息显示图形用户界面</t>
  </si>
  <si>
    <t>CN307652092S</t>
  </si>
  <si>
    <t>1.本外观设计产品的名称：带酒店服务图形用户界面的显示屏幕面板（06）。
 2.本外观设计产品的用途：本外观设计产品用于酒店服务，提供供用户选择的图形用户界面的操作面板，可以用于投影仪、电视、平板电脑的显示设备。
 3.本外观设计产品的设计要点：在于操作面板显示的用户交互界面。
 4.最能表明设计要点的图片或照片：主视图。
 5.均无设计要点，省略后视图、左视图、右视图、俯视图、仰视图。
 6.图形用户界面的用途：操作和显示操作面板显示的用户交互界面的“主页”、“电视直播”、“极光TV”、“品牌介绍”、“智能投屏”、“健身互动”。
 7.图形用户界面在产品中的区域：操作面板上的区域。
 8.图形用户界面的人机交互方式：1）开机过程中首先显示关于“欢迎入住酒店”界面操作面板的主视图，开机结束后自动跳转至“酒店主页”界面变化状态图1；2）操作界面变化状态图1中“电视直播”功能按钮，界面从界面变化状态图1跳转到界面变化状态图2；3）操作界面变化状态图2中“极光TV”功能按钮，界面从界面变化状态图2跳转到界面变化状态图3；4）操作界面变化状态图3中“品牌介绍”功能按钮，界面从界面变化状态图3跳转到界面变化状态图4，停留设定时间后自动跳转到界面变化状态图7和界面变化状态图8，停留设定时间操作界面变化状态图8自动跳转到界面变化状态图5“智能投屏”界面；5）操作界面变化状态图5中“健身互动”功能按钮，界面从界面变化状态图5跳转到界面变化状态图6。</t>
  </si>
  <si>
    <t>带酒店服务图形用户界面的显示屏幕面板（06）</t>
  </si>
  <si>
    <t>CN307706336S</t>
  </si>
  <si>
    <t>1.本外观设计产品的名称：显示屏幕面板用的诊疗记录管理图形用户界面。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6.图形用户界面的用途：用于查看管理每个就诊记录。
 7.图形用户界面的人机交互方式：主视图为智慧医疗云平台系统的诊疗记录管理界面，填写主视图界面中的“就诊日期”、“所属院区”等就诊信息后，点击“查询”按钮，跳转至界面变化状态图1的查询信息的结果列表界面；点击界面变化状态图1中对应每行列表信息的“查看”按钮，跳转至界面变化状态图2或界面变化状态图3的详细就诊状态信息界面；滑动界面变化状态图3右侧的滑动工具栏，则如界面变化状态图4所示连续显示详细诊疗信息界面。
 8.显示用的载体设备为现有设计，该显示屏幕面板可以应用于计算机、笔记本电脑、平板电脑、手机、智能手机、智能手环、智能眼镜、手表、智能手表、健身监视器、头戴式耳机、个人数字助理、智能音箱、电视、监视器、机顶盒、导航仪、用于车辆的显示装置。</t>
  </si>
  <si>
    <t>显示屏幕面板用的诊疗记录管理图形用户界面</t>
  </si>
  <si>
    <t>CN115240268A</t>
  </si>
  <si>
    <t>本发明涉及图像数据处理技术领域，具体涉及一种基于深度学习的足球机器人及识别方法，包括视觉系统、数据处理系统、踢球系统和移动底盘，数据处理系统包括图像处理子系统、轨迹计算子系统和指令输出子系统，视觉系统采集目标区域画面；图像处理子系统建立目标识别网络模型对目标区域画面进行目标识别，得到球目标；指令输出子系统基于球目标和球门位置生成移动指令和射门指令；移动底盘基于移动指令带动踢球系统进行移动；踢球系统基于射门指令对球目标进行射门，本发明的目标识别网络模型可将目标区域画面的复杂背景滤除，实现目标识别，解决了球场上其余足球机器人组成的复杂背景会对足球目标的识别造成干扰的问题。</t>
  </si>
  <si>
    <t>一种基于深度学习的足球机器人及识别方法</t>
  </si>
  <si>
    <t>CN114783001A</t>
  </si>
  <si>
    <t>本发明公开了一种游泳姿态评估方法、系统、装置及计算机可读存储介质,属于游泳姿态评估技术领域，包括：获取游泳图像，识别人体姿态数据，生成两组坐标；建立立体姿态模型；将相同场景产生的锚点坐标滤波，使二维坐标转换为三维坐标；将三维坐标生成三维向量，并计算向量之间夹角；设定游泳者关节角度阈值，判定游泳姿态合格与否，本发明随着深度学习与运算速率的提升，对于姿态识别的研究不断深入，通过拍摄人体姿态，对手肘、脚踝、头部等关节部位进行标记，生成标记图后，建立神经网络对这些标记图片进行训练，生成模型，并提供相应的矫正工具使其在不同的环境背景下提高识别效率。</t>
  </si>
  <si>
    <t>游泳姿态评估方法、系统、装置及计算机可读存储介质</t>
  </si>
  <si>
    <t>CN114818991B</t>
  </si>
  <si>
    <t>本发明公开了一种基于卷积神经网络和加速度传感器的跑步行为识别方法，涉及智能识别软件技术领域。本发明的跑步行为识别方法基于三轴加速度传感器数据，以设定时间间隔进行采样，连续采集设定时长的数据，并将其通过三次样条插值法进行拟合和重采样，得到固定长度的时间序列，作为一个样本数据，按照上述方式处理得到多个样本数据，将样本数据输入到一个卷积神经网络模型中对样本数据的运动状态进行识别；识别结果达到设定阈值，则将跑步运动状态信息与其他用户提交数据进行相似度比对，判别是否存在代跑行为。本发明可应用并集成在跑步软件中，用以判别跑步打卡是否存在作弊行为，确保大学生能够保质保量完成跑步打卡任务。</t>
  </si>
  <si>
    <t>基于卷积神经网络和加速度传感器的跑步行为识别方法</t>
  </si>
  <si>
    <t>CN307661143S</t>
  </si>
  <si>
    <t>1.本外观设计产品的名称：显示屏幕面板的视频拍摄的图形用户界面。
 2.本外观设计产品的用途：用于运行程序、信息显示、人机交互。
 3.本外观设计产品的设计要点：在于屏幕中的图形用户界面。
 4.最能表明设计要点的图片或照片：主视图。
 5.图形用户界面的用途：本图形用户界面用于视频拍摄。
 主视图为视频拍摄界面，界面中下部显示视频模板，用户点击任意视频模板，进入该视频模板的横屏拍摄界面，如界面变化状态图1所示，用户点击界面右侧的圆形按钮，开始拍摄，同时，圆形按钮变为时间进度条，时间进度条的圆圈显示拍摄进度，时间进度条的圆圈内显示拍摄时长，如界面变化状态图2所示，当时间进度条形成一个完整的圆后进入界面变化状态图3，此时，第一个视频片段拍摄完成，界面下方的代表视频片段的进度条会显示完成一个，继续点击界面右侧的圆形按钮，可继续拍摄视频，直至四个视频片段全部拍摄完毕后，进入界面变化状态图4，界面右侧圆形按钮的中部圆圈变成箭头，界面下方的代表视频片段的进度条显示全部完成，点击该圆形按钮，进入界面变化状态图5，界面右侧圆形按钮的中部箭头变成对钩，点击该圆形按钮，完成拍摄。
 6.本显示屏幕面板可用于车辆、计算机、笔记本电脑、平板电脑、手机、智能手表、智能手环、健身监视器、头戴式耳机、个人数字助理（PDA）、智能音箱、电视、机顶盒、投影仪、游戏机或导航仪。</t>
  </si>
  <si>
    <t>显示屏幕面板的视频拍摄的图形用户界面</t>
  </si>
  <si>
    <t>CN307661142S</t>
  </si>
  <si>
    <t>1.本外观设计产品的名称：显示屏幕面板的拍照面板的图形用户界面。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6.图形用户界面的用途：本图形用户界面的设计点在于拍照面板的布局，设计1主视图为人像拍照界面，设计2主视图为拍照界面，用户可根据界面提示进行相关操作。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</si>
  <si>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显示屏幕面板的拍照面板的图形用户界面</t>
  </si>
  <si>
    <t>CN307661141S</t>
  </si>
  <si>
    <t>1.本外观设计产品的名称：显示屏幕面板的变焦参数设置的图形用户界面。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6.图形用户界面的用途：本图形用户界面的设计点在于相机的变焦参数设置。
 设计1主视图至设计10主视图为带变焦参数设置的拍照界面，用户可根据界面提示进行相关操作。
 设计10主视图为带变焦参数设置的拍照界面，用户左右滑动变焦滑轴可调整变焦倍数，同时，滑轴上方显示当前变焦倍数，如设计10界面变化状态图所示。
 7.本显示屏幕面板可用于车辆、计算机、笔记本电脑、平板电脑、手机、智能手表、智能手环、健身监视器、头戴式耳机、个人数字助理（PDA）、智能音箱、电视、机顶盒、投影仪、游戏机或导航仪。</t>
  </si>
  <si>
    <t>显示屏幕面板的变焦参数设置的图形用户界面</t>
  </si>
  <si>
    <t>CN307698777S</t>
  </si>
  <si>
    <t>1.本外观设计产品的名称：显示屏幕面板的拍照参数设置的图形用户界面。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6.图形用户界面的用途：本图形用户界面的设计点在于拍照参数设置界面。
 设计1主视图至设计6主视图为带参数设置的拍照界面，用户可根据界面提示进行相关操作。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</si>
  <si>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显示屏幕面板的拍照参数设置的图形用户界面</t>
  </si>
  <si>
    <t>CN307769336S</t>
  </si>
  <si>
    <t>1.本外观设计产品的名称：显示屏幕面板的拍照效果选择的图形用户界面。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6.图形用户界面的用途：本图形用户界面的设计点在于拍照效果的选择，设计1主视图至设计7主视图为带拍照效果（如光学镜头效果）选择的拍照界面，用户可根据界面提示进行相关操作。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</si>
  <si>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显示屏幕面板的拍照效果选择的图形用户界面</t>
  </si>
  <si>
    <t>CN307847812S</t>
  </si>
  <si>
    <t>1.本外观设计产品的名称：显示屏幕面板的延时摄影的图形用户界面。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6.图形用户界面的用途：本图形用户界面的设计点在于延时摄影拍照界面。
 设计1主视图至设计4主视图为带速度时长设置的延时摄影拍照界面，用户可根据界面提示进行相关操作。
 7.其他说明：本显示屏幕面板应用于车辆、计算机、笔记本电脑、平板电脑、手机、智能手表、智能手环、健身监视器、头戴式耳机、个人数字助理（PDA）、智能音箱、电视、机顶盒、投影仪、游戏机或导航仪。</t>
  </si>
  <si>
    <t>显示屏幕面板的延时摄影的图形用户界面</t>
  </si>
  <si>
    <t>CN307847813S</t>
  </si>
  <si>
    <t>1.本外观设计产品的名称：显示屏幕面板的相机快捷连拍的图形用户界面。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6.图形用户界面的用途：本图形用户界面的设计点在于相机快捷连拍，用户长按拍照按钮并向右滑动，可进行快捷连拍。
 设计1主视图为拍照界面，用户长按拍照按钮并向右滑动，可从拍照按钮处拖出一个圆形图标，如设计1界面变化状态图1所示，继续拖动，该圆形图标完全与拍照按钮分离，此时进入相机快捷连拍模式，拍照按钮上的数字代表当前拍摄张数，如设计1界面变化状态图2所示，拍摄完成后，如设计1界面变化状态图3所示。
 设计2主视图为拍照界面，用户长按拍照按钮并向右滑动，可从拍照按钮处拖出一个圆环图标，如设计2界面变化状态图1所示，继续拖动，该圆环图标完全与拍照按钮分离，此时进入相机快捷连拍模式，拍照按钮上的数字代表当前拍摄张数，如设计2界面变化状态图2所示，拍摄完成后，如设计2界面变化状态图3所示。
 设计3主视图为拍照界面，用户长按拍照按钮并向右滑动，可从拍照按钮处拖出一个圆形图标，如设计3界面变化状态图1所示，继续拖动，该圆形图标完全与拍照按钮分离，此时进入相机快捷连拍模式，拍照按钮上的数字代表当前拍摄张数，如设计3界面变化状态图2所示，拍摄完成后，如设计3界面变化状态图3所示。
 设计4主视图为拍照界面，用户长按拍照按钮并向右滑动，可从拍照按钮处拖出一个圆形图标，如设计4界面变化状态图1所示，继续拖动，该圆形图标完全与拍照按钮分离，此时进入相机快捷连拍模式，拍照按钮上的数字代表当前拍摄张数，如设计4界面变化状态图2所示，拍摄完成后，如设计4界面变化状态图3所示。
 设计5主视图为拍照界面，用户长按拍照按钮并向右滑动，可从拍照按钮处拖出一个圆环图标，如设计5界面变化状态图1所示，继续拖动，该圆环图标完全与拍照按钮分离，此时进入相机快捷连拍模式，拍照按钮上的数字代表当前拍摄张数，如设计5界面变化状态图2所示，拍摄完成后，如设计5界面变化状态图3所示。
 设计6主视图为拍照界面，用户长按拍照按钮并向右滑动，可从拍照按钮处拖出一个圆形图标，如设计6界面变化状态图1所示，继续拖动，该圆形图标完全与拍照按钮分离，此时进入相机快捷连拍模式，拍照按钮上的数字代表当前拍摄张数，如设计6界面变化状态图2所示，拍摄完成后，如设计6界面变化状态图3所示。
 7.本显示屏幕面板可用于车辆、计算机、笔记本电脑、平板电脑、手机、智能手表、智能手环、健身监视器、头戴式耳机、个人数字助理（PDA）、智能音箱、电视、机顶盒、投影仪、游戏机或导航仪。
 其中，设计4、设计5和设计6请求保护色彩。</t>
  </si>
  <si>
    <t>显示屏幕面板的相机快捷连拍的图形用户界面</t>
  </si>
  <si>
    <t>CN308059182S</t>
  </si>
  <si>
    <t>1.本外观设计产品的名称：显示屏幕面板的相机快门设置的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相机快门设置，用户长按界面中的快门拍摄按钮并向外滑动，拖动至界面任意位置，可新增一个灵动快门拍摄按钮，反之，用户长按界面上的灵动快门拍摄按钮并拖动，可将灵动快门拍摄按钮与快门拍摄按钮合并。设计1主视图为拍照界面，用户长按界面中的快门拍摄按钮并向外滑动可拖出圆形图标，如设计1界面变化状态图1所示，用户可将圆形图标拖至界面中的任意位置，即可新增一个灵动快门拍摄按钮，如设计1界面变化状态图2所示。设计2主视图为带灵动快门拍摄按钮的拍照界面，用户长按灵动快门拍摄按钮并拖动，可将灵动快门拍摄按钮与快门拍摄按钮合并为一个，如设计2界面变化状态图1和设计2界面变化状态图2所示。设计3主视图为拍照界面，用户长按界面中的快门拍摄按钮并向外滑动可拖出圆环图标，如设计3界面变化状态图1所示，用户可将圆环图标拖至界面中的任意位置，即可新增一个灵动快门拍摄按钮，如设计3界面变化状态图2所示。设计4主视图为带灵动快门拍摄按钮的拍照界面，用户长按灵动快门拍摄按钮并拖动，可将灵动快门拍摄按钮与快门拍摄按钮合并为一个，如设计4界面变化状态图1和设计4界面变化状态图2所示。设计5主视图为拍照界面，用户长按界面中的快门拍摄按钮并向外滑动可拖出圆形图标，如设计5界面变化状态图1所示，用户可将圆形图标拖至界面中的任意位置，即可新增一个灵动快门拍摄按钮，如设计5界面变化状态图2所示。设计6主视图为带灵动快门拍摄按钮的拍照界面，用户长按灵动快门拍摄按钮并拖动，可将灵动快门拍摄按钮与快门拍摄按钮合并为一个，如设计6界面变化状态图1和设计6界面变化状态图2所示。设计7主视图为拍照界面，用户长按界面中的快门拍摄按钮并向外滑动可拖出圆形图标，如设计7界面变化状态图1所示，用户可将圆形图标拖至界面中的任意位置，即可新增一个灵动快门拍摄按钮，如设计7界面变化状态图2所示。设计8主视图为带灵动快门拍摄按钮的拍照界面，用户长按灵动快门拍摄按钮并拖动，可将灵动快门拍摄按钮与快门拍摄按钮合并为一个，如设计8界面变化状态图1和设计8界面变化状态图2所示。设计9主视图为拍照界面，用户长按界面中的快门拍摄按钮并向外滑动可拖出圆环图标，如设计9界面变化状态图1所示，用户可将圆环图标拖至界面中的任意位置，即可新增一个灵动快门拍摄按钮，如设计9界面变化状态图2所示。设计10主视图为拍照界面，用户长按界面中的快门拍摄按钮并向外滑动可拖出圆形图标，如设计10界面变化状态图1所示，用户可将圆形图标拖至界面中的任意位置，即可新增一个灵动快门拍摄按钮，如设计10界面变化状态图2所示。7.本显示屏幕面板可用于车辆、计算机、笔记本电脑、平板电脑、手机、智能手表、智能手环、健身监视器、头戴式耳机、个人数字助理（PDA）、智能音箱、电视、机顶盒、投影仪、游戏机或导航仪。其中，设计10请求保护色彩。</t>
  </si>
  <si>
    <t>显示屏幕面板的相机快门设置的图形用户界面</t>
  </si>
  <si>
    <t>CN308106899S</t>
  </si>
  <si>
    <t>1.本外观设计产品的名称：显示屏幕面板的光圈参数设置的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相机的光圈参数设置。;设计1主视图至设计5主视图为带光圈参数设置的拍照界面，用户可根据界面提示进行相关操作。;7.其他需要说明的情形其他说明：本显示屏幕面板可用于车辆、计算机、笔记本电脑、平板电脑、手机、智能手表、智能手环、健身监视器、头戴式耳机、个人数字助理（PDA）、智能音箱、电视、机顶盒、投影仪、游戏机或导航仪。;1.本外观设计产品的名称：显示屏幕面板的光圈参数设置的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相机的光圈参数设置。;设计1主视图至设计5主视图为带光圈参数设置的拍照界面，用户可根据界面提示进行相关操作。;7.其他需要说明的情形其他说明：本显示屏幕面板可用于车辆、计算机、笔记本电脑、平板电脑、手机、智能手表、智能手环、健身监视器、头戴式耳机、个人数字助理（PDA）、智能音箱、电视、机顶盒、投影仪、游戏机或导航仪。</t>
  </si>
  <si>
    <t>显示屏幕面板的光圈参数设置的图形用户界面</t>
  </si>
  <si>
    <t>CN307706330S</t>
  </si>
  <si>
    <t>1.本外观设计产品的名称：显示屏幕面板的医生排班图形用户界面。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6.图形用户界面的用途：用于查看管理医生的排班信息。
 7.图形用户界面的人机交互方式：主视图为智慧医疗系统的排班信息主界面，展示排班管理的“时段管理”模块的界面，用户可在该界面查询时段规则，并可点击“新增时段规则”按钮进行新增时段规则操作，当点击主视图中时段规则列表中任一时段规则右边的“编辑”按钮，跳转至界面变化状态图1显示的编辑时段规则界面；点击主视图中排班管理下拉列表的“排班信息”模块，跳转至界面变化状态图2显示的详细排班信息界面，用户可在该界面选择相应的按钮来对排班信息进行增加、删除、修改、查询等操作；点击界面变化状态图2中右上部的“新增排班”按钮，跳转至界面变化状态图3显示的新增排班信息界面，该界面展示“出诊信息”、“挂号信息”、“停诊状态”和“号序信息”等信息详情。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</si>
  <si>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显示屏幕面板的医生排班图形用户界面</t>
  </si>
  <si>
    <t>CN307713286S</t>
  </si>
  <si>
    <t>1.本外观设计产品的名称：显示屏幕面板的满意度调查图形用户界面。
 2.本外观设计产品的用途：用于交互和显示。
 3.本外观设计产品的设计要点：在于图形用户界面的界面内容。
 4.最能表明设计要点的图片或照片：设计1界面变化状态图1。
 5.设计1其他视图无设计要点，省略设计1其他视图;设计2其他视图无设计要点，省略设计2其他视图。
 6.指定设计1为基本设计。
 7.图形用户界面的用途：用于用户满意度反馈。
 8.图形用户界面的人机交互方式：设计1主视图为智慧医疗系统的主界面，点击设计1主视图菜单栏中的“满意度调查”按钮，跳转至设计1界面变化状态图1显示的调查问卷列表界面；点击设计1界面变化状态图1中的调查表模块，跳转至设计1界面变化状态图2显示的调查问卷前言界面，用户可在该界面输入就诊人、就诊科室等信息；点击设计1界面变化状态图2的“开始作答”按钮，跳转至设计1界面变化状态图3至设计1界面变化状态图5显示的调查问卷作答界面，分别为单选题、多选题和填空题的题目类型，用户可以点击作答界面中的“下一题”按钮来进入下一题目的答题，也可点击界面中的“上一题”按钮来返回上一题目的答题；点击设计1界面变化状态图5中的“提交”按钮，跳转至设计1界面变化状态图6显示的提交成功界面，在该界面中显示问卷名、提交时间等信息，用户可点击该界面中的“返回首页”按钮来返回至首页界面；设计2主视图为智慧医疗系统的主界面，点击设计2主视图菜单栏中的“满意度调查”按钮，跳转至设计2界面变化状态图1显示的调查问卷列表界面；点击设计2界面变化状态图1中的调查表模块，跳转至设计2界面变化状态图2显示的调查问卷前言界面；点击设计2界面变化状态图2的“开始作答”按钮，跳转至设计2界面变化状态图3至设计2界面变化状态图5显示的调查问卷作答界面，分别为单选题、多选题和填空题的题目类型，用户可以点击作答界面中的“下一题”按钮来进入下一题目的答题，也可点击界面中的“上一题”按钮来返回上一题目的答题；点击设计2界面变化状态图5中的“提交”按钮，跳转至设计2界面变化状态图6显示的提交成功界面，在该界面中显示问卷名、提交时间等信息，用户可点击该界面中的“返回首页”按钮来返回至首页界面。
 9.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</si>
  <si>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显示屏幕面板的满意度调查图形用户界面</t>
  </si>
  <si>
    <t>CN307913411S</t>
  </si>
  <si>
    <t>1.本外观设计产品的名称：显示屏幕面板用的健康宣教图形用户界面。
 2.本外观设计产品的用途：用于交互和显示。
 3.本外观设计产品的设计要点：在于图形用户界面的界面内容。
 4.最能表明设计要点的图片或照片：界面变化状态图1。
 5.其他视图无设计要点，省略其他视图。
 6.图形用户界面的用途：用于帮助对患者进行健康宣教。
 7.图形用户界面的人机交互方式：主视图为智慧医疗系统的主界面，点击主视图菜单栏中的“健康宣教”按钮，跳转至界面变化状态图1显示的健康宣教界面，展示“健康养生”栏的文章列表；点击界面变化状态图1中的“名医讲堂”按钮，跳转至界面变化状态图2显示的界面，展示“名医讲堂”栏的文章列表；点击界面变化状态图1中的“XXXX”按钮，跳转至界面变化状态图3显示的界面；点击界面变化状态图1中的“妈妈课堂”按钮，跳转至界面变化状态图4显示的界面，展示“妈妈课堂”栏的文章列表；当点击界面变化状态图1至4中的文章列表中的文章，跳转至界面变化状态图5显示的文章详情界面。
 8.显示用的载体设备为现有设计，该显示屏幕面板可以应用于计算机、笔记本电脑、平板电脑、手机、智能手机、智能手环、智能眼镜、手表、智能手表、健身监视器、头戴式耳机、个人数字助理、智能音箱、电视、监视器、投影仪、机顶盒、导航仪、用于车辆的显示装置。</t>
  </si>
  <si>
    <t>显示屏幕面板用的健康宣教图形用户界面</t>
  </si>
  <si>
    <t>CN307652085S</t>
  </si>
  <si>
    <t>1.本外观设计产品的名称：带酒店服务图形用户界面的显示屏幕面板（03）。
 2.本外观设计产品的用途：本外观设计产品用于酒店服务，提供供用户选择的图形用户界面的操作面板，可以用于投影仪、电视、平板电脑显示设备。
 3.本外观设计产品的设计要点：在于操作面板显示的用户交互界面。
 4.最能表明设计要点的图片或照片：主视图。
 5.均无设计要点，省略后视图、左视图、右视图、俯视图、仰视图。
 6.图形用户界面的用途：本外观设计产品的图形用户界面用于用户能够实时选择需要服务的酒店功能、极光TV功能、电视直播功能、品牌故事功能、手机投屏功能。
 7.图形用户界面在产品中的区域：操作面板上的矩形区域。
 8.图形用户界面的人机交互方式：首页显示主视图；1）操作主视图中“XX酒店”功能按钮，界面从主视图跳转到界面变化状态图1；2）操作界面变化状态图1中“大堂”功能按钮，界面从界面变化状态图1跳转到界面变化状态图6；操作界面变化状态图1中“咖啡吧”功能按钮，界面从界面变化状态图1跳转到界面变化状态图7；操作界面变化状态图1中“餐厅”功能按钮，界面从界面变化状态图1跳转到界面变化状态图8；操作界面变化状态图1中“健身房”功能按钮，界面从界面变化状态图1跳转到界面变化状态图9；操作界面变化状态图1中“茶歇区”功能按钮，界面从界面变化状态图1跳转到界面变化状态图10；3）操作主视图中“极光TV”功能按钮，界面从主视图跳转到界面变化状态图2；4）操作主视图中“电视直播”功能按钮，界面从主视图跳转到界面变化状态图3；5）操作主视图中“品牌故事”功能按钮，界面从主视图跳转到界面变化状态图4；6）操作主视图中“手机投屏”功能按钮，界面从主视图跳转到界面变化状态图5。</t>
  </si>
  <si>
    <t>带酒店服务图形用户界面的显示屏幕面板（03）</t>
  </si>
  <si>
    <t>CN307769335S</t>
  </si>
  <si>
    <t>1.本外观设计产品的名称：显示屏幕面板用的语音转写翻译图形用户界面。
 2.本外观设计产品的用途：用于显示。
 3.本外观设计产品的设计要点：在于图形用户界面的界面内容。
 4.最能表明设计要点的图片或照片：界面变化状态图2。
 5.无设计要点，省略其他视图。
 6.图形用户界面的用途：用于实时语音转写和翻译。
 7.图形用户界面的人机交互方式：点击主视图界面右上角的语言切换按钮，跳转至显示界面变化状态图1；点击界面变化状态图1右下角的完成按钮，跳转至界面变化状态图2。
 8.该显示屏幕面板可以应用于计算机、笔记本电脑、平板电脑、手机、智能手环、智能眼镜、手表、健身监视器、头戴式耳机、个人数字助理、智能音箱、电视、监视器、投影仪、机顶盒、导航仪、用于车辆的显示装置。</t>
  </si>
  <si>
    <t>显示屏幕面板用的语音转写翻译图形用户界面</t>
  </si>
  <si>
    <t>IN202241035074A</t>
  </si>
  <si>
    <t>在许多教育机构中管理学生、教职员工的出勤率既费时又费力。 这是因为很多学生经常被注册到每个班级,因此很难密切关注每个人。 在某些情况下,学生必须以代理人的身份代替缺席的同学或朋友。 该系统基于面部检测,一旦学生进入教室,识别算法就会自动识别学生,并通过识别他的身份来记录他的出勤情况。 之后,数据库将被修改或更新。 这减少了手动更新出勤所需的时间和精力。 该技术还允许通过识别教练的面部进行身份验证以打开它。 这样做是因为第三方有可能闯入建筑物。 因此,这加强了系统提供的保护</t>
  </si>
  <si>
    <t>学生出勤跟踪器使用机器学习通知老师和家长</t>
  </si>
  <si>
    <t>IN202241035050A</t>
  </si>
  <si>
    <t>与物联网 (IoT) 相结合,这些技术最近提高了自动游泳池系统的性能。 已经进行了大量研究,以确定如何通过使用一系列跟踪人们如何移动以及他们在水中位置的视频来防止溺水。 这项研究提出了一种有效的系统,该系统使用单个图像对溺水物体进行定位和分类。 其目标是减少溺水人数。 提议的系统采用物联网和迁移学习来持续监控游泳池的安全性。 使用特殊的基于迁移学习的模型,可以使用复杂的特征来区分人类和其他人。 该模型基于在“ImageNet”图像数据库上训练的模型。 提议的系统旨在缩短人们完成任务所需的时间。 它对数据进行分类并将结果发送到所有者的移动设备。 在原型实验中,将专用模型与其他深度学习算法的灵敏度、准确性和精确度进行比较。 这被称为“控制”组。</t>
  </si>
  <si>
    <t>基于物联网和机器学习的系统,用于识别游泳池区域的溺水事件</t>
  </si>
  <si>
    <t>CN307549687S</t>
  </si>
  <si>
    <t>1.本外观设计产品的名称：用于显示屏幕面板的健康管理图形用户界面（第九片海APP）。
 2.本外观设计产品的用途：用于手机的图形用户界面（健康管理）的操作，显示信息和信息交互。
 3.本外观设计产品的设计要点：在于图形界面组合、内容。
 4.最能表明设计要点的图片或照片：主视图。
 5.图形用户界面的人机交互方式：主视图为用于手机的健康管理图形用户界面的首页，点击主视图中左上角从上往下数第二个图标，跳转至界面变化状态图1；点击界面变化状态图1中“潮上带”，跳转至界面变化状态图2；点击界面变化状态图1中“潮间带”，跳转至界面变化状态图3；点击界面变化状态图1中“潮下带”，跳转至界面变化状态图4；点击界面变化状态图1中“深海”，跳转至界面变化状态图5；点击主视图中左上角从上往下数第三个图标，跳转至界面变化状态图6；点击主视图中“社区”，跳转至界面变化状态图7；点击主视图中“我的”，跳转至界面变化状态图8；点击主视图中“开始”，跳转至界面变化状态图9；点击界面变化状态图9中“组合任务”框内的圆形图标，跳转至界面变化状态图10；点击界面变化状态图9中“所有任务”，跳转至界面变化状态图11；向上滑动界面变化状态图11，得到界面变化状态图12；点击界面变化状态图10中“快速睡眠方案”，跳转至界面变化状态图13；点击界面变化状态图10中“缓解解压方案”，跳转至界面变化状态图14；点击界面变化状态图10中“告别小肚腩方案”，跳转至界面变化状态图15；点击界面变化状态图10中“产后恢复方案”，跳转至界面变化状态图16；点击界面变化状态图10中“更年期缓解方案”，跳转至界面变化状态图17；点击界面变化状态图10中“久坐一族方案”，跳转至界面变化状态图18；点击界面变化状态图11中“骑行”，跳转至界面变化状态图19；点击界面变化状态图11中“瑜伽”，跳转至界面变化状态图20；点击界面变化状态图11中“快走”，跳转至界面变化状态图21；点击界面变化状态图11中“游泳”，跳转至界面变化状态图22；点击界面变化状态图11中“慢跑”，跳转至界面变化状态图23；点击界面变化状态图11中“普拉提”，跳转至界面变化状态图24；点击界面变化状态图12中“舞蹈”，跳转至界面变化状态图25；点击界面变化状态图13至25中任一界面中的“开始”，跳转至界面变化状态图26；界面变化状态图26计时结束后自动跳转至界面27。</t>
  </si>
  <si>
    <t>用于显示屏幕面板的健康管理图形用户界面（第九片海APP）</t>
  </si>
  <si>
    <t>CN217939082U</t>
  </si>
  <si>
    <t>一种基于STM的篮球训练辅助机器人，包括全向底盘模块、投射模块、接球模块、视觉识别模块、STM主控模块和供电模块。全向底盘模块包括矩形底座、全向轮、底盘电机、平行滑轨、转动盘和圆弧滑轨；投射模块包括投射箱框架、滑轨支座、摩擦轮支座、舵机、挡板、压力传感器、滑轨、摩擦轮和摩擦轮驱动电机；投射箱框架包括长方体支架、盖板和底板；接球模块包括拦球网、导轨和支架。投射模块、接球模块固定于全向底盘模块，视觉识别模块固定于投射模块；STM主控模块与全向底盘模块、投射模块、接球模块和视觉识别模块电连接。本实用新型结构简单易于制作，具有良好的人机交互，能够实现多种不同的针对性训练，应用场所广，具有较高的市场价值。</t>
  </si>
  <si>
    <t>一种基于STM的篮球训练辅助机器人</t>
  </si>
  <si>
    <t>CN307785934S</t>
  </si>
  <si>
    <t>1.本外观设计产品的名称：健身休闲舱。
 2.本外观设计产品的用途：健身休闲舱，提供居民休息、自助购物、手机充电、听音乐、看电视、享用免费无线WIFI、辅助热水、一键报警、人机交互等场所。
 3.本外观设计产品的设计要点：在于形状。
 4.最能表明设计要点的图片或照片：立体图1。
 5.本外观设计产品的底面为使用时不容易看到或看不到的部位，省略仰视图。</t>
  </si>
  <si>
    <t>健身休闲舱</t>
  </si>
  <si>
    <t>CN307570051S</t>
  </si>
  <si>
    <t>1.本外观设计产品的名称：用于显示屏幕面板的词条搜索图形用户界面。
 2.本外观设计产品的用途：本外观设计产品用于运行程序、显示信息和人机交互。
 3.本外观设计产品的设计要点：在于图形用户界面的界面内容和布局。
 4.最能表明设计要点的图片或照片：主视图。
 5.屏幕面板为惯常设计，省略后视图、仰视图、俯视图、左视图和右视图。
 6.图形用户界面的用途：该图形用户界面用于搜索和展示词条相关的信息。
 在主视图中显示押韵搜索框，并在押韵搜索框的周围区域滚动显示多个目标词，如在押韵搜索框的下方进行左右滚动或上下滚动显示。
 在用户点击某一目标词或者输入目标词进行搜索后，页面跳转至界面变化状态图，该目标词自动带入搜索框中进行搜索，显示得到与该目标词押韵的押韵词；并且用户可以通过下拉菜单选择押韵的方式（如不限、单押或双押等）、声调（如不限或尾调）以及字数等，对应的押韵词相应地进行变化；用户点击不同的押韵词，可以对应显示出现该押韵词的内容信息。
 7.该显示屏幕面板用于手机、笔记本电脑、平板电脑、计算机、车载中控屏幕、智能电视、智能手环、智能眼镜、智能手表、个人数字助理（Personal&amp;nbsp;Digital&amp;nbsp;Assistant，PDA）、健身监视器、投影仪。</t>
  </si>
  <si>
    <t>用于显示屏幕面板的词条搜索图形用户界面</t>
  </si>
  <si>
    <t>CN307645401S</t>
  </si>
  <si>
    <t>1.本外观设计产品的名称：带虚拟物品交易图形用户界面的显示屏幕面板。
 2.本外观设计产品的用途：用于运行程序、显示信息。
 3.本外观设计产品的设计要点：在于图形用户界面。
 4.最能表明设计要点的图片或照片：主视图。
 5.本外观设计产品为平面产品，省略俯视图、左视图、右视图、仰视图、俯视图。
 6.图形用户界面的用途：为用户提供一个更实时、更安全、更便捷的游戏饰品交易市场环境，方便用户进行饰品的买卖，同时还兼顾提供饰品介绍、游戏资讯、用户互动等社区交流功能。
 7.图形用户界面的人机交互方式：本外观设计产品的图像用户界面通过平台作为第三方，用户可以在平台上，展示自己的虚拟物品，供需要的用户买卖，设计主视图界面，是用户可以直观的了解最新上架的物品和一些特殊的物品，用户通过点击主视图的“发现”可以进入界面变化状态图1，用户可以在此界面了解到本平台开展的活动和其他用户的点评。
 在界面变化状态图1点击“玩家秀”进入界面变化状态图2，此界面能看到用户展示的精美物品和其他用户的点评。
 在界面变化状态图2点击“赛事”进入界面变化状态图3，能了解到自己喜欢的战队的比分和将要开始比赛的战队。
 在界面变化状态图3点击“专栏”进入界面变化状态图4，能看到针对游戏，平台特别收集制作而成的一种作品。
 在界面变化状态图4点击“库存”进入界面变化状态图5，能看到自己所有的虚拟物品。
 在界面变化状态图5点击“我的背包”进入界面变化状态图6，能看到自己拥有的和平台相关虚拟物品。
 在界面变化状态图6点击“出售”，进入界面变化状态图7，能看到自己虚拟物品的是否在售情况和设置商店的开与关。
 在界面变化状态图7点击“代发货”，进入界面变化状态图8，能看到有用户买了出售的虚拟物品，需要发货的状态。
 在界面变化状态图8点击“已出租”，进入界面变化状态图9，能看到租虚拟物品出租出去的时间和归还日期。
 在界面变化状态图9点击“设置”，进入界面变化状态图10，能看到用户自己的信息，包括“我的钱包”，“我的收藏”，“我的积分”，“我的交易”，“我的服务”等等内容。
 在界面变化状态图10点击“头像图标”进入界面变化状态图11，能看到本APP需要输入手机号及验证码，同时需要与本平台签订用户协议，方可登入/注册。
 8.该显示屏幕面板应用于：手机、计算机。</t>
  </si>
  <si>
    <t>带虚拟物品交易图形用户界面的显示屏幕面板</t>
  </si>
  <si>
    <t>CN218076266U</t>
  </si>
  <si>
    <t>实用新型属于篮球架领域，具体的说是一种基于物联网的智能升降篮球架，包括底板，所述底板的表面设置有液压杆，所述液压杆的输出端固定连接有滑板，所述滑板表面旋转连接有第一活动板，所述第一活动板的内壁旋转连接有第二活动板，所述第二活动板的表面旋转连接有升降板，所述升降板的底部固定连接有限位杆，所述升降板的顶部安装有篮球架主体。通过设置第一活动板与第二活动板，因为第一活动板与第二活动板均与滑板旋转连接，在滑板移动时，呈“V”形设置的第一活动板与第二活动板的夹角会逐渐变小，随后第二活动板会对与自身旋转连接的升降板向下施加拉力，升降板会在限位杆的作用下水平向下运动，实现篮球架主体的高度调节。</t>
  </si>
  <si>
    <t>一种基于物联网的智能升降篮球架</t>
  </si>
  <si>
    <t>CN307763317S</t>
  </si>
  <si>
    <t>1.本外观设计产品的名称：显示屏幕面板用的智慧屏视频回溯图形用户界面。
 2.本外观设计产品的用途：用于交互和显示。
 3.本外观设计产品的设计要点：在于主视图。
 4.最能表明设计要点的图片或照片：界面变化状态图1。
 5.其他视图无设计要点，省略其他视图。
 6.图形用户界面的用途：用于快速回溯查看视频记录。
 7.图形用户界面的人机交互方式：点击主视图下方工具栏中的“图文回溯”按钮，跳转至界面变化状态图1；点击主视图下方工具栏中的“文本回溯”按钮，跳转至界面变化状态图2；点击主视图下方工具栏中的“动态回溯”按钮，跳转至界面变化状态图3。
 8.该显示屏幕面板可以应用于计算机、笔记本电脑、平板电脑、手机、智能手环、智能眼镜、手表、健身监视器、头戴式耳机、个人数字助理、智能音箱、电视、监视器、投影仪、机顶盒、导航仪、用于车辆的显示装置。</t>
  </si>
  <si>
    <t>显示屏幕面板用的智慧屏视频回溯图形用户界面</t>
  </si>
  <si>
    <t>CN114916752A</t>
  </si>
  <si>
    <t>本发明提出一种基于物联网的可穿戴式计算机装置，包括表体，所述表体通过物联网与健身器材以及耳机相连接，所述表体的两侧均安装有表带，所述表带靠近所述表体内部一端设有凹槽，所述凹槽的内部设有折叠固定机构；所述表体的下表面嵌入有检测面板，所述表体的内部底端设有散热组件；所述折叠固定机构包括固定于所述凹槽内部靠近所述表体一端的动铰链，以及与所述动铰链远离所述表体的一端相连接的静铰链，所述动铰链和静铰链的下表面均与滑动锁定组件相连接。本发明能够对表体进行快速散热，以及引导使用者的身体快速进入到测试身体数据的状态。</t>
  </si>
  <si>
    <t>一种基于物联网的可穿戴式计算机装置</t>
  </si>
  <si>
    <t>CN307556581S</t>
  </si>
  <si>
    <t>1.本外观设计产品的名称：用于显示屏幕面板的互动交流图形用户界面。
 2.本外观设计产品的用途：本外观设计产品用于运行程序、显示信息和人机交互。
 3.本外观设计产品的设计要点：在于图形用户界面的界面内容和布局。
 4.最能表明设计要点的图片或照片：设计1主视图。
 5.屏幕面板为惯常设计，省略设计1至设计5后视图、仰视图、俯视图、左视图和右视图。
 6.指定设计1为基本设计。
 7.图形用户界面的用途：该图形用户界面用于显示与用户互动交流的信息。
 在设计1主视图中，显示导航栏标签为“隐藏结局”的互动卡片，点击“赠送获取”按钮既可显示隐藏结局信息；互动卡片可以叠加在现有的内容显示区域中，如设计1使用状态参考图1显示在文章内容中，如设计1使用状态参考图2显示在图片文章内容中，如设计1使用状态参考图3显示在视频文章内容中；另外，切换导航栏中的按钮能够显示按钮对应的互动信息。
 设计2主视图显示导航栏标签为“彩蛋”的互动卡片，点击“赠送获取”按钮既可显示彩蛋信息；与设计1主视图功能相同，互动卡片可以叠加在现有的内容显示区域中，如设计2使用状态参考图1、2、3所示。
 设计3主视图显示导航栏标签为“商品”的互动卡片，点击“购买”按钮即可购买该商品；与设计1主视图功能相同，互动卡片可以叠加在现有的内容显示区域中，如设计3使用状态参考图1、2、3所示。
 设计4主视图显示导航栏标签为“打赏”的互动卡片，用户可在互动卡片中左右滑动以选择打赏的金额，点击“打赏”按钮即可完成该金额的打赏操作；与设计1主视图功能相同，互动卡片可以叠加在现有的内容显示区域中，如设计4使用状态参考图1、2、3所示。
 导航栏的标签数量可以按需配置，如设计5主视图，设计5主视图显示导航栏标签为“赠礼”的互动卡片，用户可在互动卡片中左右滑动以选择赠送的礼物和数量，点击“赠送”按钮即可完成该礼物的赠送操作；与设计1主视图功能相同，互动卡片可以叠加在现有的内容显示区域中，如设计5使用状态参考图1、2、3所示。
 8.该显示屏幕面板用于手机、笔记本电脑、平板电脑、计算机、车载中控屏幕、智能电视、智能手环、智能眼镜、智能手表、个人数字助理、健身监视器、投影仪。</t>
  </si>
  <si>
    <t>用于显示屏幕面板的互动交流图形用户界面</t>
  </si>
  <si>
    <t>CN114998803A</t>
  </si>
  <si>
    <t>本发明专利公开了一种基于视频的健身运动分类与计数方法，具体涉及计算机视觉术领域。包括如下步骤：采集实时的运动视频流，利用MPII数据集训练人体姿态估计MPE模型中，得到视频流的每一帧的人体骨骼点信息；将人体骨骼点信息处理为向量，基于KNN算法，将向量输入到训练好的分类模型中，得到每一帧所属的运动分类结果；将运动分类结果序列输入到计数算法中，通过绘制五种运动各自的计数曲线来完成计数，得到每种运动各自的计数结果。采用本发明技术方案解决了现有的健身运动与分类计数方法无法实现可视化运动识别与计数的问题，本方案能够满足单人先后交替做多种运动的计数场景，便于中小学体育测试、个人运动量自动化估计等场景。</t>
  </si>
  <si>
    <t>一种基于视频的健身运动分类与计数方法</t>
  </si>
  <si>
    <t>CN307661127S</t>
  </si>
  <si>
    <t>1.本外观设计产品的名称：显示屏幕面板的智慧乐跑图形用户界面。
 2.本外观设计产品的用途：用于运行程序和显示信息。
 3.本外观设计产品的设计要点：在于图形用户界面中的界面内容。
 4.最能表明设计要点的图片或照片：界面变化状态图2。
 5.图形用户界面的用途：本外观设计产品用于显示智慧乐跑程序的图形用户界面，该显示屏幕面板可用于手机、平板电脑。
 6.图形用户界面的人机交互方式：主视图所示界面为智慧乐跑程序的用户注册界面，界面变化状态图1为主视图中点击右下角的“登录”按钮后显示的交互界面；界面变化状态图2为从界面变化状态图1中登录成功后显示的交互界面；界面变化状态图3为从界面变化状态图2中点击“社区”按钮后显示的交互界面；界面变化状态图4为从界面变化状态图2中点击“开始跑步”按钮后显示的交互界面；界面变化状态图5为从界面变化状态图4中点击“开始跑步”按钮后显示的交互界面；界面变化状态图6为从界面变化状态图5中点击“长按暂停”按钮后显示的交互界面；界面变化状态图7为从界面变化状态图2中点击“我的”按钮后显示的交互界面；界面变化状态图8为从界面变化状态图7中点击&amp;nbsp;“查看作业”按钮后显示的交互界面。</t>
  </si>
  <si>
    <t>显示屏幕面板的智慧乐跑图形用户界面</t>
  </si>
  <si>
    <t>CN115025461B</t>
  </si>
  <si>
    <t>本发明涉及健身器材技术领域，具体公开了一种基于人工智能的引体向上组合训练器；包括底座板、控制柜、可调节伸缩立杆、单杠横杆、手握感应套以及训练强度调节装置，控制柜固定设置在底座板的上表面前端，两个可调节伸缩立杆固定安装在底座板上表面的左右两端，每个伸缩立杆的上端均连接有两通固定件，单杠横杆的两端与两通固定件相连接，两个手握感应套分别设置在单杠横杆的左右两端，训练强度调节装置固定设置在单杠横杆正下方；本发明公开的基于人工智能的引体向上组合训练器能够结合用户自身情况进行训练强度的调节，其智能化程度高，训练完成后相关的信息可以从显示屏中查看或者通过蓝牙传输至用户手机中进行查看，其功能多样，使用方便。</t>
  </si>
  <si>
    <t>基于人工智能的引体向上组合训练器</t>
  </si>
  <si>
    <t>AU2022204095A1</t>
  </si>
  <si>
    <t>摘要:本发明涉及使用人体和人体的新型数字孪生模型来捕捉、跟踪、分析和评估人体运动、动作或行为的系统和方法。 数字人体模型,与计算机视觉、机器学习、语音处理、运动科学、运动与健康领域的艺术技术相结合和增强,以实现对人体运动、行为和健康的最佳分析和评估 . 与在人类运动或行为空间中开发的现有方法不同,在这些方法中,分析和评估只是从二维或三维地标或关节(例如从图像或视频或附着在身体上的传感器中提取的那些)导出,在本发明中,分析完成 使用结合人体形状、人体解剖结构和内部内容物或颗粒的完整(完整)和准确的人体特定模型模型,并受人体临床、物理和生物力学特征以及影响每个颗粒的力的约束 在数字孪生模型中。 我们在本发明中的技术旨在实质性地取代和取代研究人员和科学家几十年来一直使用的传统和近似方法(在运动等领域,这些方法来源于少数尸体)。 该系统将提供运动分析、跟踪和运动评估领域的新知识,包括运动。 本发明作为一个整体旨在 (i) 创建人和人体的数字对象特定双胞胎模型 (ii) 识别、检测和提取代表人体及其运动模式的独特无标记特征,例如在运动中。 一段录像; (ii) 将以刚性和非刚性形状和组成粒子为代表的人和人体的物理和生物力学特征整合和约束到运动范式和其他与人体相关的运动分析中。 具有这些模块和具有这些功能的系统在运动等运动领域是必不可少的和关键的,例如运动中的毫米差异。 跳跃或跑步中的百分之一秒可以在比赛中将第一名和最后一名分开。 在健康等敏感领域,对来自人体运动的数据进行不准确的临床评估可能会导致严重的风险。 本发明将大大改进人体运动分析、人类行为分析、一般人体建模,并将实现包括运动、锻炼、科学和健康应用在内的不同领域所需的准确评估。 100 160110 120 Constraint standardized clinical, physical, ecological an biomechanical data of the human body Memory 140 170 18012 Participant Participant- specific another data physical activity module Digitalhuman Co 150 130 Other human relevant data C means in4 dn movement patterns 图1:框图 描述发明系统的总体总结,我</t>
  </si>
  <si>
    <t>使用特定主题的人体数字孪生模型跟踪、分析和评估人体运动</t>
  </si>
  <si>
    <t>IN202211033406A</t>
  </si>
  <si>
    <t>一种乒乓球训练装置,包括通过电动滑块 4 沿网球桌边缘安装的伸缩杆 3,包括通过电动球窝关节填充多个乒乓球 5 的初级 1 和次级 2 室,人工智能 用于解码用户身高的启用的图像捕获模块6,用于从第一模式和第二模式中选择乒乓球训练模式的触摸交互式显示面板7,连同要练习的短裤的类型和球的发射速度13, 液压推动器 8,用于通过主腔室 1 上的开口向用户发射球 5, 一对旋转盘 9,用于产生离心力,球 13 借助离心力向用户发射,使用户能够 练习选定的击球。</t>
  </si>
  <si>
    <t>乒乓球训练器</t>
  </si>
  <si>
    <t>IN202211033463A</t>
  </si>
  <si>
    <t>一种游泳训练装置,包括平台1,平台1安装有可伸缩的圆形块2,用户假想倒立躺在上面;人工智能图像采集模块3采集用户的多幅图像,并将采集到的图像与预先设定的图像进行比较。 保存图像 存储数据以获取用户的专业水平,全息投影仪 4 投射手和脚的适当运动,由用户进行训练,一对 C 形夹具 5 通过气动杆 6 连接到平台 1 /缩回,然后启动夹具以将用户牢固地固定在块 2 上,并且安装有伸缩杆 8 的四个 U 形夹具 7 通过机动滑块 9 与平台 1 相连,驱动杆 8 伸出/缩回并同步启动滑块 9 至 连续前后移动杆8,辅助使用者进行训练。</t>
  </si>
  <si>
    <t>IN202211033369A</t>
  </si>
  <si>
    <t>本发明涉及一种篮球训练装置,包括:平台1组装有伸缩杆2,杆2插接漏斗状件3用于投篮,杆2上装有人工智能图像采集模块4,用于检测使用者的身高, 安装在杆 2 上的触摸交互式显示面板 5 为用户提供了选择专业水平的选项,基于解码的高度和选择的专业水平,微控制器相应地致动杆 2,电动球窝接头 6 将伸缩杆 2 与 构件3根据用户选择的专业水平调整倾斜角度,当用户选择中间水平时,安装在平台1下方的电磁弹簧7变形以帮助用户跳跃以将球扔到构件3内。</t>
  </si>
  <si>
    <t>篮球训练器</t>
  </si>
  <si>
    <t>CN115145391A</t>
  </si>
  <si>
    <t>本申请实施例提供一种基于AI深度学习的虚拟现实跑步机自适应方法及系统，依据由跑步行为数据提取出的跑步姿态特征，对跑步行为数据的跑步事件标签进行更新，输出表征自适应性调整事件的第一自适应性特征，将第一自适应性特征与表征计划跑步事件的第二自适应性特征之间的区别特征与预先进行模式配置的自适应性特征进行联系度分析，输出关联度分析信息，依据关联度分析信息，分析获得的第一自适应性特征是否匹配自适应性控制要求，由此进行自适应性控制决策，从而结合了跑步姿态特征进行自适应性调整事件的自适应性特征分析，可以提高自适应性控制决策的可靠性。</t>
  </si>
  <si>
    <t>一种基于AI深度学习的虚拟现实跑步机自适应方法及系统</t>
  </si>
  <si>
    <t>CN114984540B</t>
  </si>
  <si>
    <t>本申请公开了一种基于人工智能的健身锻炼效果评价分析管理系统。该系统包括：健身镜，其中，健身镜配置有双目采集摄像头、红外热成像模组、通信模组，双目采集摄像头用于采集健身镜前健身区域内的用户图像，红外热成像模组，用于采集健身镜前健身区域内的热成像图；用户穿戴设备，用于实时采集用户的生理数据，并发送至通信模组；健身镜还配置有中央处理器，用于将双目摄像头采集到的用户图像、红外热成像模组采集到的热成像图、以及用户穿戴设备采集到的生理数据进行预处理，并将预处理后的数据输入至第一卷积神经网络模型，以获得用户进行健身锻炼时的锻炼效果分析分数。这样能够实时地对用户健身锻炼效果进行评价和分析，能够提高用户使用感。</t>
  </si>
  <si>
    <t>一种基于人工智能的健身锻炼效果评价分析管理系统</t>
  </si>
  <si>
    <t>IN202221033069A</t>
  </si>
  <si>
    <t>我们的发明“用于时尚行业的独特设备”是一场由先进变革引发的变革,几乎可以肯定,服装行业将在未来几年内经历重大变革。 精明的衣服,即 服装不仅具有传统的防御和说明能力,还具有机械和先进的亮点,已经发展成为世界上最大的金融领域之一——设计行业的一扇有前途的大门。 自从可穿戴设备(例如智能手表和眼镜)兴起以来,智能服装最近才出现,但在写作中还没有得到令人满意的考虑。 体育和医疗保健中的生物识别身体研究,有形器官和强壮锻炼的支持框架,以及通过与作为物联网 (IoT) 环境的一部分的有见地的事物通信的有价值的先进管理,只是产品创意的一部分 和用例。 从企业的角度来看,这些改进使得重新评估项目进展、行动计划和共同努力变得重要。 为了能够评估 Smart Clothes 的个人困难和机会,本文介绍并订购了有关潜在的计算机化创新应用和设计中的产品创意的不同进步。 因此,本文提供了项目推进和新行动计划的建议。 由于人们对需要更适度、更精确的多面传感器的相关事物的兴趣日益浓厚,因此最近传感器创新发展迅速。</t>
  </si>
  <si>
    <t>时尚行业使用的独特设备</t>
  </si>
  <si>
    <t>IN202221032672A</t>
  </si>
  <si>
    <t>众所周知,水对于生活至关重要。 本发明涉及一种能够在夏季和冬季管理水温的智能水瓶,更具体地说,它会根据我们的意愿/需要改变当时的温度。 我们将使用温度传感器。 充电插座将位于瓶盖上,此外,无论用户想要冷水、热水还是中性水,都可以使用三个触摸传感器。 一个智能水瓶可以满足各种群体的需求,包括想要提高成绩的运动员、想要达到体重目标的节食者,以及经常脱水的集体住宅或独居老人。 虽然大多数寻求改善健康的用户液体摄入量不足,但一些医疗应用需要限制水的摄入量。 由于水的纯度不足,可能会发生肾脏疾病和充血性心力衰竭 (CHF)。 为了避免此类问题,智能水瓶的使用在当今生活中很有用。 人们通常会随身携带一个水瓶来满足他们对水的需求,并在旅行或进行其他活动(例如运动和体育活动)时保持身体水分充足; 以及许多其他人,如学童、上班族、患者等等。 由于主要功能是保持身体水分充足,因此本领域已做出努力来提供一种水瓶,该水瓶包括基于用户消耗的水量来通知用户其水合需求的功能。</t>
  </si>
  <si>
    <t>使用物联网的智能水瓶</t>
  </si>
  <si>
    <t>CN115147922A</t>
  </si>
  <si>
    <t>本发明为基于嵌入式平台的单目行人检测方法、系统、设备及介质，涉及图像处理技术领域，方法包括：S1:图像采集单元使用单目摄像头获取当前彩色图像；S2:输入图像采集单元获得的图像信息；S3:对图像信息进行预处理，包括不失真裁剪为固定尺寸、归一化校正；S4:使用卷积神经网络对预处理图像提取不同尺度的特征；S5:融合所述步骤S4中不同尺度的特征，生成预选框；S6:依据融合特征进行判别，并输出检测结果；本发明有效解决单目行人检测精确度低且计算量大的问题，具有模型体积、计算量小，对设备算力要求低，整体操作简单，检测结果清晰等优点。</t>
  </si>
  <si>
    <t>基于嵌入式平台的单目行人检测方法、系统、设备及介质</t>
  </si>
  <si>
    <t>CN218010841U</t>
  </si>
  <si>
    <t>本实用新型涉及运动器械技术领域，本实用新型公开了一种人工智能自动速度调节跑步机，包括主体支架，主体支架的底部固定安装有支撑机构，支撑机构包括承重支架，承重支架的顶部滑动连接有活动杆，承重支架的顶部固定安装有液压泵，液压泵的输出端固定连接有压力板，压力板的顶部固定连接有运动带机构，运动带机构包括跑道外壳，跑道外壳内部固定安装有若干驱动电机，驱动电机的输出端转动连接有步机跑带，主体支架的顶部固定安装有操控机构，操控机构包括操作台，操作台的一侧固定安装有空气加湿器。本实用新型通过液压泵，可调整设备整体坡度，通过加湿器可避免使用者在运动时出现面部和口舌干燥，为使用者提供了更为舒适的运动体验。</t>
  </si>
  <si>
    <t>人工智能自动速度调节跑步机</t>
  </si>
  <si>
    <t>US20220395730A1</t>
  </si>
  <si>
    <t>一种以个性化运动处方自动调整最佳康复强度或运动量的智能系统,包括:将注册会员测量的生理信息数据通过互联网上传至云端数据整合服务器; 专家诊断单元,可以从云数据集成服务器下载并使用会员的生理信息数据。 诊断后,开具个性化运动处方,上传至云端数据整合服务器; 康复健身器材单元可从云端数据整合服务器下载运动处方,控制并自动调整最佳康复强度或运动量。 经过医生、康复师或健身教练等专家诊断后,不断更新的人工智能运动处方的最佳参数值,可用于提高个人康复或运动健身的功效。</t>
  </si>
  <si>
    <t>智能系统,根据个性化运动处方自动调整最佳康复强度或运动量</t>
  </si>
  <si>
    <t>CN114969374A</t>
  </si>
  <si>
    <t>本发明专利提供了一种多模态健身知识图谱理解与构建方法，其特征在于：(1)采用健身视频和健身对应的解说文字作为多模态模型的输入，构建了一种基于深度神经网络的健身动作示范动作语义理解与提取的标准知识图谱三元组提取方法。该方法基于视频特征的提取识别动作种类，基于解说文字的词向量特征的提取识别动作名称，基于视频特征与词向量特征的提取与融合匹配两者是否对应，若一致则建立“运动动作名称：包含：对应演示动作视频”三元组。(2)基于健身知识图谱库的“学科——运动种类——运动项目——运动动作名称”的传统知识图谱架构，实现了对知识图谱的运动动作名称进一步添加“运动动作名称：包含：对应演示动作视频”这种三元组的方法，实现了一种多模态的健身知识图谱的构建。</t>
  </si>
  <si>
    <t>一种多模态健身知识图谱理解与构建方法</t>
  </si>
  <si>
    <t>CN307748900S</t>
  </si>
  <si>
    <t>1.本外观设计产品的名称：显示屏幕面板的文档配置图形用户界面。
 2.本外观设计产品的用途：用于运行程序、信息显示、人机交互。
 3.本外观设计产品的设计要点：在于图形用户界面的内容。
 4.最能表明设计要点的图片或照片：设计1界面变化状态图3。
 5.指定设计1为基本设计。
 6.图形用户界面的用途：点击设计1主视图中的“新建文档库”按钮，可新建文档，右侧出现弹窗浮层，如界面变化状态图1所示，新建文档点击保存按钮保存后会生成文档列表，如设计1界面变化状态图2所示，点击列表操作项中的“打开文档库”按钮，即可进入文档库界面，如设计1界面变化状态图3所示，点击界面中的“配置列”按钮，出现表头配置列表，上下拖动可改变排列顺序，点击右侧圆形按钮打开或关闭表头可分别对配置列表头进行显示或隐藏，如设计1界面变化状态图4所示。
 设计2的主视图到界面变化状态图2的变化过程与设计1相同，点击设计2界面变化状态图2中操作项下的删除按钮，弹出确认删除的对话框，如设计2界面变化状态图3所示。
 设计3‑设计8的主视图到界面变化状态图3的变化过程与设计1相同。
 点击设计3界面变化状态图3中的“筛选”按钮，出现设置筛选弹窗，可自行设置筛选条件，如设计3界面变化状态图4所示。
 点击设计4界面变化状态图3中的“本地上传”按钮，弹出上传文档弹窗，如设计4界面变化状态图4所示。
 点击设计5界面变化状态图3中的“通过链接创建”按钮，界面右侧会弹出抽屉，可填写和选择需要的信息，如设计5界面变化状态图4所示。
 点击设计6界面变化状态图3中的“导出标签值”按钮，会出现到任务中，可对该文件进行下载，如设计6界面变化状态图4所示。
 点击设计7界面变化状态图3中的“导入标签值”按钮，界面中出现弹窗选择文件，点击确定即可导入文档，如设计7界面变化状态图4所示。
 点击设计8界面变化状态图3中的“标签”按钮，可切换到标签列表界面，如设计8界面变化状态图4所示，点击右上角的“新建标签”按钮，界面右侧弹出标签设置表单，如设计8界面变化状态图5所示，右侧的设置页面向上滑动，界面变化如设计8界面变化状态图6所示，可设置需要展示的内容，当标签值范围选择级联时，可以新建级联关系，可见性选择条件可见时，可以设置按条件展示所需要的信息，如设计8界面变化状态图7所示。
 7.其他说明：显示屏幕面板应用于车辆、计算机、笔记本电脑、平板电脑、手机、智能手表、智能手环、健身监视器、头戴式耳机、个人数字助理（PDA）、智能音箱、电视、机顶盒、投影仪、游戏机或导航仪。</t>
  </si>
  <si>
    <t>显示屏幕面板的文档配置图形用户界面</t>
  </si>
  <si>
    <t>CN219177511U</t>
  </si>
  <si>
    <t>本实用新型公开了一种基于物联网的篮球场照明灯；本实用新型包括立柱、第一电动伸缩杆和设置于立柱表面的物联调节组件，物联调节组件包括开设与立柱表面的开口，开口内部设置有多个第二电动伸缩杆，立柱顶部开设有连接槽，连接槽内部设置有第二电动伸缩杆，便于进行调节使用，使用人员通过物联网连接到立柱表面设置的控制开关上，从而通过控制开关对第一电动伸缩杆进行控制，即第一电动伸缩杆工作带动表面设置的横杆进行上下移动，即可通过横杆带动灯具进行移动，进行上下调节，而通过控制开关接通任一第二电动伸缩杆对立柱顶部进行调节角度，增加了物联性，对篮球场上的照明灯进行便捷调节。</t>
  </si>
  <si>
    <t>一种基于物联网的篮球场照明灯</t>
  </si>
  <si>
    <t>IN202221032060A</t>
  </si>
  <si>
    <t>我们的发明“基于深度学习的无人机检测和识别”是一项改进,在体育领域以及在设计、破坏棋盘、协调因素、获取航空终端等方面的各种用途中变得越来越受欢迎 . 尽管它们有重要的应用,但由于它们在报复演习中的使用能力,已经出现了对机场终端实际系统安全、健康和侦察的令人不安的担忧。 最近,有许多关于未经批准在航站楼使用不同类型的机器人以及干扰飞机任务的报道。 为了解决这个问题,本研究提出了一种基于深度学习的原创策略,用于两种机器人和鸟类的生产定位和识别。 与现有的书面识别框架相比,使用预先安排的图片数据集对所提出的方法进行评估显示出更好的熟练程度。 此外,由于外形和行为相似,无人机经常被误认为是鸟类。 所提出的技术不仅可以识别空间中机器人的存在或不存在,还可以感知和识别两种机器人,以及从鸟类中识别它们。 这项工作中用于准备组织的数据集包含 10,000 张引人注目的图片,其中包含两种机器人,如多旋翼、直升机和鸟类。 所提出的深度学习策略可以直接识别和感知两种机器人,并以 83% 的精度、84% 的 mAP 和 81% 的 IOU 从鸟类中识别它们。 正常审查、正常精度和正常 F1 分数的优势分别在三个类别中分别显示为 84%、83% 和 83%。</t>
  </si>
  <si>
    <t>基于深度学习的无人机检测与识别</t>
  </si>
  <si>
    <t>CN307783605S</t>
  </si>
  <si>
    <t>1.本外观设计产品的名称：显示屏幕面板的配件管理的图形用户界面。
 2.本外观设计产品的用途：用于运行程序、信息显示、人机交互。
 3.本外观设计产品的设计要点：在于屏幕中的图形用户界面。
 4.最能表明设计要点的图片或照片：设计1主视图。
 5.指定设计1为基本设计。
 6.其他说明：本显示屏幕面板应用于车辆、计算机、笔记本电脑、平板电脑、手机、智能手机、智能手表、健身监视器、头戴式耳机、个人数字助理（PDA）、智能音箱、电视、机顶盒、游戏机。</t>
  </si>
  <si>
    <t>显示屏幕面板的配件管理的图形用户界面</t>
  </si>
  <si>
    <t>CN307783606S</t>
  </si>
  <si>
    <t>1.本外观设计产品的名称：显示屏幕面板的手势动画的动态图形用户界面。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6.图形用户界面的用途：本图形用户界面的设计点在于手势动画，在任意界面，系统捕捉到用户的唤醒手势，界面即出现小圆圈，小圆圈逐渐变为圆盘，用户根据圆盘提示，通过手势继续进行相关操作。
 设计1为用户通过手势唤醒控制器的过程，界面出现小圆圈，并逐渐变为圆盘控制器。
 设计2为用户通过手势降低音量的过程，控制器从圆盘逐渐变为竖长型，直至选中音量减按钮。
 设计3为用户完成降低音量设置后控制器的变化过程，控制器从竖长型逐渐变为小圆圈，最后消失。
 设计4为用户通过手势设置向前进的过程，控制器从圆盘逐渐变为横长型，直至选中向前进按钮。
 设计5为用户通过手势从选中向前进按钮到选中向后退按钮的过程。
 设计6为用户完成向后退设置后控制器的变化过程，控制器从横长型逐渐变为小圆圈，最后消失。
 设计7为用户通过手势唤醒控制器并降低音量的过程，界面出现小圆圈，并逐渐变为圆盘控制器，控制器从圆盘变为选中音量减按钮的竖长型，设置完毕后，控制器从竖长型逐渐变为小圆圈，最后消失。
 设计8为用户通过手势唤醒控制器后，先选中向前进按钮，再选中向后退按钮的过程，界面出现小圆圈，并逐渐变为圆盘控制器，控制器从圆盘先变为选中向前进按钮的横长型，再变为选中向后退按钮的横长型，设置完毕后，控制器从横长型逐渐变为小圆圈，最后消失。
 设计9为用户通过手势唤醒控制器后，先选中音量减按钮，再选中向前进按钮的过程，界面出现小圆圈，并逐渐变为圆盘控制器，控制器从圆盘变为选中音量减按钮的竖长型，再变为选中向前进按钮的横长型。
 7.其他说明：本显示屏幕面板应用于车辆、计算机、笔记本电脑、平板电脑、手机、智能手机、智能手表、健身监视器、头戴式耳机、个人数字助理（PDA）、智能音箱、电视、机顶盒、游戏机。</t>
  </si>
  <si>
    <t>显示屏幕面板的手势动画的动态图形用户界面</t>
  </si>
  <si>
    <t>CN307783609S</t>
  </si>
  <si>
    <t>1.本外观设计产品的名称：显示屏幕面板的空调设置的图形用户界面。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6.图形用户界面的用途：本图形用户界面的设计点在于空调设置。
 设计1主视图为空调设置界面。
 设计2主视图为空调设置界面，用户点击右侧的香薰按钮，可对香薰进行设置，如设计2界面变化状态图所示。
 7.其他说明：本显示屏幕面板应用于车辆、计算机、笔记本电脑、平板电脑、手机、智能手机、智能手表、健身监视器、头戴式耳机、个人数字助理（PDA）、智能音箱、电视、机顶盒、游戏机。</t>
  </si>
  <si>
    <t>显示屏幕面板的空调设置的图形用户界面</t>
  </si>
  <si>
    <t>CN307783603S</t>
  </si>
  <si>
    <t>1.本外观设计产品的名称：显示屏幕面板的车辆环视的图形用户界面。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6.图形用户界面的用途：本图形用户界面的设计点在于车辆环视界面。
 设计1主视图至设计4主视图依次为车辆的前方、后方、左方、右方的图像界面，设计5主视图为默认视角的图像界面。
 7.其他说明：本显示屏幕面板应用于车辆、计算机、笔记本电脑、平板电脑、手机、智能手机、智能手表、健身监视器、头戴式耳机、个人数字助理（PDA）、智能音箱、电视、机顶盒、游戏机。</t>
  </si>
  <si>
    <t>显示屏幕面板的车辆环视的图形用户界面</t>
  </si>
  <si>
    <t>CN307783607S</t>
  </si>
  <si>
    <t>1.本外观设计产品的名称：显示屏幕面板的泊车的图形用户界面。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6.图形用户界面的用途：本图形用户界面的设计点在于泊车界面。
 设计1展示了从寻车位到泊车完成的过程，设计1主视图为寻车位界面，设计1界面变化状态图1为找到车位的界面，设计1界面变化状态图2为开始泊车的界面，设计1界面变化状态图3为泊车中的界面，设计1界面变化状态图4为泊车完成的界面。
 设计2主视图为开始泊车的界面。
 7.其他说明：本显示屏幕面板应用于车辆、计算机、笔记本电脑、平板电脑、手机、智能手机、智能手表、健身监视器、头戴式耳机、个人数字助理（PDA）、智能音箱、电视、机顶盒、游戏机。</t>
  </si>
  <si>
    <t>显示屏幕面板的泊车的图形用户界面</t>
  </si>
  <si>
    <t>CN307783600S</t>
  </si>
  <si>
    <t>1.本外观设计产品的名称：显示屏幕面板的首页弹窗的图形用户界面。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6.图形用户界面的用途：本图形用户界面的设计点在于首页弹窗界面。
 设计1主视图至设计8主视图为带弹窗的首页界面。
 7.其他说明：本显示屏幕面板应用于车辆、计算机、笔记本电脑、平板电脑、手机、智能手机、智能手表、健身监视器、头戴式耳机、个人数字助理（PDA）、智能音箱、电视、机顶盒、游戏机。</t>
  </si>
  <si>
    <t>显示屏幕面板的首页弹窗的图形用户界面</t>
  </si>
  <si>
    <t>CN307783608S</t>
  </si>
  <si>
    <t>1.本外观设计产品的名称：显示屏幕面板的音乐播放的图形用户界面。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6.图形用户界面的用途：本图形用户界面的设计点在于音乐播放界面。
 设计1主视图至设计8主视图为音乐播放界面。
 7.其他说明：本显示屏幕面板应用于车辆、计算机、笔记本电脑、平板电脑、手机、智能手机、智能手表、健身监视器、头戴式耳机、个人数字助理（PDA）、智能音箱、电视、机顶盒、游戏机。</t>
  </si>
  <si>
    <t>显示屏幕面板的音乐播放的图形用户界面</t>
  </si>
  <si>
    <t>CN307783599S</t>
  </si>
  <si>
    <t>1.本外观设计产品的名称：显示屏幕面板的遥控泊车的图形用户界面。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6.图形用户界面的用途：本图形用户界面的设计点在于遥控泊车界面，设计1主视图至设计3主视图为遥控泊车界面。
 7.其他说明：本显示屏幕面板应用于车辆、计算机、笔记本电脑、平板电脑、手机、智能手机、智能手表、健身监视器、头戴式耳机、个人数字助理（PDA）、智能音箱、电视、机顶盒、游戏机。</t>
  </si>
  <si>
    <t>显示屏幕面板的遥控泊车的图形用户界面</t>
  </si>
  <si>
    <t>CN307783604S</t>
  </si>
  <si>
    <t>1.本外观设计产品的名称：显示屏幕面板的车辆健康的图形用户界面。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6.图形用户界面的用途：设计1主视图和设计2主视图为车辆健康界面，界面显示车辆信息和车辆保养信息。
 7.其他说明：本显示屏幕面板应用于车辆、计算机、笔记本电脑、平板电脑、手机、智能手机、智能手表、健身监视器、头戴式耳机、个人数字助理（PDA）、智能音箱、电视、机顶盒、游戏机。</t>
  </si>
  <si>
    <t>显示屏幕面板的车辆健康的图形用户界面</t>
  </si>
  <si>
    <t>CN307783601S</t>
  </si>
  <si>
    <t>1.本外观设计产品的名称：显示屏幕面板的座椅按摩的图形用户界面。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6.图形用户界面的用途：本图形用户界面的设计点在于座椅按摩界面。
 设计1主视图和设计2主视图为座椅按摩界面，座椅上的按摩点会根据工作模式，交替高亮显示。
 7.其他说明：本显示屏幕面板应用于车辆、计算机、笔记本电脑、平板电脑、手机、智能手机、智能手表、健身监视器、头戴式耳机、个人数字助理（PDA）、智能音箱、电视、机顶盒、游戏机。</t>
  </si>
  <si>
    <t>显示屏幕面板的座椅按摩的图形用户界面</t>
  </si>
  <si>
    <t>CN307783602S</t>
  </si>
  <si>
    <t>1.本外观设计产品的名称：显示屏幕面板的蓝牙电话的图形用户界面。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6.图形用户界面的用途：本图形用户界面的设计点在于蓝牙电话界面。
 设计1主视图和设计2主视图为蓝牙拨号键盘界面，设计3主视图为官方客服界面，设计4主视图为通讯录界面，设计5主视图为最近通话界面，设计6主视图为蓝牙电话未连接界面，设计7主视图为手机未授权界面。
 7.其他说明：本显示屏幕面板应用于车辆、计算机、笔记本电脑、平板电脑、手机、智能手机、智能手表、健身监视器、头戴式耳机、个人数字助理（PDA）、智能音箱、电视、机顶盒、游戏机。</t>
  </si>
  <si>
    <t>显示屏幕面板的蓝牙电话的图形用户界面</t>
  </si>
  <si>
    <t>CN307847802S</t>
  </si>
  <si>
    <t>1.本外观设计产品的名称：显示屏幕面板的车辆位置的图形用户界面。
 2.本外观设计产品的用途：用于运行程序、信息显示、人机交互。
 3.本外观设计产品的设计要点：在于屏幕中的图形用户界面。
 4.最能表明设计要点的图片或照片：主视图。
 5.图形用户界面的用途：用于显示车辆位置信息。
 6.图形用户界面的人机交互方式：点击驻车照片，可查看照片大图，如界面变化状态参考图所示。
 7.其他说明：本显示屏幕面板应用于车辆、计算机、笔记本电脑、平板电脑、手机、智能手机、智能手表、健身监视器、头戴式耳机、个人数字助理（PDA）、智能音箱、电视、机顶盒、游戏机。</t>
  </si>
  <si>
    <t>显示屏幕面板的车辆位置的图形用户界面</t>
  </si>
  <si>
    <t>CN307913409S</t>
  </si>
  <si>
    <t>1.本外观设计产品的名称：显示屏幕面板的车辆导航的图形用户界面。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5.图形用户界面的用途：本图形用户界面的设计点在于车辆导航界面。
 主视图为车辆导航的搜索界面，用户可根据界面提示进行相关操作。
 6.其他说明：本显示屏幕面板应用于车辆、计算机、笔记本电脑、平板电脑、手机、智能手机、智能手表、健身监视器、头戴式耳机、个人数字助理（PDA）、智能音箱、电视、机顶盒、游戏机。</t>
  </si>
  <si>
    <t>显示屏幕面板的车辆导航的图形用户界面</t>
  </si>
  <si>
    <t>CN307960049S</t>
  </si>
  <si>
    <t>1.本外观设计产品的名称：显示屏幕面板的内容搜索的图形用户界面。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6.图形用户界面的用途：本图形用户界面的设计点在于内容搜索界面。
 设计1主视图和设计2主视图为键盘弹出的搜索界面，用户可根据界面提示进行相关操作。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</si>
  <si>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显示屏幕面板的内容搜索的图形用户界面</t>
  </si>
  <si>
    <t>CN307960051S</t>
  </si>
  <si>
    <t>1.本外观设计产品的名称：显示屏幕面板的多媒体信息显示的图形用户界面。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6.图形用户界面的用途：本图形用户界面的设计点在于多媒体信息显示界面。
 设计1主视图和设计2主视图为视频信息显示界面，用户可根据界面提示进行相关操作。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</si>
  <si>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显示屏幕面板的多媒体信息显示的图形用户界面</t>
  </si>
  <si>
    <t>CN307960047S</t>
  </si>
  <si>
    <t>1.本外观设计产品的名称：显示屏幕面板的应用中心的图形用户界面。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6.图形用户界面的用途：本图形用户界面的设计点在于应用中心界面。
 设计1主视图和设计2主视图为应用中心界面，用户可根据界面提示进行相关操作。
 设计3主视图为应用中心界面，用户点击任意应用区域，可查看该应用的详情，如设计3界面变化状态图所示。
 7.设计2请求保护色彩。
 8.本显示屏幕面板应用于车辆、计算机、笔记本电脑、平板电脑、手机、智能手机、智能手表、健身监视器、头戴式耳机、个人数字助理（PDA）、智能音箱、电视、机顶盒、游戏机。</t>
  </si>
  <si>
    <t>显示屏幕面板的应用中心的图形用户界面</t>
  </si>
  <si>
    <t>CN307960050S</t>
  </si>
  <si>
    <t>1.本外观设计产品的名称：显示屏幕面板的调频的图形用户界面。
 2.本外观设计产品的用途：用于运行程序、信息显示、人机交互。
 3.本外观设计产品的设计要点：在于屏幕中的图形用户界面。
 4.最能表明设计要点的图片或照片：设计1主视图。
 5.图形用户界面的用途：本图形用户界面的设计点在于调频界面，设计1主视图至设计3主视图为调频界面，用户可根据界面提示进行相关操作。
 例如点击设计1主视图下部不同频段电台的按钮收听对应电台节目，点击设计2主视图中红色按钮可收藏该频段电台，点击设计3左上角“听歌识曲”按钮可对当前播放歌曲识别并在该按钮处显示歌曲信息。
 6.本显示屏幕面板应用于车辆、计算机、笔记本电脑、平板电脑、手机、智能手机、智能手表、健身监视器、头戴式耳机、个人数字助理（PDA）、智能音箱、电视、机顶盒、游戏机。</t>
  </si>
  <si>
    <t>显示屏幕面板的调频的图形用户界面</t>
  </si>
  <si>
    <t>CN307960045S</t>
  </si>
  <si>
    <t>1.本外观设计产品的名称：显示屏幕面板的我的充电桩的图形用户界面。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6.图形用户界面的用途：本图形用户界面的设计点在于我的充电桩界面。
 设计1主视图为未供电状态下的界面，设计2主视图为连接中状态下的界面，设计3主视图为供电中状态下的界面，用户可根据界面提示进行相关操作。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</si>
  <si>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显示屏幕面板的我的充电桩的图形用户界面</t>
  </si>
  <si>
    <t>CN307960048S</t>
  </si>
  <si>
    <t>1.本外观设计产品的名称：显示屏幕面板的详情页显示的图形用户界面。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6.图形用户界面的用途：本图形用户界面的设计点在于详情显示界面。
 设计1主视图和设计2主视图为歌单详情界面，用户可根据界面提示进行相关操作。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</si>
  <si>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显示屏幕面板的详情页显示的图形用户界面</t>
  </si>
  <si>
    <t>CN307960053S</t>
  </si>
  <si>
    <t>1.本外观设计产品的名称：显示屏幕面板的信息流的图形用户界面。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6.图形用户界面的用途：本图形用户界面的设计点在于信息流界面。
 设计1主视图和设计2主视图为信息流界面，设计3主视图为带弹窗的信息流界面，用户可根据界面提示进行相关操作。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</si>
  <si>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显示屏幕面板的信息流的图形用户界面</t>
  </si>
  <si>
    <t>CN307960046S</t>
  </si>
  <si>
    <t>1.本外观设计产品的名称：显示屏幕面板的车辆首页显示的图形用户界面。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6.图形用户界面的用途：本图形用户界面的设计点在于车辆首页显示界面。
 设计1主视图为车辆首页界面，设计2主视图为充电中的车辆首页界面，用户可根据界面提示进行相关操作。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</si>
  <si>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显示屏幕面板的车辆首页显示的图形用户界面</t>
  </si>
  <si>
    <t>CN307960052S</t>
  </si>
  <si>
    <t>1.本外观设计产品的名称：显示屏幕面板的行车录像的图形用户界面。
 2.本外观设计产品的用途：用于运行程序、信息显示、人机交互。
 3.本外观设计产品的设计要点：在于屏幕中的图形用户界面。
 4.最能表明设计要点的图片或照片：主视图。
 5.图形用户界面的用途：主视图为行车录像界面，用户可根据界面提示进行相关操作。
 6.其他说明：本显示屏幕面板应用于车辆、计算机、笔记本电脑、平板电脑、手机、智能手机、智能手表、健身监视器、头戴式耳机、个人数字助理（PDA）、智能音箱、电视、机顶盒、游戏机。</t>
  </si>
  <si>
    <t>显示屏幕面板的行车录像的图形用户界面</t>
  </si>
  <si>
    <t>CN307996943S</t>
  </si>
  <si>
    <t>1.本外观设计产品的名称：显示屏幕面板的辅助驾驶的图形用户界面。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6.图形用户界面的用途：本图形用户界面的设计点在于车辆辅助驾驶界面。
 设计1主视图至设计5主视图为车辆辅助驾驶界面，用户可根据界面提示进行相关操作。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</si>
  <si>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显示屏幕面板的辅助驾驶的图形用户界面</t>
  </si>
  <si>
    <t>CN307996942S</t>
  </si>
  <si>
    <t>1.本外观设计产品的名称：显示屏幕面板的车辆参数设置的图形用户界面。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6.图形用户界面的用途：本图形用户界面的设计点在于车辆参数设置界面。
 设计1主视图至设计8主视图为车辆参数设置界面。
 设计9主视图为车辆信息界面。
 用户可通过点击相应控件实现相应的功能。
 7.其他需要说明的情形其他说明：本显示屏幕面板应用于车辆、计算机、笔记本电脑、平板电脑、手机、智能手机、智能手表、健身监视器、头戴式耳机、个人数字助理（PDA）、智能音箱、电视、机顶盒、游戏机。</t>
  </si>
  <si>
    <t>显示屏幕面板的车辆参数设置的图形用户界面</t>
  </si>
  <si>
    <t>CN307996941S</t>
  </si>
  <si>
    <t>1.本外观设计产品的名称：显示屏幕面板的我的车辆信息显示图形用户界面。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6.图形用户界面的用途：本图形用户界面的设计点在于我的车辆信息显示界面。
 设计1主视图至设计3主视图为我的车辆信息显示界面，用户可根据界面提示进行相关操作。
 7.其他需要说明的情形其他说明：本显示屏幕面板应用于车辆、计算机、笔记本电脑、平板电脑、手机、智能手机、智能手表、健身监视器、头戴式耳机、个人数字助理（PDA）、智能音箱、电视、机顶盒、游戏机。</t>
  </si>
  <si>
    <t>显示屏幕面板的我的车辆信息显示图形用户界面</t>
  </si>
  <si>
    <t>CN307996940S</t>
  </si>
  <si>
    <t>1.本外观设计产品的名称：显示屏幕面板的充电管理的图形用户界面。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6.图形用户界面的用途：本图形用户界面的设计点在于充电管理界面。
 设计1主视图为充电系统故障的界面，设计2主视图为充电系统正常的界面。
 用户可通过点击“预约充电”，实现在预约时间内充电的功能。
 7.其他需要说明的情形其他说明：本显示屏幕面板应用于车辆、计算机、笔记本电脑、平板电脑、手机、智能手机、智能手表、健身监视器、头戴式耳机、个人数字助理（PDA）、智能音箱、电视、机顶盒、游戏机。</t>
  </si>
  <si>
    <t>显示屏幕面板的充电管理的图形用户界面</t>
  </si>
  <si>
    <t>CN308006432S</t>
  </si>
  <si>
    <t>1.本外观设计产品的名称：显示屏幕面板的空调设置的图形用户界面。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6.图形用户界面的用途：本图形用户界面的设计点在于空调设置界面。
 设计1主视图为空调制冷界面，设计2主视图为空调制热界面，用户可根据界面提示进行相关操作。
 7.其他需要说明的情形其他说明：本显示屏幕面板应用于车辆、计算机、笔记本电脑、平板电脑、手机、智能手机、智能手表、健身监视器、头戴式耳机、个人数字助理（PDA）、智能音箱、电视、机顶盒、游戏机。</t>
  </si>
  <si>
    <t>CN308006612S</t>
  </si>
  <si>
    <t>1.本外观设计产品的名称：显示屏幕面板的车辆信息显示的图形用户界面。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5.图形用户界面的用途：本图形用户界面的设计点在于车辆信息显示界面。
 主视图为车辆首页界面，用户上滑界面，可查看更多信息，如界面变化状态图所示。
 6.其他说明：本显示屏幕面板应用于车辆、计算机、笔记本电脑、平板电脑、手机、智能手机、智能手表、健身监视器、头戴式耳机、个人数字助理（PDA）、智能音箱、电视、机顶盒、游戏机。</t>
  </si>
  <si>
    <t>显示屏幕面板的车辆信息显示的图形用户界面</t>
  </si>
  <si>
    <t>CN308006603S</t>
  </si>
  <si>
    <t>1.本外观设计产品的名称：显示屏幕面板的车辆导航的图形用户界面。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6.图形用户界面的用途：本图形用户界面的设计点在于车辆导航界面。
 设计1主视图为巡航界面，设计2主视图为导航界面，用户可根据界面提示进行相关操作。
 7.其他说明：本显示屏幕面板应用于车辆、计算机、笔记本电脑、平板电脑、手机、智能手机、智能手表、健身监视器、头戴式耳机、个人数字助理（PDA）、智能音箱、电视、机顶盒、游戏机。</t>
  </si>
  <si>
    <t>CN308006599S</t>
  </si>
  <si>
    <t>1.本外观设计产品的名称：显示屏幕面板的详情页显示的图形用户界面。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6.图形用户界面的用途：本图形用户界面的设计点在于文件夹详情显示界面。
 设计1主视图为文件夹列表界面，设计2主视图为文件夹的详情界面，用户可根据界面提示进行相关操作。
 7.其他说明：本显示屏幕面板应用于车辆、计算机、笔记本电脑、平板电脑、手机、智能手机、智能手表、健身监视器、头戴式耳机、个人数字助理（PDA）、智能音箱、电视、机顶盒、游戏机。</t>
  </si>
  <si>
    <t>CN308006604S</t>
  </si>
  <si>
    <t>1.本外观设计产品的名称：显示屏幕面板的车辆导航的图形用户界面。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5.图形用户界面的用途：本图形用户界面的设计点在于车辆导航界面，主视图为车辆导航的设置界面，用户可根据界面提示进行相关操作。
 6.其他说明：本显示屏幕面板应用于车辆、计算机、笔记本电脑、平板电脑、手机、智能手机、智能手表、健身监视器、头戴式耳机、个人数字助理（PDA）、智能音箱、电视、机顶盒、游戏机。</t>
  </si>
  <si>
    <t>CN308006606S</t>
  </si>
  <si>
    <t>CN308006615S</t>
  </si>
  <si>
    <t>1.本外观设计产品的名称：显示屏幕面板的行车录像的图形用户界面。
 2.本外观设计产品的用途：用于运行程序、信息显示、人机交互。
 3.本外观设计产品的设计要点：在于屏幕中的图形用户界面。
 4.最能表明设计要点的图片或照片：主视图。
 5.图形用户界面的用途：主视图为行车录像界面，用户点击任意录像，可查看该录像的详情，如界面变化状态图所示。
 6.其他说明：本显示屏幕面板应用于车辆、计算机、笔记本电脑、平板电脑、手机、智能手机、智能手表、健身监视器、头戴式耳机、个人数字助理（PDA）、智能音箱、电视、机顶盒、游戏机。</t>
  </si>
  <si>
    <t>CN308006601S</t>
  </si>
  <si>
    <t>1.本外观设计产品的名称：显示屏幕面板的车辆导航的图形用户界面。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5.图形用户界面的用途：本图形用户界面的设计点在于车辆导航界面。
 主视图为车辆导航的数据同步界面，用户可根据界面提示进行相关操作。
 6.其他说明：本显示屏幕面板应用于车辆、计算机、笔记本电脑、平板电脑、手机、智能手机、智能手表、健身监视器、头戴式耳机、个人数字助理（PDA）、智能音箱、电视、机顶盒、游戏机。</t>
  </si>
  <si>
    <t>CN308006600S</t>
  </si>
  <si>
    <t>1.本外观设计产品的名称：显示屏幕面板的车辆更换的图形用户界面。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5.图形用户界面的用途：本图形用户界面的设计点在于车辆更换界面。
 主视图为车辆首页界面，用户点击左上角下拉按钮，可更换其他车辆，如界面变化状态图所示。
 6.其他说明：本显示屏幕面板应用于车辆、计算机、笔记本电脑、平板电脑、手机、智能手机、智能手表、健身监视器、头戴式耳机、个人数字助理（PDA）、智能音箱、电视、机顶盒、游戏机。</t>
  </si>
  <si>
    <t>显示屏幕面板的车辆更换的图形用户界面</t>
  </si>
  <si>
    <t>CN308006596S</t>
  </si>
  <si>
    <t>1.本外观设计产品的名称：显示屏幕面板的搜索内容输入图形用户界面。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6.图形用户界面的用途：本图形用户界面的设计点在于搜索内容输入界面。
 设计1主视图和设计2主视图为搜索内容输入界面，用户可根据界面提示进行相关操作。
 7.其他说明：本显示屏幕面板应用于车辆、计算机、笔记本电脑、平板电脑、手机、智能手机、智能手表、健身监视器、头戴式耳机、个人数字助理（PDA）、智能音箱、电视、机顶盒、游戏机。</t>
  </si>
  <si>
    <t>显示屏幕面板的搜索内容输入图形用户界面</t>
  </si>
  <si>
    <t>CN308006605S</t>
  </si>
  <si>
    <t>1.本外观设计产品的名称：显示屏幕面板的车辆导航的图形用户界面。
 2.本外观设计产品的用途：用于运行程序、信息显示、人机交互。
 3.本外观设计产品的设计要点：在于屏幕中的图形用户界面。
 4.最能表明设计要点的图片或照片：主视图。
 5.图形用户界面的用途：本图形用户界面的设计点在于车辆导航界面。
 主视图为车辆导航的兴趣点信息显示界面，用户可根据界面提示进行相关操作。
 6.其他说明：本显示屏幕面板应用于车辆、计算机、笔记本电脑、平板电脑、手机、智能手机、智能手表、健身监视器、头戴式耳机、个人数字助理（PDA）、智能音箱、电视、机顶盒、游戏机。</t>
  </si>
  <si>
    <t>CN308090277S</t>
  </si>
  <si>
    <t>1.本外观设计产品的名称：显示屏幕面板的多媒体信息显示的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多媒体信息显示界面。设计1主视图和设计2主视图为音乐信息显示界面，用户可根据界面提示进行相关操作。7.其他说明：本显示屏幕面板应用于车辆、计算机、笔记本电脑、平板电脑、手机、智能手机、智能手表、健身监视器、头戴式耳机、个人数字助理（PDA）、智能音箱、电视、机顶盒、游戏机。</t>
  </si>
  <si>
    <t>CN308111921S</t>
  </si>
  <si>
    <t>1.本外观设计产品的名称：显示屏幕面板的虚拟助手的图形用户界面。2.本外观设计产品的用途：用于运行程序、信息显示、人机交互。3.本外观设计产品的设计要点：在于屏幕中的图形用户界面。4.最能表明设计要点的图片或照片：设计1主视图。5.指定设计1为基本设计。6.图形用户界面的用途：本图形用户界面的设计点在于虚拟助手界面。设计1主视图和设计2主视图为带虚拟助手的界面。当用户通过语音发出指示时，界面上方出现表情符号和语音指示的内容，如设计1主视图所示。7.其他需要说明的情形其他说明：本显示屏幕面板应用于车辆、计算机、笔记本电脑、平板电脑、手机、智能手机、智能手表、健身监视器、头戴式耳机、个人数字助理（PDA）、智能音箱、电视、机顶盒、游戏机。</t>
  </si>
  <si>
    <t>显示屏幕面板的虚拟助手的图形用户界面</t>
  </si>
  <si>
    <t>CN308215059S</t>
  </si>
  <si>
    <t>1.本外观设计产品的名称：显示屏幕面板的信息流的图形用户界面。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6.图形用户界面的用途：本图形用户界面的设计点在于信息流界面。
 设计1主视图和设计2主视图为信息流界面，用于可根据界面提示进行相关操作。
 7.其他说明：本显示屏幕面板应用于车辆、计算机、笔记本电脑、平板电脑、手机、智能手机、智能手表、健身监视器、头戴式耳机、个人数字助理（PDA）、智能音箱、电视、机顶盒、游戏机。</t>
  </si>
  <si>
    <t>IN202221031562A</t>
  </si>
  <si>
    <t>我们的发明“使用增强现实的虚拟瑜伽教练”是一种健康的身心,是确保长寿、健康和无病生活的正确方法。 在这方面,瑜伽已被证明是一种有益的工具。 如今,由于繁忙的日程安排,普通人没有时间锻炼和冥想,经常处于焦虑和压力之中。 不是每个人都知道如何进行准确的瑜伽体式。 人们求助于 YouTube 视频和在线教师,其中许多人并不合格。 由于错误练习瑜伽的人的无知和疏忽,导致严重伤害的案例很多。 本发明旨在研究用于姿势检测和分类的各种方法和技术,设计和生成增强现实模型的各种方法,语音助手的方法和技术以及可用于部署应用程序以组合上述技术的技术。 使用增强现实技术的瑜伽教练可以演示、检测和指导用户如何进行瑜伽体式,是解决所有问题的方法,例如时间、不合格的教练以及与虚拟世界相关的技术问题,例如错误的互联网连接、便携性和其他环境因素 例如照明不足和瑜伽空间不足。 拟议的应用程序将能够将用户指定的体式分解为多个有限步骤。 一个三维模型将演示这些步骤以及由语音教练的音频提示的语音指令。 经过训练和测试的机器学习模型将能够检测和分类用户执行的准确体式。 还将为用户提供各种功能,例如设置目标、连胜计数器、自定义设置; 所有这些都将保存在应用程序中。</t>
  </si>
  <si>
    <t>使用增强现实技术的虚拟瑜伽教练</t>
  </si>
  <si>
    <t>CN114904275A</t>
  </si>
  <si>
    <t>本发明公开了一种MOBA类游戏对线期侦察守卫放置位置确定方法，包括：采集比赛对线期结束时的对线英雄相关数据；根据Householder变换和奇异值分解方法的改进算法，确定对线英雄的对线位置；用卷积神经网络对其中的游走英雄的移动区域进行处理，标记得到游走英雄的移动位置；将对线期时对线英雄的对线位置和游走英雄的移动位置相结合，在关键路口和草丛中选取核心点，计算游走英雄和每个核心点的加权距离，计算游走英雄移动到每个核心点的移动概率；根据所有核心点对应的移动概率确定侦察守卫的放置位置。本发明能够通过合理防止侦察守卫来提高电子竞技比赛胜率。</t>
  </si>
  <si>
    <t>一种MOBA类游戏对线期侦察守卫放置位置确定方法</t>
  </si>
  <si>
    <t>CN115035979A</t>
  </si>
  <si>
    <t>本发明公开了传统健身功法训练姿态的智能评估装置、方法及应用，涉及智能健身设备技术领域；装置包括标准化、监测和评估的模块；方法包括监测，获得测试者动作的加速度曲线，基于滑动窗口和神经网络分类器对测试者动作的加速度曲线分割获得每一段测试者动作的加速度曲线，进行加窗处理、FFT运算、小波经验函数变换处理获得每一段测试者动作的经验小波分量；评估，获得每一段测试者动作的经验小波分量与相应段标准动作的经验小波分量的互相关系数并完成评估；应用包括将装置用于以八段锦功法在新冠肺炎康复中健身的应用，判断八段锦运动是否到位；其通过标准化模块、监测模块和评估模块等，实现传统健身功法训练姿态评估效率较高、效果较好。</t>
  </si>
  <si>
    <t>传统健身功法训练姿态的智能评估装置、方法及应用</t>
  </si>
  <si>
    <t>US20220292882A1</t>
  </si>
  <si>
    <t>使用两个或更多摄像机跟踪接近运动员的物体的路径和/或方向。 使用至少两个具有不同位置的不同相机获得对象的至少两组图像。 识别图像内的运动区域,并在运动区域内识别对象的二维空间中的候选位置。 基于此,可识别部分在3D空间中的可能位置被识别,用于对象接近期间的多个瞬间中的每一个。 对象的至少可识别部分的分段 3D 轨迹从对象接近运动员的多个瞬间的 3D 空间中的可能位置近似。 对象的 3D 轨迹的图形表示被合并到至少一组图像中。</t>
  </si>
  <si>
    <t>使用计算机视觉跟踪手持运动器具</t>
  </si>
  <si>
    <t>IN202241031412A</t>
  </si>
  <si>
    <t>食品生产、处理、包装、运输、规划、安全和食品管理都是食品部门现代活动的例子。 食品行业有时被视为低技术含量,尽管根据其研发与交易比率评估,它最近变得更具创新性。 人工智能机器人正在世界各地使用。 这些机器人是利用尖端技术和人工智能进步开发的,旨在用于以人类为中心的发展,感知人类,也回答人类的感受。 可以与人类互动的社交机器人的未来似乎充满希望。 现在有家政机器人、友善机器人、饮料生产机器人、制药机器人、乒乓球教练和其他类型的机器人。 尽管机械技术和自动化方面取得了进步,但必须采取一些措施来满足对各种食品行业组装过程进行计算机化的需求。 据我们所知,这些问题是:开发能够适应多种食品同时保持成本效益的自动化末端执行器,在 3D 情况下识别食品和材料,以及更好地理解 从机械护理的角度来看食品的原始数据。</t>
  </si>
  <si>
    <t>基于机器学习和嵌入式技术的送餐机器人</t>
  </si>
  <si>
    <t>CN307748899S</t>
  </si>
  <si>
    <t>1.本外观设计产品的名称：显示屏幕面板的首页导航图形用户界面。
 2.本外观设计产品的用途：用于显示信息及人机交互。
 3.本外观设计产品的设计要点：在于显示屏幕面板的图形用户界面内容。
 4.最能表明设计要点的图片或照片：设计1主视图。
 5.显示屏幕面板为惯常设计，省略设计1、设计2的后视图、左视图、右视图、俯视图、仰视图。
 6.指定设计1为基本设计。
 7.图形用户界面的用途：用于首页菜单导航界面；设计1主视图中可点击界面上方的类别标签可查看不同类别节目信息（例如点击“少儿”可查看少儿类的节目信息）；设计2主视图中可点击界面上方的类别标签可查看不同类别节目信息（例如点击“体育”可查看体育类的节目信息）。
 8.该显示屏幕面板可用于电脑、手机、平板电脑、电视机；涂覆区域为内容画面或为可变内容。</t>
  </si>
  <si>
    <t>显示屏幕面板的首页导航图形用户界面</t>
  </si>
  <si>
    <t>IN202241031230A</t>
  </si>
  <si>
    <t>物联网 (IoT) 是一个巨大的、令人兴奋的新现象,它正在改变技术世界并革新包括医疗保健在内的各个行业。 基于临床工作流模型可以完成的工作,它在医学界具有特定的应用和变化。 物联网在医疗保健领域所做的第一件也是最基本的事情是将大量新数据带入医疗流程。 事实上,对于许多人来说,新的健身监测器和手表是互联网上最好的例子之一——这些移动、便携、可穿戴的设备可以记录实时心率、血压和眼球运动,并将其发送给医生或任何地方。 所有这些都导致了医疗服务领域的大数据复兴。 但据一些人说,这并不全是玫瑰。 一些卫生专业人员谈论的一个事件是提供者办公室的“数据耗尽”问题。 物联网带来了大量新数据,但如果医生和其他人无法管理这些数据,那么对他们的工作流程弊大于利。 如果没有将信号与噪音分离的关键系统,物联网数据可能会让医生不知所措,并扰乱他们正在尝试做的事情。 仔细想想,很多医疗工作都涉及诊断和准确性——数据太多而智能不足可能会成为问题。</t>
  </si>
  <si>
    <t>人工智能驱动的物联网云平台移动健康应用</t>
  </si>
  <si>
    <t>CN307424333S</t>
  </si>
  <si>
    <t>1.本外观设计产品的名称：显示屏幕面板的商品信息展示图形用户界面。
 2.本外观设计产品的用途：本外观设计产品用于显示图形用户界面。
 3.本外观设计产品的设计要点：在于图形用户界面。
 4.最能表明设计要点的图片或照片：设计1主视图。
 5.指定设计1为基本设计。
 6.图形用户界面的用途：本图形用户界面用于展示商品信息。
 7.图形用户界面的人机交互方式：设计1至设计5主视图的图形用户界面为商品信息展示的界面，用户可以点击界面下部左侧的灰色色块或者该灰色色块右侧的区域进入相应的商品详情页面。
 设计界面中的灰色色块为可替换的图片或视频。
 设计界面中的叉号代表文字和/或数字和/或字母和/或符号。
 8.该图形用户界面可用于手机、计算机、平板电脑、智能电视、车载中控屏幕、多媒体一体机、电子记事本、头戴式显示设备、智能音箱、投影仪、游戏机、导航仪、智能手表、智能手环、智能台灯、带屏幕的冰箱、带屏幕的抽油烟机、带屏幕的空调、智能健身镜、带屏幕的消毒柜、带屏幕的洗碗机、带屏幕的烤箱。
 9.显示屏幕面板为惯常设计，省略各项设计的后视图、左视图、右视图、俯视图、仰视图。</t>
  </si>
  <si>
    <t>CN307549663S</t>
  </si>
  <si>
    <t>1.本外观设计产品的名称：显示屏幕面板的学员教练分配动态图形用户界面。
 2.本外观设计产品的用途：本外观设计产品的图形用户界面用于在显示屏幕面板上进行人机交互，显示屏幕面板为惯常设计，并用于游戏机、手机、平板电脑、计算机、教育机、车载导航仪、智能电视、游戏主机显示器。
 3.本外观设计产品的设计要点：在于显示屏幕面板中显示的图形用户界面。
 4.最能表明设计要点的图片或照片：主视图。
 5.图形用户界面的用途：本外观设计的产品界面用于对驾校学员分配教练以及约课；视图中主视图显示的界面为学员基础信息、报名信息以及分配教练信息的界面，界面中具有分配教练选项；在主视图显示的界面触发分配教练选项进入变化状态图1显示的教练分配界面，用户通过界面能够为学员分配教练，并具有确认分配选项；在变化状态图1显示的界面触发确认分配选项进入变化状态图2显示的分配教练之后的界面，在界面中具有更多操作选项；在变化状态图2显示的界面触发更多操作选项变化状态图3显示的界面，界面中具有约课选项、撤销教练选项以及换教练选项，供用户触发以进行相关学车操作；以上视图中，圆圈代表用户头像，方框代表图片，“XX”代表文字，使用状态参考图1‑4展示了本外观设计在实际应用中的情况。
 6.省略视图：本外观设计产品的后视图、左视图、右视图、俯视图及仰视图无设计要点，故此省略。</t>
  </si>
  <si>
    <t>显示屏幕面板的学员教练分配动态图形用户界面</t>
  </si>
  <si>
    <t>CN307713269S</t>
  </si>
  <si>
    <t>1.本外观设计产品的名称：显示屏幕面板的学员班主任分配动态图形用户界面。
 2.本外观设计产品的用途：本外观设计产品的图形用户界面用于在显示屏幕面板上进行人机交互，显示屏幕面板为惯常设计，并用于游戏机、手机、平板电脑、计算机、教育机、车载导航仪、智能电视、游戏主机显示器。
 3.本外观设计产品的设计要点：在于显示屏幕面板中显示的图形用户界面。
 4.最能表明设计要点的图片或照片：主视图。
 5.图形用户界面的用途：本外观设计的产品界面用于对驾校学员的班主任进行分配及更换；视图中主视图显示的界面为学员基础信息、报名信息以及分配教练信息的界面，界面中具有分配班主任选项；在主视图显示的界面触发分配班主任选项进入变化状态图1显示的班主任分配界面，用户通过界面能够选择班主任并分配给学员，并具有确认分配选项；在变化状态图1显示的界面进行班主任选择并触发确认分配选项进入变化状态图2显示的分配班主任之后的界面，在界面中具有更换班主任选项，供用户触发以进行更换班主任操作；以上视图中，圆圈代表用户头像，方框代表图片，“XX”代表文字。
 6.省略视图：本外观设计产品的后视图、左视图、右视图、俯视图及仰视图无设计要点，故此省略。</t>
  </si>
  <si>
    <t>显示屏幕面板的学员班主任分配动态图形用户界面</t>
  </si>
  <si>
    <t>WO2023000831A1</t>
  </si>
  <si>
    <t>本公开提供了结构化信息抽取方法、装置、设备、存储介质以及程序产品，涉及人工智能领域，尤其涉及计算机视觉和深度学习领域。具体实现方案包括：从体育赛事视频中抽取目标体育赛事视频帧；对目标体育赛事视频帧进行目标检测，得到体育赛事中的指定目标信息；对指定目标信息进行聚合，得到体育赛事结构化信息。本公开可以高效地提取出体育赛事视频中的关键信息，形成结构化数据，为体育赛事锦集提供高质量的素材，有助于完成体育赛事的快速内容创作。</t>
  </si>
  <si>
    <t>CN114870365B</t>
  </si>
  <si>
    <t>本发明属于健身器材技术领域，具体的说是一种健身骑行多人接力竞赛系统，包括：云端处理模块，所述云端处理模块接收健身骑行以及多人竞赛时产生的各种数据并在处理后给出结果反馈；骑行设备，所述骑行设备在用户骑行过程中检测转速数据并发送到云端处理模块；环境模拟模块，所述环境模拟模块包括摄像头与显示屏，所述摄像头拍摄用户运动时的图像，所述云端处理模块将图像与预设的骑行背景进行融合、拼接并在显示屏上显示；I/O模块，所述I/O模块支持语音识别与播报，所述显示屏支持触屏操作；本发明能够使用户相互之间进行骑行竞赛，提高健身骑行的互动性与娱乐性，提高用户锻炼的动力与积极性。</t>
  </si>
  <si>
    <t>一种健身骑行多人接力竞赛系统</t>
  </si>
  <si>
    <t>IN202221030792A</t>
  </si>
  <si>
    <t>一种草地网球训练装置,包括用于使用户能够训练草地网球的细长主体1、通过可伸缩操作的杆3在表面上沿各个方向移动的多个电动全向轮2、用于捕获多个方向的人工智能启用的图像捕获模块4 用户的图像和用户的解码高度并相应地致动杆3、触摸交互式显示面板5,用于选择专业水平、要练习的击球类型以及连续击球之间的时间间隔,其中基于所选择的击球类型 ,装有多个网球7的球储存室6,安装有用于分配其中一个球7的室6的液压推动器,具有一对球拍9的杆身8,用于将球发射到用户以允许 用户以适当的方式训练草地网球。</t>
  </si>
  <si>
    <t>草地网球训练器</t>
  </si>
  <si>
    <t>CN308036173S</t>
  </si>
  <si>
    <t>1.本外观设计产品的名称：多功能家居设备。2.本外观设计产品的用途：用于空气调节；用作人机交互的健身镜，用于智能健身运动和多媒体展示等；用作家具，用于放置物品，用作办公平台。3.本外观设计产品的设计要点：在于产品的形状。4.最能表明设计要点的图片或照片：设计1立体图。5.指定设计1为基本设计。</t>
  </si>
  <si>
    <t>多功能家居设备</t>
  </si>
  <si>
    <t>CN307632206S</t>
  </si>
  <si>
    <t>1.本外观设计产品的名称：带棋类学习图形用户界面的显示屏幕面板。
 2.本外观设计产品的用途：本外观设计产品用于显示图像和交互。
 3.本外观设计产品的设计要点：在于设计1和设计2中显示屏幕面板中的图形用户界面，设计2请求保护的外观设计包含色彩。
 4.最能表明设计要点的图片或照片：设计2主视图。
 5.均不涉及设计要点，省略设计1和设计2的后视图、左视图、右视图、俯视图及仰视图。
 6.指定设计1为基本设计。
 7.图形用户界面的用途：用于帮助用户进行棋类学习。
 8.图形用户界面的人机交互方式：设计1和设计2中，在主视图表示的主界面中间底部位置处分别点选“比赛”、“下棋”或“做题”可以使得主界面变化以生成新界面。
 9.本外观设计产品的显示屏幕面板用于手机、平板电脑、笔记本电脑、显示器、台式一体机、智能穿戴眼镜、投影仪、电视机、车载导航仪、机顶盒。</t>
  </si>
  <si>
    <t>带棋类学习图形用户界面的显示屏幕面板</t>
  </si>
  <si>
    <t>WO2023071177A1</t>
  </si>
  <si>
    <t>一种空调器辅助健身控制方法、控制装置及空调器，控制方法包括：实时获取图像信息，在图像信息中含有儿童信息时实时获取儿童体表温度，在收到儿童健身辅助模式开启信号或者确定所述儿童体表温度大于第一预设温度值时，进入儿童健身辅助模式，生成第一提醒指令，所述第一提醒指令用于向空调器绑定的手机发出第一提醒信息。通过图像识别出儿童信息，并在儿童信息体表温度增大时，或者收到用户发送的信号，控制空调器进入儿童健身辅助模式；生成提醒指令，依附于空调器与手机的绑定关系告知监护人，防止儿童单独健身而出现摔倒或肌肉拉伤等事故，以及在出现事故时监护人能够及时进行处理。</t>
  </si>
  <si>
    <t>一种空调器辅助健身控制方法、控制装置及空调器</t>
  </si>
  <si>
    <t>IN202231030284A</t>
  </si>
  <si>
    <t>可穿戴技术通过持续监测人体生理,彻底改变了医疗保健。 它们用于跟踪日常活动、健身和慢性病患者的健康状况。 许多研发工作正在努力创造新颖和可靠的可穿戴设备。 本章讨论用于实时心脏病发作检测、异常心音、血压监测和糖尿病足监测步态分析的可穿戴技术。 本章还将研究如何利用这些原型信号来训练机器学习 (ML) 算法来评估佩戴者的状态。 本章检查硬件设计(传感器选择、表征、信号收集和传输到决策子系统)和 ML 算法设计(特征提取、特征缩减、训练和测试)。 本章将展示使用智能鞋垫构建可穿戴生物医学系统所需的各个阶段,用于糖尿病足监测、实时心脏病发作检测和智能数字听诊器。</t>
  </si>
  <si>
    <t>基于数据科学的机器学习模型,用于通过可穿戴设备进行健康监测的经济应用</t>
  </si>
  <si>
    <t>ZA202205829B</t>
  </si>
  <si>
    <t>本发明提供一种体育场索网结构智能化施工管理方法及装置。 所述方法包括:生成与所述索网结构对应的数字模块,所述数字模块包括BIM模块和对应的有限元模块。 根据BIM模块确定测点,根据有限元模块模拟索网结构施工过程中的安全风险; 从测点获取具有时间序列特征的实时传感数据,实时传感数据反映了索网结构施工过程中的诸多要素; 利用人工智能对实时传感数据进行深度调查和预测,判断是否满足索网结构的施工安全要求。 本发明有利于提高体育场索网结构施工安全,保障施工质量,有效预防施工事故,降低施工成本,提高施工效率。</t>
  </si>
  <si>
    <t>体育场索网结构智能化施工管理方法及装置</t>
  </si>
  <si>
    <t>CN307690238S</t>
  </si>
  <si>
    <t>1.本外观设计产品的名称：带发票收集管理图形用户界面的显示屏幕面板。
 2.本外观设计产品的用途：用于显示图形用户界面。
 3.本外观设计产品的设计要点：在于屏幕中的图形用户界面。
 4.最能表明设计要点的图片或照片：界面变化状态图2。
 5.其他视图无设计要点，省略其他视图。
 6.图形用户界面的用途：界面用于用户发票收集、赠送、管理与展示的用途。
 7.图形用户界面的人机交互方式：主视图显示的图形用户界面为打开程序的老用户新功能引导提示起始界面；界面变化状态图1：点击主视图下方的“下一步”按钮得到界面变化状态图1；界面变化状态图2：点击界面变化状态图1下方的“我知道了”按钮得到界面变化状态图2；界面变化状态图3：在界面变化状态图2中央任意位置向上滑动得到界面变化状态图3；界面变化状态图4：此界面为新用户第1次打开（首次使用）本程序的首页界面变化状态图；界面变化状态图5：点击界面变化状态图2上方的“扫码收票”按钮进入界面变化状态图5；界面变化状态图6：在界面变化状态图5状态下使用外部连接的影像收集设备扫描/拍摄实物发票完成识别后自动进入界面变化状态图6；界面变化状态图7：点击界面变化状态图6中央的“点击查看详情”按钮得到界面变化状态图7；界面变化状态图8：在界面变化状态图7中央任意位置向上滑动得到界面变化状态图8；界面变化状态图9：点击界面变化状态图8最下方的“保存到票夹”按钮弹出界面变化状态图9；界面变化状态图10：点击界面变化状态图2上方的“邮箱收票”按钮进入界面变化状态图10；界面变化状态图11：点击界面变化状态图10中央的“XXX邮箱”按钮进入界面变化状态图11；界面变化状态图12：点击界面变化状态图4左下角的“邮箱收票”按钮进入界面变化状态图12（此界面为新用户第1次使用并还未添加任何邮箱地址的界面变化状态图）；界面变化状态图13：点击界面变化状态图12中央右上方的“普通邮箱”按钮进入界面变化状态图13；界面变化状态图14：点击界面变化状态图13中央的“无法绑定邮箱？”按钮进入界面变化状态图14；界面变化状态图15：点击界面变化状态图10最上方的爱发票智能邮箱右边的“i圆圈”图形按钮进入界面变化状态图15；界面变化状态图16：在界面变化状态图15中央任意位置向上滑动得到界面变化状态图16；界面变化状态图17：点击界面变化状态图2上方的“好友攒票”按钮进入界面变化状态图17；界面变化状态图18：点击界面变化状态图17右上角的“我参与的送票”按钮进入界面变化状态图18；界面变化状态图19：点击界面变化状态图17或18最下方的“创建赞票任务”按钮进入界面变化状态图19；界面变化状态图20：在界面变化状态图19填写/选择完必要信息后点击最下方的“创建攒票”按钮进入界面变化状态图20；界面变化状态图21：点击界面变化状态图17上方的“进行中”白色卡片任意位置进入界面变化状态图21；界面变化状态图22：点击界面变化状态图17下方的“已结束”白色卡片任意位置进入界面变化状态图22；界面变化状态图23：在界面变化状态图21点击右下角的“邀请好友”按钮通过任意第三方聊天交友软件发送给好友后得到界面变化状态图23；界面变化状态图24：在第三方聊天交友软件界面变化状态图23状态下好友通过点击邀请者发送的卡片链接进入界面变化状态图24；界面变化状态图25：点击界面变化状态图24右下角的“参与任务”按钮进入界面变化状态图25；界面变化状态图26：在界面变化状态图25勾选任意1个或多个发票前方“圆圈”图形并点击最下方的“立即参与”按钮弹出界面变化状态图26；界面变化状态图27：点击界面变化状态图26中央的“立即参与”按钮弹出界面变化状态图27；界面变化状态图28：此界面对应为界面变化状态图27参与失败情况的界面变化状态图（即邀请者的攒票任务已过期）；界面变化状态图29：点击界面变化状态图2中央12月标签下的“餐饮”卡片按钮弹出界面变化状态图29；界面变化状态图30：点击界面变化状态图29上方12日标签下的“报销中”浅绿色卡片按钮进入界面变化状态图30；界面变化状态图31：点击界面变化状态图29上方12日标签下的橘黄色卡片按钮进入界面变化状态图31；界面变化状态图32：在界面变化状态图29勾选任意1个或多个发票前方“圆圈”图形并点击右下角的“报销”按钮进入界面变化状态图32；界面变化状态图33：点击界面变化状态图32最下方的“发送”按钮进入界面变化状态图33；界面变化状态图34：在界面变化状态图29勾选任意1个或多个发票前方“圆圈”图形并点击左下角的“移动至”按钮弹出界面变化状态图34；界面变化状态图35：点击界面变化状态图2左上角灰色“X”圆形图形按钮进入界面变化状态图35；界面变化状态图36：点击界面变化状态图35上方的“抬头管理”按钮进入界面变化状态图36；界面变化状态图37：点击界面变化状态图36最下方的“添加抬头”按钮进入界面变化状态图37；界面变化状态图38：在界面变化状态图37填写/选择完必要信息后点击最下方的“立即添加”按钮进入界面变化状态图38；界面变化状态图39：点击界面变化状态图35上方的“意见反馈”按钮进入界面变化状态图39；界面变化状态图40：点击界面变化状态图39下方的“反馈记录”按钮进入界面变化状态图40；界面变化状态图41：点击界面变化状态图上方第2条“反馈记录”卡片进入界面变化状态图41；界面变化状态图42：点击界面变化状态图2上方的“授权导票”按钮进入界面变化状态图42。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9.本外观设计产品的图形用户界面中的灰色“X”涂覆内容属于内容画面，界面变化状态图23“浅红色”半透明遮盖部分为第三方软件的界面不属于本外观设计产品图形用户界面请求保护的外观设计内容。</t>
  </si>
  <si>
    <t>带发票收集管理图形用户界面的显示屏幕面板</t>
  </si>
  <si>
    <t>WO2022251866A1</t>
  </si>
  <si>
    <t>用于向用户提供锻炼和/或物理治疗例程的系统和方法,可选地通过应用一种或多种人工智能或机器学习算法基于用户的生理和/或情绪特征来确定。 本文描述的系统、方法和设备被配置为提供指导和训练,类似于教练或物理治疗师如何通过特定的程序评估、诊断和指导一个人,但没有传统手段带来的成本或不便。</t>
  </si>
  <si>
    <t>利用机器学习生成推荐</t>
  </si>
  <si>
    <t>AU2022100074B4</t>
  </si>
  <si>
    <t>一种方法,包括: 使用指示器指示球和网球网之间的撞击已经发生; 按下手机和平板电脑之一上的按钮以启用 let 检测功能。 指示步骤仅在启动检测功能时执行。 主动控制进攻时钟,以帮助在网球比赛的各个阶段强制执行对球员施加的时间限制,而无需按下手机或平板电脑上的物理或数字按钮。 主动控制进攻时钟的步骤包括使用语音识别、使用语音激活、使用面部姿势或使用手势中的至少一种。 图 9 供发表</t>
  </si>
  <si>
    <t>带计时控制的网球发球检测系统</t>
  </si>
  <si>
    <t>CN115156111A</t>
  </si>
  <si>
    <t>本发明涉及一种基于计算机分析的羽毛球动作记录方法，包括如下步骤：S1、通过羽毛球球员的标准动作建立标准数据库，通过羽毛球球员的常见错误动作建立辅助数据库；S2、通过记录装置的数据采集模块摄像头采集5个角度的羽毛球球员影像，并通过测试数据库将羽毛球球员影像转换为5组图片序列；S3、通过Mobilenet卷积神经网络将5组图片序列与标准数据库和辅助数据库进行对比，得到匹配结果；S4、通过Mobilenet卷积神经网络对匹配结果进行分析，得到动作分析结果。</t>
  </si>
  <si>
    <t>基于计算机分析的羽毛球动作记录方法</t>
  </si>
  <si>
    <t>CN115186121A</t>
  </si>
  <si>
    <t>本申请实施例公开了一种基于宠物鼻纹的比赛信息查询的方法以及相关装置。所述方法包括以下步骤：基于用户的查询请求，获取待查宠物的第一鼻纹图像和第一编号；基于第一编号在预设数据库中找到对应的第二鼻纹图像；将所述第一鼻纹图像与所述第二鼻纹图像进行比对，若判断为同一只宠物的鼻纹，对所述查询请求进行语音识别或者文本识别，得到第一待查询内容；基于所述第一待查询内容，在所述第二鼻纹图像对应的比赛信息中确定出查询结果，并发送查询结果给用户。采用本申请，避免查错宠物比赛信息，提升了查询宠物比赛信息的效率。</t>
  </si>
  <si>
    <t>基于宠物鼻纹的比赛信息查询的方法以及相关装置</t>
  </si>
  <si>
    <t>US11562246B2</t>
  </si>
  <si>
    <t>方法和计算机系统通过在结构上改变基础深度神经网络以创建更新的深度神经网络来改进训练的基础深度神经网络,使得更新的深度神经网络相对于基础深度神经网络在训练数据上没有性能下降 . 更新后的深度神经网络随后进行训练。 此外,用于机器学习系统的异步代理包括第二机器学习系统ML2,其将被训练以执行一些机器学习任务。 异步代理还包括学习教练LC和可选的数据选择器机器学习系统DS。 数据选择机器学习系统 DS 的目的是使第二阶段机器学习系统 ML2 的学习效率更高(通过选择一组较小但足够的训练数据)和/或更有效(通过选择一组 专注于一项重要任务的训练数据)。 学习教练LC是一个辅助学习DS和ML2的机器学习系统。 多个异步代理也可以相互通信,每个代理都在各自学习教练的指导下异步训练和成长,以执行不同的任务。</t>
  </si>
  <si>
    <t>具有学习教练的异步代理和在不降低性能的情况下对深度神经网络进行结构修改</t>
  </si>
  <si>
    <t>CN115063712A</t>
  </si>
  <si>
    <t>本发明公开了一种基于眼动信号纠正的视频对运动员检测的方法及装置，方法包括：1)教练员佩戴眼动仪观察训练视频进行复盘，随机选择感兴趣的视频片段进行暂停观看；教练员对训练视频进行计算机视觉分析处理；2)采用深度卷积神经网络对视觉分析处理后的训练视频进行初始化分析，以此实现多球员检测，在训练视频中判断Bounding box是否完全框选出所关注的球员；如果否，执行步骤3)；3)通过眼动仪采集眼动注意力，获得眼动注意力掩码矩阵，进而优化CNN网络的损失函数；基于优化后的CNN网络重新对球员重新进行检测，使用新的Bounding box框选球员，将获得的球员检测结果用于后续的姿态分析中。装置包括：处理器和存储器。</t>
  </si>
  <si>
    <t>基于眼动信号纠正的视频对运动员检测的方法及装置</t>
  </si>
  <si>
    <t>CN217593712U</t>
  </si>
  <si>
    <t>本实用新型涉及一种基于物联网的体质健康测试装置，属于体质健康测试装置技术领域，包括承重底板，承重底板的底部靠近四角边缘处均旋转连接有万向轮。本实用新型，心率检测手环佩戴在检测者的手腕后即可通过检测主机控制伺服电机启动，使得检测人员能够在跑步机皮带的顶部跑动，检测主机根据检测者的身体基础信息性别、年龄、身高、体重控制伺服电机的转动速度从而控制检测者的跑步速度，检测主机能够通过心率检测手环实时检测跑步中的实时心率，将实时心率的变化数据与同龄健康人的变化数据进行对比即可判定检测者的健康状态，这样根据实际情况进行物联网判定，从而调整检测速度的动态体质健康测试装置能够精确的检测人们的身体状态。</t>
  </si>
  <si>
    <t>一种基于物联网的体质健康测试装置</t>
  </si>
  <si>
    <t>CN307718732S</t>
  </si>
  <si>
    <t>1.本外观设计产品的名称：用于显示屏幕面板的语音录放图形用户界面。
 2.本外观设计产品的用途：本外观设计产品用于运行程序、显示信息和人机交互。
 3.本外观设计产品的设计要点：在于图案。
 4.最能表明设计要点的图片或照片：设计1主视图。
 5.屏幕面板为惯常设计，省略设计1至设计7后视图、仰视图、俯视图、左视图和右视图。
 6.指定设计1为基本设计。
 7.图形用户界面的用途：该图形用户界面用于展示音频信息的录制和播放。
 在设计1主视图中，在语音开始录制时，显示初始的情绪表情；随着语音录制时间的延长，录制结束时显示设计1界面变化状态图，情绪表情发生变化，语音条相应延长，点击“完成”按钮即发布该条语音。
 在设计2主视图中，显示已发布的语音条，包括语音条的情绪表情和语音秒数。
 对于设计3主视图，在点击语音条后会对语音信息进行播放，显示为设计3主视图，播放过程中情绪表情可以随着语音的情绪而变化显示，语音条长度逐渐变短，播放完毕后恢复原来的长度。
 对于设计4主视图，按住语音条拖拽，语音条中的情绪表情中的视线会随着用户的手指移动，会看向用户手指的位置，显示为设计4主视图以及设计4界面变化状态图。
 对于设计5至设计7的主视图，根据语音的内容，语音条会显示附加信息，例如当识别语音中有歌声时，显示为设计5主视图的样式；当识别语音中有生日祝福时，显示为设计6主视图的样式；当识别在圣诞节发布语音，显示为设计7主视图的样式；在设计8主视图中，显示已发布的语音条，点击语音条，显示设计8界面变化状态图，播放过程中情绪表情可以随着语音的情绪而变化显示，语音条长度逐渐变短，播放完毕后恢复原来的长度。
 8.该显示屏幕面板用于手机、笔记本电脑、平板电脑、计算机、车载中控屏幕、智能电视、智能手环、智能眼镜、智能手表、个人数字助理、健身监视器、投影仪。</t>
  </si>
  <si>
    <t>用于显示屏幕面板的语音录放图形用户界面</t>
  </si>
  <si>
    <t>CN115016639A</t>
  </si>
  <si>
    <t>本发明涉及健身技术领域，具体提供了一种基于人机交互的训练信息采集方法及系统，至少采用三个声波发射单元及一个声波接收单元，其中，声波接收单元位于穿戴设备上，所述采集方法包括以下步骤：所述声波发送单元向声波接收单元发送检测声波，同时发送声波发送时的时钟信息；所述声波接收单元接收检测声波并记录声波接收时的时钟信息；基于声波发送时的时钟信息及声波接收时的时钟信息生成穿戴设备的位置信息；基于训练时间内穿戴设备的位置信息生成用户训练动作信息；本发明实施例公开的基于人机交互的训练信息采集方法对于环境要求低，具有采集精度高，轨迹还原度高的优点。</t>
  </si>
  <si>
    <t>一种基于人机交互的训练信息采集方法及系统</t>
  </si>
  <si>
    <t>KR102463985B1</t>
  </si>
  <si>
    <t>本发明将基于物联网(IoT)的网络应用于交通领域,以在发生拥堵时向位于包括一般道路或高速公路在内的驾驶区域的车辆提供交通信息以进行顺畅通信。一种基于物联网的交通监控系统及其使用方法,将空车位引导至位于主要机构、大型商场、活动场地、体育设施等公共停车场的车辆。与交通监控设施、道路信息显示设备和交通包括一般道路和高速公路的驾驶区域(A)一起,识别并同时提供对安装在预定停放车辆中的炸弹等危险物质作出响应的功能。安装信号旗、路灯、交通信号灯中的至少一种; 在驾驶区(A)内行驶的驾驶车辆(AV); 驾驶者终端100,由驾驶驾驶车辆(AV)的驾驶者所拥有,并配备用于告知车辆在驾驶中是否拥堵的驾驶引导应用程序; 公共停车场(B),包括机构、大型购物中心、活动大厅和体育设施; 停泊在公共泊车区(B)的泊车车辆(BV); 安装在行驶区域(A)中设置的各交通监控设施、道路信息显示装置、交通信号灯、路灯和交通信号灯中,检测行驶中的车辆,生成车辆运动信息,生成的车辆移动信息和行驶车辆监控体200进行传输; 基于从行驶车辆监控主体200发送的车辆移动信息,确定是否存在车辆拥堵,以及传输指示确定的拥堵是否存在的交通信息的交通监控服务器300;包括,以及驾驶员终端的驾驶(100)的引导应用程序的特征在于,提供一种控制从交通监控服务器300发送的交通信息通过驾驶员侧信息输出单元输出的系统和使用该系统的方法。</t>
  </si>
  <si>
    <t>基于物联网的交通监控系统及使用该系统的方法</t>
  </si>
  <si>
    <t>CN114979691B</t>
  </si>
  <si>
    <t>本发明公开了一种体育赛事转播权益广告统计分析方法及系统，基于图像识别，解决人工统计工作量巨大、时间成本高的问题，将以往需要在赛事结束一周以上的时间缩短未最快比赛结束3小时内即可得到统计结果，使得电视台根据前次转播的权益广告统计结果进行机位和转播策略调整以优化权益广告的展示效果成为可能。</t>
  </si>
  <si>
    <t>一种体育赛事转播权益广告统计分析方法及系统</t>
  </si>
  <si>
    <t>CN307511579S</t>
  </si>
  <si>
    <t>1.本外观设计产品的名称：带调研系统管理图形用户界面的显示屏幕面板。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6.图形用户界面的用途：界面用于问卷调研创建、考试、查看与管理的用途。
 7.图形用户界面的人机交互方式：主视图显示的图形用户界面为打开程序的起始界面；点击主视图“做调研”标签正下方的“点击进入”按钮进入界面变化状态图1；点击主视图“在线考试”标签正下方的“考试”按钮进入界面变化状态图2。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9.本外观设计产品的图形用户界面中的深灰色涂覆部分属于内容画面。</t>
  </si>
  <si>
    <t>带调研系统管理图形用户界面的显示屏幕面板</t>
  </si>
  <si>
    <t>CN307521947S</t>
  </si>
  <si>
    <t>1.本外观设计产品的名称：带应用开屏展示图形用户界面的显示屏幕面板。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6.图形用户界面的用途：界面用于应用程序开屏提示与展示的用途。
 7.图形用户界面的人机交互方式：主视图显示的图形用户界面为打开程序的首页界面；在主视图任意位置向左滑动进入界面变化状态图1；在界面变化状态图1任意位置向左滑动进入界面变化状态图2；在界面变化状态图2任意位置向左滑动进入界面变化状态图3；在界面变化状态图3任意位置向左滑动进入界面变化状态图4；在界面变化状态图4任意位置向左滑动进入界面变化状态图5。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9.本外观设计产品的图形用户界面中的深灰色涂覆部分属于内容画面。</t>
  </si>
  <si>
    <t>带应用开屏展示图形用户界面的显示屏幕面板</t>
  </si>
  <si>
    <t>CN307532346S</t>
  </si>
  <si>
    <t>1.本外观设计产品的名称：带应用开屏展示图形用户界面的显示屏幕面板。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6.图形用户界面的用途：界面用于应用程序开屏提示与展示的用途。
 7.图形用户界面的人机交互方式：主视图显示的图形用户界面为打开程序的首页界面；在主视图任意位置向左滑动进入界面变化状态图1；在界面变化状态图1任意位置向左滑动进入界面变化状态图2；在界面变化状态图2任意位置向左滑动进入界面变化状态图3。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9.本外观设计产品的图形用户界面中的深灰色涂覆部分属于内容画面。</t>
  </si>
  <si>
    <t>CN307532345S</t>
  </si>
  <si>
    <t>1.本外观设计产品的名称：带问卷后台管理图形用户界面的显示屏幕面板。
 2.本外观设计产品的用途：用于显示图形用户界面。
 3.本外观设计产品的设计要点：在于屏幕中的图形用户界面。
 4.最能表明设计要点的图片或照片：界面变化状态图5。
 5.其他视图无设计要点，省略其他视图。
 6.图形用户界面的用途：界面用于问卷调查的后台收集、展示与管理的用途。
 7.图形用户界面的人机交互方式：主视图显示的图形用户界面为打开程序的登录起始界面；在主视图右方窗口输入任意用户名和密码后并点击“登录”按钮进入界面变化状态图1；点击界面变化状态图1“XX中国设施审计项目”右边的“立即进入”按钮进入界面变化状态图2；点击界面变化状态图2最上方的“经销商规避”按钮进入界面变化状态图3；点击界面变化状态图2最上方的“结果展示”按钮进入界面变化状态图4；点击界面变化状态图2最上方的“访问计划”按钮进入界面变化状态图5；点击界面变化状态图2最上方的“弱项改善”按钮进入界面变化状态图6；点击界面变化状态图5最右侧“操作”下方任意一个“四道杠铅笔”图形按钮进入界面变化状态图7。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9.本外观设计产品的图形用户界面中的灰色“X”涂覆部分属于内容画面。</t>
  </si>
  <si>
    <t>带问卷后台管理图形用户界面的显示屏幕面板</t>
  </si>
  <si>
    <t>WO2023075052A1</t>
  </si>
  <si>
    <t>根据本发明的使用游戏化的基于人工智能的运动指导装置包括拍摄单元,用于通过拍摄进行运动的用户来生成运动图像; 根据运动图像生成表示用户的关节运动的关节运动数据,根据关节运动数据生成表示用户的体力水平的用户体力信息, 相应地,处理器生成用于管理健身的健身指导信息水平;可能包括。</t>
  </si>
  <si>
    <t>基于人工智能的游戏化运动指导装置</t>
  </si>
  <si>
    <t>CN307731623S</t>
  </si>
  <si>
    <t>1.本外观设计产品的名称：带有送餐图形用户界面的显示屏幕面板。
 2.本外观设计产品的用途：用于移动搬运、人机交互、物品配送。
 3.本外观设计产品的设计要点：在于屏幕中图形用户界面的界面内容。
 4.最能表明设计要点的图片或照片：设计1主视图。
 5.指定设计1为基本设计。
 6.图形用户界面的用途：本图形用户界面的设计点在于送餐，其中设计1和设计2展示了单桌送餐的过程，设计3和设计4展示了多桌送餐的过程。
 设计1主视图为选中桌号的界面，点击正常配送按钮，机器人出发开始送餐，如设计1界面变化状态图1所示，到达预设餐桌后，界面跳转至设计1界面变化状态图2，取餐后，点击完成按钮，机器人出发返回出餐口，界面跳转至设计1界面变化状态图3。
 设计2主视图为选中桌号的界面，点击Normal&amp;nbsp;delivery（正常配送）按钮，机器人出发开始送餐，如设计2界面变化状态图1所示，到达预设餐桌后，界面跳转至设计2界面变化状态图2，取餐后，点击Complete（完成）按钮，机器人出发返回出餐口，界面跳转至设计2界面变化状态图3。
 设计3主视图为选中第一个桌号的界面，选中的第一个桌号出现在界面右侧，然后继续选择第二个桌号，如设计3界面变化状态图1所示，第二个选中的桌号出现在界面右侧，然后继续选择第三个桌号，如设计3界面变化状态图2所示，第三个选中的桌号出现在界面右侧，如设计3界面变化状态图3所示，桌号全部选择完毕后，点击正常配送按钮，机器人出发前往第一个桌号送餐，如设计3界面变化状态图4所示，到达第一个餐桌后，界面跳转至设计3界面变化状态图5，取餐后，点击完成按钮，机器人出发前往第二个桌号送餐，如设计3界面变化状态图6所示，到达第二个餐桌后，界面跳转至设计3界面变化状态图7，取餐后，点击完成按钮，机器人出发前往第三个桌号送餐，如设计3界面变化状态图8所示，到达第三个餐桌后，界面跳转至设计3界面变化状态图9，取餐后，点击完成按钮，机器人开始返回出餐口，界面跳转至设计3界面变化状态图10。
 设计4主视图为选中第一个桌号的界面，选中的第一个桌号出现在界面右侧，然后继续选择第二个桌号，如设计4界面变化状态图1所示，第二个选中的桌号出现在界面右侧，然后继续选择第三个桌号，如设计4界面变化状态图2所示，第三个选中的桌号出现在界面右侧，如设计4界面变化状态图3所示，桌号全部选择完毕后，点击Normal&amp;nbsp;delivery（正常配送）按钮，机器人出发前往第一个桌号送餐，如设计4界面变化状态图4所示，到达第一个餐桌后，界面跳转至设计4界面变化状态图5，取餐后，点击Complete（完成）按钮，机器人出发前往第二个桌号送餐，如设计4界面变化状态图6所示，到达第二个餐桌后，界面跳转至设计4界面变化状态图7，取餐后，点击Complete（完成）按钮，机器人出发前往第三个桌号送餐，如设计4界面变化状态图8所示，到达第三个餐桌后，界面跳转至设计4界面变化状态图9，取餐后，点击Complete（完成）按钮，机器人开始返回出餐口，界面跳转至设计4界面变化状态图10。
 7.其他说明：本显示屏幕面板应用于机器人、车辆、计算机、笔记本电脑、平板电脑、手机、智能手表、智能手环、健身监视器、头戴式耳机、个人数字助理（PDA）、智能音箱、电视、机顶盒、投影仪、游戏机或导航仪。</t>
  </si>
  <si>
    <t>带有送餐图形用户界面的显示屏幕面板</t>
  </si>
  <si>
    <t>CN114821445A</t>
  </si>
  <si>
    <t>本发明公开了一种基于帧间检测的多机位体育赛事精彩集锦制作方法及设备，属于体育赛事制作，包括步骤：根据体育赛事的具体场景，由多路摄像机进行现场视频收录，同时构建运动员的个人身份证明信息库，对收录的视频进行实时智能分析，运用帧间检测、人脸采集、号牌采集等手段进行融合推理，从帧间画面差值的方式减小神经网络智能剪辑模型对超高清视频的计算量，通过条带画面分割技术、特定运动员人脸以及号牌识别技术，对运动精彩画面进行判定标注，推导出体育赛事的精彩片段；进而生成体育运动精彩集锦。本发明可以快速精准地剪辑出体育运动精彩集锦，且有效大幅降低神经网络运算量，极大的降低了人工，节约了大量的人力和机器算力。</t>
  </si>
  <si>
    <t>基于帧间检测的多机位体育赛事精彩集锦制作方法及设备</t>
  </si>
  <si>
    <t>CN114800570A</t>
  </si>
  <si>
    <t>本发明属于数字巡检技术领域，具体为一种展厅数字巡检的方法，该展厅数字巡检的方法的具体操作步骤为：步骤一：设计一个机器人，底部安装有轮子，配备感知距离的雷达传感器、红外测温传感器、由多个电机控制的可自由运动的手臂结构、拾音麦克风、扬声器、摄像头，加入室内地图导航、语音识别、语音合成，机器按照固定时间计划执行巡检任务，每次巡检均有记录，详细的日志为日后问题排查提供数据支持，记录每次问题处置方式，以大数据方式管理设备，问题提早发现、出现问题后过程追踪、问题解决后记录归档,以科技力量将智能AI技术应用到展厅，机器人自主维护展厅设备，以技术提升展馆设备使用效率，减轻维护人员负担。</t>
  </si>
  <si>
    <t>一种展厅数字巡检的方法</t>
  </si>
  <si>
    <t>CN114842112A</t>
  </si>
  <si>
    <t>本发明属于图像处理技术领域，且公开了图像文字擦除方法，具体操作步骤如下：S1、利用合成数据集训练图像笔划模型，其中合成数据通过在背景图像上贴上文字生成文字图像；S2、利用未标注的真实场景文字文字图像预训练网络模型。本发明提出了一种利用文字笔划的基于自监督学习的图像文字擦除方法，将图像笔划模型的输出与原始图像合并输入到图像文字擦除模型中，经过迭代式的擦除策略得到最后的擦除结果；此外，考虑到文字擦除与文字检测有较强的相关性，设计一种同时进行文字擦除与文字检测任务的神经网络模型，本发明可以解决现阶段文字擦除方法过度依赖于合成数据、擦除结果不自然以及不能完全擦除文字的问题。</t>
  </si>
  <si>
    <t>图像文字擦除方法</t>
  </si>
  <si>
    <t>CN307511571S</t>
  </si>
  <si>
    <t>1.本外观设计产品的名称：用于显示屏幕面板的状态预览图形用户界面。
 2.本外观设计产品的用途：本外观设计产品用于运行程序、显示信息和人机交互。
 3.本外观设计产品的设计要点：在于图形用户界面。
 4.最能表明设计要点的图片或照片：设计1主视图。
 5.屏幕面板为惯常设计，省略设计1至设计3后视图、仰视图、俯视图、左视图和右视图。
 6.指定设计1为基本设计。
 7.图形用户界面的用途：该图形用户界面用于展示状态预览信息。
 在设计1主视图中，在原音频播放界面的下方显示微信状态分享的卡片，用户可以左右滑动选择分享方式，选中后跳转至相应的分享页面；点击“微信状态”按钮则跳转至设计1界面变化状态图1，为微信状态分享页面，上方显示默认的微信状态预览界面，下方用户可以左右滑动选择不同的模板，选中后上方显示对应的微信状态的预览界面。
 在设计2主视图中，在原音频播放界面的中间显示微信状态分享的卡片，用户可以左右滑动选择分享方式；点击“微信状态”按钮则跳转至设计2界面变化状态图1，其功能与设计1界面变化状态图1相同。
 在设计3主视图的微信状态分享页面中，点击“歌曲歌词”按钮则跳转至设计3界面变化状态图1，上方显示默认的微信状态预览界面，下方显示选择歌词界面；通过上下滑动可以选择歌词，点击“确认”按钮后上方在显示添加对应歌词后的微信状态预览界面。
 8.该显示屏幕面板用于手机、笔记本电脑、平板电脑、计算机、车载中控屏幕、智能电视、智能手环、智能眼镜、智能手表、个人数字助理、健身监视器、投影仪。</t>
  </si>
  <si>
    <t>用于显示屏幕面板的状态预览图形用户界面</t>
  </si>
  <si>
    <t>CN115100111A</t>
  </si>
  <si>
    <t>本发明提供一种基于YOLOv5的智能机器人冰壶检测方法，涉及计算机视觉技术领域。本发明方法，包括如下步骤：获取冰壶比赛现场图像；使用标注软件对所述冰壶比赛现场图像进行标注，得到标注后的图像；将所述图像特征图输入至YOLOv5预测网络进行前背景预测，输出不同采样倍数对应的分类预测分数和回归定位系数；将所述预测分数及边框回归值反向映射至原始图像，并在原始图像上打印，得到检测结果图。本发明针对冰壶机器人比赛的数据特点，设计轻量化的目标检测网络，并克服数据分布单一、拍摄光线较暗等困难，设计了不同的数据增强方式，重新设计损失函数。在满足高识别和定位精度的同时实现了高帧率的检测速度。</t>
  </si>
  <si>
    <t>一种基于YOLOv5的智能机器人冰壶检测方法</t>
  </si>
  <si>
    <t>CN307600582S</t>
  </si>
  <si>
    <t>1.本外观设计产品的名称：用于显示屏幕面板的歌曲录唱图形用户界面。
 2.本外观设计产品的用途：本外观设计产品用于运行程序、显示信息和人机交互。
 3.本外观设计产品的设计要点：在于图形用户界面的界面内容。
 4.最能表明设计要点的图片或照片：主视图。
 5.屏幕面板为惯常设计，省略后视图、仰视图、俯视图、左视图和右视图。
 6.图形用户界面的用途：该图形用户界面用于展示歌曲录唱信息。
 在主视图中，点击搜索歌曲的搜索框跳转至界面变化状态图1；在界面变化状态图1，点击语音输入的图标按钮跳转至界面变化状态图2，显示搜索结果列表，用户通过手势上下滑动查看搜索结果，点击歌曲卡片则跳转至歌曲录唱页面。
 7.该显示屏幕面板用于手机、笔记本电脑、平板电脑、计算机、车载中控屏幕、智能电视、智能手环、智能眼镜、智能手表、个人数字助理、健身监视器、投影仪。</t>
  </si>
  <si>
    <t>用于显示屏幕面板的歌曲录唱图形用户界面</t>
  </si>
  <si>
    <t>CN308220573S</t>
  </si>
  <si>
    <t>1.本外观设计产品的名称：用于显示屏幕面板的歌曲录唱图形用户界面。2.本外观设计产品的用途：本外观设计产品用于运行程序、显示信息和人机交互。3.本外观设计产品的设计要点：在于图形用户界面的界面内容和布局。4.最能表明设计要点的图片或照片：主视图。5.屏幕面板为惯常设计，省略后视图、仰视图、俯视图、左视图和右视图。6.图形用户界面的用途：该图形用户界面用于展示歌曲录唱信息。在主视图中，显示录唱作品列表，用户手势上下滑动查看录唱作品列表，点击录唱作品卡片跳转至界面变化状态图1，并播放录唱作品的音频文件，点击点赞图标按钮后，显示界面变化状态图2，点亮图标完成点赞行为。7.该显示屏幕面板用于手机、笔记本电脑、平板电脑、计算机、车载中控屏幕、智能电视、智能手环、智能眼镜、智能手表、个人数字助理、健身监视器、投影仪。</t>
  </si>
  <si>
    <t>CN308226648S</t>
  </si>
  <si>
    <t>1.本外观设计产品的名称：用于显示屏幕面板的歌曲录唱图形用户界面。
 2.本外观设计产品的用途：本外观设计产品用于运行程序、显示信息和人机交互。
 3.本外观设计产品的设计要点：在于图形用户界面的界面内容和布局。
 4.最能表明设计要点的图片或照片：主视图。
 5.屏幕面板为惯常设计，省略后视图、仰视图、俯视图、左视图和右视图。
 6.图形用户界面的用途：该图形用户界面用于展示歌曲录唱信息。
 在主视图中，点击歌曲卡片跳转至界面变化状态图1，底部显示视频录唱、麦克风录唱以及片段录唱三种模式分别对应的图标按钮，点击麦克风录唱或片段录唱的图标按钮，则跳转至界面变化状态图2，进行歌曲录唱。
 7.该显示屏幕面板用于手机、笔记本电脑、平板电脑、计算机、车载中控屏幕、智能电视、智能手环、智能眼镜、智能手表、个人数字助理、健身监视器、投影仪。</t>
  </si>
  <si>
    <t>CN308270532S</t>
  </si>
  <si>
    <t>1.本外观设计产品的名称：用于显示屏幕面板的歌曲录唱图形用户界面。
 2.本外观设计产品的用途：本外观设计产品用于运行程序、显示信息和人机交互。
 3.本外观设计产品的设计要点：在于图形用户界面的界面内容和布局。
 4.最能表明设计要点的图片或照片：主视图。
 5.屏幕面板为惯常设计，省略后视图、仰视图、俯视图、左视图和右视图。
 6.图形用户界面的用途：该图形用户界面用于展示歌曲录唱信息。
 在主视图中，点击歌曲卡片跳转至界面变化状态图1，底部显示视频录唱、麦克风录唱以及片段录唱三种模式分别对应的图标按钮，点击视频录唱的图标按钮，则跳转至界面变化状态图2，进行视频录制和歌曲录唱。
 7.该显示屏幕面板用于手机、笔记本电脑、平板电脑、计算机、车载中控屏幕、智能电视、智能手环、智能眼镜、智能手表、个人数字助理、健身监视器、投影仪。</t>
  </si>
  <si>
    <t>CN114965923A</t>
  </si>
  <si>
    <t>本发明提供了一种便于清理的在线式水质环境监测装置，加入了浮力装置，除了探针接触水，其他装置大都在水面以上，能有效防止水域内船只、游泳者误触误撞，在太阳能供电系统下加装了储能装置，可以储存未用掉的能源，防止能源浪费，防触底支架的设计即可以保证水质传感器正常接触到水，又可以保证在水位低的时候装置不会触底或者倾倒，水下摄像机密封在摄像机桶内，可以随时观察水下状况，水下驱动装置可以更加便捷的调整装置在水中的位置，根据扩散作用原理，集水孔可以防止淤泥沉沙污染探针而不会对监测的精准度产生影响，信号采集传输控制装置并入物联网，使用者可以随时随地监控水质和装置的状态。</t>
  </si>
  <si>
    <t>一种便于清理的在线式水质环境监测装置</t>
  </si>
  <si>
    <t>CN307645374S</t>
  </si>
  <si>
    <t>1.本外观设计产品的名称：用于显示屏幕面板的设备监控图形用户界面。
 2.本外观设计产品的用途：用于运行程序、信息显示、人机交互。
 3.本外观设计产品的设计要点：在于屏幕中图形用户界面的内容。
 4.最能表明设计要点的图片或照片：主视图。
 5.图形用户界面的用途：本图形用户界面用于对矿井设备进行监测和控制。
 点击界面下方的各操作按钮，可以对设备进行加减速、启停、升降等控制。
 6.该显示屏幕面板应用于车辆、计算机、笔记本电脑、平板电脑、手机、智能手表、智能手环、健身监视器、头戴式耳机、个人数字助理（PDA）、智能音箱、电视、机顶盒、投影仪、游戏机或导航仪。</t>
  </si>
  <si>
    <t>用于显示屏幕面板的设备监控图形用户界面</t>
  </si>
  <si>
    <t>WO2022241311A1</t>
  </si>
  <si>
    <t>本发明提供了一种智能可穿戴物的物联网设备,该设备配置为由主体上的主体佩戴,并且能够连续跟踪和报告用户的多种生命体征和体育活动,包括但不限于由于声音和振动动力学,呼吸和咳嗽(我们可以从中得出呼吸和咳嗽类型和特征),体温,外周氧饱和度(SPO2),心率以及与疲劳相关的迁移率,身体能力,步骤计数,Photopl Ethy Smogrim(PPG),Smogram Smogram(PPG),Smogram(PPG),Smogrim(PPG)心电图,心率,心率变异性等。在一个方面,可穿戴系统将能够通过传输和接收蓝牙低能信号或wifi来测量不同用户的距离,以追踪不同佩戴者之间的接触。该系统将能够在SD卡上局部记录数据,并能够上传在服务器上。</t>
  </si>
  <si>
    <t>用于健康追踪、接触者追踪和健康恶化预测的智能可穿戴物联网设备</t>
  </si>
  <si>
    <t>KR1020230015272A</t>
  </si>
  <si>
    <t>公开了一种利用人工智能的无人信息终端、订单管理服务器及提供订单信息的方法。 根据本发明实施例的订单管理服务器包括网络通信接口,用于与包括无人信息终端和内容服务服务器的外部设备发送信息和从外部设备接收信息; 大数据包括包括生物特征图像和匹配生物特征信息(包括性别、年龄和身高)的多个用户信息、关于多个无人信息终端的信息、多个用户偏好信息和内容信息中的至少一个的大数据数据收集单元去收集; 第一种方法,通过根据预设条件对大数据进行包括模式识别、分类和关联链接的学习处理,识别用户的接近、用户的生物特征、用户的视线和用户的动作中的至少一个。生成人工神经网络模型和第二人工神经网络模型的单元,用于识别每个用户的偏好内容; 控制器用于控制包括向无人信息终端提供第一人工神经网络模型和第二人工神经网络模型的整体操作。</t>
  </si>
  <si>
    <t>使用人工智能的无人信息终端、订单管理服务器和订单信息提供方法</t>
  </si>
  <si>
    <t>IN202221027256A</t>
  </si>
  <si>
    <t>本公开涉及基于物联网,其中机器人使用引导传感器进行航路导航,并与遥测设备耦合以实现可视化。 当前设计中的设备群在云中的 IoT 环境中耦合,并通过在特定区域启用的公共 Wifi 连接。 机器人本质上是动态的,它的手臂可以横向和纵向伸展。 机器人由机载网络浏览器和高速互联网控制。 该机器人能够跟踪、吸收位置数据,并且可以映射家中最近的设备以找到其未知位置。 机器人主要使用双向无线电网络来计算未知区域,已知地形图有助于移动。 与普通晶体管连接的双向无线电波系统能够发射和接收信号。 位置传感器是精确的,传感器与陀螺仪和健身球单元相结合,可帮助机器人保持横向视角的方向稳定性。 机器人的主板装有各种传感器和电气连接,并有一个 TB 特定的存储单元。 该机器人主要由人类控制,基于机器人的应用程序控制与机器人界面相连。 机器人可以通过应用程序中的远程应用程序或与驱动单元并联连接的设备停止。 机器人配备 360 度旋转仿生眼,捕捉图像并发送到传输单元。 在机器人的主板和用户的计算机上都有耦合的存储单元。 该设备可以显示特定的尺寸限制。</t>
  </si>
  <si>
    <t>用于映射无线通信信号以通过物联网(IOT)引导移动机器人的方法、系统和设备</t>
  </si>
  <si>
    <t>CN114630142B</t>
  </si>
  <si>
    <t>本申请公开了一种大型运动会转播信号调度方法和播出制作系统，涉及图像信号通信转播技术领域，首先获取若干条线路的实时转播信号；利用AI技术进行打标，生成视频帧标签；根据视频帧标签判断此时是赛时状态或非赛时状态，确定备选直播脚本；随后构建评估适用性矩阵及对应的标签参照集；根据输入的视频帧标签，基于比赛知识图谱对照标签参照集，获得评估适用性矩阵的融合矩阵；最后对备选直播脚本进行适用度评估，选取实时直播脚本进行直播。本申请实现了转播信号调度考量因素的多维度和面向不同媒介、观众群体的差异化，提升了转播信号调度的客观性和多样性，增强了对观众反馈的实时互动，并扩展了体育赛事直播的数字媒体形态。</t>
  </si>
  <si>
    <t>一种大型运动会转播信号调度方法和播出制作系统</t>
  </si>
  <si>
    <t>US11568617B2</t>
  </si>
  <si>
    <t>描述了用于在虚拟环境中为全身虚拟现实 (VR) 应用构建用户的三维 (3D) 模型的方法和系统。 该方法包括接收使用RGB相机捕获的用户的图像; 使用第一训练的神经网络检测与用户关联的身体边界框; 基于身体边界框确定用户的分割图; 从分割图中确定用户的二维(2D)轮廓; 通过挤压2D轮廓形成3D挤压模型; 通过对 3D 挤压模型应用几何变换,在虚拟环境中构建用户的 3D 模型。 全身 VR 的应用包括体育训练和健身课程、游戏、计算设备的控制、数据的处理和显示、带有 VR 的交互式社交媒体等。</t>
  </si>
  <si>
    <t>利用来自单个相机的计算机视觉和相关系统和方法的全身虚拟现实</t>
  </si>
  <si>
    <t>CN114770490B</t>
  </si>
  <si>
    <t>本发明公开了基于跨模态触觉传感器与气泡驱动器的软体操作臂，包括跨模态触觉传感器、软体气动手指、方形固定板、三角形支撑板和气泡驱动器。本发明具有安全的人机交互性与无限自由度，提高了机械臂的运动能力；同时搭载具有跨膜态触觉感知的软体气动手指，不仅能实现自适应抓取，同时可利用跨膜态触觉传感器，实现多功能感知，感知软体机械手是否接触物体；感知软体气动手指是否成功抓取物体，且在执行抓取物品及搬运过程中，对物体抓取的稳定性进行实时监测；可感知抓取过程中的接触力，并可精确控制输出的抓取力，从而实现对物体的安全抓取。</t>
  </si>
  <si>
    <t>基于跨模态触觉传感器与气泡驱动器的软体操作臂</t>
  </si>
  <si>
    <t>CN114783064A</t>
  </si>
  <si>
    <t>本发明公开了基于IMU和线性判别分析的广播体操动作识别系统及方法，涉及人工智能技术领域；通过布置在人体上的IMU捕捉得到人体动作指定部位加速度角速度变化，并将加速度角速度数据利用线性判别分析算法(lineardiscriminantanalysis，LDA)实现动作的识别，在保证便携性的情况下低成本的实现对广播体操运动的识别。所述系统只需在手臂佩戴，就可以实现对广播体操运动的识别，极大提高了便携性。使用线性判别分析算法的动作识别算法提高了对广播体操运动的识别准确率，具有极高的识别准确率，且易于操作、自动化程度高。</t>
  </si>
  <si>
    <t>基于IMU和线性判别分析的广播体操动作识别系统及方法</t>
  </si>
  <si>
    <t>CN115035689A</t>
  </si>
  <si>
    <t>本发明公开了一种基于图像识别技术的泳池防溺水预警装置，包括巡航导轨、电动滑座、清洁组件、监控摄像头、人工智能防溺水预警系统本体、防水雾组件、调节组件、预警架、显示屏和除雾组件，所述巡航导轨的一端中央固定安装有电动滑座，所述电动滑座的两侧端面顶部和底部均固定安装有清洁组件，且清洁组件与巡航导轨连接，所述电动滑座的一端中央设置有调节组件，且调节组件的顶部上方安装有监控摄像头；该泳池防溺水预警装置，结构简单，体积小巧；在使用时，能够具有较大的巡航范围，从而能够提高对游泳池的不同位置进行监测预警；同时，能够将预警设备的表面水雾和杂质进行清洁，从而避免水雾影响监测预警的效果。</t>
  </si>
  <si>
    <t>一种基于图像识别技术的泳池防溺水预警装置</t>
  </si>
  <si>
    <t>CN307632185S</t>
  </si>
  <si>
    <t>1.本外观设计产品的名称：用于显示屏幕面板的答题图形用户界面。
 2.本外观设计产品的用途：本外观设计产品用于运行程序、显示信息和人机交互。
 3.本外观设计产品的设计要点：在于图形用户界面的界面内容和布局。
 4.最能表明设计要点的图片或照片：设计1主视图。
 5.屏幕面板为惯常设计，省略设计1至设计6后视图、仰视图、俯视图、左视图和右视图。
 6.指定设计1为基本设计。
 7.图形用户界面的用途：该图形用户界面用于展示答题信息和提示信息。
 在设计1主视图中，图形用户界面包括答题区和信息提示区，答题区位于界面左侧，用户可以在该答题区上下滑动，信息提示区位于界面右侧，将提示消息动态纵向滚动显示。
 在设计2主视图中，答题区位于界面右侧，信息提示区位于界面左侧。
 在设计3主视图中，答题区位于界面中间，信息提示区位于界面左右两侧。
 在设计4主视图中，答题区位于界面下侧，用户可以在该答题区左右滑动，信息提示区位于界面上侧，将提示消息动态横向滚动显示。
 在设计5主视图中，答题区位于界面上侧，信息提示区位于界面下侧。
 在设计6主视图中，答题区位于界面中间，信息提示区位于界面上下两侧。
 8.该显示屏幕面板用于手机、笔记本电脑、平板电脑、计算机、车载中控屏幕、智能电视、智能手环、智能眼镜、智能手表、个人数字助理、健身监视器、投影仪。</t>
  </si>
  <si>
    <t>用于显示屏幕面板的答题图形用户界面</t>
  </si>
  <si>
    <t>WO2022240829A1</t>
  </si>
  <si>
    <t>示例系统、设备、媒体和方法被描述为在增强现实中使用眼镜设备的显示器来呈现虚拟指导健身体验。 引导健身应用程序使用惯性测量单元 (IMU) 和来自一个或多个摄像头的视频数据来实现和控制运动数据帧的捕获。 该方法包括检测锻炼动作(有或没有设备)以及检测和计算重复次数。 检索有关检测到的运动或设备的相关数据,并将其用于策划有指导的健身体验。 显示屏上显示当前的代表计数以及用于播放消息、执行动画演示、使用语音识别响应命令和查询以及通过文本、音频和视频呈现指导健身说明的头像。</t>
  </si>
  <si>
    <t>用于增强现实体验的虚拟指导健身程序</t>
  </si>
  <si>
    <t>IN202221026834A</t>
  </si>
  <si>
    <t>本公开涉及基于物联网,其中机器人使用引导传感器进行航路导航,并与遥测设备耦合以实现可视化。 当前设计中的设备群在云中的 IoT 环境中耦合,并通过在特定区域启用的公共 Wifi 连接。 机器人本质上是动态的,它的手臂可以横向和纵向伸展。 机器人由机载网络浏览器和高速互联网控制。 该机器人能够跟踪、吸收位置数据,并且可以映射家中最近的设备以找到其未知位置。 机器人主要使用双向无线电网络来计算未知区域,已知地形图有助于移动。 与普通晶体管连接的双向无线电波系统能够发射和接收信号。 位置传感器是精确的,传感器与陀螺仪和健身球单元相结合,可帮助机器人在横向视角下保持方向稳定性。 机器人的主板装有各种传感器和电气连接,并有一个 TB 特定的存储单元。 该机器人主要由人类控制,基于机器人的应用程序控制与机器人界面相连。 机器人可以通过应用程序中的远程应用程序或与驱动单元并联的设备停止。机器人配备了 360 度旋转仿生眼,它捕获图像并发送到传输单元。 在机器人的主板和用户的计算机上都有耦合的存储单元。 该设备最多可以显示特定的尺寸限制。</t>
  </si>
  <si>
    <t>用于映射无线通信信号以通过物联网 (IOT) 引导移动机器人的方法、系统和设备</t>
  </si>
  <si>
    <t>US11715040B1</t>
  </si>
  <si>
    <t>分布式机器学习系统和其他分布式计算系统通过在网络交换机级别嵌入计算逻辑来改进,以对系统节点处理的梯度或其他数据执行集体操作,例如归约操作。 交换机被配置为识别携带与需要由分布式系统执行的集体动作相关联的数据的数据单元(本文中称为“计算数据”),并且使用交换机内的计算子系统来处理该数据。 计算子系统包括计算引擎,其被配置为对计算数据执行各种操作,例如“归约”操作,并将结果转发回计算节点。 归约运算可以包括例如求和、求平均、按位运算等等。 以这种方式,网络交换机可以在集合阶段接管分布式系统的部分或全部处理。</t>
  </si>
  <si>
    <t>具有集成梯度聚合的网络交换机,用于分布式机器学习</t>
  </si>
  <si>
    <t>CN114712781A</t>
  </si>
  <si>
    <t>本发明公开了基于人工智能的带跑步训练功能的综合体育训练器械，具体涉及体育训练技术领域，包括两组呈垂直设置的竖板与横板，每组的竖板与横板连接处均设置有角度调节机构一，两个所述竖板之间设置有升降调节机构，两个所述横板之间设置有跑步机构，且两个横板远离对应位置竖板的一端之间设置有安装组件，所述跑步机构远离安装组件的一端设置有角度调节机构二，所述升降调节机构面向跑步机构的一侧设置有抓握机构。本发明通过将进行跑步训练的跑步机构、进行臂力训练和压腿训练的升降调节机构以及进行抓握力训练的抓握机构巧妙地进行组合，实现一机多用，有利于全面的提高喜欢居家进行体能训练的训练者体能。</t>
  </si>
  <si>
    <t>基于人工智能的带跑步训练功能的综合体育训练器械</t>
  </si>
  <si>
    <t>CN307615733S</t>
  </si>
  <si>
    <t>1.本外观设计产品的名称：带员工档案查看图形用户界面的显示屏幕面板。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6.图形用户界面的用途：界面用于员工档案信息查询、查看与展示的用途。
 7.图形用户界面的人机交互方式：主视图显示的图形用户界面为打开程序的起始界面；界面变化状态图1：在主视图中央任意位置向上滑动得到界面变化状态图1；界面变化状态图2：在界面变化状态图1中央任意位置向上滑动得到界面变化状态图2；界面变化状态图3：在界面变化状态图2中央任意位置向上滑动得到界面变化状态图3；界面变化状态图4：在界面变化状态图3中央任意位置向上滑动得到界面变化状态图4；界面变化状态图5：在界面变化状态图4中央任意位置向上滑动得到界面变化状态图5；界面变化状态图6：在界面变化状态图5中央任意位置向上滑动得到界面变化状态图6。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</si>
  <si>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带员工档案查看图形用户界面的显示屏幕面板</t>
  </si>
  <si>
    <t>CN307623956S</t>
  </si>
  <si>
    <t>1.本外观设计产品的名称：带人事后台管理图形用户界面的显示屏幕面板。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6.图形用户界面的用途：界面用于人事后台员工招聘、管理、信息记录与展示的用途。
 7.图形用户界面的人机交互方式：主视图显示的图形用户界面为打开程序的起始界面；界面变化状态图1：点击主视图左上角的“导航”按钮弹出界面变化状态图1；界面变化状态图2：点击界面变化状态图1中央的“候选人”标签按钮进入界面变化状态图2。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9.本外观设计产品的图形用户界面中的灰色“X”涂覆内容属于内容画面。</t>
  </si>
  <si>
    <t>带人事后台管理图形用户界面的显示屏幕面板</t>
  </si>
  <si>
    <t>CN217908773U</t>
  </si>
  <si>
    <t>本实用新型公开了一种运动健身用具备语音急停功能的动感场景式跑步机，包括机座，机座顶部的左侧固定连接有机架，机架的顶部固定连接有操作面板，机架右侧的顶部固定连接有扶手，操作面板的内腔设置有电路板，电路板的表面集成有处理器、语音识别模块和马达启停模块。本实用新型通过机座、机架、操作面板、扶手、电路板、处理器、语音识别模块、马达启停模块、麦克风、调节盒、双轴电机、丝杠、滑套、滑轮、竖板、移动板、斜块、滚轮和弹簧的配合使用，具备语音急停功能和方便移动的优点，能够有效的解决现有的运动健身用动感场景式跑步机，不具备语音急停的功能，同时移动不便，因此无法满足使用需求的问题。</t>
  </si>
  <si>
    <t>一种运动健身用具备语音急停功能的动感场景式跑步机</t>
  </si>
  <si>
    <t>CN114882591A</t>
  </si>
  <si>
    <t>本发明涉及支付系统技术领域，具体涉及一种基于深度学习的羽毛球比赛动作分析系统；包括视角提取单元、定位单元、击球定位单元和动作识别单元；本发明提供了视角提取单元通过网络资源收集羽毛球比赛视频，羽毛球视频片段提取基础上制作元视频数据集，通过定位单元对球员的动作定位和动作识别研究，击球定位单元对羽毛球动作定位通过执拍手臂挥动幅度判别的方法，通过动作识别单元对球员击球动作结合羽毛球动作定位程序和识别程序，从而达到使击球动作的识别更具有实际意义，增强视频裁剪的自动化，需要事先对羽毛球视频进行精彩片段提取，并对片段中球员击球动作进行时域定位，实现羽毛球动作元视频的提取，增强羽毛球动作识别的端到端性能。</t>
  </si>
  <si>
    <t>一种基于深度学习的羽毛球比赛动作分析系统</t>
  </si>
  <si>
    <t>CN114898260A</t>
  </si>
  <si>
    <t>本发明提出一种基于机器学习的网球动作评分方法及系统，属于动作评分领域。包括有智能终端、服务器端、数据库端三部分。智能终端用于收集用户网球动作相关数据并进行初步特征工程，然后通过网络协议将处理后的数据上传至数据库端；数据库负责存储用户相关数据以及服务器产生的过程性数据；服务器端从数据库端中提取网球动作特征数据，并基于Openpos和信息增益对数据进行进一步的清洗、筛选和聚合，然后利用LightGBM对用户网球动作规范进行评估，最后给出具体评分。经多次实验证明，本发明在评分准确率、模型推理速度、复杂场景适应能力都有着良好表现。</t>
  </si>
  <si>
    <t>一种基于机器学习的网球动作评分方法及系统</t>
  </si>
  <si>
    <t>CN307570002S</t>
  </si>
  <si>
    <t>1.本外观设计产品的名称：带车牌键盘输入图形用户界面的显示屏幕面板。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6.图形用户界面的用途：界面用于根据自定义键盘来为车牌号码选取相应的信息，方便用户快速完成车牌号码的输入。
 7.图形用户界面的人机交互方式：主视图显示的图形用户界面为打开程序的起始界面；界面变化状态图1：点击主视图上方的“请输入车牌号”处弹出界面变化状态图1，该界面用于输入燃油车车牌号码第1位信息的界面，该界面车牌号码共7位，在该界面可以根据自定义键盘来直接选取对应的车牌号码信息，自定义键盘上为满足车牌号码第1位要求的全部可选信息（即省级中文简称信息）；界面变化状态图2：点击界面变化状态图1下方的“粤”字按钮得到界面变化状态图2，该界面用于输入燃油车车牌号码第2位信息的界面，该界面车牌号码共7位，在该界面可以根据自定义键盘来直接选取对应的车牌号码信息，自定义键盘上为满足车牌号码第2位要求的全部可选信息（即英文字母信息）；界面变化状态图3：点击界面变化状态图2下方的“Z”字按钮得到界面变化状态图3，该界面用于输入燃油车车牌号码第3位至第6位信息的界面，该界面车牌号码共7位，在该界面可以根据自定义键盘来直接选取对应的车牌号码信息，自定义键盘上为满足车牌号码第3位至第6位要求的全部可选信息（即英文字母和数字），进入该界面时，光标处在第3位，完成第3位信息的选取后，光标会移动到第4位，以此类推；界面变化状态图4：在界面变化状态图3分别点击下方的“M；0；5；5；港”字按钮最终得到界面变化状态图4，该界面用于输入燃油车车牌号码第7位信息的界面，该界面车牌号码共7位，在该界面可以根据自定义键盘来直接选取对应的车牌号码信息，自定义键盘上为满足车牌号码第7位要求的全部可选信息（即英文字母、数字和特定中文信息）；界面变化状态图5：点击界面变化状态图4右下角的“完成”按钮得到界面变化状态图5，该界面为燃油车型车牌号码输入完成的界面；界面变化状态图6：点击界面变化状态图1中央右方的“切换为新能源”按钮得到界面变化状态图6，该界面用于输入新能源车车牌号码第1位信息的界面，该界面车牌号码共8位，在该界面可以根据自定义键盘来直接选取对应的车牌号码信息，自定义键盘上为满足车牌号码第1位要求的全部可选信息（即省级中文简称信息）；界面变化状态图7：点击界面变化状态图6下方的“粤”字按钮得到界面变化状态图7，该界面用于输入新能源车车牌号码第2位信息的界面，该界面车牌号码共8位，在该界面可以根据自定义键盘来直接选取对应的车牌号码信息，自定义键盘上为满足车牌号码第2位要求的全部可选信息（即英文字母信息）；界面变化状态图8：点击界面变化状态图7下方的“Z”字按钮得到界面变化状态图8，该界面用于输入新能源车车牌号码第3位至第6位信息的界面，该界面车牌号码共8位，在该界面可以根据自定义键盘来直接选取对应的车牌号码信息，自定义键盘上为满足车牌号码第3位至第6位要求的全部可选信息（即英文字母和数字信息）；进入该界面时，光标处在第3位，完成第3位信息的选取后，光标会移动到第4位，以此类推；界面变化状态图9：在界面变化状态图8分别点击下方的“M；0；5；5；8；港”字按钮最终得到界面变化状态图9，该界面用于输入新能源车车牌号码第7位至第8位信息的界面，该界面车牌号码共8位，在该界面可以根据自定义键盘来直接选取对应的车牌号码信息，自定义键盘上为满足车牌号码第7位至第8位要求的全部可选信息（即英文字母、数字和特定中文信息）；界面变化状态图10：点击界面变化状态图9右下角的“完成”按钮得到界面变化状态图10，该界面为新能源车型车牌号码输入完成的界面。
 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本外观图形用户界面中最终显示的车牌号码为随机输入的演示号码，并非任何单位组织或个人的车牌号码。</t>
  </si>
  <si>
    <t>带车牌键盘输入图形用户界面的显示屏幕面板</t>
  </si>
  <si>
    <t>CN217591159U</t>
  </si>
  <si>
    <t>本实用新型公开了一种灯光智能控制的墙体操控面板，包括智能操控面板和灯光主控器，灯光主控器安装在智能操控面板内部，所述智能操控面板后方设置有墙体安装腔，所述智能操控面板外侧活动安装有墙体外壳，所述灯光主控器上电性连接有电子内屏，所述电子内屏两侧电性安装有语音识别模块，所述语音识别模块通过语音信号连接有模式选择模块，所述模式选择模块信号控制端电性连接至所述灯光主控器，所述灯光主控器输入端通过无线通信模块连接有信号采集模块，所述灯光主控器信号输入端设置有计时单元，本实用新型安装在墙体上，具备智能化多功能性，且美观实用，实现装置的一体集成性，不但减少空间的浪费，且控制便捷，减少成本开发。</t>
  </si>
  <si>
    <t>一种灯光智能控制的墙体操控面板</t>
  </si>
  <si>
    <t>CN307732416S</t>
  </si>
  <si>
    <t>1.本外观设计产品的名称：智能体育训练机。
 2.本外观设计产品的用途：本外观设计产品用于人机交互的体育项目训练设备。
 3.本外观设计产品的设计要点：在于产品的形状、图案及其结合。
 4.最能表明设计要点的图片或照片：主视图。</t>
  </si>
  <si>
    <t>智能体育训练机</t>
  </si>
  <si>
    <t>US20220355179A1</t>
  </si>
  <si>
    <t>健身机可以包括传感器以检测靠近健身机和/或向健身机移动的物体。 例如,跑步机或与跑步机相关联的控制系统可以确定物体正在朝着或已经接近跑步机的平台(例如,跑步机平台的前部区域、中间区域或后部区域)移动。 跑步机)并响应于确定或检测到的物体或物体运动修改跑步机的操作。 跑步机可以在确定物体在跑步机附近时利用各种检测机制,例如飞行时间 (ToF) 传感器或摄像头、毫米波 (mmWave) 传感器、计算机视觉 (CV) 技术等 , 以检测物体的接近度(或物体的移动)。</t>
  </si>
  <si>
    <t>检测跑步机附近的物体</t>
  </si>
  <si>
    <t>CN307661081S</t>
  </si>
  <si>
    <t>1.本外观设计产品的名称：带有体育运动交互图形用户界面的显示屏幕面板（菜单）。
 2.本外观设计产品的用途：本外观设计产品用于显示信息、运行程序，该显示屏幕面板用于手机、电脑、平板电脑、LED显示屏、智能交互平板或投影仪。
 3.本外观设计产品的设计要点：在于图形用户界面显示的内容，显示屏幕面板为惯常设计。
 4.最能表明设计要点的图片或照片：主视图。
 5.其他视图无设计要点，省略后视图、左视图、右视图、仰视图、俯视图。
 6.图形用户界面的用途：本外观设计产品用于体育运动类交互体验。
 7.图形用户界面的人机交互方式：碰触主视图任意位置以进入界面变化状态图1，点击界面变化状态图1右上角对应的选项，以相应进入界面变化状态图2以及界面变化状态图3。</t>
  </si>
  <si>
    <t>带有体育运动交互图形用户界面的显示屏幕面板（菜单）</t>
  </si>
  <si>
    <t>CN307661079S</t>
  </si>
  <si>
    <t>1.本外观设计产品的名称：带有体育运动交互图形用户界面的显示屏幕面板（百折不挠）。
 2.本外观设计产品的用途：本外观设计产品用于显示信息、运行程序，该显示屏幕面板用于手机、电脑、平板电脑、LED显示屏、智能交互平板或投影仪。
 3.本外观设计产品的设计要点：在于图形用户界面显示的内容，显示屏幕面板为惯常设计，界面中的“文字内容”以及“数字”仅用于指明内容区域，文字本身并非本外观设计的保护内容。
 4.最能表明设计要点的图片或照片：主视图。
 5.其他视图无设计要点，省略后视图、左视图、右视图、俯视图、后视图。
 6.图形用户界面的用途：本外观设计产品用于体育运动类交互体验。
 7.图形用户界面的人机交互方式：当运动开始后，主视图变化，以相应进入界面变化状态图1、界面变化状态图2和界面变化状态图3，触及赛道终点位置，指示箭头调转方向以进入界面变化状态图4，指示箭头朝向脚印位置方向变化以进入界面变化状态5。</t>
  </si>
  <si>
    <t>带有体育运动交互图形用户界面的显示屏幕面板（百折不挠）</t>
  </si>
  <si>
    <t>CN307661080S</t>
  </si>
  <si>
    <t>1.本外观设计产品的名称：带有体育运动交互图形用户界面的显示屏幕面板（捷足先登）。
 2.本外观设计产品的用途：本外观设计产品用于显示信息、运行程序，该显示屏幕面板为手机、电脑、平板电脑、LED显示屏、智能交互平板或投影仪。
 3.本外观设计产品的设计要点：在于图形用户界面显示的内容，显示屏幕面板为惯常设计，界面中的“文字内容”以及“数字”仅用于指明内容区域，文字本身并非本外观设计的保护内容。
 4.最能表明设计要点的图片或照片：主视图。
 5.其他视图无设计要求，省略后视图、左视图、右视图、俯视图、仰视图。
 6.图形用户界面的用途：本外观设计产品用于体育运动类交互体验。
 7.图形用户界面的人机交互方式：点击主视图半透明图标将点亮图标以进入界面变化状态图1，待所有图标点亮后进入界面变化状态图2，点击界面变化状态图2中的圆点以变化至界面变化状态图3,单一单元运动结束后变化至界面变化状态图4，所有单元运动结束后变化至界面变化状态图5。</t>
  </si>
  <si>
    <t>带有体育运动交互图形用户界面的显示屏幕面板（捷足先登）</t>
  </si>
  <si>
    <t>CN308034761S</t>
  </si>
  <si>
    <t>1.本外观设计产品的名称：带有体育运动交互图形用户界面的显示屏幕面板（平衡砖家）。2.本外观设计产品的用途：本外观设计产品用于显示信息、运行程序，该显示屏幕面板为手机、电脑、平板电脑。3.本外观设计产品的设计要点：在于图形用户界面显示的内容。4.最能表明设计要点的图片或照片：主视图。5.其他视图无设计要点，省略左视图、右视图、后视图、俯视图、仰视图。6.图形用户界面的用途：本外观设计产品用于体育运动类交互体验。7.图形用户界面的人机交互方式：主视图出现提示框，按触主视图中提示框内以进入界面变化状态图1，即将抵达赛道尽头时，出现中部提示框以进入界面变化状态图2，再按触中部提示框内以进入界面变化状态图3，计时器消失，出现深蹲训练提示点，触及深蹲训练提示点以进入界面变化状态图4，一组训练结束后，以进入界面变化状态图5，全部训练结束后，以进入界面变化状态图6，计时器出现。</t>
  </si>
  <si>
    <t>带有体育运动交互图形用户界面的显示屏幕面板（平衡砖家）</t>
  </si>
  <si>
    <t>CO20220005871A1</t>
  </si>
  <si>
    <t>本发明从基于人工视觉的应用中揭示了一种虚拟辅助决策的方法,用于专业国际象棋锦标赛和比赛中的比赛视频仲裁。 在另一个目的中,本发明从基于对抗性生成神经网络卷积类型的应用中揭示了执行虚拟辅助方法以用于与锦标赛和专业国际象棋比赛中的比赛仲裁有关的决策的平台。 本发明的方法基于神经网络模型,用于通过卷积对抗生成网络 (cGAN) 分割棋盘及其棋子,该网络已使用通过图像捕获获得图像而创建的数据集进行训练设备。 该网络是通过两个基本过程实现的,即通过跳连接(UNet)耦合的“卷积”和“反卷积”。 除此之外,网络还有一个鉴别器,它允许将生成器获得的结果与预期结果进行比较,从而实现对每个像素的智能分割。</t>
  </si>
  <si>
    <t>专业国际象棋比赛比赛视频仲裁虚拟辅助平台及方法</t>
  </si>
  <si>
    <t>WO2022235548A1</t>
  </si>
  <si>
    <t>一个引擎,它既计算“基本赔率”(通过使用历史数据库挖掘计算),又计算至少一个赔率制定公式,以计算现场赛事中单场比赛的至少一个结果的赔率,跨越至少两个不同的赔率制定公式 创造交叉赔率。 实施例可以利用A1将交叉赔率与其中计算赔率的类似历史比赛的最终赔率相关联,并且在知道比赛结果之后使用机器学习将每个赔率制定公式产生的赔率与根据先前类似计算的最有利可图赔率相关联 戏剧。 该系统可以使用基本计算机系统与 AI 能力计算机的混合,并连接到量子能力计算机,以帮助计算基本计算机可以确定何时以及多少调用 AI 能力、量子能力和组合的 AI 能力的几率。 能力。</t>
  </si>
  <si>
    <t>量子体育博彩算法引擎</t>
  </si>
  <si>
    <t>CN307554920S</t>
  </si>
  <si>
    <t>1.本外观设计产品的名称：带游泳功能图形用户界面的电话手表。
 2.本外观设计产品的用途：本外观设计产品用于通话、实时定位、微聊、运动健康及社交。
 3.本外观设计产品的设计要点：在于产品屏幕中的图形用户界面的内容，电话手表为现有设计。
 4.最能表明设计要点的图片或照片：主视界面放大图。
 5.本外观设计的后视图、左视图、右视图、俯视图、仰视图为惯常设计，省略后视图、左视图、右视图、俯视图、仰视图。
 6.图形用户界面的用途：产品的图形用户界面用于引导用户使用游泳功能。
 7.图形用户界面的人机交互方式：主视界面放大图示出游泳初始界面，用户点击游泳按钮，启动游泳功能，界面由主视界面放大图切换至界面变化状态图1，进入开始游泳界面，点开始按钮，开始游泳运动，界面由界面变化状态图1切换至界面变化状态图2，进入游泳动态界面，并在该界面实时展示用户的游泳运动相关参数。
 完成游泳运动，界面由界面变化状态图2切换至界面变化状态图3，进入游泳结束界面，展示用户此次游泳运动的统计数据。</t>
  </si>
  <si>
    <t>带游泳功能图形用户界面的电话手表</t>
  </si>
  <si>
    <t>CN307678483S</t>
  </si>
  <si>
    <t>1.本外观设计产品的名称：带轨迹创意跑图形用户界面的电话手表。
 2.本外观设计产品的用途：本外观设计产品用于通话、实时定位、微聊、拍摄、社交运动及交友。
 3.本外观设计产品的设计要点：在于产品屏幕中的图形用户界面的内容，电话手表为现有设计。
 4.最能表明设计要点的图片或照片：主视界面放大图。
 5.本外观设计的后视图、左视图、右视图、俯视图、仰视图为惯常设计，省略后视图、左视图、右视图、俯视图、仰视图。
 6.图形用户界面的用途：产品的图形用户界面用于引导用户进行轨迹创意跑。
 7.图形用户界面的人机交互方式：主视界面放大图示出轨迹绘制界面，用户可在该界面绘制个性化的跑步轨迹。
 画好后，界面由主视界面放大图切换至界面变化状态图1，进入绘制完成界面。
 点击绘制完成界面的画好了按钮，界面由界面变化状态图1切换至界面变化状态图2，进入轨迹跑进行中界面，引导用户进行轨迹跑。
 点击绘制完成界面的撤销按钮，返回轨迹绘制界面，用户可重新绘制运动轨迹。
 完成轨迹跑后，界面由界面变化状态图2切换至界面变化状态图3，进入轨迹跑完成界面，点击不同按钮在社交圈秀一秀或者查看报告。</t>
  </si>
  <si>
    <t>带轨迹创意跑图形用户界面的电话手表</t>
  </si>
  <si>
    <t>CN307783594S</t>
  </si>
  <si>
    <t>1.本外观设计产品的名称：显示屏幕面板的车辆信息显示图形用户界面。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6.图形用户界面的用途：本图形用户界面用于车辆信息显示。
 设计1主视图为显示车速和档位的界面。
 设计2主视图为显示车速、档位和当前车辆状态的界面。
 设计3主视图为显示车速、档位、路况和当前车辆状态的界面。
 设计4主视图为显示当前车辆状态的界面。
 设计5主视图为传感器出现故障的界面，界面不显示任何信息。
 设计6主视图为显示车速、档位和转向的界面。
 设计7主视图为显示档位和当前车辆状态的界面。
 7.其他说明：本显示屏幕面板应用于车辆、计算机、笔记本电脑、平板电脑、手机、智能手机、智能手表、健身监视器、头戴式耳机、个人数字助理（PDA）、智能音箱、电视、机顶盒、游戏机、抬头显示系统、平视显示系统。</t>
  </si>
  <si>
    <t>显示屏幕面板的车辆信息显示图形用户界面</t>
  </si>
  <si>
    <t>CN308245268S</t>
  </si>
  <si>
    <t>1.本外观设计产品的名称：显示屏幕面板的车辆信息提醒的图形用户界面。
 2.本外观设计产品的用途：用于运行程序、信息显示、人机交互。
 3.本外观设计产品的设计要点：在于屏幕中图形用户界面的界面内容。
 4.最能表明设计要点的图片或照片：主视图。
 5.图形用户界面的用途：主视图为车辆信息提醒界面。
 6.其他说明：本显示屏幕面板应用于车辆、计算机、笔记本电脑、平板电脑、手机、智能手机、智能手表、健身监视器、头戴式耳机、个人数字助理（PDA）、智能音箱、电视、机顶盒、游戏机、抬头显示系统、平视显示系统。</t>
  </si>
  <si>
    <t>显示屏幕面板的车辆信息提醒的图形用户界面</t>
  </si>
  <si>
    <t>CN114887923A</t>
  </si>
  <si>
    <t>本发明公开了一种羽毛球收集分类回收机器人，包括架体、控制器、图像识别机构、收集机构、检测机构、下球机构、球箱机构及运动机构，所述控制器分别与图像识别机构、收集机构、检测机构、下球机构及运动机构电信号连接；所述图像识别机构设置在架体前端位置；所述收集机构设置在架体；所述检测机构设置在收集机构下方；所述下球机构设置在检测机构一侧；所述球箱机构设置在下球机构一侧，所述运动机构设置在架体侧部，用于带动架体进行全方位移动。本发明实现了羽毛球队全自动收集、检测和分类，并且收集过程准确高效，收集范围广，检测效率高，减少了人们的体力和时间的消耗，也减少了羽毛球的消耗，降低了打球成本，可推广应用。</t>
  </si>
  <si>
    <t>一种羽毛球收集分类回收机器人</t>
  </si>
  <si>
    <t>CN307543885S</t>
  </si>
  <si>
    <t>1.本外观设计产品的名称：显示屏幕面板的车辆运营调度管理图形用户界面。
 2.本外观设计产品的用途：显示屏幕面板用于显示图形用户界面和交互。
 3.本外观设计产品的设计要点：在于屏幕中图形界面的界面内容。
 4.最能表明设计要点的图片或照片：主视图。
 5.显示屏幕面板为无设计要点，省略其他视图。
 6.图形用户界面的用途：主视图展示的是左侧一级菜单中实时调度的二级菜单中的GIS线路图/直线图的显示界面；光标点击主视图中“切换线路版”图标，显示为界面变化状态图1所示界面状态；光标点击主视图中发车作业表的“详情列表”图标，显示为界面变化状态图2所示界面状态；光标点击主视图中异常报警的“详情列表”图标，显示为界面变化状态图3所示界面状态；光标点击界面变化状态图3中“详情”图标，显示为界面变化状态图4所示界面状态；光标点击主视图中左侧一级菜单中实时调度的二级菜单中的“车辆报警监控”图标，显示为界面变化状态图5所示界面状态；光标点击界面变化状态图5中选项栏中的“请选择线路”图标，显示为界面变化状态图6所示界面状态；光标点击界面变化状态图6中视频中的“放大”图标，显示为界面变化状态图7所示界面状态；光标点击主视图中左侧一级菜单中的“基础管理”图标，显示为界面变化状态图8所示界面状态；光标点击界面变化状态图8中左侧一级菜单中基础管理的二级菜单中的“计划排班”图标，显示为界面变化状态图9所示界面状态；光标点击界面变化状态图9中的“驾驶员”图标，显示为界面变化状态图10所示界面状态；光标点击界面变化状态图8中左侧一级菜单中基础管理的二级菜单中的“甘特图/计划表”图标，显示为界面变化状态图11所示界面状态；光标点击界面变化状态图11中的“甘特图”图标，显示为界面变化状态图12所示界面状态；光标点击界面变化状态图8中左侧一级菜单中基础管理的二级菜单中的“线路运行演示图”图标，显示为界面变化状态图13所示界面状态；光标点击主视图中左侧一级菜单中“业务报表”图标，显示为界面变化状态图14所示界面状态；光标点击主视图中左侧一级菜单中“终端运维”图标，界面自动切换界面变化状态图15‑17；光标点击界面变化状态图15的左侧一级菜单中终端运维的二级菜单中的“发车屏”图标，显示为界面变化状态图18所示界面状态。
 7.图形用户界面的人机交互方式：图形用户界面可以通过轻击、触摸、滑动或按压图形用户界面或通过沿着任意方向移动显示屏幕面板或通过操作具有该显示屏幕面板的电子设备来交互。
 8.显示屏幕面板可应用于计算机、笔记本电脑、平板电脑、手机、智能手机、智能手环、智能眼镜、手表、智能手表、健身监视器、头戴式耳机、个人数字助理、智能音箱、电视、监视器、投影仪、用于车辆的显示器、导航设备、机顶盒、游戏机。</t>
  </si>
  <si>
    <t>显示屏幕面板的车辆运营调度管理图形用户界面</t>
  </si>
  <si>
    <t>US20220343649A1</t>
  </si>
  <si>
    <t>通过捕获篮球运动员的图像数据并使用训练有素的机器学习系统处理图像数据来检测篮球或其他运动中的违规行为。 经过训练的机器学习系统包括一个玩家状态机,它描述了玩家的允许状态和玩家的规则违规状态。 从图像数据中提取的信息被应用到玩家状态机以确定规则违反状态是否处于活动状态。 当规则违反状态被确定为活动时,输出这样的指示,例如通过向官员发送警报。 相同的技术可以应用于教练。</t>
  </si>
  <si>
    <t>针对篮球规则违规和其他行为的机器学习</t>
  </si>
  <si>
    <t>CN114708401A</t>
  </si>
  <si>
    <t>本公开涉及一种比赛数据统计方法及装置、电子设备和存储介质，通过确定目标球场的至少一个三维信息，其中包括至少一个球员的在三维球场坐标系中的球员点云。根据三维信息中球员点云在三维球场坐标系中的位置，确定球员点云在目标球场中的二维点位。根据三维信息对应的至少一个二维点位确定球员点位图，球员点位图用于表征三维信息对应时刻，球员在目标球场上的位置。本公开实施例可以基于计算机视觉技术在球类比赛的过程中实时确定每个球员在球场中的位置，便于对整场比赛情况或实时比赛情况进行统计分析。</t>
  </si>
  <si>
    <t>比赛数据统计方法及装置、电子设备和存储介质</t>
  </si>
  <si>
    <t>CN114742974A</t>
  </si>
  <si>
    <t>本公开涉及一种球员确定方法及装置、电子设备和存储介质，通过确定目标球场的三维信息序列，其中每个三维信息中包括目标对象在三维球场坐标系中的对象点云，和至少一个球员的在三维球场坐标系中的球员点云。根据每个三维信息中对象点云在三维球场坐标系中的位置，确定每个三维信息对应目标对象的运动状态。在三维信息对应目标对象的运动状态投篮失败状态的情况下，确定投篮失败状态对应的三维信息为目标三维信息，并根据目标三维信息之后的三维信息中对象点云和至少一个球员点云的位置确定下一次改变目标对象运动状态的目标球员。本公开实施例通过计算机视觉技术对篮球比赛进行监控，提高了确定比赛中抢篮板球员过程的效率和准确性。</t>
  </si>
  <si>
    <t>球员确定方法及装置、电子设备和存储介质</t>
  </si>
  <si>
    <t>CN114742973A</t>
  </si>
  <si>
    <t>本公开涉及一种状态检测方法及装置、电子设备和存储介质，通过确定目标球场的三维信息序列，其中包括按时间顺序排列的至少两个表征目标对象在三维球场中位置的三维信息。根据三维信息中对象点云在三维球场中的位置，确定每个三维信息对应时刻目标对象的第一运动状态。在三维信息对应时刻目标对象的第一运动状态为目标状态的情况下，确定三维信息为目标三维信息，并根据时序位置在目标三维信息之后的三维信息中的对象点云确定目标对象的第二运动状态。本公开实施例能够通过计算机视觉技术对球类比赛中的第二运动状态进行检测，提高在球类比赛中检测第二运动状态的准确率以及效率。</t>
  </si>
  <si>
    <t>状态检测方法及装置、电子设备和存储介质</t>
  </si>
  <si>
    <t>CN307798584S</t>
  </si>
  <si>
    <t>1.本外观设计产品的名称：用于显示屏幕面板的组态配置图形用户界面。
 2.本外观设计产品的用途：用于运行程序、信息显示、人机交互。
 3.本外观设计产品的设计要点：在于屏幕中的图形用户界面。
 4.最能表明设计要点的图片或照片：主视图。
 5.图形用户界面的用途：本图形用户界面用于对矿用设备进行组态化配置。
 主视图为组态配置界面，界面左侧区域为导航区，点击不同的标签可导航到对应页面，中间区域为图形化配置区，可以对动作块进行拖拽、拉伸。
 6.其他说明：该显示屏幕面板应用于车辆、计算机、笔记本电脑、平板电脑、手机、智能手表、智能手环、健身监视器、头戴式耳机、个人数字助理（PDA）、智能音箱、电视、机顶盒、投影仪、游戏机或导航仪。</t>
  </si>
  <si>
    <t>用于显示屏幕面板的组态配置图形用户界面</t>
  </si>
  <si>
    <t>CN114681882B</t>
  </si>
  <si>
    <t>本发明公开了一种由人工智能控制肌肉外骨骼的篮球投篮训练装置，包括人体骨骼数据采集装置、AI控制装置和全身肌肉外骨骼装置，AI控制装置内置有投篮动作数据库；人体骨骼数据采集装置采集受训者的身体骨骼尺寸，将获取的数据传递给AI控制装置；AI控制装置通过有线或无线方式控制全身肌肉外骨骼装置，按照受训者的身体骨骼尺寸数据进行相应变形；全身肌肉外骨骼装置附着在受训者的全身直至五指，控制受训者全身的运动训练，并通过肌肉外骨骼伸缩单元对受训者起到助力或阻力来纠正错误动作。上述装置通过AI智能控制保证动作规格稳定，使训练者能真切感知动作的幅度、速度、力量等多项运动动作规格，满足不同训练者的需求。</t>
  </si>
  <si>
    <t>一种由人工智能控制肌肉外骨骼的篮球投篮训练装置</t>
  </si>
  <si>
    <t>CN308245275S</t>
  </si>
  <si>
    <t>1.本外观设计产品的名称：用于显示屏幕面板的组态配置图形用户界面。
 2.本外观设计产品的用途：用于运行程序、信息显示、人机交互。
 3.本外观设计产品的设计要点：在于屏幕中的图形用户界面。
 4.最能表明设计要点的图片或照片：设计2主视图。
 5.指定设计2为基本设计。
 6.图形用户界面的用途：本图形用户界面用于对矿用设备进行组态化配置。
 设计1‑设计4主视图为组态配置界面，界面左侧区域为导航区，点击不同的标签可导航到对应页面，中间区域为图形化配置区，可以对动作块进行拖拽、拉伸。
 7.显示屏幕面板应用于车辆、计算机、笔记本电脑、平板电脑、手机、智能手表、智能手环、健身监视器、头戴式耳机、个人数字助理（PDA）、智能音箱、电视、机顶盒、投影仪、游戏机或导航仪。</t>
  </si>
  <si>
    <t>US20220253789A1</t>
  </si>
  <si>
    <t>方法首先由处理器处理音频信号以生成音频呼叫者话语。 处理器生成与音频呼叫者话语相关联的代理行为排名分数,并确定代理行为排名分数是否低于最小阈值。 响应于确定代理动作排名分数低于最小阈值,处理器使用语音到文本处理器生成转录的呼叫者话语并基于转录的呼叫者话语生成识别的任务。 使用转录的呼叫者话语和与识别的任务相关联的特定任务代理指导神经网络,处理器生成理想的响应。 处理器生成反馈结果并使反馈结果显示在代理客户端设备的显示设备上。 本文公开了其他实施例。</t>
  </si>
  <si>
    <t>代理教练系统</t>
  </si>
  <si>
    <t>CN307593647S</t>
  </si>
  <si>
    <t>1.本外观设计产品的名称：带健身训练功能图形用户界面的显示屏幕面板。
 2.本外观设计产品的用途：用于显示人机交互及信息的显示屏幕面板，显示屏幕面板应用于电脑、车载显示器、平板电脑、手机、智能手环、智能眼镜、智能手表、健身监视器、头戴式耳机、个人数字助理、智能音箱、电视、监视器、投影仪、导航仪、机顶盒、游戏机。
 3.本外观设计产品的设计要点：在于屏幕中的图形用户界面的界面交互方式与内容。
 4.最能表明设计要点的图片或照片：主视图。
 5.因无设计要点，省略后视图、左视图、右视图、俯视图和仰视图。
 6.图形用户界面的用途：本外观设计的图形用户界面是用于搭建在带有屏幕的设备或投影设备，展示信息及人机交互的界面，主要功能为健身训练，包括人体动作识别功能；主视图为健身训练界面的一种设计，其中，界面的左侧为课程页面，可以显示健身训练的视频，右侧为摄像头拍摄到的用户界面，其上具有识别到的人体骨骼画面，界面的底部具有视频进度条、课程名称、当前训练动作的名称及数量、ai得分、卡路里等信息的展示；随着健身训练视频的播放，视频进度条从左至右逐步前进；当摄像头拍摄到用户做出健身训练视频的对应动作，右侧界面弹出对应的提示语，界面如界面变化状态图1所示；当用户需要快进健身训练视频时，界面如界面变化状态图2所示，当用户需要倒退健身训练视频时，界面如界面变化状态图3所示。</t>
  </si>
  <si>
    <t>带健身训练功能图形用户界面的显示屏幕面板</t>
  </si>
  <si>
    <t>CN307652045S</t>
  </si>
  <si>
    <t>1.本外观设计产品的名称：带健身训练准备功能图形用户界面的显示屏幕面板。
 2.本外观设计产品的用途：用于显示人机交互及信息的显示屏幕面板，显示屏幕面板应用于电脑、车载显示器、平板电脑、手机、智能手环、智能眼镜、智能手表、健身监视器、头戴式耳机、智能音箱、电视、投影仪、导航仪、机顶盒、游戏机。
 3.本外观设计产品的设计要点：在于屏幕中的图形用户界面的界面交互方式与内容。
 4.最能表明设计要点的图片或照片：主视图。
 5.因无设计要点，省略后视图、左视图、右视图、俯视图和仰视图。
 6.图形用户界面的用途：本外观设计的图形用户界面是用于搭建在带有屏幕的设备或投影设备，展示信息及人机交互的界面，主要功能为健身训练的准备功能，包括人体动作识别功能；主视图为健身训练的准备界面的一种设计，为初始状态，当摄像头拍摄到用户跟随引导画面作出相应动作，引导画面的进度条作出提示，界面如界面变化状态图1，直至进度条完全亮起，完成准备，界面如界面变化状态图2所示。</t>
  </si>
  <si>
    <t>带健身训练准备功能图形用户界面的显示屏幕面板</t>
  </si>
  <si>
    <t>CN217908772U</t>
  </si>
  <si>
    <t>本实用新型涉及健身器械领域，具体是涉及一种人工智能自动速度调节跑步机，包括跑步机本体、腰带、人机交互模块、四组速度检测模块和两组护栏，两组护栏分别位于跑步机本体的两侧，每组护栏均包括横杆和两个支撑架，两个支撑架的上端相向设置，横杆位于两个支撑架中间，每个支撑架的上端分别与横杆靠近其的一端紧固连接有速度检测模块，腰带位于跑步机本体的上方，腰带的两侧分别与两组护栏的横杆之间弹性连接，人机交互模块固定安装在跑步机本体前侧的正上方；跑步过程中，运动人员速度过快或过慢会由腰带拉动横杆挤压向速度检测模块，然后由速度检测模块将采集的数据反馈给人机交互模块，再由人机交互模块改变跑步机的速度。</t>
  </si>
  <si>
    <t>一种人工智能自动速度调节跑步机</t>
  </si>
  <si>
    <t>CN307448564S</t>
  </si>
  <si>
    <t>1.本外观设计产品的名称：显示屏幕面板的工作列表展示图形用户界面。
 2.本外观设计产品的用途：用于运行程序、信息显示、人机交互。
 3.本外观设计产品的设计要点：在于界面中图标的形状及颜色。
 4.最能表明设计要点的图片或照片：设计1主视图。
 5.指定设计1为基本设计。
 6.图形用户界面的用途：设计1‑设计3主视图为工作列表展示界面。
 点击设计1主视图中的流程挖掘仪表板封面图标，进入相应的工作表面板界面，如设计1界面变化状态图1所示，点击设计1界面变化状态图1右上角的流程挖掘仪表板下拉按钮，弹出工作表列表弹框，点击弹框内的任一工作表封面模块，可跳转到各对应的工作表面板。
 设计2和设计3的界面变化状态过程与设计1变化过程相同。
 7.其他说明：显示屏幕面板应用于车辆、计算机、笔记本电脑、平板电脑、手机、智能手表、智能手环、健身监视器、头戴式耳机、个人数字助理（PDA）、智能音箱、电视、机顶盒、投影仪、游戏机或导航仪。
 8、设计1‑设计3要求保护色彩。</t>
  </si>
  <si>
    <t>显示屏幕面板的工作列表展示图形用户界面</t>
  </si>
  <si>
    <t>CN307532320S</t>
  </si>
  <si>
    <t>1.本外观设计产品的名称：显示屏幕面板的无人车监控图标的图形用户界面。
 2.本外观设计产品的用途：显示屏幕面板用于显示图形用户界面。
 3.本外观设计产品的设计要点：在于图形用户界面。
 4.最能表明设计要点的图片或照片：设计1局部放大图。
 5.指定设计1为基本设计。
 6.图形用户界面的用途：图形用户界面用于人机交互和实现产品或者软件客户端的功能。
 7.图形用户界面的人机交互方式：可以通过接触，例如轻击或触摸图标图形用户界面来进行交互，以载入后续的图形用户界面或运行应用程序。
 8.显示屏幕面板和图形用户界面可以应用于车辆、通讯设备、多媒体设备、信息终端、便携式通讯设备、便携式多媒体设备、便携式信息终端、计算机、笔记本电脑、平板电脑、手机、智能手表、智能手环、健身监视器、头戴式耳机、个人数字助理、智能音箱、电视、投影仪、机顶盒、游戏机或导航仪；显示屏幕面板为惯常设计，故省略其他视图。
 9.设计2和设计3请求保护色彩。</t>
  </si>
  <si>
    <t>显示屏幕面板的无人车监控图标的图形用户界面</t>
  </si>
  <si>
    <t>CN217645784U</t>
  </si>
  <si>
    <t>本实用新型公开了一种人工智能便捷型健身系统，包括箱体、机械臂单元、拉力单元、控制单元、交互单元和壁挂单元；所述箱体安装于所述壁挂单元上以实现壁挂式安装；所述机械臂单元包括两个机械臂，两个所述机械臂分别位于箱体的两侧且一端活动安装于箱体上；所述拉力单元为两组，均包括驱动电机、拉绳和拉手，所述拉手位于对应机械臂的另一端，所述拉绳的一端与拉手相连，另一端则穿过对应所述机械臂与对应的驱动电机相连；所述驱动电机为永磁同步电机，所述控制单元与所述驱动电机电气相连，所述控制单元和驱动电机均安装于所述箱体内部；所述交互单元位于两个机械臂之间的箱体上。本实用新型具有整体结构简单、拆装简便、占地面积小且智能化程度高等优点。</t>
  </si>
  <si>
    <t>一种人工智能便捷型健身系统</t>
  </si>
  <si>
    <t>CN114896378A</t>
  </si>
  <si>
    <t>本发明涉及一种基于知识图谱与机器学习的农作物病虫害问答模型，该模型的构建的具体操作步骤如下：数据采集与预处理、农作物病虫害知识图谱构建、基于机器学习的病虫害问答模型、评价指标、本体构建、实体与关系的构建、命名实体识别和问答模型性能测试；以农作物病虫害知识为研究对象，探索基于知识图谱的问答方法，在智慧农业知识问答领域的应用方法和技术，通过构建病虫害知识图谱作为智能问答的知识库，基于NBC、BERT和BERT+TextCNN构建农作物病虫害问答分类模型，实现问题模板分类以及问句匹配，实现农作物病虫害问答问题分类和知识推荐，以期为农业知识问答、知识推荐等智慧农业知识智能服务提供理论支撑和技术参考。</t>
  </si>
  <si>
    <t>一种基于知识图谱与机器学习的农作物病虫害问答模型</t>
  </si>
  <si>
    <t>CN115841696A</t>
  </si>
  <si>
    <t>本发明提供一种基于三维骨架和球轨迹的细粒度网球赛击球动作识别方法，构建包含按时间帧排序的网球比赛击球动作骨架、球拍关键点以及球轨迹的三维坐标、关键点类型的击球动作库，将训练数据输入基于上下文语义编码与时间注意力的图卷积神经网络，输出击球动作类别；通过减少样本多重相似性损失与监督损失进行学习，获得具备细粒度网球动作识别能力的模型，将动作数据输入所述具备细粒度网球动作识别能力的模型中，以输出击球动作类别。通过本发明中的方法，在提取三维骨架和球轨迹的三维坐标的情况下进行有效的击球动作识别，实现了细粒度动作的击球分类，同时利用注意力机制结提高击球分类的精度，在体育赛事中的动作评估具有一定的应用价值。</t>
  </si>
  <si>
    <t>一种基于三维骨架和球轨迹的细粒度网球赛击球动作识别方法</t>
  </si>
  <si>
    <t>CN114999607A</t>
  </si>
  <si>
    <t>本发明公开了一种双模式人机交互智能跑步系统，包括赛事跑模块、跑步模块、智能终端、医疗服务系统以及赛事平台终端，所述智能终端包括显示输入单元、控制模块以及信息传输模块，此双模式人机交互智能跑步系统，区别于现有技术，用户通过控制模块进行选择赛事跑或自动跑地两种模式进行跑步锻炼，满足用户自主选择的使用需求，从而激起自身的运动乐趣，其次，通过进入赛事跑模块，能够使得用户选择性参加所展示的赛事，且在选择好参加的赛事后，可通过填写用户身份准确信息的方式进行报名参加，并经信息传输模块将用户填写的身份信息进行传输给医疗服务系统，使得医疗服务系统对用户填写身份准确信息进行筛查。</t>
  </si>
  <si>
    <t>一种双模式人机交互智能跑步系统</t>
  </si>
  <si>
    <t>KR1020220145778A</t>
  </si>
  <si>
    <t>本发明的要点是一种基于历史数据使用神经网络生成排名、特别是电子竞技游戏中的选手或队伍的排名的方法,所述方法包括:a)历史数据,特别是电子竞技游戏的参数;以及b)训练基于有关此类游戏玩法结果的数据的神经网络,b) 基于当前数据,特别是电子竞技游戏玩法的参数和有关此类游戏玩法结果的数据,通过神经网络训练玩家或团队。c) 生成排名,以及c) 通过神经网络对给定球员或球队之间的未来比赛结果进行可能的预测。 本发明还包括用于实现该方法的系统以及通过使用该方法生成的排名。</t>
  </si>
  <si>
    <t>排名生成方法、排名生成系统及排名</t>
  </si>
  <si>
    <t>IN202241022994A</t>
  </si>
  <si>
    <t>随着越来越多的嵌入式系统被采用,证明了自动灌溉和维护可以用于农业领域以促进增长。 该系统可以使用温度和土壤湿度的阈值开发,这些阈值被编程到基于微控制器的网关中以控制水量。 同时无线摄像头用于监测植物生长状况,并使用MATLAB软件进行分析。 该系统提供了一个无线传感器网络,其中每个传感器节点都从田野中获取图像,并在内部使用图像处理技术来检测树叶中的任何异常状态。 这种症状可能是由缺陷、害虫、疾病或其他有害因素引起的。 当检测到它时,传感器节点通过无线传感器网络向汇聚节点发送消息,以将有关影响作物的疾病的问题以及可用于从农作物中纠正的肥料类型通知农民。 疾病。 物联网 (IOT) 连接设备已经渗透到我们生活的方方面面,从健康和健身、家庭自动化、汽车和物流,到智慧城市和工业物联网。 因此,物联网、连接设备和自动化将在农业中得到应用是合乎逻辑的,因此,几乎可以极大地改善农业的方方面面。 在过去的几十年里,农业经历了许多技术变革,变得更加工业化和技术驱动。通过使用各种智能农业小工具,农民可以更好地控制饲养牲畜和种植作物的过程,使其更具可预测性并提高其生产效率。 效率。 以上参数可以通过Microcontroller、土壤湿度传感器、温度传感器、ADC、信号调理单元、Zigbee、GSM Module、摄像头、电机泵和控制电路来实现。</t>
  </si>
  <si>
    <t>作物农业程序控制技术</t>
  </si>
  <si>
    <t>CN114693276A</t>
  </si>
  <si>
    <t>本发明涉及打卡领域，具体涉及基于AI图像识别技术的打卡方法。本发明提供基于AI图像识别技术的打卡方法。基于AI图像识别技术的打卡方法，包括以下步骤：S001)商家登录商家端应用程序；S002)商家进入新建任务页面；S003)商家通过商家端应用程序编辑任务标题、任务简介和基础文字信息，在用户端应用程序展示任务的宣传信息；S004)商家通过商家端应用程序，采集任务位置信息和任务图像。将文化、教育、体育、赛事和旅游等社会活动与学校教育相结合成课外实践任务，并通过AI图像识别技术的打卡方法实现无形中督促以及赋予课外实践以文化体验、社会性交际等教育形式，从而使打卡方法获得的更深更久的体验感，提升趣味性。</t>
  </si>
  <si>
    <t>基于AI图像识别技术的打卡方法</t>
  </si>
  <si>
    <t>CN307481462S</t>
  </si>
  <si>
    <t>1.本外观设计产品的名称：带企业档案管理图形用户界面的显示屏幕面板。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6.图形用户界面的用途：界面用于企业档案实物匹配、上下架、管理与数据展示的用途。
 7.图形用户界面的人机交互方式：主视图显示的图形用户界面为打开程序的起始界面；界面变化状态图1：在主视图“请输入手机号”和“请输入密码”处输入登录信息后并点击“手机号登录”按钮进入界面变化状态图1；界面变化状态图2：点击界面变化状态图1“匹配记录”下方的任意一个“实物匹配9册”按钮进入界面变化状态图2；界面变化状态图3：点击界面变化状态图1最下方的“档案上架”按钮进入界面变化状态图3；界面变化状态图4：点击界面变化状态图3“上架记录”下方的任意一个“实物匹配9册”按钮进入界面变化状态图4；界面变化状态图5：点击界面变化状态图1最下方的“我的”按钮进入界面变化状态图5。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</si>
  <si>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带企业档案管理图形用户界面的显示屏幕面板</t>
  </si>
  <si>
    <t>CN307569992S</t>
  </si>
  <si>
    <t>1.本外观设计产品的名称：带出行商城订购图形用户界面的显示屏幕面板。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6.图形用户界面的用途：界面用于机票、火车票、酒店预定/订购及打车和购买商品的用途。
 7.图形用户界面的人机交互方式：主视图显示的图形用户界面为打开程序的起始界面；界面变化状态图1：点击主视图上方的“机票”按钮进入界面变化状态图1；界面变化状态图2：在界面变化状态图1中央的“出发城市”和“到达城市”处输入任意城市名称后（这里以出发城市输入上海，到达城市输入广州为例）并点击查询按钮进入界面变化状态图2；界面变化状态图3：点击界面变化状态图2最下方的“我知道了”按钮得到界面变化状态图3；界面变化状态图4：点击主视图上方的“酒店”按钮进入界面变化状态图4；界面变化状态图5：点击界面变化状态图4下方的“查询”按钮进入界面变化状态图5；界面变化状态图6：点击界面变化状态图5上方的“价格/星级”按钮弹出界面变化状态图6；界面变化状态图7：点击界面变化状态图5上方的“位置区域”按钮弹出界面变化状态图7；界面变化状态图8：点击界面变化状态图5中央的“XX饭店”按钮进入界面变化状态图8；界面变化状态图9：点击界面变化状态图8中央右上方的“酒店详情”按钮进入界面变化状态图9；界面变化状态图10：点击主视图上方的“火车票”按钮进入界面变化状态图10；界面变化状态图11：在界面变化状态图10中央的“出发城市/车站”和“到达城市/车站”处输入任意城市名称后（这里以出发城市/车站输入北京，到达城市/车站输入上海为例）并点击查询按钮进入界面变化状态图11；界面变化状态图12：点击界面变化状态图11中央的“G109”车次按钮进入界面变化状态图12；界面变化状态图13：点击主视图上方的“用车”按钮进入界面变化状态图13；界面变化状态图14：在界面变化状态图13最下方的“您想去哪里？”处输入任意想去的位置名称后（这里目的地填写为XXXXXXX为例）自动变化为界面变化状态图14；界面变化状态图15：点击界面变化状态图13最下方的“接送机”按钮进入界面变化状态图15；界面变化状态图16：点击主视图上方的“企业购”按钮进入界面变化状态图16；界面变化状态图17：点击界面变化状态图16中央右下方的“卡帝乐鳄鱼……”标签按钮进入界面变化状态图17；界面使用状态参考图1：此界面对应为界面变化状态图1的使用状态参考图；界面使用状态参考图2：此界面对应为界面变化状态图4的使用状态参考图。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</si>
  <si>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带出行商城订购图形用户界面的显示屏幕面板</t>
  </si>
  <si>
    <t>CN307632179S</t>
  </si>
  <si>
    <t>1.本外观设计产品的名称：带财务审批管理图形用户界面的显示屏幕面板。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6.图形用户界面的用途：界面用于财务费用审批、报销、记账、管理与数据展示的用途。
 7.图形用户界面的人机交互方式：主视图显示的图形用户界面为打开程序的起始界面；界面变化状态图1：点击主视图中央的“管理者/负责人”按钮进入界面变化状态图1；界面变化状态图2：在界面变化状态图1中央的任意位置向上滑动得到界面变化状态图2；界面变化状态图3：在界面变化状态图2中央的任意位置向上滑动得到界面变化状态图3；界面变化状态图4：点击界面变化状态图1中央的“待我审批”按钮进入界面变化状态图4；界面变化状态图5：点击界面变化状态图4最上方的“1233”按钮进入界面变化状态图5；界面变化状态图6：点击界面变化状态图5右上角的“审批流程”按钮得到界面变化状态图6；界面变化状态图7：点击界面变化状态图1中央下方的“查看已完成单据”按钮进入界面变化状态图7；界面变化状态图8：点击界面变化状态图7上方的“XX报销10月晚8点后的餐费”按钮进入界面变化状态图8；界面变化状态图9：在界面变化状态图8中央的任意位置向上滑动得到界面变化状态图9；界面变化状态图10：点击界面变化状态图1下方的“核销买电话”按钮进入界面变化状态图10；界面变化状态图11：点击界面变化状态图10中央左下方的“添加”按钮进入界面变化状态图11；界面变化状态图12：点击界面变化状态图11中央的“添加发票”按钮弹出界面变化状态图12；界面变化状态图13：点击界面变化状态图10下方的“核销买电话”按钮进入界面变化状态图13；界面变化状态图14：点击界面变化状态图13中央的“事项明细”按钮得到界面变化状态图14；界面变化状态图15：点击界面变化状态图2中央的“借款统计”按钮进入界面变化状态图15；界面变化状态图16：点击界面变化状态图3上方的“随手记”按钮进入界面变化状态图16；界面变化状态图17：在界面变化状态图1‑3任意界面下点击最下方中央的“+”图形按钮进入界面变化状态图17；界面变化状态图18：点击界面变化状态图3最下方的“自定义首页”按钮进入界面变化状态图18；界面变化状态图19：在界面变化状态图1‑3任意界面下点击最下方“报表”按钮得到界面变化状态图19；界面变化状态图20：点击界面变化状态图19最上方的“企业报表”按钮得到界面变化状态图20；界面变化状态图21：在界面变化状态图20最上方“个人报表、企业报表、预算报表”处向左滑动并点击“智能报表1”按钮得到界面变化状态图21；界面变化状态图22：在界面变化状态图1‑3任意界面下点击最下方“我的”按钮得到界面变化状态图22。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</si>
  <si>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带财务审批管理图形用户界面的显示屏幕面板</t>
  </si>
  <si>
    <t>WO2023010890A1</t>
  </si>
  <si>
    <t>基于深度学习适用于啮齿动物的行为分析方法，基于计算机视觉与深度学习技术，无需特殊的实验硬件设备与人为对动物进行特殊化学试剂标记处理，通过多身体关键点识别技术实现全自动化追踪动物，实现了实验过程的自动化，避免了人工计数引入的主观误差和对实验动物的干扰，增加了实验结果的客观性、可靠性；并通过设计全新指标实现机器分析小鼠行为；分析灵活，支持时段分析，支持定时终止和人工终止，并具有丰富的显示方式，能对动物的运动情况采用轨迹图、参数指标、曲线、直方图的显示方式；同时，根据对超精细行为指标的捕获，进一步实现动物在强迫游泳过程中行为动作的分析。</t>
  </si>
  <si>
    <t>基于深度学习适用于啮齿动物的行为分析方法</t>
  </si>
  <si>
    <t>CN307731619S</t>
  </si>
  <si>
    <t>1.本外观设计产品的名称：显示屏幕面板的分组信息显示图形用户界面。
 2.本外观设计产品的用途：用于运行程序、信息显示、人机交互。
 3.本外观设计产品的设计要点：在于屏幕中图形用户界面的界面内容。
 4.最能表明设计要点的图片或照片：主视图。
 5.图形用户界面的用途：主视图为分组信息显示界面，用户可点击“切换视图”实现界面的切换。
 6.本显示屏幕面板应用于车辆、计算机、笔记本电脑、平板电脑、手机、智能手表、智能手环、健身监视器、头戴式耳机、个人数字助理（PDA）、智能音箱、电视、机顶盒、投影仪、游戏机或导航仪。</t>
  </si>
  <si>
    <t>显示屏幕面板的分组信息显示图形用户界面</t>
  </si>
  <si>
    <t>CN308078546S</t>
  </si>
  <si>
    <t>1.本外观设计产品的名称：带企业财务管理图形用户界面的显示屏幕面板。;2.本外观设计产品的用途：用于显示图形用户界面。;3.本外观设计产品的设计要点：在于屏幕中的图形用户界面。;4.最能表明设计要点的图片或照片：界面变化状态图6。;5.其他视图无设计要点，省略其他视图。;6.图形用户界面的用途：界面用于企业财务管理、审批、请款、报销、数据展示等用途。;7.图形用户界面的人机交互方式：主视图显示的图形用户界面为打开程序的起始界面；界面变化状态图1：点击主视图右上角的“验证码登录”按钮得到界面变化状态图1；界面变化状态图2：在界面变化状态图1右上方的“请输入您的注册手机号”输入框内输入任意手机号码后并点击下方的“获取验证码”按钮弹出界面变化状态图2；界面变化状态图3：点击主视图右方中央的“LDAP登录”按钮进入界面变化状态图3；界面变化状态图4：点击主视图右方中央的“忘记密码”按钮进入界面变化状态图4；界面变化状态图5：在主视图、界面变化状态图1、界面变化状态图3任意登录方式界面下输入必要的登录信息后并点击“登录”按钮进入界面变化状态图5；界面变化状态图6：点击界面变化状态图5右下方的“进入企业”按钮进入界面变化状态图6；界面变化状态图7：点击界面变化状态图6左下角的“四道杠”图形按钮得到界面变化状态图7；界面变化状态图8：点击界面变化状态图6右上角的“XX”按钮弹出界面变化状态图8；界面变化状态图9：点击界面变化状态图8右上角的“企业信息”按钮进入界面变化状态图9；界面变化状态图10：在界面变化状态图6左侧主菜单先点击“我的”按钮展开子菜单后再点击“我的单据”按钮得到界面变化状态图10；界面变化状态图11：点击界面变化状态图10左边最上方的“新建”按钮弹出界面变化状态图11；界面变化状态图12：点击界面变化状态图10左边最上方的“你有7张单据审批通过”按钮弹出界面变化状态图12；界面变化状态图13：点击界面变化状态图10左边最上方的“筛选”按钮弹出界面变化状态图13；界面变化状态图14：点击界面变化状态图10左边上方的“待寄送大餐”按钮得到界面变化状态图14；界面变化状态图15：点击界面变化状态图14中央最下方的“查看XX的可核销借款”按钮弹出界面变化状态图15；界面变化状态图16：点击界面变化状态图14中央的“绿色”图形按钮弹出界面变化状态图16；界面变化状态图17：点击界面变化状态图14中央最上方的“审批流程”按钮得到界面变化状态图17；界面变化状态图18：点击界面变化状态图10左侧主菜单的“随手记”按钮进入界面变化状态图18；界面变化状态图19：点击界面变化状态图18右上角的“+记费用”按钮弹出界面变化状态图19；界面变化状态图20：点击界面变化状态图10左侧主菜单的“我的借款”按钮进入界面变化状态图20；界面变化状态图21：点击界面变化状态图右上角的“田字形”图形按钮得到界面变化状态图21；界面变化状态图22：点击界面变化状态图10左侧主菜单的“申请事项”按钮进入界面变化状态图22；界面变化状态图23：点击界面变化状态图10左侧主菜单的“项目台账”按钮进入界面变化状态图23；界面变化状态图24：在界面变化状态图6左侧主菜单先点击“待办”按钮展开子菜单后再点击“待我审批”按钮得到界面变化状态图24；界面变化状态图25：点击勾选界面变化状态图24右上角“闪电审批”左边的“小方块”图形按钮得到界面变化状态图25；界面变化状态图26：点击界面变化状态图25右上角“闪电审批”正下方的“罒字形”图形按钮弹出界面变化状态图26；界面变化状态图27：点击界面变化状态图24左边“标题”标签下的“1233”按钮弹出界面变化状态图27；界面变化状态图28：点击界面变化状态图27右边最上方的“审批流程”按钮得到界面变化状态图28；界面变化状态图29：点击界面变化状态图24左侧主菜单的“待我打印”按钮进入界面变化状态图29；界面变化状态图30：点击界面变化状态图24左侧主菜单的“待我支付”按钮进入界面变化状态图30；界面变化状态图31：点击界面变化状态图右上角的“明细维度”按钮得到界面变化状态图31；界面变化状态图32：点击界面变化状态图24左侧主菜单的“待我寄送”按钮进入界面变化状态图32；界面变化状态图33：点击界面变化状态图24左侧主菜单的“待我收单”按钮进入界面变化状态图33；界面变化状态图34：点击界面变化状态图24左侧主菜单的“抄送我的”按钮进入界面变化状态图34；界面变化状态图35：在界面变化状态图6左侧主菜单先点击“单据管理”按钮展开子菜单后再点击“报销单管理”按钮得到界面变化状态图35；界面变化状态图36：点击界面变化状态图35左边“标题”标签下的“3333”按钮弹出界面变化状态图36；界面变化状态图37：点击界面变化状态图35左侧主菜单的“统一开票”按钮进入界面变化状态图37；界面变化状态图38：点击界面变化状态图35左侧主菜单的“待开发票”按钮进入界面变化状态图38；界面变化状态图39：点击界面变化状态图35左侧主菜单的“发票使用规范”按钮进入界面变化状态图39；界面变化状态图40：在界面变化状态图39中央下方“人为修改发票校验”点击水平最右边“编辑”按钮弹出界面变化状态图40；界面变化状态图41：点击界面变化状态图35左侧主菜单的“导入设置”按钮进入界面变化状态图41；界面变化状态图42：点击界面变化状态图35左侧主菜单的“价税分离”按钮进入界面变化状态图42；界面变化状态图43：在界面变化状态图6左侧主菜单先点击“支付数据”按钮展开子菜单后再点击“待支付”按钮得到界面变化状态图43；界面变化状态图44：在界面变化状态图6左侧主菜单先点击“预算管理”按钮展开子菜单后再点击“预算包管理”按钮得到界面变化状态图44；界面变化状态图45：点击界面变化状态图44左上角的“橘黄色”图形按钮进入界面变化状态图45；界面变化状态图46：点击界面变化状态图45右边最下方的“复制预算”按钮弹出界面变化状态图46；界面变化状态图47：点击界面变化状态图45右边最下方的“批量设置”按钮弹出界面变化状态图47；界面变化状态图48：在界面变化状态图6左侧主菜单先点击“信用管理”按钮展开子菜单后再点击“信用规则”按钮得到界面变化状态图48；界面变化状态图49：在界面变化状态图48左上方“基础信用规则”点击水平最右边“编辑”按钮弹出界面变化状态图49；界面变化状态图50：点击界面变化状态图48左侧主菜单的“信用数据”按钮进入界面变化状态图50；界面变化状态图51：点击界面变化状态图50左方人员标签下的任意一个“XX”按钮弹出界面变化状态图51；界面变化状态图52：在界面变化状态图6左侧主菜单先点击“系统设置”按钮展开子菜单后再点击“通讯录”按钮得到界面变化状态图52；界面变化状态图53：点击界面变化状态图52左侧主菜单的“角色”按钮进入界面变化状态图53；界面变化状态图54：点击界面变化状态图52左侧主菜单的“订购设置”按钮进入界面变化状态图54；界面变化状态图55：点击界面变化状态图52左侧主菜单的“品牌设置”按钮进入界面变化状态图55；界面变化状态图56：点击界面变化状态图52左侧主菜单的“安全设置”按钮进入界面变化状态图56；界面变化状态图57：点击界面变化状态图52左侧主菜单的“消息中心”按钮进入界面变化状态图57；界面变化状态图58：在界面变化状态图6左侧主菜单先点击“自动报销”按钮展开子菜单后再点击“费用生成设置”按钮得到界面变化状态图58；界面变化状态图59：在界面变化状态图58左上方“费用生成1”点击水平最右边“编辑”按钮弹出界面变化状态图59；界面变化状态图60：在界面变化状态图6左侧主菜单先点击“档案设置”按钮展开子菜单后再点击“费用类型”按钮得到界面变化状态图60；界面变化状态图61：点击界面变化状态图60中央最上方的“报销字段”按钮得到界面变化状态图61；界面变化状态图62：点击界面变化状态图60中央最上方的“申请字段”按钮得到界面变化状态图62；界面变化状态图63：点击界面变化状态图60左侧主菜单的“币种设置”按钮进入界面变化状态图63；界面变化状态图64：点击界面变化状态图60左侧主菜单的“城市管理”按钮进入界面变化状态图64；界面变化状态图65：在界面变化状态图60左侧主菜单任意位置向上滑动并点击“付款账户”按钮进入界面变化状态图65；界面变化状态图66：点击界面变化状态图最上方的“医疗（广发测试）”按钮弹出界面变化状态图66；界面变化状态图67：点击界面变化状态图65左侧主菜单的“供应商档案”按钮进入界面变化状态图67；界面变化状态图68：在界面变化状态图6左侧主菜单先点击“单据设置”按钮展开子菜单后再点击“字段设置”按钮得到界面变化状态图68；界面变化状态图69：点击界面变化状态图68左侧主菜单的“单据模板”按钮进入界面变化状态图69；界面变化状态图70：点击界面变化状态图68左侧主菜单的“审批流”按钮进入界面变化状态图70；界面变化状态图71：在界面变化状态图6左侧主菜单先点击“对账结算中心”按钮展开子菜单后再点击“供应商账户”按钮得到界面变化状态图71；界面变化状态图72：点击界面变化状态图71左侧主菜单的“供应商账单”按钮进入界面变化状态图72；界面变化状态图73：点击界面变化状态图71左侧主菜单的“对账结算”按钮进入界面变化状态图73；界面变化状态图74：点击界面变化状态图71左侧主菜单的“设置”按钮进入界面变化状态图74；界面变化状态图75：在界面变化状态图6左侧主菜单先点击“对公付款管理”按钮展开子菜单后再点击“付款管理”按钮得到界面变化状态图75；界面变化状态图76：点击界面变化状态图75右上方从上至下第1个“详情”按钮进入界面变化状态图76；界面变化状态图77：点击界面变化状态图中央的“框架合同1”按钮弹出界面变化状态图77；界面变化状态图78：点击界面变化状态图6左侧主菜单的“报表”按钮进入界面变化状态图78；界面变化状态图79：点击界面变化状态图78左侧主菜单的“系统日志”按钮得到界面变化状态图79。;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内容属于内容画面。;1.本外观设计产品的名称：带企业财务管理图形用户界面的显示屏幕面板。;2.本外观设计产品的用途：用于显示图形用户界面。;3.本外观设计产品的设计要点：在于屏幕中的图形用户界面。;4.最能表明设计要点的图片或照片：界面变化状态图6。;5.其他视图无设计要点，省略其他视图。;6.图形用户界面的用途：界面用于企业财务管理、审批、请款、报销、数据展示等用途。;7.图形用户界面的人机交互方式：主视图显示的图形用户界面为打开程序的起始界面；界面变化状态图1：点击主视图右上角的“验证码登录”按钮得到界面变化状态图1；界面变化状态图2：在界面变化状态图1右上方的“请输入您的注册手机号”输入框内输入任意手机号码后并点击下方的“获取验证码”按钮弹出界面变化状态图2；界面变化状态图3：点击主视图右方中央的“LDAP登录”按钮进入界面变化状态图3；界面变化状态图4：点击主视图右方中央的“忘记密码”按钮进入界面变化状态图4；界面变化状态图5：在主视图、界面变化状态图1、界面变化状态图3任意登录方式界面下输入必要的登录信息后并点击“登录”按钮进入界面变化状态图5；界面变化状态图6：点击界面变化状态图5右下方的“进入企业”按钮进入界面变化状态图6；界面变化状态图7：点击界面变化状态图6左下角的“四道杠”图形按钮得到界面变化状态图7；界面变化状态图8：点击界面变化状态图6右上角的“XX”按钮弹出界面变化状态图8；界面变化状态图9：点击界面变化状态图8右上角的“企业信息”按钮进入界面变化状态图9；界面变化状态图10：在界面变化状态图6左侧主菜单先点击“我的”按钮展开子菜单后再点击“我的单据”按钮得到界面变化状态图10；界面变化状态图11：点击界面变化状态图10左边最上方的“新建”按钮弹出界面变化状态图11；界面变化状态图12：点击界面变化状态图10左边最上方的“你有7张单据审批通过”按钮弹出界面变化状态图12；界面变化状态图13：点击界面变化状态图10左边最上方的“筛选”按钮弹出界面变化状态图13；界面变化状态图14：点击界面变化状态图10左边上方的“待寄送大餐”按钮得到界面变化状态图14；界面变化状态图15：点击界面变化状态图14中央最下方的“查看XX的可核销借款”按钮弹出界面变化状态图15；界面变化状态图16：点击界面变化状态图14中央的“绿色”图形按钮弹出界面变化状态图16；界面变化状态图17：点击界面变化状态图14中央最上方的“审批流程”按钮得到界面变化状态图17；界面变化状态图18：点击界面变化状态图10左侧主菜单的“随手记”按钮进入界面变化状态图18；界面变化状态图19：点击界面变化状态图18右上角的“+记费用”按钮弹出界面变化状态图19；界面变化状态图20：点击界面变化状态图10左侧主菜单的“我的借款”按钮进入界面变化状态图20；界面变化状态图21：点击界面变化状态图右上角的“田字形”图形按钮得到界面变化状态图21；界面变化状态图22：点击界面变化状态图10左侧主菜单的“申请事项”按钮进入界面变化状态图22；界面变化状态图23：点击界面变化状态图10左侧主菜单的“项目台账”按钮进入界面变化状态图23；界面变化状态图24：在界面变化状态图6左侧主菜单先点击“待办”按钮展开子菜单后再点击“待我审批”按钮得到界面变化状态图24；界面变化状态图25：点击勾选界面变化状态图24右上角“闪电审批”左边的“小方块”图形按钮得到界面变化状态图25；界面变化状态图26：点击界面变化状态图25右上角“闪电审批”正下方的“罒字形”图形按钮弹出界面变化状态图26；界面变化状态图27：点击界面变化状态图24左边“标题”标签下的“1233”按钮弹出界面变化状态图27；界面变化状态图28：点击界面变化状态图27右边最上方的“审批流程”按钮得到界面变化状态图28；界面变化状态图29：点击界面变化状态图24左侧主菜单的“待我打印”按钮进入界面变化状态图29；界面变化状态图30：点击界面变化状态图24左侧主菜单的“待我支付”按钮进入界面变化状态图30；界面变化状态图31：点击界面变化状态图右上角的“明细维度”按钮得到界面变化状态图31；界面变化状态图32：点击界面变化状态图24左侧主菜单的“待我寄送”按钮进入界面变化状态图32；界面变化状态图33：点击界面变化状态图24左侧主菜单的“待我收单”按钮进入界面变化状态图33；界面变化状态图34：点击界面变化状态图24左侧主菜单的“抄送我的”按钮进入界面变化状态图34；界面变化状态图35：在界面变化状态图6左侧主菜单先点击“单据管理”按钮展开子菜单后再点击“报销单管理”按钮得到界面变化状态图35；界面变化状态图36：点击界面变化状态图35左边“标题”标签下的“3333”按钮弹出界面变化状态图36；界面变化状态图37：点击界面变化状态图35左侧主菜单的“统一开票”按钮进入界面变化状态图37；界面变化状态图38：点击界面变化状态图35左侧主菜单的“待开发票”按钮进入界面变化状态图38；界面变化状态图39：点击界面变化状态图35左侧主菜单的“发票使用规范”按钮进入界面变化状态图39；界面变化状态图40：在界面变化状态图39中央下方“人为修改发票校验”点击水平最右边“编辑”按钮弹出界面变化状态图40；界面变化状态图41：点击界面变化状态图35左侧主菜单的“导入设置”按钮进入界面变化状态图41；界面变化状态图42：点击界面变化状态图35左侧主菜单的“价税分离”按钮进入界面变化状态图42；界面变化状态图43：在界面变化状态图6左侧主菜单先点击“支付数据”按钮展开子菜单后再点击“待支付”按钮得到界面变化状态图43；界面变化状态图44：在界面变化状态图6左侧主菜单先点击“预算管理”按钮展开子菜单后再点击“预算包管理”按钮得到界面变化状态图44；界面变化状态图45：点击界面变化状态图44左上角的“橘黄色”图形按钮进入界面变化状态图45；界面变化状态图46：点击界面变化状态图45右边最下方的“复制预算”按钮弹出界面变化状态图46；界面变化状态图47：点击界面变化状态图45右边最下方的“批量设置”按钮弹出界面变化状态图47；界面变化状态图48：在界面变化状态图6左侧主菜单先点击“信用管理”按钮展开子菜单后再点击“信用规则”按钮得到界面变化状态图48；界面变化状态图49：在界面变化状态图48左上方“基础信用规则”点击水平最右边“编辑”按钮弹出界面变化状态图49；界面变化状态图50：点击界面变化状态图48左侧主菜单的“信用数据”按钮进入界面变化状态图50；界面变化状态图51：点击界面变化状态图50左方人员标签下的任意一个“XX”按钮弹出界面变化状态图51；界面变化状态图52：在界面变化状态图6左侧主菜单先点击“系统设置”按钮展开子菜单后再点击“通讯录”按钮得到界面变化状态图52；界面变化状态图53：点击界面变化状态图52左侧主菜单的“角色”按钮进入界面变化状态图53；界面变化状态图54：点击界面变化状态图52左侧主菜单的“订购设置”按钮进入界面变化状态图54；界面变化状态图55：点击界面变化状态图52左侧主菜单的“品牌设置”按钮进入界面变化状态图55；界面变化状态图56：点击界面变化状态图52左侧主菜单的“安全设置”按钮进入界面变化状态图56；界面变化状态图57：点击界面变化状态图52左侧主菜单的“消息中心”按钮进入界面变化状态图57；界面变化状态图58：在界面变化状态图6左侧主菜单先点击“自动报销”按钮展开子菜单后再点击“费用生成设置”按钮得到界面变化状态图58；界面变化状态图59：在界面变化状态图58左上方“费用生成1”点击水平最右边“编辑”按钮弹出界面变化状态图59；界面变化状态图60：在界面变化状态图6左侧主菜单先点击“档案设置”按钮展开子菜单后再点击“费用类型”按钮得到界面变化状态图60；界面变化状态图61：点击界面变化状态图60中央最上方的“报销字段”按钮得到界面变化状态图61；界面变化状态图62：点击界面变化状态图60中央最上方的“申请字段”按钮得到界面变化状态图62；界面变化状态图63：点击界面变化状态图60左侧主菜单的“币种设置”按钮进入界面变化状态图63；界面变化状态图64：点击界面变化状态图60左侧主菜单的“城市管理”按钮进入界面变化状态图64；界面变化状态图65：在界面变化状态图60左侧主菜单任意位置向上滑动并点击“付款账户”按钮进入界面变化状态图65；界面变化状态图66：点击界面变化状态图最上方的“医疗（广发测试）”按钮弹出界面变化状态图66；界面变化状态图67：点击界面变化状态图65左侧主菜单的“供应商档案”按钮进入界面变化状态图67；界面变化状态图68：在界面变化状态图6左侧主菜单先点击“单据设置”按钮展开子菜单后再点击“字段设置”按钮得到界面变化状态图68；界面变化状态图69：点击界面变化状态图68左侧主菜单的“单据模板”按钮进入界面变化状态图69；界面变化状态图70：点击界面变化状态图68左侧主菜单的“审批流”按钮进入界面变化状态图70；界面变化状态图71：在界面变化状态图6左侧主菜单先点击“对账结算中心”按钮展开子菜单后再点击“供应商账户”按钮得到界面变化状态图71；界面变化状态图72：点击界面变化状态图71左侧主菜单的“供应商账单”按钮进入界面变化状态图72；界面变化状态图73：点击界面变化状态图71左侧主菜单的“对账结算”按钮进入界面变化状态图73；界面变化状态图74：点击界面变化状态图71左侧主菜单的“设置”按钮进入界面变化状态图74；界面变化状态图75：在界面变化状态图6左侧主菜单先点击“对公付款管理”按钮展开子菜单后再点击“付款管理”按钮得到界面变化状态图75；界面变化状态图76：点击界面变化状态图75右上方从上至下第1个“详情”按钮进入界面变化状态图76；界面变化状态图77：点击界面变化状态图中央的“框架合同1”按钮弹出界面变化状态图77；界面变化状态图78：点击界面变化状态图6左侧主菜单的“报表”按钮进入界面变化状态图78；界面变化状态图79：点击界面变化状态图78左侧主菜单的“系统日志”按钮得到界面变化状态图79。;8.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9.本外观设计产品的图形用户界面中的灰色“X”涂覆内容属于内容画面。</t>
  </si>
  <si>
    <t>带企业财务管理图形用户界面的显示屏幕面板</t>
  </si>
  <si>
    <t>CN115019386A</t>
  </si>
  <si>
    <t>本发明涉及一种基于深度学习的运动辅助训练方法，包括预处理目标运动员的视频数据、训练运动员目标检测网络、训练关键点检测网络、训练动作检测网络等步骤，通过训练三个不同功能卷积神经网络组合的创新型的深度学习模型，对运动员进行目标检测、关键点识别以及动作识别。本发明提高了检测模型的识别精度以及不同环境下的适用性，减少了模型对数据集参数的依赖性，一定程度上提高模型的鲁棒性。</t>
  </si>
  <si>
    <t>基于深度学习的运动辅助训练方法</t>
  </si>
  <si>
    <t>CN114642867B</t>
  </si>
  <si>
    <t>本发明公开了一种具有划船运动姿态自动纠错功能的AI教练机系统，属于健身器材领域。本发明所提供的教练机系统，包括划船机、姿态检测装置和姿态纠错提醒装置，它可以通过对运动者的划船速度控制、划船姿态检测以及纠错提示，来帮助用户更好的进行锻炼，规避使用过程中的错误姿势及方法，避免训练姿势不当而造成的受伤，降低用户的使用过程中的风险，达到更好的健身效果。此类教练机系统可通过人工智能来实现自动纠错，从而无需教练就可使用，大大减少了划船机的使用门槛，同时也减少了训练费用。</t>
  </si>
  <si>
    <t>一种具有划船运动姿态自动纠错功能的AI教练机系统</t>
  </si>
  <si>
    <t>KR1020220169384A</t>
  </si>
  <si>
    <t>公开了一种支持基于人工神经网络的相机参数预测模型的照相馆操作方法和系统。 上述实施例涉及一种照相馆运营方法和系统,具体为根据用户选择的拍摄理念控制拍摄室内的灯光、音乐和相机,通过分析用户的行为来控制拍摄室内的灯光,以及一种根据用户的跑步测试图片设置用户期望的最佳相机参数的方法及系统。</t>
  </si>
  <si>
    <t>支持基于人工神经网络的相机参数预测模型的影楼运营方法及系统</t>
  </si>
  <si>
    <t>IN202241022242A</t>
  </si>
  <si>
    <t>物联网的发展增强了我们评估、获取和处理以前难以想象的数据量的能力。 它允许场景使用来自不同领域的技术数据,这远远超出了我们的需求、便利性和效率。 物联网是一个概念,它反映了任何一群人、事物、服务、网络在任何时间、任何地点的连接。 物联网是下一代技术的大趋势。 物联网使智能对象成为包括医疗保健在内的各个领域的信息物理智能系统开发主流中可以连接的最佳部分。 医疗保健是物联网应用更具吸引力的领域。 物联网有可能增强许多医疗应用,例如健康监测、健身计划、慢性病和老年保健。 在家中,配备治疗、药物和家庭健康服务也是物联网具有巨大潜力的领域。 为此,各种医疗设备、传感器、成像和诊断设备可以连接在一个系统中,希望通过实时处理收集到的信息,降低医疗成本,提高生活质量,丰富用户体验。 心律失常或心跳异常是心血管疾病患者死亡的主要原因之一,智能移动传感器被认为是医学许多方面的有效预防方法。 尽管它们的临床效用得到了证明,但它们在医疗保健行业中的使用仍然不足。 这些设备在集成到医疗保健程序中时,可以增强医患关系,增加患者的自主权和参与他们的医疗保健,并提供新的远程监控技术,这将彻底改变医疗保健管理。</t>
  </si>
  <si>
    <t>物联网系统支持老年人健康</t>
  </si>
  <si>
    <t>WO2022220730A1</t>
  </si>
  <si>
    <t>本发明涉及一种用于通过计算机视觉和/或跟踪来收集和处理数字信息以及在运动期间,特别是在球拍运动的练习期间观察特定事件的设备、方法和计算机程序,包括:至少一个摄像机对 用于获得与体育相关的立体图像的真实图像相关信息,用于处理来自至少一个摄像机的实际图像相关信息的处理器,包含存储的用于虚构运动员的典型动作和典型动作和位置的比较数据的存储空间 虚拟球、相机、处理器和存储空间都相互连接,用于存储和检索数字信息,处理器将来自至少一个相机的实际图像相关信息与来自存储空间的相应存储比较数据进行比较并分类 作品图像相关信息。</t>
  </si>
  <si>
    <t>用于跟踪、捕捉和观察体育相关事件的装置、方法和计算机程序</t>
  </si>
  <si>
    <t>CN307470380S</t>
  </si>
  <si>
    <t>1.本外观设计产品的名称：带有汽车驾驶模拟训练图形用户界面的平板电脑。
 2.本外观设计产品的用途：本外观设计的平板电脑用于运行相关软件、显示信息及通信。
 3.本外观设计产品的设计要点：在于显示屏幕面板中的图形用户界面内容，其余部分为惯常设计。
 4.最能表明设计要点的图片或照片：主视图。
 5.为惯常设计，省略其他视图，省略硬件设计部分和其余部分。
 6.图形用户界面的用途：用于汽车驾驶模拟训练操控平台显示。
 7.图形用户界面的人机交互方式：各界面中相应的按钮被点击后呈现出相应的界面变化状态图。
 其中：主视图为汽车驾驶模拟训练中基础教学功能显示界面，界面底部包括两组按钮，分别是靠右侧的基础教学、场地训练、模拟考试、轨迹回放、结束训练五个按钮，和靠左侧的呼叫、刹车、设置、教练四个按钮；点击场地训练按钮进入界面变化状态图1所展示的场地训练功能显示界面；点击轨迹回放按钮进入界面变化状态图2所展示的轨迹回放显示界面；点击结束训练按钮进入界面变化状态图3所展示的是否结束训练显示界面；点击呼叫按钮进入界面变化状态图4所展示的呼叫教练显示界面；点击刹车按钮进入界面变化状态图5所展示的解刹显示界面；点击设置按钮进入界面变化状态图6所展示的用户设置显示界面；点击教练按钮进入界面变化状态图7所展示的教练选择显示界面。</t>
  </si>
  <si>
    <t>带有汽车驾驶模拟训练图形用户界面的平板电脑</t>
  </si>
  <si>
    <t>CN307448541S</t>
  </si>
  <si>
    <t>1.本外观设计产品的名称：带出行住宿预订图形用户界面的显示屏幕面板。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6.图形用户界面的用途：界面用于酒店预订、火车票和飞机票订票的用途。
 7.图形用户界面的人机交互方式：主视图显示的图形用户界面为打开程序的起始界面；界面变化状态图1：在主视图中央的出发城市和到达城市输入框内输入任意城市名称（这里出发城市填写“北京”，到达城市填写“上海”为例）并点击最右侧的“搜索”按钮进入界面变化状态图1；界面变化状态图2：点击界面变化状态图1最上方的“酒店”按钮进入界面变化状态图2；界面变化状态图3：点击界面变化状态图2下方从上至下第1个“查看详情”按钮进入界面变化状态图3；界面变化状态图4：点击界面变化状态图3右下方从上至下第1个“预订”按钮进入界面变化状态图4；界面变化状态图5：在界面变化状态图1‑4任意一个界面点击最上方的“火车”按钮进入界面变化状态图5；界面变化状态图6：点击界面变化状态图5右下方从上至下第1个“预订”按钮进入界面变化状态图6；界面变化状态图7：在主视图、界面变化状态图1‑6任意一个界面点击最左侧菜单中的“商城管理”按钮进入界面变化状态图7。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</si>
  <si>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带出行住宿预订图形用户界面的显示屏幕面板</t>
  </si>
  <si>
    <t>CN307448539S</t>
  </si>
  <si>
    <t>1.本外观设计产品的名称：带会计档案管理图形用户界面的显示屏幕面板。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6.图形用户界面的用途：界面用于会计财务凭证、档案管理与展示的用途。
 7.图形用户界面的人机交互方式：主视图显示的图形用户界面为打开程序的起始界面；界面变化状态图1：在主视图左侧主菜单先点击“电子会计档案”按钮展开子菜单后再点击“会计凭证”按钮得到界面变化状态图1；界面变化状态图2：点击界面变化状态图1右上方“导出”按钮左侧的“小齿轮”图形按钮弹出界面变化状态图2；界面变化状态图3：点击主视图最上方的“控制中台”按钮进入界面变化状态图3；界面变化状态图4：点击界面变化状态图3左侧菜单的“手工导入”按钮得到界面变化状态图4；界面变化状态图5：点击界面变化状态图4右上角的“添加模板”按钮弹出界面变化状态图5；界面变化状态图6：点击界面变化状态图3左侧菜单的“银行回单”按钮得到界面变化状态图6；界面变化状态图7：点击界面变化状态图6最右侧从上至下第1个“查看”按钮弹出界面变化状态图7；界面变化状态图8：点击界面变化状态图3左侧菜单的“检测项配置”按钮得到界面变化状态图8；界面变化状态图9：点击主视图最上方的“管理后台”按钮进入界面变化状态图9；界面变化状态图10：点击界面变化状态图9左侧菜单的“用户”按钮得到界面变化状态图10；界面变化状态图11：点击界面变化状态图10右上角的“导入用户”按钮弹出界面变化状态图11。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</si>
  <si>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带会计档案管理图形用户界面的显示屏幕面板</t>
  </si>
  <si>
    <t>CN307448540S</t>
  </si>
  <si>
    <t>1.本外观设计产品的名称：带应用程序管理图形用户界面的显示屏幕面板。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6.图形用户界面的用途：界面用于应用程序查看、安装、创建与管理的用途。
 7.图形用户界面的人机交互方式：主视图显示的图形用户界面为打开程序的起始界面；界面变化状态图1：点击主视图右上角从左至右第一个“三个小方块”图形按钮进入界面变化状态图1；界面变化状态图2：点击界面变化状态图1右上方的“销售合同管理”按钮进入界面变化状态图2；界面变化状态图3：在界面变化状态图2中央的任意位置向上滑动得到界面变化状态图3；界面变化状态图4：点击界面变化状态图1最上方的“已购应用”按钮进入界面变化状态图4；界面变化状态图5：点击界面变化状态图1最上方的“自建应用”按钮进入界面变化状态图5；界面变化状态图6：点击界面变化状态图5右上方的“创建应用”按钮弹出界面变化状态图6；界面变化状态图7：点击主视图最左侧菜单中的“应用管理”按钮得到界面变化状态图7。
 8.一、本外观设计产品的显示屏幕面板可应用于计算机、笔记本电脑、平板电脑、抬头显示器（HUD）、多媒体投影仪、智能手机、智能机器人、智能眼镜、虚拟现实眼镜、增强现实眼镜、混合现实眼镜、智能手表、健身监视器、头戴式耳机、行车记录仪、车载导航设备、车载数控电脑、汽车智能后视镜、智能音箱、智能电视、机顶盒、游戏掌机、游戏主机。
 二、本外观设计产品的图形用户界面中的灰色“X”涂覆内容属于内容画面。</t>
  </si>
  <si>
    <t>带应用程序管理图形用户界面的显示屏幕面板</t>
  </si>
  <si>
    <t>US20220233941A1</t>
  </si>
  <si>
    <t>本文描述了用于自动化或协助裁判棒球或垒球比赛的方法和系统。 击球区的位置是根据摄像机拍摄的站在本垒旁边的击球手的视频图像确定的。 向击球手移动的球的位置以及击球手握住的击球棒的位置,是使用计算机视觉基于由具有不同位置的至少两个摄像机捕获的视频图像自动跟踪的。 此外,对于球的位置是否与击球区相交,以及击球手是否真的试图将球棒挥向球,存在自主判断,并且基于这些判断中的至少一个,存在自主判断 是否发生了“罢工”或“球”。 此外,自动输出是否发生“击球”或“球”的指示。</t>
  </si>
  <si>
    <t>使用计算机视觉对棒球比赛进行自动或辅助裁判</t>
  </si>
  <si>
    <t>CN307407993S</t>
  </si>
  <si>
    <t>1.本外观设计产品的名称：显示屏幕面板的实体展示图形用户界面。
 2.本外观设计产品的用途：用于显示图形图像以及人机交互。
 3.本外观设计产品的设计要点：在于图形用户界面。
 4.最能表明设计要点的图片或照片：主视图。
 5.显示屏幕面板为惯常设计，省略其他视图。
 6.图形用户界面的用途：用于实体的展开与聚合的图谱效果展示。
 7.图形用户界面的人机交互方式：在主视图关闭“概览模式”显示变化状态图1，在主视图中鼠标悬浮在界面中间的关键词圆圈显示变化状态图2，在变化状态图2中鼠标悬浮在图谱上的不同边线上分别显示变化状态图3的职业显示，变化状态图4的居住城市显示，变化状态图5的专业特点显示，在变化状态图3中点击界面中间的关键词圆圈显示变化状态图6的属性值查看界面，在变化状态图4中点击并拖动“乒乓球”节点显示变化状态图7，在变化状态图7中在关键字的圆圈上点击鼠标右键显示变化状态图8，在变化状态图8中点击鼠标右键显示变化状态图9，在变化状态图9中点击鼠标右键后显示变化状态图10，在变化状态图10中点击任意空白地方显示变化状态图11，在变化状态图6中框选所有图谱节点显示变化状态图12，在变化状态图12中点击“聚合实体”显示变化状态图13，在变化状态图13中点击界面中间的圆圈，显示变化状态图14。
 8.该显示屏幕面板用于手机、电脑显示器、平板电脑。</t>
  </si>
  <si>
    <t>显示屏幕面板的实体展示图形用户界面</t>
  </si>
  <si>
    <t>CN307417495S</t>
  </si>
  <si>
    <t>1.本外观设计产品的名称：用于显示屏幕面板的音频播放图形用户界面。
 2.本外观设计产品的用途：本外观设计产品用于运行程序、显示信息和人机交互。
 3.本外观设计产品的设计要点：在于图形用户界面的界面内容和布局。
 4.最能表明设计要点的图片或照片：主视图。
 5.屏幕面板为惯常设计，省略后视图、仰视图、俯视图、左视图和右视图。
 6.图形用户界面的用途：该图形用户界面用于展示、播放音频以及视频。
 在主视图中，点击“今日推荐”控件，则跳转至今日推荐歌单页面；点击“私人FM”控件，则跳转至用户推荐歌单页面；点击“榜单”控件，则跳转至歌曲榜单页面；点击“歌单”控件，则跳转至用户歌单页面；点击“数专”控件，则跳转至数字专辑页面；点击“听书”控件，则跳转至听书页面；在运行直播时会将“数专”替换显示为“直播”控件。
 在页面中显示不同音频资源类型对应的大卡片，一个音频资源类型对应一个大卡片，每个大卡片显示图片、标题和文本信息；点击大卡片上显示的“播放/暂停”按钮，播放/暂停对应的歌曲；点击大卡片，跳转至该大卡片对应的详情页面。
 在主视图中滑动页面，页面滑动至界面变化状态图。
 主视图和界面变化状态图可以配置不同的色彩，如使用状态参考图1、2、3、4所示。
 7.该显示屏幕面板用于手机、笔记本电脑、平板电脑、计算机、车载中控屏幕、智能电视、智能手环、智能眼镜、智能手表、个人数字助理（Personal&amp;nbsp;Digital&amp;nbsp;Assistant，PDA）、健身监视器、投影仪。</t>
  </si>
  <si>
    <t>用于显示屏幕面板的音频播放图形用户界面</t>
  </si>
  <si>
    <t>CN114972980A</t>
  </si>
  <si>
    <t>本发明公开了一种用于可穿戴设备的3D家具智能识别方法，包括以下具体操作步骤：利用可穿戴设备的摄像头，从正面，以及四个侧面角度采集板材的图片；通过图片质量评估IQA算法，选择步骤一中效果最好的六张图片；用手指关节敲击板材，采集板材的敲击声音，并转化为数字信号；分析步骤二中所选择的图片，提取出板材的颜色、纹理、年轮、像素等特征；将步骤四中提取出的图片特征送入神经网络模型进行预测；将步骤二的声音信号和步骤五的预测结果一起送入滤波器进行分析，得出较为精确的板材种类。本发明的优点：可使用户直接穿戴上，较为便捷且易于携带，其可根据科学的方法来判断出所拍照板材的好坏，方便快捷。</t>
  </si>
  <si>
    <t>一种用于可穿戴设备的3D家具智能识别方法</t>
  </si>
  <si>
    <t>US20220339545A1</t>
  </si>
  <si>
    <t>一种基于历史数据,利用神经网络创建排名的方法,尤其是电竞游戏中的玩家或团队排名,包括:基于历史数据的神经网络学习,特别是基于历史数据的参数数据。 电子竞技游戏和这些游戏的结果; 根据当前数据,特别是有关电子竞技游戏参数和这些游戏结果的数据,通过神经网络创建玩家或团队的排名; 以及通过神经网络可能预测给定球员或球队之间未来比赛的结果。 实施例还包括用于实现该方法的系统以及使用该方法创建的排名。</t>
  </si>
  <si>
    <t>排名创建方法、排名创建系统和排名</t>
  </si>
  <si>
    <t>CN308266145S</t>
  </si>
  <si>
    <t>1.本外观设计产品的名称：显示屏幕面板的车辆信息显示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本图形用户界面用于车辆信息显示。设计1主视图至设计10主视图为车辆信息显示界面，界面显示车辆行驶速度、续航里程、行驶里程等信息。7.显示屏幕面板应用于车辆、计算机、笔记本电脑、平板电脑、手机、智能手机、智能手表、健身监视器、头戴式耳机、个人数字助理（PDA）、智能音箱、电视、机顶盒、游戏机。</t>
  </si>
  <si>
    <t>WO2022216816A1</t>
  </si>
  <si>
    <t>本发明是一种解决方案,可以使用户能够利用赌博行业中的现场体育博彩线,可选地使用人工智能功能以及一系列警报,从而使投注者对赌注进行管理,即使更好地没有主动监视和控制赌注。这是通过自动设定的目标方法来实现现场投注来实现的。用户设置限制,如果在指定的时间范围内满足条件,则将触发购买。这种自动化方法与边缘结合使用。通过设置自动目标条件,如果在选定的时间范围内的任何时候满足这些条件,则会自动触发用户的下注。还可以选择在满足条件时才被警报,而自动触发下注。本发明是一种用户友好的软件解决方案,它允许用户利用自己喜欢的赌注在实时线路上。使用这种自动设置的目标方法,该软件将允许用户在游戏之前和期间利用实时线路,从而消除了跟踪实时线路的非常耗时的任务,直到用户的首选标准匹配为BET。</t>
  </si>
  <si>
    <t>用于现场体育博彩的系统和方法</t>
  </si>
  <si>
    <t>US20220335559A1</t>
  </si>
  <si>
    <t>本发明是一种使用户能够利用赌博行业中的现场体育投注线的解决方案,可选地使用人工智能特征以及使得投注者能够管理投注的一系列警报,即使更好的是没有主动监控和控制 赌注。 这是通过现场投注的自动设定目标方法来实现的。 用户设置限制,如果在指定时间范围内满足条件,则触发购买。 这种自动化方法与保证金相结合。 通过设置自动目标条件,如果在所选时间范围内的任何时间点满足这些条件,用户的投注就会自动触发。 还有一个选项是在满足条件时收到警报,而不是自动触发下注。 本发明是一种用户友好的软件解决方案,它允许用户利用他们喜欢的在实时线上的投注量。 通过这种自动设定目标的方法,该软件将允许用户在游戏之前和期间利用实时线,从而消除跟踪实时线的非常耗时的任务,直到用户的首选标准与投注相匹配。</t>
  </si>
  <si>
    <t>US11515045B1</t>
  </si>
  <si>
    <t>本文描述了基于机器学习的系统和预测与运行有关的伤害和相关训练方法的方法。训练机器学习模型的示例方法包括接收一个数据集,其中包括与运行相关的数据,其中与运行相关的数据包括具有相应与运行相关的伤害标签标记的多个样本。该方法还包括增强数据集,其中增强数据集进一步包括具有各自与跑步相关伤害标签的多个合成样本。该方法还包括使用增强数据集培训机器学习模型。训练有素的机器学习模型配置为预测与跑步相关的伤害的风险。</t>
  </si>
  <si>
    <t>使用机器学习模型和相关机器学习训练方法预测跑步相关伤害的风险</t>
  </si>
  <si>
    <t>KR102519287B1</t>
  </si>
  <si>
    <t>本发明涉及一种基于物联网(IoT)的用户定制非面对面人工游泳池系统。 更具体地说,可以不受时间和地点限制,远程进行游泳课程,并根据用户个人健康状况和用户游泳水平,自动创建合适的人工波浪,进行定制化的游泳锻炼。 - 基于物联网的面对面人工游泳池系统。 
  为此,本发明提供了一种用于感应用户游泳动作的Kinect设备单元; 一种人工游泳设备单元,包括人工造浪模块,在人工造浪模块中设有供使用者游泳的水池,由设备控制单元控制人工造浪造浪; 设备控制单元,通过无线通讯与人工游泳设备单元连接,控制人工游泳设备产生人工波浪的流量、流速、喷水速度、喷水高度; 显示单元,接收Kinect设备识别出的用户动作信息,输出用户实时运动画面、与其他用户的实时比赛视频等信息; 提供用户定制的基于物联网的非面对面人工泳池系统,包括提供人工泳池使用预约和付费的终端,以及个性化的游泳锻炼指南。</t>
  </si>
  <si>
    <t>用户定制的基于物联网的非面对面人工游泳池系统</t>
  </si>
  <si>
    <t>IN202241020113A</t>
  </si>
  <si>
    <t>Ayushman 为健身房和健康中心的客户和员工提供端到端的解决方案,为他们提供分层解决方案,为他们提供健身房日常运作的定制化管理,以及从方案包建议到实时传感器集成数据分析解决方案, 常规建议。 基于现有闭路电视基础设施的实时视频捕获分析,用于监控行为的充分性。 会员和员工可通过虚拟助手全天候 24x7 访问。 内部部署或云部署方面的灵活性。</t>
  </si>
  <si>
    <t>基于人工智能的整体健康管理和健身房自动化模块,带有虚拟助手工具</t>
  </si>
  <si>
    <t>CN114494356B</t>
  </si>
  <si>
    <t>本发明适用于计算机领域，提供了一种基于人工智能的羽毛球视频片段处理方法和系统，所述方法包括：对羽毛球比赛视频进行预处理，得到目标视频片段，所述目标视频片段至少包括追分视频片段和比分反超视频片段；捕捉目标视频片段中对阵双方从暂停结束到下一次暂停开始之间的视频子片段，将所述视频子片段按照时间轴先后顺序进行区别标记；定位经过标记的视频子片段中的目标体，获取目标体在经过标记的视频子片段中的分帧运动轨迹影像，判断该分帧运动轨迹影像是否存在拖影现象，本发明的有益效果在于：提高高速拖影以及变形情况下对目标体的可视性以及便于进行比赛相关数据的分析。</t>
  </si>
  <si>
    <t>一种基于人工智能的羽毛球视频片段处理方法和系统</t>
  </si>
  <si>
    <t>CN217472652U</t>
  </si>
  <si>
    <t>本实用新型公开了一种互通互联健身设备，其包括智能健身镜和动感单车；所述智能健身镜包括健身镜本体、安装于健身镜本体的健身镜控制器、健身镜显示屏、健身镜扬声器和健身镜语音识别器；所述动感单车包括单车本体、安装于单车本体的单车控制器、单车磁阻尼器、单车心率传感器、单车踏频传感器和单车刹车检测器；所述健身镜控制器与单车控制器通信连接。本实用新型的智能健身镜与动感单车互联互通，从而能有效提高使用者的健身互动感和健身效果。</t>
  </si>
  <si>
    <t>一种互通互联健身设备</t>
  </si>
  <si>
    <t>CN114857513A</t>
  </si>
  <si>
    <t>本发明公开了一种基于物联网的篮球场LED灯，包括水平设置的平台，所述平台前后两侧均固定连接有左右对称设置的第二固定板，所述平台前后两侧均固定连接有第一固定板，且所述第一固定板位于相邻的两个第二固定板之间，两个所述第二固定板和第一固定板之间共同贯穿设有两个横杆，本发明通过放置块、平移块、第一固定板、第二固定板、横杆、移动块、第一齿块、第二齿块、电动伸缩杆、安装环等部件之间的相互配合，可实现将灯框的角度进行翻转的目的，调整LED灯管的照射范围，通过棘轮和卡块等部件的相互配合，可实现调整LED灯管的照射角度。</t>
  </si>
  <si>
    <t>一种基于物联网的篮球场LED灯</t>
  </si>
  <si>
    <t>CN114898838A</t>
  </si>
  <si>
    <t>本公开提供了动作监测方法、系统、装置、介质及程序产品，涉及计算机技术领域，尤其涉及人工智能领域。具体实现方案为：获取健身用户的肢体关键点特征；获取健身用户关联的地面受力信息，并根据地面受力信息，确定肢体关键点的对地压力值；根据肢体关键点特征和对地压力值，对健身用户的健身动作进行监测。本公开实施例的技术方案，可以提高健身监测准确性。</t>
  </si>
  <si>
    <t>动作监测方法、系统、装置、介质及程序产品</t>
  </si>
  <si>
    <t>US20230079978A1</t>
  </si>
  <si>
    <t>本文包括用于计算系统的电源管理的系统、方法和设备,其使用机器学习来优化计算系统的组件的个体频率。 计算系统可以是紧密集成的系统,其考虑在计算系统的组件之间共享的总体操作预算,同时调整各个组件的频率。 电源管理自动化方法的示例包括:(1) 使用电源管理 (PM) 代理学习计算系统不同组件在重复应用程序执行期间的频率设置,以及 (2) 调整频率设置 使用 PM 代理的不同组件,其中调整是基于重复应用程序和一个或多个限制,该限制对应于计算系统的共享操作预算。</t>
  </si>
  <si>
    <t>计算系统中电源管理调整的自动方法</t>
  </si>
  <si>
    <t>WO2023191141A1</t>
  </si>
  <si>
    <t>公开了一种电子设备。 该电子设备包括通信接口、存储器和处理器,并且处理器从每个由多个运动员佩戴的多个可穿戴设备接收参加运动的多个运动员的时间相关位置信息,并且基于位置信息,获取与进行运动的多个时间点对应的多个热图的信息——热图表示进行运动的场地中多个运动员所占据的区域——并获取关于运动的信息将多个热力图输入到学习到的第一神经网络模型中,输出物体的位置信息,以获得运动中使用的物体的位置信息。</t>
  </si>
  <si>
    <t>电子设备及其控制方法</t>
  </si>
  <si>
    <t>CN114781022A</t>
  </si>
  <si>
    <t>本发明提供了一种智能化体育场索网结构施工管理方法及装置，该方法包括：生成与索网结构对应的数字模型，其中，所述数字模型包括BIM模型以及对应的有限元模型；根据所述BIM模型确定测点位置，并根据所述有限元模型进行所述索网结构施工过程的安全风险状况模拟；获取来自所述测点位置的具有时间序列特征的实时传感数据，其中，所述实时传感数据反映所述索网结构施工过程中的多种要素；利用人工智能对所述实时传感数据进行深度挖掘并进行预测，判断是否满足所述索网结构的施工安全要求。本发明可提高体育场索网结构的施工安全性，保证施工质量，有效避免施工事故的发生，降低施工成本，提高施工效率。</t>
  </si>
  <si>
    <t>一种智能化体育场索网结构施工管理方法及装置</t>
  </si>
  <si>
    <t>CN114576841A</t>
  </si>
  <si>
    <t>本发明涉及环境检测仪技术领域，且公开了一种基于智能物联网的家用空气检测的环境检测仪，包括；检测装置本体，所述检测装置本体为矩形中空结构，其设置有与其外围形状形同的通腔，用于气流交换，其上端还设置有机械腔；设备固定框，其安装在所述检测装置本体的外围，且所述设备固定框的内壁与所述检测装置本体的外侧固定连接。该设备通过设置在室内外环境交换口处，通过对外部环境进行检测，当外部环境处于洁净适合生活状态下，通风百叶条开启，能够使得内外空气进行正常的交流，而当外部环境的空气中处于不干净的情况下，通风百叶条则关闭，压缩气泵将外部的空气进行净化处理，并将干净的气体从导流套传入房间内，进而做到检测净化一体操作。</t>
  </si>
  <si>
    <t>一种基于智能物联网的家用空气检测的环境检测仪</t>
  </si>
  <si>
    <t>CN307491422S</t>
  </si>
  <si>
    <t>1.本外观设计产品的名称：用于显示屏幕面板的数据展示用户界面。
 2.本外观设计产品的用途：用于人机交互及显示。
 3.本外观设计产品的设计要点：在于显示信息的图形用户界面的界面内容。
 4.最能表明设计要点的图片或照片：主视图。
 5.因其不具有设计要点，省略俯视图、仰视图、左视图、右视图、后视图。
 6.图形用户界面的用途：该图形用户界面用于对马拉松相关数据进行展示。
 主视图显示马拉松数据展示界面，用户可点击主视图中马拉松轨迹下方的图标查看图标对应的信息，主视图有对应的参考图。
 该显示屏幕面板用于手机、台式电脑、笔记本电脑、平板电脑。</t>
  </si>
  <si>
    <t>用于显示屏幕面板的数据展示用户界面</t>
  </si>
  <si>
    <t>ID202205292A</t>
  </si>
  <si>
    <t>本发明涉及基于微型计算机和物联网(IoT)的训练器嵌入式系统。 本发明的主要目的是作为嵌入式系统的学习媒介,特别是学习物联网技术,它将为学生和公众提供对物联网技术的理论和实践理解。 本发明使用一个盖子/盒子作为教练模块的保护器,电子元件分为几个组件块: 1. 电源块,即直流输入插座、Stepdowm LM35、On/Off 开关和输入/输出电压测量点 2 . 微控制器模块,即Rasbery PI 3B、ESP 32 和测量点/输出 3. 输入模块是嵌入式系统学习中的基本传感器,即温度传感器、湿度、时间RTC、气体传感器、接近传感器和开关 4. 输出接口显示块作为输出,在测量电路上以 20X4 LCD 的形式显示,Oled LCD,七段,i2C LCD,显示定时器,LED 和 LED 矩阵 5. 输出接口块是继电器和直流电机,即 8 通道继电器、180 度伺服电机、12V 直流电机和 Mini l298N。 在使用 Android 智能手机媒体进行物联网学习中,用于控制和监控系统(工厂)的媒体,该系统(工厂)是使用培训模块通过使用微型计算机(Raspberry PI 3B)和已编程并具有 wifi 模块的 ESP32 微控制器制成的,该模块已开启培训模块。本发明配备应用程序、学习嵌入式系统和物联网的教程书籍。</t>
  </si>
  <si>
    <t>trainer 基于微机和物联网(IoT)的嵌入式系统</t>
  </si>
  <si>
    <t>EP4079384A1</t>
  </si>
  <si>
    <t>本发明的主题是使用神经网络基于历史数据创建排名,尤其是电竞游戏中的玩家或团队排名的方法,包括以下步骤: a. 基于历史数据的神经网络学习,尤其是关于电竞玩法参数和这些玩法结果的数据。 湾。 在当前数据的基础上,通过神经网络创建玩家或团队的排名,特别是关于电子竞技游戏参数和这些游戏结果的数据。 C。 神经网络可能预测给定球员或球队之间未来比赛的结果。 本发明还包括用于实施该方法的系统以及使用该方法创建的排名。</t>
  </si>
  <si>
    <t>一种创建排名的方法、一种创建排名的系统和一种排名</t>
  </si>
  <si>
    <t>WO2023002716A1</t>
  </si>
  <si>
    <t>提供一种具有用于估计与体育比赛视频的任意部分相关的场景类型的机器学习模型的计算机视觉系统,该机器学习模型不太可能在学习期间引起梯度消失。 计算机视觉系统(10)具有连续图像数据获取单元和机器学习模型(M),机器学习模型(M)获取多个上半图像特征量(F1)和下半图像特征量获取单元(412),用于获取多个后半图像特征量(F2);以及前半特征量获取和顺序信息,用于获取多个前半图像特征量和顺序信息(F3),后半部分特征量获取具有顺序信息的单元(422)用于获取多个具有顺序信息的后半部分特征量(F4);具有信息的前半部分特征量获取单元(431)、具有关联信息的后半部分特征量获取单元(432)是获取多个具有相关信息的后半部分特征量(F6)和多个具有相关信息的前半部分特征量估计结果获取单元(50),用于获取基于(F5)和多个后半部分的估计结果具有相关信息的特征量 (F6)。</t>
  </si>
  <si>
    <t>计算机视觉系统、计算机视觉方法、计算机视觉程序和学习方法</t>
  </si>
  <si>
    <t>WO2023187899A1</t>
  </si>
  <si>
    <t>提供了一种计算机视觉系统,其具有估计与体育比赛视频的任意部分相关的场景类型的机器学习模型,该机器学习模型在学习期间不太可能导致梯度消失。 计算机视觉系统(10)包括连续图像数据采集单元和机器学习模型(M),机器学习模型(M)将多个前半图像特征(F1)转换为多个前半图像特征(F1)。前半图像特征获取单元(411)从数据(CD1)中获取,显着性加权前半特征获取单元从多个前半中获取多个显着性加权前半特征(F2)。图像特征F1.(421),以及估计结果获取单元(50),其基于多个显着性加权前半特征(F2)获得估计结果。</t>
  </si>
  <si>
    <t>IN202211017344A</t>
  </si>
  <si>
    <t>本发明涉及一种排球训练装置,包括配置有人工智能图像捕捉模块2并与微控制器连接以确定用户水平并生成命令的平台1、位于手腕和脚踝上的可穿戴带3、4 使用者的身体通过弹力绳5连接,多个导轨6配置有投球装置,通过垂直支架7安装在平台1上,夹持器8在导轨6上平移至预定距离以限制弹性并使用户能够 为了初级水平伸手和中级水平同时停用,全息投影单元9安装在平台1上帮助用户以适合初学者的方式击球,触摸交互显示面板10插在平台1监视器上 用户并提升用户等级。</t>
  </si>
  <si>
    <t>排球训练器</t>
  </si>
  <si>
    <t>IN202211017433A</t>
  </si>
  <si>
    <t>本发明涉及一种高尔夫训练装置,包括可调节的可穿戴本体1,以穿戴在用户手臂部分的方式开发,专注于实现高尔夫训练,人工智能图像采集模块2安装在本体1上,用于 确定用户手臂的长度和宽度,据此指导身体 1 正确配备手臂,全息投影单元 3 附在身体 1 上,投射打高尔夫球的用户的姿势/姿势,机动铰链关节 4 制造在主体 1 和球杆 5 之间,根据比赛水平,它旋转到所需的角度,以帮助正确挥杆,触摸交互式显示面板 7 安装在主体 1 上,显示得分和用户在获得时所犯的错误 训练水平。</t>
  </si>
  <si>
    <t>高尔夫训练器</t>
  </si>
  <si>
    <t>IN202211017417A</t>
  </si>
  <si>
    <t>本发明涉及一种羽毛球训练器,包括:设置有网的羽毛球场;本体1,第一端和第二端位于网的一侧,第一端制造有多个轮子2,轮子2用于操纵本体1 球场内多个方向,第二端附有多个插槽3,每个插槽3用于存放羽毛球,弹射单元4从腔室中分配羽毛球,人工智能图像采集模块5用于检测捕捉用户的多张图像,圆形 用于在分配羽毛球期间为插槽3提供旋转的支架装置6,用于将光投射在用户站立的点上以通知用户的全息投影单元7,用于评估用户表现和显示的显示面板8 在面板 8.</t>
  </si>
  <si>
    <t>羽毛球训练器</t>
  </si>
  <si>
    <t>IN202211017375A</t>
  </si>
  <si>
    <t>一种用于室内游泳池的可调节座椅装置,包括具有第一部分2的主体1,包括由用户占据的平台3,同时部分浸没在游泳池中,用于检测用户的体格/平台3与游泳池底部之间的距离的人工智能相机4 ,伸缩杆 5 用于根据用户身高将平台 3 提升到特定高度 多个吸盘 6 附接到第二部分 7 以产生吸力以吸附主体 1 与池底和吸盘 6 压力强度由微控制器根据强度改变 由摄像机 4 检测到的波浪/波纹,一对脚踏板 8 通过滑块 9 安装在主体 1 上,帮助用户坐在平台 3 上休息脚,按钮 10 用于启动滑块 9 以根据用户的身高改变脚踏板 8 的位置 / 坐姿从而为泳池内的用户提供舒适的座位空间。</t>
  </si>
  <si>
    <t>用于室内游泳池的可调节座椅装置</t>
  </si>
  <si>
    <t>IN202211017374A</t>
  </si>
  <si>
    <t>一个针对跳伞运动员的着陆辅助系统,包括用户在表演跳伞时佩戴的保护性眼镜1,其中眼镜1包括一个压力传感器3,可根据用户的位置检测大气压力,与微控制器集成并与一个链接的通信模块高度计与用户携带的降落伞排列,其中高度计到用户的位置,以分析部署降落伞的最佳时间点,AI(人工智能)基于AI(人工智能)的摄像头2,可与腿近端可视化登陆空间,并与腿部近端可视化。用户的姿势是在眼镜1上排列的虚拟屏幕5,用于显示传感器3和高度计产生的输出以及最佳的最佳姿势和/或部署降落伞的说明,一对耳机6与扬声器集成在一起,以提供可听见的命令关于在最佳时间点开放降落伞。</t>
  </si>
  <si>
    <t>跳伞着陆辅助系统</t>
  </si>
  <si>
    <t>GB2607415A</t>
  </si>
  <si>
    <t>一种用于在网球比赛中指示让球的方法和系统,包括按下手机或平板电脑上的按钮以启用让球检测功能,并在无需按下物理按钮或触摸屏按钮的情况下控制进攻计时钟。 let 检测功能仅在武装时激活,并检测球与网之间的碰撞。 进攻计时钟优选地通过语音控制、语音识别或手势控制来控制,并且可以检测裁判90何时通过麦克风96宣布得分。</t>
  </si>
  <si>
    <t>let 检测系统具有拍摄时钟、bmi 和网张力功能</t>
  </si>
  <si>
    <t>CN114639168B</t>
  </si>
  <si>
    <t>本发明提出一种用于跑步姿态识别的方法和系统。包括：由位于不同位置上的多个数据采集装置，采集多组包含跑步者的跑步姿态的视频数据，作为待识别数据；对所述待识别数据进行预处理，以从所述待识别数据中获取经归一化的关键帧数据；利用卷积神经网络，从所述经归一化的关键帧数据中确定所述跑步者的关节特征信息，所述关节特征信息为所述经归一化的关键帧数据中的所述跑步者的各个关节的位置信息；根据所述各个关节的位置信息，有序连接所述各个关节，以从经有序连接的关节线图中确定有效夹角；通过计算所述有效夹角与标准姿态夹角之间的差值，确定所述跑步者的跑步姿态与标准跑步姿态之间的相似度，所述相似度用于纠正所述跑步者的跑步姿态。</t>
  </si>
  <si>
    <t>一种用于跑步姿态识别的方法和系统</t>
  </si>
  <si>
    <t>CN114863237B</t>
  </si>
  <si>
    <t>本发明提出一种用于游泳姿态识别的方法和系统。所述方法包括：由位于不同位置上的多个数据采集装置，采集多组包含游泳者的游泳姿态的视频数据，作为待识别数据；对所述待识别数据进行预处理，以从所述待识别数据中获取经归一化的关键帧数据；利用卷积神经网络，从所述经归一化的关键帧数据中确定所述游泳者的关节特征信息，所述关节特征信息为所述经归一化的关键帧数据中的所述游泳者的各个关节的位置信息；根据所述各个关节的位置信息，将所述各个关节进行有序连接，以获取所述游泳者的骨架图；基于欧式距离，计算所述游泳者的骨架图与游泳姿态标准骨架图之间的相似度，所述相似度用于纠正所述游泳者的游泳姿态。</t>
  </si>
  <si>
    <t>一种用于游泳姿态识别的方法和系统</t>
  </si>
  <si>
    <t>KR1020230139005A</t>
  </si>
  <si>
    <t>[0001] 本发明涉及一种能够在正在进行的英雄联盟游戏中预测最终输赢的系统以及实现该系统的程序。更具体地,它是一种用于英雄联盟游戏的输赢预测系统,指已确定输赢的英雄联盟游戏,从大数据中以对(Xn,Yn)的形式收集状态信息和最终输赢信息。 大数据采集部 ; 将每个时间点的状态信息和最终的输赢信息作为学习数据集,通过深度学习学习该时间点的状态信息与最终输赢之间的相关性,从而创建输赢预测模型。 模型创建部分 ; 以预定时间间隔或每当发生预定事件时从当前正在进行的游戏客户端收集进度信息。 进度信息收集部 ; 并将收集到的比赛状态信息输入输赢预测模型中,得出预测结果。 计算器 ; 这是关于使用人工智能深度学习的英雄联盟游戏输赢预测系统,包括。</t>
  </si>
  <si>
    <t>英雄联盟比赛输赢预测系统</t>
  </si>
  <si>
    <t>CN307384606S</t>
  </si>
  <si>
    <t>1.本外观设计产品的名称：用于显示屏幕面板的信息展示图形用户界面。
 2.本外观设计产品的用途：本外观设计产品用于显示信息、运行程序，该显示屏幕面板用于计算机、笔记本电脑、平板电脑、手机、智能手机、智能眼镜、虚拟现实眼镜、增强现实眼镜、混合现实眼镜、手表、智能手表、健身监视器、头戴式耳机、智能音箱、电视、机顶盒。
 3.本外观设计产品的设计要点：在于屏幕中的图形用户界面内容，显示屏幕面板为现有设计，界面中的文字内容仅用于指明内容区域，文字本身并非本外观设计的保护内容。
 4.最能表明设计要点的图片或照片：设计1主视图。
 5.设计1至设计3的产品硬件部分为常规设计，省略设计1至设计3的后视图、左视图、右视图、俯视图以及仰视图。
 6.指定设计1为基本设计。
 7.图形用户界面的用途：本外观设计产品用于视频查询、搜索以及相关信息展示。
 8.图形用户界面的人机交互方式：设计1至设计2的界面主视图中各模块可点击操作，以进入相应的下一级界面进行操作，在设计1中，设计1界面主视图界面中部依次向上滑动，可进入设计1界面变化状态图1、设计1界面变化状态图2、设计1界面变化状态图3&amp;nbsp;设计2和设计3的人机交互过程与设计1一致。</t>
  </si>
  <si>
    <t>用于显示屏幕面板的信息展示图形用户界面</t>
  </si>
  <si>
    <t>KR1020230138590A</t>
  </si>
  <si>
    <t>本发明涉及一种基于云的身份证打印系统,该系统使用物联网终端上的云应用程序请求打印用于各种展览、体育赛事等的安全访问的大身份证,并将其打印到远程身份证打印机。</t>
  </si>
  <si>
    <t>基于云的身份证打印系统</t>
  </si>
  <si>
    <t>KR1020230139879A</t>
  </si>
  <si>
    <t>本发明涉及一种使用IoT提供共享锻炼服务的系统、一种用于提供共享锻炼服务的方法及其计算机程序。 根据本发明的一种利用物联网提供共享锻炼服务的系统,包括: 至少一个用户终端,用于接收用户信息和用于预订锻炼设施的预订信息; 至少一处安装了操作健身器材或设置健身环境的物联网设备的健身设施; 其特征在于,包括锻炼服务提供服务器,其生成与从用户终端输入的预约信息相对应的用于控制锻炼设施的控制信号,并将其发送到IoT设备。 因此,通过使用物联网(IoT)设备自动激活用户预留的锻炼空间和锻炼设施,可以提高使用锻炼设施的便利性,并且用户可以在锻炼设施内的各个锻炼空间中使用锻炼设施。通过允许用户执行必要的锻炼计划可以保护隐私,可以持续存储用户的锻炼记录以及根据锻炼结果的健康和身体记录,并且可以向用户提供更先进的锻炼计划和反馈。</t>
  </si>
  <si>
    <t>使用物联网的共享锻炼服务提供系统、提供共享锻炼服务的方法及其计算机程序</t>
  </si>
  <si>
    <t>CN114699723A</t>
  </si>
  <si>
    <t>本发明涉及体育测试技术领域，具体涉及一种物联网仰卧起坐体质健康测试系统和方法，包括：身份识别模块，用于获取测试者的相关身份信息；数据获取模块，用于获取测试者仰卧起坐时的角度数据。本发明的有益效果是：测试者的双手分别握住两根握柄，并使压力触点能够始终与测试者的后脑勺处接触，角度传感器用于检测头部与臀部之间的倾斜角，规定平躺时倾斜角为0度，测试者上身与测试垫垂直时为90度，当角度传感器检测到的数值为0‑10度之间为开始状态，当角度传感器检测到的数值为大于等于90度时为结束状态，只有检测到这两组数据，控制器才判断为一个仰卧起坐合规完成，符合一个有效计数，实现了仰卧起坐测试的智能化，提高测试效率和精度。</t>
  </si>
  <si>
    <t>一种物联网仰卧起坐体质健康测试系统和方法</t>
  </si>
  <si>
    <t>CN114613015A</t>
  </si>
  <si>
    <t>本发明涉及人工智能技术领域，应用于智慧医疗领域中，提供一种健身动作图像的识别方法、装置、设备及存储介质，用于提高图像中健身动作的识别准确性。健身动作图像的识别方法包括：对目标健身动作图像序列进行方向梯度直方图特征提取和特征处理，得到各健身动作图像对应的目标方向梯度直方图特征和各健身动作图像对应的特征向量；对各健身动作图像对应的目标方向梯度直方图特征和特征向量进行特征组合和特征选择，得到各健身动作图像对应的目标特征；基于目标特征对目标健身动作图像序列进行人体姿态分类识别并进行基于图像相似度的人体姿态统计分类，得到目标分类结果。此外，本发明还涉及区块链技术，目标健身动作图像序列可存储于区块链中。</t>
  </si>
  <si>
    <t>健身动作图像的识别方法、装置、设备及存储介质</t>
  </si>
  <si>
    <t>US20220301353A1</t>
  </si>
  <si>
    <t>人体运动运动捕获的系统包括用于耦合到人类受试者各个部分的传感器节点。每个传感器节点都会生成惯性传感器数据,因为人类受试者参加了体育活动会话,并根据第一个机器学习模型处理惯性传感器数据,以生成一组局部运动测定。一个或多个计算设备接收一组本地确定,并根据第二个机器学习模型对其进行处理,以生成身体运动曲线。计算设备根据人体运动配置文件提供了动画显示动画显示,并根据从查看器接收到的动画显示器收到的输入生成训练数据。计算设备至少修改了第一个机器学习模型之一或第二个机器学习模型,至少部分基于培训数据。</t>
  </si>
  <si>
    <t>使用可穿戴传感器和机器学习的人体运动动态动画</t>
  </si>
  <si>
    <t>IN202211015918A</t>
  </si>
  <si>
    <t>一种运动跑步训练系统,包括设置在地面上用于跑步的统一平台1、安装在平台1上方用于检测用户身体姿势的基于AI(人工智能)的图像捕获模块2、映射在上方的显示单元3。 平台1显示不同的训练选项以根据预先获得的跑步技能选择对应于初学者、中级或专家级别的选项,一对跑台4通过相应的电动滑块配置在平台1上以帮助用户保持 初学者正确的跑步姿势,多个伸缩式栏架 6 通过滑块沿平台 1 的边缘并入,使用户能够在跑步时越过栏架 6,从而根据所选级别调整难度级别,并集成扬声器 7 在平台1上用于即兴创作用户的跑步姿势。</t>
  </si>
  <si>
    <t>运动跑步训练系统</t>
  </si>
  <si>
    <t>IN202211015922A</t>
  </si>
  <si>
    <t>一个辅助物体运输设备,包括一个大型剪刀形构件1,在其中安装了近端部分2,将前4和第二把手5安装,而远端部分3安装了一对夹紧元件6,以抓住一个物体,一个触摸传感器7,用于触摸传感器7确定用户握住的手柄4、5和无人看管的手柄4、5,一对液压推者8级子运动员按下无人看管的手柄4、5施加压力,一对吸力杯9个刺激性杯子9 cartate uction uction uction uction uction cuction uction cups sucction cups9为了确保额外的握力效果,一对电动车轮10用于启动Rod 11,以移动成员1的无人值守的一侧,以及一个基于AI(人工智能)的成像单元12与压力传感器13相关,以确定物体以及在手柄4、5处施加的压力量。</t>
  </si>
  <si>
    <t>辅助物体运输装置</t>
  </si>
  <si>
    <t>IN202211015920A</t>
  </si>
  <si>
    <t>班车公鸡维护设备,包括一个圆柱形外壳1,带有第一个2部分,以接收班车4进行修理,而第二部分3安装了一个基本平台,一个基本平台带有两个夹紧单元5,用于夹紧班车公鸡4,AI(人工智能))基于成像单元8用于捕获和处理周围的图像以确定羽毛的数量和位置,机器人臂9带有吸力杯10拾取和卸下羽毛,储存室11存储了多个原始羽毛12,并与液压集成在一起枪13放置和打孔羽毛,一个主要的滑轨14与伸缩杆15合并,该杆杆15与电子喷嘴16安装,用于分配胶水和次级滑轨17,并安装了带胶带包裹的滚筒18胶带周围的公鸡4。</t>
  </si>
  <si>
    <t>羽毛球维护装置</t>
  </si>
  <si>
    <t>IN202211016018A</t>
  </si>
  <si>
    <t>一种供视障人士使用的站台辅助车,包括具有多个车厢2的手推车1,车厢2具有用于存放行李的机动盖3,一对用于操纵手推车1的三轮组件5,扫描预定列车的扫描单元7 票、用于输入关于要使用的隔间 2 号的命令的麦克风、用于帮助用户到达隔间 2 以放置/提取行李的盲文标志、用于创建与 用于解码用户教练的平台和位置的服务器,用于寻找到达位置的最短路径的GPS(全球定位系统)模块,用于为用户提供实时音频导航的可穿戴音频单元8,基于AI(人工智能)的成像单元 9 用于确定即将到来的表面类型和障碍物的存在。</t>
  </si>
  <si>
    <t>视障人士平台辅助车</t>
  </si>
  <si>
    <t>CN218290932U</t>
  </si>
  <si>
    <t>本实用新型涉及生物设备技术领域，具体为智能生物反应器实验室，包括第一实验室台面、第二实验室台面、第三实验室台面以及第四实验室台面，所述第一实验室台面上安装有多个手工操作台秤，所述第二实验室台面和第三实验室台面的底部均设置有补料单元，在所述第二实验室台面和第三实验室台面之间设置有实验室过道，所述实验室过道的一侧设置有检测设备主机，所述第一转运机械臂的右侧位于实验室过道上设置有液体操作单元，本实用支持反应器的自动补料、自动取样、自动液体操作及自动样本检测等功能，简化人机交互复杂度，优化生产成本，并显著提高自动化操作过程中的资源有效分配及稳定性。</t>
  </si>
  <si>
    <t>智能生物反应器实验室</t>
  </si>
  <si>
    <t>CN114662538A</t>
  </si>
  <si>
    <t>本发明提供了一种基于多模态深度学习的健身效果评估与方案定制系统，包括数据库、采集模块、穿戴交互模块和评估模块，采集模块对使用者的动作的姿态进行采集；穿戴交互模块采集使用者的肌电信号，以生成使用者的锻炼动作数据；评估模块根据采集模块和穿戴交互模块的数据，以评估使用者的健身动作和健身状态；数据库分别与采集模块、穿戴交互模块和评估模块连接。本发明通过同步单元将采集模块和穿戴单元进行配对，以对同一使用者的图像数据和肌电信号数据的同步采集，促使训练动作的数据与采集的图像数据能同步，提升对使用者健身动作的精准评估。</t>
  </si>
  <si>
    <t>一种基于多模态深度学习的健身效果评估与方案定制系统</t>
  </si>
  <si>
    <t>CN307442850S</t>
  </si>
  <si>
    <t>1.本外观设计产品的名称：显示屏幕面板的固件漏洞状态图形用户界面。
 2.本外观设计产品的用途：用于运行程序、显示信息以及人机交互；该显示屏幕面板可应用于计算机、笔记本电脑、用于车辆的显示器、平板电脑、手机、智能手机、智能手环、智能眼镜、手表、智能手表、健身监视器、头戴式耳机、个人数字助理、智能音箱、电视、监视器、投影仪、导航设备、机顶盒、游戏机。
 3.本外观设计产品的设计要点：在于显示屏幕面板的图形用户界面内容。
 4.最能表明设计要点的图片或照片：设计3主视图。
 5.显示屏幕面板为惯常设计，省略各设计的后视图、左视图、右视图、俯视图、仰视图。
 6.指定设计3为基本设计。
 7.图形用户界面的用途：用于查看固件漏洞扫描、检测的状态和结果；设计1、设计2主视图为准备固件漏洞扫描界面，系统自动识别硬件是否连接无线网络，若没有连接显示设计1主视图，若已连接显示设计2主视图；硬件连接无线网络的前提下，检测是否连接待检测设备；若待检测设备未连接检测设备，显示设计2主视图，若待检测设备已连接检测设备，显示设计3主视图；待检测设备已连接检测设备的前提下，显示扫描状态，如设计4主视图所示，可根据下方进度条查看扫描进度；检测完成，显示设计6主视图；待检测设备与检测设备连接断开后，显示设计5主视图，连接后重新开始检测任务。</t>
  </si>
  <si>
    <t>显示屏幕面板的固件漏洞状态图形用户界面</t>
  </si>
  <si>
    <t>CN114781431A</t>
  </si>
  <si>
    <t>本发明属于无线感知技术领域，涉及一种基于跨模态迁移的人体行为数据标注及识别系统与方法，本系统是利用常见的商用摄像头和WiFi信号采集设备对人体行为进行采样，配合特有的深度学习算法对视频片段和WiFi信号进行特征提取和模型训练，利用知识蒸馏将从视频中学习到的辨别性知识为WiFi模型提供无监督指导，由此实现数据标注和行为识别。本发明可实现在不同的评估环境下，甚至在不同的感知数据集下验证数据标注的有效性，填补无线感知领域数据标注及生成的空白，为基于深度学习的无源感知与识别打造应用示例。该系统可广泛应用到健身检测、饮食监测和入侵检测等领域。</t>
  </si>
  <si>
    <t>基于跨模态迁移的人体行为数据标注及识别系统与方法</t>
  </si>
  <si>
    <t>CN114783051A</t>
  </si>
  <si>
    <t>本发明属于户外运动安全监控技术领域，具体为一种基于视觉的户外健身跑场景下跌倒行为识别和报警方法，包括步骤1：通过布设在户外公共健身步道上的单目摄像头采集人体RGB图像信息；步骤2：对图片进行人体检测，获取图片中每个人的检测框x，y，w，h，其中(x，y)表示检测框左上角点，w表示检测框的宽，h表示检测框的高；步骤3：对每个检测框进行人体姿态估计，获取每个人的24个骨骼关键点{x1，y1，...，x24，y24}，其结构合理，能够实现以户外健身跑道为应用场景，基于单目摄影头，建立跌倒模型数据库单目摄像头的视觉图像识别跑步者意外跌倒或意外倒地，并实施系统报警。</t>
  </si>
  <si>
    <t>一种基于视觉的户外健身跑场景下跌倒行为识别和报警方法</t>
  </si>
  <si>
    <t>CN307384592S</t>
  </si>
  <si>
    <t>1.本外观设计产品的名称：带活动答题系统图形用户界面的显示屏幕面板。
 2.本外观设计产品的用途：用于显示图形用户界面。
 3.本外观设计产品的设计要点：在于屏幕中的图形用户界面。
 4.最能表明设计要点的图片或照片：界面变化状态图3。
 5.其他视图无设计要点，省略其他视图。
 6.图形用户界面的用途：界面用于参加答题比赛、查看活动内容、排行榜与展示的用途。
 7.图形用户界面的人机交互方式：主视图显示的图形用户界面为打开程序的起始界面；界面变化状态图1：点击主视图下方的“开始”按钮进入界面变化状态图1；界面变化状态图2：点击界面变化状态图1最下方的“确认”按钮得到界面变化状态图2；界面变化状态图3：点击界面变化状态图2最下方的“确认”按钮得到界面变化状态图3；界面变化状态图4：点击界面变化状态图3下方活动列表中的“XXXXXX活动第X期”卡片按钮进入界面变化状态图4；界面变化状态图5：点击界面变化状态图4右上方的“答题规则”按钮进入界面变化状态图5；界面变化状态图6：点击界面变化状态图4右上方的“排行榜”按钮进入界面变化状态图6；界面变化状态图7：点击界面变化状态图3右上方的“个人主页”按钮进入界面变化状态图7。
 8.本外观设计产品的显示屏幕面板可应用于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行车记录仪、车载导航设备、车载数控终端、智能音箱、电视、机顶盒、游戏系统掌机、游戏系统主机。
 本外观设计产品的图形用户界面中的灰色“X”涂覆内容属于内容画面。</t>
  </si>
  <si>
    <t>带活动答题系统图形用户界面的显示屏幕面板</t>
  </si>
  <si>
    <t>CN307384591S</t>
  </si>
  <si>
    <t>1.本外观设计产品的名称：带应用开屏展示图形用户界面的显示屏幕面板。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6.图形用户界面的用途：界面用于应用程序开屏提示与展示的用途。
 7.图形用户界面的人机交互方式：主视图显示的图形用户界面为打开程序的首页界面；界面变化状态图1：在主视图任意位置向左滑动进入界面变化状态图1；界面变化状态图2：在界面变化状态图1任意位置向左滑动进入界面变化状态图2；界面变化状态图3：在界面变化状态图2任意位置向左滑动进入界面变化状态图3。
 8.本外观设计产品的显示屏幕面板可应用于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行车记录仪、车载导航设备、车载数控终端、智能音箱、电视、机顶盒、游戏系统掌机、游戏系统主机。</t>
  </si>
  <si>
    <t>CN307384593S</t>
  </si>
  <si>
    <t>1.本外观设计产品的名称：带调研项目管理图形用户界面的显示屏幕面板。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6.图形用户界面的用途：界面用于调研项目管理、创建、设置与展示的用途。
 7.图形用户界面的人机交互方式：主视图显示的图形用户界面为打开程序的起始界面；界面变化状态图1：点击主视图右上角的蓝色“新建项目”按钮进入界面变化状态图1；界面变化状态图2：在界面变化状态图1中央任意位置向上滑动得到界面变化状态图2；界面变化状态图3：在界面变化状态图2中央任意位置向上滑动得到界面变化状态图3；界面变化状态图4：点击界面变化状态图2右上角的“全部服务内容”按钮弹出界面变化状态图4；界面变化状态图5：点击主视图右上角蓝色“新建项目”下方的“设置”按钮弹出界面变化状态图5；界面变化状态图6：点击主视图最右侧任意一个蓝色的“编辑”按钮（这里以点击最上方第一个为例）进入界面变化状态图6；界面变化状态图7：点击主视图最右侧任意一个蓝色的“附件管理”按钮（这里以点击最上方第一个为例）进入界面变化状态图7；界面变化状态图8：点击主视图最右侧任意一个蓝色的“问卷管理”按钮（这里以点击最上方第一个为例）进入界面变化状态图8。
 8.本外观设计产品的显示屏幕面板可应用于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行车记录仪、车载导航设备、车载数控终端、智能音箱、电视、机顶盒、游戏系统掌机、游戏系统主机。</t>
  </si>
  <si>
    <t>带调研项目管理图形用户界面的显示屏幕面板</t>
  </si>
  <si>
    <t>CN307384590S</t>
  </si>
  <si>
    <t>1.本外观设计产品的名称：带满意度调研图形用户界面的显示屏幕面板。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6.图形用户界面的用途：界面用于企业产品满意度调研答题、打分的用途。
 7.图形用户界面的人机交互方式：主视图显示的图形用户界面为打开程序的起始界面；界面变化状态图1：点击主视图最下方的“开始答题”按钮进入界面变化状态图1；界面变化状态图2：点击选择界面变化状态图1下方的“计算机/互联网/通信/电子”按钮得到界面变化状态图2；界面变化状态图3：在界面变化状态图2的显示状态下等待1秒钟后自动进入界面变化状态图3；界面变化状态图4：点击选择界面变化状态图3下方的“男性”按钮得到界面变化状态图4；界面变化状态图5：在界面变化状态图4的显示状态下等待1秒钟后自动进入界面变化状态图5；界面变化状态图6：在界面变化状态图5的中央任意位置向上滑动得到界面变化状态图6；界面变化状态图7：点击选择界面变化状态图6下方从上至下的第2个和第5个“XX&amp;nbsp;xxxx&amp;nbsp;xxx”按钮并在“其他，请注明（）”下方的输入框内输入“XXXXXXXXX”得到界面变化状态图7；界面变化状态图8：点击界面变化状态图7最下方的“确定”按钮进入界面变化状态图8；界面变化状态图9：点击选择界面变化状态图8下方的“6”分分值按钮得到界面变化状态图9；界面变化状态图10：点击界面变化状态图9最下方的“确定”按钮进入界面变化状态图10；界面变化状态图11：在界面变化状态图10下方的“请详细说明”输入框内输入“XXXXX”得到界面变化状态图11；界面变化状态图12：点击界面变化状态图11最下方的“确定”按钮进入界面变化状态图12；界面变化状态图13：点击选择界面变化状态图12下方的“无线传屏功能”按钮得到界面变化状态图13；界面变化状态图14：点击界面变化状态图13最下方的“确定”按钮进入界面变化状态图14；界面变化状态图15：点击选择界面变化状态图14下方第一行的第2个“XXXX”按钮和第二行的第1、2个“XXXX”按钮得到界面变化状态图15；界面变化状态图16：在界面变化状态图15的中央任意位置向上滑动得到界面变化状态图16；界面变化状态图17：点击界面变化状态图16最下方的“确定”按钮进入界面变化状态图17；界面变化状态图18：点击选择界面变化状态图17下方的“超薄机身”和“画面亮丽”按钮得到界面变化状态图18；界面变化状态图19：在界面变化状态图18的中央任意位置向上滑动得到界面变化状态图19；界面变化状态图20：点击界面变化状态图19最下方的“确定”按钮进入界面变化状态图20；界面变化状态图21：在界面变化状态图20下方分别点击选择“外观”和“迎宾功能/负一屏欢迎页功能”的“5”分分值和“7”分分值按钮得到界面变化状态图21；界面变化状态图22：在界面变化状态图21的显示状态下等待1秒钟后自动进入界面变化状态图22。
 8.一、本外观设计产品的显示屏幕面板可应用于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行车记录仪、车载导航设备、车载数控终端、智能音箱、电视、机顶盒、游戏系统掌机、游戏系统主机。
 二、本外观设计产品的图形用户界面中的灰色“X”涂覆内容属于内容画面。</t>
  </si>
  <si>
    <t>带满意度调研图形用户界面的显示屏幕面板</t>
  </si>
  <si>
    <t>US20220245559A1</t>
  </si>
  <si>
    <t>在一些示例中,服务器基于聚合数据确定与雇员相关联的度量。 聚合数据包括员工使用计算设备执行的活动。 服务器基于度量确定与员工相关联的统一度量。 服务器基于与雇员相关联的统一度量和与额外雇员相关联的额外统一度量来确定分布曲线,并确定雇员在分布曲线上的位置。 服务器使用多个人工智能引擎预测下一个最佳行动,以提高员工的未来表现。 服务器在特定数据之后的预定时间间隔确定与雇员相关联的第二统一度量。 如果第二统一度量大于第一统一度量,则服务器确定辅导会话是成功的并且增加与辅导相关联的辅导有效性度量。</t>
  </si>
  <si>
    <t>确定正在培养员工的教练的教练有效性</t>
  </si>
  <si>
    <t>WO2022197766A1</t>
  </si>
  <si>
    <t>与高尔夫球手的差点指数和得分有关的电子内容,包括通过在客户端设备上执行的软件应用程序获得的内容,由高尔夫球杆和其他球场自动获得。 可以根据运动中的预期得分质量和指南对此类运动员数据进行实时电子监控和分析。 特别地,可以例行地执行一种或多种算法以寻找可能意味着玩家正在操纵他或她的差点指数的各种数据点指示符。 该系统和方法可以至少部分地基于对基于预期质量确定异常的数据的扣分而客观地为每个参与玩家生成总分。 如果玩家的总得分达到预定的标记水平,则系统和方法会自动调整玩家的差点以促进公平比赛。 机器学习模式可以帮助完成诸如评分分析和自动障碍调整等任务。</t>
  </si>
  <si>
    <t>用于自动评估和更新高尔夫分数指数的系统和方法</t>
  </si>
  <si>
    <t>CA3210648A1</t>
  </si>
  <si>
    <t>高尔夫球俱乐部和其他球场自动获得与高尔夫球手的差点指数和得分相关的电子内容,包括通过在客户端设备上执行的软件应用程序获得的内容。 可以根据运动中的预期得分质量和指南对此类运动员数据进行实时电子监控和分析。 具体地,可以例行地执行一个或多个算法来寻找可能意味着玩家正在操纵他或她的差点指数的各种数据点指示符。 该系统和方法可以至少部分地基于对基于预期质量确定为异常的数据的扣分来客观地生成每个参与玩家的总分。 如果玩家的总分达到预定的标记水平,系统和方法会自动调整玩家的差点以促进公平比赛。 机器学习模式可以协助完成评分分析和自动差点调整等任务。</t>
  </si>
  <si>
    <t>用于自动评估和更新高尔夫得分指数的系统和方法</t>
  </si>
  <si>
    <t>US20220296964A1</t>
  </si>
  <si>
    <t>KR102432675B1</t>
  </si>
  <si>
    <t>本发明涉及一种游泳池内防止溺水事故的监控系统,通过对泳池内的前一图像与当前图像进行比较来跟踪捕捉到的物体,以确定是否存在移动速度,并确定是否存在移动速度。不存在移动速度,利用人体比例信息来确定手臂,利用人的运动或周围的颜色来确认人是否处于危险之中,并将危险区域设置为最小块大小数据传输至深度学习图像处理算法,对预先学习类别中的危险紧急情况进行处理,当判断为危险情况时,操作人员生成视频和警报,以提醒操作员其特征在于,可以将管理者与管理人员进行对话,并且利用通信网络将视频和警报发送到指定用户的智能手机,以快速应对危险情况。</t>
  </si>
  <si>
    <t>利用闭路电视影像监测泳池使用者异常体征及溺水事故的安全预警系统</t>
  </si>
  <si>
    <t>KR102432673B1</t>
  </si>
  <si>
    <t>[0001] 本发明涉及一种使用闭路电视(CCTV)的监控系统,以防止用户在游泳池中跳来跳去而造成事故,并通过使用游泳池的闭路电视图像,使用差异图像技术来检测/检测危险情况。显示在CCTV控制图像上,通过深度学习图像处理算法设定阈值,确定风险等级,通过重复学习自行判断更复杂的风险图像,并产生警报提醒管理人员其特征在于,它可以使管理更加谨慎,并且还可以通过使用通信网络将图像和警报发送到指定用户的智能手机来快速响应危险情况。</t>
  </si>
  <si>
    <t>监控和安全警报系统,使用闭路电视视频监控在游泳池中跑步的人</t>
  </si>
  <si>
    <t>TR202203685A2</t>
  </si>
  <si>
    <t>通过使用足球投手、计算机视觉技术和一些物理原理的基于人工智能的计算机应用程序,用户可以; 进行区域选择、球员选择、速度选择、身高选择、射程选择和投篮次数,目的是让投球手按照确定的标准投球。 本发明允许足球运动员发展他们在各种区域、速度和高度上以可重复的质量击球的技能,并在没有任何帮助的情况下单独练习射门。</t>
  </si>
  <si>
    <t>足球投掷机</t>
  </si>
  <si>
    <t>CN114532273B</t>
  </si>
  <si>
    <t>本发明公开了一种非侵入式的循环水养殖鱼类主动式投饲方法及系统，系统可以包括深度摄像机、服务器、投饲机等。该系统主要利用机器视觉和深度学习算法对循环水养殖鱼类社群等级进行分析，继而耦合鱼群社群等级和个体间游泳策略特征，实现鱼群实时摄食欲望的表征，进而判定何时触发投饲。本发明的系统结构简单，方法简便有效，能在非侵入条件下实现养殖鱼类摄食欲望的实时量化，弥补了传统定时投喂(被动式投喂)方式的不足，在极大程度上确保了养殖对象摄食福利，提高了饲料效率，有利于养殖效益最大化。</t>
  </si>
  <si>
    <t>一种非侵入式的循环水养殖鱼类主动式投饲方法及系统</t>
  </si>
  <si>
    <t>CN114581834A</t>
  </si>
  <si>
    <t>本发明基于深度强化学习，使用改进的蒙特卡洛树搜索算法，实现了在连续动作空间内冰壶比赛决策生成。算法以下三个创新：核回归和核密度函数改进的动作选择函数，使用核回归使得动作集合中所有动作之间进行共享信息，可以通过现有的动作集合信息选择候选集合之外的动作，使用缓慢增长的离散采样动作集的方式处理连续动作空间。除此之外，还利用卷积神经网络训练策略决策网络和价值评估网络对蒙特卡洛树搜索算法中的动作选取和价值评估进行改进。本发明有效提升了现有的冰壶辅助决策模型的效果。</t>
  </si>
  <si>
    <t>基于蒙特卡洛树搜索的深度强化学习的冰壶决策方法</t>
  </si>
  <si>
    <t>CN114708527A</t>
  </si>
  <si>
    <t>本发明公开了一种基于极坐标表示的数字冰壶策略价值提取方法，属于深度学习领域的人工智能和计算机视觉方向，建立了基于极坐标表示的冰壶位置特征提取模型，主要解决数字冰壶位置特征提取过程中造成的确定性离散化的问题，从而优化策略价值网络提取。算法主要包括三部分，数据处理部分、特征提取部分和策略价值头部分：数据处理部分将传统的数字冰壶数据集转化为极坐标表示的冰壶数据集，特征提取部分针对极坐标特点，设置新的网络结构充分提取冰壶位置信息，策略价值头部分用于提取当前位置下，选取某一动作的概率和可能得到的价值，以便后续正确进行数字冰壶比赛决策的强化学习。这种基于极坐标表示的数字冰壶策略价值提取方法，在数字冰壶比赛数据的监督特征提取时误差小，效率高，具有较强的可扩展性，能够有效地提高数字冰壶决策的速度和精度。</t>
  </si>
  <si>
    <t>一种基于极坐标表示的数字冰壶策略价值提取方法</t>
  </si>
  <si>
    <t>CN114707402A</t>
  </si>
  <si>
    <t>本发明公开了一种强化学习感知的冰壶模拟比赛图像到真实图像转换的方法，属于深度学习领域的人工智能和计算机视觉方向，建立了强化学习感知的任务可知冰壶模拟图像转换模型，主要解决模拟环境中训练的冰壶策略可能与现实不匹配的问题。算法主要包括：图像风格转化模块、强化学习约束模块：为模拟图像提供像素级领域自适应,并通过强化学习约束使图像在转换过程中保留强化学习所需的重要属性，实现转化过程的任务可知。这种强化学习感知的冰壶模拟比赛图像到真实图像转换的方法，有效提升了现有的冰壶辅助决策模型的效果，实现成本低，应用范围广。</t>
  </si>
  <si>
    <t>一种强化学习感知的冰壶模拟图像转换真实图像的方法</t>
  </si>
  <si>
    <t>US11610130B2</t>
  </si>
  <si>
    <t>机器学习系统包括使用机器学习帮助学生机器学习系统学习其系统的教练机器学习系统。 通过监控学生学习系统,教练机器学习系统可以学习(通过机器学习技术)学生学习系统的“超参数”,这些“超参数”控制学生学习系统的机器学习过程。 机器学习教练还可以确定学生学习系统架构的结构修改。 学习教练还可以控制流向学生学习系统的数据。</t>
  </si>
  <si>
    <t>机器学习系统的知识共享</t>
  </si>
  <si>
    <t>US11615315B2</t>
  </si>
  <si>
    <t>WO2022191618A1</t>
  </si>
  <si>
    <t>本发明涉及一种使用人工智能检测危险物质的系统和方法。 本发明利用从X射线设备向被检查材料输出X射线的特性,并显示构成被检查材料的原子中元素周期表中具有最大原子序数的原子的颜色。通过深度学习学习危险物质的X射线颜色,可以在机场、港口、军事基地、活动大厅、体育场馆、展览馆、音乐厅、政府大楼等检查对象中快速检测出危险物质。贵宾守卫场所。特点是</t>
  </si>
  <si>
    <t>使用人工智能的危险品检测系统和方法</t>
  </si>
  <si>
    <t>US11706788B2</t>
  </si>
  <si>
    <t>描述了提供无线电服务的方法、设备和非暂时性存储介质。 无线电服务可以提供至少三个不同时间尺度的无线电资源的无线电资源控制。 无线电服务可以包括机器学习或人工智能设备,其包括至少三个不同时间尺度的无线电网络信息。</t>
  </si>
  <si>
    <t>一种跑步智能控制器的方法及系统</t>
  </si>
  <si>
    <t>US20220188959A1</t>
  </si>
  <si>
    <t>一种投注现场体育赛事结果的系统。 该系统包括一个基于人工智能的流程,该流程将在用户感兴趣的投注可用时通知用户。 这些通知可用于将用户引向存在不平衡投注的投注,以降低投注提供者的风险。</t>
  </si>
  <si>
    <t>使用可能影响正常投注的人工智能显示来自投注应用程序的通知的方法</t>
  </si>
  <si>
    <t>CN216986196U</t>
  </si>
  <si>
    <t>本实用新型公开了一种基于物联网的智能跑步机，包括主体支架，主体支架上设有显示屏、播放器、氛围灯和无线充电模块，主体支架中设有中央控制模块和蓄电池，中央控制模块电连接有无线通讯模块、电机驱动模块、显示模块、指示模块、语音播放模块和工作电源模块，无线充电模块通过蓄电池电连接有工作电源模块；无线充电模块包括无线充电电路，该基于物联网的智能跑步机中，通过无线充电模块能够实现跑步机的无线充电功能，提高了其使用范围，加入了无线通讯模块、显示屏、播放器和氛围灯，实现了无线通讯模块语音播放、显示指示以及氛围调节功能，提高了跑步机的智能化和实用性。</t>
  </si>
  <si>
    <t>基于物联网的智能跑步机</t>
  </si>
  <si>
    <t>CN217065119U</t>
  </si>
  <si>
    <t>本实用新型公开了一种新型智慧松墨天牛诱捕器，包括夹持器和飞行装置主体，所述夹持器的下端与飞行装置主体固定相连，所述飞行装置主体的上端外侧固接有多个电机，所述电机的输出轴上端固接有螺旋桨，所述飞行装置主体的上端左右两侧均安装有太阳能板，所述药箱的左端和下方分别加工有施药控制器和喷头。该新型智慧松墨天牛诱捕器，结构科学合理，使用安全方便，通过360°摄像识别装置、飞行装置主体和信号反射和接收模块之间的配合，搭载多光谱五通道相机，自动优化计算出松墨天牛种群密度最大的诱捕器放置区域，以及防控松墨天牛药品最佳的喷洒区域，避免了无法通过人工智能技术进行智能化的计算来辅助使用者的具体操作问题。</t>
  </si>
  <si>
    <t>一种新型智慧松墨天牛诱捕器</t>
  </si>
  <si>
    <t>WO2023113105A1</t>
  </si>
  <si>
    <t>本发明涉及一种使用CGAM来识别体育视频中的活动的装置和方法。 根据本发明的使用CGAM来识别体育视频中的活动的装置接收要逐帧分析的视频,并在时间注意模块(TAM)中划分帧之间的重要性,其中按重要性划分的帧与对象特征提取单元,通过压缩顺序输入和输出到布置在每个卷积块之间的每个空间注意聚焦模块(CBAM)的第一特征值以及从每个空间注意聚焦模块输出的不同对象信息来表示对象特征。将生成CGAM输出的第二特征值与生成的CGAM相乘,提取对象特征值; 活动特征提取单元,将提取的对象特征值依次输入循环神经网络(RNN)和全连接(FC)层,并根据使用 sigmoid 函数估计的每个活动的概率值对最终活动进行分类. 包括</t>
  </si>
  <si>
    <t>使用CGAM识别体育视频中的活动的装置和方法</t>
  </si>
  <si>
    <t>CN114504789B</t>
  </si>
  <si>
    <t>本发明公开了一种基于物联网的仿真健身器，属于健身器材领域，解决了健身器材缺乏真实互动感受的问题，包括底座，底座上设有导轨，导轨上安装有滑动座，底座上设有位于滑动座左右两侧的水箱，水箱的上部还开设有与水箱内腔连通的导向槽，导向槽内活动安装有滑块，滑块的下表面固定安装有推水板，导向槽内活动安装有链条，滑块的上表面固定安装有挡板，链条和挡板之间设有连接机构，水箱内设有阻力调节机构；还包括控制终端、服务器，控制终端与阻力控制机构电连接，通过阻力控制机构对调节机构中工作的水泵的出水流速进行控制实现水流流速的控制，通过控制中哪些水泵进行工作实现水流流向的调节。从而实现了对真实环境的模拟。</t>
  </si>
  <si>
    <t>一种基于物联网的仿真健身器</t>
  </si>
  <si>
    <t>CN114602127B</t>
  </si>
  <si>
    <t>本发明公开了一种基于物联网的多功能健身装置，属于健身设备领域，包括上肢肌肉锻炼机构，胸部肌肉锻炼机构、有氧运动及腿部肌肉锻炼机构以及提供运动阻力的阻力装置，阻力装置包括阻力控制机构和阻力产生机构，阻力控制机构控制阻力产生机构产生的阻力，还包括控制终端、服务器、采集模块、采集通信模块，采集通信模块、控制终端分别与服务器通信连接，采集模块采集人体血压数据、心跳数据，采集通信模块将采集模块采集的数据传输至服务器，控制终端与阻力控制机构电连接，服务器根据接收到的数据，生成阻力参数，并将阻力参数发送给控制终端对阻力装置产生的阻力进行调节，各个锻炼机构采用同一阻力装置，并通过采集到的数据进行阻力的调节。</t>
  </si>
  <si>
    <t>一种基于物联网的多功能健身装置</t>
  </si>
  <si>
    <t>IN202211012293A</t>
  </si>
  <si>
    <t>一种基于游泳泳姿的手部动作训练装置,包括安装在地面上的平台1、固定在平台1上的伸缩杆2以及四个手柄3、4,手柄3、4分为两对,一对由使用者握持,另一对安装在使用者的小臂上, 基于AI(人工智能)的摄像头6附着在杆2上用于分析用户的运动,辅助平台8附着在杆2上并组装有集成有磁性线圈16的导轨7以产生电磁路径,其中多个铁磁轮9沿着该路径移动, 与导轨7相关联以操作线圈16的电磁模块10、附接在轮9和带5之间用于控制带5张力的滚轮11、布置在滑块13上以阻止轮9移动的多个气动销12以及附接在手柄3、4之间的弹簧 进行有效的游泳动作。</t>
  </si>
  <si>
    <t>基于游泳泳姿的手部动作训练装置</t>
  </si>
  <si>
    <t>CN114611906A</t>
  </si>
  <si>
    <t>本发明涉及一种基于人机交互的战术决策训练效果评估方法及系统，所述方法包括：根据受训者的初始训练计划，在预设训练视频库中获取与初始训练计划对应的训练视频集；接收从训练视频集选定的目标训练视频，并向受训者播放目标训练视频，并基于人机交互装置，获取受训者在所述目标训练视频中的每个战术场景下所选取的第一战术决策，并根据所有的第一战术决策得到受训者的战术决策数据；将受训者的战术决策数据和初始训练计划代入预设训练效果评估模型，生成受训者的初始评估结果。本发明通过人机交互的方式，在提升受训者对比赛场景的观察能力和瞬间战术决策能力的同时，也检验了受训者战术决策的训练效果。</t>
  </si>
  <si>
    <t>一种基于人机交互的战术决策训练效果评估方法及系统</t>
  </si>
  <si>
    <t>CN114663830A</t>
  </si>
  <si>
    <t>本发明属于图像识别技术领域，公开一种基于图结构匹配的多相机场景下的教室人数计算方法，包括以下步骤：基于场所内多个相机获得的图像，通过座位密度估计算法，获得每张图像的座位密度分布图；根据每张图像的座位密度分布图，获得每张图像的座位分布信息；通过座位图结构匹配算法，获得每个相机下座位分布信息和场所内座位空间分布信息的映射关系；通过计算重叠面积获得图像中每个人的座位位置，将图像中每个人的座位位置映射到相应的二维数组中；累计数组中大于0的位置数即为人数。本发明的方法能够精确地实现多相机场景下的人群计数，对于在某些场景中，如体育赛事和竞技演出等，参与人数或密度是活动规划和空间设计的重要信息。</t>
  </si>
  <si>
    <t>一种基于图结构匹配的多相机场景下的人数计算方法</t>
  </si>
  <si>
    <t>IN202241011815A</t>
  </si>
  <si>
    <t>公开了一种用于自动管理运动员表现的系统和方法。 该方法(600)包括从一个或多个用户设备(102)接收管理运动员在一项或多项运动中的表现的请求,并基于该请求来检测与该运动员在一项或多项运动中的表现相关联的一个或多个KPI。 通过使用基于绩效管理的人工智能模型收到请求。 此外,方法(600)生成与一项或多项运动的一项或多项属性相对应的一项或多项得分,并确定运动员表现的一项或多项所需的改进。 此外,方法(600)包括生成一项或多项推荐以实现一项或多项所需改进,并在用户界面屏幕上输出所生成的一项或多项分数、所确定的一项或多项所需改进以及所生成的一项或多项推荐。 一个或多个用户设备(102)。</t>
  </si>
  <si>
    <t>基于人工智能的自动管理运动员表现的系统和方法</t>
  </si>
  <si>
    <t>CN114496160A</t>
  </si>
  <si>
    <t>本发明涉及一种用于全民健身的人工智能模型，该智能模型包括如下逻辑段：步骤一：通过长期观察确定配备健身设施的公园以及其他健身场所人流情况；步骤二：根据当地人口登记情况以及摄像头的人脸识别确定当地常住人口预估数据；步骤三：对所述当前参数序列中的数据进行分类，得到当前参数序列对应的类别数量和离散点数量；根据所述类别数量和离散点数量，得到当前参数序列的数据稳定程度指标，通过模型和大数据信息计算出健身参与率；可以协助设备提高健身参与率，可以有效降低社会医疗支出并提高居民生活水平和预期寿命。</t>
  </si>
  <si>
    <t>一种用于全民健身的人工智能模型</t>
  </si>
  <si>
    <t>US20220284311A1</t>
  </si>
  <si>
    <t>计算系统接收包括事件的逐场比赛信息的事件数据。 计算系统访问包括与事件相关的知识图的数据库。 知识图谱包括多个节点和多个边。 多个节点中的每个节点代表参与事件的玩家或团队。 多个边连接多个节点中的节点。 计算系统根据播放信息更新知识图谱。 计算系统通过第一机器学习模型基于更新的知识图谱生成一个或多个见解。 计算系统通过第二机器学习模型对一个或多个见解中的每一个进行评分。 计算系统将一个或多个洞察力的最高等级洞察力呈现给一个或多个最终用户。</t>
  </si>
  <si>
    <t>生成游戏内洞察的方法和系统</t>
  </si>
  <si>
    <t>WO2022187487A1</t>
  </si>
  <si>
    <t>WO2022187545A1</t>
  </si>
  <si>
    <t>提供了一种用于推荐人员之间匹配的系统和方法。数据处理是使用人工智能技术进行的。监督的机器学习引擎是从有关现有关系的经验数据中培训的,这些数据已被评估有关关系的质量。当提供两个候选人的属性输入数据时,候选关系的质量是作为监督机器学习引擎的输出计算的。通过将候选关系的计算质量与阈值进行比较,可以预测两个候选人之间成功关系的可能性。这项学习任务的预测可以由神经网络做出。通知用户可能会成为成功关系的候选比赛。</t>
  </si>
  <si>
    <t>使用机器学习推荐匹配</t>
  </si>
  <si>
    <t>CN217640086U</t>
  </si>
  <si>
    <t>本实用新型涉及一种用于全民健身的人工智能模型核心计算装置，包括核心供电支架(1)、数据调用逻辑处理器(2)、人工智能模型储存器(3)和人工智能模型网络连接器(4)，所述的核心供电支架(1)上安装两个以上的数据调用逻辑处理器(2)，以及一个人工智能模型储存器(3)和一个人工智能模型网络连接器(4)，核心供电支架(1)的供电装置通过电性连接人工智能模型储存器(3)，人工智能模型储存器(3)分别通过电性连接数据调用逻辑处理器(2)和人工智能模型网络连接器(4)，可以协助社区提高全民健身参与率，可以有效降低社会医疗支出并提高居民生活水平和预期寿命。</t>
  </si>
  <si>
    <t>一种用于全民健身的人工智能模型核心计算装置</t>
  </si>
  <si>
    <t>US20230280181A1</t>
  </si>
  <si>
    <t>当确定移动物体正在接近水体上方的冰层时,获得冰层的热图像。 热图像和环境温度数据被输入到神经网络,该神经网络输出冰层的多个区域以及这些区域各自的估计厚度。 每个区域的分类是根据其估计厚度和移动物体来确定的。 分类是优选或非优选之一。 输出区域的分类。</t>
  </si>
  <si>
    <t>移动物体操作的冰厚度估计</t>
  </si>
  <si>
    <t>CN116848561A</t>
  </si>
  <si>
    <t>计算系统接收包括赛事的现场报道信息的赛事数据。计算系统访问包括与赛事相关的知识图谱的数据库。知识图谱包括多个节点和多条边。多个节点中的每个节点表示参与赛事的运动员或团队。多条边连接多个节点中的节点。计算系统基于现场报道信息更新知识图谱。计算系统经由第一机器学习模型基于更新的知识图谱生成一个或更多个见解。计算系统经由第二机器学习模型对一个或更多个见解中的每个见解评出分数。计算系统向一个或更多个终端用户呈现一个或更多个见解中的排序最高见解。</t>
  </si>
  <si>
    <t>用于生成赛中见解的方法及系统</t>
  </si>
  <si>
    <t>CN114400067A</t>
  </si>
  <si>
    <t>本发明涉及一种基于视觉传达的人工智能健身指导系统及其装置，包括可移动观测摄像头支架(1)、人体观测摄像头(2)、显示屏(3)、显示屏升降支架(4)和可移动观测摄像头支架弧形轨道(5)，所述的显示屏升降支架(4)一侧表固定连接可移动观测摄像头支架弧形轨道(5)的一端，显示屏(3)通过升降机安装在显示屏升降支架(4)表面，可移动观测摄像头支架(1)通过滚轮卡在可移动观测摄像头支架弧形轨道(5)表面，可移动观测摄像头支架(1)表面固定安装两个以上的人体观测摄像头(2)，可以实时捕捉健身人员的动作状态并对不规范的动作进行纠正，可以有效地提高健身安全性，确保健康安全的强身健体。</t>
  </si>
  <si>
    <t>一种基于视觉传达的人工智能健身指导系统及其装置</t>
  </si>
  <si>
    <t>US11392832B2</t>
  </si>
  <si>
    <t>方法和计算机系统通过在结构上改变基础深度神经网络以创建更新的深度神经网络来改进训练的基础深度神经网络,使得更新的深度神经网络在训练数据上相对于基础深度神经网络没有性能下降 . 更新的深度神经网络随后正在训练。 此外,在机器学习系统中使用的异步代理包括第二机器学习系统ML2,该系统将被训练以执行一些机器学习任务。 异步代理还包括学习教练LC和可选的数据选择器机器学习系统DS。 数据选择机器学习系统 DS 的目的是使第二阶段机器学习系统 ML2 在其学习中更有效(通过选择一组更小但足够的训练数据)和/或更有效(通过选择一组 专注于一项重要任务的训练数据)。 学习教练LC是辅助DS和ML2学习的机器学习系统。 多个异步代理也可以相互通信,每个代理在各自的学习教练的指导下异步训练和成长,以执行不同的任务。</t>
  </si>
  <si>
    <t>具有学习教练和结构修改深度神经网络的异步代理,而不会降低性能</t>
  </si>
  <si>
    <t>CN114783046B</t>
  </si>
  <si>
    <t>本发明公开一种基于CNN和LSTM的人体连续性动作相似度评分方法，将标准动作视频和待测动作视频进行关键帧对齐，得到相应的动作序列帧集合。对标准动作序列帧集合和待测动作序列帧集合中的每帧分别使用卷积神经网络进行人体关键点的检测，将得到人体关键点坐标信息转换为人体关键夹角信息。将每个视频得到的关键夹角序列送入循环神经网络中，将得到每个视频的人体连续性动作特征向量。对标准动作视频和待测动作视频的人体连续性动作特征向量进行距离计算并转换为动作相似性评分。本发明可针对与动作标准性相关比赛给出比赛成绩。可代替或辅助动作标准性相关比赛的裁判进行评分。</t>
  </si>
  <si>
    <t>一种基于CNN和LSTM的人体连续性动作相似度评分方法</t>
  </si>
  <si>
    <t>IN202211010992A</t>
  </si>
  <si>
    <t>本发明涉及一种游泳辅助装置,包括游泳时佩戴在用户手上的可穿戴本体,该可穿戴本体具有多个适于容纳手指的开口1,连接到微控制器的人工智能图像捕捉模块5配置在可穿戴本体上。 开口1用于采集图像以确定身体姿势,本体上安装有温度传感器7,用于监测周围环境的温度,本体上安装有加速度计6,用于检测用户的游泳速度,多个线性致动器 图2所示的滚轮4设置在开口1之间,用于增加或降低使用者的速度,一对包裹有防切割片9的滚轮4组装在主体上,用于保护主体免受周围存在的尖锐物体的伤害。</t>
  </si>
  <si>
    <t>游泳辅助器具</t>
  </si>
  <si>
    <t>KR1020230129276A</t>
  </si>
  <si>
    <t>提供利用物联网技术的实时伴侣犬行为训练平台。 利用物联网技术的实时伴侣犬行为教育平台是客户端联动单元,从监护人终端接收监护人的犬只训练服务申请信息,以及专业教练终端联动单元,从专业人士接收专业教练的信息。指导员终端和监护人 分别与终端联动单元和专业指导员终端联动单元连接,包括匹配单元,通过分析监护人的犬只训练服务申请信息和专业信息,将监护人与专业教练进行匹配。导师,导师实时连线。</t>
  </si>
  <si>
    <t>利用物联网技术的实时狗狗行为教育平台</t>
  </si>
  <si>
    <t>IN202211010849A</t>
  </si>
  <si>
    <t>[0001] 本发明涉及一种板球自动化训练装置,包括具有机动轮2以增加便携性的本体1、映射在本体1上以供用户输入命令的显示面板4、与数据同步的人工智能图像捕捉模块5。 超声波传感器9,用于检测使用者握住球棒的方向和距离身体1,电动滚轮6通过位于身体1外围的电缆与球10相连,用于迫使球10开始向球体移动 用户,滑块7配置有一对电动圆盘11,装配在主体1上以在球10上施加切向力以赋予高速和制造在球10内的力和加速度计传感器以确定击球的结果。</t>
  </si>
  <si>
    <t>自动蟋蟀训练装置</t>
  </si>
  <si>
    <t>CN114581825A</t>
  </si>
  <si>
    <t>本发明涉及动作矫正领域，尤其涉及一种运动员跳高动作矫正方法。解决运动员的动作是否标准判断不够准确的问题。方法包括：步骤1、采集运动员跳高的视频；步骤2、通过运动员跳高的视频，采集运动员的瞬时速度与冲刺速度；步骤3、通过运动员跳高的视频，采集运动员起跳的坐标；步骤4、通过运动员跳高的视频，生成对应的火柴人运动视频；步骤5、根据运动员跳高的视频与火柴人运动视频，采集运动员在起跳时刻、越杆时刻以及落地时刻的角度；步骤6、对采集的数据进行整理，利用神经网络训练得到跳高动作矫正模型；步骤7、测试与纠正。通过寻找错误动作的成因并加以纠正，对于促进运动员形成正确技能，提高运动成绩，培养合格人才具有重要意义。</t>
  </si>
  <si>
    <t>一种运动员跳高动作矫正方法</t>
  </si>
  <si>
    <t>CN307436402S</t>
  </si>
  <si>
    <t>1.本外观设计产品的名称：带产品体验展示图形用户界面的显示屏幕面板。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6.图形用户界面的用途：界面用于产品活动浏览展示与填写信息体验的用途。
 7.图形用户界面的人机交互方式：主视图显示的图形用户界面为打开程序的首页起始界面；界面变化状态图1：在主视图先点击勾选“我已阅读该协议”再点击“同意并继续”按钮进入界面变化状态图1；界面变化状态图2：在界面变化状态图1中央任意位置向上滑动得到界面变化状态图2；界面变化状态图3：在界面变化状态图2中央任意位置向上滑动得到界面变化状态图3；界面变化状态图4：在界面变化状态图3中央任意位置向上滑动得到界面变化状态图4；界面变化状态图5：在界面变化状态图4中央任意位置向上滑动得到界面变化状态图5；界面变化状态图6：在界面变化状态图5中央任意位置向上滑动得到界面变化状态图6；界面变化状态图7：在界面变化状态图6中央任意位置向上滑动得到界面变化状态图7；界面变化状态图8：在界面变化状态图7中央任意位置向上滑动得到界面变化状态图8；界面变化状态图9：在界面变化状态图8点击选择任意一款产品（这里以选择左上角的第一款产品为例）后并点击最下方的“确认”按钮进入界面变化状态图9；界面变化状态图10：在界面变化状态图9从上至下的姓名、性别、身份证、年龄、电话、地址处依次任意填写内容后并点击最下方的“提交申请”按钮进入界面变化状态图10。
 8.本外观设计产品的显示屏幕面板可应用于计算机、笔记本电脑、平板电脑、手机、智能手机、智能眼镜、虚拟现实眼镜、增强现实眼镜、混合现实眼镜、手表、智能手表、健身监视器、头戴式耳机、智能音箱、电视、机顶盒。</t>
  </si>
  <si>
    <t>带产品体验展示图形用户界面的显示屏幕面板</t>
  </si>
  <si>
    <t>US20230269195A1</t>
  </si>
  <si>
    <t>提供了一种用于使用分布式服务器网络来检测资源传输的多维链接和分层的系统。 具体地,该系统可以包括多个分布式服务器节点,每个节点托管分布式寄存器的副本,其中每个节点可以由实体操作。 每个分布式服务器节点可以向分布式寄存器提交数据记录,该数据记录可以包含关于潜在的未授权用户、账户和/或资源传输的数据。 基于分布式寄存器内的信息以及各种其他数据输入,系统可以使用基于深度学习的图形处理算法来识别用户、帐户和/或资源转移之间的多维链接以提取隐藏关系 以及潜在的未经授权的活动。</t>
  </si>
  <si>
    <t>使用分布式服务器网络检测资源传输的多维链接和分层的系统</t>
  </si>
  <si>
    <t>IN202221009515A</t>
  </si>
  <si>
    <t>人类活动监测对于环境辅助生活、基于监控的安全、运动和健身以及老年护理至关重要。 活动监测过程包括收集身体信号并对其进行分类。 本研究提供了一种低成本的可穿戴无线设备,用于监测运动和健身活动以及医疗保健应用期间的人类活动。 我们提供了一种独特的模板匹配技术,用于识别视频序列中的人类行为。 我们使用一个基本的统计模型来模拟场景的背景并提取前景元素。 使用运动历史图像 (MHI) 和空间轮廓匹配视频系列,以识别步行、站立、弯曲、睡眠和跑步。 建议的技术可以正确识别 KTH 和我们的数据库中的这些操作。</t>
  </si>
  <si>
    <t>基于物联网的人类活动跟踪和监控</t>
  </si>
  <si>
    <t>CN307453838S</t>
  </si>
  <si>
    <t>1.本外观设计产品的名称：带运行资源监控图形用户界面的显示屏幕面板。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6.图形用户界面的用途：界面用于服务器计算机硬件运行资源监控、故障排查与展示的用途。
 7.图形用户界面的人机交互方式：主视图显示的图形用户界面为打开程序的登录界面；界面变化状态图1：在主视图右方从上至下依次任意输入“用户名”和“密码”后点击蓝色的“登录”按钮进入界面变化状态图1；界面变化状态图2：点击界面变化状态图1左侧主菜单的“集群节点”按钮得到界面变化状态图2；界面变化状态图3：点击界面变化状态图2左上方“名称/IP”下列中的“21v‑tc‑sunyy‑team‑19”按钮进入界面变化状态图3；界面变化状态图4：在界面变化状态图3中央任意位置向上滑动得到界面变化状态图4；界面变化状态图5：点击界面变化状态图2左上方“名称/IP”下列中的“21v‑tc‑zhangsh‑team‑10”按钮进入界面变化状态图5；界面变化状态图6：在界面变化状态图5中央任意位置向上滑动得到界面变化状态图6；界面变化状态图7：在界面变化状态图6中央任意位置向上滑动得到界面变化状态图7；界面变化状态图8：在界面变化状态图7中央任意位置向上滑动得到界面变化状态图8；界面变化状态图9：点击界面变化状态图5中央左方的“GPU指标”标签按钮进入界面变化状态图9；界面变化状态图10：在界面变化状态图9中央任意位置向上滑动得到界面变化状态图10；界面变化状态图11：在界面变化状态图10中央任意位置向上滑动得到界面变化状态图11；界面变化状态图12：点击界面变化状态图1左侧主菜单的“节点标签”按钮得到界面变化状态图12；界面变化状态图13：在界面变化状态图1左侧主菜单先点击“集群储存”按钮展开子菜单后再点击“储存类”按钮得到界面变化状态图13；界面变化状态图14：点击界面变化状态图13左上方的“创建储存类”蓝色按钮弹出界面变化状态图14；界面变化状态图15：点击界面变化状态图13左侧主菜单“集群储存”子菜单下的“持久卷”按钮得到界面变化状态图15；界面变化状态图16：点击界面变化状态图13左侧主菜单“集群储存”子菜单下的“储存”按钮得到界面变化状态图16；界面变化状态图17：点击界面变化状态图16左上方“集群名称”下方的“ceph1”按钮进入界面变化状态图17；界面变化状态图18：点击界面变化状态图1左侧主菜单的“网络出口”按钮得到界面变化状态图18；界面变化状态图19：点击界面变化状态图1左侧主菜单的“网络方案”按钮得到界面变化状态图19；界面变化状态图20：点击界面变化状态图1左侧主菜单的“集群插件”按钮得到界面变化状态图20；界面变化状态图21：点击界面变化状态图1左侧主菜单的“系统服务管理”按钮得到界面变化状态图21。
 8.本外观设计产品的显示屏幕面板可应用于计算机、笔记本电脑、平板电脑、手机、智能手机、智能眼镜、虚拟现实眼镜、增强现实眼镜、混合现实眼镜、手表、智能手表、健身监视器、头戴式耳机、智能音箱、电视、机顶盒。</t>
  </si>
  <si>
    <t>带运行资源监控图形用户界面的显示屏幕面板</t>
  </si>
  <si>
    <t>CN307458405S</t>
  </si>
  <si>
    <t>1.本外观设计产品的名称：带主机创建浏览图形用户界面的显示屏幕面板。
 2.本外观设计产品的用途：用于显示图形用户界面。
 3.本外观设计产品的设计要点：在于屏幕中的图形用户界面。
 4.最能表明设计要点的图片或照片：主视图。
 5.其他视图无设计要点，省略其他视图。
 6.图形用户界面的用途：界面用于服务器云主机安装创建、安全监控与展示的用途。
 7.图形用户界面的人机交互方式：主视图显示的图形用户界面为打开程序的安装首页界面；界面变化状态图1：点击主视图中央的“安装新环境”按钮进入界面变化状态图1；界面变化状态图2：点击界面变化状态图1中央最下方的“下一步”蓝色按钮得到界面变化状态图2；界面变化状态图3：点击界面变化状态图2中央最下方的“下一步”蓝色按钮得到界面变化状态图3；界面变化状态图4：点击界面变化状态图3中央最下方的“开始安装”蓝色按钮并等待安装结束后得到界面变化状态图4；界面变化状态图5：点击界面变化状态图4中央最下方的“点击打开控制台”蓝色按钮进入界面变化状态图5；界面变化状态图6：在界面变化状态图5左侧主菜单先点击“资源报表”按钮展开子菜单后再点击“平台报表”按钮得到界面变化状态图6；界面变化状态图7：点击界面变化状态图6左上方顶部的“管理工作台”按钮进入界面变化状态图7；界面变化状态图8：点击界面变化状态图7右上方“操作”下方的“查看详情”按钮进入界面变化状态图8；界面变化状态图9：在界面变化状态图8中央任意位置向上滑动得到界面变化状态图9；界面变化状态图10：点击界面变化状态图8或9最左侧菜单的“网络出口”按钮进入界面变化状态图10；界面变化状态图11：点击界面变化状态图7最左侧菜单的“集成中心”按钮进入界面变化状态图11；界面变化状态图12：点击界面变化状态图11右上方“操作”下方的第1个“查看详情”按钮进入界面变化状态图12；界面变化状态图13：点击界面变化状态图11左上方的“创建虚拟机”蓝色按钮进入界面变化状态图13；界面变化状态图14：在界面变化状态图13中央任意位置向上滑动得到界面变化状态图14。
 8.本外观设计产品的显示屏幕面板可应用于计算机、笔记本电脑、平板电脑、手机、智能手机、智能眼镜、虚拟现实眼镜、增强现实眼镜、混合现实眼镜、手表、智能手表、健身监视器、头戴式耳机、智能音箱、电视、机顶盒。</t>
  </si>
  <si>
    <t>带主机创建浏览图形用户界面的显示屏幕面板</t>
  </si>
  <si>
    <t>US20220273985A1</t>
  </si>
  <si>
    <t>一种基于交互式AI教练的肌肉骨骼运动康复训练系统,包括:用户状态信息测量单元,通过有线或无线网络连接到云服务器并测量状态信息,状态信息为用户运动姿势或身体状况的信息。 ; 显示面板,根据用户状态信息测量单元测量的状态信息,在锻炼过程中向用户显示必要的信息; 锻炼单元,允许用户进行阻力锻炼或平衡锻炼; 教练引擎在用户使用锻炼单元进行锻炼期间接收并分析用户状态信息测量单元测量的状态信息,并通过显示面板向用户提供基于AI的交互式教练信息; 专家终端通过与教练引擎并行的显示面板向使用锻炼单元锻炼的用户提供康复服务信息。</t>
  </si>
  <si>
    <t>基于交互式人工智能教练的肌肉骨骼运动和康复训练系统和方法</t>
  </si>
  <si>
    <t>CN307549619S</t>
  </si>
  <si>
    <t>1.本外观设计产品的名称：带运行资源编排图形用户界面的显示屏幕面板。
 2.本外观设计产品的用途：用于显示图形用户界面。
 3.本外观设计产品的设计要点：在于屏幕中的图形用户界面。
 4.最能表明设计要点的图片或照片：界面变化状态图1。
 5.其他视图无设计要点，省略其他视图。
 6.图形用户界面的用途：界面用于给服务器计算机硬件运行资源编排、调配与展示的用途。
 7.图形用户界面的人机交互方式：主视图显示的图形用户界面为打开程序的登录界面；界面变化状态图1：在主视图右方从上至下依次任意输入“用户名”和“密码”后点击蓝色的“登录”按钮进入界面变化状态图1；界面变化状态图2：在界面变化状态图1左侧主菜单先点击“容器应用”按钮展开子菜单后再点击“应用”按钮得到界面变化状态图2；界面变化状态图3：点击界面变化状态图2左上方“应用名称”下方的“app”按钮进入界面变化状态图3；界面变化状态图4：点击界面变化状态图2左上方的“创建应用”蓝色按钮进入界面变化状态图4；界面变化状态图5：在界面变化状态图4中央任意位置向上滑动得到界面变化状态图5；界面变化状态图6：在界面变化状态图5中央任意位置向上滑动得到界面变化状态图6；界面变化状态图7：点击界面变化状态图2左侧主菜单“容器应用”子菜单下的“服务”按钮得到界面变化状态图7；界面变化状态图8：在界面变化状态图1左侧主菜单先点击“工作负载”按钮展开子菜单后再点击“部署”按钮得到界面变化状态图8；界面变化状态图9：点击界面变化状态图8左上方“名称”下列中的“rook‑ceph‑operator”按钮进入界面变化状态图9；界面变化状态图10：点击界面变化状态图8左上方的“Deployment”蓝色按钮进入界面变化状态图10；界面变化状态图11：点击界面变化状态图8左侧主菜单“工作负载”子菜单下的“容器组”按钮得到界面变化状态图11。
 8.本外观设计产品的显示屏幕面板可应用于计算机、笔记本电脑、平板电脑、手机、智能手机、智能眼镜、虚拟现实眼镜、增强现实眼镜、混合现实眼镜、手表、智能手表、健身监视器、头戴式耳机、智能音箱、电视、机顶盒。</t>
  </si>
  <si>
    <t>带运行资源编排图形用户界面的显示屏幕面板</t>
  </si>
  <si>
    <t>CN114550872A</t>
  </si>
  <si>
    <t>本发明专利提供了一种基于分布式个体多源运动数据的运动处方推荐方法。其特征在：(1)采用多种运动采集设备，包括运动手环、运动手表、跑步机、运动APP等，对同一人的过去一周所采用的所有运动进行采集，并依照各种运动采集设备自带的功能获取其运动统计数据，包括运动日期与时间、运动时长、运动热量消耗，并统一各数值的计量单位，对数据进行归一化处理；(2)用非极大值抑制算法清除运动时间重复度大于80％的统计内容，对剩余运动统计按照时间排序，并按照时间先后顺序输入长短时记忆模型，生成中间特征；(3)通过神经网络全连接层对中间特征进行特征提取，生成最终特征，并用回归模型生成运动处方的编码。</t>
  </si>
  <si>
    <t>一种基于分布式个体多源运动数据的运动处方推荐方法</t>
  </si>
  <si>
    <t>CN217362669U</t>
  </si>
  <si>
    <t>本实用新型公开一种可无线供电健身车，其中，初级线圈固定在非转动部件上，且所述初级线圈是以固定有次级线圈的转动部件的旋转轴心为固定中心，而装设在该非转动部件上的。次级线圈固定在转动部件上，且所述次级线圈是以该转动部件的旋转轴心为固定中心，而装设在该转动部件上的，且该次级线圈与所述初级线圈平行设置，以使所述初级线圈与和次级线圈的固定中心与该转动部件的旋转轴心同轴。所述次级线圈连接转动部件驱动装置、电控装置。该健身车通过无线供电系统可以给旋转的部件供电，且健身车的旋转部件还可以加设有电控装置，进一步提高健身车人机交互的智能化，数据化，美观化，进而提升用户对健身车的良好体验感。</t>
  </si>
  <si>
    <t>一种可无线供电健身车</t>
  </si>
  <si>
    <t>KR1020230125357A</t>
  </si>
  <si>
    <t>本发明提出了一种在疫苗程序中引入/使用人工智能(人工智能检测模型)的恶意文件检测方法的实现方法,并实现了提高人工智能检测模型的准确性/可用性的具体操作技术。 。</t>
  </si>
  <si>
    <t>使用人工智能的恶意文件检测系统</t>
  </si>
  <si>
    <t>KR1020230124237A</t>
  </si>
  <si>
    <t>根据本发明的通过语音识别进行非面对面锻炼讲座的方法,包括跟踪进行非面对面锻炼服务的用户的语音或跟踪进行非面对面锻炼服务的教练的声音。 -实时面对面锻炼服务,实时跟踪判断是否识别到用户语音中的预设单词或教练语音,当识别到预设单词时根据该单词执行设定的功能,并显示将设置功能的结果提供给用户,并将其提供给设备或指导者设备。 借此,本发明在非面对面的实时练习讲座中为指导者和学生之间提供了更加便捷的沟通,避免了使用设备和手动聊天的不便,从而提高了非面对面的用户满意度。 -面部练习讲座。提供</t>
  </si>
  <si>
    <t>如何通过语音识别进行非面对面的炼功讲座</t>
  </si>
  <si>
    <t>CN114512035A</t>
  </si>
  <si>
    <t>本发明提供了一种适用于体育教学的动作演示系统，包括人工智能眼镜、可穿戴手套、腿部绑定器以及数据处理模块；人工智能眼镜、可穿戴手套以及腿部绑定器佩戴在操作者身上；操作者的手上拿着篮球；人工智能眼镜、可穿戴手套以及腿部绑定器均与数据处理模块连接；可穿戴手套包括控制器和阻力带。本申请通过设置可穿戴手套、人工智能眼镜以及腿部绑定器来实时获取训练人员的基本特征，并且给出教学示范动态轨迹引导训练人员进行标准投篮训练，避免错误运动习惯的形成和纠正的时间精力成本付出，大大提高了训练效率；还通过设置阻力带，能够模拟篮球，进一步提高训练效率；同时通过控制器来及时纠正训练人员的发力，进一步提高规范化投篮训练效果。</t>
  </si>
  <si>
    <t>一种适用于体育教学的动作演示系统</t>
  </si>
  <si>
    <t>CN114549577A</t>
  </si>
  <si>
    <t>本发明涉及运动分析技术领域，具体是一种基于深度学习对排球轨迹进行检测并修复的方法。首先收集大量排球运动视频，并对视频中的排球进行标注，用于深度神经网络模型的训练，然后使用训练好的模型对排球识别，得到排球检测数据，去除误检数据，修复漏检数据，最后得到检测结果。本发明能够自动检测和跟踪排球赛事中排球的轨迹位置，利用已检测出的数据拟合曲线，并对误检目标的数据进行自动纠正，对漏检的数据进行位置还原，提高目标检测的准确性。</t>
  </si>
  <si>
    <t>一种基于深度学习的排球运动轨迹检测并修复的方法</t>
  </si>
  <si>
    <t>US20220169533A1</t>
  </si>
  <si>
    <t>本发明提供一种用于全面监测、分析和维护游泳池中的水和设备的方法,所述方法由一个或多个处理器实现,该处理器可操作地耦合到非暂时性计算机可读存储设备,在该非临时性计算机可读存储设备上存储有指令代码模块,该指令代码模块 当被执行时,使一个或多个处理器执行:从包括以下至少之一的元件累积和监测数据:游泳池附近及其周围的传感器、致动器和断路器; 在本地处理单元处从多个来源累积非感官数据; 将数据传播到在线远程服务器,在在线远程服务器上应用机器学习或基于规则的算法,配置为合并所有获取的数据,并通过提供建议、控制参数和提供在线访问接口来获得池维护的最佳策略 用于泳池所有者、泳池服务人员、泳池维护公司、泳池供应商和泳池零售经销商中的至少一个的所述推荐/控制参数。</t>
  </si>
  <si>
    <t>一种游泳池水和设备综合监测、分析和维护的系统和方法</t>
  </si>
  <si>
    <t>CN114788948A</t>
  </si>
  <si>
    <t>本发明公开了一种可视化训练流程管理方法，包括以下步骤：首先建立基础管理数据库，利用互联网将网络上关于间歇训练的相关数据进行阶段性分类，并将各个阶段的合格数据进行科学化确定，利用基础管理数据库根据不同的阶段分别合理性设计一套训练流程，并对训练流程里的应监测数据作出相对的区间划分。该可视化训练流程管理方法，通过设置基础管理数据库，利用互联网大数据对各阶段进行科学合理的划分，然后根据用户个人对应建立用户数据库，使用户自身能够准确的了解进度，通过设置实时管理数据库，将采用物联网模式替换一对一模式，提高训练效果，减少多余劳动力，且提高监测数据准确率，并使教练能够合理的对用户进行指导，提高指导效果。</t>
  </si>
  <si>
    <t>一种可视化训练流程管理方法</t>
  </si>
  <si>
    <t>CN116665115A</t>
  </si>
  <si>
    <t>本发明提供了一种基于物联网大数据的运动损伤预警导诊方法和系统，通过视频监测自动识别摔倒的运动人员，满足系统触发条令后，AI机器人自动定位受伤者位置并前往，受伤者通过导诊系统点击输入受伤类型，AI系统自动匹配数据库应急处理方案，给予语音指导，并提供相应的设备与药物，并根据伤情判断，实时通知场馆管理人员或急救中心，为每一名体育爱好者提供及时的救治服务，降低了体育场馆医疗人员人工成本，提高了救治效率。</t>
  </si>
  <si>
    <t>一种基于物联网大数据的运动损伤预警导诊方法和系统</t>
  </si>
  <si>
    <t>CN114529614A</t>
  </si>
  <si>
    <t>本申请提供了一种乒乓球桌的标定方法、标定装置及存储介质，乒乓球桌的标定方法包括：获取乒乓球桌顶面的图像；获取球桌坐标系下的特征点阵，所述球桌坐标系下的特征点阵包括乒乓球桌的四个角点以及乒乓球桌长度方向的中线与乒乓球桌的两短边的交点；利用计算机视觉算法检测球桌坐标系下的特征点阵对应在相机坐标坐标系下的像素坐标点阵；根据球桌坐标系下的特征点阵、相机坐标系下的像素坐标点阵以及已知的相机参数，计算得到相机坐标系与球桌坐标系的转换关系。本申请无需人工操作即可对乒乓球桌进行自动标定校准，且标定效率高，标定结果更准确。</t>
  </si>
  <si>
    <t>乒乓球桌的标定方法、标定装置及存储介质</t>
  </si>
  <si>
    <t>US20230077428A1</t>
  </si>
  <si>
    <t>本文中的系统和方法用于预测运动员在特定运动中的表现。 例如,在梦幻足球中,用户可以通过基于球员统计数据选择球员来组建球队。 本文的实施例可以通过训练和机器学习模块采用机器学习,其中具有个体玩家的各种统计数据(例如,根据位置),以便预测个体玩家的表现。</t>
  </si>
  <si>
    <t>预测恢复和性能分析系统和方法</t>
  </si>
  <si>
    <t>CN114529986A</t>
  </si>
  <si>
    <t>本申请涉及智能运动的领域，其具体地公开了一种基于可穿戴设备的科学训练指导系统及其工作方法，其采用基于卷积神经网络的深度学习技术，通过运动者的运动重心在时域上和频域上的关联性特征以此来进行分类，并且在此过程中，使用尺度变换来融合时域信息和频域信息在高维空间中的隐含关联性特征，从而使得获得的用于表示运动者的运动姿态是否适当的分类结果更加准确。通过这样的方式，可以对使用者的运动或者跑步进行科学的训练指导，从而能够达到科学训练的目的。</t>
  </si>
  <si>
    <t>基于可穿戴设备的科学训练指导系统及其工作方法</t>
  </si>
  <si>
    <t>CN307481397S</t>
  </si>
  <si>
    <t>1.本外观设计产品的名称：带有无障碍信息引导用户界面的显示屏幕面板。
 2.本外观设计产品的用途：用于显示信息，该显示屏幕面板可用于手机、平板电脑。
 3.本外观设计产品的设计要点：在于图形用户界面内容。
 4.最能表明设计要点的图片或照片：主视图。
 5.无设计特征，省略主视图之外的其他视图。
 6.图形用户界面的用途：用于显示空间无障碍设施位置、信息，为有需求人士提供便利。
 7.图形用户界面的人机交互方式：主视图为界面的首页，点击主视图的“导览地图”进入界面变化状态图&amp;nbsp;1&amp;nbsp;默认进入“注册中心”到各公寓楼路线列表，点击界面变化状态图&amp;nbsp;1&amp;nbsp;的“运动员餐厅”进入界面变化状态图&amp;nbsp;2，点击界面变化状态图&amp;nbsp;2“运动员餐厅相关路线”中的列表条目进入界面变化状态图&amp;nbsp;3，点击界面变化状态图&amp;nbsp;1&amp;nbsp;的“医疗中心”进入界面变化状态图&amp;nbsp;4，点击界面变化状态图&amp;nbsp;1&amp;nbsp;的“健身中心”进入界面变化状态图&amp;nbsp;5，点击界面变化状态图&amp;nbsp;1&amp;nbsp;的“空间”进入界面变化状态图&amp;nbsp;6&amp;nbsp;默认“公共空间”，点击界面变化状态图&amp;nbsp;6&amp;nbsp;列表中条目进入界面变化状态图&amp;nbsp;7，点击界面变化状态图&amp;nbsp;6&amp;nbsp;的“运动员公寓”进入界面变化状态图&amp;nbsp;8，击界面变化状态图&amp;nbsp;8&amp;nbsp;列表中条目进入界面变化状态图&amp;nbsp;9，点击界面变化状态图&amp;nbsp;1&amp;nbsp;的“设施”进入界面变化状态图&amp;nbsp;10&amp;nbsp;默认“出入口”，点击界面变化状态图&amp;nbsp;10&amp;nbsp;的“无障碍卫生间”进入界面变化状态图&amp;nbsp;11，点击界面变化状态图&amp;nbsp;10&amp;nbsp;的“共享设施”进入界面变化状态图&amp;nbsp;12，点击界面变化状态图&amp;nbsp;12&amp;nbsp;的定位按钮或地图中绿色轮椅图标进入界面变化状态图&amp;nbsp;13，点击界面变化状态图&amp;nbsp;1&amp;nbsp;的“停车”进入界面变化状态图&amp;nbsp;14，点击主视图的“我的”进入界面变化状态图&amp;nbsp;15，点击界面变化状态图&amp;nbsp;15&amp;nbsp;的“调度申请”进入界面变化状态图&amp;nbsp;16，点击界面变化状态图&amp;nbsp;15&amp;nbsp;的“车位预约”进入界面变化状态图&amp;nbsp;17。</t>
  </si>
  <si>
    <t>带有无障碍信息引导用户界面的显示屏幕面板</t>
  </si>
  <si>
    <t>US11557220B2</t>
  </si>
  <si>
    <t>用户计算实体执行应用程序代码以通过用户计算实体的用户界面显示IUI。 IUI包括动作列表,该动作列表包括对应于团队的一个或多个团队成员的一个或多个动作项目。 行动项目根据一个或多个行动优先级自动排序。 行动项目中的至少一个对应于辅导机会和对其作出响应的建议。 使用至少部分基于对应于多个关键绩效指标度量的绩效数据的机器学习训练的推荐模型自动识别辅导机会。 响应教练机会的推荐是使用推荐模型并基于绩效数据来确定的。 推荐模型使用有关先前处理教练机会的信息和一组团队的相应结果指标进行训练。</t>
  </si>
  <si>
    <t>用于生成和提供行动建议的自我训练机器学习系统</t>
  </si>
  <si>
    <t>KR1020230121192A</t>
  </si>
  <si>
    <t>本发明涉及一种体育运动员的心理评估装置,通过学习从与体育相关的注释者输入的心理特征因素与体育赛事的各个位置之间的关系信息,构建人工智能模型。体育运动员在体育赛事中的位置。</t>
  </si>
  <si>
    <t>体育运动员心理评估装置、方法和程序</t>
  </si>
  <si>
    <t>US20230237370A1</t>
  </si>
  <si>
    <t>训练代理的方法使用混合场景,旨在教授在更大领域有用的特定技能,例如混合一般赛车和非常具体的战术赛车场景。 该方法的方面可以包括以下一项或多项:(1)通过将一辆或多辆汽车分散在赛道上来训练代理在计时赛中表现出色; (2) 在各种赛车场景中运行代理,数量可变的对手在赛道上以不同的配置开始; (3)通过使用游戏提供的智能体、根据本发明的各方面训练的智能体或受控制遵循特定行驶路线的智能体来改变对手; (4) 在各种比赛情况下与对手设置特定的短场景,并具有特定的成功标准; (5) 根据智能体在各种评估场景中的表现制定动态课程。</t>
  </si>
  <si>
    <t>KR1020230119754A</t>
  </si>
  <si>
    <t>本发明涉及一种使用可教机器和相机的AI健康教练系统; 
  人工智能健康教练;包括, 
  AI健康教练 
  图像输入单元,通过其输入摄像机图像; 
  图像处理单元,从输入图像中过滤并去除噪声; 
  用于AI处理的AI模型单元; 
  传输单元; 
  接收者; 
  存储单元,用于存储数据; 
  其特征在于,它由控制单元组成。 
  另外,控制单元通过AI模型单元区分正确的姿势和需要校正的姿势,并且当需要校正时,其特征在于,它通过向用户传递校正来帮助用户保持正确的姿势。通过文字和语音。 
  此外,控制单元通过作为音频输出设备的扬声器向用户输出语音指导,而不会增加用户通过AI模型单元保持错误姿势的次数。摄像头可传输,运动时可以实时对比正确的运动姿势和自己的姿势,并可查看识别范围和过程,对于减少对AI的紧张和尴尬,诱导孩子积极主动,效果显着。并有趣地参加锻炼计划。</t>
  </si>
  <si>
    <t>使用可教学机器的人工智能健康教练系统</t>
  </si>
  <si>
    <t>IN202221006418A</t>
  </si>
  <si>
    <t>运动会是可以在田径场上进行的运动项目之一。 它包含了更多的场合,如散步、跑步、折腾和游泳。 运动会在体育运动中占有重要地位,地球上几乎每个国家都急切地准备对比赛产生兴趣。 为了推动一种坚实的生活方式和人类关注的意义仍然悬而未决,提出了各种观点。 它包括不断扩大的医疗保健步伐,使预期寿命超过更长的时间。 剩下的工作舒适度和个人满意度的好处。 本次审查的目的是检查信息建立在运动员准备和注意执行运动方法的基础上的扩展工作。 由于缺乏合理的准备和投入,参赛者的执行力无法得到提升。 为了克服这一点,需要教练成功地为参赛者做好准备和投入。 我们提出了一种称为智能传感器网络的新方法,它处理反馈组件的准则。 谈到了基于可穿戴传感器的创新技术,该传感器结合了人体的功率估计和生物力学。 从运动准备中这些相关工作的多样性中获取的信息将显示所获取数据对运动的价值。 创造的创新用于预测运动准备,并考虑竞争对手的检查执行。</t>
  </si>
  <si>
    <t>嵌入式传感器基于物联网的运动员表现分析</t>
  </si>
  <si>
    <t>IN202217006503A</t>
  </si>
  <si>
    <t>一种人工智能领域的健身辅助方法,其特征在于,该方法包括:电子设备获取用户动作(S601); 电子设备从用户的动作中确定用户动作中第一肢体的运动轨迹满足第一预设条件的备选动作(S602); 电子设备确定替代动作中第二肢体的动作变化幅度(S603); 电子设备根据动作变化幅度确定输出引导信息(S604)。 通过确定肢体运动轨迹满足第一预设条件的替代动作,根据替代动作中肢体的动作变化幅度,可以准确判断出用户进行了健身动作。 在确定用户进行健身动作时输出引导信息,从而可以提高引导信息输出的准确性,提高用户体验。</t>
  </si>
  <si>
    <t>健身辅助方法及电子设备</t>
  </si>
  <si>
    <t>IN202241005528A</t>
  </si>
  <si>
    <t>本发明是关于一种水箱,一种可以清洗水箱的清洗机,如水族箱、游泳池或浴缸。 它的工作原理是旋转安装在第二吸水室上的吸水叶轮,通过第一吸水室和第二吸水室的每个吸水口从水箱中吸水,然后将基于传感器的旋转装置的扭矩传递给 擦拭装置通过动力传动装置。</t>
  </si>
  <si>
    <t>具有物联网的自动水箱清洁和监控设备</t>
  </si>
  <si>
    <t>IN202211005352A</t>
  </si>
  <si>
    <t>一种安全锻炼设备,包括跑步机 1,跑步机 2 用于向用户提供平台以执行跑步/锻炼,其特征在于,用于扫描未注册用户指纹的生物识别扫描仪 3,初级人工智能启用图像捕获 用于执行多级认证的模块5,一对气动伸缩杆6配置有超声波传感器8用于确定用户的腿和杆7之间的距离,二次人工启用的图像捕获模块9用于检测脚踝部分的尺寸 用户的腿,一对电磁脚踝重物10,用于根据检测到的尺寸夹住用户的脚踝,多个电磁铁11层叠在甲板2上,电磁铁11被通电产生磁场以在跑步时吸引电磁脚踝重物10 /在跑步机上锻炼 1.</t>
  </si>
  <si>
    <t>安全锻炼装置</t>
  </si>
  <si>
    <t>CN307430171S</t>
  </si>
  <si>
    <t>1.本外观设计产品的名称：带打卡薪资结算图形用户界面的显示屏幕面板。
 2.本外观设计产品的用途：用于运行程序及显示信息。
 3.本外观设计产品的设计要点：在于屏幕中的图形用户界面。
 4.最能表明设计要点的图片或照片：主视图。
 5.其他视图无设计要点，省略其他视图。
 6.图形用户界面的用途：界面用于员工用户工作打卡、薪资结算、查看收入的用途。
 7.图形用户界面的人机交互方式：主视图显示的图形用户界面为打开程序的首页界面；界面变化状态图1：点击主视图中央最下方的圆形图标按钮进入界面变化状态图1；界面变化状态图2：点击界面变化状态图1上方的“换班次”按钮弹出界面变化状态图2；界面变化状态图3：点击界面变化状态图1“就餐打卡”水平右方的圆形“打卡”按钮进入界面变化状态图3；界面变化状态图4：点击界面变化状态图3右上角的“拍照示例”按钮弹出界面变化状态图4；界面变化状态图5：在界面变化状态图3将用户完整人脸置于外置摄像头正中央并点击界面变化状态图3中央最下方的圆形“拍照”图形按钮后自动跳转到界面变化状态图5；界面变化状态图6：点击界面变化状态图5中央的“知道了”按钮得到界面变化状态图6；界面变化状态图7：在界面变化状态图6等待到达打卡时间后自动变化为界面变化状态图7；界面变化状态图8：在界面变化状态图7参照界面变化状态图3‑5的操作完成下班打卡后得到界面变化状态图8；界面变化状态图9：在界面变化状态图8等待管理员审核打卡完成后自动变化为界面变化状态图9；界面变化状态图10：点击主视图右下角的“我的”按钮进入界面变化状态图10。
 8.本外观设计产品的图形用户界面和显示屏幕面板可应用于各种可运行程序的电子设备/装置之上，例如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智能音箱、电视、机顶盒、游戏系统。
 本外观设计产品的图形用户界面中的灰色“X”涂覆内容属于内容画面。</t>
  </si>
  <si>
    <t>带打卡薪资结算图形用户界面的显示屏幕面板</t>
  </si>
  <si>
    <t>CN307430170S</t>
  </si>
  <si>
    <t>1.本外观设计产品的名称：带后台打卡审核图形用户界面的显示屏幕面板。
 2.本外观设计产品的用途：用于运行程序及显示信息。
 3.本外观设计产品的设计要点：在于屏幕中的图形用户界面。
 4.最能表明设计要点的图片或照片：主视图。
 5.其他视图无设计要点，省略其他视图。
 6.图形用户界面的用途：界面用于企业后台端审核与监控员工打卡、核实打卡风险与展示信息的用途。
 7.图形用户界面的人机交互方式：主视图显示的图形用户界面为打开程序的首页界面；界面变化状态图1：在主视图中央的任意位置向上滑动得到界面变化状态图1；界面变化状态图2：点击主视图“待办事项”下的“你有X个风险人员信息待审核”按钮进入界面变化状态图2；界面变化状态图3：点击界面变化状态图2右方从上至下第2个“核实风险”按钮进入界面变化状态图3；界面变化状态图4：在界面变化状态图3中央的任意位置向上滑动得到界面变化状态图4；界面变化状态图5：点击界面变化状态图3最下方的“确认无风险”按钮弹出界面变化状态图5；界面变化状态图6：点击界面变化状态图3最下方的“确认有风险”按钮弹出界面变化状态图6；界面变化状态图7：点击界面变化状态图2右上角的“已处理”按钮得到界面变化状态图7；界面变化状态图8：点击主视图“待办事项”下的“你有X个打卡审核信息待审核”按钮进入界面变化状态图8；界面变化状态图9：点击界面变化状态图8右上方的“去审核”按钮弹出界面变化状态图9；界面变化状态图10：点击界面变化状态图8中央右方的“审核通过”按钮弹出界面变化状态图10；界面变化状态图11：点击界面变化状态图8中央右方的“审核拒绝”按钮弹出界面变化状态图11；界面变化状态图12：点击界面变化状态图8从上至下第2个待审核卡片空白处进入界面变化状态图12；界面变化状态图13：点击界面变化状态图12最下方的“通过”按钮弹出界面变化状态图13；界面变化状态图14：点击界面变化状态图12最下方的“拒绝”按钮弹出界面变化状态图14；界面变化状态图15：点击界面变化状态图8右上角的“已审核”按钮得到界面变化状态图15；界面变化状态图16：点击界面变化状态图15从上至下第1个已审核卡片空白处进入界面变化状态图16；界面变化状态图17：点击界面变化状态图15从上至下第2个已审核卡片空白处进入界面变化状态图17；界面变化状态图18：点击界面变化状态图1上方的“考勤记录”按钮进入界面变化状态图18；界面变化状态图19：点击界面变化状态图18右方从上至下任意一个“小箭头”图标按钮进入界面变化状态图19；界面变化状态图20：在界面变化状态图19中央的任意位置向上滑动得到界面变化状态图20；界面变化状态图21：点击界面变化状态图19右上角的“小箭头”图标按钮进入界面变化状态图21。
 8.本外观设计产品的图形用户界面和显示屏幕面板可应用于各种可运行程序的电子设备/装置之上，例如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智能音箱、电视、机顶盒、游戏系统。
 本外观设计产品的图形用户界面中的灰色“X”涂覆内容属于内容画面。</t>
  </si>
  <si>
    <t>带后台打卡审核图形用户界面的显示屏幕面板</t>
  </si>
  <si>
    <t>CN114467825B</t>
  </si>
  <si>
    <t>本发明公开了一种循环水养殖鱼类智能分级系统，系统可以包括养殖池、水下摄像机、生物量评估通道、吸鱼泵、服务器、补光灯等。该系统主要利用机器视觉和人工智能算法对循环水养殖鱼群社群等级结构信息进行量化与分析，继而结合鱼群不同社群等级个体间的游泳策略博弈特征，耦合循环水养殖环境信息，求解当前养殖对象最佳的社群等级结构配置，并基于该配置实现养殖鱼类智能分级。本发明的系统结构简单，方法简便有效，能在保证养殖鱼类摄食福利的同时，促进鱼群社群等级结构稳定，避免鱼群内部个体社群等级的分化，从而提高生产效率，最大化养殖效益。</t>
  </si>
  <si>
    <t>一种循环水养殖鱼类智能分级系统</t>
  </si>
  <si>
    <t>CN307310148S</t>
  </si>
  <si>
    <t>1.本外观设计产品的名称：用于手机的记录运动健身信息的图形用户界面。
 2.本外观设计产品的用途：本外观设计产品用于显示信息、运行程序及通讯。
 3.本外观设计产品的设计要点：在于屏幕中的图形用户界面内容，手机为现有设计，界面中的“文字内容”等文字仅用于指明内容区域，文字本身并非本外观设计的保护内容。
 4.最能表明设计要点的图片或照片：设计2主视图。
 5.产品硬件部分为常规设计，省略设计1‑设计2后视图、左视图、右视图、俯视图以及仰视图。
 6.指定设计2为基本设计。
 7.图形用户界面的用途：本外观设计产品的界面用于记录运动数据信息。
 8.图形用户界面的人机交互方式：点击设计1主视图界面小喇叭标识按钮进入设计1变化状态图，对设计2主视图界面进行向上滑动且向左或向右滑动头部头像可进入设计2变化状态图1，点击设计2变化状态图1界面小喇叭标识按钮进入设计2变化状态图2，点击设计2变化状态图1界面小手标识按钮进行左晃进入设计2变化状态图3，点击设计2变化状态图1界面小手标识按钮进行右晃进入设计2变化状态图4，点击设计3主视图界面小喇叭标识按钮进入设计3变化状态图，对设计4主视图界面进行向上滑动且向左或向右滑动头部头像可进入设计4变化状态图1，点击设计4变化状态图1界面小喇叭标识按钮进入设计4变化状态图2，点击设计4变化状态图1界面小手标识按钮进行左晃进入设计4变化状态图3，点击设计4变化状态图1界面小手标识按钮进行右晃进入设计4变化状态图4。</t>
  </si>
  <si>
    <t>用于手机的记录运动健身信息的图形用户界面</t>
  </si>
  <si>
    <t>IN202227004820A</t>
  </si>
  <si>
    <t>本申请实施例提供一种锁定目标用户的方法及电子设备,涉及电子设备领域。 本申请提供的方法可以应用于人工智能(artificial intelligence,AI)健身场景,能够保证锁定目标用户的准确性。 电子设备在健身过程中可以通过识别用户特征、参考用户佩戴的可穿戴设备采集的数据识别用户、识别运动模式等方法识别目标用户并跟踪目标用户。 用户的。</t>
  </si>
  <si>
    <t>目标用户锁定方法及电子设备</t>
  </si>
  <si>
    <t>CN307458399S</t>
  </si>
  <si>
    <t>1.本外观设计产品的名称：带推荐算法创建图形用户界面的显示屏幕面板。
 2.本外观设计产品的用途：用于运行程序及显示信息。
 3.本外观设计产品的设计要点：在于屏幕中的图形用户界面。
 4.最能表明设计要点的图片或照片：主视图。
 5.其他视图无设计要点，省略其他视图。
 6.图形用户界面的用途：界面用于视频浏览和展示、智能推荐算法编辑与创建的用途。
 7.图形用户界面的人机交互方式：主视图显示的图形用户界面为打开程序的首页界面；界面变化状态图1：点击主视图左上角的“搜索”图标按钮进入界面变化状态图1；界面变化状态图2：点击界面变化状态图1最上方的“搜索你想搜索的内容”文本框弹出界面变化状态图2；界面变化状态图3：点击界面变化状态图2左上方“官方推荐算法”下方的黄色图标按钮弹出界面变化状态图3；界面变化状态图4：点击界面变化状态图1左上方“自定义算法”下方的“+”图标按钮进入界面变化状态图4；界面变化状态图5：在界面变化状态图4中央的任意位置向上滑动得到界面变化状态图5；界面变化状态图6：点击界面变化状态图4最上方“模板名称”右边的黄色图标按钮弹出界面变化状态图6；界面变化状态图7：点击界面变化状态图4“个人信息”标签水平右方的“开关”图标按钮得到界面变化状态图7；界面变化状态图8：点击界面变化状态图7“频道”标签水平右方的“开关”图标按钮得到界面变化状态图8；界面变化状态图9：点击界面变化状态图8最下方“请选择感兴趣的频道”文本按钮弹出界面变化状态图9；界面变化状态参考图：此界面对应为主视图实际使用状态的界面变化状态参考图。
 8.本外观设计产品的显示屏幕面板可应用于计算机、笔记本电脑、平板电脑、手机、智能手机、智能眼镜、虚拟现实眼镜、增强现实眼镜、混合现实眼镜、手表、智能手表、健身监视器、头戴式耳机、智能音箱、电视、机顶盒。
 9.本外观设计产品的图形用户界面中的灰色“X”涂覆内容属于内容画面。</t>
  </si>
  <si>
    <t>带推荐算法创建图形用户界面的显示屏幕面板</t>
  </si>
  <si>
    <t>CA3147026A1</t>
  </si>
  <si>
    <t>示出了一种使用无线连接到主计算设备的手指或手安装的运动感测平台来可靠地识别复杂的手和手指运动的方法。 这允许用户通过直观的手势和使用手指手写的字符输入来控制计算设备或其他设备。 还支持健身跟踪模式。 传感器平台和主计算设备结合使用传统信号处理和深度神经网络来处理数据,以确定手势运动和字符输入的存在和分类。 预设的点击模式可以改变设备识别手势、字符、健身追踪和睡眠模式的功能,而不活动计时器也可以启用睡眠模式。 对于字符识别,本发明显示检测到的最前面的候选字符,并允许用户通过滑动手势选择正确的候选字符,以更好地适应字符检测中的错误,并帮助建立识别字符库以改进未来的操作。</t>
  </si>
  <si>
    <t>用于远程用户界面控制和文本输入的自然手势检测环系统</t>
  </si>
  <si>
    <t>US20230214288A1</t>
  </si>
  <si>
    <t>用于在一系列设备与网站交互期间自动检测网站错误的系统和方法。 在一个示例中,计算设备被配置为接收客户端设备和网站之间的一系列网页交互的网站导航序列。 计算设备可以确定执行网站导航序列的客户端设备的下一次测量的预测完成时间。 可以确定执行网站导航序列的客户端设备的下一次测量的实际完成时间。 然后,计算设备可以基于未满足边界阈值的实际比赛时间来确定异常网站事件。 基于利用从多个先前网站导航序列识别的多个先前网站错误来训练的第二机器学习模型,将异常网站事件确定为网站错误。</t>
  </si>
  <si>
    <t>自动识别网站错误</t>
  </si>
  <si>
    <t>CN114411588A</t>
  </si>
  <si>
    <t>本发明公开了一种基于物联网的自动化码头集装箱场站闸口系统，包括回型杆，所述回型杆的下侧设有多个控制板，多个所述控制板通过连接装置和回型杆连接设置，多个所述控制板下侧对称固定连接设有两个固定板，两个所述固定板靠近对方的一侧设有多个深槽，多个所述深槽内固定连接设有检测器，两个所述固定板之间匹配安装设有导轨，两个所述固定板的下侧固定连接设有多个万向轮，两个所述固定板两侧对称设有两个转动槽，两个所述转动槽内转动连接设有转动杆，所述转动杆上固定套设有转动板，所述转动板贯穿于转动槽设置。本发明可以根据实际的工作情况，更好的完成对集装箱的检查运输操作，整体操作简单，实用性强。</t>
  </si>
  <si>
    <t>一种基于物联网的自动化码头集装箱场站闸口系统</t>
  </si>
  <si>
    <t>CN114495276A</t>
  </si>
  <si>
    <t>本公开涉及一种运动信息处理方法、装置、计算机设备，所述方法包括：实时获取运动主体的动作发生部位的压力数据；实时获取所述运动主体的视频信息；根据所述压力数据判断所述运动主体的当前动作是否满足第一力度条件；根据所述视频信息判断所述运动主体的当前动作是否满足范围条件；在判断结果为所述运动主体的当前动作满足所述第一力度条件，且满足所述范围条件的情况下，记录所述运动主体的当前动作为有效动作。本公开可以基于传感器和计算机视觉对运动主体的运动信息进行全面的采集和记录，并可以及时分析运动主体的运行行为，判断运动主体的当前动作是否为有效动作，可以大大提高了运动训练的效率，同时减少了运动比赛中的人工计分失误。</t>
  </si>
  <si>
    <t>运动信息处理方法、装置、计算机设备</t>
  </si>
  <si>
    <t>KR1020230115133A</t>
  </si>
  <si>
    <t>[0001] 本发明涉及一种利用机器学习的洗涤器装置,更具体地,涉及一种利用机器学习快速去除污染气体中的污染物和异味,增加与清洗液的接触效率,提高工作效率的机器。使用跑步。 
  根据实现上述目的的特征,本发明,第一填充层12形成在由圆柱形形状制成的主体10的内侧上,并且第二填充层12形成在第一填充层12的顶部上。层12:主体部分102,其中形成有填充层14,并且在第二填充层14上形成有虚拟晶体管16。 第一储存单元104和第二储存单元105设置有安装在主体单元102的主体10的下部左右两侧的储存罐28,用于储存清洗液; 第一供应单元106和第二供应单元107,具有用于将存储在第一存储单元和第二存储单元中的清洗液排出和供应到主体单元102的内部的第一供应泵40和第二供应泵41; 第一清洗液喷射装置108和第二清洗液喷射装置109,用于喷射由第一供应单元106和第二供应单元017供应的清洗液,以清洗供应到主体部102内的污染气体。 第一喷嘴单元110和第二喷嘴单元111连接到第一清洗液喷射装置108和第二清洗液喷射装置109,并在安装有第一填充层和第二填充层的地方以旋风方向向下喷射清洗液。 其特征在于,其包括第一过滤单元112和第二过滤单元113,用于过滤通过第一喷嘴单元和第二喷嘴单元喷射的清洁液以及由清洁液洗涤的污染物气体。 
  本发明的利用机器学习的洗涤器装置通过引入污染气体并使污染物和气味与清洁液接触来达到去除气味的效果,并且具有多级清洁液喷射装置和过滤单元以提高效率过滤过程有一个效果可以提高。</t>
  </si>
  <si>
    <t>使用机器学习的洗涤器装置</t>
  </si>
  <si>
    <t>CO20220000595A1</t>
  </si>
  <si>
    <t>本发明提供了一种用于在诸如足球比赛之类的竞技赛事中进行通信和数据管理的设备,该设备包括由太阳能或其他来源供电的光信号,其取代了旧的红黄牌和来自裁判的手动信号。 这些光信号或投射全息图的光信号连接到一个或多个处理器,这些处理器分布在通过物联网连接的多个设备中的一个中,这些处理器连接多个传感器和换能器,这些传感器和换能器通过逻辑 AI 程序准确识别被警告的玩家避免错误例如在不被驱逐的情况下积累牌,冒充球员等,以及在裁判、俱乐部、教练、电视、广播或互联网频道、应急机构和球队或运动的支持者的设备之间实时双向共享信息粉丝。 最大限度地减少欺诈的发生,提高比赛的透明度,并让所有相关人员实时访问裁判决策中的数据</t>
  </si>
  <si>
    <t>用于足球比赛中通信和数据管理的智能设备</t>
  </si>
  <si>
    <t>CN114493257A</t>
  </si>
  <si>
    <t>本申请涉及物联网通信设备技术领域，尤其是涉及一种基于智慧景区的健身步道管理方法、系统、终端及介质，旨在解决现有技术健身步道在投入使用时，是由游客自主进行使用，与常规道路的区分度较低，吸引力较差的问题，其技术方案是一种基于智慧景区的健身步道管理方法，获取游客图像，将游客图像的第一获取时刻标记为运动起始时刻，将游客图像的第一获取地点标记为起始地点；将游客图像最后出现的第二获取时刻标记为运动终止时刻，将游客图像的第二获取地点标记为终止地点；基于运动起始时刻以及运动终止时刻计算出运动数据，将运动数据存储至健身数据库中，本申请具有提高健身步道的智能化程度，增强健身步道对游客的吸引力的效果。</t>
  </si>
  <si>
    <t>基于智慧景区的健身步道管理方法、系统、终端及介质</t>
  </si>
  <si>
    <t>WO2023137776A1</t>
  </si>
  <si>
    <t>本发明提供一种滑雪场环境要素云端实时链接的元宇宙滑雪系统，涉及机械电子工程与体育的交叉技术领域。该系统包括：滑雪场环境要素感知模块负责感知真实滑雪场中的环境要素变化、接收云端指令以及将所采集的数据上传至云端；VR滑雪模块负责向云端上传开始和停止采集数据的指令、实时接收云端转发的数据以及滑雪场景的数据实时显示与场景渲染；云端实时链接模块负责各模块之间的连接与数据传输，数据传输采用SSL证书进行鉴别与加密。本发明融合"机器人技术+虚拟现实技术+物联网技术+人工智能技术"，应用在大众体育中，建立元宇宙滑雪系统，突破季节、场地等条件限制，让人们在室内就能体验滑雪场地的地理风貌，感受高山滑雪、自由式滑雪等。</t>
  </si>
  <si>
    <t>滑雪场环境要素云端实时链接的元宇宙滑雪系统</t>
  </si>
  <si>
    <t>IN202211004039A</t>
  </si>
  <si>
    <t>本发明涉及一种充气式救生游泳装置,包括充气体1,充气体1安装有体重传感器2,在充气体1上装有重量传感器2,微控制器用于产生指令,气泵3接收指令,气泵3被配置在充气体1上。 本体1用于根据确定的重量向本体1内部泵入空气来给本体充气,加速度计5与本体1上配置的具有AI(人工智能)功能的图像捕获模块6同步,其中加速度计5感测航行速度 当用户超过阈值限制时,激活模块 6 以检测航行路径中固体物体的存在,并且球形顶篷 8 在检测到固体物体时引导顶篷 8 在用户头部周围展开以防止 用户的头部与固体物体发生碰撞。</t>
  </si>
  <si>
    <t>充气救生游泳装置</t>
  </si>
  <si>
    <t>CN114415881A</t>
  </si>
  <si>
    <t>本发明提供一种滑雪场环境要素云端实时链接的元宇宙滑雪系统，涉及机械电子工程与体育的交叉技术领域。该系统包括：滑雪场环境要素感知模块负责感知真实滑雪场中的环境要素变化、接收云端指令以及将所采集的数据上传至云端；VR滑雪模块负责向云端上传开始和停止采集数据的指令、实时接收云端转发的数据以及滑雪场景的数据实时显示与场景渲染；云端实时链接模块负责各模块之间的连接与数据传输，数据传输采用SSL证书进行鉴别与加密。本发明融合“机器人技术+虚拟现实技术+物联网技术+人工智能技术”，应用在大众体育中，建立元宇宙滑雪系统，突破季节、场地等条件限制，让人们在室内就能体验滑雪场地的地理风貌，感受高山滑雪、自由式滑雪等。</t>
  </si>
  <si>
    <t>CN307532266S</t>
  </si>
  <si>
    <t>1.本外观设计产品的名称：用于显示屏幕面板的系统主界面图形用户界面。
 2.本外观设计产品的用途：用于切换显示模式、显示信息和运行程序。
 3.本外观设计产品的设计要点：在于显示屏幕面板中图形用户界面的界面内容。
 4.最能表明设计要点的图片或照片：设计1主视图。
 5.无设计要点，省略各设计后视图、左视图、右视图、俯视图、仰视图。
 6.指定设计1为基本设计。
 7.图形用户界面的用途：本图形用户界面用于显示系统主界面。
 设计1主视图，用户可以通过选中或点击界面中第二行第二个长圆框内的图标，切换用户与显示画面之间的交互模式，不同的交互模式基于用户的不同的自由度，例如可以切换至与用户的自由度无关的0自由度模式，基于用户的3种类型的旋转自由度的3自由度模式，和基于用户的3种类型的平移自由度和3种类型的旋转自由度的6自由度模式；以设计2主视图为基础，除设计1的人机交互模式外，用户通过选中或点击界面左起第一个方框中的内容，进入设计2界面变化状态图，方框的下面显示与内容画面相关的内容列表。
 该显示屏幕面板及图形用户界面应用于计算机、笔记本电脑、平板电脑、手机、虚拟现实眼镜、增强现实眼镜、混合现实眼镜、智能手表、健身监视器、头戴式耳机、智能音箱、电视、机顶盒。</t>
  </si>
  <si>
    <t>用于显示屏幕面板的系统主界面图形用户界面</t>
  </si>
  <si>
    <t>KR1020230109760A</t>
  </si>
  <si>
    <t>本申请涉及人机交互领域,提供了游戏结算界面的显示方法及装置、设备和媒体。 该方法包括:显示游戏比赛的战斗结算界面,所述战斗结算界面用于显示参与所述游戏比赛的至少两个用户账号的游戏结算信息,所述至少两个用户账号包括第一用户账号和第二用户账号,所述游戏结算界面的模型显示区域中显示所述第一用户账号对应的第一模型,所述第一模型为所述第一用户账号对应的虚拟角色模型;接收选择第二用户账号的触发操作; 在游戏结算界面的模型显示区域中显示与第二用户账号对应的第二模型,其中第二模型为与第二用户账号对应的虚拟角色模型。</t>
  </si>
  <si>
    <t>游戏结算界面显示方法及装置、装置和介质</t>
  </si>
  <si>
    <t>IN202241003696A</t>
  </si>
  <si>
    <t>专家对话、层次分析法 (AHP) 分析和模糊逻辑系统 (FLS) 在整个研究中用于检查公司的工程人力外包 (EMO) 能力。 这项研究的结果表明,EMO 能力可以分为三个因素:价格、资产和策略。 研究的总体结果表明,价格因素对 EMO 的影响最大。 模糊评估的总体结果表明,当企业想要增强其 EMO 时,公司应该优先考虑资源因素中直接价格和技能子变量的组合,而不是不同的价格和方法子变量配置。 此外,实证结果表明,这个内部程序子变量对技术因素有重大影响,而内部教练和外国联盟,子变量对 EMO 的技术因素影响很小。</t>
  </si>
  <si>
    <t>提高人力资源能力的模糊模型</t>
  </si>
  <si>
    <t>CN307302170S</t>
  </si>
  <si>
    <t>1.本外观设计产品的名称：带地图模型图形用户界面的显示屏幕面板（扩展训练地图B）。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该显示屏幕面板用于手机、电视、电脑、ipad。</t>
  </si>
  <si>
    <t>带地图模型图形用户界面的显示屏幕面板（扩展训练地图B）</t>
  </si>
  <si>
    <t>CN307302167S</t>
  </si>
  <si>
    <t>1.本外观设计产品的名称：带地图模型图形用户界面的显示屏幕面板（机器人）。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该显示屏幕面板用于手机、电视、电脑、ipad。</t>
  </si>
  <si>
    <t>带地图模型图形用户界面的显示屏幕面板（机器人）</t>
  </si>
  <si>
    <t>CN307302168S</t>
  </si>
  <si>
    <t>1.本外观设计产品的名称：带地图模型图形用户界面的显示屏幕面板（扩展训练地图D）。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该显示屏幕面板用于手机、电视、电脑、ipad。</t>
  </si>
  <si>
    <t>带地图模型图形用户界面的显示屏幕面板（扩展训练地图D）</t>
  </si>
  <si>
    <t>CN307302169S</t>
  </si>
  <si>
    <t>1.本外观设计产品的名称：带地图模型图形用户界面的显示屏幕面板（扩展训练地图C）。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该显示屏幕面板用于手机、电视、电脑、ipad。</t>
  </si>
  <si>
    <t>带地图模型图形用户界面的显示屏幕面板（扩展训练地图C）</t>
  </si>
  <si>
    <t>CN114511927A</t>
  </si>
  <si>
    <t>本发明属于视频监控计算机图像处理技术领域，涉及一种基于视频时序特征分析的泳池溺水行为识别方法，包括：S1、构建数据集；S2、对图像进行预处理；S3、构建神经网络模型，包括：构建特征提取部分、构建空间语义调制模块、构建时间语义调制模块、构建特征融合模块、构建行为判识模块；S4、训练构建的神经网络模型；S5、将采集的目标人员的游泳行为视频进行预处理，输入训练后的神经网络模型，判断该行为是否属于溺水行为；本发明将人体行为的空间信息特征和时序信息特征进行融合，能够实现实时处理图像信息，构建的神经网络模型计算收敛速度快，泛化能力强，具有较强的鲁棒性；该方法构思巧妙，对溺水行为识别的精度达到90％以上。</t>
  </si>
  <si>
    <t>一种基于视频时序特征分析的泳池溺水行为判识方法</t>
  </si>
  <si>
    <t>CN307369985S</t>
  </si>
  <si>
    <t>1.本外观设计产品的名称：带地图模型图形用户界面的显示屏幕面板（扩展训练地图A）。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该显示屏幕面板用于手机、电视、电脑、ipad。</t>
  </si>
  <si>
    <t>带地图模型图形用户界面的显示屏幕面板（扩展训练地图A）</t>
  </si>
  <si>
    <t>ES1299021Y</t>
  </si>
  <si>
    <t>游泳池中的事故风险预防系统,其特征在于它包括: - 游泳池和/或其周围环境的图像和/或声音捕获装置(1), - 基于人工神经网络的第一数据处理装置(2), 适用于检测池用户的动作或手势和/或图像中的声音和/或通过捕获图像和/或声音捕获的声音(1)对应于事故风险情况,和-第二和/或第三数据处理 装置(3、6),适于接收关于由第一数据处理装置(2)检测到的事故风险情况的信息并命令执行事故风险情况的警告装置。</t>
  </si>
  <si>
    <t>游泳池事故风险预防系统</t>
  </si>
  <si>
    <t>CN114512040A</t>
  </si>
  <si>
    <t>本发明公开了一种基于物联网的虚拟仿真驾校考试模拟系统，包括行程得出模块、教练判别模块和车辆操作模块，其特征在于：所述行程得出模块用于通过算法得出教学车辆的规定行进路线，所述教练判别模块用于观察记录前方教练的应变速度，所述车辆操作模块用于自动干预教学车辆对路线前方教练的退让和提醒，所述行程得出模块和车辆操作模块均与教练判别模块电连接，所述行程得出模块包括地图模型模块、位置落实模块、拍摄感应模块和行程规划模块，所述地图模型模块用于储存教学车辆所在驾校所有可行驶的考试路线，所述拍摄感应模块的安排地点在教学车辆的前方路线上，本发明，具有实用性强的特点。</t>
  </si>
  <si>
    <t>一种基于物联网的虚拟仿真驾校考试模拟系统</t>
  </si>
  <si>
    <t>US20230230502A1</t>
  </si>
  <si>
    <t>本公开涉及提高驾驶属于车队的车辆的驾驶员的安全性。 这可能包括确定应接受培训或辅导课程的个别驾驶员。 可以评估与车辆类型、车辆重量等级、一天中的时间、停止/启动次数和其他因素相关的分数,以识别可能已被分配最高风险因素的驾驶员。 在执行分析时,公司远程信息处理数据以及识别道路类型、道路状况、经验水平和其他因素的公共数据可以与事故或超速罚单的数量相结合。 本文描述的方法可以根据基于处理器执行存储器中的指令的机器学习模型来实现。 这可能包括深度学习或神经网络技术。</t>
  </si>
  <si>
    <t>教练分数的生成和使用</t>
  </si>
  <si>
    <t>KR102386208B1</t>
  </si>
  <si>
    <t>根据各种实施例,一种电子设备包括存储器、通信模块以及连接到存储器和通信模块的至少一个处理器,其中至少一个处理器通过通信模块从相机接收图像,并且,第一可以使用第一神经网络模型检测图像中的危险情况信息,并且可以发送针对第一危险情况信息的通知。</t>
  </si>
  <si>
    <t>使用神经网络模型检测健身中心危险情况的方法和装置</t>
  </si>
  <si>
    <t>WO2022156644A1</t>
  </si>
  <si>
    <t>一种基于柔性机械臂原理的健身器，包括机械臂、支撑部（4），机械臂与支撑部（4）连接，所述机械臂末端设有机械交互结构；还包括力馈关节、运动控制模块、力场控制模块、人机交互模块与人体运动姿态分析模块。可以不使用任何配重进行力量控制，在有限的环境中进行过去只能在专业环境中才能完成的健身训练，能够模拟多种庞大的健身设备，将众多健身房中的大型运动器材小型化，一体化，使有限空间内的力量训练成为可能，也能让健身房节约大量设备占地，极大地提高运营效率。</t>
  </si>
  <si>
    <t>基于柔性机械臂原理的健身器</t>
  </si>
  <si>
    <t>CN114066330B</t>
  </si>
  <si>
    <t>本发明涉及人工智能技术领域，具体涉及一种基于人工智能的健身房教练管理人员的分配方法。该方法根据健身人员的三维动作序列得到使用对应健身设备的动作标准率；由动作标准率得到每类健身设备区域对教练管理人员的需求度，根据需求度得到每类健身设备区域所需的初始分配人数，基于每类健设备区域的位置关系进行区域整合以得到多个整合区域，结合整合区域和初始分配人数获取每个整合区域的新分配人数；结合新分配人数和教练管理人员的总数量对教练管理人员进行相对应的人员调度。通过针对性的人员分配，极大提高了人员分配的合理性和人员的利用率，使得充分发挥教练管理人员的作用，进而提升健身人员的健身效率和健身质量。</t>
  </si>
  <si>
    <t>基于人工智能的健身房教练管理人员的分配方法</t>
  </si>
  <si>
    <t>CN114399619A</t>
  </si>
  <si>
    <t>本发明公开了一种机器视觉图像识别系统及其处理方法，包括机器视觉图像识别机和设于机器视觉图像识别机中工控主机，工控主机设有机器视觉图像识别系统，用于控制机器视觉图像识别机各种，本发明通过利用机器视觉和深度学习神经网络系统的配置，可实现对物资的识别和称重工作，系统将自动完成价格计算，并将消费金额传输到支付终端，消费者进对应的付款，同时深度学习神经网络系统可进行图像补偿和降低图像识别的误差，使得此机器视觉图像识别系统整体操作方便智能，适用性广泛，降低使用成本和图像识别的误差，提高对物资图像识别的效率以及精准度。</t>
  </si>
  <si>
    <t>一种机器视觉图像识别系统及其处理方法</t>
  </si>
  <si>
    <t>CN307294105S</t>
  </si>
  <si>
    <t>1.本外观设计产品的名称：用于显示屏幕面板的信息展示图形用户界面。
 2.本外观设计产品的用途：本外观设计产品用于显示信息，该显示屏幕面板用于手机、平板电脑、电脑。
 3.本外观设计产品的设计要点：在于屏幕中的图形用户界面内容。
 4.最能表明设计要点的图片或照片：设计1主视图。
 5.省略视图：产品硬件部分为常规设计，省略后视图、左视图、右视图、俯视图以及仰视图。
 6.指定设计1为基本设计。
 7.图形用户界面的用途：本外观设计产品用于运动训练、健身。
 8.显示屏幕面板为现有设计，界面中的文字内容仅用于指明内容区域，文字本身并非本外观设计的保护内容。
 9.图形用户界面的人机交互方式：在设计1中，点击设计1主视图界面中任意位置可进入设计1界面变化状态图，设计3和设计4的主视图各模块按钮可点击操作设计2的人机交互方式与设计1相同。</t>
  </si>
  <si>
    <t>CN307310306S</t>
  </si>
  <si>
    <t>1.本外观设计产品的名称：用于显示屏幕面板的运动健身图形用户界面。
 2.本外观设计产品的用途：本外观设计产品用于显示信息，该显示屏幕面板用于手机、平板电脑、电脑。
 3.本外观设计产品的设计要点：在于屏幕中的图形用户界面内容，显示屏幕面板为现有设计，界面中的文字内容仅用于指明内容区域，文字本身并非本外观设计的保护内容。
 4.最能表明设计要点的图片或照片：主视图。
 5.省略视图：产品硬件部分为常规设计，省略后视图、左视图、右视图、俯视图以及仰视图。
 6.图形用户界面的用途：本外观设计产品用于运动健身、娱乐以及信息展示。
 7.图形用户界面的人机交互方式：向上滑动主视图，以进入界面变化状态图1，点击主视图左下角按钮或界面变化状态图1左下角按钮，可进入界面变化状态图2，选择界面变化状态图1界面中下方任一用户“跟Ta合拍”按钮，以进入界面变化状态图3。</t>
  </si>
  <si>
    <t>用于显示屏幕面板的运动健身图形用户界面</t>
  </si>
  <si>
    <t>CN114472209A</t>
  </si>
  <si>
    <t>本发明属于人工智能缺陷检测技术领域，尤其涉及一种工业缺陷智能检测教学实训装置，包括FPGA智能边缘计算设备、传送带机构、视觉检测机构、分拣机构、可视化展示模块和操作台机构；本发明具有以下有益效果：本发明系统占用面积小、结构设备简单、易于操作、安装调试方便，成本低，可根据需要进行模块组装和系统组装，为教学提供充足空间，能更好的在教室、实验室开展演示、教学与实训的目的。在教学方面，本装置支持FPGA教学、人工智能教学、除了实训教学外，还可以用作比赛设备。</t>
  </si>
  <si>
    <t>一种工业缺陷智能检测教学实训装置</t>
  </si>
  <si>
    <t>CN307424256S</t>
  </si>
  <si>
    <t>1.本外观设计产品的名称：用于显示屏幕面板的信息展示图形用户界面。
 2.本外观设计产品的用途：本外观设计产品用于显示信息，该显示屏幕面板用于手机、平板电脑、电脑。
 3.本外观设计产品的设计要点：在于屏幕中的图形用户界面内容，显示屏幕面板为现有设计，界面中的文字内容仅用于指明内容区域，文字本身并非本外观设计的保护内容。
 4.最能表明设计要点的图片或照片：设计1主视图。
 5.产品硬件部分为常规设计，省略后视图、左视图、右视图、俯视图以及仰视图。
 6.指定设计1为基本设计。
 7.图形用户界面的用途：本外观设计产品用于运动训练、健身以及信息展示。
 8.图形用户界面的人机交互方式：设计1界面主视图和设计2界面主视图中各模块可点击操作，以进入相应下一级进行操作，在设计1中，点击“查看排行榜”可进入下一级界面查看排行信息，点击主视图界面下方按钮，可进入下一级界面进行分享，点击主视图界面“#参与话题”可进入下一级界面查看相关信息。
 设计2人机交互过程和设计1相同。</t>
  </si>
  <si>
    <t>US11462017B2</t>
  </si>
  <si>
    <t>一种用于在计时体育赛事中识别和计时运动员的系统。 使用图像识别技术对运动员进行计时,其中在体育赛事期间由摄像机拍摄的运动员的一张或多张图像( 106 a, 106 b , 或者 106 c ) 带有时间戳,以便为运动员生成完成时间。 通过将在体育赛事期间拍摄的图像之一与运动员的个人资料图像进行比较来识别运动员。</t>
  </si>
  <si>
    <t>使用部分比赛日服装的图像识别进行赛事计时和摄影的系统</t>
  </si>
  <si>
    <t>IN202211001951A</t>
  </si>
  <si>
    <t>本发明涉及一种短跑训练和监控系统,包括眼镜1、鼻梁架3、太阳穴4、鼻托5和轮辋2,安装在轮辋2上的用于投射虚拟对手全息图像的全息图像投影仪6, 光纤布拉格光栅传感器7安装在太阳穴4上,用于监测用户的生命参数,其中微控制器根据监测到的参数向图像投影仪6发出指令,用于改变虚拟对手的速度,可穿戴腕带8配置有 加速度计模块,用于持续监测用户的跑步速度,安装在桥架3上的人工智能图像捕捉模块10,用于检测眼镜1和轮辋2上的裂缝、灰尘,以及连接到每个眼镜1的一对伸缩擦拭单元12,用于 来回移动以去除灰尘。</t>
  </si>
  <si>
    <t>冲刺训练和监控系统</t>
  </si>
  <si>
    <t>CN114495161A</t>
  </si>
  <si>
    <t>本发明公开一种基于深度学习的投篮动作参数估计方法。通过检测模型YBas识别出运动员的各关节点、篮球以及篮筐的坐标，首先，通过Hough圆检测法提取篮球的轮廓，计算得到篮球的像素直径；其次，基于投篮动作的特征识别出投篮起始、出手关键帧，并根据篮球像素和现实直径的比例关系计算投篮动作的出手高度、角度。最后，基于篮球运动点集合判断投篮是否命中。该方法准确判断运动员的投篮时机并估计运动员投篮动作的参数，为运动员训练和投篮姿势的调整提供了数据支持。</t>
  </si>
  <si>
    <t>一种基于深度学习的投篮动作参数估计方法</t>
  </si>
  <si>
    <t>IN202241001812A</t>
  </si>
  <si>
    <t>基于物联网和机器学习的系统,用于识别游泳池中的溺水事件</t>
  </si>
  <si>
    <t>CN114444645A</t>
  </si>
  <si>
    <t>本发明提供一种改进的多元宇宙智能优化算法，即多策略多元宇宙群的智能优化算法。本方法对多元宇宙智能优化算法更新策略单一、全局探索范围不足等缺点进行改进创新，在优化过程中借鉴遗传算法中交叉、变异、选择的机制来扩大全局探索范围；创新宇宙群更新策略，丰富优化过程中的更新机制，加强局部探测的能力。具体操作为：首先，初始化待优化问题、待优化种群U及适应度函数；在此基础上，根据初始化信息使用不同策略更新用于待优化的宇宙种群E；再次，对已更新的E宇宙种群反向来使用不同策略更新待优化的U宇宙种群；最后，通过不断迭代上述正反向优化过程，从而得出最终的优化结果。</t>
  </si>
  <si>
    <t>一种多策略多元宇宙群的智能优化算法</t>
  </si>
  <si>
    <t>IN202241001300A</t>
  </si>
  <si>
    <t>LoT 广泛用于各种应用程序。 在医疗保健系统中,物联网 (IoT) 在使用健康监测设备连接医生和患者方面发挥着关键作用。 这非常划算,对老年人和残疾人有益。 老年人的健康状况监测方法多种多样,在此方法中,我们比较了从智能电表、电器使用情况和视频监控中获得的数据中使用的各种数据挖掘方法,以及它们的预测准确性。 基于可穿戴传感器的人体身体活动识别。 这进一步扩展到物联网平台,该平台基于基于网络的应用程序,集成了可穿戴传感器、智能手机和活动识别。 为此,智能手机从可穿戴传感器收集数据并将其发送到服务器进行处理和活动识别。 我们收集了一组独特的室内和室外体育活动数据。 参与者有男女之分,每项活动的参与者人数各不相同。 在这些活动中,可穿戴传感器使用加速度计、陀螺仪、磁力计、压力和温度来测量各种身体参数。 然后将这些统计数据和测量值表示为特征向量,用于训练和测试用于活动识别的监督机器学习算法(分类器)。 使用 WEKA 机器学习套件,我们在给定的数据集上评估了几个著名的分类器,例如随机森林、支持向量机和许多其他分类器,并且 FHE 展示了无需以安全方式执行数据解密即可运行计算的能力。 许多作者已经演示了 Somewhat Homomorphic Encryption (SHE) 或 Fully Homomorphic Encryption (FHE) 的实际实现,以及 SHE 的加法和乘法运算方案。 为了增加 SHE 方法所需的计算能力,最近实现 FHE 方法的方法完全依赖于任意减少执行加密乘法运算所花费的时间。</t>
  </si>
  <si>
    <t>使用更快的物联网传感器加密对医疗保健系统进行人类活动跟踪和监控</t>
  </si>
  <si>
    <t>KR1020230108752A</t>
  </si>
  <si>
    <t>本发明涉及一种数字化智能体育系统,其是室内体育馆数字化的一种形式,包括体育设施区,其中安装有体育设施、显示器和摄像头; 识别单元识别进入体育设施区域的用户的身份; 包括:身体测量单元,测量识别单元识别出的用户身体;人工智能单元,可以根据设定的算法学习和分析输入信息,通过人工智能单元接收并分析身体测量单元测量的用户身体信息以及从摄像头拍摄的图像数据,根据图像数据分析并生成基于分析的身体信息和运动信息可以补充身体的身体补充信息和运动补充信息,并将身体信息、身体补充信息、运动信息和运动补充信息提供给显示或链接终端它可以被配置为包括管理服务器。</t>
  </si>
  <si>
    <t>数字化智能体育系统</t>
  </si>
  <si>
    <t>CN114225313A</t>
  </si>
  <si>
    <t>本发明公开了一种跑步机控制系统，涉及控制领域。本发明包括电机驱动板，直流电机，人机交互界面，蓝牙控制装置、移动终端以及PI寻优控制器；所述PI寻优控制器接受来自人机交互界面、蓝牙控制装置以及移动终端的信号，所述PI寻优控制器根据接收的信号，通过蚁群算法进行参数寻优，并对所述直流电机和电机驱动板进行控制；所述蓝牙控制装置设置于移动终端处，所述蓝牙控制装置通过蓝牙信号对跑步机传输信号。本发明通过接入寻优控制器，数能够跑步机速度响应短，稳定性高的要求，具有较好的安全性能。</t>
  </si>
  <si>
    <t>一种跑步机控制系统</t>
  </si>
  <si>
    <t>CN307412219S</t>
  </si>
  <si>
    <t>1.本外观设计产品的名称：显示屏幕面板的音乐动效交互图形用户界面。
 2.本外观设计产品的用途：本外观设计产品用于计算机、笔记本电脑、平板电脑、手机、智能手表、健身监视器、头戴式耳机、智能音箱、电视、机顶盒、投影仪、激光电视的显示屏幕面板的音乐动效程序操作及显示图形用户界面。
 3.本外观设计产品的设计要点：在于屏幕中的图形用户界面的内容。
 4.最能表明设计要点的图片或照片：主视图。
 5.无设计要点，省略其他视图。
 6.图形用户界面的用途：主要内容是通过选定不同的音乐动效卡片，根据用户的喜好定制不同的音乐播放界面的动态效果，提升用户的使用体验。
 7.图形用户界面的人机交互方式：主视图为音律特效选择的主界面，当用户选择界面下部的动感魔方选项卡，界面依次由主视图变换为界面变化状态图1、界面变化状态图2、界面变化状态图3、界面变化状态图4、界面变化状态图5，用户可滑动界面/遥控选择/手势任意操作进入下一界面；其中，随音乐的播放，音乐动态界面下的图片不断变换形态和角度，界面中“灰色图块”表示为可变图片。</t>
  </si>
  <si>
    <t>显示屏幕面板的音乐动效交互图形用户界面</t>
  </si>
  <si>
    <t>CN116469154A</t>
  </si>
  <si>
    <t>本申请涉及一种基于深度学习的检修识别方法、系统、设备和存储介质。该方法基于地铁车辆检修断送电作业视频数据，采用人体骨架识别判断人体关键点，结合深度学习目标检测，然后根据断送电具体操作流程综合分析人体姿态、位置、目标状态，得出违规结果并控制喇叭输出报警声提醒工作人员并保存违章图片，从而规范作业人员行为，确保安全作业。该实施例基于地铁检修断送电操作安全规程建立规则引擎，使用多路视频联合识别，根据实际作业顺序以及项点按照不同时段建立不同的报警规则，对模型检测出来的结果进行综合判断得出违章结果。对地铁检修断送电作业起到了实时监督提醒的作用，有效减少了实际工作中因误操作带来的安全隐患。</t>
  </si>
  <si>
    <t>基于深度学习的检修识别方法、系统、设备和存储介质</t>
  </si>
  <si>
    <t>CN116412835A</t>
  </si>
  <si>
    <t>本公开提供了步幅估计方法、装置、电子设备及存储介质，涉及人工智能技术领域。具体实现方案为：确定用户运动过程中的惯性传感器特征；获取用户对应的步幅模型，其中，步幅模型根据历史时间分段内用户的运动记录序列训练得到，运动记录序列中各个速度信息之间的差值小于预设速度阈值；根据惯性传感器特征以及用户对应的步幅模型，确定用户的步幅。由此，通过变速过程中的运动记录序列，对步幅模型进行训练，进而，根据惯性传感器特征以及用户对应的步幅模型，获取的用户的步幅更加符合用户的跑步习惯，提高了步幅估计的准确度。</t>
  </si>
  <si>
    <t>步幅估计方法、装置、电子设备及存储介质</t>
  </si>
  <si>
    <t>WO2023108842A1</t>
  </si>
  <si>
    <t>基于健身教学训练的动作评价方法、系统、装置及介质，涉及健身领域，获取健身视频，健身视频中预设有标准姿态；获取健身视频中标准姿态对应的时间段；在该时间段中获取健身视频对应的连续时刻的帧图像；识别该时间段中连续时刻的帧图像对应的若干用户姿态；对比若干用户姿态和标准姿态，判断用户姿态与标准姿态是否为同一类型。在进行对比时，通过卷积神经网络构建模型，并通过人体的16个骨骼关键点以及其分别对应二维位置坐标进行识别，准确度更高，能够快速得到用户姿态是否标准，提高使用效率。</t>
  </si>
  <si>
    <t>基于健身教学训练的动作评价方法及系统</t>
  </si>
  <si>
    <t>KR1020230105531A</t>
  </si>
  <si>
    <t>本发明利用图像处理深度学习从图像中确定感兴趣对象,压缩包括感兴趣对象的感兴趣区域,并将感兴趣区域传输到网络,从而减少传输的数据量,从而减少网络流量提供了一种利用跑步的图像传输系统和方法。 
  根据本发明,使用深度学习的图像传输系统包括:图像处理深度学习单元,其使用图像处理深度学习从图像中确定感兴趣对象;以及感兴趣区域坐标,其提取感兴趣区域的坐标,包括:提取单元;感兴趣区域压缩单元,通过使用感兴趣区域的坐标压缩感兴趣区域来生成压缩数据;以及网络传输单元,将压缩的感兴趣区域数据传输到网络。</t>
  </si>
  <si>
    <t>使用深度学习的图像传输系统和方法</t>
  </si>
  <si>
    <t>KR1020230105608A</t>
  </si>
  <si>
    <t>本发明可以在基于会员与体育领袖的匹配平台进行体育商业模式的过程中,基于区块链提高客户信息的个人安全性,为每个会员提供生活化的运动训练视频信息。合适的生活运动教练,可通过运动训练视频进行非面对面辅导,也可作为AI训练师,利用人工智能控制模块纠正用户体型和运动项目姿势。基于人工智能和区块链的系统,其结构经过改进,通过将运动分析和教练视频传输到区块链技术来实现非面对面的人工智能训练辅导,以及使用该系统的运动训练方法和体育商业配对平台。 。</t>
  </si>
  <si>
    <t>基于人工智能和区块链的运动训练系统、利用其的运动训练方法以及体育商业配对平台方法</t>
  </si>
  <si>
    <t>IN202211000261A</t>
  </si>
  <si>
    <t>本发明涉及一种羽毛球训练系统,包括:主体1,设置有多个轮子2,使主体1可以全方位移动;人工智能图像采集模块3,安装在主体1上,用于采集用户的图像; 与模块3同步并安装在主体1上的音频单元4,通过生成语音命令来训练用户, 安装在主体1上用于向用户投掷羽毛球的投掷单元5, 连接到主体的机器人球拍6 通过用于响应用户击打羽毛球的伸缩杆和与用户佩戴的手腕传感器11映射的可穿戴单元12来测量用户在击打羽毛球时的手倾斜度的可穿戴单元12如图1所示。</t>
  </si>
  <si>
    <t>羽毛球训练系统</t>
  </si>
  <si>
    <t>IN202211000062A</t>
  </si>
  <si>
    <t>在医疗诊断和治疗中,物联网 (IoT) 和机器学习 (ML) 概念被广泛用于监测患者的状况。 物联网已被用于构建系统,通过利用附有传感器的可穿戴传感器系统的功能,在发生异常情况时告知患者的同伴。 已被教导发现患者状况中任何异常的模型已被用于帮助医疗诊断。 该框架旨在使用脉搏血氧仪、温度传感器和其他传感器跟踪患者的健康状况。 物联网设备获取所需数据,然后将其保存在云端。 医疗数据通过物联网在消费者和医疗保健专家之间进行分析、分类和交流。 数据将存储在云物联网中,设备从用于患者监测的各种传感器收集数据,然后传输到医院并使用基于人工智能 (AI) 和机器学习 (ML) 的算法存储在医院数据库中,以持续评估 数据,例如: 基于分类方法的技术用于将人分类为感染或未感染。 为了将用户分类为感染组或未感染组,我们利用模糊 k 最近邻方法和相似系数根据患者的症状进行区分。 如果立即出现问题,患者可以通过健身手环等可穿戴设备和其他无线连接设备(如血压和心率监测袖带、血糖仪等)获得个性化护理。 卡路里计数、锻炼、约会、血压变化和许多其他事情都可以在这些小工具上进行编程。 物联网彻底改变了人们的生活,尤其是老年患者的生活,他们现在可以实时了解自己的健康状况。 对单亲父母及其家庭的影响是巨大的。 如果一个人的典型行为受到干扰或改变,警报系统会将信息传递给家庭成员、医生、护理人员和其他担心的医疗保健提供者。</t>
  </si>
  <si>
    <t>支持物联网 (IOT) 的医疗保健管理系统</t>
  </si>
  <si>
    <t>CN114158167A</t>
  </si>
  <si>
    <t>本发明具体涉及基于物联网的体育馆灯光控制系统，包括：进场管理模块，用于判断用户的进场请求信息发送时间是否处于预约使用时段内：若是，则生成用于控制对应预约使用场灯光的灯光启动指令；否则，判断对应的预约使用场地是否被占用，若未被占用，则生成用于控制对应预约使用场灯光的灯光启动指令；离场管理模块，用于在接收到用户的离场请求信息时获取用户对应的预约使用场地，并生成用于控制对应预约使用场灯光的灯光关闭指令；灯光管理模块，用于接收灯光启动指令和灯光关闭指令并完成对应场地的灯光控制。本发明的体育馆灯光控制系统，能够基于用户实际进场和离场状态实现灯光控制，从而能够提升体育馆灯光控制的准确性和效果。</t>
  </si>
  <si>
    <t>基于物联网的体育馆灯光控制系统</t>
  </si>
  <si>
    <t>CN114330575A</t>
  </si>
  <si>
    <t>本发明公开了一种基于孪生神经网络的健身动作判别方法及智能沙包，包括步骤：基于标准健身动作构建标准数据特征向量；基于用户健身动作构建用户数据特征向量；将所述标准数据特征向量和所述用户数据特征向量输入所述孪生神经网络；基于所述孪生神经网络，确定所述标准数据特征向量与所述用户数据特征向量之间的分类结果和距离结果；根据所述分类结果和所述距离结果得到判别结果，确定所述用户健身动作相对于所述标准健身动作的准确度。本发明通过提取特征，然后使用孪生神经网络进行分类和距离的计算，最后对两个模型的结果进行组合实现最后的判别，从而帮助用户在达到锻炼的目的时不伤害身体。</t>
  </si>
  <si>
    <t>一种基于孪生神经网络的健身动作判别方法及智能沙包</t>
  </si>
  <si>
    <t>CN307470602S</t>
  </si>
  <si>
    <t>1.本外观设计产品的名称：显示屏幕面板的AI攻防赛图形用户界面。
 2.本外观设计产品的用途：用于显示信息。
 该显示屏幕面板用于平板、电脑或LED显示屏。
 3.本外观设计产品的设计要点：在于屏幕中的图形用户界面内容，包括元素布局、图案和交互方式等。
 4.最能表明设计要点的图片或照片：界面变化状态图3。
 5.不涉及设计要点，省略后视图、左视图、右视图、仰视图、俯视图。
 6.图形用户界面的用途：用于参加AI（人工智能）比赛，进行攻防情况比赛的操作以及信息展示。
 7.图形用户界面的人机交互方式：主视图为初始登陆页面，左侧为登录框信息框等、右侧为一个水平方向旋转的地球，地球中隐约不断变化此次的大赛的AI机器人（见界面变化状态图1）。
 参赛方页面登陆成功后，进入到界面变化状态图2，顶部有大赛名称、排行榜、趋势榜、倒计时等等；中间区域顶端依次是此次比赛战队的logo、战队名称、排名、总分、完成赛题情况，以及战队所执行的AI的状态、上次心跳时间、重制方式等等。
 中间区域下半部分依次是关卡、战队消息、AI心跳信息。
 下半部分显示此次比赛的关卡，可根据AI比赛情况申请重置，重置中关卡显示重置中状态，关卡从1‑5逐渐开启，未开放的关卡显示未开放状态。
 主办方登录成功后，进入界面变化状态图3，显示所有队伍比赛情况。
 界面变化状态图3包含大赛logo、时间、战队攻防情况以及目前排行、日志等等。
 每个战队有10秒显示目前的攻防拓扑、战队名称、排名、完成度、AI状态等等，以10秒为时间单位依次显示所有队伍的攻防情况。
 点击界面变化状态图2中的“排行榜”，进入到界面变化状态图4，界面变化状态图4主要以不规则列表的形式展示排行榜。</t>
  </si>
  <si>
    <t>显示屏幕面板的AI攻防赛图形用户界面</t>
  </si>
  <si>
    <t>IN202111062024A</t>
  </si>
  <si>
    <t>本发明涉及一种锻炼训练装置,包括具有跑步平台2的跑步机1、结合在扶手3上以启动/停用极限锻炼模式的第一按钮4、连接在平台的每个侧端的侧臂8 在极端锻炼模式的情况下得到扩展的2,安装在面板5上的启用人工智能的图像捕获模块6安装在导轨3上以确定用户在平台2上的位置,机动架7与侧臂8结合以 调节侧臂8的位置和与侧臂8一起制作的弹性带9以在极限锻炼模式期间在使用者的躯干上提供反作用力,其中一对机动滚轮10被配置为调节带9的长度。</t>
  </si>
  <si>
    <t>锻炼训练设备</t>
  </si>
  <si>
    <t>CN307593485S</t>
  </si>
  <si>
    <t>1.本外观设计产品的名称：带有观测智慧沙地牧场设备图形用户界面的手机。
 2.本外观设计产品的用途：用于程序运行。
 3.本外观设计产品的设计要点：在于屏幕中的图形用户界面的界面内容。
 4.最能表明设计要点的图片或照片：主视图。
 5.手机为现有惯常设计，无设计要点，省略视图：后视图、左视图、右视图、俯视图、仰视图。
 6.图形用户界面的用途：该图形用户界面主要用于观测智慧沙地牧场设备。
 7.图形用户界面的人机交互方式：主视图为打开软件的首页；点击主视图中的“智慧牧场‑更多”切换到界面变化状态图1，点击主视图中的“智能设备‑更多”切换到界面变化状态图2；点击界面变化状态图2中的“气象土壤”切换到界面变化状态图3，点击界面变化状态图3中的“哈斯八格那牧场站”切换到界面变化状态图4，点击界面变化状态图3中的“巴格那玉米地2”切换到界面变化状态图5；点击主视图并滑动界面切换到界面变化状态图6，点击界面变化状态图6中的“视频监测”切换到界面变化状态图7，点击界面变化状态图6中右下方的“+”切换到界面变化状态图8；点击界面变化状态图8中右下方的自上而下“第一个图标”切换到界面变化状态图9，点击界面变化状态图9中的“未接来电”切换到界面变化状态图10，点击界面变化状态图8中右下方的自上而下“第二个图标”切换到界面变化状态图11，点击界面变化状态图8中右下方的自上而下“第三个图标”切换到界面变化状态图12，点击界面变化状态图8中右下方的自上而下“第四个图标”切换到界面变化状态图6；点击主视图中的“物联商场”切换到界面变化状态图13，点击界面变化状态图13中的“智能”切换到界面变化状态图14，点击界面变化状态图13中的“健身”切换到界面变化状态图15，点击界面变化状态图13中的“生活”切换到界面变化状态图16，点击界面变化状态图13中的“监测”切换到界面变化状态图17；点击主视图中的“我的”切换到界面变化状态图18；点击界面变化状态图18中的“设备管理”切换到界面变化状态图19，点击界面变化状态图19中的“视频监控设备”切换到界面变化状态图20，点击界面变化状态图18中的“意见反馈”切换到界面变化状态图21，点击界面变化状态图18中的“关于我们”切换到界面变化状态图22。</t>
  </si>
  <si>
    <t>带有观测智慧沙地牧场设备图形用户界面的手机</t>
  </si>
  <si>
    <t>IN202111061808A</t>
  </si>
  <si>
    <t>一种物联网智能软板系统,包括显示器(100)、按键(102)、控制模块(103)、电源(104)、控制软件(105)、5个扬声器(106)。 其中数字显示器连同扬声器和可呈现的按钮; 所述按钮有助于使用模型中存在的控制模块控制显示器中多个通知网格的循环。 在另一个实施例中,该系统还包含一个控制软件,它是模型的核心,负责系统的整体操作和工作。 在另一个实施例中,数据由云存储中的控制软件保存和发送,反映到模型的数字显示器上。 在另一个实施例中,为了向显示器提供动态特征,可呈现按钮保留用户查看布告牌的特定网格的选择,该网格被传送到模型中存在的控制模块并由其处理。</t>
  </si>
  <si>
    <t>物联网智能软板系统</t>
  </si>
  <si>
    <t>CN114387354A</t>
  </si>
  <si>
    <t>本发明提供一种基于改进后的色域识别技术的乒乓球落点检测方法及系统，涉及计算机视觉领域，方法包括：S1、获取击球视频的有效帧，所述有效帧为带有掩膜并能够输出质心坐标的帧数图片；S2、用颜色识别方法对乒乓球轨迹进行识别以及跟踪；S3、绘制乒乓球轨迹图；S4、根据乒乓球轨迹图对乒乓球进行落点判断。本发明采用的改进后的色域识别方法，可大大降低计算量以及避免各类因素干扰，增加了方法的准确性；且本发明仅使用单个摄像头，降低了成本，识别准确率较高。</t>
  </si>
  <si>
    <t>一种基于改进后的色域识别技术的乒乓球落点检测方法及系统</t>
  </si>
  <si>
    <t>CN307302149S</t>
  </si>
  <si>
    <t>1.本外观设计产品的名称：带有学习信息展示图形用户界面的显示屏幕面板。
 2.本外观设计产品的用途：用于人机交互及显示。
 3.本外观设计产品的设计要点：在于显示信息的图形用户界面的界面内容。
 4.最能表明设计要点的图片或照片：变化状态图。
 5.因其不具有设计要点，省略俯视图、仰视图、左视图、右视图、后视图。
 6.图形用户界面的用途：产品的图形用户界面为对不同单元的内容进行学习比赛的图形用户界面。
 主视图展示可选择的学习单元；在主视图中选中学习单元并触发“选择好啦”交互控件，进入变化状态图；变化状态图显示对选中单元进行学习比赛的两支队伍。
 该显示屏幕面板用于机器人、手机、电脑。</t>
  </si>
  <si>
    <t>带有学习信息展示图形用户界面的显示屏幕面板</t>
  </si>
  <si>
    <t>CN307302148S</t>
  </si>
  <si>
    <t>1.本外观设计产品的名称：带有学习信息展示图形用户界面的显示屏幕面板。
 2.本外观设计产品的用途：用于人机交互及显示。
 3.本外观设计产品的设计要点：在于显示信息的图形用户界面的界面内容。
 4.最能表明设计要点的图片或照片：主视图。
 5.因其不具有设计要点，省略俯视图、仰视图、左视图、右视图、后视图。
 6.图形用户界面的用途：产品的图形用户界面为对中文单词对应的英文单词进行学习比赛的图形用户界面。
 主视图通过左右两侧分别展示两个用户对应的学习界面，每个学习界面中均展示出中文单词对应的英文单词选项；用户在主视图中在左侧学习界面或者右侧学习界面点击中文单词下方的英文单词可以进行学习积分，英文单词选择正确用户对应的Score值（学习积分值）则发生变化；当左侧学习界面和右侧学习界面对应的所有的中文单词均被学习完成后，进入变化状态图；变化状态图显示两个用户各自的学习结果。
 分别要学习的中文单词对应的英文单词。
 各视图均有对应的参考图。
 该显示屏幕面板用于机器人、手机、电脑。</t>
  </si>
  <si>
    <t>CN307302152S</t>
  </si>
  <si>
    <t>1.本外观设计产品的名称：带有学习信息展示图形用户界面的显示屏幕面板。
 2.本外观设计产品的用途：用于人机交互及显示。
 3.本外观设计产品的设计要点：在于显示信息的图形用户界面的界面内容。
 4.最能表明设计要点的图片或照片：主视图。
 5.因其不具有设计要点，省略俯视图、仰视图、左视图、右视图、后视图。
 6.图形用户界面的用途：产品的图形用户界面为对中文单词对应的英文单词进行学习比赛的图形用户界面。
 主视图通过左右两侧分别展示两个用户对应的学习界面，每个学习界面中均展示出中文单词对应的英文单词选项；用户在主视图中在左侧学习界面或者右侧学习界面点击中文单词下方的英文单词可以进行学习积分，英文单词选择正确用户对应的Score值（学习积分值）则发生变化。
 各视图均有对应的参考图。
 该显示屏幕面板用于机器人、手机、电脑。</t>
  </si>
  <si>
    <t>CN115376034A</t>
  </si>
  <si>
    <t>本发明提供了一种基于人体三维姿态时空关联动作识别的运动视频采集剪辑方法及装置，设计计算机技术领域，特别是计算机视觉相关技术。具体的实施步骤包括：根据预设的多个视角影像采集传感器采集多角度的运动场地视频，从待处理视频中确定运动员的人体运动姿态，估计其三维空间中的运动信息，识别出其运动动作，根据目标动作片段，对待处理视频进行剪辑，以得到高质量的视频片段。该实施方式能有效提高视频处理分析效率，对运动训练的科学分析提供有力分析工具，具备较高的实际使用价值。</t>
  </si>
  <si>
    <t>一种基于人体三维姿态时空关联动作识别的运动视频采集剪辑方法及装置</t>
  </si>
  <si>
    <t>KR102508347B1</t>
  </si>
  <si>
    <t>本发明公开了一种保龄球游戏系统。 更具体地,本发明涉及一种基于物联网的保龄球游戏系统,其在保龄球馆中配备多个传感器,其中安装了保龄球道以建立物联网网络环境,并且操作和通过用户终端的应用程序管理游戏。 
  根据本发明的一个实施例,通过在保龄球轨道上安装多个传感器,通过因特网连接安装在保龄球馆中的POS终端和计分终端,并通过以下方式管理和提供游戏信息来进行保龄球比赛。服务器。,它具有通过使用户能够管理他们的游戏细节并提供与传统内容不同的各种内容来引起用户兴趣的效果,例如其他用户和俱乐部之间的在线比赛,执行个人任务和提供奖励。 。</t>
  </si>
  <si>
    <t>基于物联网的保龄球游戏系统</t>
  </si>
  <si>
    <t>CN114372847A</t>
  </si>
  <si>
    <t>本发明公开了一种基于RFID的物联网球拍租借装置及其控制方法，可广泛应用于物联网技术领域。本发明通过在抽屉内安装承重框，并在承重框的前部设置第一电极，在承重框的后部设置第二电极，同时在球拍把上安装与第一电极相对应的第一触头，在球拍头安装有与第二电极相对应的第二触头，在球拍杆上设置与RFID识别器相对应的RFID卡片以及与电磁传感器相对应的电磁线圈，并通过导线将第一触头、RFID卡片、电磁线圈和第二触头连接，使得在归还球拍时，控制器可以根据RFID识别器识别RFID卡片的识别信号，以及电磁传感器感应电磁线圈的感应信号，判断球拍的归还状态和损坏状态，从而有效降低球拍出租方的经济损失。</t>
  </si>
  <si>
    <t>基于RFID的物联网球拍租借装置及其控制方法</t>
  </si>
  <si>
    <t>CN114332241B</t>
  </si>
  <si>
    <t>本申请公开了一种基于过程标定的RGBD相机的外参标定方法、三维重建方法、存储介质；属于计算机视觉这一领域；其技术要点在于：按照Yaw、Pitch、Roll、Ty的先后顺序计算外参参数，其步骤包括：先计算Yaw，然后更新旋转矩阵；然后再计算Pitch，然后更新旋转矩阵；再然后计算Roll，然后更新旋转矩阵；最后，计算Ty。采用本申请的方法，只需要在有纹理的地面上摆放一条朝向正前方的白色线条即可，不需要借助外力，整体操作简单。</t>
  </si>
  <si>
    <t>一种外参标定方法、三维重建方法、存储介质</t>
  </si>
  <si>
    <t>CN116416675A</t>
  </si>
  <si>
    <t>本发明公开了一种动作计数方法及系统及装置及介质，涉及健身领域，获取动作的图像数据，对图像数据进行单帧处理，得到一组顺序排列的单帧图像；将顺序排列的单帧图像依次分组，得到若干组图像数据，每组包括若干帧顺序排列的单帧图像；利用训练好的分类模型对每组图像数据分类，输出分类结果；根据分类结果得到计数结果。本发明根据卷积神经网络对用户的动作进行分类，并输出分类结果，根据分类结果对动作进行计数，本发明的计数发明针对的是能呈现周期性的规律的动作，进一步的增加了对动作类型判断的准确度，从而提高动作计数的准确度，更便于长期使用，使用效率更高。</t>
  </si>
  <si>
    <t>一种动作计数方法及系统及装置及介质</t>
  </si>
  <si>
    <t>KR1020230101353A</t>
  </si>
  <si>
    <t>利用深度学习提取体育比赛视频的局势变化片段的方法和装置,利用深度学习模型去除体育比赛视频中的噪声图像,以及利用视频中的转播板提取体育比赛视频的局势变化片段视频。来自体育比赛视频的图像帧,使用深度学习模型从图像帧中检测对象。 基于对象检测结果,利用图像帧中显示的中继板的颜色变化来选择主图像,并通过组合所选择的主图像来生成情况变化部分的视频,具有自动生成情况的效果通过仅选择高游戏场景来更改部分视频。</t>
  </si>
  <si>
    <t>利用深度学习提取体育比赛视频局势变化片段的方法和装置</t>
  </si>
  <si>
    <t>CN114343637B</t>
  </si>
  <si>
    <t>本发明公开了一种基于卷积和循环神经网络运动员心理压力评估方法及系统，其方法包括：S1：基于运动员的心跳变化建立心理压力数据集；S2：基于所述心理压力数据集构建并训练心理压力监测模型，压力监测模型包括卷积网络层和循环网络层；S3：根据所述心理压力监测模型，预测运动员心理压力等级结果。本发明利用卷积神经网络和循环神经网络能够自动提取心电信号特征，一定程度上克服了传统方法手工提取特征的局限性。</t>
  </si>
  <si>
    <t>基于卷积和循环神经网络运动员心理压力评估方法及系统</t>
  </si>
  <si>
    <t>CN114399706A</t>
  </si>
  <si>
    <t>本发明提供了一种网球比赛专用定位捡球系统及其方法，包括：获取设置在赛场内多个摄像机采集现场图像；摄像机具有与其区域对应编号，拍摄视野覆盖整个赛场；调用训练好数据集库训练卷积神经网络；调用卷积神经网络对现场图像检测，识别预处理图像；调用训练好转换矩阵对预处理图像进行逆透视变换处理，生成网球位置参数；调用YOLO算法和卡尔曼滤波对图像视频进行跟踪，识别瞬时图像坐标，通过坐标转换计算特征数据；检测球状态，确定离球最近机器人；利用三边定位算法得机器人瞬时位置；利用A*算法和动态窗口算法对特征数据和瞬时位置进行处理，生成路径规划，并发给机器人。旨在实现在比赛过程中机器人可替代球童及时捡球，减轻球童负担。</t>
  </si>
  <si>
    <t>一种网球比赛专用定位捡球系统及其方法</t>
  </si>
  <si>
    <t>CN307383681S</t>
  </si>
  <si>
    <t>1.本外观设计产品的名称：车机的车辆性能及状态信息显示图形用户界面。
 2.本外观设计产品的用途：用于运行程序以及为驾驶员提供车辆信息、导航、娱乐等功能显示及服务。
 3.本外观设计产品的设计要点：在于产品屏幕中的图形用户界面的界面内容。
 4.最能表明设计要点的图片或照片：主视图。
 5.无设计要点，省略其他视图。
 6.图形用户界面的用途：用于显示车辆性能及状态信息。
 7.图形用户界面的人机交互方式：主视图为赛道模式的车辆性能及状态信息显示主界面；在主视图中点击白色车模并旋转，能跳转至变化状态图1所示的界面；在变化状态图1中点击白色车模并旋转，然后关闭尾翼，并打开左前门、左后门，会跳转至变化状态图2所示的界面；在主视图中通过语音输入“开始录制”或者按压“一键录制”物理按键，会触发开始录制功能，录制开启后用户进入比赛当中，在比赛结束后会跳转至变化状态图3所示的界面；在变化状态图3中点击“榜单详情”会跳转至变化状态图4所示的界面。
 8.主视图、变化状态图1、变化状态图2中虚化的车模部分属于内容画面。</t>
  </si>
  <si>
    <t>车机的车辆性能及状态信息显示图形用户界面</t>
  </si>
  <si>
    <t>CN217367038U</t>
  </si>
  <si>
    <t>本实用新型涉及体育训练技术领域，尤其涉及一种体育训练背肌训练器。其技术方案包括：支撑柱、挡板和箱体，支撑柱的内部固定安装有电机，螺纹杆两侧的支撑柱内部固定安装有测距传感器，螺纹杆的外围安装有调节块，支撑柱一端的调节块之间固定安装有箱体，握杆顶部的箱体两侧固定安装有挡板，且挡板的内部固定安装有风扇，风扇内侧的挡板底部固定安装有消毒灯，箱体的内部分别设置有语音识别模块与无线传输模块。本实用新型通过各种结构的组合使得本装置在工作时可以根据需要自动的对装置进行高度调节工作，且具有良好的防护性能，方便使用人员对装置进行控制使用，且可以对训练效果进行检测工作，增加装置的实用性。</t>
  </si>
  <si>
    <t>一种体育训练背肌训练器</t>
  </si>
  <si>
    <t>US20230130555A1</t>
  </si>
  <si>
    <t>公开了一种虚拟训练系统和方法。 该系统包括二维 (2D) 和三维 (3D) 图像传感器、生物数据传感器、处理器和输出设备。 2D图像传感器感测用户的2D图像,而3D图像传感器感测包括用户的移动的用户的3D图像。 生物统计数据传感器感测用户的至少一种生物统计特征。 处理器在会话期间实时生成与用户的运动相比标准形式运动的反馈信息,标准形式运动可以是锻炼运动、舞蹈运动、武术运动或物理治疗运动。 反馈由输出设备提供为由覆盖在指导者化身上的 2D 图像传感器和 3D 图像传感器中的至少一个捕获的用户的图像,其说明了标准形式运动。</t>
  </si>
  <si>
    <t>移动/物联网设备上的虚拟教练</t>
  </si>
  <si>
    <t>JP2023098405A</t>
  </si>
  <si>
    <t>本发明提供一种图像处理装置,即使在使用视野范围内包含球场的拍摄图像的情况下,也能够适当地识别选手的动作。 
  根据本公开的图像处理装置包括:获取装置,用于获取在一定视角内拍摄的体育比赛场地的图像;检测装置,用于检测图像中的多个对象;以及多个修剪装置。用于修剪基于对象的图像中的位置指定的范围,以及用于基于修剪的图像识别多个对象中的特定玩家的动作的识别装置。 这里,修整装置修整多个对象中的包括基于体育比赛中使用的第一对象的位置而指定的特定选手的范围。</t>
  </si>
  <si>
    <t>CN114333055A</t>
  </si>
  <si>
    <t>本申请实施例提供了一种健身镜、图像识别方法、设备及介质，用于辅助用户进行健身。由于在本申请实施例中，健身镜的控制器可以根据接收到的目标图像采集单元采集的图像及预先训练完成的骨骼关键点识别模型，获取图像中每个预设骨骼关键点的位置信息，并可以根据接收图像时显示器显示的视频的视频帧对应的运动参数确定方式，及每个预设骨骼关键点的位置信息，确定目标运动参数，并在目标运动参数不位于接收图像时显示器显示的视频的视频帧对应的标准运动参数范围内时，输出预设提醒信息，因此本申请实施例中健身镜可以实现对用户健身的辅助。</t>
  </si>
  <si>
    <t>一种健身镜、图像识别方法、设备及介质</t>
  </si>
  <si>
    <t>CN114359761A</t>
  </si>
  <si>
    <t>本发明涉及计算机视觉技术领域，尤其为一种基于便携布控球的登高未系安全带识别系统，具体操作流程如下:S1，全景抓拍；S2，人员与爬高载体目标定位；S3，载体与人员位置关系判断；S4，控制布控球获取登高人员局部图；S5，人员实例分割；S6，安全带图像增强；S7，图像质量评估；S8，安全带佩戴识别，本系统通过控制摄像头移动和变焦控制，实现实际作业场景的智能抓拍，能提升对作业人员登高行为和安全带佩戴的识别效果，解决了远距离下目标检测算法准确率低的问题，本系统在安全带检测算法前增加了图像质量过滤模块，滤除低质量的布控球视频画面，提高安全带检测算法的检测效果。</t>
  </si>
  <si>
    <t>一种基于便携布控球的登高未系安全带识别系统</t>
  </si>
  <si>
    <t>CN114387542A</t>
  </si>
  <si>
    <t>本发明涉及计算机视觉技术领域，尤其为一种基于便携布控球的视频采集单元异常识别系统，具体操作流程如下:S1，网络连通性测试；S2，镜头遮挡识别；S3，控制布控球跟踪作业人员；S4，安全帽检测；S5，安全带检测框与人员检测框匹配；S6，记录异常结果、产生告警，本系统通过控制摄像头移动和变焦，实现实际作业场景异常行为的智能抓拍，优化后的识别算法能提升对作业人员登高行为和安全带佩戴的识别效果，本系统使用了快速图像二值化遮挡检测算法与视频质量评估算法相结合的镜头遮挡检测算法，能够提升系统对图像噪点和大面积目标物体移动情况下的鲁棒性，同时算法所占用的内存和计算资源较少，更易在一些边缘计算设备上完成算法的部署。</t>
  </si>
  <si>
    <t>一种基于便携布控球的视频采集单元异常识别系统</t>
  </si>
  <si>
    <t>CN114387665A</t>
  </si>
  <si>
    <t>本发明涉及计算机视觉技术领域，尤其为一种基于便携布控球的登高无人扶梯识别系统，具体操作流程如下:S1，全景抓拍；S2，人员与梯子目标定位；S3，位置关系判断；S4，局部抓拍；S5，人体姿态识别；S6，异常人员排除；S7，无人扶梯告警触发，本系统通过控制摄像头移动和变焦控制，实现实际作业场景的智能抓拍，能提升对作业人员登高行为和扶梯行为的识别效果，解决了远距离下目标检测和行为识别算法准确率低的问题，本系统结合基于RGB图像的人体姿态估计算法和目标检测算法，代替了现有动作识别的方案，能提升对作业人员登高行为和扶梯行为的识别效果，减少算法的设备依赖度。</t>
  </si>
  <si>
    <t>一种基于便携布控球的登高无人扶梯识别系统</t>
  </si>
  <si>
    <t>CN216571397U</t>
  </si>
  <si>
    <t>本实用新型涉及体育器材技术领域，具体公开了一种基于人机交互的趣味自行车运动装置，包括赛道模拟台和自行车，自行车的动力轮上设有计数器，用于记录自行车的动力轮的转动圈数，计数器连接控制器；赛道模拟台上设有模拟小车，模拟小车和下部的驱动车体联动，驱动车体底部设有电碳刷，电碳刷插入滑触线槽内，用于给驱动车体提供电源动力并带动模拟小车移动；本实用新型通过真实的自行车或健身车与模拟赛道结合的形式，提高了多人的参与度，提高对自行车运动的热爱，并且通过竞赛模式，提高锻炼的兴趣和热情；设计的电碳刷配合滑触线的供电方式，以及电磁上下联动的动力模式，使模拟小车的运行更加平稳滑顺。</t>
  </si>
  <si>
    <t>一种基于人机交互的趣味自行车运动装置</t>
  </si>
  <si>
    <t>US11376484B2</t>
  </si>
  <si>
    <t>US11383146B1</t>
  </si>
  <si>
    <t>US11383147B2</t>
  </si>
  <si>
    <t>一种方法包括使用物联网(IoT)设备捕获参加第一运动课的用户的实时视频。 实时视频通过与物联网设备通信的显示器与教练的视频同时显示,以提供用户与教练的视觉比较。 该方法还包括分析实时视频以确定用户的表现,并响应于确定用户的表现而经由显示器引起警告的显示。 物联网设备从可穿戴设备多次接收与用户相关的生物特征数据。 基于生物特征数据识别用户的心率,并且识别并显示基于心率的分数。 第二锻炼课程的推荐基于用户的简档确定并通过显示器显示。</t>
  </si>
  <si>
    <t>US11383148B2</t>
  </si>
  <si>
    <t>CN216480541U</t>
  </si>
  <si>
    <t>本实用新型涉及灯具技术领域，且公开了一种用于泳池的氛围灯，包括设置在连接框内的连接板，所述连接板外侧面穿设有连接销，所述连接销穿入连接板内的一端穿入连接框内，所述连接板内贯穿有插接柱，所述插接柱顶端安装有防护板，所述插接柱底端螺纹套接有固定架。该用于泳池的氛围灯，通过操作人员说出语音指令，使得语音识别模块识别操作人员发出的指令并经过电信号传递至控制器，再经过控制器经过电信号传递至氛围灯更改泳池内的灯光氛围，进而可防止操作人员游泳过程中出现触摸开关的情况，更便于操作人员使用语音对灯光进行调整，提高了操作人员游泳过程中的安全性，进一步增强了该装置内零部件在工作过程中的使用效果。</t>
  </si>
  <si>
    <t>一种用于泳池的氛围灯</t>
  </si>
  <si>
    <t>CN307402350S</t>
  </si>
  <si>
    <t>1.本外观设计产品的名称：用于四足机器人操控的图形用户界面的显示屏幕面板。
 2.本外观设计产品的用途：本外观设计产品用于显示四足机器人相关信息及远距离操控四足机器人；该显示屏幕面板用于平板、手机、电脑。
 3.本外观设计产品的设计要点：在于产品屏幕中的图形用户界面。
 4.最能表明设计要点的图片或照片：主视图。
 5.其他视图无设计要点，省略后视图、左视图、右视图、俯视图、仰视图。
 6.图形用户界面的用途：用于四足机器人的信息显示及本体操作。
 7.图形用户界面的人机交互方式：主视图界面是机器人的本体操作界面，界面显示了机器人基本状态信息、前置相机的图传画面、虚拟摇杆、步态切换等；主视图中按下左上角第一个“DEEPRobotics”按键进入变化状态图7；主视图中按下左上角第二个六边形按键进入变化状态图1，变化状态图1可对机器人进行控制；变化状态图1下滑进入变化状态图2，变化状态图2可查看机器人的信息；主视图中按下左上角第三个四边形按键进入变化状态图3，对前置相机进行控制；变化状态图7中按下左上角第二个图书按键进入变化状态图5，进行操作指引；变化状态图5中按下“维修支持”按键进入变化状态图6；当机器人出现故障时，会进入变化状态图8；变化状态图8中按下画面中“异常报警，点击查看”提示进入变化状态图4界面；主视图界面按下“地形”按键进入变化状态图11；变化状态图11中按下画面下方“+”按键弹出变化状态图9界面；变化状态图9中按下“确定”按键进入变化状态图10界面；变化状态图10自动建图成功后进入变化状态图12，按下变化状态图12中“设定目标点”按键，进入变化状态图13。</t>
  </si>
  <si>
    <t>用于四足机器人操控的图形用户界面的显示屏幕面板</t>
  </si>
  <si>
    <t>CN116583836A</t>
  </si>
  <si>
    <t>计算系统从数据储存器中检索跟踪数据。跟踪数据包括跨多个赛季的多个事件的多个数据帧。计算系统将跟踪数据转换为多个基于图的表示。图神经网络进行学习从而为跟踪数据的每一帧中的每个运动员生成动作预测。计算系统基于学习生成经过训练的图神经网络。计算系统接收目标事件的目标跟踪数据。目标跟踪数据包括多个目标帧。计算系统将目标跟踪数据转换为多个基于目标图的表示。每个基于图的表示对应于多个目标帧中的一个目标帧。计算系统经由经过训练的图神经网络生成每个目标帧中的每个运动员的动作预测。</t>
  </si>
  <si>
    <t>利用图神经网络根据时空跟踪数据的动作-行动者检测</t>
  </si>
  <si>
    <t>IN202121059614A</t>
  </si>
  <si>
    <t>印度是一种狂热的体育文化,喜欢集体观看体育比赛,无论是板球还是足球,整个社区都聚集在一起观看比赛。 然而,我们遇到的问题之一是电视屏幕底部的记分牌变得非常小,因此很难看到,而且一些 OTT 应用程序查看分数的成本甚至更高。 因此,今天我们将使用 NODEMCU 和 P10 显示模块创建一个基于 IoT 和 Arduino 的记分牌,该记分牌足够大以显示实时比分并且制作起来非常简单。 这里我们使用 Speaker 模块来实时读取乐谱。 这个系统对于在他心中对运动有着特殊地位的盲人来说将是非常有用的。 在这种情况下,API 服务用于获取实时比分,然后由 ESP8266 NODEMCU 解码并传送到控制显示的 Arduino。 Arduino 然后将必要的信息传输到 p10 显示器并生成扬声器来提醒每个团队的目标。</t>
  </si>
  <si>
    <t>使用实时比分API和物联网技术实时显示比分的足球记分牌设计与实现</t>
  </si>
  <si>
    <t>CN307349173S</t>
  </si>
  <si>
    <t>1.本外观设计产品的名称：带直播设置图形用户界面的显示屏幕面板。
 2.本外观设计产品的用途：用于运行程序、显示图形图像；显示屏幕面板用于集音视频编解码与显示功能一体的直播设备、计算机、手机、平板电脑、电视机、车载显示屏。
 3.本外观设计产品的设计要点：在于图形用户界面内容。
 4.最能表明设计要点的图片或照片：主视图。
 5.图形用户界面的用途：本图形用户界面用于直播及直播过程对图层、推流、音频、记分牌、评论等功能设置。
 6.图形用户界面的人机交互方式：主视图为全屏直播页面，用户点击界面右侧中部圆形按钮开始直播，点击界面底部一行按钮对直播功能进行设置；界面变化状态图1为点击主视图界面图层图形按钮呈现的图层设置界面；界面变化状态图2为点击主视图界面推流图形按钮呈现的将现场的视频信号推流到多个可选的第三方直播平台的设置界面；界面变化状态图3为点击主视图界面音频图形按钮呈现的对各路音频信号源的控制界面；界面变化状态图4为点击主视图界面记分牌图形按钮呈现的在赛事直播中插入“记分牌”功能，为比赛添加记分牌的控制界面；界面变化状态图5为点击主视图界面评论图形按钮呈现评论展示的界面；界面变化状态图6为点击主视图界面设置图形按钮呈现的设置界面；使用状态参考图1为主视图的使用参考图；使用状态参考图2为界面变化状态图1的使用参考图；使用状态参考图3为界面变化状态图5的使用参考图。</t>
  </si>
  <si>
    <t>带直播设置图形用户界面的显示屏幕面板</t>
  </si>
  <si>
    <t>CN216725695U</t>
  </si>
  <si>
    <t>本申请涉及乒乓球运动技术领域，具体为一种基于图像识别的智能乒乓球拾取小车。本申请，包括底盘，所述底盘的下表面榫卯连接有两个驱动电机，所述驱动电机的输出端榫卯连接有齿轮，所述齿轮传动连接有履带，所述底盘的表面设有回收结构，所述回收结构包括转移单元、回收单元和输送单元，所述转移单元安装在底盘的上端，所述回收单元安装在底盘的一端，所述输送单元安装在底盘远离回收单元的一端，达到了方便快速将地面上的乒乓球进行回收，然后借助转移单元将乒乓球转移到输送单元中，最后统一回收的效果。解决了传统拾取乒乓球需要沿着场馆走动，工作效率低且耗费时间、精力，也没有实际推广应用价值的问题。</t>
  </si>
  <si>
    <t>一种基于图像识别的智能乒乓球拾取小车</t>
  </si>
  <si>
    <t>IN202141059041A</t>
  </si>
  <si>
    <t>在医学诊断和治疗中,物联网和机器学习技术通常用于监测患者的状态。 物联网已被用于构建系统,通过利用安装了传感器的可穿戴传感器系统的功能,在出现异常情况时向患者的同伴发出警告。 机器学习-RNN 已通过使用经过训练的模型来帮助医疗诊断,以检测患者状况中的任何异常。 在此框架中,使用脉搏血氧仪和温度传感器来监测患者的健康状况。 云物联网用于评估、分类和交换消费者和医疗保健专业人员之间的医疗数据,物联网传感器用于收集必要的数据。 数据将存储在云物联网中,zwave 设备从患者监测中使用的各种传感器收集数据,并将其传输到医院并使用基于 AI 和 ML 的技术存储在医院数据库中,以实时分析数据,例如 作为基于模糊粗略 C 均值聚类的分类方法,用于将用户分类为受感染或未受感染的类别。 我们使用 Fuzzy Rough C-means Clustering 将用户分为感染组和未感染组,使用相似系数根据患者的症状进行区分。 如果发生任何错误,患者可以使用可穿戴设备(如健身带)和其他无线连接设备(如血压和心率监测袖带、血糖仪和其他设备)接受量身定制的治疗。 可以在这些设备上设置卡路里计数、锻炼、约会、血压变化和其他几项内容。 物联网彻底改变了人们的生活,尤其是老年患者的生活,他们现在可以实时追踪自己的健康状况。 对单亲父母及其家庭的影响是巨大的。 如果一个人的常规习惯受到干扰或改变,警报机制会将消息传递给家庭成员、医生、护理人员和其他相关的健康提供者。</t>
  </si>
  <si>
    <t>基于智能医疗云的物联网模型设计系统,用于使用深度学习检测和预防医学诊断</t>
  </si>
  <si>
    <t>CN114400065A</t>
  </si>
  <si>
    <t>本发明涉及一种辅助锻炼恢复的健身房机器人系统，包括：恢复方案设定单元、前台终端、机器人调度单元、保健员终端、历史数据库、理疗台以及智能健身器材。所述恢复方案设定单元，用于自动生成恢复方案；所述前台终端，用于将会员ID与RFID卡关联；所述机器人调度单元，用于智能机器人的调度；所述保健员终端，用于对恢复方案进行确认和调整；所述历史数据库，用于存储用户的历史数据。本发明将恢复方案设定单元、前台终端、机器人调度单元、保健员终端、历史数据库、理疗台以及智能健身器材结合为一个辅助锻炼恢复的健身房机器人系统，能够采集用户的是训练数据，根据训练数据生成恢复方案，并根据恢复方案对用户进行健身后的身体恢复。</t>
  </si>
  <si>
    <t>辅助锻炼恢复的健身房机器人系统及其控制方法</t>
  </si>
  <si>
    <t>CN216536726U</t>
  </si>
  <si>
    <t>本实用新型涉及健身器材技术领域，具体为一种用于健康健身数据采集的人工智能装置，包括基板，所述基板的顶端固定有机壳、检测壳和支撑架，所述机壳表面的顶端安装有红外传感器，所述检测壳位于机壳的前侧，所述检测壳的顶端开设有块槽，且块槽内置有称重传感器和支撑块，所述支撑块的顶部固定有躺板，所述机壳的背部设置有面部识别装置和触控显示屏，所述机壳的内部固定有隔板，所述隔板的顶部依次设置有数据储存模块、中央处理器和无线发射模块，本实用新型通过该健身器材上设置有运动检测装置，在运动过程中，运动的数据将被记录，使健身者可精准得知自己运动的数据，从而配合合理的计划训练，达到科学且高效健身的效果。</t>
  </si>
  <si>
    <t>一种用于健康健身数据采集的人工智能装置</t>
  </si>
  <si>
    <t>IN202121058862A</t>
  </si>
  <si>
    <t>本发明研究人体运动的生物力学运动分析和测量以及运动步态分析及其在医疗保健和保健、辅助技术、假肢和矫形装置、任何体育活动、工业人体工程学、汽车、国防领域的应用 以及适用于室内和全天候室外环境(无论任何空间)的网络安全。 本发明公开了在任何解剖平面中测量运动学分析的生物力学运动的方法和装置,更具体地,使用适形可穿戴3D运动传感器边缘节点运动捕捉系统来监测和识别个体活动。 本发明提供了一种边缘计算生物力学数据计算(片上系统)设备,其可以在4G/5G电信网络和连接的医疗物联网(IoT)、云计算和生物力学数据分析中进行本地和远程远程医疗工作。 平台与可用设备相比。 所公开的发明是可穿戴和便携式边缘节点、边缘计算,其不需要任何受限且特殊的可靠系统以及受限实验室或特定条件(室内或室外恶劣环境设置)。 图2</t>
  </si>
  <si>
    <t>“生物力学运动分析、测量和活动监测的装置和方法”</t>
  </si>
  <si>
    <t>CN114082139B</t>
  </si>
  <si>
    <t>本发明涉及健身器材技术领域，具体为一种用于健康健身数据采集的人工智能方法及其装置，包括基板，所述基板的顶端固定有机壳、检测壳和支撑架，所述机壳表面的顶端安装有红外传感器，所述检测壳位于机壳的前侧，所述检测壳的顶端开设有块槽，且块槽内置有称重传感器和支撑块，所述支撑块的顶部固定有躺板，所述机壳的背部设置有面部识别装置和触控显示屏，所述机壳的内部固定有隔板，所述隔板的顶部依次设置有数据储存模块、中央处理器和无线发射模块，本发明通过该健身器材上设置有运动检测装置，在运动过程中，运动的数据将被记录，使健身者可精准得知自己运动的数据，从而配合合理的计划训练，达到科学且高效健身的效果。</t>
  </si>
  <si>
    <t>一种用于健康健身数据采集的人工智能方法及其装置</t>
  </si>
  <si>
    <t>CN114241602A</t>
  </si>
  <si>
    <t>本发明公开了一种基于深度学习的多目转动惯量测量和计算方法，属于体育专项动作分析技术领域。一种基于深度学习的多目转动惯量测量和计算方法，利用多台高速运动摄像机多角度捕获人体的运动轨迹，最大限度的保证捕获的轨迹的完整性以及实时性，有效地避免了其他方法不能确保运动轨迹的完整性，通过基于深度学习的方法识别人体的关键点坐标，并进行多相机交汇准确，高效地解算出人体各个部位的运动轨迹、并计算出人体运动过程中的转动惯量。</t>
  </si>
  <si>
    <t>一种基于深度学习的多目转动惯量测量和计算方法</t>
  </si>
  <si>
    <t>AU2021286396A1</t>
  </si>
  <si>
    <t>23 摘要 公开了设备、架构和方法的系统,用于促进支持可持续全球数字经济的流程在不同司法管辖区的多个分布式设备上,并通过以下方式使用不同平台:营销交易带宽包,为不同公共用户提供服务可靠、安全和可持续的数字企业, 包括私营企业,并在必要时购买和出售与其他数字经济平台系统的访问包 、数字经济和社会资源。 假设安全数据可通过合法技术强加的使用参数合同(即区块链)在设备上或在采用假设的国家或国际物联网标准化实施的某些中间网关设备中获得。 假设相关州和地区监管机构检查和授权进口和安装物联网和网关设备,这些设备根据自己的法律提供访问权限,可能与访问控制设备结合使用,并且这些机构仅授权 OEM 提供其物联网产品 使用经过适当标准化的固件/软件进行操作,仅允许通过与监管机构商定的此类方法进行合法授权的访问,并控制由拥有和/或安装此类安全设备的个人参与者、企业和/或组织根据自己的需要实施的额外安全访问,以及 依法。 对生成的记录进行区块链控制的设施将允许出于审计目的而主张监管链控制。 数据模型反映了系统作为购买工具、工具提供者和票据交换所的操作,用于配对多种货币和相关的交易带宽,这是其用户内部所需的(作为票据交换所——本质上但不一定只在出现短缺或供过于求的情况下) 以及 FlowMake 系统参与的多个平台和司法管辖区的外部。 它需要支持提供可靠稳定服务的所有功能,其中服务既是技术(网络)又是金融(银行当局、银行服务、外汇服务),并满足相关监管系统和机构的法律要求。 因此,功能将具体包括:审计用户与系统的交互,以及为服务用户和系统操作员建模环境,预测整改和/或设计定价包的不足,以及寻求、授权和提供和/ 或主动连接其他司法管辖区货币平台提供的新交易资源。 它还将包括 A 增强的客户/服务搜索,使用现有的使用配置文件来识别业务发展机会。 该平台补充了“AuthStack”的监管环境,并支持任何区块链使用功能的功能,因此在商业、商品和股票交易、政府、艺术、广告、体育广播、旅游、风险管理、外交、 教育和 24 健康,并使用区块链根据在每个数字资产上创建的系统化和可审计的合同(扩展安全的直接许可模型)管理交易。 因此,当存在高度可靠的识别过程并且它需要或必须维护一个可通过时间参考区块链访问的全球可访问的计时设施时,它将发挥最佳作用,从而实现高质量的计时,以实现流的协调以及全球参考完整性 参与区块链管理传输和评估以进行审计和证据相关功能的数据。 此类不同的资产和流程可能由不同角色的不同专业知识来源控制或产生,并由具有安全、可配置区块链的协调工具支持,用于权利保护、审计跟踪与直接耦合的区块链支付和资源管理以及访问控制。 系统。如果在辖区内运营的监管体系明确允许,该平台可以被设置为垄断企业。 可以设想,在这种情况下以及最有可能的其他情况下,支持交易带宽交易的政府还将制定政策和立法,防止、减少或至少衡量对可能面临被利用风险的用户类别的利用。 具体而言,有时发现来自较低社会经济背景的年轻游戏玩家存在对游戏有害的成瘾风险。 如果政府程序不能确保对风险进行充分的教育,则监测、保护和/或充分有效的激励措施以确保儿童尤其有效地参与确保正常健康发展所需的教育和经验。 因为没有实施以人民健康为中心的企业模型作为任何盈利机会的一部分的监管者很可能会被投票成员发现缺乏,所以本发明的规范特别包括与健康促进功能的联系。 不应低估社会在心理健康和身体疾病负担(肥胖)方面继续得不到有效管理的进一步成本。</t>
  </si>
  <si>
    <t>flowmake :用于营销交易带宽包的设备、架构和方法系统,为包括私营企业在内的各种公共用户提供可靠、安全和可持续的数字企业服务,并在必要时购买和销售与其他数字经济平台系统的访问包,以确保 平台用户持续提供高效、可靠、安全的可签约服务,监管机构能够监控平台的运行,确保基础设施、数字经济和社会资源的可持续健康。</t>
  </si>
  <si>
    <t>CN115245685A</t>
  </si>
  <si>
    <t>本发明公开了一种基于智能物联网的运动员练习用跨栏架，包括底座，所述底座对称设置在地面上，所述底座内部转动连接有转轴，且转轴内部开设有通槽，所述转轴通过通槽滑动连接有第一框架和第二框架，且第一框架和第二框架交错套接，本发明当第二框架倾倒的时候，电机正转，且配合电磁铁的通电，使转轮在电机轴上进行移动，从而使转轮一侧的凸出块和第二主动齿轮上的配合块进行卡接，从而实现对第二主动齿轮的转动，在转动的过程中，会带动第二齿链进行工作，从而带动第二框架在底座上移动到合适的位置，从而可以一直往复的工作，在运动员运动的时候，可以不用担心因为倾倒的跨栏架而浪费训练的时间，从而提高远动员运动的效率。</t>
  </si>
  <si>
    <t>一种基于智能物联网的运动员练习用跨栏架及使用方法</t>
  </si>
  <si>
    <t>KR1020230091368A</t>
  </si>
  <si>
    <t>本发明涉及一种使用CGAM来识别体育视频中的活动的装置和方法。 
  根据本发明的使用CGAM来识别体育视频中的活动的装置接收要逐帧分析的视频,并在时间注意模块(TAM)中划分帧之间的重要性,其中按重要性划分的帧与对象特征提取单元,通过压缩顺序输入和输出到布置在每个卷积块之间的每个空间注意聚焦模块(CBAM)的第一特征值以及从每个空间注意聚焦模块输出的不同对象信息来表示对象特征。将生成CGAM输出的第二特征值与生成的CGAM相乘,提取对象特征值; 活动特征提取单元,将提取的对象特征值依次输入循环神经网络(RNN)和全连接(FC)层,并根据使用 sigmoid 函数估计的每个活动的概率值对最终活动进行分类. 包括</t>
  </si>
  <si>
    <t>CN307338250S</t>
  </si>
  <si>
    <t>1.本外观设计产品的名称：带进程显示图形用户界面的显示屏幕面板。
 2.本外观设计产品的用途：本外观设计的显示屏幕面板用于电脑、电视、平板、手机或智能手表上显示图形用户界面。
 3.本外观设计产品的设计要点：在于图形用户界面。
 4.最能表明设计要点的图片或照片：设计1主视图。
 5.指定设计1为基本设计。
 6.图形用户界面的用途：界面用于在团队比赛时显示时间和各个团队的排名情况。
 7.图形用户界面的人机交互方式：各设计中，主视图是显示屏幕面板的主界面，用户上下滑动主界面中部的时间牌，可以调整显示的时间数值。
 8.设计2请求保护的外观设计包含色彩。</t>
  </si>
  <si>
    <t>带进程显示图形用户界面的显示屏幕面板</t>
  </si>
  <si>
    <t>CN114187171A</t>
  </si>
  <si>
    <t>本发明公开了一种基于人工智能的投掷铅球成绩记录系统，是在投掷场地内设置有准备区和成绩区，准备区内设置有投掷起始线，所述投掷场地内设置有1个摄像头；在所述投掷场地内的n个运动员按照出场顺序依次穿戴不同的号码牌，在投掷场地的一侧设置有工控机、显示屏和喇叭；在工控机上设置有包括：数据采集模块、预处理模块、号码匹配模块、计时模块、人员位置检测模块、违规检测模块、轨迹检测模块、落地点检测模块和成绩输出模块。本发明利用人工智能实现对投掷距离的智能测量，从而提高测量的准确度和公平性。</t>
  </si>
  <si>
    <t>一种基于人工智能的投掷铅球成绩记录系统</t>
  </si>
  <si>
    <t>CN114187664A</t>
  </si>
  <si>
    <t>本发明公开了一种基于人工智能的跳绳计数系统，包括：工控机、摄像头、喇叭和显示屏用于对指定区域内的跳绳运动员进行计数；在工控机上设置有数据采集模块、指令模块、运动员检测模块、预处理模块、违规检测模块、计数模块、报警模块和成绩输出模块。本发明能利用人工智能实现对跳绳计数的智能计数，从而减少人为计数误差，保证跳绳计数的准确性和公平性。</t>
  </si>
  <si>
    <t>一种基于人工智能的跳绳计数系统</t>
  </si>
  <si>
    <t>WO2022146685A1</t>
  </si>
  <si>
    <t>自动记忆系统可以自动识别和呈现与用户的自然语言 (NL) 输入相匹配的内容项。 自动记忆系统可以计算NL输入和多个潜在记忆内容项目中的每一个之间的匹配分数。 自动记忆系统可以使用各种算法和/或机器学习模型来计算匹配分数,例如图像/NL匹配过程以获得第一匹配分数、标签匹配过程以获得第二匹配分数和/或 第一和第二场比赛得分的组合比赛得分。 自动记忆系统可以选择一个或多个具有最高匹配分数的内容项。 自动记忆系统可以提供选择的内容项目,例如通过向NL提供用户推荐它们、自动显示或播放它们、将它们插入对话线程等。</t>
  </si>
  <si>
    <t>自动内存内容项配置</t>
  </si>
  <si>
    <t>CN116266415A</t>
  </si>
  <si>
    <t>本发明公开了基于健身教学训练的动作评价方法及系统及装置及介质，涉及健身领域，获取健身视频，健身视频中预设有标准姿态；获取健身视频中标准姿态对应的时间段；在该时间段中获取健身视频对应的连续时刻的帧图像；识别该时间段中连续时刻的帧图像对应的若干用户姿态；对比若干用户姿态和标准姿态，判断用户姿态与标准姿态是否为同一类型。本发明的在进行对比时，通过卷积神经网络构建模型，并通过人体的16个骨骼关键点以及其分别对应二维位置坐标进行识别，准确度更高，能够快速得到用户姿态是否标准，提高使用效率。</t>
  </si>
  <si>
    <t>基于健身教学训练的动作评价方法及系统及装置及介质</t>
  </si>
  <si>
    <t>WO2023111638A1</t>
  </si>
  <si>
    <t>网球比赛模拟系统配备了物联网(IoT)背景下的智能球拍。 使用该系统,实时比赛可以虚拟地、不受地点限制地进行,并且可以在不同国家的球员之间进行比赛,而无需前往一个地方,并且在训练比赛时使用这些球拍是虚拟现实环境 状况。 该系统利用传感器来检测人体的运动模式,通过惯性传感器来检测关节的角度(例如肩肘关节的角度)并进行加速度分析。 执行的所有动作、与运动相关的行为以及在三个主要方向x、y和z上握拍和击球的方法都经过仔细评估。</t>
  </si>
  <si>
    <t>配备智能球拍的网球比赛模拟系统</t>
  </si>
  <si>
    <t>CN114169622A</t>
  </si>
  <si>
    <t>本发明涉及一种基于改进长短期记忆神经网络的网球运动员成绩预测方法。该方法包括以下步骤：步骤1，采集网球运动员相关特征指标；步骤2，将步骤1所采集具有不同量纲和量纲单位的数据进行归一化处理；步骤3，设计改进的长短期记忆神经网络网球运动员成绩预测模型；步骤4：训练改进的长短期记忆神经网络网球运动员成绩预测模型；步骤5：根据历史信息数据在预测阶段动态调整权重系数；步骤6，把设计完成的基于改进长短期记忆神经网络网球运动员成绩预测模型进行实际应用。本发明在长短期神经网络输出门的基础上，通过样本特征权重，将输入门连接至输出门，可令网络模型学到长时期的历史信息，增强网络的预测精度和鲁棒性，实现网球运动员的成绩预测。</t>
  </si>
  <si>
    <t>一种基于改进长短期记忆神经网络的网球运动员成绩预测方法</t>
  </si>
  <si>
    <t>CN114307115A</t>
  </si>
  <si>
    <t>本发明公开了一种具有记录运动参数功能的户外健身器材，包括跟踪拍摄装置、左基座、右基座，所述左基座和右基座之间设置有踏板机构；所述左基座包括电气盒、限位框一、推力测量机构一和防滑机构一；所述右基座包括配重盒、限位框二、推力检测机构二和防滑机构二，所述限位框一和限位框二内分别设置有测量杆一和测量杆二；所述电气盒的后侧设置有控制器，所述电气盒的内部设置有蓄电池和物联网通讯模块，所述配重盒内设置有备用蓄电池。本发明可以记录使用者的重量和运动时腿部蹬力的数据、运动时的风力风向数据、运动过程中的动作图像信息，控制器各种参数结合后计算分析，将运动报告发生到物联网上，使用者可以随时获取运动具体数据信息。</t>
  </si>
  <si>
    <t>一种具有记录运动参数功能的户外健身器材</t>
  </si>
  <si>
    <t>CN307396299S</t>
  </si>
  <si>
    <t>1.本外观设计产品的名称：带运动健康模块图形用户界面的显示屏幕面板。
 2.本外观设计产品的用途：用于监测用户健康数据、控制家电模式、显示图形用户界面，该显示屏幕面板用于智能手表。
 3.本外观设计产品的设计要点：在于产品的图形用户界面内容。
 4.最能表明设计要点的图片或照片：主视图。
 5.其他视图无设计要点，省略其他视图。
 6.图形用户界面的用途：通过人机交互操作实现监测用户健康数据、控制家电模式等各项功能。
 7.图形用户界面的变化状态说明：主视图为主界面；界面变化状态图1为向上滑动主视图，进入应用中心的界面；界面变化状态图2为点击界面变化状态图1中左侧“运动”，进入运动模块的界面；界面变化状态图3为点击界面变化状态图2中“户外跑步”右侧的箭头，进入启动监测户外跑步数据的界面；界面变化状态图4为启动户外跑步后进入运动准备倒计时的界面；界面变化状态图5为倒计时结束后，自动进入监测户外跑步实时状态数据的界面；界面变化状态图6为向上滑动界面变化状态图5，进入监测步数和步频数据的界面；界面变化状态图7为向上滑动界面变化状态图6，进入监测消耗热量数据的界面；界面变化状态图8为向右滑动界面变化状态图5，进入播放音乐的界面；界面变化状态图9为点击界面变化状态图8中下方的“喇叭”图标，进入调节音量的界面；界面变化状态图10为向左滑动界面变化状态图5，进入暂停监测户外跑步数据的界面；界面变化状态图11为点击界面变化状态图10中左下侧的“暂停”图标，进入选择是否结束运动的界面；界面变化状态图12为点击界面变化状态图11中右下侧的“对号”图标，进入生成运动报告失败的界面；界面变化状态图13为点击界面变化状态图11中右下侧的“对号”图标，进入生成运动报告成功的界面；界面变化状态图14为向上滑动界面变化状态图13，进入运动用时详情的界面；界面变化状态图15为向上滑动界面变化状态图14，进入户外跑步整体数据的界面；界面变化状态图16为点击界面变化状态图1中左侧“健康”，进入健康状况概览的界面；界面变化状态图17为向上滑动界面变化状态图16，进入健康建议的界面；界面变化状态图18为向上滑动界面变化状态图17，进入健康数据报告的界面；界面变化状态图19为点击界面变化状态图1中左侧“健康”后的第一个图标，进入睡眠数据的界面；界面变化状态图20为向上滑动界面变化状态图19，进入睡眠数据详情的界面；界面变化状态图21为点击界面变化状态图1中左侧“健康”后的第二个图标，进入心率数据的界面；界面变化状态图22为向上滑动界面变化状态图21，进入心率实时状态数据的界面；界面变化状态图23为点击界面变化状态图1中左侧“家电”，进入智家场景中睡眠模式和离家模式的界面；界面变化状态图24为向上滑动界面变化状态图23，进入智家场景中回家模式和起床模式的界面；界面变化状态图25为向上滑动界面变化状态图24，进入智家场景中观影模式的界面；界面变化状态图26为点击界面变化状态图23中“睡眠模式”，进入开启睡眠模式的界面；界面变化状态图27为点击界面变化状态图1中左侧“家电”后的第一个图标，进入开启家电设备的界面；界面变化状态图28为向上滑动界面变化状态图27，进入运行洗衣机和净水器的界面；界面变化状态图29为点击界面变化状态图27中“主卧空调运行中”右侧的箭头，进入查看运行空调的界面；界面变化状态图30为点击界面变化状态图27中上方的蓝色圆环图标，进入开启语音指令的界面；界面变化状态图31为语&amp;nbsp;音输入“打开空调”，进入开启空调的界面。</t>
  </si>
  <si>
    <t>带运动健康模块图形用户界面的显示屏幕面板</t>
  </si>
  <si>
    <t>JP2023087448A</t>
  </si>
  <si>
    <t>快速确定跑步面的跑步性能。 
  [解决方案] 信息获取单元,获取由在评价目标驾驶路面上行驶的测试车辆测量的测量数据;以及机器学习单元,获取通过在各种驾驶路面上驾驶测试车辆而获得的测量数据,并基于机器学习来执行机器学习。存储单元,存储基于存储单元确定行驶表面的行驶性能的确定程序;以及计算单元,处理基于存储单元中存储的确定程序确定的测量数据,并且决定了待评价行驶面的行驶性能,测量数据包括测试车辆面向评价目标行驶面时的竖向振动数据。</t>
  </si>
  <si>
    <t>跑步性能测定装置及跑步性能测定系统</t>
  </si>
  <si>
    <t>CN307223762S</t>
  </si>
  <si>
    <t>1.本外观设计产品的名称：带路径操作图形用户界面的显示屏幕面板。
 2.本外观设计产品的用途：用于显示人机交互界面并供用户做出触控指令。
 显示屏幕面板的使用范围：用于智能清扫机器人、智能洗地机、智能手机、平板电脑、触控一体机、笔记本电脑、车载触屏电脑。
 3.本外观设计产品的设计要点：在于显示的图形用户界面。
 4.最能表明设计要点的图片或照片：主视图。
 5.无设计要点，省略外观设计产品的后视图、左视图、右视图、俯视图及仰视图。
 6.图形用户界面的用途：图形用户界面用于对智能清扫机器人的设置路径进行查看、删除、录制保存等操作。
 主视图界面中部的背景部分用以显示智能清扫机器人根据要清扫的任务区域而绘制的地图。
 界面右侧的浮动面板用于显示用户创建的多个机器人清扫路径，在点选某一路径时，该路径涉及到的区域将在地图中突出显示，同时，用户可对被选择路径进行删除操作。
 界面下部是对地图进行各种操作的图形按钮条，该按钮条左边可上下划动选择想要具体操作的功能集名称，右边显示当前被选功能集所包含的各种操作图形按钮。
 变化状态图是在主视图界面中点击“示教斜坡”按钮后呈现的界面，界面中部区域用于实时绘制出机器人行进的路径，点击界面下部的“从下到上”可以实时控制机器人的路线行走方式，点击“结束录制”按钮可以停止记录并将界面中部显示的机器人行走路径进行保存。</t>
  </si>
  <si>
    <t>带路径操作图形用户界面的显示屏幕面板</t>
  </si>
  <si>
    <t>CN307223760S</t>
  </si>
  <si>
    <t>1.本外观设计产品的名称：带路径操作图形用户界面的显示屏幕面板。
 2.本外观设计产品的用途：用于显示人机交互界面并供用户做出触控指令。
 显示屏幕面板的使用范围：用于智能清扫机器人、智能洗地机、智能手机、平板电脑、触控一体机、笔记本电脑、车载触屏电脑。
 3.本外观设计产品的设计要点：在于显示的图形用户界面。
 4.最能表明设计要点的图片或照片：主视图。
 5.无设计要点，省略外观设计产品的后视图、左视图、右视图、俯视图及仰视图。
 6.图形用户界面的用途：图形用户界面用于对智能清扫机器人的设置路径进行查看、删除等操作。
 主视图界面中部的背景部分用以显示智能清扫机器人根据要清扫的任务区域而绘制的地图。
 界面右侧的浮动面板用于显示用户创建的多个机器人清扫路径，在点选某一路径时，该路径涉及到的区域将在地图中突出显示，同时，用户可对被选择路径进行删除操作。
 界面下部是对地图进行各种操作的图形按钮条，该按钮条左边可上下划动选择想要具体操作的功能集名称，右边显示当前被选功能集所包含的各种操作图形按钮。</t>
  </si>
  <si>
    <t>CN307361029S</t>
  </si>
  <si>
    <t>1.本外观设计产品的名称：带跟练计分功能图形用户界面的智能健身镜。
 2.本外观设计产品的用途：运行健身程序。
 3.本外观设计产品的设计要点：在于健身镜屏幕显示的图形用户界面内容。
 4.最能表明设计要点的图片或照片：主视图。
 5.图形用户界面的用途：软件主要用于健身程序的教练动作跟练计分界面展示，主视图为教练在A阶段进行动作演示计分的倒计时的显示，用于展示A阶段学员跟练动作演示的实时计分达到预设值后的倒计时界面，图中红色方框内用于展示教练的动作画面，动作画面周围的灰色方框内会出现动态图案以表示撒花完结该阶段，红色方框上方文字提示本跟练阶段即将结束，红色方框下方小人左右两侧出现条形带，小人下方的“XXX+X”代表A阶段学员跟练教练动作演示的实时计分变化；界面变化状态图1为主视界面的A阶段倒计时结束后切换的界面，红色方框上方的文字提示及灰色方框消失，小人左右的条形带中间出现计分动作的入场帧的进度条，用于展示B阶段学员跟练动作演示的实时计分的入场界面，小人下方的“XXX+X”代表B阶段学员跟练教练动作演示的实时计分变化；其中，人机交互方式为智能健身镜通过摄像头实时检测学员的动作，并将学员动作与教练动作进行比对、根据比对结果进行评分，根据评分结果由A阶段向B阶段切换。</t>
  </si>
  <si>
    <t>带跟练计分功能图形用户界面的智能健身镜</t>
  </si>
  <si>
    <t>CN307500625S</t>
  </si>
  <si>
    <t>1.本外观设计产品的名称：显示屏幕面板的交互圆盘操作的图形用户界面。
 2.本外观设计产品的用途：本外观设计产品用于手机、台式电脑、笔记本电脑、平板电脑、嵌入式电脑、电视、冰箱、冷柜、净水机、饮水机、空调、洗衣机、热水器、抽油烟机、洗碗机、集成灶、蒸烤箱、电饭煲、电压力锅、料理机、破壁机、热水器、热水壶、电磁炉、微波炉、微波饭煲、榨汁机、消毒柜、加湿器、除湿器、手表、遥控器、机器人、车载导航仪、汽车显示装置、GPS装置、智能手环、梳妆镜、智能眼镜、个人数字助理、智能音箱、机顶盒、游戏机、健身监视器、按摩器、康复护理仪、烘干机、灯具、VR眼镜、MP4、掌上游戏机、智能门铃、门锁、风扇、智能冰箱贴、广告机、蓝牙耳机充电盒的显示屏面板，通过人机交互选择界面中圆盘对应功能下界面并显示图形用户界面。
 3.本外观设计产品的设计要点：在于屏幕中的图形用户界面的内容。
 4.最能表明设计要点的图片或照片：设计1主视图。
 5.显示屏幕面板为惯常设计，省略其他视图。
 6.指定设计1为基本设计。
 7.图形用户界面的用途：主要内容是提供快捷显示功能界面，通过人机交互实现快速选择对应圆盘功能下的界面的目的。
 8.图形用户界面的人机交互方式：设计1至设计9主视图为展示功能圆盘的主界面，选择设计1至设计9主视图圆盘上的任一按钮或圆盘底部的背景图片，界面变换至下一界面；设计10主视图为展示功能圆盘的主界面，选择设计10主视图圆盘最左侧的按钮，界面变换至设计10界面变化状态图，选择设计10界面变化状态图上的任一按钮或圆盘底部的背景图片，界面变换至下一界面；其中，界面中的“灰色图块”表示为可变图片，界面中“灰色图块加交叉线”表示为可变文字或图标。</t>
  </si>
  <si>
    <t>显示屏幕面板的交互圆盘操作的图形用户界面</t>
  </si>
  <si>
    <t>TR202119387A2</t>
  </si>
  <si>
    <t>发明、场地、公寓、商场、酒店、体育场、娱乐中心、住宅、爱好花园等。 (有很多公共区域并允许集体生活的地方)与建筑物管理中使用的地方有关。 本发明的特点; 除了设施管理中的费用跟踪外,通过物联网传感器检测建筑物的电气/电子/机械系统中的故障,在电子环境中进行故障跟踪,无需人工,即时实时同步来自IOT传感器的通知,故障立即传送到供应商解决方案面板,解决方案合作伙伴在场,解决方案周期计时。它与设施管理和故障通知系统有关,它提供</t>
  </si>
  <si>
    <t>设施管理和故障通知系统</t>
  </si>
  <si>
    <t>CN114140286A</t>
  </si>
  <si>
    <t>本发明公开了一种驾培指导方法及终端，方法包括：采集学员驾驶培训中的历史练习数据和教练的指导方案并进行预处理；利用K‑Means聚类算法划分为学习能力相近的不同学员群体，得到聚类结果；将预处理后的历史练习数据作为输入并训练RNN循环神经网络模型，预测得到学员成功完成下一次项目练习的概率；基于学员本次的训练数据由模型预测的学员成功完成下一次项目练习的概率，结合本次训练教练的指导方案和本次的真实项目通过情况作为输入对强化学习模型训练，利用强化学习模型选择最优的教练指导方案并推荐给学员。本发明可为每个学员每个学习阶段进行定制化的指导，可以大大的减少教练的工作量，提高智能化的性能。</t>
  </si>
  <si>
    <t>一种驾培指导方法及终端</t>
  </si>
  <si>
    <t>CN114191803A</t>
  </si>
  <si>
    <t>本发明公开了一种基于深度学习的平板支撑姿势标准与否的判别方法和装置，该方法包括：从视频中抽取视频帧对应的区域图像；对区域图像中的目标区域进行人体识别；基于人体姿态估计模型，获取目标区域内人员的身体关键点；基于身体关键点，若双侧的腿部均已绷直，且双侧的手肘均位于同侧肩膀的正下方，同时双侧的臀部均不高于同侧肩膀，则判定平板支撑姿势标准。通过对腿部是否绷直、手肘是否位于肩膀的正下方、臀部是否不高于肩膀进行判断，均符合要求时判定为标准，应用在多人健身的健身房中，教练员不再需要对学员进行逐一判断，可直接针对不达标的学员进行矫正，有效提高监督指导行为的效率，个人居家使用时也可自行判断姿势是否标准。</t>
  </si>
  <si>
    <t>基于深度学习的平板支撑姿势标准与否的判别方法和装置</t>
  </si>
  <si>
    <t>CN114191804A</t>
  </si>
  <si>
    <t>本发明公开了一种基于深度学习的深蹲姿势标准与否的判别方法和装置，该方法包括：从视频中抽取视频帧对应的区域图像；对区域图像中的目标区域进行人体识别；基于人体姿态估计模型，获取身体关键点；基于身体关键点，获取大小腿夹角；若双侧的大小腿夹角均在70°‑80°的预设角度区间内，且双侧的膝盖均不超出脚尖，同时双侧的手臂均为水平伸直状态，则判定深蹲姿势标准。通过对大小腿夹角的大小、膝盖与脚尖的关系、手臂的状态进行判断，均符合要求时判定为标准，应用在多人健身的健身房中，教练员不再需要对学员进行逐一判断，可直接针对不达标的学员进行矫正，有效提高监督指导行为的效率，个人居家使用时也可自行判断姿势是否标准。</t>
  </si>
  <si>
    <t>一种基于深度学习的深蹲姿势标准与否的判别方法和装置</t>
  </si>
  <si>
    <t>KR102476110B1</t>
  </si>
  <si>
    <t>本发明方便了安装在高层建筑(体育馆、演艺厅、展览馆、船厂、大型工厂、仓库)天花板上的灯具的安装和维护,以及灯具安装和维护过程中现场的视频分析。 . 一种通过轻型安装导轨(100)、轻型件(200)、轻型紧固装置(300)、上升/下降装置(400)、安全诊断装置来防止工地安全事故的发明装置(500),其特征在于它包括控制控制器(600)。</t>
  </si>
  <si>
    <t>基于人工智能图像处理技术的工业现场安全事故预防系统</t>
  </si>
  <si>
    <t>CN114118864A</t>
  </si>
  <si>
    <t>本发明公开了一种大型群众体育赛事综合评估系统，涉及群众体育赛事评估技术领域，解决了现有技术对群众体育赛事的评价单一，没有实现对大型群众体育赛事的综合评价，导致评价结果片面，参考价值低的技术问题；本发明采集赛事评价数据和标准历史数据，结合专家打分法、智能评估模型和图像识别技术对赛事评价数据进行评估；从赛事项目本身、环境状态和经济收益出发，对赛事项目进行了综合评价，保证综合评价结果的权威性，提高参考价值；本发明在获取环境评分时，在设定环境评分范围的情况下，建立环境评估系数或者浓度差值与环境评分的比例关系，能够保证合理评估体育赛事对环境的影响，为获取权威的赛事综合评分奠定数据基础。</t>
  </si>
  <si>
    <t>一种大型群众体育赛事综合评估系统</t>
  </si>
  <si>
    <t>IN202131056501A</t>
  </si>
  <si>
    <t>本发明涉及一种基于物联网的太阳能多用途车辆。 更具体地,本发明涉及用于板球场地的露水浸泡和水分干燥的基于物联网的太阳能多用途车辆。 本发明涉及一种基于物联网的太阳能多用途车,它可以通过WPTM(防水聚油布垫)覆盖球场,以保护二十二码免受雨淋。 本发明涉及一种基于物联网的太阳能多用途车,具有满足地面干燥要求且结构简单、造价低、防潮效果好、性价比高、施工简单等优点。 它的动作和易于操作。</t>
  </si>
  <si>
    <t>用于板球场的露水浸泡和水分干燥的基于物联网的太阳能多用途车辆</t>
  </si>
  <si>
    <t>CN113967346A</t>
  </si>
  <si>
    <t>本发明属于智能机器人技术领域，具体公开了一种机器视觉的网球自动捡球机器人，包括识别单元、行走单元、拾取单元和控制单元；识别单元包括视觉传感器，视觉传感器能够将球场上待拾取的网球坐标信号传输给控制单元；拾取单元设置在行走单元上，控制单元通过接受到的坐标信号，规划出行走路径，并控制行走单元按照行走路径向坐标点移动，后控制拾取单元对网球进行拾取。采用本发明的方案，基于识别单元可以准确识别出网球场地中的网球，避免漏捡球的问题，控制单元基于网球拾取点的位置信息，精确规划得到拾取路径，使得网球拾取机器人在复杂环境中也能准确拾取网球，行走单元基于网球拾取路径自动行驶至网球拾取点，大幅度提高了网球拾取效率。</t>
  </si>
  <si>
    <t>一种机器视觉的网球自动捡球机器人</t>
  </si>
  <si>
    <t>CN114219833B</t>
  </si>
  <si>
    <t>本发明公开了一种水上水下计算机视觉综合溺水判断系统，所述判断系统包括分布在泳池周围用于拍摄泳池水上图像的多个水上摄像机、分布在泳池内用于拍摄泳池水下图像的多个水下摄像机，以及采用视觉算法对泳池水下图像和泳池水下图像进行综合处理以识别溺水目标的溺水判别装置；所述溺水判别装置包括预处理单元、位置计算单元、图像分割单元、序列化单元、异常筛选单元、图像再处理单元和溺水识别单元。本发明能够结合游泳者的动作序列和移动轨迹筛选出所有的游泳异常状态，再综合水波纹特征和动作特征，实现更高精度的溺水判断，有效减轻工作人员的监察负担。</t>
  </si>
  <si>
    <t>一种水上水下计算机视觉综合溺水判断系统</t>
  </si>
  <si>
    <t>KR1020210154927A</t>
  </si>
  <si>
    <t>本发明涉及一种AI系统,PT项目的目的是不用去健身房就可以在家亲自进行PT项目,限制在健身房进行的PT项目中不必要的身体接触。 
  专利公开 10-2021-0154927 公开专利公开 10-2021-0154927 也就是说,本发明是一种数字屏幕,用于在 AI 系统中向用户提供屏幕,并在屏幕的上部中央显示用户的使用状态和移动。数字屏幕:提供生物识别摄像头让用户接收指令,在数字屏幕左上角提供麦克风让用户通过语音发出指令,在数字屏幕右上角提供扬声器解释通过语音方式向用户提供系统,提供电源重量,为数字屏内的操作提供电源,提供显示器,用于在数字屏内加载和提供PT程序,以及可以通过无线通信随时使用的系统数字屏幕其特征在于配置有提供的智能手机。 
  因此,本发明具有能够在不必去健身房的情况下亲自在家进行PT项目并且限制在健身房进行的PT项目中不必要的身体接触的效果。</t>
  </si>
  <si>
    <t>人工智能系统</t>
  </si>
  <si>
    <t>CN114202561A</t>
  </si>
  <si>
    <t>本发明公开了一种长跑运动轨迹异常检测方法，包括获取历史运动轨迹；通过历史运动轨迹建立运动轨迹模型；通过定位设备获取当前运动轨迹；采用静止时间、轨迹偏离距离和运动轨迹模型对当前运动轨迹进行异常检测；定位设备将做出反应，当输出的预测结果显示运动轨迹状态异常时，设备将根据异常类型提示救援人员。本发明利用设定规则和深度学习，解决了设备出现自身定位故障导致的漂移或静止数据等情况下，仅考虑轨迹相似度，难以对运动员异常状况做出正确决策的问题；对运动员的异常检测更准确高效，能够及时对运动员进行异常检测并实施救援，保证了比赛时的安全性。</t>
  </si>
  <si>
    <t>一种长跑运动轨迹异常检测方法</t>
  </si>
  <si>
    <t>CN114298876A</t>
  </si>
  <si>
    <t>本发明公开了一种大型场馆爆炸恐怖袭击风险评估方法，该方法包括基于所述指标体系构建爆炸恐怖袭击风险评估贝叶斯网络模型；所述爆炸恐怖袭击风险评估贝叶斯网络模型包括可能性子贝叶斯网络模型、脆弱性子贝叶斯网络模型、后果子贝叶斯网络模型以及可能性修正子贝叶斯网络模型。采用贝叶斯网络模型，分析体育场馆的安防系统脆弱性、遭受爆炸袭击的可能性、遭受爆炸袭击的后果和结合历史数据后的可能性修正进行建模。对于贝叶斯网络模型中的条件概率分布，分别使用基于专家打分的定性方法（可能性与脆弱性）与基于机器学习的定量方法（后果和可能性修正）进行确定，构造定性与定量方法相结合体育场馆的爆炸恐怖袭击风险评估模型。</t>
  </si>
  <si>
    <t>一种大型场馆爆炸恐怖袭击风险评估方法</t>
  </si>
  <si>
    <t>CN307348899S</t>
  </si>
  <si>
    <t>1.本外观设计产品的名称：带有足球实况快讯软件的图形用户界面的手机。
 2.本外观设计产品的用途：本外观设计产品用于显示和人机交互。
 3.本外观设计产品的设计要点：在于图形用户界面。
 4.最能表明设计要点的图片或照片：主视图。
 5.界面用途：主视图带有足球实况快讯软件的图形用户界面的手机,包括关注、头条、快讯、圈子、足球、论坛、视频；变化状态图1为点击主视图中的“比赛”显示的图像用户界面；变化状态图2为点击变化状态图1的“主球队”显示的图像用户界面；变化状态图3为点击变化状态图2的“比分”显示的图像用户界面；变化状态图4为点击变化状态图3的“数据”显示的图像用户界面；变化状态图5为点击变化状态图3的“数据”后点击“热榜”显示的图像用户界面；变化状态图6为点击主视图中搜索显示的图像用户界面，包括展示最近热门和火爆的话题，下方有浏览记录，圈子，球员排名，球队排名，最下方优先指定热门快讯；变化状态图7为点击主视图中的“头像”显示的图像用户界面；6.图形用户界面的用途：用于足球实况快讯软件（足球快讯APP）的图形用户界面；7.无设计要点，省略后视图、左视图、右视图、俯视图、仰视图。</t>
  </si>
  <si>
    <t>带有足球实况快讯软件的图形用户界面的手机</t>
  </si>
  <si>
    <t>KR1020230065844A</t>
  </si>
  <si>
    <t>根据本公开的各种实施例的使用基于三方和网络之间的非面对面健康信息共享平台的应用程序的系统存储从使用健康信息共享应用程序注册的健身应用程序获得的信息,并传输获得的信息给监护人 从残疾人的电子设备获得的信息,使用残疾人的电子设备传输到监护人的电子设备和卫生专业人员的电子设备,并从电子设备接收各自的意见监护人和健康专家的电子设备,以及健康信息共享应用,以及从残疾人的电子设备获得的信息使用网络接收监护人对从监护人的电子设备获得的信息的意见,并将根据接收到的信息准备的健康专家的意见传送到残疾人的电子设备和监护人的电子设备。它可能包括专业电子设备。</t>
  </si>
  <si>
    <t>基于物联网的三方健康信息共享平台和移动应用程序/网络系统,基于残疾人、监护人和健康专业人员的需求</t>
  </si>
  <si>
    <t>KR1020230083441A</t>
  </si>
  <si>
    <t>利用人工智能的领导力辅导提供系统,通过系统地积累和管理个体服务用户的水平和学习水平差异,提供个性化的培训辅导和反馈,最大限度地发挥领导力辅导教育的效果。 此外,它还提供针对韩国工人优化的辅导服务模式,提供应用、AI、数据库和通知功能,让与客户匹配的教练可以进行便捷有效的辅导。</t>
  </si>
  <si>
    <t>使用人工智能的领导力辅导提供系统和方法</t>
  </si>
  <si>
    <t>IN202141056122A</t>
  </si>
  <si>
    <t>在运动分析中,主要动机是分析团队或个人运动员的表现。 基于分析,分析概念将有助于估计或预测关键见解。 说到球队成绩的分析,主要还是看球队的历史数据。 最重要的是,可以进行分析以估计团队绩效。 在这里,我们使用人工智能模型和相关技术构建了一个运动员个人表现分析系统——SPORTS ANALYTIC SYSTEM (SAS)。 在这个系统中,我们根据多级评分系统 (MLSS) 分析每个运动员的表现。 该 MLSS 融合了多种技术,例如视频分析、基于惯性测量单元 (IMU) 的惯性传感器数据分析,以及用于预测运动员个人表现的人工智能模型。 关键创新是可以使用 OpenSim 软件分析每位运动员的表现,该软件用于分析运动员的完整生物力学。 使用OpenSim软件,提取运动学和动力学数据。 根据数据,分析模型应用并预测了运动员在生物力学方面的表现,例如“在进行特定运动时肌肉如何收缩?”,“关节角度如何变化,特别是在保持某些变化时?”,以及“如何 肌肉能量水平从比赛开始到比赛结束都在变化?” 所有这些关键绩效指标都基于数据进行分析和预测,并预测下一个绩效水平。 这种 SAS 个性化推荐系统可用于评估个人运动员的表现,这将有助于了解每个运动员的健康水平,并间接帮助他们获得巨大的成长潜力。</t>
  </si>
  <si>
    <t>运动分析系统 (SAS):使用人工智能模型对运动员能力进行评估和分析</t>
  </si>
  <si>
    <t>CN216456827U</t>
  </si>
  <si>
    <t>本实用新型涉及体育用品技术领域，尤其是公开了一种沙坑跳远用踩线检测装置，包括控制柜，所述控制柜电连接有压线感应器，所述控制柜后端固定有伸缩支撑杆，所述伸缩支撑杆顶部固定有遮阳罩，所述遮阳罩外表面镶嵌有光伏发电板，所述遮阳罩内表面固定有声光提示器，所述控制柜内部固定有与所述光伏发电板电连接的蓄电池，所述控制柜上端镶嵌有人机交互界面。有益效果在于：结构简单，移动方便，采用太阳能供电，可以在室外不依靠市电即可使用，安装使用方便；通过红外线自动感应，精确度高，在发生踩线后可以自动发出提示，通过机器代替人工判断，准确度高，在踩线后不用对场地进行修复，节省时间。</t>
  </si>
  <si>
    <t>一种沙坑跳远用踩线检测装置</t>
  </si>
  <si>
    <t>WO2023097387A1</t>
  </si>
  <si>
    <t>提供了一种用于处理游戏数据以生成对假设的或真实的未来游戏的预测的系统和方法。 该方法包括接收包括以下至少一项的输入数据:i)一场或多场先前比赛的历史数据,包括得分信息,或ii)一场或多场先前比赛的逐场比赛数据; 将输入数据转换成抽象空间,其中抽象空间提供包含球员和/或球队属性的数字表示的抽象。 该方法还包括使用至少一种机器学习技术将数字表示映射到游戏属性的一个或多个预测中; 提供包括游戏属性的一个或多个预测的输出数据。</t>
  </si>
  <si>
    <t>用于运动和游戏中的球员和团队建模和预测的系统和方法</t>
  </si>
  <si>
    <t>CN114143811B</t>
  </si>
  <si>
    <t>本发明公开了一种基于机器学习的篮球投射过程中的角度智能视觉图像传输方法，包括如下步骤：由服务器生成用于校正篮球投射过程中的角度的图像数据；由服务器将用于校正篮球投射过程中的角度的图像数据发送给基站；响应于接收到用于校正篮球投射过程中的角度的图像数据，由基站在第一下行链路载波上向移动终端发送RRC连接重新配置消息；响应于接收到RRC连接重新配置消息，由移动终端监测第二下行链路载波上发送的第一参考信号以及第三下行链路载波上发送的第二参考信号；由移动终端确定第一参考信号的信号质量是否大于信号质量门限，并由移动终端确定第二参考信号的信号质量是否大于信号质量门限。</t>
  </si>
  <si>
    <t>基于机器学习的篮球投射过程中的角度智能视觉图像传输方法及系统</t>
  </si>
  <si>
    <t>CN307448460S</t>
  </si>
  <si>
    <t>1.本外观设计产品的名称：显示屏幕面板的级联拓扑模块图形用户界面。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设计1主视图为级联拓扑模块的级联概览界面，界面显示纵向链节点和节点详情，视图可拖拽、可放大、可缩小、可“1:1”还原、可开启鼠标缩放模式，用户点击左侧导航栏的箭头按钮，向右弹出窗口，如设计1变化状态图所示，点击弹出窗口的树节点可快速定位到任意节点。
 设计2主视图为级联拓扑模块的级联概览界面，鼠标悬停在非叶子节点上，出现悬浮窗口，悬浮窗口显示该节点的详情，如设计2变化状态图1所示，点击悬浮窗口，进入该节点的详情界面，如设计2变化状态图2所示。
 设计3主视图为级联拓扑模块的节点详情界面，点击左上角面包屑导航可返回上一级，如设计3变化状态图所示。
 设计4主视图为级联拓扑模块的节点详情界面，点击任意节点，右侧弹出窗口，窗口内显示该节点的资源列表，如设计4变化状态图所示。
 设计5主视图为级联拓扑模块的级联概览界面，点击节点右上角的箭头，切换为横向链的节点展示方式，如设计5变化状态图所示，再次点击节点右上角的箭头，可返回设计5主视图。
 设计6主视图为级联拓扑模块的级联概览界面，界面显示纵向链节点和节点详情，视图可拖拽、可放大、可缩小、可“1:1”还原、可开启鼠标缩放模式，用户点击左侧导航栏的箭头按钮，向右弹出窗口，如设计6变化状态图所示，点击弹出窗口的树节点可快速定位到任意节点。
 设计7主视图为级联拓扑模块的级联概览界面，鼠标悬停在非叶子节点上，出现悬浮窗口，悬浮窗口显示该节点的详情，如设计7变化状态图1所示，点击悬浮窗口，进入该节点的详情界面，如设计7变化状态图2所示。
 设计8主视图为级联拓扑模块的节点详情界面，点击左上角面包屑导航可返回上一级，如设计8变化状态图所示。
 设计9主视图为级联拓扑模块的节点详情界面，点击任意节点，右侧弹出窗口，窗口内显示该节点的资源列表，如设计9变化状态图所示。
 设计10主视图为级联拓扑模块的级联概览界面，点击节点右上角的箭头，切换为横向链的节点展示方式，如设计10变化状态图所示，再次点击节点右上角的箭头，可返回设计10主视图。
 7.其他说明：设计6至设计10请求保护色彩。
 8.该显示屏幕面板应用于车辆、计算机、笔记本电脑、平板电脑、手机、智能手表、智能手环、健身监视器、头戴式耳机、个人数字助理（PDA）、智能音箱、电视、机顶盒、投影仪、游戏机或导航仪。</t>
  </si>
  <si>
    <t>显示屏幕面板的级联拓扑模块图形用户界面</t>
  </si>
  <si>
    <t>CN114495256A</t>
  </si>
  <si>
    <t>本发明公开的属于计算机视觉图像识别技术领域，具体为一种基于深度传感器和机器学习的异常跑姿识别方法，包括以下操作步骤：步骤一：通过深度相机采集跑者在跑步机上跑步的深度图像和彩色图像，步骤二：在彩色图像上使用openpose进行人体关节点检测，步骤三：将彩色图像上的人体关节点映射到深度图像上，获得人体三维关节点坐标，本发明能够自动实时识别出跑者的姿态是否存在异常，并实时提醒到跑者，纠正具体错误位置，减少运动损伤发生的概率的效果。</t>
  </si>
  <si>
    <t>一种基于深度传感器和机器学习的异常跑姿识别方法</t>
  </si>
  <si>
    <t>IN202111054429A</t>
  </si>
  <si>
    <t>本发明涉及一种具有健康监测功能的智能拖鞋。 本发明由数据采集系统、数据处理系统和数据传输系统组成。 在本发明中,使用压力传感器在步行、跑步和慢跑等不同活动中收集拖鞋鞋底的压力数据,并利用机器学习算法对数据进行处理以计算总锻炼时间。 在这里,可以使用机器学习算法来区分步行、慢跑和跑步的总时间。</t>
  </si>
  <si>
    <t>具有健康监测功能的智能拖鞋</t>
  </si>
  <si>
    <t>CN307361015S</t>
  </si>
  <si>
    <t>1.本外观设计产品的名称：显示屏幕面板的数据融合图形用户界面。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6.图形用户界面的用途：本图形用户界面用于煤矿领域中各种大数据的融合。
 点击界面中近一周、近一月、近三天、今天按钮，可切换查看不同时间段的数据信息。
 7.设计2请求保护色彩。
 8、该显示屏幕面板应用于车辆、计算机、笔记本电脑、平板电脑、手机、智能手表、智能手环、健身监视器、头戴式耳机、个人数字助理（PDA）、智能音箱、电视、机顶盒、投影仪、游戏机或导航仪。</t>
  </si>
  <si>
    <t>显示屏幕面板的数据融合图形用户界面</t>
  </si>
  <si>
    <t>CN307526736S</t>
  </si>
  <si>
    <t>1.本外观设计产品的名称：显示屏幕面板的数据接入图形用户界面。
 2.本外观设计产品的用途：用于运行程序、信息显示、人机交互。
 3.本外观设计产品的设计要点：在于屏幕中图形用户界面的界面内容。
 4.最能表明设计要点的图片或照片：设计1主视图。
 5.指定设计1为基本设计。
 6.图形用户界面的用途：设计1主视图和设计2主视图为大数据融合共享平台的数据接入界面。
 7.设计2请求保护色彩。
 8.该显示屏幕面板应用于车辆、计算机、笔记本电脑、平板电脑、手机、智能手表、智能手环、健身监视器、头戴式耳机、个人数字助理（PDA）、智能音箱、电视、机顶盒、投影仪、游戏机或导航仪。</t>
  </si>
  <si>
    <t>显示屏幕面板的数据接入图形用户界面</t>
  </si>
  <si>
    <t>CN114139913A</t>
  </si>
  <si>
    <t>本发明提供了一种基于深度学习的重大体育赛事举办城市选址方法，本发明所述训练好的模型可应用在每次需要决策重大体育赛事举办城市选址时，通过机器学习确定，以直接经济收益最大化为导向，确定影响重大体育赛事举办城市选址的各个指标的重要程度，确定权重K’矩阵，并结合TOPSIS分析方法，得出与最理想解最接近同时与最负理想解距离最远的候选地址。本发明所述的基于深度学习的重大体育赛事举办城市选址方法高效地解决了体育赛事举办城市选择时过于依赖主观意见而决策的弊端。</t>
  </si>
  <si>
    <t>基于深度学习的重大体育赛事举办城市选址方法</t>
  </si>
  <si>
    <t>CN114219228A</t>
  </si>
  <si>
    <t>本发明是一种基于EM聚类算法的体育场疏散评价方法，本发明采用K最邻近算法，将新发现的因素合理分类，使得在收集影响疏散因素方面更全面也可以简化庞杂的数据。影响体育场疏散因素指标权重主要以专家预测来决定，具有一定的经验惯性，不够客观，本发明采用PageRank算法加权重，使评价结果具有客观性。面对现在处理体育场疏散评价的算法在实现靠近真实结果时，越复杂，对计算需要时间成本和性能成本高的窘境，本发明提出采用EM聚合算法综合处理数据，即避免使用神经网络使算法复杂，又能高效地得出最优的体育场疏散评价结果。</t>
  </si>
  <si>
    <t>一种基于EM聚类算法的体育场疏散评价方法</t>
  </si>
  <si>
    <t>CN114191771A</t>
  </si>
  <si>
    <t>本发明公开一种锻炼器材和便携式电动化健身设备，锻炼器材包括壳体组件、多个动力组件与固定组件，将第二外壳与第一外壳放在两个平行支撑面之间，为使用者锻炼提供支撑，当将锻炼器材放置在两个竖直面之间，且使得支撑体与竖直面抵接，进而便于固定锻炼器材，当操作者使用时，由于操作者的作用力，在调心器的存在，进而便于保证第一外壳使用时的平衡性，且在将锻炼器材当做拉力器进行锻炼时，操作者能够通过手动操作控制板实现对卷绕机构与导引机构的控制，通过拉动绳索，在卷绕机构的限制下，为拉动提供所需的阻力，达到更好的锻炼效果，且提供人机交互功能，导引机构的存在，使得绳索运动时减少对绳索的磨损。</t>
  </si>
  <si>
    <t>锻炼器材和便携式电动化健身设备</t>
  </si>
  <si>
    <t>CN114235447A</t>
  </si>
  <si>
    <t>本发明提供一种自动开关门测试监测方法,其特征在于,包括以下步骤：预设开关门次数；获取已进行的开关门次数；判断是否已经完成预定的开关门次数；若已经完成预定的开关门次数，则进行主页按键轮询；若没有完成预定的开关门次数，则继续执行开关门操作；且同时同步监控门体状况及工作流程。本发明可在列车开关门测试时实现高效率、高可靠性、无人值守化的工作，大大提高了作业效率，避免在人工值守带来的低效率、费时费精力的问题，同时装置设计的人机交互友好，整体操作简单、方便维护，便于员工快速、有效掌握列车自动开关门测试装置的使用。</t>
  </si>
  <si>
    <t>一种自动开关门测试监测装置及监测方法</t>
  </si>
  <si>
    <t>CN307326864S</t>
  </si>
  <si>
    <t>1.本外观设计产品的名称：带城市网络靶场图形用户界面的显示屏幕面板。
 2.本外观设计产品的用途：用于显示及交互。
 3.本外观设计产品的设计要点：在于图形用户界面。
 4.最能表明设计要点的图片或照片：主视图。
 5.不涉及设计要点，省略显示屏幕面板的后视图、左视图、右视图、俯视图、仰视图。
 6.图形用户界面的用途：本图形用户界面用于仿真城市靶场，将城市级网络靶场不可见/不易理解的网络安全攻防比赛以高度仿真城市级场景的方式展示。
 7.图形用户界面的人机交互方式：主视图为城市级网络靶场的主界面，此界面主要对城市安全场景、关键基础设施态势、城市风险及应急处置进行综合分析展示，界面左侧包括社会服务、能源、交通、政务媒体及其他模块，界面包括城市安全指数、关键基础设施态势、风险指数及应急处置活动指数，界面中间区域为仿真城市3D模型，根据城市安全场景、关键基础设施态势、风险及应急处置进行形动态播放；随着每个场景安全指数的变化转换至变化状态图1所展示的界面，其中3D城市展示界面会根据每个场景安全指数的不同而发生变化，白色为安全、绿色为低危、黄色为中危、橙色为高危、红色为瘫痪；当某个关键基础设施重要系统被攻陷时转换至变化状态图2所展示的界面；当某个关键基础设施重要系统被攻陷后转换至变化状态图3所展示的界面。
 8.该显示屏幕面板用于手机、平板电脑、台式计算机及电子屏幕。</t>
  </si>
  <si>
    <t>带城市网络靶场图形用户界面的显示屏幕面板</t>
  </si>
  <si>
    <t>CN217511055U</t>
  </si>
  <si>
    <t>本实用新型公开一种锻炼器材和便携式电动化健身设备，锻炼器材包括壳体组件、多个动力组件与固定组件，将第二外壳与第一外壳放在两个平行支撑面之间，为使用者锻炼提供支撑，当将锻炼器材放置在两个竖直面之间，且使得支撑体与竖直面抵接，进而便于固定锻炼器材，当操作者使用时，由于操作者的作用力，在调心器的存在，进而便于保证第一外壳使用时的平衡性，且在将锻炼器材当做拉力器进行锻炼时，操作者能够通过手动操作控制板实现对卷绕机构与导引机构的控制，通过拉动绳索，在卷绕机构的限制下，为拉动提供所需的阻力，达到更好的锻炼效果，且提供人机交互功能，导引机构的存在，使得绳索运动时减少对绳索的磨损。</t>
  </si>
  <si>
    <t>IN202111054042A</t>
  </si>
  <si>
    <t>一种交互式腹部锻炼训练装置,包括第一组和第二组圆柱形支架 4,用户在第二组支架 10 内对齐双脚并握住第一组支架 4,与显示单元 1 互连的成像单元 6 生成用户配置文件输入当前体重 和健身目标,包含在支架 10 中的多个传感器 9 检测手臂/腿部的肌肉收缩和健康 10 参数,固定在支架上的一对伸缩臂 3、8 根据传感器 9 和显示单元 1 在初学者中接收的数据支撑用户的手臂 或中间级别,当用户达到正确的姿势时,围绕设备底座配置的吸力模块 5 会产生拉力,并且连接到扬声器 2 的语音识别模块会生成音频命令,计算所执行的组数,还接收增加/减少锻炼组之间的时间间隔的命令 在专家级培训中。</t>
  </si>
  <si>
    <t>交互式腹部运动训练器</t>
  </si>
  <si>
    <t>IN202141053537A</t>
  </si>
  <si>
    <t>人工智能 (AI) 是一组能够实现 . 向人类观察者提供具有模仿人类思维过程能力的计算单元。 它采用一组受自然启发的计算方法来模拟复杂的实际问题,其中数学或传统建模不成功或不可靠。 人工智能基于人脑模型,该模型使用不精确和不完美的信息,根据随着时间的推移获得的经验产生行为反应。 在板球比赛中,裁判会持续监控无球线,这是一个犯规部分。 拟议的工作实施了一个激光距离传感器,它可以在线监测折痕,并且可以使用蓝牙 5.0 将信号无线传输给裁判。</t>
  </si>
  <si>
    <t>基于人工智能的板球场无球检测</t>
  </si>
  <si>
    <t>CN114089647A</t>
  </si>
  <si>
    <t>本发明提供一种智能律动系统及其控制方法，涉及运动器材技术领域，该律动设备包括：控制后台，以及与控制后台通信连接的律动设备和控制设备，控制设备与律动设备分离设置；控制设备用于播放指导动作；获取用户的健身动作和控制意图；根据指导动作和健身动作，生成用户的完成相似度；根据控制意图以及完成相似度，生成律动设备的控制指令；律动设备用于获取控制指令，并根据控制指令，执行相应的动作；控制后台用于与律动设备和控制设备建立通信链路，并传输控制指令以及存储在控制后台中的指导动作。本发明通过应用物联网技术，实现一种分体式的律动设备，可以实现对用户的动作示范和动作纠正，以及律动设备控制等功能。</t>
  </si>
  <si>
    <t>一种智能律动系统及其控制方法</t>
  </si>
  <si>
    <t>US20220092344A1</t>
  </si>
  <si>
    <t>本文描述了一种生成玩家跟踪预测的系统和方法。 计算系统检索体育赛事的广播视频馈送。 计算系统将广播视频馈送分割成统一视图。 计算系统基于多个可跟踪帧生成多个数据集。 计算系统基于身体姿势信息校准与每个可跟踪帧相关联的相机。 计算系统基于多个可跟踪帧和身体姿势信息生成多组短轨迹。 计算系统通过为多个可跟踪帧中的每个玩家生成运动场矢量来连接每组短轨迹。 计算系统使用神经网络基于玩家的运动场矢量来预测玩家的未来运动。</t>
  </si>
  <si>
    <t>用于从广播视频生成玩家跟踪数据的系统和方法</t>
  </si>
  <si>
    <t>CN114446449A</t>
  </si>
  <si>
    <t>本发明公开了一种冰雪运动损伤医院推荐方法，包括：预先构建冰雪运动损伤知识图谱框架；预先构建医疗资源数据库；获取运动员伤病数据；根据所述运动员伤病数据和冰雪运动损伤知识图谱框架获得推荐医院优先顺序；根据所述推荐医院优先顺序和医疗资源数据库获得推荐医院和所述推荐医院对应的专家。采用上述方法，可以对冰雪运动赛场上发生的运动员受伤情况及时做出相应的转运医院及专家推荐。</t>
  </si>
  <si>
    <t>一种冰雪运动损伤医院推荐方法</t>
  </si>
  <si>
    <t>CN216620081U</t>
  </si>
  <si>
    <t>本实用新型公开一种游泳池专用多功能除湿热泵控制系统，其中：包括触摸屏人机界面模块，所述触摸屏人机界面模块与采集单元连接，所述的采集单元设置于泳池内，所述的泳池还设置循环风通道及循环水通道；所述的循环风通道及循环水通道均设有加热装置及制冷装置。本实用新型具有结构简单，除湿加热制冷一体化，人工智能控制，节省人工等优点。</t>
  </si>
  <si>
    <t>一种游泳池专用多功能除湿热泵控制系统</t>
  </si>
  <si>
    <t>WO2022116860A1</t>
  </si>
  <si>
    <t>游泳运动员表现分析系统基于计算机视觉,包括图像处理、目标检测和姿态估计。 它可以捕捉游泳者的图像,识别游泳者的游泳方式,分析游泳者的姿势,同时计算游泳者的速度和身体部位的角度。 然后,将分析的信息反馈给教练或游泳者。</t>
  </si>
  <si>
    <t>游泳运动员成绩分析系统</t>
  </si>
  <si>
    <t>CN116261479A</t>
  </si>
  <si>
    <t>一种基于计算机视觉的游泳者表现分析系统，包括图像处理、目标检测和姿态估计。其能够捕捉游泳者的图像，识别游泳者的游泳方式，分析游泳者的姿势，同时计算游泳者的速度和身体部位的角度。然后，分析的信息被反馈给教练或游泳者。</t>
  </si>
  <si>
    <t>游泳者表现分析系统</t>
  </si>
  <si>
    <t>HK30085213A2</t>
  </si>
  <si>
    <t>US11741645B1</t>
  </si>
  <si>
    <t>电子体育比赛手册和视频注释系统包括具有耦合到处理器的存储器的设备,该存储器存储指令,当由处理器执行时,使得处理器基于坐标或图像数据生成体育比赛手册内容。 处理器被配置为检测表面上的物体(例如,运动员等)(例如,球场图像,或诸如静态比赛图或视频记录帧之类的比赛图像),检测与该物体相关的路径的图。 对象(例如,通过用户输入设备或使用图像处理、机器学习或其他启发式技术等),并确定动作(例如,传球、运球、切入、掩护、切换等) 至少基于对象的属性(例如,玩家是否有球?等)和检测到的与对象相关的路径来与对象相关联。</t>
  </si>
  <si>
    <t>电子竞技手册和视频注释系统</t>
  </si>
  <si>
    <t>US11386330B2</t>
  </si>
  <si>
    <t>机器学习系统包括使用机器学习来帮助学生机器学习系统学习其系统的教练机器学习系统。 通过监控学生学习系统,教练机器学习系统可以学习(通过机器学习技术)学生学习系统的“超参数”,这些“超参数”控制学生学习系统的机器学习过程。 机器学习教练还可以确定学生学习系统架构的结构修改。 学习教练还可以控制到学生学习系统的数据流。</t>
  </si>
  <si>
    <t>机器学习系统的学习教练</t>
  </si>
  <si>
    <t>IN202111052660A</t>
  </si>
  <si>
    <t>一种比赛回顾系统,包括映射有由红外反射颜料形成的线标记定义球场的边界和中心线的球场1,基于AI(人工智能)的热图像捕获模块2映射在杆3上并发出红外辐射 被红外线反射颜料接收并反射回来,其中在球员踩踏颜料时,模块2评估球员犯规,一对压力传感器4位于第一侧和第二侧,用于确定球员的方向运动,同时 用于标记防守球员的追逐者、用于解码追逐者所采取的步进方向并在步进方向不同时生成指示犯规的输出的控制器以及用于显示关于犯规的数据的显示单元5以及与 游戏。</t>
  </si>
  <si>
    <t>游戏评论系统</t>
  </si>
  <si>
    <t>IN202111052914A</t>
  </si>
  <si>
    <t>一种智能接球练习训练系统,包括主体1,配置有人工智能图像捕捉模块2,用于捕捉模块附近的球员的实时图像;显示单元3,安装在主体1上,用于显示有关级别、轮廓和 投球单元4通过球窝关节安装在主体1上,以不同角度将存储在单元4内的球以不同的角度抛射,以提供各种类型的接球练习,制造了多个传感器5、6、7 在运动员佩戴的手套8上,包括但不限于接近传感器6、压力传感器5、冲击传感器7,用于在接球练习期间监测各种生命参数。</t>
  </si>
  <si>
    <t>智能接球练习训练系统</t>
  </si>
  <si>
    <t>CN113926174A</t>
  </si>
  <si>
    <t>本发明公开了一种绕桩运动轨迹分析与计时装置及其分析方法，主要适用于体育竞技的测试计分，所述计分装置包括可移动式的箱体，在箱体上内部容纳有计分测试系统，包括用于人机交互及提示的声音控制模块、处理单元和激光雷达等传输互联用的I/O模块，该系统通过雷达激光雷达跟踪测试者与足球目标，并预测测试者运球绕杆运动轨迹，通过该计分测试系统可以得到测试者的得分，基于该系统，本发明所述的分析方法包括了测试场地雷达辐射区的构建，运动轨迹的评判和障碍物的处理，进一步的提高计分的精准度。</t>
  </si>
  <si>
    <t>一种绕桩运动轨迹分析与计时装置及其分析方法</t>
  </si>
  <si>
    <t>CN216438142U</t>
  </si>
  <si>
    <t>本实用新型公开了一种农业物联网虫害防治管理设备，包括连接件、提升组件、底部设有开口的收纳箱、调节组件以及管理设备本体，所述提升组件安装在连接件下表面一侧，所述收纳箱锁合安装在提升组件底部，所述调节组件安装在收纳箱内。本实用新型利用收纳箱对管理设备本体进行外部收纳保护，避免受到外界冲击受损，通过延伸气缸推动滑板在收纳箱内下移，使得管理设备本体延伸出收纳箱进行检测工作，采用对管理设备本体位置的的活动设置，保证了管理设备本体正常运行的同时可对管理设备本体进行保护，且在防护组件的配合下，使得密封布跟随滑板的进行联动，实现了管理设备本体伸出打开，管理设备本体复位关闭密封保护的效果，整体操作便捷。</t>
  </si>
  <si>
    <t>一种农业物联网虫害防治管理设备</t>
  </si>
  <si>
    <t>CN307407891S</t>
  </si>
  <si>
    <t>1.本外观设计产品的名称：显示屏幕面板的程序操作的图形用户界面。
 2.本外观设计产品的用途：本外观设计产品用于计算机、笔记本电脑、平板电脑、手机、智能手机、手表、智能手表、健身监视器、头戴式耳机、智能音箱、电视、机顶盒、投影仪、激光电视的显示屏幕面板的程序操作和图形用户界面的显示。
 3.本外观设计产品的设计要点：在于屏幕中的图形用户界面的内容。
 4.最能表明设计要点的图片或照片：设计1主视图。
 5.显示屏幕面板为惯常设计，省略其他视图。
 6.指定设计1为基本设计。
 7.图形用户界面的用途：主要内容是通过交互操作根据用户的需求选择不同功能下的选项卡，根据用户喜好选择不同的选项卡和直观显示给用户界面内容。
 8.图形用户界面的人机交互方式：设计1主视图为程序操作的主界面，当用户选择底部的图库功能，界面由设计1主视图变换为设计1界面变化状态图1，默认呈现图片选项卡列表，选择界面中的任一图片选项卡，界面变换至设计1界面变化状态图2，通过选择界面中的按键/图标/图片进入下一界面。
 设计2主视图为程序操作的主界面，当用户选择底部的图库功能，界面由设计2主视图变换为设计2界面变化状态图1，默认呈现视频选项卡列表，选择界面中的任一视频选项卡，界面变换至设计2界面变化状态图2，通过选择界面中的按键/图标/图片进入下一界面。
 设计3主视图为程序操作的主界面，当用户选择底部的特效功能，界面由设计3主视图变换为设计3界面变化状态图1，呈现特效选项卡列表，选择界面中的任一特效选项卡，界面变换至设计3界面变化状态图2，通过选择界面中的按键/图标/图片进入下一界面。
 设计4主视图为程序操作的主界面，当用户选择底部的贴纸功能，界面由设计4主视图变换为设计4界面变化状态图1，呈现贴纸选项卡列表，选择界面中的任一贴纸项卡，界面变换至设计4界面变化状态图2，通过选择界面中的按键/图标/图片进入下一界面。
 设计5主视图为程序操作的主界面，当用户选择底部的智能挂件功能，界面由设计5主视图变换为设计5界面变化状态图1，默认呈现时钟选项卡列表，选择界面中的任一时钟选项卡，界面变换至设计5界面变化状态图2，通过选择界面中的按键/图标/图片进入下一界面。
 其中，界面中“灰色图块”表示为可变图片或视频。</t>
  </si>
  <si>
    <t>显示屏幕面板的程序操作的图形用户界面</t>
  </si>
  <si>
    <t>CN307407892S</t>
  </si>
  <si>
    <t>1.本外观设计产品的名称：显示屏幕面板的图层内容调整的图形用户界面。
 2.本外观设计产品的用途：本外观设计产品用于计算机、笔记本电脑、平板电脑、手机、智能手机、手表、智能手表、健身监视器、头戴式耳机、智能音箱、电视、机顶盒、投影仪、激光电视的显示屏幕面板的图层内容调整的操作和图形用户界面的显示。
 3.本外观设计产品的设计要点：在于屏幕中的图形用户界面的内容。
 4.最能表明设计要点的图片或照片：设计1主视图。
 5.显示屏幕面板为惯常设计，省略其他视图。
 6.指定设计1为基本设计。
 7.图形用户界面的用途：主要内容是通过交互操作根据用户的需求选择不同图层下的编辑功能，根据用户喜好编辑每个图层效果和直观显示给用户界面内容。
 8.图形用户界面的人机交互方式：设计1主视图为程序操作的主界面，当用户选择界面贴近左边的图层按钮，界面由设计1主视图变换为设计1界面变化状态图1，界面中间弹出横向图层列表，滑动横向的图层列表，界面变换至设计1界面变化状态图2，通过选择界面中的按键/图标/图片进入下一界面。
 设计2主视图为程序操作的主界面，当用户选择界面中横向图层列表中的任一小缩略图按钮并拖动，界面由设计2主视图变换为设计2界面变化状态图1，由设计2界面变化状态图1变换至设计2界面变化状态图2，可以改变界面中图片对应的图层前后位置，通过选择界面中的按键/图标/图片进入下一界面。
 设计3主视图、设计4主视图、设计5主视图为程序操作的主界面，通过选择界面中的按键/图标/图片进入下一界面。
 其中，界面中“灰色图块”表示为可变图片，界面中“灰色图块加交叉线”表示为可变图标。</t>
  </si>
  <si>
    <t>显示屏幕面板的图层内容调整的图形用户界面</t>
  </si>
  <si>
    <t>CN307412186S</t>
  </si>
  <si>
    <t>1.本外观设计产品的名称：显示屏幕面板的文字输入操作的图形用户界面。
 2.本外观设计产品的用途：本外观设计产品用于显示信息和交互，该显示屏幕面板应用于计算机、笔记本电脑、平板电脑、手机、智能手机、手表、智能手表、健身监视器、头戴式耳机、智能音箱、电视、机顶盒、投影仪、激光电视。
 3.本外观设计产品的设计要点：在于屏幕中的图形用户界面的内容。
 4.最能表明设计要点的图片或照片：设计2主视图。
 5.显示屏幕面板为惯常设计，省略其他视图。
 6.指定设计2为基本设计。
 7.图形用户界面的用途：主要内容是通过交互操作根据用户的需求选择不同文字的输入操作功能，根据用户喜好选择不同的文字样式效果和直观显示给用户界面内容。
 8.图形用户界面的人机交互方式：设计1主视图为程序操作的主界面，当用户选择界面下部的样式功能，界面由设计1主视图变换为设计1界面变化状态图，默认呈现文字样式功能下相关功能。
 设计2主视图为程序操作的主界面，当用户选择界面下部的样式功能，界面由设计2主视图变换为设计2界面变化状态图1，默认呈现文字样式功能下相关功能，选择设计2界面变化状态图1的预设效果中任一效果按钮，界面变换至设计2界面变化状态图2。
 设计3主视图为程序操作的主界面，当用户选择界面下部的样式功能，界面由设计3主视图变换为设计3界面变化状态图1，默认呈现文字样式功能下相关功能，拖动设计3界面变化状态图1的字号进度点，界面变换至设计3界面变化状态图2。
 设计4主视图为程序操作的主界面，当用户选择界面下部的样式功能，界面由设计4主视图变换为设计4界面变化状态图1，默认呈现文字样式功能下相关功能，拖动设计4界面变化状态图1的透明度的进度点，界面变换至设计4界面变化状态图2。</t>
  </si>
  <si>
    <t>显示屏幕面板的文字输入操作的图形用户界面</t>
  </si>
  <si>
    <t>CN307412188S</t>
  </si>
  <si>
    <t>1.本外观设计产品的名称：显示屏幕面板的程序操作的图形用户界面。
 2.本外观设计产品的用途：本外观设计产品用于计算机、笔记本电脑、平板电脑、手机、智能手机、手表、智能手表、健身监视器、头戴式耳机、智能音箱、电视、机顶盒、投影仪、激光电视的显示屏幕面板的程序操作和图形用户界面的显示。
 3.本外观设计产品的设计要点：在于屏幕中的图形用户界面的内容。
 4.最能表明设计要点的图片或照片：主视图。
 5.显示屏幕面板为惯常设计，省略其他视图。
 6.图形用户界面的用途：主要内容是通过交互操作根据用户的需求选择不同的功能，并直观显示给用户界面内容。
 7.图形用户界面的人机交互方式：主视图为程序操作的主界面，当用户选择主视图右上角的管理功能，界面由主视图变换为界面变化状态图1，显示管理界面，选择界面变化状态图1的个性墙面功能，界面变换为界面变化状态图2，呈现个性墙面的选项卡，选择其中一个选项卡，界面变换为界面变化状态图3，通过选择界面中的按键或图片进入下一界面。
 其中，界面中“灰色图块”表示为可变图片。</t>
  </si>
  <si>
    <t>CN307412187S</t>
  </si>
  <si>
    <t>1.本外观设计产品的名称：显示屏幕面板的背景选择的图形用户界面。
 2.本外观设计产品的用途：本外观设计产品用于计算机、笔记本电脑、平板电脑、手机、智能手机、手表、智能手表、健身监视器、头戴式耳机、智能音箱、电视、机顶盒、投影仪、激光电视的显示屏幕面板的背景选择的操作和图形用户界面的显示。
 3.本外观设计产品的设计要点：在于屏幕中的图形用户界面的内容。
 4.最能表明设计要点的图片或照片：主视图。
 5.显示屏幕面板为惯常设计，省略其他视图。
 6.图形用户界面的用途：主要内容是通过交互操作根据用户的需求选择不同的界面背景，通过遥控操作直观显示给用户界面内容。
 7.图形用户界面的人机交互方式：主视图为默认界面背景的主界面，当用户根据界面提示遥控选择操作，选择遥控的向下键，界面由主视图变换为界面变化状态图1，向下唤醒更多主题，根据界面变化状态图1的遥控提示，选择遥控的右键，界面由界面变化状态图1变换为界面变化状态图2，根据界面变化状态图2的遥控提示，选择遥控的OK键，界面由界面变化状态图2变换为界面变化状态图3，呈现选定的主题背景。
 其中，界面中“灰色图块”表示为可变图片或视频。</t>
  </si>
  <si>
    <t>显示屏幕面板的背景选择的图形用户界面</t>
  </si>
  <si>
    <t>CN114047974A</t>
  </si>
  <si>
    <t>本申请提供一种物联网设备配置方法、装置、配置终端及存储介质，涉及设备配置技术领域。该物联网设备配置方法包括：在配置界面中的第一区域内显示串口列表，根据针对串口列表输入的串口选择操作，确定串口选择操作所选中的串口标识指示的串口为选定串口，选定串口后，通过选定串口建立与选定串口连接的目标物联网设备之间的通信连接。在通信连接建立完成的情况下，在第二区域内显示配置区域，并根据通过配置区域输入的设备配置信息，通过通信连接向目标物联网设备下发配置指令，以对目标物联网设备进行配置。从而实现对配置界面的优化、引导整体操作流程。</t>
  </si>
  <si>
    <t>物联网设备配置方法、装置、配置终端及存储介质</t>
  </si>
  <si>
    <t>US20220157456A1</t>
  </si>
  <si>
    <t>数字健康平台被配置为向用户提供对健康和健康教育和数据的访问,并促进用户与健康和健康从业者的交互和/或虚拟指导。 该平台可以包括一个人工智能虚拟 AI 教练,该教练被配置为响应用户输入(例如,用户对问题或提示的响应)向用户提供合适的陈述和/或建议。 在一些示例中,平台包括被配置为基于用户数据和/或任何其他合适的数据得出见解的分析。 在一些示例中,该平台提供与健康的心理、身体、精神、社会、环境和经济维度相关的信息和服务。</t>
  </si>
  <si>
    <t>综合医疗平台</t>
  </si>
  <si>
    <t>KR102463077B1</t>
  </si>
  <si>
    <t>本发明涉及一种人工智能智能辅导系统和方法,用于向用户辅导各种有用的内容。 
  为此,本发明提供了一种人工智能智能辅导系统,用于为用户辅导各种有用的内容,结构化数据包括学生学习数据、评估数据和卡尺数据、辅导数据、聊天机器人数据和图像数据,以及用户终端将包括日志数据在内的非结构化数据传输到智能教练服务器,智能教练服务器基于结构化数据和非结构化数据向用户提供智能教练。</t>
  </si>
  <si>
    <t>用于向用户指导各种有用内容的人工智能智能指导系统和方法</t>
  </si>
  <si>
    <t>US11586840B2</t>
  </si>
  <si>
    <t>本文提供了一种在广播视频提要中重新识别玩家的系统和方法。一个计算系统检索体育赛事的广播视频供稿。广播视频提要包括多个视频帧。计算系统基于多个视频帧生成多个轨道。每个曲目都包含至少一个玩家相关的多个图像补丁。多个图像贴片的每个图像贴片都是视频帧的相应帧的子集。对于每个轨道,计算系统都会生成图像贴片。在画廊的每个图像补丁中可见每个玩家的球衣号码。计算系统通过卷积自动编码器匹配跨画廊的轨道。计算系统通过神经网络测量每个匹配的轨道的相似性得分,并根据测量的相似性将两个轨道关联。</t>
  </si>
  <si>
    <t>广播视频中播放器重新识别的系统和方法</t>
  </si>
  <si>
    <t>IN202141052138A</t>
  </si>
  <si>
    <t>我们发明的基于物联网的智能设备使用RFID的不止一个停车可用通知是为政府机构、工程学院、教练校园、大学、百货商店和医院等大量人群提供服务,解决停车位不足的问题。 本发明的目的是利用射频识别和物联网开发一种用于智能停车场的4G、5G移动应用程序,该应用程序可以检测可用停车位,从而为人们节省时间和其他事情。 还提供了 4-G、5-G 移动应用程序,允许最终用户检查停车位的可用性并相应地预订停车位,还描述了系统架构和系统工作的高级视图 以用例的形式证明所提出模型的正确性。 例如:Bick 车内配置的汽车物联网 (IoT) 设备包括:Wi-Fi 无线通信接口,用于对高级移动设备进行信号强度测量,信号强度测量值包括信号强度值和信号强度 学习分析和通知单元分析来自移动设备的信号强度值,以确定用户何时将他或她的移动设备留在家中或另一个本地位置,并相应地向用户生成通知。</t>
  </si>
  <si>
    <t>基于物联网的智能设备 使用 RFID 的多个停车可用通知</t>
  </si>
  <si>
    <t>CN114100065A</t>
  </si>
  <si>
    <t>本申请涉及智能单车技术领域，公开了一种涉及单车的物联网控制方法、装置及系统，该方法包括：获取单车的转弯数据信息和速度数据信息；基于单车的转弯数据信息，发送转弯调节指令给小车，小车接收并且响应于转弯指令，在预设范围内调节移动方向；基于单车的速度数据信息，发送速度调节指令给小车，小车接收并且响应于速度调节指令，在预设范围内调节移动速度，本申请具有提高健身人员与小车之间的互动性，从而提高健身的积极性的效果。</t>
  </si>
  <si>
    <t>一种涉及单车的物联网控制方法、装置及系统</t>
  </si>
  <si>
    <t>US20220143467A1</t>
  </si>
  <si>
    <t>一种使用传感器和深度神经网络根据用户在跑步机上的移动来控制跑步机的方法和系统。 收集训练数据以提高各种典型和非典型跑步机活动的性能,以提供用于训练神经网络以完成控制跑步机任务的数据。 该方法和系统包括当用户在跑步机上时获得用户运动和位置数据的一个或多个传感器。 命令单元 (CU) 存储预训练的神经网络并接收由一个或多个传感器获得的用户移动和位置数据。 CU 根据从传感器接收并通过预训练神经网络处理的实时数据确定提供给跑步机的运动命令。 控制跑步机电机功率的运动控制处理器 (MCP) 接收从 CU 发送的命令数据,并根据与推断的用户运动相关的运动命令数据控制跑步机的功能。</t>
  </si>
  <si>
    <t>单向或多向跑步机的自动控制</t>
  </si>
  <si>
    <t>CN308059178S</t>
  </si>
  <si>
    <t>1.本外观设计产品的名称：显示屏幕面板的设备列表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设计1主视图至设计3主视图为设备列表界面，列表内同时显示设备的状态。设计4主视图为显示搜索框的设备列表界面。7.其他需要说明的情形其他说明：本显示屏幕面板应用于手机、计算机、笔记本电脑、平板电脑、智能手表、智能手环、健身监视器、头戴式耳机、个人数字助理（PDA）、智能音箱、电视、机顶盒、投影仪、游戏机或导航仪、车辆。</t>
  </si>
  <si>
    <t>显示屏幕面板的设备列表图形用户界面</t>
  </si>
  <si>
    <t>CN307310230S</t>
  </si>
  <si>
    <t>1.本外观设计产品的名称：显示屏幕面板的信息交互操作的图形用户界面。
 2.本外观设计产品的用途：本外观设计产品用于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激光电视的显示屏幕面板的信息交互操作及显示图形用户界面。
 3.本外观设计产品的设计要点：在于屏幕中的图形用户界面的内容。
 4.最能表明设计要点的图片或照片：设计1主视图。
 5.显示屏幕面板为惯常设计，省略其他视图。
 6.指定设计1为基本设计。
 7.图形用户界面的用途：主要内容是提供个性化信息显示功能，通过人机交互实现信息操作的目的。
 8.图形用户界面的人机交互方式：设计1主视图至设计9主视图为显示屏幕面板的信息交互的主界面，可呈现家庭各个操作模块卡片的信息，用户可通过语音/遥控/触控操作选择想要查看的信息，例如说“小T，小T”唤醒智能语音助手并说明想要前往的卡片，选择界面中任一图片/数字/图标，界面跳转至下一界面；其中，界面中“灰色图块”表示为可变图片。</t>
  </si>
  <si>
    <t>显示屏幕面板的信息交互操作的图形用户界面</t>
  </si>
  <si>
    <t>CN114049590A</t>
  </si>
  <si>
    <t>本发明涉及一种基于视频的跳台滑雪运动分析方法，包括：获取跳台滑雪运动的视频数据：分别构建运动员和滑雪板检测网络模型、关键节点检测网络模型；分别训练运动员和滑雪板检测网络模型、关键节点检测网络模型；预测运动员和滑雪板图像的关键节点；进行滑雪运动员的运动分析。本发明的数据获取较为简单，通过在跳台滑雪场地正确合理布置多台高速摄影相机并进行标定，捕获视频数据；本发明通过建立一个跳台滑雪数据集，利用深度学习的方法实现运动员和滑雪板关键节点的自动检测，替代传统的人工标注方式，节省人力物力；本发明通过对跳台滑雪运动员和滑雪板的关键点的检测，用来分析运动员的姿态和运动学参数，辅助滑雪运动员的训练。</t>
  </si>
  <si>
    <t>一种基于视频的跳台滑雪运动分析方法</t>
  </si>
  <si>
    <t>WO2022103853A1</t>
  </si>
  <si>
    <t>一种投注现场体育赛事结果的系统。 该系统还包括使用人工智能来平衡自己将失去多少赌注,以鼓励游戏玩家下注更多,最终赢得更多利润并获得更大的游戏玩家用户群。 由于更大的市场份额,这允许系统减少即时利润以换取长期利润。</t>
  </si>
  <si>
    <t>ai体育博彩算法引擎</t>
  </si>
  <si>
    <t>CN308059177S</t>
  </si>
  <si>
    <t>1.本外观设计产品的名称：显示屏幕面板的参数设置图形用户界面。2.本外观设计产品的用途：用于运行程序、信息显示、人机交互。3.本外观设计产品的设计要点：在于屏幕中图形用户界面的界面内容。4.最能表明设计要点的图片或照片：设计1主视图。5.指定设计1为基本设计。6.图形用户界面的用途：设计1主视图和设计5主视图为睡眠风运行界面，用户在界面上滑可查看更多信息，如设计1界面变化状态图和设计5界面变化状态图所示，用户可根据界面提示进行相关操作。设计2主视图和设计6主视图为通讯异常提醒界面，用户在界面上滑可查看更多信息，如设计2界面变化状态图和设计6界面变化状态图所示，用户可根据界面提示进行相关操作。设计3主视图和设计7主视图为自然风运行界面，用户在界面上滑可查看更多信息，如设计3界面变化状态图和设计7界面变化状态图所示，用户可根据界面提示进行相关操作。设计4主视图和设计8主视图为关机界面，用户在界面上滑可查看更多信息，如设计4界面变化状态图和设计8界面变化状态图所示，用户可根据界面提示进行相关操作。7.其他需要说明的情形其他说明：设计5至设计8要求保护色彩。本显示屏幕面板应用于手机、计算机、笔记本电脑、平板电脑、智能手表、智能手环、健身监视器、头戴式耳机、个人数字助理（PDA）、智能音箱、电视、机顶盒、投影仪、游戏机或导航仪、车辆。</t>
  </si>
  <si>
    <t>显示屏幕面板的参数设置图形用户界面</t>
  </si>
  <si>
    <t>WO2022099178A1</t>
  </si>
  <si>
    <t>本发明是一种引擎,它允许对于“在场”或单人投注游戏中的任何游戏,计算“基本赔率”(通过使用历史数据库挖掘计算)和至少一个更多赔率制定公式来计算赔率 现场赛事中单场比赛的至少一个结果,跨越至少两个不同的赔率,制定公式来创建交叉赔率。 然后利用人工智能将交叉赔率与计算赔率的类似历史比赛的最终赔率相关联。 然后在知道比赛结果后利用机器学习将每个赔率制定公式产生的赔率与之前类似比赛计算的最有利可图的赔率相关联。</t>
  </si>
  <si>
    <t>CN114035684A</t>
  </si>
  <si>
    <t>本公开提供了用于输出信息的方法和装置，涉及人工智能领域，尤其涉及智能镜领域。具体实现方案为：响应于接收到进入目标场景的指令，输出目标场景的画面；获取用户动作图像；识别出用户动作图像中的骨骼关键点，并根据骨骼关键点确定出用户的动作；将动作与目标场景的操作映射表进行匹配，其中，操作映射表用于表征用户的动作和目标对象的操作的对应关系；控制目标对象执行匹配成功的操作。该实施方式利用智能镜实现了健身功能。</t>
  </si>
  <si>
    <t>用于输出信息的方法和装置</t>
  </si>
  <si>
    <t>IN202111050931A</t>
  </si>
  <si>
    <t>一种足球训练系统,包括安装有触摸交互显示面板2的可穿戴手环1,访问面板2以选择初级、中级和专家级,全息投影仪7用于传授足球的虚拟全息投影4 、 队友和对手根据选择的级别,人工智能启用的图像捕捉模块6,用于捕捉用户的多张图像以确定适当的姿势,如果发现确定的姿势不正确,则面板2显示纠正姿势 ,多个传感器9,10和11用于检测由微控制器处理的不同类型的参数,通过将参数与检测到的距离进行比较,如果发现参数不理想,则投影仪7重新进行全息投影 足球 4 和微控制器指示面板 2 显示校正参数。</t>
  </si>
  <si>
    <t>足球训练系统</t>
  </si>
  <si>
    <t>IN202111050921A</t>
  </si>
  <si>
    <t>本发明涉及一种多级保龄球训练装置,包括:保龄球台1,包括用于检测运动员身体姿势的基于人工智能的成像单元2;佩戴在运动员手腕上的集成有多个传感器9、10和11的便携式身体8; FBG传感器12安装在机身8上,微控制器与平台1和多个传感器通过通信模块连接,一组滑块4与电动滚轮5耦合以完成层的缠绕和解开以改变轨道长度,磁流变 流体容器6与电磁模块和多个喷嘴7耦合,以便在层间填充流体并使流体处于坚硬状态,显示单元3安装在平台1上以提示玩家正确的保龄球指导。</t>
  </si>
  <si>
    <t>多级保龄球训练器</t>
  </si>
  <si>
    <t>IN202111050818A</t>
  </si>
  <si>
    <t>一种多级体操设备包括一个平坦的基础平台1,与框架相关联,该框架具有两个金属环2,通过多个水平条3相互平行排列以对齐用户的脚步,基于AI(人工智能)的成像单元4并入 用于检测用户身体姿势的框架,与集成在一个金属环上的第一传感器5连接,用于检测用户的生命参数,第二传感器6安装在每个水平杆3中,用于感应夹持压力,多个电磁模块 图7结合在环2和平台1中,与微控制器连接,用于控制框架在平台上的速度,显示单元8安装在框架上,由微控制器操作,用于显示校正的身体姿势的图像和 关于夹持压力的说明。</t>
  </si>
  <si>
    <t>多级体操器</t>
  </si>
  <si>
    <t>WO2022098987A1</t>
  </si>
  <si>
    <t>一种投注现场体育赛事结果的系统。 该系统包括一个基于人工智能的流程,该流程将在用户感兴趣的投注可用时通知用户。 这些通知可用于驱使用户在存在不平衡投注的情况下进行投注,以降低投注提供者的风险。</t>
  </si>
  <si>
    <t>US20220314072A1</t>
  </si>
  <si>
    <t>本文公开了一种用于使用锻炼机为用户生成锻炼会话的方法。 该方法包括接收多个输入,其中多个输入包括用户疼痛程度的指示和用户身体部分的运动范围。 该方法还包括基于多个输入确定用户的锻炼水平,使用机器学习模型通过基于用户的锻炼水平选择一个或多个锻炼来为用户生成锻炼会话 由用户使用锻炼机来执行,并引起锻炼机上锻炼会话的开始,并且虚拟教练由与锻炼机相关联的计算设备执行以提供与锻炼会话有关的指令。</t>
  </si>
  <si>
    <t>根据人工智能、运动计划和用户反馈调整运动</t>
  </si>
  <si>
    <t>ZA202108568B</t>
  </si>
  <si>
    <t>本发明公开了一种人工智能识别运动轨迹的数据分析方法及系统,包括以下步骤:人工智能处理单元获取体育赛事信息,传感器单元获取场地的三维信息,其中人工智能处理单元识别运动轨迹。 三维信息获取对象信息,根据对象信息获取对应的体育赛事信息; AI处理单元根据赛事信息设置场地的计分块,AI处理单元根据赛事信息获取计分规则; AI处理单元获取运动轨迹,AI处理单元根据运动轨迹、计分规则和计分块向终端输出得分。 与现有技术相比,本发明具有以下优点:通过AI处理单元和传感器单元的配合,可以有效地将运动员在运动过程中的运动轨迹数字化,通过AI处理单元代替人工来判断成绩。 score,有效降低评分误差,适用性好,易于推广。</t>
  </si>
  <si>
    <t>一种AI识别运动轨迹的数据分析方法及系统</t>
  </si>
  <si>
    <t>CN114023005B</t>
  </si>
  <si>
    <t>本发明提供一种基于物联网的体育教学用品管理系统，包括体育用品借还柜以及与该体育用品借还柜对应控制器相连的物联网模块、界面显示模块，在借取体育用品时，用户首先通过移动终端向远程控制平台进行体育用品借取预约，然后利用其移动终端扫描所述界面显示模块上的借取二维码信息，此后用户移动终端将包括该用户身份信息的借取请求发送给所述远程控制平台，所述远程控制平台在核对用户的身份信息合法后，通过该物联网模块向该控制器发送对应借取指令，该控制器在接收到对应借取指令后，控制该体育用品借还柜进行对应的操作，以将对应数量的体育用品提供给用户。本发明提高了体育用品管理效率以及借还记录准确性。</t>
  </si>
  <si>
    <t>一种基于物联网的体育教学用品管理系统</t>
  </si>
  <si>
    <t>CN307234993S</t>
  </si>
  <si>
    <t>1.本外观设计产品的名称：带高尔夫数据记录的图形用户界面的屏幕面板。
 2.本外观设计产品的用途：用于运行程序，该显示屏幕面板用于手机。
 3.本外观设计产品的设计要点：在于屏幕中的图形用户界面的界面内容。
 4.最能表明设计要点的图片或照片：主视图。
 5.为惯常设计，省略后视图、左视图、右视图、俯视图、仰视图。
 6.图形用户界面的用途：屏幕中的图形用户界面的界面内容为，用于高尔夫比赛记录数据的SG计分小程序的人机交互界面。
 人机交互：点选主视图的各项按钮可分别进入变化状态图1、变化状态图2、变化状态图3、变化状态图4、变化状态图5、变化状态图6、变化状态图7、变化状态图8进入相应的界面，实现人机交互。
 点选主视图序列栏中的S1、S2、S3、S4的输入框，可进入变化状态图1，点选变化状态图1中下方落点按键选项时，相应的输入框会根据GPS定位填充数据，点选GPS定位填充数据输入框，进入到变化状态图2，可自行输入数据；点选主视图姓名输入框后的数字框，进入到变化状态图3；点选主视图姓名后空的输入框，可跳转到变化状态图4；点选主视图左上角&amp;nbsp;HOLE17菜单栏,可跳转到变化状态到图5；点选主视图右上角导航栏按键，可跳转到变化状态图6;点选变化状态图6中&amp;nbsp;SG&amp;nbsp;Ranking按键与Hole&amp;nbsp;By&amp;nbsp;Hole按键，可分别跳转到变化状态图7与变化状态图8中。
 在点选屏幕中按键时，可完成高尔夫比赛记录数据的功能。</t>
  </si>
  <si>
    <t>带高尔夫数据记录的图形用户界面的屏幕面板</t>
  </si>
  <si>
    <t>CN113730885A</t>
  </si>
  <si>
    <t>本发明公开了一种基于OpenMV的羽毛球捡拾系统、方法、载体，涉及体育器械领域，其技术方案要点是，包括联系各个模块并做数据处理的主控芯片模块、用于羽毛球头部识别的图像识别模块、电机驱动模块、显示模块、用于电源转换的第一电源模块、用于给图像识别模块供电的第二电源模块、用于捡拾羽毛球的夹持模块，技术效果为图像识别模块可对羽毛球进行识别，传输给主控芯片模块进行数据处理，主控芯片模块通过无线通信控制电机驱动模块执行PWM输出轮子方向与速度，主控芯片模块通过IIC通信协议控制显示屏模块显示当前工作状态与参数，最终通过控制夹持收集模块完成对羽毛球的捡拾收集。</t>
  </si>
  <si>
    <t>一种基于OpenMV的羽毛球捡拾系统、方法、载体</t>
  </si>
  <si>
    <t>KR1020230063954A</t>
  </si>
  <si>
    <t>根据本发明的使用游戏化的基于人工智能的运动指导装置包括拍摄单元,用于通过拍摄进行运动的用户来生成运动图像; 从运动图像中生成代表用户关节运动的关节运动数据,基于关节运动数据生成代表用户身体健康水平的用户体力信息, 相应地,处理器用于生成用于管理健康水平的健身指导信息; 可能包括。</t>
  </si>
  <si>
    <t>CN113971693A</t>
  </si>
  <si>
    <t>本发明实施例涉及计算机视觉技术领域，公开了一种直播画面生成方法、系统、装置及电子设备。该方法包括：获取包含目标运动员的当前运动画面；确定所述目标运动员在所述当前运动画面中的位置及头部旋转角；根据所述目标运动员在所述当前运动画面中的位置及头部旋转角，确定所述目标运动员在三维全景画面中的位置及视角；根据所述目标运动员在所述三维全景画面中的位置及视角，生成模拟所述目标运动员第一人称视角的直播画面。通过上述方式，本发明实施例提高了视频直播的用户体验。</t>
  </si>
  <si>
    <t>直播画面生成方法、系统、装置及电子设备</t>
  </si>
  <si>
    <t>CN114007136A</t>
  </si>
  <si>
    <t>本发明实施例涉及计算机视觉技术领域，公开了一种射击比赛的直播画面生成方法、系统、装置及电子设备。该方法包括：获取以水平视角采集的射击靶画面；获取对射击运动员的枪杆的三维扫描结果；根据所述三维扫描结果及所述射击靶画面，生成模拟所述射击运动员的第一人称视角的直播画面。通过上述方式，本发明实施例提高了射击比赛直播画面的观看体验。</t>
  </si>
  <si>
    <t>射击比赛的直播画面生成方法、系统、装置及电子设备</t>
  </si>
  <si>
    <t>CN114067427A</t>
  </si>
  <si>
    <t>本发明提供了一种蛇形跑考核方法及系统，该方法包括发送起跑指令并记录开始时间戳；实时获取跑步考核区域的图像信息；将跑步考核区域的图像信息输入至预先训练的深度卷积神经网络模型，以识别所包含的转弯标志杆和/或跑步测试人员；如果识别到跑步考核区域的图像信息中同时包含转弯标志杆和跑步测试人员，则获取转弯标志杆与所述跑步测试人员的相对位置信息；如果转弯标志杆与所述跑步测试人员的相对位置信息满足预设转弯条件，则更新转弯次数；如果转弯次数等于预设转弯次数阈值，则根据开始时间戳和冲刺时间戳计算得到跑步成绩，该方法实现了蛇形跑的自动化测试，测试效率高且出错率低。</t>
  </si>
  <si>
    <t>蛇形跑考核方法、系统、电子设备及存储介质</t>
  </si>
  <si>
    <t>US20220139187A1</t>
  </si>
  <si>
    <t>一种用于检测水体中遇险人员的游泳护具保护系统,包括一个或多个针对水体的传感器、配置为在检测到人员遇险时发出声音警报的警报系统以及计算设备 与一个或多个传感器和警报系统电通信。 计算设备被配置为执行深度学习算法,该算法检测指示人在水体中遇险的事件。 典型地,计算设备还被配置成向警报系统发送触发器以在检测到这样的事件时提供音频警报。</t>
  </si>
  <si>
    <t>泳卫保护系统</t>
  </si>
  <si>
    <t>CN307511459S</t>
  </si>
  <si>
    <t>1.本外观设计产品的名称：用于显示屏幕面板的显示运动监测参数的图形用户界面。
 2.本外观设计产品的用途：显示图形用户界面的内容，以实现人机交互。
 3.本外观设计产品的设计要点：在于图形用户界面。
 4.最能表明设计要点的图片或照片：设计1主视图。
 5.指定设计1为基本设计。
 6.图形用户界面的用途：本外观设计的图形用户界面用于利用工具、图形和/或按钮来显示用户界面，以通过用在运动器械上的显示屏幕面板监测运动状况。
 7.图形用户界面的人机交互方式：（1）点击“设计1主视图”的界面的下侧/左侧部分的控件/按钮，以实现监测距离的功能，该距离以千米或英里为单位；（2）点击“设计1参考图1”的界面的下侧/左侧部分的控件/按钮，以实现监测距离的功能，该距离以千米为单位；（3）点击“设计1参考图2”的界面的下侧/左侧部分的控件/按钮，以实现监测距离的功能，该距离以英里为单位；（4）点击“设计2主视图”的界面的上侧/左侧部分的控件/按钮，以实现监测距离的功能，该距离以千米或英里为单位；（5）点击“设计2参考图1”的界面的上侧/左侧部分的控件/按钮，以实现监测距离的功能，该距离以千米为单位；（6）点击“设计2参考图2”的界面的上侧/左侧部分的控件/按钮，以实现监测距离的功能，该距离以英里为单位；（7）点击“设计3主视图”的界面的下侧/左侧部分的控件/按钮，以实现监测距离的功能，该距离以千米为单位；（8）点击“设计3参考图”的界面的下侧/左侧部分的控件/按钮，以实现监测距离的功能，该距离以千米为单位；（9）点击“设计1参考图3”的界面的下侧/左侧部分的控件/按钮，以实现监测距离的功能，该距离以千米为单位；（10）点击“设计1参考图4”的界面的下侧/左侧部分的控件/按钮，以实现监测距离的功能，该距离以千米为单位。
 8.本外观设计的显示屏幕面板可应用于运动器械，如室内运动自行车、跑步机或划船机。</t>
  </si>
  <si>
    <t>用于显示屏幕面板的显示运动监测参数的图形用户界面</t>
  </si>
  <si>
    <t>CN113903070A</t>
  </si>
  <si>
    <t>本发明公开了一种用于体育测试的引体向上自动监测设备，具体涉及体测自动检测技术领域，包括主控模块、摄像头、肢体动作检测模块、成绩判定模块和材料固化模块；摄像头用于拍摄考生的引体向上的过程，并整个录像实时传给肢体动作检测模块；肢体动作检测模块使用图像识别技术查看摄像头上传的视频帧图像，识别出考生的关节，将一个个帧图像的关节位置按时间进行记录，形成一个关节运动轨迹；成绩判定模块用于通过关节运动轨迹和引体向上的规则判定考生的动作是否合规以及单位时间内完成的数量。本发明通过区块链保证成绩数据可信，保证了运动视频和考生关节轨迹数据不被篡改，对后期复查也提供了可靠的依据。</t>
  </si>
  <si>
    <t>一种用于体育测试的引体向上自动监测设备</t>
  </si>
  <si>
    <t>CN113961955A</t>
  </si>
  <si>
    <t>本发明公开基于移动互联应用的变电智能倒闸操作票管理系统，包括：展现管理层，用于对业务页面、实物ID微应用的框架进行展示和交互；服务交互层，用于提供服务接口支持，包括运行浏览器中的通信客户端和运行于服务端的服务接入点；业务逻辑层，用于提供业务逻辑服务及进行对象统一管理，其中业务逻辑服务包括标准逻辑组件、业务逻辑组件和公共服务代理；数据存储层，用于提供数据存储及数据访问。本发明通过利用互联网+物联网技术，有效减少安全事故的发生，通过智能分析模块有效指导人员、变电站巡视、倒闸操作的统计管理，对班组人员整体操作工作量量化分析。</t>
  </si>
  <si>
    <t>基于移动互联应用的变电智能倒闸操作票管理系统</t>
  </si>
  <si>
    <t>CN113707271B</t>
  </si>
  <si>
    <t>本发明涉及智能健身技术领域，具体涉及一种基于人工智能和大数据的健身方案生成方法及系统。方法包括：根据健身人员对应的第一训练数据和第一训练数据对应的标签数据，对第一神经网络进行训练；将健身人员对应的第二训练数据输入第一神经网络中获取第二训练数据对应的第二类别标签并得到各种动作的健身动作视觉敏感度，从而利用第二训练数据和健身动作视觉敏感度对健身动作视角不变性度量网络进行训练；最后利用训练好的健身动作视角不变性度量网络得到不同健身目的对应的有向图数据，以此得到各健身目的对应的健身方案。本发明根据大数据中与用户有相同健身目的的健身人员的健身方案为用户生成健身方案，能够提高用户的健身效果。</t>
  </si>
  <si>
    <t>基于人工智能和大数据的健身方案生成方法及系统</t>
  </si>
  <si>
    <t>CN215934153U</t>
  </si>
  <si>
    <t>本实用新型公开了一种基于物联网的电力配电柜，包括配电柜本体和下支座，下支座上端一侧安装有立架，立架和下支座之间转动安装有丝杆，丝杆上螺纹安装有滑座，配电柜本体固定安装在滑座两侧，丝杆下端通过齿轮组传动连接有传动杆，传动杆一端安装有调节手柄，下支座下侧安装有下支脚，下支脚下侧通过减震机构安装有滑轮，本实用新型通过将配电柜本体固定安装在滑座两侧，滑座螺纹安装在下支座上部的丝杆上，丝杆下端通过齿轮组传动连接有传动杆和调节手柄，使得通过旋转调节手柄从而能够对丝杆进行旋转调节，从而能够调节配电柜本体的使用高度，满足不同高度的配电柜本体操作使用，便于更好的进行检修和防护处理。</t>
  </si>
  <si>
    <t>一种基于物联网的电力配电柜</t>
  </si>
  <si>
    <t>CN114138844A</t>
  </si>
  <si>
    <t>本发明提供了一种滑雪培训方法、装置、电子设备及存储介质。在本申请中，在用户在滑雪机上进行滑雪培训的情况下，终端控制摄像头采集滑雪机所在方位的第一图像，第一图像中包括滑雪机以及位于滑雪机的滑雪毯上的用户。终端根据第一图像识别用户在滑雪毯上的当前位置。获取用户需要在滑雪毯上滑动至的目标位置。在显示器上显示第一图像，并在第一图像上标记目标位置，以及，在显示器上显示滑动提示信息，滑动提示信息用于提示用户从当前位置滑动至目标位置。通过本申请，在用户在滑雪机上进行滑雪培训的过程中，可以自动化指导用户按照既定位置滑动来完成培训任务，培训过程中可以没有教练员的参与，从而可以降低人工成本。</t>
  </si>
  <si>
    <t>一种滑雪培训方法、装置、电子设备及存储介质</t>
  </si>
  <si>
    <t>US20220370853A1</t>
  </si>
  <si>
    <t>J-Sleeve 系统提供了一个系统,用于收集和分析运动员运动表现的数据,以提供有关首选动作的反馈和建议,从而提高运动员表现的准确性和效率,并增进对竞争格局的理解。 用户会在锻炼、游戏、后院技能课程期间将 J 型套戴在手臂上,这些数据需要使用 JSS 进行分析,以提高用户的效率和性能。 JSS 使用数据和人工智能来提高运动员的效率和运动表现。 JSS 功能包括运动形式重放和准确性、运动位置跟踪、疲劳程度跟踪、社交共享和竞争,以及用于开发游戏和定位的虚拟剪贴板,以及视频游戏集成。 虚拟剪贴板允许用户使用数据来确定最佳比赛,以确定最有可能成功的用户。</t>
  </si>
  <si>
    <t>J-套筒系统</t>
  </si>
  <si>
    <t>KR1020230060869A</t>
  </si>
  <si>
    <t>根据本发明的在学习管理系统中提供学习信息的方法包括学生数据,包括年龄、学习习惯、理解水平、弱点和家长沟通,以及班级数据,包括科目、班级、进度、班级内容、作业和达成率,并将包括学生倾向、教练倾向、事件、问题、解决方法和解决方法的效果的经验数据存储在数据库中; 使用自然语言处理模型预处理包括结构化或非结构化文本在内的学生数据、班级数据和体验数据; 将预处理后的学生数据与班级数据关联起来,根据输入的学生数据生成学习辅导模型,输出定制化的学习信息; 将预处理后的学生数据与经验数据进行关联,形成人格辅导模型,根据输入的学生数据输出定制化的人格信息; 将学习辅导模型与人格辅导模型储存于内存中。</t>
  </si>
  <si>
    <t>学习管理系统及其提供学习信息的方法</t>
  </si>
  <si>
    <t>US63272824P0</t>
  </si>
  <si>
    <t>用于大型物体操纵和物理人机交互的软触觉上半身机器人</t>
  </si>
  <si>
    <t>CN113685965B</t>
  </si>
  <si>
    <t>本发明涉及一种基于人工智能的健身房温度自适应调控方法，包括：在健身房安装多台相机，采集房内健身者的图像数据，并通过图像处理方法获取健身房区域的全景图像；获取所需的全景图像数据后，对健身房进行区域划分得到各子区域;通过健身动作数据库对健身者的各健身类型进行分析，得到各子区域内健身者的健身类型，进一步获取各子区域的运动指标；将对温度调控后的效果进行分析，并设置优化模型，以使得各子区域环境能够满足健身者的健身环境要求。节省能源，方便调节，满足健身者们对健身过程中降温散热的需求。</t>
  </si>
  <si>
    <t>基于人工智能的健身房温度自适应调控方法</t>
  </si>
  <si>
    <t>CN113961773A</t>
  </si>
  <si>
    <t>本发明公开了一种用于大学体育球类课程的智能选课推荐系统，属于课程推荐技术领域，包括兴趣筛选模块、数据库、选课规则筛选模块、课程评分模块和服务器；所述兴趣筛选模块用于对学生需要选择的球类课程进行初步筛选，具体方法包括：获取需要进行球类课程推荐的学生信息，并标记为推荐学生，获取推荐学生同班同学中选择球类课程的学生信息，并标记为参照学生，构建余弦相似度函数，根据球类课程的访问次数、球类课程的访问时长、球类运动的访问频率确定推荐学生的兴趣度函数；通过根据同班同学选择的球类课程进行推荐，将会推荐的更加准确，充分考虑学生的选课习惯。</t>
  </si>
  <si>
    <t>一种用于大学体育球类课程的智能选课推荐系统</t>
  </si>
  <si>
    <t>CN113705574B</t>
  </si>
  <si>
    <t>本发明涉及人工智能技术领域，具体涉及一种基于图像处理的健身房设施布局优化方法及系统。该方法包括：获取健身房中所有健身设备的设备图像，根据第二目标神经网络获取小型设备的局部优化图像；其中，第二目标神经网络的损失函数包括第一损失函数、第二损失函数以及第三损失函数；第一损失函数是相似度损失函数；第二损失函数是面积损失函数；第三损失函数是重合度损失函数；将局部优化图像输入轨迹预测网络中再次训练；在第二目标神经网络稳定收敛后，获取整体优化图像对健身房进行调整，从而对健身设备进行合理的规划，潜在引导健身人员在进行健身运动时的健身路径，有效解决了人工引导效率低以及健身设备闲置的问题。</t>
  </si>
  <si>
    <t>基于图像处理的健身房设施布局优化方法及系统</t>
  </si>
  <si>
    <t>CN113701825B</t>
  </si>
  <si>
    <t>本发明涉及一种基于人工智能的健身设施异常检测方法及系统，属于健身设施异常检测技术领域。方法包括以下步骤：获取目标健身设施对应的当前参数序列和标准参数序列；对当前参数序列中的数据进行分类，得到当前参数序列对应的类别数量和离散点数量；根据类别数量和离散点数量，得到当前参数序列的数据稳定程度指标；利用滑窗分析当前参数序列中数据的变化，得到当前参数序列的数据变化程度指标；计算当前参数序列与标准参数序列之间的相似性，得到当前参数序列的相似性指标；根据数据稳定程度指标、数据变化程度指标以及相似性指标，得到目标健身设施对应的异常程度。本发明能能够提高异常检测的效率。</t>
  </si>
  <si>
    <t>一种基于人工智能的健身设施异常检测方法及系统</t>
  </si>
  <si>
    <t>CN114061079B</t>
  </si>
  <si>
    <t>本发明提供一种空调器辅助健身控制方法、控制装置及空调器，涉及空调设备控制技术领域，控制方法包括：实时获取图像信息，在所述图像信息中含有儿童信息时实时获取儿童体表温度，在收到儿童健身辅助模式开启信号或者确定所述儿童体表温度大于第一预设温度值时，进入儿童健身辅助模式，生成第一提醒指令，所述第一提醒指令用于向空调器绑定的手机发出第一提醒信息。本发明通过图像识别出儿童信息，并在儿童信息体表温度增大时，或者收到用户发送的信号，控制空调器进入儿童健身辅助模式；生成提醒指令，依附于空调器与手机的绑定关系告知监护人，防止儿童单独健身而出现摔倒或肌肉拉伤等事故，以及在出现事故时监护人能够及时进行处理。</t>
  </si>
  <si>
    <t>IN202141049115A</t>
  </si>
  <si>
    <t>本发明针对一种基于使用多元高斯热图的人体姿势估计的虚拟教练的方法(200)和系统(100),这种方法包括注释图像的步骤,使得感兴趣的身体部位被注释以指示位置和 身体部位的角度,从注释的位置和角度导出每个身体部位的多元高斯或法线热图,训练神经网络来预测给定图像/视频帧上与身体部位相对应的多元热图,后处理以预测 热图并提供相应身体部位的位置和角度,以便根据预测的身体姿势启动行动。</t>
  </si>
  <si>
    <t>虚拟讲师的方法及系统</t>
  </si>
  <si>
    <t>CN113963299A</t>
  </si>
  <si>
    <t>本发明涉及视频图像识别技术领域，尤其涉及一种基于改进YOLOV4算法的乒乓球检测方法，包括以下步骤：S1：图像采集、S2：数据预处理、S3：对YOLO V4网络进行改进、S4、训练网络模型，本发明的受到光照条件和动态环境影响程度低，从而有效提升了识别的准确率。</t>
  </si>
  <si>
    <t>一种基于改进YOLO V4算法的乒乓球检测方法</t>
  </si>
  <si>
    <t>CN113971836A</t>
  </si>
  <si>
    <t>本发明属于安全预警方法技术领域，具体公开一种基于计算机视觉的体育场监控和安全预警方法，包括以下步骤，步骤1，获取观众图像，提取观众图像中的动作特征，制作数据集；步骤2，提取观众的动作特征；步骤3，根据动作特征判断是否发出预警。</t>
  </si>
  <si>
    <t>一种基于计算机视觉的体育场监控和安全预警方法</t>
  </si>
  <si>
    <t>WO2022093759A1</t>
  </si>
  <si>
    <t>一种在特定时间窗口内对现场体育赛事的结果进行投注的系统。 系统根据历史数据估计时间窗口的持续时间。 然后窗口在估计的持续时间结束时或在投注主题已经发生或将要发生时关闭,使得用户不能对已经发生的结果下注。 时间窗的估计持续时间可以基于类似播放的统计平均值或者可以由基于人工智能的算法或模块来确定。</t>
  </si>
  <si>
    <t>固定投注窗口倒计时</t>
  </si>
  <si>
    <t>CN114501328A</t>
  </si>
  <si>
    <t>本发明结合深度学习算法与uwb定位技术，具体公开了一种基于深度学习和uwb辅助定位的滑冰追踪方法，该方法包括如下步骤：s1、获取滑冰场地数据，对场地关键点数据进行人工标定；s2、根据场地数据，布置uwb(UltraWideBand)装置，布置信号接收器；s3、设计目标检测网络，学习运动员特征，检测运动员位置，预测后续位置；s4、设计多目标追踪网络，通过匹配算法实现初步追踪；s5、获取uwb设备采集的追踪信息，对追踪信息进行插值补全操作；s6、通过补全后的uwb追踪信息对初步追踪结果进行辅助匹配，获取最终追踪结果。本发明方法通过使用深度学习算法和uwb补全信息的辅助技术，改善了对于滑冰运动员进行多目标追踪的过程中由于遮挡或特征相似所导致的IDSwitch问题。</t>
  </si>
  <si>
    <t>一种基于深度学习和uwb辅助定位的滑冰追踪方法</t>
  </si>
  <si>
    <t>CN307390783S</t>
  </si>
  <si>
    <t>1.本外观设计产品的名称：用于显示屏幕面板的健身互动图形用户界面。
 2.本外观设计产品的用途：本外观设计产品用于显示信息、运行程序，该显示屏幕面板用于手机、电脑、平板电脑。
 3.本外观设计产品的设计要点：在于屏幕中的图形用户界面内容，显示屏幕面板为现有设计，界面中的文字内容仅用于指明内容区域，文字本身并非本外观设计的保护内容。
 4.最能表明设计要点的图片或照片：设计1主视图。
 5.设计1和设计2的产品硬件部分为常规设计，省略设计1和设计2的后视图、左视图、右视图、俯视图以及仰视图。
 6.指定设计1为基本设计。
 7.图形用户界面的用途：本外观设计产品用于娱乐互动以及健身。
 8.图形用户界面的人机交互方式：具体地，设计1主视图和设计2主视图界面中各模块可进行点击操作，以进入相应的下一级，在设计1中，向上滑动设计1主视图，以进入设计1变化状态图，在设计2中，向上滑动设计2主视图，以进入设计2变化状态图。</t>
  </si>
  <si>
    <t>用于显示屏幕面板的健身互动图形用户界面</t>
  </si>
  <si>
    <t>US63271705P0</t>
  </si>
  <si>
    <t>IN202141047955A</t>
  </si>
  <si>
    <t>在目前的环境下,新技术的引入和现有方法的改进导致了万物皆有增长。 每个国家最重要的目标之一是为其人民提供平等机会在他们选择的职业中取得成功。 还需要所有必要的便利设施,例如教育和高质量的医疗服务。 为了提高他们的表现,对生理指标、运动指标的持续监测以及向运动员提供反馈变得越来越重要。 标枪是田径运动项目之一,是本次调查的重点。 标枪运动员在奥运会上表现不佳,因为缺乏适当的训练和缺乏符合国际标准的顶级教练。 投掷标枪时,标枪运动员必须在生理因素和运动因素之间取得平衡,以达到尽可能远的距离。 这项拟议工作的一个重要目标是开发一个使用小型传感器的自动化系统,该系统将在整个分析过程中为管理员节省时间,同时在无需人工干预的情况下不断检测在线活动。 动作识别后,可在短时间内呈现,也可即时反馈。 需要以低廉的成本进行长期分析的大型存储系统,这需要通过物联网 (IoT) 使用 SQL 数据库和云存储。</t>
  </si>
  <si>
    <t>使用无线传感器网络分析水平距离事件标枪的医疗保健和移动特性</t>
  </si>
  <si>
    <t>CN113962000A</t>
  </si>
  <si>
    <t>本发明属于图纸分析技术领域，且公开了一种CAD图纸中感烟探测器动态排布的方法，包括动态排布方法与构件分析模块，该CAD图纸中感烟探测器动态排布的具体操作步骤如下：S1、获取待绘制的建筑底图dwg文件；S2、通过cad解析服务，获取图纸相关楼层信息和构成构件的最基础图元信息。本发明运用深度神经网络模型解决了CAD建筑设计图纸中构件和空间的精准识别问题，减少了构件识别对图层的过度依赖；基于识别到的构件和空间，解决电气设计中的感烟探测器构件放置排布问题；依靠计算机的精准计算，既能够保证构件的放置完全符合设计规范，相较于人工设计、手动绘图，人力成本和时间成本更是得到了最大程度的节省。</t>
  </si>
  <si>
    <t>一种CAD图纸中感烟探测器动态排布的方法</t>
  </si>
  <si>
    <t>CN113963206A</t>
  </si>
  <si>
    <t>本发明结合深度学习与计算机视觉算法，具体公开了一种基于姿态指引的速滑运动员目标检测方法，该追踪方法包括如下步骤：s1、通过深度学习主干网络对输入图片进行特征提取得到特征图；s2、根据s1特征图提取特征图中的姿态特征；s3、根据姿态特征检测图片中存在的人物姿态关节点信息；s4、根据姿态特征的指引提取特征图中的人物检测特征；s5、根据人物检测特征提取图片中分类、位置以及边界框信息。本发明方法针对速滑运动员的检测问题，通过姿态信息对检测结果进行指引，缓解速滑运动员的漏检、误检等问题。</t>
  </si>
  <si>
    <t>一种基于姿态指引的速滑运动员目标检测方法</t>
  </si>
  <si>
    <t>CN113963375A</t>
  </si>
  <si>
    <t>本发明结合深度学习与计算机视觉算法，具体公开了一种基于区域的多特征匹配速滑运动员多目标跟踪方法，该跟踪方法包括如下步骤：s1、根据速滑场地对当前区域进行划分；s2、根据目标检测算法检测图片中的速滑运动员信息；s3、根据s1中的划分区域对s2检测得到的速滑运动员信息进行区域划分；s4、对每个区域中的速滑运动员利用多特征信息进行匹配；s5、根据每个区域中速滑运动员的跟踪结果，进行区域间的匹配形成最终的跟踪结果。本发明方法针对速滑运动员比赛时长、速滑场地等特征信息，通过区域分割、多特征匹配等方式更鲁棒的进行速滑运动员的多目标跟踪。</t>
  </si>
  <si>
    <t>一种基于区域的多特征匹配速滑运动员多目标跟踪方法</t>
  </si>
  <si>
    <t>JP2023523195A</t>
  </si>
  <si>
    <t>一种虚拟人物选择方法、装置、装置、存储介质及程序产品,涉及人机交互技术领域。 该方法包括以下步骤:响应于偏好设置操作,为第一用户账户设置(202)第一位置偏好信息;显示位置(204);显示多个候选虚拟角色(206);确定(208)在这一轮比赛中作为大师角色。 该方法可以简化队形匹配过程,提高队形匹配效率。</t>
  </si>
  <si>
    <t>虚拟角色选择方法、装置、设备及程序</t>
  </si>
  <si>
    <t>CN307234972S</t>
  </si>
  <si>
    <t>1.本外观设计产品的名称：用于显示屏幕面板的安装指引图形用户界面。
 2.本外观设计产品的用途：本外观设计的图案用于显示拍摄装置的安装或使用步骤指示界面。
 3.本外观设计产品的设计要点：在于屏幕中的图形用户界面的界面内容。
 4.最能表明设计要点的图片或照片：主视图。
 5.其他视图为惯常设计或现有设计，省略各视图的后视图、左视图、右视图、俯视图、仰视图。
 6.图形用户界面的用途：用于显示各个拍摄装置模块之间的安装步骤指示界面。
 主视图为初始引导界面，用户可以点击“start”（开始）启动教学。
 界面变化状态图1中，顶部显示具体操作内容，中央显示操作内容对应的静态或动态参考图，例如将两个装置模块通过磁力相吸连接至一起。
 界面变化状态图2中，顶部显示具体操作内容，中央显示操作内容对应的静态或动态参考图，例如显示各个装置模块的按键位置及指导。
 界面变化状态图3中，顶部显示具体操作内容，中央显示操作内容对应的静态或动态参考图，例如点击或滑动屏幕的指导。
 界面变化状态图4中，顶部显示具体操作内容，中央显示操作内容对应的静态或动态参考图，例如将储存卡插入装置模块中的指导。
 界面变化状态图5中，显示教学操作成功后的提示。
 图形用户界面可以根据用户的操作而变化，例如，由主视图变化到界面变化状态图1，再由界面变化状态图1变化到界面变化状态图2，再由界面变化状态图2变化到界面变化状态图3，以此类推直至界面变化状态图5。
 7.图形用户界面的人机交互方式：图形用户界面可以通过滚动图形用户界面或轻击图形用户界面中的图标动态地载入后续的图形用户界面或运行应用程序。
 8.本外观设计产品的显示屏幕面板可以应用于计算机、笔记本电脑、平板电脑、遥控器、手机及个人数字助理。</t>
  </si>
  <si>
    <t>用于显示屏幕面板的安装指引图形用户界面</t>
  </si>
  <si>
    <t>US20220126190A1</t>
  </si>
  <si>
    <t>一种电子设备的操作方法,包括接收包括机器学习模型的程序,该机器学习模型通过使用作为训练数据的与专家和/或职业运动员的特定运动相关联的多个骨骼的信息来执行机器学习而生成。 特定运动、与特定运动相关联的多个角速度的信息、和/或与特定运动相关联的多条评估信息,这些信息被累积在服务器中,来自服务器,并且执行程序并接收信息 基于程序的执行,来自挥杆练习装置的电子装置用户的特定运动的第二角速度。</t>
  </si>
  <si>
    <t>使用机器学习模型为特定运动提供反馈的电子设备及其操作方法</t>
  </si>
  <si>
    <t>CN307310217S</t>
  </si>
  <si>
    <t>1.本外观设计产品的名称：显示屏幕面板的目标移动交互图形用户界面。
 2.本外观设计产品的用途：本外观设计产品用于计算机、笔记本电脑、平板电脑、手机、智能手机、手表、智能手表、健身监视器、头戴式耳机、智能音箱、电视、机顶盒、激光电视的显示屏幕面板，用于控制带摄像头的移动设备移动并实时查看摄像头画面及显示图形用户界面。
 3.本外观设计产品的设计要点：在于屏幕中的图形用户界面的内容。
 4.最能表明设计要点的图片或照片：设计1主视图。
 5.显示屏幕面板为惯常设计，省略其他视图。
 6.指定设计1为基本设计。
 7.图形用户界面的用途：主要内容是使用移动装置通过无线Wlan网络控制带摄像头的可移动设备远程查看家庭的实时状况。
 8.图形用户界面的人机交互方式：设计1主视图至设计4主视图为远程控制移动设备移动以及实时查看移动设备的摄像头画面的主界面，当用户点击界面中的图片/地图块/图标/文字，界面跳转至下一界面；设计5主视图为远程控制移动设备移动以及实时查看移动设备的摄像头画面的主界面，当用户点击设计5主视图中的地图色块后，判断当前色块所代表的实际空间没有放置物体时，界面变换至设计5界面状态变化图1，用户点击设计5界面状态变化图1中的“移动”，界面变换至设计5界面状态变化图2，显示系统自动规划的设备移动路径；设计6主视图为远程控制移动设备移动以及实时查看移动设备的摄像头画面的主界面，当用户点击设计6主视图中的地图色块后，判断当前色块所代表的实际空间有放置物体时，界面变换至设计6界面状态变化图，显示无法移动到该区域，预设时间后，界面自动由设计6界面变化状态图跳转至设计6主视图；其中，界面中“灰色图块”表示为可变图片。</t>
  </si>
  <si>
    <t>显示屏幕面板的目标移动交互图形用户界面</t>
  </si>
  <si>
    <t>CN307310218S</t>
  </si>
  <si>
    <t>1.本外观设计产品的名称：显示屏幕面板的信息交互操作的图形用户界面。
 2.本外观设计产品的用途：本外观设计产品用于计算机、笔记本电脑、平板电脑、手机、智能手机、手表、智能手表、健身监视器、头戴式耳机、智能音箱、电视、机顶盒、激光电视的显示屏幕面板的信息交互操作及显示图形用户界面。
 3.本外观设计产品的设计要点：在于屏幕中的图形用户界面的内容。
 4.最能表明设计要点的图片或照片：设计1主视图。
 5.显示屏幕面板为惯常设计，省略其他视图。
 6.指定设计1为基本设计。
 7.图形用户界面的用途：主要内容是提供个性化信息显示功能，通过人机交互实现信息操作的目的。
 8.图形用户界面的人机交互方式：设计1主视图至设计10主视图为显示屏幕面板的信息交互的主界面，可呈现用户家庭全部成员在该时段内统一希望获取的信息，用户可通过语音/遥控/触控操作选择想要查看的信息，例如说“小T，小T”唤醒智能语音助手并说明想要前往的家庭成员页面以切换到家庭成员个人的个性化信息屏页面中；选择设计1主视图左侧圆形图片，界面变换至设计1界面变化状态图，圆形图片的周围被点亮，选择界面中任一图片/数字/图标，界面跳转至下一界面；选择设计2主视图右侧自选股中任一选项卡，界面变换至设计2界面变化状态图，选项卡被放大且周围被点亮，选择界面中任一图片/数字/图标，界面跳转至下一界面；选择设计3主视图下部的新闻中任一选项卡，界面变换至设计3界面变化状态图，选项卡被放大且周围被点亮，选择界面中任一图片/数字/图标，界面跳转至下一界面；选择设计4主视图下部的地图选项卡，界面变换至设计4界面变化状态图，选项卡被放大且周围被点亮，选择界面中任一图片/数字/图标，界面跳转至下一界面；选择设计5主视图下部的基金自选中任一选项卡，界面变换至设计5界面变化状态图，选项卡被放大且周围被点亮，选择界面中任一图片/数字/图标，界面跳转至下一界面；选择设计6主视图下部的万年历选项卡，界面变换至设计6界面变化状态图，选项卡被放大且周围被点亮，选择界面中任一图片/数字/图标，界面跳转至下一界面；选择设计7主视图右下角的健康选项卡，界面变换至设计7界面变化状态图，选项卡被放大且周围被点亮，选择界面中任一图片/数字/图标，界面跳转至下一界面；选择设计8主视图下部的日程中任一选项卡，界面变换至设计8界面变化状态图，选项卡被放大且周围被点亮，选择界面中任一图片/数字/图标，界面跳转至下一界面；选择设计9主视图下部的地图中任一选项卡，界面变换至设计9界面变化状态图，选项卡被放大且周围被点亮，选择界面中任一图片/数字/图标，界面跳转至下一界面；选择设计10主视图左下角的天气选项卡，界面变换至设计10界面变化状态图，选项卡被放大且周围被点亮，选择界面中任一图片/数字/图标，界面跳转至下一界面；其中，界面中“灰色图块”表示为可变图片。</t>
  </si>
  <si>
    <t>JP2023527176A</t>
  </si>
  <si>
    <t>一种预约购买商品显示方法、装置、设备及介质,应用于人机交互领域。 该方法包括以下步骤:显示(201)虚拟角色在虚拟环境中执行活动的过程;以及在虚拟角色完成该活动的执行之后更新(202)虚拟角色所持有的虚拟资源。 )并响应于满足预购提醒条件,以进入控制器为参考位置在虚拟环境屏幕上显示全部或部分预购物品,其中显示至少一个预购物品虚拟环境屏幕上,兑换所需的兑换资源高于虚拟角色所持有的虚拟资源,进入控制器为虚拟角色购买虚拟物品的控制器,预约购买物品为竞赛物品。它是在比赛之前或比赛期间设置的要交换的虚拟物品(203)。 采用上述方法、装置、设备和介质,可以有效减少操作流程,提高查询效率。</t>
  </si>
  <si>
    <t>显示预订物品、装置、装置、媒体和计算机程序的方法</t>
  </si>
  <si>
    <t>KR102576623B1</t>
  </si>
  <si>
    <t>本发明涉及一种运动员发掘服务装置,其中,该装置包括运动项目输入单元,用于从运动员终端接收运动项目,根据所述运动项目确定体能测试查询列表,并在训练中进行体能测试。体能测试查询单元向运动员终端提供项目,接收运动员终端发送的体能测试项目的答案,生成体能测试答案列表,并通过以下方式生成体能测试答案列表:一种适合该运动项目的人工智能运动项目体能模型。体能测试处理单元,对测试答案列表进行分析,分析体能测试答案列表中出错的可能性,提供体能测试答案列表以及出错的可能性。根据球探公司终端的请求,向球探公司终端请求运动员体能验证。 体能测试应答,用于接收运动员体能验证请求处理单元,向运动员终端查询体能是否符合要求。可以对体能进行验证,如果可能的话,通过对体能测试答案列表中的体能测试答案进行离线运动员体能验证,包括验证单元。</t>
  </si>
  <si>
    <t>运动员侦察服务设备</t>
  </si>
  <si>
    <t>CN113908511A</t>
  </si>
  <si>
    <t>本发明提供一种基于物联网的智能健身单车，涉及健身器材领域。该基于物联网的智能健身单车，包括车架，所述车架固定连接在浴缸内侧底端，所述车架左侧设置有第一带轮，所述车座左侧通过支架固定连接有液位传感器，所述隔板右端顶部固定连接有调节阀，所述活动架顶部转动连接有跑轮，所述阻力调节组件包括支撑轴，所述支撑轴中部转动连接有第二带轮，所述棘轮外侧均匀设置有通孔，所述第一齿轮外侧啮合连接有四个第二齿轮，所述第二齿轮内侧固定连接有转轴，所述转轴外侧固定连接有阻力板，所述套管远离第二带轮的一侧滑动连接有十字架。健身单车骑行锻炼强度可调，骑行的同时可享受半身浴，提高骑行体验感，值得大力推广。</t>
  </si>
  <si>
    <t>一种基于物联网的智能健身单车</t>
  </si>
  <si>
    <t>CN113837063A</t>
  </si>
  <si>
    <t>本发明公开了一种基于强化学习的冰壶运动现场分析和辅助决策方法，属于深度学习领域的人工智能和计算机视觉方向，建立了冰壶比赛情景和态势的数字化模型，设立了冰壶运动现场分析和辅助决策系统，主要解决实际运动场景下的冰壶运动现场分析和辅助决策的问题。算法主要包括：冰壶比赛态势感知设计、冰壶场地数字化提取方法和冰壶比赛决策分析：在冰壶比赛态势感知模块感知冰壶实际运动位置与速度，并获取静止状态，冰壶场地数字化提取模块，通过实际场地与拍摄数据之间的位置映射，获取关键时刻的冰壶的精确位置及其类别，冰壶比赛决策分析模块根据其类别和位置信息，通过强化学习算法，进行模拟计算，给出下一步的建议击打位置，辅助进行冰壶战术决策。这种基于强化学习的冰壶运动现场分析和辅助决策方法方法，在实际冰壶比赛训练时测试效果优异，使用价值高，可扩展性强。</t>
  </si>
  <si>
    <t>一种基于强化学习的冰壶运动现场分析和辅助决策方法</t>
  </si>
  <si>
    <t>CN114037728A</t>
  </si>
  <si>
    <t>本发明公开了基于计算机视觉的蛇形跑轨迹判定方法，具体涉及体育测验领域，本发明采用摄像头捕捉运动场地和运动员运动轨迹，使用深度学习算法和数学公式来捕捉和计算运动员跑步轨迹，具有布置简单，成本低，准确性高，防作弊等优点，能有效的解决原有设备所带来的问题，本发明中只有人形物体在场地中移动才会被探测到，探测的帧率可以达到每秒钟100帧以上。与红外线比较，相当于每隔20厘米就放置一组红外线探测设备探测运动员的跑动，可以更加准确的还原运动员脚步移动的路径。通过基础的几何计算就可以知道运动员是否按照规定的路线移动。</t>
  </si>
  <si>
    <t>基于计算机视觉的蛇形跑轨迹判定方法</t>
  </si>
  <si>
    <t>US20220124402A1</t>
  </si>
  <si>
    <t>提供了一种用于从提供体育列表的显示屏幕上去除广告缩略图的电子设备以及该电子设备的操作方法,该电子设备可以检索从正在直播的游戏视频中提取的图像缩略图,确定该图像缩略图是否为 使用预训练的深度学习模型的游戏缩略图或广告缩略图,当图像缩略图为游戏缩略图时将游戏缩略图显示在显示屏上,当图像缩略图为广告缩略图时将广告缩略图移除在显示屏上。</t>
  </si>
  <si>
    <t>用于提供体育赛事直播列表的从显示屏上去除广告缩略图的电子装置及其操作方法</t>
  </si>
  <si>
    <t>CN217246644U</t>
  </si>
  <si>
    <t>本实用新型属于运动防护装置领域，具体的说是一种基于人工智能的一体化运动防护装置，包括套圈，所述套圈的底部固定连接有袖体，所述袖体的外壁固定连接有缓冲机构，所述袖体的外壁固定连接有收紧圈，所述收紧圈的外壁固定连接有支撑杆，所述袖体的一端固定连接有袖口，所述缓冲机构包括气垫和固定板，所述气垫与固定板之间通过热熔连接；通过在使用时运动员将袖体穿戴在手臂上，将缓冲机构对准手肘部位，通过缓冲机构可以更好的对手肘部位进行防护，在进行运动时可以更好的防止手肘关节处的磕碰，气垫进行缓冲，固定板采用硅胶材质来进行亲肤贴合工作，在小臂出现受伤骨折情况时支撑杆来对小臂部位进行固定，收紧圈进行临时固定工作。</t>
  </si>
  <si>
    <t>一种基于人工智能的一体化运动防护装置</t>
  </si>
  <si>
    <t>CN113892928A</t>
  </si>
  <si>
    <t>本发明公开了一种基于北斗定位和窄带物联网的健身行为监测系统，包括：可穿戴设备和后台服务器；可穿戴设备内嵌有北斗定位模块、生理数据采集模块和窄带物联网模块；北斗定位模块通过窄带物联网模块与北斗地基增强系统通信连接；北斗地基增强系统用于将北斗定位模块采集的人员位置信息进行修正；生理数据采集模块用于实时采集相应人员的生理参数；后台服务器通过窄带物联网模块同步获取监测场所内所有人员修正后的位置信息和对应的生理参数，并判断生理参数是否存在异常。本发明能够提高对健身人员的定位精度，实现对用户生理数据的采集和监测，确保在出现异常情况时及时上报位置信息，以便能最快的接受救治。</t>
  </si>
  <si>
    <t>一种基于北斗定位和窄带物联网的健身行为监测系统</t>
  </si>
  <si>
    <t>CN113989920A</t>
  </si>
  <si>
    <t>本发明涉及一种基于深度学习的运动员行为质量评估方法，基于的评估系统包括人体跟踪单元、人体姿势估计单元、动作序列特征提取与增强单元，得分预测单元和显示单元；视频输入至人体跟踪单元，对视频的各帧进行目标检测，得到各帧的检测框作为跟踪结果，在显示单元对跟踪结果进行可视化；人体姿势估计单元获取跟踪结果，对各帧中运动员的姿势进行估计，得到关键点信息作为姿势估计结果，在显示单元对姿势估计结果进行可视化；动作序列特征提取与增强单元以视频、跟踪结果和姿势估计结果作为输入，进行特征提取、特征增强和特征融合后得到视频特征；得分预测单元以视频特征为输入，进行全动作流程质量评估和阶段性行为质量评估。</t>
  </si>
  <si>
    <t>一种基于深度学习的运动员行为质量评估方法</t>
  </si>
  <si>
    <t>CN307310212S</t>
  </si>
  <si>
    <t>1.本外观设计产品的名称：带驾驶操控图形用户界面的显示屏幕面板。
 2.本外观设计产品的用途：用于信息显示及人机交互，应用于汽车、手机、计算机、平板电脑。
 3.本外观设计产品的设计要点：在于所示产品的图形用户界面及其交互过程。
 4.最能表明设计要点的图片或照片：主视图。
 5.图形用户界面的用途：主视图为驾驶操控应用的主页；点击主视图右上角的历史记录按钮进入界面变化状态图1，该界面为历史记录页面，默认显示直线加速的百公里加速的记录；点击主视图右上角的奖杯按钮进入界面变化状态图2，该界面主要显示排行榜排名；点击主视图右上角的设置按钮进入界面变化状态图3，该界面主要显示赛道的相关设置项；点击主视图上方的开始挑战按钮进入界面变化状态图4，该界面主要显示比赛信息及其他可选内容；使用状态参考图是主视图实际使用状态下的参考图。</t>
  </si>
  <si>
    <t>带驾驶操控图形用户界面的显示屏幕面板</t>
  </si>
  <si>
    <t>US20220111249A1</t>
  </si>
  <si>
    <t>本公开提出了改进的跑步机控制系统和方法。 一种这样的方法包括开始在跑步机设备上记录受试者的步行锻炼的视频序列; 使用与神经网络的视频时间对齐从记录的视频序列中提取对象的步态内相位; 为跑步机设备生成一系列跑步机带控制设置,这些设置对应于受试者步态模式的每个阶段; 并且将一系列跑步机皮带控制设置发信号通知跑步机设备的电机控制器。 还提供了其他方法和系统。</t>
  </si>
  <si>
    <t>用单带跑步机模拟分带式跑步机</t>
  </si>
  <si>
    <t>WO2022082164A1</t>
  </si>
  <si>
    <t>本公开提出了改进的跑步机控制系统和方法。 一种这样的方法包括开始在跑步机设备上记录受试者的步行锻炼的视频序列; 使用与神经网络的视频时间对齐从记录的视频序列中提取对象的步态内相位; 为跑步机设备生成一系列跑步机带控制设置,对应于受试者步态模式的每个阶段; 并且将一系列跑步机皮带控制设置发信号通知到跑步机设备的电机控制器。 还提供了其他方法和系统。</t>
  </si>
  <si>
    <t>IN202111046392A</t>
  </si>
  <si>
    <t>本发明涉及一种多功能锻炼装置,包括分为第一部分2、第二部分3和第三部分4的便携式本体1、与上部2相关联以方便用户在锻炼时可视化速度和持续时间的显示器5单元、腰带6 下4部分与微控制器相连,方便步行、慢跑或跑步锻炼并发电,多个传感器包括速度传感器和重量传感器,与微控制器相连,用于确定用户在锻炼时的体重和速度,附有一对可调导轨9 具有供使用者手动伸展以进行提重运动的扶手7,与扶手7相连的一对V形金属杆8与铰链连接以进行肌肉锻炼,语音识别单元与扬声器相连以方便使用者 发出音频命令并生成与用户的体重和速度相关的音频。</t>
  </si>
  <si>
    <t>多功能健身器</t>
  </si>
  <si>
    <t>IN202141046203A</t>
  </si>
  <si>
    <t>机器学习的深度学习子集正在成为当今人工世界中一种鼓舞人心的科学计算技术。 因此,模式识别被应用到深度学习技术中,以通过之前收集的统计数据作为输入来预测玩家在各个场比赛中的表现。 这些收集到的数据可以通过深度学习算法输入,以分析和预测付款人在游戏中的表现。 深度学习算法可以利用不同类型的神经网络,以在故障排除和解决重大复杂任务中发挥至关重要的作用,相当于人脑的分类能力和有效决策能力。 在这个提议的方法中,我们利用运动传感器来跟踪击球和挥杆特性,并利用卡尔曼滤波器来跟踪和识别球中使用的对象,并通过深度学习算法循环神经网络 (RNN) 和 LSTM 提供这些数据,以帮助 个人赛局中玩家表现的模式检测。</t>
  </si>
  <si>
    <t>使用深度学习的个人现场游戏的玩家表现模式检测</t>
  </si>
  <si>
    <t>CN113813578B</t>
  </si>
  <si>
    <t>本发明请求保护一种基于全息技术的篮球运动员运球训练系统及方法，其包括有控制设备，以及分别与控制设备耦接的全息投影器、感应地面和若干电子屏，还包括有设置在地上的轨道，控制设备用于控制各个电子屏在轨道上移动，各个电子屏用于显示训练动作，各个电子屏上均设置有篮筐，若干电子屏能呈环形排列形成围墙，全息投影器用于向围墙内投影虚拟的人工智能教练训练指导影像，感应地面铺设在围墙内的训练场地上，用于感应运动员和篮球在运动中的数据。若干电子屏能够在轨道上围成一个封闭的训练场地从而供运动员进行运球训练，让运动员在训练时可以不受外接干扰，各个电子屏上可以显示各种不同的练习动作供运动员参照训练。</t>
  </si>
  <si>
    <t>一种基于全息技术的篮球运动员运球训练系统及方法</t>
  </si>
  <si>
    <t>KR102519798B1</t>
  </si>
  <si>
    <t>本发明利用安装在实际棒球场中的LiDAR传感器收集的数据来生成球员的能力值,同时将生成的球员的能力值反映到安装在体验式棒球练习场中的棒球模拟中通过操作棒球模拟基于通过激光雷达传感器检测到的物体的运动,可以通过增加真实性,并通过提供玩家投球或击球的评论信息来增加体验式棒球比赛的趣味性、真实感和参与度,它涉及一种体验式棒球-使用激光雷达传感器和人工智能的模拟服务系统,可以最大限度地提高球员棒球练习的效率和效果。</t>
  </si>
  <si>
    <t>使用激光雷达传感器和人工智能的体验式棒球模拟服务系统</t>
  </si>
  <si>
    <t>KR1020230050613A</t>
  </si>
  <si>
    <t>根据实施例的基于人工智能的二手露营车交易系统和方法基于人工智能分析用户注册的问题答案和答案,并根据分析结果和选择问题推荐客户想要的露营车。 此时,在该实施例中,通过关于露营车的详细规格的用户偏好信息,例如价格、设计、厨房的存在、面积、厕所的存在或不存在,来提取可以与用户匹配的二手露营车, 蓄水量, 蓄电量, 提取出的二手露营车是否在比赛中使用. 按方法筛选选择最适合用户的二手露营车.</t>
  </si>
  <si>
    <t>基于人工智能的二手房车交易系统及方法</t>
  </si>
  <si>
    <t>AU2021245232B2</t>
  </si>
  <si>
    <t>本发明涉及一种用于确定是否应当将当前查询的一部分合并或者用先前查询的一部分替换的方法。 该方法包括生成神经网络,该神经网络将先前查询和当前查询作为输入并输出指示合并或替换操作的结果。 该方法还包括接收第一查询和第二查询,其中第一查询是在接收第二查询之前接收的。 此外,方法10包括将第一查询和第二查询映射到神经网络的先前查询和当前查询输入。 使用神经网络,该方法确定第一查询和第二查询是否与指示合并或替换操作的结果相关联。 响应于确定第一查询和第二查询与指示合并15操作的结果相关联,该方法涉及合并第一查询和第二查询。 响应于确定第一查询和第二查询与指示替换操作的结果相关联,该方法包括:选择彼此对应的第一查询的第一部分和第二查询的第二部分;以及 以及用第二查询的第二20部分替换第一查询的第一部分。 图 1 100 下午 2:07 媒体提供商 返回电视)K-查询:汤姆·克鲁斯的电影 102 搜索)-响应:碟中谍 OnDemand104 明日边缘点播 104' NIK-DQuery:与妮可·基德曼新闻 106 16- 响应:十一月体育 108 Queen Kids)F 当地图 1</t>
  </si>
  <si>
    <t>用于确定对话中的上下文切换的系统和方法</t>
  </si>
  <si>
    <t>KR1020230050506A</t>
  </si>
  <si>
    <t>本发明包括多个用于训练患者行走的锻炼装置; 第一移动设备,有线或无线连接各运动设备,用于采集患者的运动信息; 服务器从第一移动设备接收收集的信息并通过存储和分析信息生成健康数据; 第二移动设备从服务器接收患者信息和健康数据,通过与第一移动设备的实时通信提供反馈,并根据康复治疗师的输入控制锻炼设备;它包括基于物联网的锻炼设备远程管理系统。</t>
  </si>
  <si>
    <t>基于物联网的健身器材远程管理系统及其驱动方法</t>
  </si>
  <si>
    <t>US20220023719A1</t>
  </si>
  <si>
    <t>一种用于充满活力的体质指导的人工智能健身专业支持网络的系统,包括计算设备,该计算设备被配置为至少从用户获取生物提取物、接收用户请求、确定健身方案,其中确定健身方案还包括生成诊断 作为至少一个生物提取的函数的输出,并且根据用户请求和诊断输出确定健身方案,并输出健身方案。</t>
  </si>
  <si>
    <t>用于充满活力的宪法指导的人工智能健身专业支持网络的方法和系统</t>
  </si>
  <si>
    <t>US63261971P0</t>
  </si>
  <si>
    <t>CN116261748A</t>
  </si>
  <si>
    <t>计算系统识别比赛的广播视频数据。所述计算系统使用计算机视觉技术从所述广播视频数据生成比赛的跟踪数据。所述跟踪数据包括比赛期间球员的坐标。所述计算系统通过将一个或更多个光学字符识别技术应用于多个帧中的每一个帧来从所述广播视频数据生成比赛的光学字符识别数据，以从每一个帧中显示的记分板提取分数和时间信息。所述计算系统通过将一个或更多个机器学习技术应用于跟踪数据来检测比赛中发生的多个事件。所述计算系统接收比赛的实况报道数据。所述计算系统生成丰富跟踪数据。所述生成包括将所述实况报道数据与所述跟踪数据、所述光学字符识别数据和多个事件中的一个或更多个合并。</t>
  </si>
  <si>
    <t>用于合并异步数据源的系统和方法</t>
  </si>
  <si>
    <t>CN113730892A</t>
  </si>
  <si>
    <t>本发明涉及一种运动员训练方法及系统。所述方法包括：获取待训练运动员训练前的运动参数，将所述训练前的运动参数输入径向基神经网络得到训练参数。本发明可针对不同的运动员得到合适的训练参数，提高训练效果。</t>
  </si>
  <si>
    <t>一种运动员训练方法及系统</t>
  </si>
  <si>
    <t>CN113901902A</t>
  </si>
  <si>
    <t>本发明公开了一种基于层级图卷积网络的群体场景图生成方法，利用预训练卷积神经网络提取体育视频中所有个体的视觉特征和包围盒，聚类为两个队伍，根据视觉特征构造队伍关系图和群体关系图，将队伍关系图输入队伍图卷积网络提取队伍关系特征，将群体关系图输入群体图卷积网络提取群体关系特征，根据队伍关系特征和群体关系特征生成群体场景图，上述方法能有效捕捉体育视频中群体间关系，生成群体场景图进行体育视频理解。在团体对抗型体育项目中，运动员个体间关系被弱化，队伍间关系得到凸显，因此能简化场景图生成方法的应用场景，将场景图生成方法应用于体育视频捕捉群体间关系，生成群体场景图进行体育视频的理解。</t>
  </si>
  <si>
    <t>一种基于层级图卷积网络的群体场景图生成方法</t>
  </si>
  <si>
    <t>CN307310210S</t>
  </si>
  <si>
    <t>1.本外观设计产品的名称：显示屏幕面板的迭代概览交互的图形用户界面。
 2.本外观设计产品的用途：本外观设计产品用于计算机、笔记本电脑、平板电脑、手机、智能手机、手表、智能手表、健身监视器、头戴式耳机、智能音箱、电视、机顶盒、激光电视的显示屏幕面板的集中展示迭代概览信息操作及显示图形用户界面。
 3.本外观设计产品的设计要点：在于屏幕中的图形用户界面的内容。
 4.最能表明设计要点的图片或照片：主视图。
 5.显示屏幕面板为惯常设计，省略其他视图。
 6.图形用户界面的用途：主要内容是提供以迭代为维度的概览信息显示功能，通过人机交互实现快速查看迭代信息的目的。
 7.图形用户界面的人机交互方式：主视图为展示迭代概览信息的主界面，点击主视图左侧栏的最右端的向左箭头按钮，界面变换至界面变化状态图1，左侧栏被收起，点击主视图中“逾期系统需求数”“未解决风险项”“未完成的系统需求数”“未解决的版本缺陷数”以及“未完成的研发任务数”中任一项,界面变换至界面变化状态图2；点击界面变化状态图2中“标题”字段纵向对应的任一行文字，界面变换至界面变化状态图3；其中，界面中的“XX”表示为可变文字或数字，界面中“灰色图块加交叉线”表示为可变图标。</t>
  </si>
  <si>
    <t>显示屏幕面板的迭代概览交互的图形用户界面</t>
  </si>
  <si>
    <t>CN114973395A</t>
  </si>
  <si>
    <t>本发明公开了一种采用多视角高速相机与人体姿态识别的体育运动教学装置，先用高速相机从对体育教师的示范动作进行多角度拍摄，并将拍到的视频保存到计算机中。然后采用基于深度学习的人体姿态识别算法对不同角度的图片进行人体关键点识别，并将识别到人体关键点标记到图片中。接着采用视频慢播放方式播放带有人体关键点的图片，让学生更加直观理解运动的细节过程，加深学生对动作过程的认识与体会。教师同时结合人体关键点信息，讲解动作的要领，并作为衡量动作质量的参考技术指标。本发明将抽象的体育运动具体化与直观化，极大方便了体育教师与学生，为提高国家的体育教学科技水平具有重要与深远的意义。</t>
  </si>
  <si>
    <t>一种采用多视角高速相机与人体姿态识别的体育运动教学装置</t>
  </si>
  <si>
    <t>CN113762214A</t>
  </si>
  <si>
    <t>本发明公开了一种基于AI人工智能的全身运动评估系统，包括运动员捕捉模块、AI人工智能和监控平台，所述运动员捕捉模块贴合于运动员的身体发力位置和转动部位，将肌肉群的振动、肌肉发力产生的肌肉膨胀和肌肉发力移动的数据记录，同时通过捕捉系统对运动员连续行为的运动轨迹进行记录，对运动员的运动成绩进行记录并上传至监控平台，监控平台内建立数据库，通过AI人工智能对运动员的肌体数据进行记录分析对全身运动进行评估，通过AI人工智能对运动员全身运动数据库和运动员现有全身运动数据反推运动员肌肉状态进行评估，本发明有利于对全身运动动作的锻炼肌群进行具体显示和锻炼量评估，同时可对运动员肌肉状态进行有效地评估。</t>
  </si>
  <si>
    <t>一种基于AI人工智能的全身运动评估系统</t>
  </si>
  <si>
    <t>WO2022092589A1</t>
  </si>
  <si>
    <t>本发明涉及一种基于人工智能的运动教练设备。 根据本发明实施例的运动指导设备的运动姿势提取单元可以通过从图像捕获单元捕获的运动图像中提取运动对象的运动姿势来生成姿势数据。 此外,运动姿势分析单元可接收基于人工智能的姿势数据,并推断运动姿势是否为正确姿势。 并且,根据本发明实施例的运动指导装置还可以包括指导信息输出单元,用于基于运动姿势分析单元的推断结果输出运动指导信息。 借此,基于人工智能,可以准确推断出运动姿势是否正确,并为用户提供适合于此的运动指导信息。</t>
  </si>
  <si>
    <t>基于人工智能的运动教练设备</t>
  </si>
  <si>
    <t>EP4238619A1</t>
  </si>
  <si>
    <t>提出了一种基于人工智能的运动教练装置。 根据示例性实施例,运动指导装置的运动姿势提取单元可通过从图像捕获单元捕获的运动图像中提取运动对象的运动姿势来生成姿势数据。 另外,运动姿势分析单元可以接收基于人工智能的姿势数据并推断运动姿势是否处于正确的姿势。 另外,根据示例性实施例的运动指导装置可以被配置为还包括指导信息输出单元,该指导信息输出单元被配置为基于运动姿势分析单元的推断结果来输出运动指导信息。 这样,可以基于人工智能准确推断运动姿势是否正确,从而可以向用户提供合适的运动指导信息。</t>
  </si>
  <si>
    <t>基于人工智能的运动训练装置</t>
  </si>
  <si>
    <t>CN113765780A</t>
  </si>
  <si>
    <t>一种基于物联网的便携式运维网关，包括网关主体和监测终端，所述监测终端与所述网关主体连接，所述网关主体与运维资产连接；所述网关主体包括数据处理系统，所述数据处理系统为目标运维资产创建运维任务，并实现运维操作；所述运维电脑显示所述数据处理系统的远程运维页面，并控制所述数据处理系统对目标运维资产做出运维具体操作；所述监测终端用于检测所述运维电脑的运行环境，保证运维电脑、网关主体和运维资产整个通讯过程的正常通信。在检修过程当中做到对运维资产实时防护，防止病毒对电力设备产生影响，同时对整个运维过程进行数字化信息处理，实现了电力设施在运维过程中的流程化控制、集中化管理、综合性分析。</t>
  </si>
  <si>
    <t>一种基于物联网的便携式运维网关</t>
  </si>
  <si>
    <t>CN113577724B</t>
  </si>
  <si>
    <t>本发明公开了一种人工智能化乒乓球捡球装置，包括底盘壳体、圆盘载板和顶盘壳体，所述底盘壳体呈环状结构，所述底盘壳体的开口槽部与其内腔呈相连通设置，所述底盘壳体的上侧壁贴合设置有圆盘载板，所述顶盘壳体上侧壁的前半部分设置有一体化结构框体部，且顶盘壳体、圆盘载板和底盘壳体组合后通过螺栓固定连接在一起，所述顶盘壳体的内部设置有总控台，且顶盘壳体中的总控台包括控制面板和中央处理器两个部分。该人工智能化乒乓球捡球装置，在训练场地实现智能化自主搜捡乒乓球，相比较于人工搜捡更加省时省力，另外易于收集后乒乓球的转移清理，在转移乒乓球时不影响捡球装置的正常工作，有效的提高了工作效率。</t>
  </si>
  <si>
    <t>一种人工智能化乒乓球捡球装置</t>
  </si>
  <si>
    <t>CN113769344A</t>
  </si>
  <si>
    <t>本发明公开了沉浸式VR实景健身娱乐平台，它包括：传感附件，具有多个传感器，其装设于健身器材上，并采用统一的数据标准格式通过无线传输模块向外输出各传感器采集得到的实时数据；智能设备，其上安装有互动应用程序，该互动应用程序产生一控制数据；数据传输代理，包括有与其配套的开发包，其用于将互动应用程序产生的控制数据编码成标准格式的数据，并发送给该开发包，该开发包将编码成标准格式的数据再运用到所述互动应用程序中。它所提供的基于物联模式的运动健身产品的无线互动数据装置，在传统健身器材、物联网技术以及云计算技术相结合的过程中起到数据传输桥梁的作用，更适应整个健康互动运动健身生态系统的发展趋势。</t>
  </si>
  <si>
    <t>沉浸式VR实景健身娱乐平台</t>
  </si>
  <si>
    <t>WO2022109507A1</t>
  </si>
  <si>
    <t>一种使用机器学习预测的系统和方法,通过将当前和未来的比赛状态以数学方式表示为由基础机器学习模型参数化的贝叶斯网络,从而估计未来的运动结果。</t>
  </si>
  <si>
    <t>使用比赛状态转换预测运动结果</t>
  </si>
  <si>
    <t>CA3195283A1</t>
  </si>
  <si>
    <t>一种使用机器学习预测的系统和方法,通过将当前和未来的比赛状态数学表示为由基础机器学习模型参数化的贝叶斯网络来估计未来的运动结果。</t>
  </si>
  <si>
    <t>AU2021383910A1</t>
  </si>
  <si>
    <t>一种使用机器学习预测的系统和方法,通过将当前和未来比赛状态数学表示为由基础机器学习模型参数化的贝叶斯网络来估计未来的运动结果。</t>
  </si>
  <si>
    <t>CN113808718A</t>
  </si>
  <si>
    <t>本发明属于智能管理和应用集成创新技术领域，尤其涉及一种封控式产科智能管理系统，包括家属大厅、亲情区、婴儿游泳池、产妇保健区、妇婴居室、分娩室、智能护士站、库房、控制室、会诊室、更衣室等，通过对区域模块的功能创建、管理模式设计和配套的服务型硬件设备开发，基于物联网、大数据、数字孪生、视听融合和人工智能技术，对现有的管理模式和物理环境进行改革，实现产科的综合管理由人力支撑型向科技支撑型转变，从空间和工作流程上实现封控式智慧化系统管理，提高医护人员的工作效率，增加家属和妇婴亲情互动感；辅助医护及家属完成部分工作内容，降低贴身陪护家属的数量和医护人员的工作强度。</t>
  </si>
  <si>
    <t>一种封控式产科智能管理系统</t>
  </si>
  <si>
    <t>US20220095013A1</t>
  </si>
  <si>
    <t>本公开的示例涉及使用分布式账本和基于人工智能的转码技术的内容交付。 在示例中,内容由内容分发网络(CDN)从内容源接收。 与通过 CDN 分发的内容相比,内容的质量可能较低或格式不同。 因此,转码模型被识别并用于对内容进行转码。 多种转码模型可用于不同的内容部分以适应不断变化的内容类型(例如,体育子部分、广告子部分等)。 转码可以发生在边缘节点,使得原始内容在CDN内传输,从而节省资源。 此外,可以缓存已转码的内容,从而无需响应每个请求对内容进行转码。</t>
  </si>
  <si>
    <t>使用分布式账本和基于人工智能的转码技术进行内容交付</t>
  </si>
  <si>
    <t>WO2022066717A1</t>
  </si>
  <si>
    <t>本公开的示例涉及使用分布式账本和基于Al的代码转换技术的内容交付。 在示例中,内容由内容分发网络(CDN)从内容源接收。 与通过 CDN 分发的内容相比,内容的质量可能较低或格式不同。 因此,转码模型被识别并用于对内容进行转码。 多种转码模型可用于不同的内容部分以适应不断变化的内容类型(例如,体育子部分、广告子部分等)。 转码可以发生在边缘节点,使得原始内容在CDN内传输,从而节省资源。 此外,可以缓存已转码的内容,从而无需响应每个请求对内容进行转码。</t>
  </si>
  <si>
    <t>CA3193490A1</t>
  </si>
  <si>
    <t>本公开的示例涉及使用分布式账本和基于AI的转码技术的内容传送。 在示例中,内容由内容分发网络(CDN)从内容源接收。 与通过 CDN 分发的内容相比,内容的质量可能较低或格式不同。 因此,转码模型被识别并用于对内容进行转码。 多个转码模型可以用于不同的内容部分以适应不断变化的内容类型(例如,体育子部分、广告子部分等)。 转码可以发生在边缘节点,使得原始内容在CDN内传输,从而节约资源。 另外,转码后的内容可以被缓存,使得内容不需要响应于每个请求而被转码。</t>
  </si>
  <si>
    <t>AU2021347829A1</t>
  </si>
  <si>
    <t>SG11202302102YA</t>
  </si>
  <si>
    <t>EP4218247A1</t>
  </si>
  <si>
    <t>WO2022061315A1</t>
  </si>
  <si>
    <t>一种跟踪系统包括多个磁带节点,每个磁带节点包括电池、短程无线接口、处理器和存储液体操作系统(OS)的存储器,该操作系统具有机器可读指令,当由处理器执行时使处理器 在磁带节点内接收定义磁带节点的至少一个目标的任务,磁带节点充当跟踪系统的主代理以完成由任务定义的多个任务中的每一个,管理电池的电力使用 为了完成任务,液体操作系统将任务委托给跟踪系统的另一个节点以减少功耗; [0260] 执行从第二节点接收到的第二任务,磁带节点作为响应于第二任务的从属节点。</t>
  </si>
  <si>
    <t>工业物联网分布式智能软件</t>
  </si>
  <si>
    <t>US20220095079A1</t>
  </si>
  <si>
    <t>一种跟踪系统包括多个磁带节点,每个磁带节点包括电池、短程无线接口、处理器和存储液体操作系统(OS)的存储器,该操作系统具有机器可读指令,当由处理器执行时,使处理器 在磁带节点内接收定义磁带节点的至少一个目标的任务,磁带节点充当跟踪系统的主代理以完成由任务定义的多个任务中的每一个,管理电池的电力使用 为了完成任务,液体操作系统将任务委托给跟踪系统的另一个节点以减少功耗; 执行从第二节点接收的第二任务,磁带节点作为从属节点响应于第二任务。</t>
  </si>
  <si>
    <t>US63246525P0</t>
  </si>
  <si>
    <t>SG11202302133WA</t>
  </si>
  <si>
    <t>用于工业物联网的分布式智能软件</t>
  </si>
  <si>
    <t>EP4205417A1</t>
  </si>
  <si>
    <t>IN202141042394A</t>
  </si>
  <si>
    <t>运动员的身体健康评估和伤病评估影响很大,因为他们的伤病会降低球队在轮胎比赛中的表现,也会损失收入。 评估需要考虑的一些外部因素是比赛场地设计、环境温度、比赛时间、训练工作量、天气等。一些内部因素是年龄、以前的伤病等。运动员可能会面临肌肉疼痛、脑震荡、 训练期间脚踝扭伤等。 因此,玩家的输入图像被收集和预处理。 特征提取是对大维度空间上的复杂数据进行的。 然后通过网关将其发送到云端。 具有机器学习的人工智能被用于预测急性和亚急性损伤。 然后对其进行评估以识别风险因素。 从可视化信息来看,适当的医学专家必须照顾运动员以治疗他们的受伤。</t>
  </si>
  <si>
    <t>使用人工智能的自动化身体评估和运动损伤评估</t>
  </si>
  <si>
    <t>IN202141042396A</t>
  </si>
  <si>
    <t>团体运动员的团队运动运动预测是一项具有挑战性的任务,因为团队中的每个运动员在单独观察以及在团体中比赛时都有不同的行为和运动模式。 数据可以是要收集和预处理的图像、视频和传感器输入。 球队中球员的动态运动以及犯规、射门、机会、传球等事件都以时间序列记录。 通过网关提取特征并存储在云中。 具有机器学习的人工智能部署在高维数据上,用于发现聚类算法对相似事件进行分组的模式、用于学习的分类和用于关联团队成员行为的回归。 从预测和学习模型的可视化中,教练可以分析他们球队的实力,并可以让他们的球队球员为比赛做好准备。</t>
  </si>
  <si>
    <t>团队运动的集体运动预测和学习模型</t>
  </si>
  <si>
    <t>US11756379B2</t>
  </si>
  <si>
    <t>一种对现场体育赛事结果进行投注的系统。 该系统还包括利用人工智能来平衡输掉赌注的多少,以鼓励游戏玩家下更多的赌注,最终赢得更多的利润并获得更大的游戏玩家用户群。 这使得系统可以减少眼前的利润,以换取更大的市场份额带来的长期利润。</t>
  </si>
  <si>
    <t>AI体育博彩算法引擎</t>
  </si>
  <si>
    <t>CN113869161A</t>
  </si>
  <si>
    <t>本申请实施例提供一种基于人脸识别与骨骼算法实现智能跑道的方法和系统。该方法包括：在跑道入口设置摄像头，实时拍摄进入人员的脸部图像和全身图像，获得监控图像数据；解析所述脸部图像，通过人脸识别算法预测所述人员的年龄、性别；解析所述全身图像，通过骨骼算法预测所述人员的体检信息，所述体检信息至少包括性别、身高、体重、血压、以及心跳信息；当通过人脸识别算法预测的人员性别和通过骨骼算法预测的人员性别匹配度超过预设阈值时，将预测获得的所述人员的年龄、性别、身高、体重、血压、以及心跳信息输入训练好的人员分类神经网络，对所述人员的跑步训练类型进行分类；根据所述分类的结果，推荐并展示所述人员的跑步训练方法。本发明能够在人员进入跑道时，及时、准确、科学的提出跑步训练建议，提升用户体验。</t>
  </si>
  <si>
    <t>一种基于人脸识别与骨骼算法实现智能跑道的方法和系统</t>
  </si>
  <si>
    <t>CN113920580A</t>
  </si>
  <si>
    <t>本申请实施例提供一种基于物联网、无感识别、AI识别智慧健身方法和系统。该方法包括：在社区健身区域入口设置RFID读卡器，读取进入健身区域的人员基本信息，在社区健身区域的不同位置布设多个摄像头，实时拍摄目标人员的脸部图像和全身图像，获得监控图像数据；使用毫米波雷达向目标人员发送多个检测信号，并对应接收多个反射信号；解析脸部图像和全身图像，通过AI算法得到人员的表情类型和健身动作；根据反射信号进行处理，获取心率曲线图；提取人员的年龄、性别、身高、体重、表情类型、健身动作、心率曲线图，输入训练好的卷积神经网络里，从而对目标人员的健身类型进行分类；根据分类结果，推荐并展示人员的优化健身方法。本申请可以为各类健身人员提供科学有效的健身训练方法。</t>
  </si>
  <si>
    <t>一种基于物联网、无感识别、AI识别智慧健身方法和系统</t>
  </si>
  <si>
    <t>CN113808167A</t>
  </si>
  <si>
    <t>本发明提供一种基于视频数据的排球运动轨迹检测方法，从摄像机捕捉的多视角同步排球视频中，利用基于深度学习的目标检测模型，有效的检测并计算排球的运动轨迹。该方法包括：排球目标检测、运动轨迹匹配筛选、运动轨迹三维重构；本发明提供的方法能够帮助教练通过录制多视角视频的方式，充分利用好排球视频数据，有效捕捉视频中运动的排球轨迹，并自动化地计算轨迹的相关参数，可以辅助教练完善排球训练流程。球轨迹的提取准确率达到94％，球落点误差范围只有0.2～0.3m。</t>
  </si>
  <si>
    <t>一种基于视频数据的排球运动轨迹提取方法</t>
  </si>
  <si>
    <t>CN113869160A</t>
  </si>
  <si>
    <t>本申请实施例提供一种人脸识别、无感心率识别、跑步姿态、表情识别综合方法和系统。该方法包括：在公园跑道的不同位置布设多个摄像头，实时拍摄目标人员的脸部图像和全身图像，获得监控图像数据；在每个摄像头附近布设一个毫米波雷达，所述毫米波雷达能够进行检测信号的收发；使用所述毫米波雷达向目标人员发送多个检测信号，并对应接收多个反射信号；提取所述人员的年龄、性别、表情类型、跑步姿态、心率曲线图，输入训练好的卷积神经网络里，从而对所述目标人员的身体舒适度类型进行分类；根据所述身体舒适度类型，向对应所述人员的家庭人员或公园管理人员发送相应信息。本申请能够准确、及时的监控公园锻炼的老人等人群的状态，当出现身体不适等紧急情况时，为公园管理者、亲属提供及时的通知或预警。</t>
  </si>
  <si>
    <t>一种人脸识别、无感心率识别、跑步姿态、表情识别综合方法和系统</t>
  </si>
  <si>
    <t>CN215848218U</t>
  </si>
  <si>
    <t>本实用新型提供一种语音遥控乒乓球机器人，其包括机器人本体、电控单元、拾音器和语音识别器；机器人本体包括机器人腕部、肘部、肩部和腰部；电控单元包括电源装置、发球控制器、电机驱动器、腕部电机、肘部电机、肩部电机和腰部电机；发球控制器与电机驱动器连接，电机驱动器与腕部电机、肘部电机、肩部电机和腰部电机连接；拾音器与语音识别器连接，语音识别器与发球控制器连接；拾音器用于获取使用者的语音信号，并发送给语音识别器；语音识别器从语音信号中识别出语音指令并发送给发球控制器。本实用新型操作简单方便快捷，更具人性化；能够很好地进行人机交互。</t>
  </si>
  <si>
    <t>一种语音遥控乒乓球机器人</t>
  </si>
  <si>
    <t>WO2022061165A1</t>
  </si>
  <si>
    <t>数据分析平台为高级分析和机器学习提供对联合数据的安全访问。 没有原始数据被暴露或移出其原始位置,从而提供数据隐私。 位于提供商云中的协调器与每个客户端数据孤岛中的运行器进行通信。 跑步者确保没有原始私人数据暴露给协调者。 筒仓管理器在客户端数据筒仓中实现,以便远程管理和维护平台的客户端云组件。 在一些实施例中,为了隐私和合规,平台可以匿名化验证模型,并且用户可以在原始数据位置之外导出和部署安全模型。</t>
  </si>
  <si>
    <t>联合私有数据分析平台</t>
  </si>
  <si>
    <t>CN307326769S</t>
  </si>
  <si>
    <t>1.本外观设计产品的名称：显示屏幕面板的卡片形状图形用户界面。
 2.本外观设计产品的用途：显示屏幕面板用于显示界面内容。
 3.本外观设计产品的设计要点：在于显示的界面内容。
 4.最能表明设计要点的图片或照片：设计1主视图。
 5.惯常设计，省略显示屏幕面板的其它视图。
 6.指定设计1为基本设计。
 7.图形用户界面的用途：用于人机交互和实现显示屏幕面板的功能，并且可以用于卡片形状的变化。
 8.图形用户界面的人机交互方式：图形用户界面可以通过点击并滑动图形用户界面交互。
 9、图形用户界面的变化状态说明：若用户点击并滑动设计1主视图左上角的圆圈，该界面跳转至设计1变化状态图；若用户点击并滑动设计2主视图右上角的圆圈，该界面跳转至设计2变化状态图1，若用户点击设计2变化状态图1右边的斜线，该界面跳转至设计2变化状态图2，若用户点击并滑动设计2变化状态图2右边的斜线上的较小圆圈，该界面跳转至设计2变化状态图3；若用户点击并滑动设计3主视图左上角的圆圈，该界面跳转至设计3变化状态图1，若用户点击并滑动设计3变化状态图1右上角的圆圈，该界面跳转至设计3变化状态图2，若用户点击设计3变化状态图2右边的斜线和左边的斜线，该界面跳转至设计3变化状态图3，若用户点击并滑动设计3变化状态图3右边的斜线上的较小圆圈，该界面跳转至设计3变化状态图4。
 10、显示屏幕面板可以应用于计算机、笔记本电脑、平板电脑、手机、智能手机、智能手环、智能眼镜、手表、智能手表、健身监视器、头戴式耳机、个人数字助理、智能音箱、电视、监视器、投影仪、机顶盒、游戏机、导航仪、用于车辆的显示装置。</t>
  </si>
  <si>
    <t>显示屏幕面板的卡片形状图形用户界面</t>
  </si>
  <si>
    <t>CN307516901S</t>
  </si>
  <si>
    <t>1.本外观设计产品的名称：用于显示屏幕面板的健身互动图形用户界面。
 2.本外观设计产品的用途：本外观设计产品用于显示信息、运行程序，该显示屏幕面板用于手机、电脑、平板电脑。
 3.本外观设计产品的设计要点：在于屏幕中的图形用户界面内容，显示屏幕面板为现有设计，界面中的文字内容仅用于指明内容区域，文字本身并非本外观设计的保护内容。
 4.最能表明设计要点的图片或照片：界面变化状态图1。
 5.产品硬件部分为常规设计，省略后视图、左视图、右视图、俯视图以及仰视图。
 6.图形用户界面的用途：本外观设计产品用于娱乐互动以及健身。
 7.图形用户界面的人机交互方式：向上滑动主视图，以进入界面变化状态图1，点击界面变化状态图1界面中部“更多合拍小节”，可进入界面进入变化状态图2，当点击界面变化状态图1界面中“开始合拍”按钮，以进入界面变化状态图3，当加载完成时，以进入界面变化状态图4，点击界面变化状态图4&amp;nbsp;右侧“开始合拍”按钮，可进入界面变化状态图5开始录制，当点击界面变化状态图5界面中任意位置，以进入界面变化状态图6，点击界面变化状态图6任一位置，可进入界面变化状态图7，点击界面变化状态图7右上方“提前完成合拍”按钮，可进入界面变化状态图8。</t>
  </si>
  <si>
    <t>EP4200775A1</t>
  </si>
  <si>
    <t>联合私有数据的分析平台</t>
  </si>
  <si>
    <t>CN113536789B</t>
  </si>
  <si>
    <t>本发明涉及人工智能领域，提供一种算法比赛关联性预测方法、装置、设备及介质，能够在按照比例拆分后，利用每个字的相似字替换每个第一子集中对应的字，将每个第二子集中的字替换为随机字，及将每个第三子集中的字替换为掩码，利用替换后的所述第二样本集训练BERT模型，得到预测模型，采用屏蔽及替换的方法进行完形填空式的训练，由于屏蔽及替换的方式更加符合中文特征，替换方式多样，有效提升了训练效果，使训练得到的预测模型能够适用于中文场景，进而基于改进的模型实现对数据间关联性的准确预测，由于模型的训练方式更加符合中文特征，因此预测的准确率也更高。此外，本发明还涉及区块链技术，预测模型可存储于区块链节点中。</t>
  </si>
  <si>
    <t>算法比赛关联性预测方法、装置、设备及介质</t>
  </si>
  <si>
    <t>CN307024061S</t>
  </si>
  <si>
    <t>1.本外观设计产品的名称：智能健身镜。
 2.本外观设计产品的用途：应用于健身领域，可以进行大数据收集、图像采集、人机交互的智能镜子。
 3.本外观设计产品的设计要点：在于产品的形状、图案及其结合。
 4.最能表明设计要点的图片或照片：立体图1。</t>
  </si>
  <si>
    <t>智能健身镜</t>
  </si>
  <si>
    <t>CN114001588A</t>
  </si>
  <si>
    <t>本申请公开了无人机激光射击系统和靶标识别系统，其中无人机激光射击系统包括：若干个与靶标对应的靶标识别系统，与靶标识别系统对应的单机显示设备，以及与靶标识别系统对应的无人机；无人机，用于对外发射激光，以及用于向对应的靶标识别系统发送射频信号；靶标识别系统，用于根据接收到的射频信号，获取对应靶标的靶标图像，根据靶标图像识别出该次激光射击对应的激光打靶成绩，根据激光打靶成绩确定成绩展示数据，将成绩展示数据发送给对应的单机显示设备；单机显示设备，用于显示接收到的成绩展示数据。该技术方案填补了利用无人机进行激光射击的空白，可应用于教学、比赛等诸多场景，能够因地制宜地在室内较为有限的空间中开展实施。</t>
  </si>
  <si>
    <t>无人机激光射击系统和靶标识别系统</t>
  </si>
  <si>
    <t>US20220080260A1</t>
  </si>
  <si>
    <t>公开了用于在用户计算设备上进行姿势比较、交互式物理游戏和远程健身训练的方法和系统。 该方法和系统被配置为首先接收从参考视频的帧生成的参考特征,该参考特征是根据参考视频的帧中参考人的参考姿势计算的。 接着,接收一帧用户视频,该用户视频帧包括用户。 接下来,通过执行基于机器学习的计算机视觉算法,检测用户视频图像平面中用户的一个或多个身体关键点,从用户视频的帧中提取用户姿势。 最后,根据用户姿势生成用户特征; 根据参考特征和用户特征之间的距离确定输出分数。</t>
  </si>
  <si>
    <t>使用移动计算设备的姿势比较系统和方法</t>
  </si>
  <si>
    <t>US20220080263A1</t>
  </si>
  <si>
    <t>在一个实施例中,一种方法包括通过一个或多个计算设备访问来自一个或多个播放器上的一个或多个可穿戴传感器的用户传感器数据和来自一个或多个摄像机的光学传感器数据,其中用户传感器数据包括该用户的位置数据。 球员和加速度数据,其中光学传感器数据包括描绘球员的几个帧和来自体育赛事的几个场景。 一个或多个计算设备使用机器学习模型分析光学传感器数据以识别运动员和运动赛事期间的一项或多项动作,并基于用户传感器数据和 确定的行动。 一个或多个计算设备基于一个或多个加权参数对玩家的玩家指标进行标准化,并向一个或多个用户提供报告。</t>
  </si>
  <si>
    <t>运动操作系统</t>
  </si>
  <si>
    <t>CN307279686S</t>
  </si>
  <si>
    <t>1.本外观设计产品的名称：带地图模型图形用户界面的显示屏幕面板（智慧农业）。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t>
  </si>
  <si>
    <t>带地图模型图形用户界面的显示屏幕面板（智慧农业）</t>
  </si>
  <si>
    <t>CN307279688S</t>
  </si>
  <si>
    <t>1.本外观设计产品的名称：带地图模型图形用户界面的显示屏幕面板（综合治理）。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t>
  </si>
  <si>
    <t>带地图模型图形用户界面的显示屏幕面板（综合治理）</t>
  </si>
  <si>
    <t>CN307279687S</t>
  </si>
  <si>
    <t>1.本外观设计产品的名称：带地图模型图形用户界面的显示屏幕面板（未来基建）。
 2.本外观设计产品的用途：用于显示界面。
 3.本外观设计产品的设计要点：在于显示屏幕面板中图形用户界面的界面内容。
 4.最能表明设计要点的图片或照片：主视图。
 5.无设计要点，省略其他视图。
 6.图形用户界面的用途：用于ROBOSIM的虚拟仿真软件中的比赛地图。
 7.图形用户界面在产品中的区域：主视图全部屏幕。
 8.图形用户界面的变化状态说明：主视图为主要观察界面，可通过人机交互模式拖动、旋转模型，改变观察角度。
 9.界面变化状态图1、界面变化状态图2、界面变化状态图3、界面变化状态图4分别为长按主视图中四个角的一点并拖动不同角度后显示的观察界面；同时长按界面变化状态图1、界面变化状态图2、界面变化状态图3、界面变化状态图4的任一点并拖动至模型顶部后可返回到主视图。</t>
  </si>
  <si>
    <t>带地图模型图形用户界面的显示屏幕面板（未来基建）</t>
  </si>
  <si>
    <t>KR1020230040630A</t>
  </si>
  <si>
    <t>本发明公开了一种基于深度学习的癫痫发作诊断方法和装置。 根据本发明,一种处理器; 以及与处理器连接的存储器,其中对从用户的多个部分获得的脑电信号进行预处理,并通过基于卷积神经网络的时空频率网络提取预处理后的脑电信号的第一特征向量.并通过因果卷积层接收从当前待诊断癫痫发作的时间点t开始的前一时间点的第一特征向量,提取前一时间点到当前时间点各时间段的第二特征向量,扩展合成DIP存储处理器执行的程序指令,通过乘法层提取当前时间点之后的第三特征向量,并使用提取的第三特征向量判断是否存在癫痫发作。提供了一种基于跑步的癫痫发作诊断装置。</t>
  </si>
  <si>
    <t>基于深度学习的癫痫发作诊断方法及装置</t>
  </si>
  <si>
    <t>CN113743909A</t>
  </si>
  <si>
    <t>本发明涉及一种用于监管游泳场馆的方法、智能终端、及系统,属于人工智能监管技术领域。方法包括:S1:适合于游泳场馆管理的灵活营业时间或固定周期的管理方式，对场馆的营业状态与非营业状态进行明显区分；S2：智能终端接收配置信息，所述智能终端支持不同类型的硬件接口及通信协议；S3：所述智能终端采集监测数据，并将所述监测数据上传至远程服务器；S4：所述智能终端接收用户的反馈信息，并根据预定的准则对所述游泳场馆进行评价，输出显示、并上传评价结果。本发明的智能终端支持场馆的多种营业时间设置，多种硬件接口，支持自定义采集协议，实现与多种监测设备适配，完成对在线监测数据的采集和游泳场馆的评价，并实时上传至远程服务器，数据上报、匹配准确及时，可快速对接监督系统，提高了监督效率，节省人力物力。</t>
  </si>
  <si>
    <t>一种用于监管游泳场馆的方法、智能终端、及系统</t>
  </si>
  <si>
    <t>CN215876182U</t>
  </si>
  <si>
    <t>本实用新型公开的一种用于训练的六自由度VR自行车，属于体育工程技术领域。本实用新型包括曲面屏幕、六自由度平台、VR眼镜、可变阻尼装置显示器、可变阻尼装置调节器，还包括多通道信号采集单元、数据处理单元、人机交互单元和结果显示单元。VR自行车通过支架固定在六自由度平台之上，阻尼装置的显示器连接于VR自行车把手中间，用于显示当前赛道地理特征下，骑行者受到的实时综合阻力。本实用新型基于VR技术实现沉浸式训练，六自由度VR自行车能够提升骑手实时感知路面坡度、赛道阻力的真实感，此外，基于VR技术的在线自行车公开赛能够节约时间成本，高效便捷，也能够对骑手提供个性化竞赛训练指导，有效提升用户的训练效率。</t>
  </si>
  <si>
    <t>一种用于训练的六自由度VR自行车</t>
  </si>
  <si>
    <t>CN307192321S</t>
  </si>
  <si>
    <t>1.本外观设计产品的名称：显示屏幕面板的媒体相册交互图形用户界面。
 2.本外观设计产品的用途：本外观设计产品用于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投影仪、激光电视的显示屏幕面板，通过人机交互实现媒体相册的相关功能。
 3.本外观设计产品的设计要点：在于屏幕中的图形用户界面的内容。
 4.最能表明设计要点的图片或照片：设计1界面变化状态图1。
 5.显示屏幕面板为惯常设计，省略其他视图。
 6.指定设计1为基本设计。
 7.图形用户界面的用途：主要内容是媒体相册人机交互操作,选择不同的相册模板及根据个人喜好添加照片/图片/视频，并滚动播放。
 8.图形用户界面的人机交互方式：设计1主视图为显示屏幕打开时的默认界面，滑动界面/遥控选择/手势操作，界面由设计1主视图变换为设计1界面变化状态图1；选择设计1界面变化状态图1底部的任一相册模板，界面变换为设计1界面变化状态图2。
 设计2主视图为显示屏幕打开时的默认界面，滑动界面/遥控选择/手势操作，界面由设计2主视图变换为设计2界面变化状态图1；选择设计2界面变化状态图1底部的任一相册模板，界面变换为设计2界面变化状态图2。
 设计3主视图为显示屏幕打开时的默认界面，滑动界面/遥控选择/手势操作，界面由设计3主视图变换为设计3界面变化状态图1；选择设计3界面变化状态图1底部的任一相册模板，界面变换为设计3界面变化状态图2。
 设计4主视图为显示屏幕打开时的默认界面，滑动界面/遥控选择/手势操作，界面由设计4主视图变换为设计4界面变化状态图1；选择设计4界面变化状态图1底部的任一相册模板，界面变换为设计4界面变化状态图2。
 设计5主视图为显示屏幕打开时的默认界面，滑动界面/遥控选择/手势操作，界面由设计5主视图变换为设计5界面变化状态图1，选择设计5界面变化状态图1底部的任一轮播时间，相册可定时轮换播放。
 其中，界面中“灰色图块”表示为可变图片，当点击上述界面的任一独立相框可以替换相框中的图片/照片/视频，相框中播放的可以是静态图片，动态图片，也可以是视频。</t>
  </si>
  <si>
    <t>显示屏幕面板的媒体相册交互图形用户界面</t>
  </si>
  <si>
    <t>CN307192320S</t>
  </si>
  <si>
    <t>1.本外观设计产品的名称：显示屏幕面板的时钟交互图形用户界面。
 2.本外观设计产品的用途：本外观设计产品用于计算机、笔记本电脑、平板电脑、手机、智能手机、手表、智能手表、健身监视器、头戴式耳机、个人数字助理、智能音箱、电视、机顶盒、投影仪、激光电视的显示屏幕面板的数字时钟的人机交互操作。
 3.本外观设计产品的设计要点：在于屏幕中的图形用户界面的内容。
 4.最能表明设计要点的图片或照片：设计1主视图。
 5.显示屏幕面板为惯常设计，省略其他视图。
 6.指定设计1为基本设计。
 7.图形用户界面的用途：主要内容是通过人机交互操作或时间推移,使时钟和时间与用户产生互动反馈，提高用户的操作体验。
 8.图形用户界面的人机交互方式：设计1主视图为数字时钟的主界面，用户通过选择界面中的数字或时钟图标进入下一界面，可变更数字表达形式或表盘形式；设计2主视图、设计3主视图、设计5主视图为数字时钟的主界面，用户通过选择界面中的数字或时钟图标进入下一界面，可变更数字表达形式或表盘形式；设计4主视图为数字时钟的主界面，随时间变化，界面由设计4主视图变换为设计4界面变化状态图，时间显示的数字由没有开花到逐渐盛开花朵；设计6主视图为数字时钟的主界面，随着时间推移，时钟的指针旋转，同时数字时间不断变化，界面变换为设计6界面变化状态图；设计7主视图为数字时钟的主界面，当数字达到整点时，界面由设计7主视图变换为设计7界面变化状态图，数字上逐渐盛开花朵。
 其中，时钟的指针随时间的推移而转动，且随时间推进，数字时间区域的数字不断变化，设计1主视图界面中“表盘中间”表示为可变图片，界面中的“XX”表示为可变数字或文字。</t>
  </si>
  <si>
    <t>显示屏幕面板的时钟交互图形用户界面</t>
  </si>
  <si>
    <t>WO2022060899A1</t>
  </si>
  <si>
    <t>CN307279674S</t>
  </si>
  <si>
    <t>1.本外观设计产品的名称：显示屏幕面板的音律特效交互图形用户界面。
 2.本外观设计产品的用途：本外观设计产品用于计算机、笔记本电脑、平板电脑、手机、智能手机、可穿戴设备、手表、智能手表、健身监视器、头戴式耳机、智能音箱、电视、机顶盒、投影设备、投影仪、激光电视的显示屏幕面板的音律特效程序操作及显示图形用户界面。
 3.本外观设计产品的设计要点：在于屏幕中的图形用户界面的内容。
 4.最能表明设计要点的图片或照片：主视图。
 5.显示屏幕面板为惯常设计，省略其他视图。
 6.图形用户界面的用途：主要内容是通过选定不同的音乐动效卡片，根据用户的喜好定制不同的音乐播放界面的动态效果，提升用户的使用体验。
 7.图形用户界面的人机交互方式：主视图为音乐动效选择的主界面，当用户滑动界面/遥控选择/手势操作，界面由主视图变换为界面变化状态图，用户可滑动界面/遥控选择/手势任意操作，被选定的界面底部的卡片会变大，通过选择界面中的按键或图标进入下一界面；其中，界面中“灰色图块”表示为可变图片。</t>
  </si>
  <si>
    <t>显示屏幕面板的音律特效交互图形用户界面</t>
  </si>
  <si>
    <t>CN307279673S</t>
  </si>
  <si>
    <t>1.本外观设计产品的名称：显示屏幕面板的意境背景选择的图形用户界面。
 2.本外观设计产品的用途：本外观设计产品用于计算机、笔记本电脑、平板电脑、手机、智能手机、可穿戴设备、手表、智能手表、健身监视器、头戴式耳机、智能音箱、电视、机顶盒、投影仪、激光电视的显示屏幕面板的意境背景加载的操作和图形用户界面的显示。
 3.本外观设计产品的设计要点：在于屏幕中的图形用户界面的内容。
 4.最能表明设计要点的图片或照片：设计1主视图。
 5.显示屏幕面板为惯常设计，省略其他视图。
 6.指定设计1为基本设计。
 7.图形用户界面的用途：主要内容是通过交互操作根据用户的需求选择不同的界面意境背景，并了解所选意境背景的相关信息和直观显示给用户界面内容。
 8.图形用户界面的人机交互方式：设计1主视图为默认意境背景的主界面，当用户根据界面提示遥控选择/手势或触控操作，界面由设计1主视图变换为设计1界面变化状态图，顶部出现一行功能选项，通过选择界面中的按键或图标进入下一界面；设计2主视图为默认意境背景的主界面，当用户根据界面提示遥控选择/手势或触控操作，界面由设计2主视图变换为设计2界面变化状态图，显示作品详情，通过选择界面中的按键或图标进入下一界面；其中，界面中“灰色图块”表示为可变图片或视频。</t>
  </si>
  <si>
    <t>显示屏幕面板的意境背景选择的图形用户界面</t>
  </si>
  <si>
    <t>CN307407877S</t>
  </si>
  <si>
    <t>1.本外观设计产品的名称：用于显示屏幕面板的交互操作图形用户界面。
 2.本外观设计产品的用途：本外观设计产品用于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投影仪、激光电视的显示屏幕面板的数字时间花园反馈的操作功能。
 3.本外观设计产品的设计要点：在于屏幕中的图形用户界面的内容。
 4.最能表明设计要点的图片或照片：设计1主视图。
 5.显示屏幕面板为惯常设计，省略其他视图。
 6.指定设计1为基本设计。
 7.图形用户界面的用途：主要内容是通过交互操作或时间推移,将时间对应的时间花园反馈给用户。
 8.图形用户界面的人机交互方式：设计1主视图为时间花园的主界面，当用户在界面前移动/手势操作/遥控选择/时钟到达整点时，界面由设计1主视图变换为设计1界面变化状态图，时间花园的花朵由半开花到完全盛开，也可以跟随用户的选择局部盛开花朵，同时飞出蝴蝶；设计2主视图为时间花园的主界面，当用户在界面前移动/手势操作/遥控选择/时钟到达整点时，界面由设计2主视图变换为设计2界面变化状态图，时间花园的花朵由半开花到完全盛开，也可以跟随用户的选择局部盛开花朵，同时飞出蝴蝶；设计3主视图为时间花园的主界面，当用户在界面前移动/手势操作/遥控选择/时钟到达整点时，界面由设计3主视图变换为设计3界面变化状态图，时间花园的花朵由半开花到完全盛开，也可以跟随用户的选择局部盛开花朵，同时飞出蝴蝶；设计4主视图为时间花园的主界面，当用户在界面前移动/手势操作/遥控选择/时钟到达整点时，界面由设计4主视图变换为设计4界面变化状态图，时间花园的花朵由半开花到完全盛开，也可以跟随用户的选择局部盛开花朵，同时飞出蝴蝶；设计5主视图为时间花园的主界面，当用户在界面前移动/手势操作/遥控选择/时钟到达整点时，界面由设计5主视图变换为设计5界面变化状态图，时间花园的花朵由半开花到完全盛开，也可以跟随用户的选择局部盛开花朵，同时飞出蝴蝶；设计6主视图为时间花园的主界面，当用户在界面前移动/手势操作/遥控选择/时钟到达整点时，界面由设计6主视图变换为设计6界面变化状态图，时间花园的花朵由半开花到完全盛开，也可以跟随用户的选择局部盛开花朵，同时飞出蝴蝶；设计7主视图至设计10主视图为时间花园随时间变化的图，例如从设计7到设计10主视图依次可为上午、下午、晚上、夜间对应的主界面；其中，设计7主视图为时间花园的主界面，当用户在界面前移动/手势操作/遥控选择/时间变化，界面由设计7主视图变换为设计7界面变化状态图，时间花园的花朵由半开花到完全盛开；设计8主视图为时间花园的主界面，当用户在界面前移动/手势操作/遥控选择/时间变化，界面由设计8主视图变换为设计8界面变化状态图，时间花园的花朵由半开花到完全盛开；设计9主视图为时间花园的主界面，当用户在界面前移动/手势操作/遥控选择/时间变化，界面由设计9主视图变换为设计9界面变化状态图，时间花园的花朵由半开花到完全盛开；设计10主视图为时间花园的主界面，当用户在界面前移动/手势操作/遥控选择/时间变化，界面由设计10主视图变换为设计10界面变化状态图，时间花园的花朵由半开花到完全&amp;nbsp;盛开；其中，时钟的指针随时间的推移而转动，界面中的蝴蝶可以在界面中自由飞翔或随着用户手势的方向飞翔，界面中的蝴蝶的数量不限，界面中“灰色图块”表示为可变图片或视频，界面中的“XX”为可变数字或文字。</t>
  </si>
  <si>
    <t>用于显示屏幕面板的交互操作图形用户界面</t>
  </si>
  <si>
    <t>CN307412172S</t>
  </si>
  <si>
    <t>1.本外观设计产品的名称：显示屏幕面板的媒体音乐交互图形用户界面。
 2.本外观设计产品的用途：本外观设计产品用于计算机、笔记本电脑、平板电脑、手机、智能手机、手表、智能手表、健身监视器、头戴式耳机、智能音箱、电视、机顶盒、投影仪、激光电视的显示屏幕面板的媒体音乐程序操作及显示图形用户界面。
 3.本外观设计产品的设计要点：在于屏幕中的图形用户界面的内容。
 4.最能表明设计要点的图片或照片：设计1主视图。
 5.显示屏幕面板为惯常设计，省略其他视图。
 6.指定设计1为基本设计。
 7.图形用户界面的用途：主要内容是以音乐功能选择和播放为主要展示界面，通过用遥控/手势/触摸选择实现歌曲的选择和播放。
 8.图形用户界面的人机交互方式：设计1主视图至设计3主视图为媒体音乐选项的主界面，用户可滑动/遥控选择/手势操作界面，通过选择界面中的按键或图标进入下一界面。</t>
  </si>
  <si>
    <t>显示屏幕面板的媒体音乐交互图形用户界面</t>
  </si>
  <si>
    <t>CN307412173S</t>
  </si>
  <si>
    <t>1.本外观设计产品的名称：显示屏幕面板的动态天气图形用户界面。
 2.本外观设计产品的用途：本外观设计产品用于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投影仪、激光电视的显示屏幕面板的动态天气的人机交互操作。
 3.本外观设计产品的设计要点：在于屏幕中的图形用户界面的内容。
 4.最能表明设计要点的图片或照片：设计1主视图。
 5.显示屏幕面板为惯常设计，省略其他视图。
 6.指定设计1为基本设计。
 7.图形用户界面的用途：主要内容是通过人机交互操作或天气/温度变化,使温度显示和天气模块与用户产生互动反馈，提高用户的操作体验。
 8.图形用户界面的人机交互方式：设计1主视图至设计4主视图为动态天气的主界面，用户通过选择界面中的温度数字或天气画面进入下一界面；设计5主视图为动态天气之小雪的主界面，当温度改变时界面由设计5主视图变换为设计5界面变化状态图1，温度数字改变，当用户滑动/手势操作界面左侧的半圆形天气球，整个天气球跟随操作旋转，或者在不操作的状态下天气球自然旋转，界面由设计5界面变化状态图1变换至设计5界面变化状态图2；设计6主视图为动态天气之雾霾的主界面，当温度改变时界面由设计6主视图变换为设计6界面变化状态图1，温度数字改变，当用户滑动/手势操作界面左侧的半圆形天气球，整个天气球跟随操作旋转，或者天气球自然旋转，界面由设计6界面变化状态图1变换至设计6界面变化状态图2；设计7主视图为动态天气之沙尘暴的主界面，当温度改变时界面由设计7主视图变换为设计7界面变化状态图1，温度数字改变，当用户滑动/手势操作界面左侧的半圆形天气球，整个天气球跟随操作旋转，或者天气球自然旋转，界面由设计7界面变化状态图1变换至设计7界面变化状态图2；设计8主视图为动态天气之晴天的主界面，当温度改变时界面由设计8主视图变换为设计8界面变化状态图1，温度数字改变，当用户滑动/手势操作界面左侧的半圆形天气球，整个天气球跟随操作旋转，或者天气球自然旋转，界面由设计8界面变化状态图1变换至设计8界面变化状态图2；设计9主视图为动态天气的主界面，当点击界面中的文字/天气画面，界面由设计9界面变化状态图1变换至设计5界面变化状态图2，显示更多温度及天气信息；设计10主视图为动态天气之大雨的主界面，当温度改变时界面由设计10主视图变换为设计10界面变化状态图1，温度数字改变，当用户滑动/手势操作界面左侧的半圆形天气球，整个天气球跟随操作旋转，或者天气球自然旋转，界面由设计10界面变化状态图1变换至设计10界面变化状态图2；其中，天气球随时间的推移而转动，天气球可以是立体天气球，也可以是平面天气球，温度区域的数字随温度的改变不断变化，温度数字呈不开花到开花的状态,界面中“灰色图块”表示为可变图片，界面中的“XX”表示为可变数字或文字。</t>
  </si>
  <si>
    <t>显示屏幕面板的动态天气图形用户界面</t>
  </si>
  <si>
    <t>CN307412230S</t>
  </si>
  <si>
    <t>1.本外观设计产品的名称：显示屏幕面板的背景选择的动态图形用户界面。
 2.本外观设计产品的用途：本外观设计产品用于计算机、笔记本电脑、平板电脑、手机、智能手机、手表、智能手表、健身监视器、头戴式耳机、智能音箱、电视、机顶盒、投影仪、激光电视的显示屏幕面板的意境背景加载的操作和图形用户界面的显示。
 3.本外观设计产品的设计要点：在于屏幕中的图形用户界面的内容。
 4.最能表明设计要点的图片或照片：主视图。
 5.显示屏幕面板为惯常设计，省略其他视图。
 6.图形用户界面的用途：主要内容是通过交互操作根据用户的需求选择不同的界面意境背景，并了解所选意境背景的相关信息和直观显示给用户界面内容。
 7.图形用户界面的人机交互方式：主视图为意境背景的作品详情界面，当用户点击界面操作选择下一意境界面时，界面由主视图变换为界面变化状态图1，处于界面加载的过程中，界面变化状态图1与界面变化状态图2交替呈现，当加载完成可跳转至下一界面；其中，界面中“灰色图块”表示为可变图片或视频。</t>
  </si>
  <si>
    <t>显示屏幕面板的背景选择的动态图形用户界面</t>
  </si>
  <si>
    <t>CN307150949S</t>
  </si>
  <si>
    <t>1.本外观设计产品的名称：带智能学习引导界面的显示屏幕面板。
 2.本外观设计产品的用途：本外观设计产品用于手机、台式电脑、笔记本电脑、平板电脑、电视、带显示屏幕的冰箱、带显示屏幕的空调、带显示屏幕的洗衣机、带显示屏幕的热水器、带显示屏幕的抽油烟机、带显示屏幕的洗碗机、带显示屏幕的集成灶、带显示屏幕的蒸烤箱、手表、带显示屏幕的机器人、车载导航仪、带显示屏的汽车显示装置、GPS装置、智能手环、智能眼镜、个人数字助理、带显示屏的智能音箱、带显示屏的机顶盒、游戏机、健身监视器的显示屏面板，通过智能学习引导用户自主选择提高技能和生活质量。
 3.本外观设计产品的设计要点：在于屏幕中的图形用户界面的内容。
 4.最能表明设计要点的图片或照片：主视图。
 5.显示屏幕面板为惯常设计，省略其他视图。
 6.图形用户界面的用途：通过智能学习引导模式，并根据用户喜好为用户匹配需要提升技能的领域，并为用户的工作、学习和生活提供智能帮助。
 7.图形用户界面的人机交互方式：主视图为智能学习引导的主界面，通过选择界面中的对应图片区域/图标/文字进入下一界面，其中，界面中“灰色图块”表示为可变图片，界面中的“XX”表示为可变数字或文字。
 具体地，可以通过点击不同的头像图片区域块，在对应的展示区域块中展示不同头像图片区域块对应的用户的信息，例如用户的兴趣信息、计划信息、推荐信息等各种类型信息。</t>
  </si>
  <si>
    <t>带智能学习引导界面的显示屏幕面板</t>
  </si>
  <si>
    <t>CN114327702A</t>
  </si>
  <si>
    <t>本发明涉及一种基于三维立体操作实现无线电监测系统界面交互操作功能的系统，包括具有三维立体按钮模块，采用三维立方体的形式来区分功能板块，所述的三维立方体具有六个平面，每个平面上均具有多个功能按键。采用了本发明的基于三维立体操作实现无线电监测系统界面交互操作功能的系统，提升了用户的体验，视觉效果直观明了，总体性强；避免了繁琐的操作步骤，简单高效的操作帮助用户快速完成任务；减少了屏幕空间的浪费，人机交互、操作逻辑、界面美观的整体设计，使软件的外观设计变得个性有品位；避免了一般平面效果图视角单一，比起平面图更直观、生动、立体感强，更易于理解。</t>
  </si>
  <si>
    <t>基于三维立体操作实现无线电监测系统界面交互操作功能的系统</t>
  </si>
  <si>
    <t>CN113781523A</t>
  </si>
  <si>
    <t>本发明属于计算机视觉领域，公开了一种足球检测跟踪方法及装置、电子设备、存储介质，包括：获取俯视视角下的球场视频序列，所述球场视频序列为连续帧的视频图像；对所述球场视频序列中的当前帧采用全局检测算法进行检测，获得球的初始位置；根据点球点判断算法，判断所述球的初始位置是否是点球点，若不是点球点，则所述球的初始位置为上一帧位置结果；根据所述上一帧位置结果，通过多算法融合的跟踪算法对所述球场视频序列进行跟踪，获得跟踪位置结果。本发明可以实现对俯视场景足球的稳定实时跟踪。</t>
  </si>
  <si>
    <t>一种足球检测跟踪方法及装置、电子设备、存储介质</t>
  </si>
  <si>
    <t>CN215841477U</t>
  </si>
  <si>
    <t>本实用新型公开了一种智能调节锻炼用的运动器械，包括主体结构、水平调节装置和活动件，所述主体结构的底部安装有底座，所述主体结构的两侧对称分布安装有水平调节装置，所述水平调节装置的底部内侧和顶部内侧开设有水平插销孔，所述水平调节装置的内侧活动安装有竖直调节装置，且竖直调节装置顶部和底部与水平插销孔相嵌合，所述竖直调节装置的内侧安装有活动件。本实用新型通过在主体结构的正面安装有人机交互系统，通过人机交互系统使该健身器材更加的智能化，人机交互系统与伺服电机、控制器通讯，可设置位置坐标、力量大小、运动模式等，方便使用者进行使用，使使用者能够得到更好的训练。</t>
  </si>
  <si>
    <t>一种智能调节锻炼用的运动器械</t>
  </si>
  <si>
    <t>CN307645332S</t>
  </si>
  <si>
    <t>1.本外观设计产品的名称：用于显示屏幕面板的等待返券图形用户界面。
 2.本外观设计产品的用途：本外观设计产品用于计算机、笔记本电脑、平板电脑、手机、智能手机、手表、智能手表、健身监视器、头戴式耳机、智能音箱、电视、机顶盒、的显示屏幕面板，用于运行程序和显示信息。
 3.本外观设计产品的设计要点：在于屏幕中的图形用户界面的内容。
 4.最能表明设计要点的图片或照片：设计1主视图。
 5.显示屏幕面板为惯常设计，省略其他视图。
 6.指定设计6为基本设计。
 7.图形用户界面的用途：用户在操作界面等待过程中，展示界面等待进度的变化过程及通过人机交互操作程序。
 8.图形用户界面的人机交互方式：设计1主视图至设计5主视图图形用户界面可以通过轻击图形用户界面或图形用户界面中的图标来交互，以载入另一个图形用户界面或运行应用；设计6主视图为用户等待开始的界面随着时间推移界面依次变换为设计6界面变化状态图1、设计6界面变化状态图2、设计6界面变化状态图3、设计6界面变化状态图4，界面变换过程中可以通过轻击图形用户界面或图形用户界面中的图标来交互，以载入另一个图形用户界面或运行应用；其中，界面中“灰色图块”表示为可变图片。</t>
  </si>
  <si>
    <t>用于显示屏幕面板的等待返券图形用户界面</t>
  </si>
  <si>
    <t>CN307769380S</t>
  </si>
  <si>
    <t>1.本外观设计产品的名称：用于显示屏幕面板的等待返券图形用户界面。
 2.本外观设计产品的用途：本外观设计产品用于计算机、笔记本电脑、平板电脑、智能手机、智能手表、健身监视器、头戴式耳机、智能音箱、电视、机顶盒的显示屏幕面板，展示等待返券过程，及显示图形用户界面信息。
 3.本外观设计产品的设计要点：在于屏幕中的图形用户界面的内容。
 4.最能表明设计要点的图片或照片：设计1主视图。
 5.显示屏幕面板为惯常设计，省略其他视图。
 6.指定设计1为基本设计。
 7.图形用户界面的用途：用户在操作界面等待过程中，显示界面动画，通过随机盲盒吸引用户参与其中，实现人机交互的目的。
 8.图形用户界面的人机交互方式：设计1主视图为用户等待开始的界面随着时间推移界面依次变换为设计1界面变化状态图1、设计1界面变化状态图2，点击设计1界面变化状态图2小车左边的盲盒，界面变换为设计1界面变化状态图3，跳出随机盲盒返券界面；设计2主视图为用户等待开始的界面随着时间推移界面变换为设计2界面变化状态图1，点击设计2界面变化状态图1小车左边的盲盒，界面变换为设计2界面变化状态图2，跳出随机盲盒返券界面；设计3主视图为用户等待开始的界面随着时间推移界面变换为设计3界面变化状态图1，点击设计3界面变化状态图1最右边的盲盒，界面变换为设计3界面变化状态图2，跳出随机盲盒返券界面；其中，界面中“灰色图块”表示为可变图片。</t>
  </si>
  <si>
    <t>CN307500608S</t>
  </si>
  <si>
    <t>1.本外观设计产品的名称：显示屏幕面板的赛事预言的图形用户界面。
 2.本外观设计产品的用途：用于显示信息。
 3.本外观设计产品的设计要点：在于屏幕中的图形用户界面。
 4.最能表明设计要点的图片或照片：设计1主视图。
 5.指定设计1为基本设计。
 6.图形用户界面的用途：本图形用户界面为显示屏幕面板的赛事预言功能的图形用户界面，用于展示赛事预言信息；该显示屏幕可用于手机、计算机、平板电脑、可穿戴终端设备、车载导航仪。
 7.图形用户界面的人机交互方式：设计1至设计4中，主视图为选手预言界面，选手预言界面中显示待预言卡片，点击卡片中的“预言”按钮，界面跳转至界面变化状态图，界面变化状态图中显示选择预言选手界面，用户点击想要预言的选手卡片即可完成选择。
 设计5中，主视图为选手预言界面，选手预言界面中显示待预言卡片，点击设计5主视图界面中的卡片，界面跳转至设计5界面变化状态图，设计5界面变化状态图中显示选择预言选手界面，用户点击想要预言的选手卡片即可完成选择。
 设计6中，主视图为选手预言界面，选手预言界面中显示近期未进行的比赛日期时间条，以供用户知晓比赛日期，选手预言界面还显示待预言卡片，点击设计6主视图界面卡片中的“预言”按钮，界面跳转至设计6界面变化状态图，设计6界面变化状态图中显示选择预言选手界面，用户点击想要预言的选手卡片即可完成选择。
 设计7中，主视图为选手预言界面，界面中显示用户已选择的选手卡片，用户点击设计7主视图界面中的切换选手按钮后，界面跳转至设计7界面变化状态图，设计7界面变化状态图中显示选择预言选手界面，用户可在选择预言选手界面中点击想要预言的选手卡片，以重新选择预言选手。
 设计8中，主视图为选手预言界面，点击设计8主视图界面中“我的卡牌”按钮后，界面切换至设计8界面变化状态图，设计8界面变化状态图界面中显示我的卡牌界面，界面中显示用户已拥有的卡牌。
 设计9中，主视图为选手预言界面，设计9界面显示用户预言的比赛进行中，用户点击设计9主视图界面中已预言选手卡片，跳转至设计9界面变化状态图，设计9界面变化状态图界面中的卡片显示选手当前数据面板，以供用户查看选手表现。</t>
  </si>
  <si>
    <t>显示屏幕面板的赛事预言的图形用户界面</t>
  </si>
  <si>
    <t>CN307500609S</t>
  </si>
  <si>
    <t>1.本外观设计产品的名称：显示屏幕面板的赛事预言的图形用户界面。
 2.本外观设计产品的用途：显示信息。
 3.本外观设计产品的设计要点：在于屏幕中的图形用户界面。
 4.最能表明设计要点的图片或照片：设计1主视图。
 5.指定设计1为基本设计。
 6.图形用户界面的用途：本图形用户界面为显示屏幕面板的赛事预言功能的动态图形用户界面，用于展示赛事预言信息；该显示屏幕可用于手机、计算机、平板电脑、可穿戴终端设备、车载导航仪。
 7.图形用户界面的人机交互方式：设计1至设计4中，主视图为选手预言界面，选手预言界面中显示待预言卡片，点击设计1至设计4主视图界面中的卡片中的“预言”按钮，界面跳转至设计1至设计4界面变化状态图，设计1至设计4界面变化状态图中显示选择预言选手界面，用户点击想要预言的选手卡片即可完成选择。
 设计5中，主视图为选手预言界面，选手预言界面中显示待预言卡片，点击设计5主视图界面中的卡片，界面跳转至设计5界面变化状态图，设计5界面变化状态图中显示选择预言选手界面，用户点击想要预言的选手卡片即可完成选择。
 呈设计5的界面变化状态图的动态变化效果。
 设计6中，主视图为选手预言界面，选手预言界面中显示近期未进行的比赛日期时间条，以供用户知晓比赛日期，选手预言界面还显示待预言卡片，点击设计6主视图界面中的卡片中的“预言”按钮，界面跳转至设计6界面变化状态图，设计6界面变化状态图中显示选择预言选手界面，用户点击想要预言的选手卡片即可完成选择。
 呈设计6的界面变化状态图的动态变化效果。
 设计7中，主视图为选手预言界面，界面中显示用户已选择的选手卡片，用户点击设计7主视图界面中的切换选手按钮后，界面跳转至设计7界面变化状态图，设计7界面变化状态图中显示选择预言选手界面，用户可在选择预言选手界面中点击想要预言的选手卡片，以重新选择预言选手。
 呈设计7的界面变化状态图的动态变化效果。
 设计8中，主视图为选手预言界面，点击设计8主视图界面中“我的卡牌”按钮后，界面切换至设计8界面变化状态图，设计8界面变化状态图中显示我的卡牌界面，界面中显示用户已拥有的卡牌。
 呈设计8的界面变化状态图的动态变化效果。
 设计9中，主视图为选手预言界面，界面显示用户预言的比赛进行中，用户点击设计9主视图界面中的已预言选手卡片，跳转至设计9界面变化状态图，设计9界面变化状态图界面中的卡片显示选手当前数据面板，以供用户查看选手表现。</t>
  </si>
  <si>
    <t>CN307065389S</t>
  </si>
  <si>
    <t>1.本外观设计产品的名称：汽车中控显示屏的多媒体操作图形用户界面。
 2.本外观设计产品的用途：用于运行程序及显示界面。
 3.本外观设计产品的设计要点：在于屏幕中显示的图形用户界面内容，其余部分为惯常设计。
 4.最能表明设计要点的图片或照片：主视图。
 5.无设计要点，省略后视图、左视图、右视图、俯视图、仰视图。
 6.图形用户界面的用途：用于汽车中控显示屏幕上，通过多种操作控制车辆内部设备的图形用户界面。
 7.图形用户界面的人机交互方式：点击界面四周对应的图标可得到相应的界面，使用相应功能。
 界面中间圆形图标为语音交互区域，进行相应的操作可唤醒本产品。</t>
  </si>
  <si>
    <t>汽车中控显示屏的多媒体操作图形用户界面</t>
  </si>
  <si>
    <t>CN307203373S</t>
  </si>
  <si>
    <t>1.本外观设计产品的名称：用于显示屏幕面板的充电状态图形用户界面。
 2.本外观设计产品的用途：用于运行程序、信息显示、人机交互。
 3.本外观设计产品的设计要点：在于屏幕中的图形用户界面。
 4.最能表明设计要点的图片或照片：设计1主视图。
 5.指定设计1为基本设计。
 6.图形用户界面的用途：设计1主视图、设计2主视图、设计3主视图、设计4主视图、设计6主视图、设计7主视图、设计8主视图、设计9主视图为充电中的界面，其中，电量充至30%以下，显示为橘色，电量充至30%以上，变为绿色。
 设计5、设计10展示了充电状态的变化过程。
 7.其中，设计3和设计4要求保护色彩。
 8．该显示屏幕面板应用于计算机、笔记本电脑、平板电脑、手机、智能手表、智能音箱、电视、健身监视器、智能机器人。</t>
  </si>
  <si>
    <t>用于显示屏幕面板的充电状态图形用户界面</t>
  </si>
  <si>
    <t>CN113750501A</t>
  </si>
  <si>
    <t>本发明公开了一种智能网球发射器，包括机壳，机壳内设有调整腔，调整腔下端壁内设有控制腔，控制腔下侧设有第一角度调整机构，第一角度调整机构能够带动机壳绕着铰接轴进行转动，从而调整击球的竖直方向的角度，控制腔以及调整腔内设有第二角度调整机构，第二角度调整机构能够调整击球的水平方向的角度，机壳内设有发射机构，通过第一角度调整机构内设有的两个放置板的升降，完成网球竖直方向角度的调整，通过第二角度调整机构内设置的能够水平转动的发射器，实现网球水平方向角度的调整，保证网球训练的效果，通过设置的语音识别器实现训练人员远程即可操控，不需要走近进行调整，节约时间和精力。</t>
  </si>
  <si>
    <t>一种智能网球发射器</t>
  </si>
  <si>
    <t>KR102340519B1</t>
  </si>
  <si>
    <t>根据本发明实施例的基于线面识别的人工智能视频图像分析系统,包括:用户终端,通过运动姿势判断平台提供应用量化图像处理技术的运动姿势图像或视频; 并在用户终端传输的运动姿势图像或视频中提取身体区域后,将提取的身体区域处理成预设的健身数据,并将用户终端输入的运动姿势信息与标准健身数据进行比对,确定用户和数据处理服务器,将判断运动姿势的准确度和不准确度的结果发送给用户终端和教练员终端,预设的健身数据包括身体全身区域被分类为17的线和面健身点区域。它的特点是信息化。</t>
  </si>
  <si>
    <t>基于线面识别的运动姿态分析系统及方法</t>
  </si>
  <si>
    <t>SG10202109924PA</t>
  </si>
  <si>
    <t>该专利描述了基于网格的三轴的设计和功能 
  具有压力、温度和微电功能的超声波 SMART PAD 
  传感医疗诊断能力。 超声波 SMART PAD 还 
  用于跟踪、监控和记录 SMART 的实时数据和坐标 
  2D 图像捕捉过程的亚毫米精度传感器 
  超声图像以及将这些 2D 超声图像转换为 3D 
  超声图像。 
  · 本发明的最终目的是提供一种反馈机制 
  优化和量化超声图像捕获过程,这将使 
  高质量、标准化超声图像的可能性。 
  · 超声 SMART PAD 可以作为“独立”医疗设备 
  用于感觉和运动神经学评估的诊断仪器 
  功能以及目标器官的血管评估。 
  · 第二个目标和功能是 SMART PAD 还可以发挥作用 
  具有超声波智能传感器的集成系统能力。 
  · 该 SMART PAD 和 SMART SENSOR 集成系统将提供实时 
  关于位置、图案、跟踪和压力的时间反馈 
  2D 超声图像捕获过程中的超声智能传感器。 
  · SMART PAD-SMART SENSOR 集成系统还将提供实时 
  有关已识别目标器官总接触百分比的数据 
  在超声波成像过程中对表面进行成像。 
  · 本发明将作为一种实时、动态的超声成像和 
  医疗从业者和超声波技师的诊断仪器。 
  · SMART PAD 将实时捕获和传输感觉和运动信息 
  神经学诊断数据通过一个实时数据处理器(图7(d)) 
  USB 数据线。 
  · SMART PAD 将实时捕获和传输血管 
  目标器官脉搏和循环状态的诊断量化数据 
  通过USB数据线连接到实时数据处理器(图7(d))。 
  超声波智能垫作为独立的医疗诊断 
  仪器,将捕捉手的接触表面,并通过其 
  定量评估能力可以: 
  · 量化并绘制总接触形状和表面积。 
  · 定量测量目标器官的脉搏。 
  · 使用 SMART 测量接触表面区域的温度 
  PAD 的网格,提供血液循环的血管评估 
  以及靶器官的组织灌注状态。 
  · 改变指定电网触点处 SMART PAD 的温度 
  点作为目标感觉状态的神经学评估 
  器官。 
  · 在指定的目标器官接触处施加微电脉冲 
  SMART PAD 网格上的点作为神经学评估 
  目标器官的感觉状态。 
  · 在带有智能传感器的集成系统中运行,SMART 
  PAD 将作为 3D Axis Grid Base 进行实时监控 
  智能传感器,这是一种标准的、与品牌无关的超声波 
  传感器配有 3D 运动传感器。 
  · SMART PAD 将具有电源和 USB 兼容数据 
  SMART PAD 底座上的端口-数据线(图 4:超声波 
  SMART PAD 3D 底板)。 
  · SMART PAD 将能够绘制目标器官的接触图 
  形状和表面积,从超声波传输这些数据 
  SMART PAD 3D嵌入式网格基板(图5和图6(a)(b)(c)(d) 
  ),到实时数据处理器(图7(c)),然后到 
  通过USB数据实时图形用户界面(GUI)(图7(d)) 
  电缆。 
  · 提供图形用户的数据和实时反馈系统 
  向超声技师/医生显示界面(图 7(d)) 
 实时监控位置、图案、跟踪和 
  连接到 SMART SENSOR 的 USB 数据线的压力 
  实时数据处理器(图7(c))。 
  · 提供实时数据和反馈机制的能力 
  超声医师的整个超声图像捕获过程将优化 2D 
  超声图像。 
  · 目前缺乏标准化的 2D 超声图像,但标准化的 2D 超声图像是 
  广泛采用超声的主要缺陷和障碍 
  影像学作为一种有效的诊断工具。 
  · 超声仪器设备资本大幅减少 
  与 X 射线、MRI 相比,机构和医生的成本 
  和 CT 扫描。 如果超声图像质量至少可以达到 MRI 的水平 
  软组织成像和诊断的质量,全球医疗影响将 
  深刻。 
  超声图像可以在医学专家的办公室或在 
  军事和体育场地以及农村地理位置。 这会 
  向广大人民开放负担得起的优质医学成像和诊​​断 
  大多数目前无法获得服务的偏远农村、无服务地区 
  到初级保健医院和影像设施。 
  · 高质量 2D 超声图像的用途基本上不受限制 
  “图像配额”基础,允许持续监控患者的进展 
  并确认他们的医疗预后。 这是一个重要的发展 
  对“下一代”智能医疗植入物进行持续评估 
  其功能状态和生物整合的基础。 
  · 标准化超声图像以及由此产生的显着改进 
  超声成像定性将减少误诊、增加误诊率 
  评分者内/评分者间诊断并发,使诊断更加快速准确 
  医生通过改进诊断做出的治疗决策 
  成像质量以及随后有效人工智能/机器的可能性 
  学习分析和解释。 
  · 高质量的超声波图像将显着降低对人体造成的危险 
  超声检查不会使患者受到电离辐射 
  X 射线和 CT 扫描,或 MRI 成像期间产生的痛苦。 
  · 增强和优化超声图像质量是绝对必要的 
  准确有效的 2D 到 3D US 图像“拼接”功能和 
  由此产生的超声图像质量得到显着改善。 
  · 任何后续人工智能都必须采用标准化超声图像 
  用于开发任何人工智能辅助的解释和机器学习 
  超声图像诊断功能和服务。 
  · 50 毫米“目标器官”中使用的智能垫网格材料 
  接触相(图 2(b)(c)(d);图 3(c);图 4) 材料 
  共晶长丝图 5; 图6(b)(d)。 
  (图 5;图 6(b)(d))作为神经学诊断的坐标 
  · 智能垫底板(图 2(c);图(3(c);图 4;图 5)) 
  纳米细丝(图 5;图 6(a)(b)(c)(d) 呈精确方形) 
  毫米加二维“十字”网格图案(图 5; 
  图 6(a)(b)(c)) 和 3D 网格(图 5;图 6(d) 和拥有材料 
  配置(图 5;图 6(b))。 
  配置(图 5;图 6(b))。 
  · 用于 3D 网格的网格参考“Z”轴基板深度@5mm 
  参考文献(图6(d))。 
  处理器(图 7(c))。 
  · 图形用户界面 (GUI)(图 7(d))。 
  嵌入式平方毫米‘十字’X’双对角网格(图5; 
  图 6(a)(b)(c)(d) 针对目标总量的分析能力 
  复制(图 7(d))并随后显示在图形上 
  用户界面 (GUI)(图 7(d))。 
  数据处理器(图7(c))。 
  表面积覆盖)和智能垫(图 1.0;图 2;图 3; 
  图4; 图5)。 
  (图 7(c) 为超声波智能垫的智能传感器(图 1;图 2; 
 图3(a)(b)(c)(d); 图 接触面相间监测和</t>
  </si>
  <si>
    <t>实时分析 2D 和 3D 标准化超声图像的方法</t>
  </si>
  <si>
    <t>US11727728B2</t>
  </si>
  <si>
    <t>一种用于基于显示人的锻炼活动的图像帧序列来监测进行体育锻炼的人的方法。 该方法包括:基于图像帧序列,利用神经网络为每个图像帧提取一组身体关键点,该组身体关键点指示图像帧中人的姿势。 基于每一图像帧中的身体关键点的子集,推导出至少一个指示人的运动进展的特征参数; 通过评估至少一个特征参数的时间进程来检测起始循环条件,所述起始循环条件指示从人的起始姿势到人在进行体育锻炼时的运动的转变,其中锻炼循环包括 重复一次体育锻炼; 通过评估至少一个特征参数的时间进程来检测结束循环条件,所述结束循环条件指示从进行体育锻炼时人的运动到中间姿势的转变,其中,结果,开始 确定循环的起始点和循环的结束点; 基于循环的开始和循环的结束导出体育锻炼的单个循环的时间段并评估该时间段。</t>
  </si>
  <si>
    <t>监测体育锻炼的表现</t>
  </si>
  <si>
    <t>IN202141040809A</t>
  </si>
  <si>
    <t>在医疗诊断和治疗中,物联网和机器学习技术被常规用于监测患者的状态。 物联网已被用于构建系统,通过利用安装有传感器的可穿戴传感器系统的功能,在出现异常情况时提醒患者的同伴。 机器学习已被用于帮助医疗诊断,方法是使用经过训练的模型来检测患者状况中的任何异常情况。 在此框架中,使用脉搏血氧计和温度传感器来监测患者的健康状况。 云物联网用于评估、分类和交换消费者和医疗保健专业人员之间的医疗数据,物联网传感器用于收集必要的数据。 数据将保存在云物联网中,z-wave 设备从患者监测中使用的各种传感器收集数据,然后传输到医院并存储在医院数据库中,使用基于 AI 和 ML 的技术持续分析数据,例如 这里描述的技术。 为了将人们分为受感染或未受感染的类别,应用了基于 C 均值聚类的 R-卷积神经网络 (R-CNN) 分类技术。 我们使用 R-Convolutional 神经网络 [R-CNN]、Rough C-means Clustering 将用户分为感染组和未感染组,使用相似系数根据患者的症状进行区分。 如果出现任何错误,患者可以使用健身手环等可穿戴设备和其他无线连接设备(例如血压和心率监测袖带、血糖仪和其他设备)接受量身定制的治疗。 可以在这些设备上设置卡路里计数、锻炼、约会、血压变化和许多其他内容。 物联网彻底改变了人们的生活,尤其是老年患者的生活,他们现在可以实时跟踪自己的健康状况。 对单亲父母及其家庭的影响是巨大的。 如果一个人的常规习惯受到干扰或改变,警报机制会向家庭成员、医生、护理人员和其他相关健康提供者发送消息。</t>
  </si>
  <si>
    <t>基于 r-cnn 的智能医疗云基于物联网模型的检测和预防</t>
  </si>
  <si>
    <t>WO2023029067A1</t>
  </si>
  <si>
    <t>一种便携式雪面摩擦系数自动测量智能机器人，涉及机械电子工程和体育学技术领域。机器人包括机械系统、控制系统和供电模块；供电模块为机械系统和控制系统供电；机械系统包括动力启动机构、单电机支撑升降机构和飞轮机构；飞轮机构包括相连接的轴系部件和飞轮（2）；动力启动机构为飞轮（2）转动提供动力，使飞轮（2）进行旋转；单电机支撑升降机构实现飞轮（2）的上升与下降；控制系统包括上位机、下位机以及传感器模块；下位机与传感器模块连接；上位机与下位机通过串口进行通讯；传感器模块采集测试环境信息以及飞轮（2）转速，并传送至下位机；上位机通过下位机接收的数据信息计算出雪面摩擦系数。</t>
  </si>
  <si>
    <t>一种便携式雪面摩擦系数自动测量智能机器人</t>
  </si>
  <si>
    <t>KR1020230036655A</t>
  </si>
  <si>
    <t>本发明的基于Kiosk的人工智能非面对面娱乐系统是一个可以提供反馈的教练终端,一个查看反馈的会员终端,以及一个通过人工智能实时分析会员视频以提供反馈的终端。包括管理服务器。</t>
  </si>
  <si>
    <t>基于信息亭的非面对面娱乐系统</t>
  </si>
  <si>
    <t>WO2023037401A1</t>
  </si>
  <si>
    <t>获取人和人接触的物体的三维点群信息,将获取的三维点群信息输入机器学习模型,生成人的骨骼信息。 当确定人正在进行扭转运动时,获取的3D点群信息是通过将人的姿势信息沿扭转运动的方向旋转预定角度生成的。 基于生成的旋转预定角度的3D点群信息和表示人和物体的3D模型,校正生成的人的骨骼信息。</t>
  </si>
  <si>
    <t>骨骼识别方法、骨骼识别程序及体操计分辅助装置</t>
  </si>
  <si>
    <t>NL2029136A</t>
  </si>
  <si>
    <t>描述了一种用于对参加体育赛事的对象进行计时和识别的方法,其中该方法包括接收与一个或多个第一图像相关联的第一图像信息5,该第一图像由位于沿着运动的第一位置的第一计时系统的第一相机系统捕获 跟踪,一个或多个第一图像包括参加体育赛事的对象通过虚拟计时线,第一图像信息包括关于至少第一对象的视觉信息,基于该一个或多个第一图像10为其确定经过时间 但不能基于一个或多个第一图像识别; 接收或检索与由位于与第一位置不同的位置的第二相机系统捕获的一个或多个第二图像相关联的第二图像信息,该一个或多个第二图像包括参加体育赛事的对象,第二图像信息包括视觉信息 基于一张或多张第二图像可识别的约15个或更多个物体; 以及,识别第一对象,其中识别包括:使用第一图像信息和第二图像信息来确定一个或多个第二图像中与第一对象匹配的第二对象; 如果确定了第二对象,则根据第二对象的视觉信息识别第一对象。 20 图 8 25</t>
  </si>
  <si>
    <t>CN113888588A</t>
  </si>
  <si>
    <t>本发明公开了一种目标跟踪方法、装置、设备及存储介质，涉及计算机视觉技术领域，方法包括：获取视频帧图像中的跟踪范围及跟踪范围内的运动目标；根据运动目标的位置信息和跟踪范围的位置信息，确定跟踪目标，获得第一跟踪目标；根据当前视频帧图像和下一视频帧图像，进行运动轨迹预测，以对第一跟踪目标进行实时跟踪或停止跟踪；当对第一跟踪目标停止跟踪后，触发继续跟踪，返回根据运动目标的位置信息和跟踪范围的位置信息，确定跟踪目标的步骤，以获得第二跟踪目标，并对第二跟踪目标进行实时跟踪。本发明解决了现有技术的目标跟踪方法在对运动场内运动员进行跟踪时，存在跟踪准确性较低的问题，实现了提高跟踪准确性，防止无效跟踪的效果。</t>
  </si>
  <si>
    <t>目标跟踪方法、装置、设备及存储介质</t>
  </si>
  <si>
    <t>WO2022118094A1</t>
  </si>
  <si>
    <t>一种监测运动和体育活动的系统(方法)。 系统帮助用户在锻炼或运动时,根据不同的条件(如用户的身体健康、环境),了解最适合自己的运动或体育活动,并检测用户是否在准确地进行体育活动 并且有效。 该系统还可以监测和控制用户的食物消耗和健康状况。</t>
  </si>
  <si>
    <t>hamed sd:全民运动、人工智能医生</t>
  </si>
  <si>
    <t>IN202111040033A</t>
  </si>
  <si>
    <t>一种基于人工智能的电子竞技比赛管理系统和方法包括白话OCR系统,该系统具有自动化模块、OCR集成引擎、Winzp白话语料库、OCR校正引擎和排名引擎。 根据配置如地图和玩家数量创建自定义房间并提取房间凭据的方法。 将房间凭证传达给注册该锦标赛的用户的系统。 该系统具有旁观者模式,通过执行 OCR 来跟踪不断加入房间的人,并检查姓名是否与任何已注册的用户 ID 匹配; 如果未找到匹配项,则将用户踢出。 该系统使用电子竞技应用程序使电子竞技锦标赛自动化。</t>
  </si>
  <si>
    <t>一种基于人工智能的电子竞技比赛管理系统和方法</t>
  </si>
  <si>
    <t>CN113703485A</t>
  </si>
  <si>
    <t>本发明公开了一种机载智能眼镜设备，其包括摄像头和智能眼镜，智能眼镜包括控制部件和电子成像眼镜片，控制部件与电子成像眼镜片、摄像头交互连接；控制部件根据摄像头拍摄到的飞行监控画面结合知识图谱对监控画面中出现的异常情况进行自主信息分析，并将分析结果信息输出至电子成像眼镜片上进行信息展示。本发明设备利用知识图谱、图像识别等技术，相对于为飞行员搭载了一个经验丰富的随身飞行教练，当出现问题时，智能眼镜可以第一时间准确判断问题点，并给出最优的处理方案建议。与此同时，智能眼镜中的摄像头及麦克风在飞行员操作飞机时，给了手势控制和声音控制的多种选择，这种多模态的交互方式降低了飞行员操作难度，让飞行更加安全。</t>
  </si>
  <si>
    <t>机载智能眼镜设备及基于该设备的飞机控制方法</t>
  </si>
  <si>
    <t>CN113850150A</t>
  </si>
  <si>
    <t>本发明公开一种基于深度学习3D姿态分析的运动评分方法及装置，该方法包括如下步骤：通过双目相机拍摄目标人物，获取具有目标人物的左镜头画面和右镜头画面，并提取所述左镜头画面和右镜头画面中目标人物的2D人体骨架；基于所述左镜头画面和右镜头画面中目标人物的2D人体骨架，构建目标人物的3D人体骨架；提取多帧连续的3D人体骨架的时空特征；确定待测目标人物与预存的标准运动人员的3D人体骨架的时空特征相似度，并根据相似度进行运动评分。本发明通过确定待测目标人物与标准运动人员的3D人体骨架的时空特征相似度，进行运动员的动作评分，提高评分的效率的同时提高了准确性。</t>
  </si>
  <si>
    <t>一种基于深度学习3D姿态分析的运动评分方法及装置</t>
  </si>
  <si>
    <t>CN113624676B</t>
  </si>
  <si>
    <t>本发明提供一种便携式雪面摩擦系数自动测量智能机器人，涉及机械电子工程和体育学技术领域。该机器人包括机械系统、控制系统和供电模块；供电模块为机械系统和控制系统供电；机械系统包括动力启动机构、单电机支撑升降机构和飞轮机构；飞轮机构包括相连接的轴系部件和飞轮；动力启动机构为飞轮转动提供动力，使飞轮进行旋转；单电机支撑升降机构实现飞轮的上升与下降；控制系统包括上位机、下位机以及传感器模块；下位机与传感器模块连接；上位机与下位机通过串口进行通讯；传感器模块采集测试环境信息以及飞轮转速，并传送至下位机；上位机通过下位机接收的数据信息计算出雪面摩擦系数。</t>
  </si>
  <si>
    <t>US11360441B1</t>
  </si>
  <si>
    <t>本发明涉及人工智能技术领域,公开了一种机器鱼高阶迭代自学习控制的方法、装置及存储介质。 控制方法对控制增益集合中的控制增益元素进行优先迭代计算,得到目标控制增益集合。 根据目标控制增益、第一控制输入推力和第一跟踪误差进行高阶迭代计算,得到目标控制输入推力,然后根据目标控制输入推力控制机器鱼摆动,得到目标控制输入推力。 预期的速度。 这样就可以实现机器鱼在整个操作空间的游泳速度的完全跟踪和快速收敛。</t>
  </si>
  <si>
    <t>机器鱼高阶迭代自学习控制的方法、装置及存储介质</t>
  </si>
  <si>
    <t>CN115271621A</t>
  </si>
  <si>
    <t>本发明涉及G16H 50/30，具体涉及一种校园体育健康综合管理平台。包括AI行为识别系统，智能物联网系统，大数据管理系统，智慧运营管理系统，C端用户服务系统。本发明所述的校园体育健康综合管理平台解决了信息孤岛现象，全面提高了体测效率并且可以个性化定制运动方案，防止造成运动损伤。</t>
  </si>
  <si>
    <t>一种校园体育健康综合管理平台</t>
  </si>
  <si>
    <t>CN113837012A</t>
  </si>
  <si>
    <t>本发明提供了一种基于比赛视频的场地数据恢复方法。步骤1：根据需要进行标定的体育项目，对场地的实际尺寸建立场地标准模板；步骤2：利用孪生神经网络训练方法，由步骤1建立的场地标准模板和随机相机参数，生成有标签的训练集图像；步骤3：使用训练后的神经网络提取场地轮廓特征，并建立camera‑feature数据库；步骤4：输入待标定的图像后，利用场景数据恢复算法得到目标图像，即可完成场景数据恢复。本发明用以解决使用视觉的方法受干扰因素多的问题。</t>
  </si>
  <si>
    <t>一种基于比赛视频的场地数据恢复方法</t>
  </si>
  <si>
    <t>CN215461987U</t>
  </si>
  <si>
    <t>本实用新型公开了一种智能机器人比赛场地，包括壳体；所述壳体的内部开设有活动槽，所述壳体的底部的一侧分别开设有第一操作槽和第二操作槽，所述壳体的底部开设有通槽，所述通槽的内部与所述活动槽的内部连通，所述活动槽的内壁的一侧滑动连接有滑动板，所述滑动板的底部的一侧固定连接有连接杆，所述连接杆的底端固定连接有电池盒；所述滑动板的内部螺纹连接有丝杆；该智能机器人比赛场地,通过弹性防护垫对电池盒内部的电池进行挤压，不仅保证电池安装后的稳定性，而且避免电池的松动，造成无法进行供电，而且通过通槽的位置，可以对电池盒内部的电池进行拆除和安装，便于电池进行更换，具有良好的拆装功能。</t>
  </si>
  <si>
    <t>一种智能机器人比赛场地</t>
  </si>
  <si>
    <t>CN307349065S</t>
  </si>
  <si>
    <t>1.本外观设计产品的名称：显示屏幕面板的功能操作图形用户界面。
 2.本外观设计产品的用途：本外观设计产品用于网络通信、语音通话、运行应用程序、数据存储、录音、图片浏览。
 3.本外观设计产品的设计要点：在于屏幕中的图形用户界面的内容。
 4.最能表明设计要点的图片或照片：主视图。
 5.显示屏幕面板为惯常设计，省略后视图、左视图、右视图、俯视图、仰视图。
 6.图形用户界面的用途：该显示屏幕面板用于手机、台式电脑、笔记本电脑、平板电脑、嵌入式电脑、电视、冰箱、冷柜、净水机、饮水机、空调、洗衣机、热水器、抽油烟机、洗碗机、集成灶、蒸烤箱、电饭煲、电压力锅、料理机、破壁机、热水器、热水壶、电磁炉、微波炉、微波饭煲、榨汁机、消毒柜、加湿器、除湿器、手表、遥控器、机器人、车载导航仪、汽车显示器、GPS导航仪、智能手环、梳妆镜、智能眼镜、个人数字助理、智能音箱、机顶盒、游戏机、健身监视器、按摩器、康复护理仪、烘干机、灯具、VR眼镜、MP4、掌上游戏机、智能门铃、门锁、风扇、智能冰箱贴、广告机、蓝牙耳机充电盒的显示屏幕面板，其图形用户界面用于显示图片或视频、通讯、信息浏览以及操作程序。
 7.图形用户界面的人机交互方式：可以通过轻击主视图的图形用户界面或图形用户界面中的图标来交互，以载入另一个图形用户界面或运行应用；其中，界面中“灰色色块”表示为可变图片或可变图标。</t>
  </si>
  <si>
    <t>显示屏幕面板的功能操作图形用户界面</t>
  </si>
  <si>
    <t>US63238820P0</t>
  </si>
  <si>
    <t>人工智能公认的体育动作挑战</t>
  </si>
  <si>
    <t>KR1020230032426A</t>
  </si>
  <si>
    <t>各种实施例涉及一种计算机系统和方法,用于基于语音识别从游戏视频中检测目标图像,将体育比赛期间对应于游戏视频的转播语音转换为文本,并基于该文本生成游戏视频。可以被配置为从中检测与预定事件相关的目标图像</t>
  </si>
  <si>
    <t>基于语音识别的比赛视频目标图像检测计算机系统及方法</t>
  </si>
  <si>
    <t>CN113633958A</t>
  </si>
  <si>
    <t>本发明提供一种基于击打角度与力度的台球训练方法及系统，其中，方法包括：根据用户的操作指令确定投影内容并通过投影仪将其投射至台球桌的桌面上；获取桌面的图像，基于图像识别技术识别图像，确定用户是否击球；若击球，通过预设的传感器确定击球瞬间球杆杆尖的击打角度和击打力度；判断击打角度和击打力度是否正确，若不正确，对用户进行提醒。本发明的基于击打角度与力度的台球训练方法及系统，通过判断用户在台球训练过程中击球瞬间的击打角度和力度是否正确，若不正确，对用户进行提醒，解决了台球教练对击球角度和力度的指导很难口头准确表述的问题，更减轻了其负担，同时，学员在教练不在时，也能进行击打角度和力度的训练。</t>
  </si>
  <si>
    <t>一种基于击打角度与力度的台球训练方法及系统</t>
  </si>
  <si>
    <t>CN215609183U</t>
  </si>
  <si>
    <t>本实用新型提供一种智能健身设备，其包括一主机和与该主机连接的健身器械，所述主机包括控制模块、显示屏以及用于与健身器械连接的连接部，所述健身器械包括健身器械主体以及设置在健身器械主体上的触点组件，用户通过显示屏与主机实现人机交互，所述控制模块根据与连接部连接的不同种类的健身器械向用户引导和推荐预设的健身方案，所述控制模块还通过与其数据连接的触点组件采集用户的健身数据，所述显示屏将该些健身数据以可视化的形式呈现给用户。</t>
  </si>
  <si>
    <t>一种智能健身设备</t>
  </si>
  <si>
    <t>CN216798660U</t>
  </si>
  <si>
    <t>本实用新型涉及物联网技术领域，具体为一种商用物联网健身装置，包括健身车整体，所述健身车整体的底部两侧外表面均开设有导轨，所述健身车整体的两侧均开设有第一螺丝孔，同一侧的两个第一螺丝孔分别位于与之同一侧的导轨的两端，所述健身车整体的底部固定连接有两个第一支撑座，所述第一支撑座顶部的两侧均开设有圆形定位孔，所述圆形定位孔的内部插接有固定螺栓，所述固定螺栓和与之相对应的第一螺丝孔螺纹连接。实用新型的优点在于：让健身车连上网后显示屏可以根据不同的人订制不同的运动，而且能将运动数据反馈给健身的人交互性强；本实用新型取消了滚轮，避免了滚轮或滚道变形引起的噪音，提升了运动体验。</t>
  </si>
  <si>
    <t>一种商用物联网健身装置</t>
  </si>
  <si>
    <t>KR1020230033182A</t>
  </si>
  <si>
    <t>公开了一种体育视频显示系统。 根据本发明的一个方面,相机单元用于通过拍摄受训者的运动来生成用于以三维图像的形式显示受训者的运动的体积捕获数据; 分析单元使用机器学习算法分析体积捕获数据以分类和检测每个身体部位的运动错误,并且机器学习算法以专家评估作为奖励进行强化学习; 显示单元,用于基于体积捕获数据显示显示受训者运动的 3D 图像,从 3D 图像中提取显示分析单元检测到运动错误的身体部位的运动错误图像并显示该图像. ; 以及能够旋转3D图像的用户界面,其中,在旋转3D图像的状态下提取运动误差图像,从而可以观察到运动误差。</t>
  </si>
  <si>
    <t>体育视频显示系统</t>
  </si>
  <si>
    <t>CN113850694A</t>
  </si>
  <si>
    <t>本发明基于物联网技术的智慧楼宇健康管理系统及方法，它属于基物联网技术和大数据技术的智慧决策控制领域。本发明智慧楼宇健康管理系统包括商业化传感器、嵌入式系统、无线传感器网络、控制系统、通讯系统、移动终端系统、运算决策系统、智能显示系统；上述系统主要应用在智慧楼宇的智慧餐厅、智慧健身房和智慧卫生间。本发明还提供一种智慧楼宇健康管理系统的方法，采用物联网技术将每位员工的日常饮食数据、健康信息以及日常运动信息汇集，基于大数据技术，采用Mamdani型模糊推理法进行分析，为每位员工定制专属健康方案，满足职工多元化健康需求，为智慧楼宇企业科学开展健康管理提供强有力的支撑服务，降低身体健康风险，提升员工工作效率。</t>
  </si>
  <si>
    <t>一种基于物联网技术的智慧楼宇健康管理系统及方法</t>
  </si>
  <si>
    <t>IN202141038816A</t>
  </si>
  <si>
    <t>建议结合物联网技术的可穿戴运动姿势评估设备用于康复训练运动和日常运动员。 通过选择专业教练佩戴该系统并分析和处理真实测量的运动信息,使用标准运动姿势验证了该想法。 测试结果表明该系统可以在线监控锻炼。 数据分析结果对于评估患者康复过程中的状况以及运动员日常的评估具有一定的参考价值。</t>
  </si>
  <si>
    <t>使用可穿戴传感器网络和物联网进行健康评估</t>
  </si>
  <si>
    <t>US20230069758A1</t>
  </si>
  <si>
    <t>提供了一种使用基于增强现实的化身进行个性化健身活动训练的电子设备和方法。 电子设备接收第一用户的第一组图像。 在第一用户参与第一健身活动的持续时间内捕获第一组图像。 电子设备基于第一组图像生成包括第一化身和第一用户的图像的增强现实显示。 电子设备还控制显示设备渲染生成的增强现实显示。 电子设备还根据第一组图像确定第一用户的姿势信息。 电子设备基于对确定的姿势信息应用第一神经网络模型来确定实时反馈。 电子设备控制第一虚拟形象在增强现实显示器中输出确定的实时反馈。</t>
  </si>
  <si>
    <t>使用基于增强现实的化身进行个性化健身活动训练</t>
  </si>
  <si>
    <t>CN115731605A</t>
  </si>
  <si>
    <t>本申请适用于终端技术领域，尤其涉及基于人工智能(artificial intelligence，AI)技术的健身指导方法、电子设备及计算机可读存储介质，该方法可以获取至少一个电子设备采集的用户的运动数据，并根据各运动数据确定用户当前的运动部位以及运动部位的运动量，从而根据运动部位的运动量输出健身指导信息，来指导用户进行健身。即该方法可以根据各电子设备采集的运动数据准确确定用户各运动部位的运动量，以准确评估用户各运动部位当前的健身情况，从而根据各运动部位当前的健身情况智能推荐健身方案或调整预先设置的健身计划，来有效指导用户健身，使得用户的健身运动更贴合用户的健身目标，提高指导效果，提升用户体验。</t>
  </si>
  <si>
    <t>健身指导方法、电子设备及计算机可读存储介质</t>
  </si>
  <si>
    <t>CN113577651A</t>
  </si>
  <si>
    <t>本发明公开了一种面向智能杠铃的运动状态识别方法，包括：一、分别获取不同的杠铃动作类型对应的三轴重力加速度、三轴线性加速度和三轴角速度，形成原始数据集；二、将原始数据集进行预处理，得到训练样本集；三、根据杠铃运动的动作类型构建深度学习神经网络，并采用训练样本集对深度学习神经网络进行训练，得到杠铃动作类型识别网络；四、获取进行杠铃健身运动时的三轴线性加速度、三轴重力加速度和三轴角速度九维数据，通过杠铃动作类型识别网络对杠铃的运动类型进行识别；以及统计每个动作类型的动作次数；其中，当杠铃处于启动状态，杠铃的线性加速度合量超过归位阈值，并且当前时间点与启动时间点存在时间间隔时，动作次数累加一次。</t>
  </si>
  <si>
    <t>一种面向智能杠铃的运动状态识别方法</t>
  </si>
  <si>
    <t>CN307231050S</t>
  </si>
  <si>
    <t>1.本外观设计产品的名称：智能健身镜（魔镜）。
 2.本外观设计产品的用途：本外观设计产品用于智能健身领域，进行多媒体功能展示、大数据收集、图像采集及人机交互等。
 3.本外观设计产品的设计要点：在于产品的形状。
 4.最能表明设计要点的图片或照片：设计1立体图1。
 5.指定设计1为基本设计。
 6.其他：A部放大图为设计1立体图1中A部的放大图，B部放大图为设计2立体图1中B部的放大图;本外观设计产品可以折叠存放。</t>
  </si>
  <si>
    <t>智能健身镜（魔镜）</t>
  </si>
  <si>
    <t>IN202111038768A</t>
  </si>
  <si>
    <t>物联网 (IoT) 和机器学习 (ML) 理念经常用于医疗诊断和治疗,以监测患者的状态。 通过利用带有传感器的可穿戴传感器系统的功能,物联网已被用于开发系统,在出现异常情况时通知患者的同伴。 ML 通过利用经过训练的模型来帮助医疗诊断,以识别患者状况中的任何异常。 该框架使用脉搏血氧仪、温度传感器和其他设备,旨在跟踪患者的健康状况。 所需数据通过物联网设备收集并存储在云端。 物联网用于分析、分类和在用户和医疗保健专业人员之间交流医疗数据。 数据将存储在云物联网中,设备从用于患者监测的各种传感器收集数据,并将其传输到医院并使用基于人工智能 (AI) 和 ML 的算法存储在医院数据库中以评估数据 持续进行,例如: 要将用户分类为受感染或未受感染,使用基于分类方法的策略。 我们使用模糊 k 近邻技术将用户分类为感染组或未感染组,并根据患者的症状使用相似系数进行区分。 如果任何遗漏的事情立即发生,患者可以通过可穿戴设备(如健身带)和其他无线连接设备(如血压和心率监测袖带、血糖仪等)获得量身定制的关注。 这些设备可以设置为提醒您卡路里计数、锻炼、约会、血压波动和其他各种事情。 物联网改变了人们的生活,尤其是老年患者的生活,让他们能够实时追踪自己的健康状况。 这对单亲父母和他们的家庭有很大的影响。 如果一个人的正常行为受到干扰或改变,警报系统会向家庭成员、医生、护理人员和其他相关的医疗服务提供者发送信息。</t>
  </si>
  <si>
    <t>物联网 (IOT) 启用的医疗保健管理系统,用于远程监控患者以进行智能护理</t>
  </si>
  <si>
    <t>CN113642220B</t>
  </si>
  <si>
    <t>本发明公开了一种基于RBF与MOPSO的船舶焊接工艺优化方法。属于计算机集成制造技术领域，具体操作步骤如下：建立基于正交实验设计法的焊接工艺试验方案；基于热弹塑性有限元分析法进行焊接工艺仿真试验，跟踪与测量得到了焊接工艺参数与焊接接头质量的有效实验数据集；采用RBF算法对焊接接头质量进行精准预测，并广义表达焊接工艺参数与焊接质量之间的函数关系；以焊接成型系数与余高系数作为优化目标。本发明通过建立的一种结合RBF神经网络与带自适应权重策略的多目标粒子群优化算法，解决了在船舶T型构件焊接中工艺参数综合优化问题，为焊接工艺的优化决策提供可靠性高的参考价值，提高了焊接工艺设计质量与效率。</t>
  </si>
  <si>
    <t>一种基于RBF与MOPSO的船舶焊接工艺优化方法</t>
  </si>
  <si>
    <t>CN216976274U</t>
  </si>
  <si>
    <t>本实用新型公开了一种基于人工智能的体育动作姿态分析系统，包括底板，所述底板顶部的中心处固定连接有立柱，所述底板内腔底部的中心处固定连接有伺服电机，所述伺服电机的输出端固定连接有螺纹杆，所述螺纹杆的顶部与立柱内腔的顶部通过轴承转动连接，所述螺纹杆的外表面螺纹连接有螺纹套。本实用新型通过设置伺服电机、螺纹杆、螺纹套和连接杆，可以带动凹型箱和摄像机本体上下移动，对摄像机本体的高度进行调节，通过设置电动气缸、齿牙板和齿轮，可以带动转杆转动，进而带动摄像机本体上下翻转，对摄像机本体的上下角度进行调节，通过设置以上结构，具备可以根据学员的移动对摄像头进行调节的优点。</t>
  </si>
  <si>
    <t>一种基于人工智能的体育动作姿态分析系统</t>
  </si>
  <si>
    <t>CN113759263B</t>
  </si>
  <si>
    <t>本发明公开了一种关于人工智能预测锂离子电池荷电状态的方法，涉及锂离子电池检测技术领域。该一种关于人工智能预测锂离子电池荷电状态的方法，具体操作步骤如下：S1、检测出锂电池的SOC值a、SOC值b以及SOC值c，S2、控制芯片根据预置参数对电动汽车内锂电池进行对比，S3、外部温度以及电流状态进行对比得到电动汽车荷电状态，S3、控制芯片将S4步骤得到的荷电状态发送至电动汽车的主控面板上。该关于人工智能预测锂离子电池荷电状态的方法，可以对不同电池运行时温度以及锂电池运行时电流的荷电状态进行估算，适用范围广，提高了预测的可靠性和准确度，大大节约了时间成本，提高了检测效率，便于快速准确估算电池的健康状态。</t>
  </si>
  <si>
    <t>一种关于人工智能预测锂离子电池荷电状态的方法</t>
  </si>
  <si>
    <t>KR102490972B1</t>
  </si>
  <si>
    <t>本发明利用安装在室外高尔夫练习场的每个游戏室中的LiDAR传感器来获取对象矢量信息,包括球员的每个身体的运动、高尔夫球杆的每个部分的运动以及高尔夫球的轨迹信息。 ,并根据生成的物体矢量信息对虚拟高尔夫游戏进行操作,从而精确感知真实玩家的挥杆动作,显着增加虚拟高尔夫游戏的真实感、趣味性和趣味性,并且画面-高尔夫管理服务器利用预先学习的最优挥杆检测算法,对控制器传来的物体矢量信息和环境信息进行分析,生成球员的最佳挥杆信息和评论信息,提供给控制器,同时控制器筛选- 通过在显示终端上显示高尔夫管理服务器传输的最佳挥杆信息和评论信息,玩家可以根据当前虚拟高尔夫比赛的当前环境参考最佳挥杆信息,从而最大限度地提高效率和效果高尔夫练习/训练。它还涉及使用激光雷达传感器和大数据的屏幕高尔夫操作系统,可以通过引起玩家的兴趣和乐趣来增加参与度。</t>
  </si>
  <si>
    <t>使用激光雷达传感器和人工智能的户外高尔夫模拟操作系统</t>
  </si>
  <si>
    <t>CN113689665A</t>
  </si>
  <si>
    <t>本发明涉及基于AI视觉的游泳防溺水识别方法，包括外设组件和AI智能平台，外设组件设有智能相机、专用滤镜、警示灯、扩音喇叭、路由器、深度学习主机、监控屏幕，AI智能平台设有AI智能云平台，AI智能平台设有视频流实时采集模块、AI视频分析模块、行为逻辑判定模块、联动预警模块，本发明设有绿色、黄色、红色三种安全标识，绿色表示安全，黄色表示存在安全隐患，红色表示危险。</t>
  </si>
  <si>
    <t>基于AI视觉的游泳防溺水识别方法</t>
  </si>
  <si>
    <t>CN216505237U</t>
  </si>
  <si>
    <t>本发明提供了一种用于移动智能机器人的比赛场地，包括由围板组件围成的场地主体，场地主体上设有左右设置的绕障碍区和起始转弯区，所述绕障碍区和起始转弯区之间设有前后设置的射击终点区和爬坡区。本发明可综合考察学生对移动射击机器人的直角转弯、爬坡、过限宽门以及射击的操控能力，提升竞赛中的评比规范程度，各测试区域分布合理，整体布置方便快捷。</t>
  </si>
  <si>
    <t>一种用于移动智能机器人的比赛场地</t>
  </si>
  <si>
    <t>CN308199122S</t>
  </si>
  <si>
    <t>1.本外观设计产品的名称：带有运动控制图形用户界面的健腹轮。2.本外观设计产品的用途：健身。3.本外观设计产品的设计要点：在于形状。4.最能表明设计要点的图片或照片：设计1立体图。5.指定设计1为基本设计。6.图形用户界面的用途：用于显示运动时间、电量及控制健腹轮的运行模式。7.图形用户界面的人机交互方式：用户可点击界面中的图标进行相应操作，例如：点击时间下方的“启动/暂停”图标选择开始运动或暂停运动，点击“启动/暂停”图标右边的“二维码”图标显示设备的二维码链接，点击“二维码”图标右边的“蓝牙”图标开启蓝牙连接，点击界面下方“电源”图标选择开机或关机。8.其他需要说明的情形：设计1局部放大图为设计1主视图所示界面中展示有图形用户界面所在区域的放大图。</t>
  </si>
  <si>
    <t>带有运动控制图形用户界面的健腹轮</t>
  </si>
  <si>
    <t>US20230057073A1</t>
  </si>
  <si>
    <t>公开了一个支持粉丝参与和新媒体机会的增强现实平台。 本发明由利用增强现实 (AR)、人工智能 (AI) 和云网络的移动设备软件应用程序 (app) 组成。 用户从应用程序内的预定义类别中选择屏幕上的角色头像和舞蹈歌曲,然后开始跳舞并使用该应用程序录制自己。 该应用程序将用户动作及其本地环境传输到应用程序。 AI 算法将用户动作与他​​们的背景(使用 AR)同步到化身,用户可以在他们的移动设备上看到自己在角色中跳舞。 用户可以与朋友分享虚拟形象舞蹈,并在有虚拟货币奖励的实时舞蹈比赛中相互竞争。 广告商还可以参与该应用程序并分享广告、标识以及向用户推销商品。</t>
  </si>
  <si>
    <t>用于粉丝参与的增强现实平台</t>
  </si>
  <si>
    <t>CN113887275A</t>
  </si>
  <si>
    <t>本发明公开的一种基于远程阅片标注的病理判读方法、系统和可读存储介质，其中方法包括：获取玻片的电子扫描件，并数字化显示病理切片信息，以发送到用户端进行双重病理判读；将所述病理切片信息输入到训练好的病理识别神经网络模型中，得到所述模型的模拟输出结果；基于所述模拟输出结果获取所述病理切片的目标可疑区域，并同步共享给所述用户端；获取所述用户端返回的两次判读结果并进行比对，将结果比对一致的所述判读结果作为所述病理切片的识别结果输出。本发明通过设置双重病理判读以提高病理判读准确率，并追溯到具体操作人，通过设置神经网络模型可以自动化识别病理切片置信度高的区域，降低病理医生的重复工作量，提升病理识别效率。</t>
  </si>
  <si>
    <t>基于远程阅片标注的病理判读方法、系统和可读存储介质</t>
  </si>
  <si>
    <t>CN215609032U</t>
  </si>
  <si>
    <t>本实用新型涉及体育器材技术领域，且公开了一种高中体育用的智能跳高支架，包括左右对称分布的中空框体，两个所述框体的前表面均开设有长槽，且两个所述框体的内部下表面均固定有马达，两个所述马达的输出端均固定有螺杆，所述螺杆的顶端与所述框体的内部上表面转动连接，且所述螺杆的外侧壁螺纹连接有移动块；当需要调节圆杆的高度的时候，旁边站立的裁判员通过话筒说出想要调节的高度后，被转发给语音识别模块，此时语音识别模块识别后，再将其转发给单片机进行处理分析，然后单片机控制两个马达转动，从而可以带动两个支撑块同步上升或者下降，进而实现调节圆杆的高度，避免人工调节高度所带来的不便。</t>
  </si>
  <si>
    <t>一种高中体育用的智能跳高支架</t>
  </si>
  <si>
    <t>CN113657288A</t>
  </si>
  <si>
    <t>本发明公开了一种基于体型识别的健身应用内容推送方法、终端及存储介质，其中，方法包括：采集用户的体型图像，并根据所述体型图像识别所述用户的体型轮廓，得到所述用户的体型数据；对所述用户的体型数据进行分析，并获取与所述用户的体型数据相匹配的健身内容；将所述健身内容推送至对应的显示界面进行显示，以向所述用户推荐所述健身内容。本发明通过摄像头采集用户的体型图像，并通过图像识别技术识别出用户的体型轮廓，利用健身应用分析体型数据，获取与用户体型相匹配的健身内容并进行推荐，从而为用户量身推荐健身内容，解决了用户只能被动接受随机推荐内容所带来的局限性问题。</t>
  </si>
  <si>
    <t>基于体型识别的健身应用内容推送方法、终端及存储介质</t>
  </si>
  <si>
    <t>CN113827913A</t>
  </si>
  <si>
    <t>本发明属于人工智能检测技术领域，尤其涉及基于跑步机对人体做功功率的标定方法及系统，其包括根据能量守恒定律，基于电能存储区内存储的电能数据和机械能存储区的机械能数据，通过跑步机运行与配重运动标定方法，确定能量转换关系为：跑步机运动速度与跑步机工作电流关系；跑步机运行坡度与跑步机工作电流关系，本发明解决了现有的跑步机对人体做功功率标定方法及系统在能量指标标定过程存在不科学且不准确的问题，具有实现了更科学、更安全的使用跑步机进行锻炼，改进和提高电动跑步机对跑者跑步过程中实现做功的标定的有益技术效果。</t>
  </si>
  <si>
    <t>基于跑步机对人体做功功率的标定方法及系统</t>
  </si>
  <si>
    <t>KR1020220013347A</t>
  </si>
  <si>
    <t>根据本发明实施例的利用服务器执行的用户动作识别的体育管理和评估方法包括:(a)创建数据库,以便从动作演示器的动作表现数据中识别动作演示器的关节点; (b)从管理员终端接收其中操作执行数据以任意顺序编号的操作执行程序; (c)根据动作执行程序向用户终端提供体育视频,并从用户终端接收用户执行的动作数据; (d) 从用户终端接收到的运动数据中提取用户的关节点和关节点的深度值; (e)生成反馈运动信息,通过比较用户的关节点和运动演示器的关节点进行分析和评估。</t>
  </si>
  <si>
    <t>基于人工智能的用户动作识别体育教学管理与评价系统</t>
  </si>
  <si>
    <t>CN307130072S</t>
  </si>
  <si>
    <t>1.本外观设计产品的名称：显示屏幕面板的AI场景体验图形用户界面。
 2.本外观设计产品的用途：显示图形用户界面。
 3.本外观设计产品的设计要点：在于图形用户界面。
 4.最能表明设计要点的图片或照片：设计1主视图。
 5.指定设计1为基本设计。
 6.图形用户界面的用途：设计1‑4中的图形用户界面为人工智能AI应用场景体验演示互动程序界面，用于人工智能在城市生活中的应用场景的展示和体验，例如，应用于体育相关场景的展示和体验。
 设计1、设计2、设计3、设计4为数据导入界面，选中界面中间的四个图标按钮中的一个并点击“导入行为数据”按钮，可以进行数据导入。
 7.该显示屏幕面板用于计算机、笔记本电脑、平板电脑、手机、电视机、数字标牌。
 设计1、设计2请求保护色彩。</t>
  </si>
  <si>
    <t>显示屏幕面板的AI场景体验图形用户界面</t>
  </si>
  <si>
    <t>IN202124037564A</t>
  </si>
  <si>
    <t>US20220148364A1</t>
  </si>
  <si>
    <t>本发明是一种引擎,它允许对于“在场”或单人投注游戏中的任何游戏,计算“基本赔率”(通过使用历史数据库挖掘计算)和至少一个更多的赔率制定公式来计算赔率 现场赛事中单场比赛的至少一个结果,跨越至少两个不同的赔率,制定公式来创建交叉赔率。 然后利用人工智能将交叉赔率与计算赔率的类似历史比赛的最终赔率相关联。 然后在知道比赛结果后利用机器学习将每个赔率制定公式产生的赔率与之前类似比赛计算的最有利可图的赔率相关联。</t>
  </si>
  <si>
    <t>US20230074922A1</t>
  </si>
  <si>
    <t>本发明是一种可编程的、可移动的、可重复使用的即时检测 (POCT) 单元,用于识别病原体及其在实时呼吸道中的生存状态。 该设备可用于测试进入或离开场所(即学校、餐馆、酒吧、体育赛事等)的个人是否感染 COVID-19。 POCT 装置无需维护或修理即可执行数千次测试。 POCT 单元采用荧光光谱分析 (FSA),以基于光谱模式识别来唯一识别特定细菌或病毒及其相对浓度水平。 此外,POCT 单元可识别细菌的存活或死亡状态或病毒的活性或非活性状态。 细菌或病毒谱的自动模式识别是使用人工智能 (AI) 深度学习神经网络 (DLNN) 完成的。 DLNN 计算过程是在通过智能手机或笔记本电脑在线连接连接到 POCT 单元的远程站点执行的。 POCT 单元是一种用于识别病原体的“患者”测试仪器,包括 SARS-CoV2、猪流感、H1N1、E-BOLI、流感等。POCT 单元响应时间由智能手机连接时间或笔记本电脑计算能力驱动 . 特定病原体的识别由 DLNN 的编程决定,因此可用于通过使用新的训练数据调整 DLNN 软件来识别当前和未来的呼吸道细菌或病毒感染。 POCT 单元具有三种配置,即通过智能手机或 PC 连接的移动单元和通过蓝牙连接到智能手机的个人家庭用户版本。</t>
  </si>
  <si>
    <t>病原体的可编程设备?床旁? 测试</t>
  </si>
  <si>
    <t>CN113691603A</t>
  </si>
  <si>
    <t>本公开提供了一种基于情境感知的用于控制物联网设备的方法、设备和系统。该方法包括：终端设备获取与用户的行为和状态有关的用户数据；基于用户数据生成反映用户所处在的情境的情境感知事件；将生成的情境感知事件发送到物联网设备；物联网设备接收由终端设备发送的情境感知事件，获取与接收到的情境感知事件对应的控制规则，根据获取的控制规则来控制物联网设备。根据本公开的方法能够将用户的状态与健身相结合，对健身类型进行推荐，指导用户进行科学的健身运动；根据用户的健身状态控制和调整物联网设备以配合用户健身，让健身环境更加舒适。</t>
  </si>
  <si>
    <t>基于情境感知的用于控制物联网设备的方法、设备和系统</t>
  </si>
  <si>
    <t>CN215572989U</t>
  </si>
  <si>
    <t>本实用新型公开了一种基于人工智能图像识别的运动姿态监测装置，具体涉及健身设备领域，包括装置主体，所述装置主体的下表面固定连接有支撑架，还包括支撑组件和清理组件，所述支撑组件位于支撑架的内部，包括位于支撑架内部的第一支撑板以及部分位于第一支撑板上方的第二支撑板，所述清理组件位于装置主体的外侧，包括固定连接于装置主体外表面的放置架以及位于放置架上方的活动框架，所述活动框架内表面的前端固定连接有清理块；装置放置完毕后，分别通过第一指槽和第二指槽将第一支撑板和第二支撑板从支撑架的内部拉出，通过和地面接触的第一支撑板以及一端和地面接触的第二支撑板为支撑架提供额外的支撑，使得装置放置稳定。</t>
  </si>
  <si>
    <t>一种基于人工智能图像识别的运动姿态监测装置</t>
  </si>
  <si>
    <t>WO2022039202A1</t>
  </si>
  <si>
    <t>提供了一种远程课程系统,其中玩家可以从远程位置接收准确的建议。 一种远程授课系统(200),包括玩家(P)拥有的移动终端(2)和能够与移动终端(2)进行通信的云服务器(4)。 移动终端2包括数据分析单元,该数据分析单元将挥杆测量数据从移动终端2发送到云服务器4,挥杆测量数据是通过测量玩家P在比赛期间的动作并将其转换为数值而获得的。 当挥杆测量数据被输入到神经网络的输入层时,云服务器4具有建议信息生成单元,该单元生成并从神经网络的输出层输出关于选手P的运动的建议信息,并且发送向长途汽车总站 6. 和咨询信息提供者提供的建议信息。</t>
  </si>
  <si>
    <t>远程教学系统</t>
  </si>
  <si>
    <t>CN113656462B</t>
  </si>
  <si>
    <t>本发明提供一种基于物联网的智慧体育公园数据分析系统，包括：环境监测终端用于采集体育公园内的环境监测数据，并将采集到的环境监测数据传输到边缘计算终端；记录点终端用于采集用户跑步记录信息，采集到的用户跑步记录信息传输到边缘计算终端；边缘计算终端用于根据接收到的环境监测数据分析当前体育公园内的环境状况，将环境状况分析结果传输到记录点终端；以及用于根据接收到的用户跑步记录信息完成用户跑步统计信息的更新，将更新的用户跑步统计信息传输到记录点终端；记录点终端还用于显示环境状况分析结果和用户跑步统计信息。本发明有助于提高了体育公园建设的智能化水平。</t>
  </si>
  <si>
    <t>一种基于物联网的智慧体育公园数据分析系统</t>
  </si>
  <si>
    <t>CN113806857A</t>
  </si>
  <si>
    <t>本发明公开了一种基于变分图自编码器的高速列车节能制动方法，具体为：根据高速列车真实运行下司机制动操作与牵引能源消耗问题的描述，建立隐式图，从而得到高速列车节能制动的多分类图结构模型；对高速列车控制系统获取的人工驾驶真实数据进行预处理；模型训练集和验证集的选取与构建；制动分类模型训练求解及策略的调整。本发明的方法能够根据高速列车的运行状态确定制动施加时间和具体操作的制动手柄类型，优化司机的制动手柄控制操作从而达到节能的目标，并填补了图神经网络相关方法在高速列车优化控制中的空缺。</t>
  </si>
  <si>
    <t>一种基于变分图自编码器的高速列车节能制动方法</t>
  </si>
  <si>
    <t>CN115920357A</t>
  </si>
  <si>
    <t>本发明提供跑步速度检测及评估方法、系统、设备和介质，其中检测方法用于检测受测对象在环形跑道的跑步速度，所述环形跑道的若干个位置设有图像采集装置；所述方法包括：通过所述图像采集装置获取若干次对应位置的图像，根据所获取的图像识别所述图像中的受测对象，确定并记录若干次所识别的受测对象出现在对应位置的时间点；根据所述受测对象若干次记录的时间点及所述时间点对应的位置，确定所述受测对象在所述环形跑道中的跑步速度。在整个跑步速度检测的过程中，受测对象无需佩戴任何自感设备或手环进行数据采集，测试成本较低，且本发明提供的方法通过图像采集装置所获取的图像确定时间点和位置的误差也较小，能够更加准确地反映出受测对象的真实跑步速度，从而更加准确地评估出受测对象在跑步测试中的表现。</t>
  </si>
  <si>
    <t>跑步速度检测及评估方法、系统、设备和介质</t>
  </si>
  <si>
    <t>CN307019320S</t>
  </si>
  <si>
    <t>1.本外观设计产品的名称：带模拟练车自检系统的图形用户界面的显示屏。
 2.本外观设计产品的用途：用于运行程序、可用于手机、平板电脑、车载屏幕。
 3.本外观设计产品的设计要点：在于图形用户界面的设计。
 4.最能表明设计要点的图片或照片：主视图。
 5.因载体为常见物，省略载体主视图、后视图、左视图、右视图、俯视图、右视图。
 6.图形用户界面的用途：运行程序、可用于手机、平板电脑、车载屏幕。
 7.图形用户界面的人机交互方式：主视图展示车辆自检界面内容，点击开启自检按钮，进入到界面变化状态图1展示检测结果界面，点击呼叫教练，进入到界面变化状态图2展示解决问题界面，解决后，可结束通话。</t>
  </si>
  <si>
    <t>带模拟练车自检系统的图形用户界面的显示屏</t>
  </si>
  <si>
    <t>CN215826897U</t>
  </si>
  <si>
    <t>本实用新型公开了一种带有健身功能的电动车智能系统，涉及电动车技术领域，电动车系统包括云端服务器、电机及接入电动车数据总线的定位通讯单元、电池组、防盗器和第一控制器；云端服务器分布在电动车厂家，通过远程连接定位通讯单元可以及时获取整车数据，便于生产和售后；健身系统包括阻尼电机及接入电动车数据总线的仪表、语音识别模组、功放喇叭、心率监测设备和第二控制器，第二控制器连接阻尼电机；语音识别模组用于切换电动车模式、语音输入阻尼等级；心率监测设备安装在电动车把手上；第二控制器用于调整阻尼电机的阻尼大小；仪表与防盗器互连，在两种模式下分别显示不同信息，该智能系统能够提升车主的健身体验，提高公民身体素质。</t>
  </si>
  <si>
    <t>一种带有健身功能的电动车智能系统</t>
  </si>
  <si>
    <t>CN113642896B</t>
  </si>
  <si>
    <t>本发明涉及人工智能技术领域，具体涉及一种基于人工智能的健身房安全风险预警方法及系统。该方法通过获取健身人员的位置信息及健身动作，进一步获取健身人员的健身幅度，根据健身幅度以及一次健身所用的真实健身时间得到健身人员的掌握程度；根据健身动作所用器材的安全等级、掌握程度以及健身人员疲劳程度得到安全事故概率；将每个健身人员作为一个危险源，获取交叉风险区域以及区域内危险源数量，进一步获取交叉风险区域的交叉风险程度；根据交叉风险程度与交叉风险区域内危险源的数量获取安全风险评估结果。利用本发明可以根据不同等级的安全风险评估对健身房管理人员进行提示，有效解决对健身人员安全风险监督不及时不准确的问题。</t>
  </si>
  <si>
    <t>基于人工智能的健身房安全风险预警方法及系统</t>
  </si>
  <si>
    <t>CN113657266B</t>
  </si>
  <si>
    <t>本发明涉及人工智能技术领域，具体涉及一种基于智能手环和人体三维重建的健身训练管理方法及系统。方法包括：采集健身人员的图像并进行人体三维重建，得到体型参数；对各部件姿态角曲线进行分析，得到各部件合成姿态角曲线；对各部件的合成姿态角曲线进行叠加，得到视频帧关键程度曲线；根据视频帧关键程度曲线选取关键帧，利用关键帧进行健身动作识别；根据体型参数以及智能手环测得的心跳数据计算健身人员实时消耗热量，进行健身训练管理。利用本发明，可以提高复合健身动作的识别精度，实现个性化健身训练管理。</t>
  </si>
  <si>
    <t>基于智能手环和人体三维重建的健身训练管理方法及系统</t>
  </si>
  <si>
    <t>IN202141036434A</t>
  </si>
  <si>
    <t>在印度的食品系统中,谷物的消费被视为免疫和能量的来源。 谷物是非常受欢迎的人类健康和健身食品。 食用谷物不仅可以提供充足的生活方式,还可以改善记忆 T 细胞,降低肥胖、心脏病和 2 型糖尿病的风险。 因此,60% 的人口遵循早餐和晚餐谷物摄入量的趋势。 小麦、燕麦、黑麦、jo war 和藜麦等谷物被认为是减少炎症的健康食品。 人们用这些谷物制作烤肉和薄煎饼。 由于它们不能直接食用,它们通过磨机转化为粉末。 这些谷物的细粉被认为非常适合制作软薄饼。 细腻和柔软将使烤肉美味可口。 因此,本研究提出了一种将谷物研磨成细粉的智能机器。 该产品利用人工智能来识别产品并定义谷物所需的细度类型。 有了这台机器,人为干预减少了,而且白天和黑夜都可以使用。 Aashirvaad、Annapurna和Patanjali等许多知名公司生产的粉末添加了防腐剂、糖和maida,以使它们变得柔软和甜美。 但是,上面提到的所有英格丽德都被认为是不健康的。 因此,这些机器对于当前保持健康和健康的要求是非常需要的。 这些机器是为农村和城市地区的所有用户设计的。 使用这些机器的主要优点是用户友好、耗时少、成本效益高、能耗低、噪音小、没有时间限制且无需人工干预。</t>
  </si>
  <si>
    <t>使用物联网的智能多功能自动化面粉机</t>
  </si>
  <si>
    <t>CN113647502A</t>
  </si>
  <si>
    <t>本发明提供一种具有娱乐教育功能的制饮机，包括前端设置有储冰部的刨冰部，所述刨冰部的另一端设置有跑步驱动部，所述跑步驱动部另一侧设置有娱乐教育部，所述储冰部与刨冰部之间通过储冰部底部的导流槽连接，所述刨冰部通过跑步驱动部上设置的转速测量装置与跑步驱动部连接，所述储冰部、刨冰部、跑步驱动部和娱乐教育部中部设置有传输部，所述传输部贯通跑步驱动部内部。本发明设置有储冰、刨冰、运动、学习和娱乐等模块，可以使学习锻炼相结合，并设置有多种口味的刨冰，可以在炎炎夏日让体验者体验后得到更好的效果，并结合语音识别，让体验者利用自身知识获得立减或免单，激发体验兴趣。</t>
  </si>
  <si>
    <t>一种具有娱乐教育功能的制饮机</t>
  </si>
  <si>
    <t>CN307054645S</t>
  </si>
  <si>
    <t>1.本外观设计产品的名称：带直播设置图形用户界面的显示屏幕面板。
 2.本外观设计产品的用途：用于运行程序、显示图形图像；显示屏幕面板用于集音视频编解码与显示功能一体的直播设备、计算机、手机、平板电脑、电视机、车载显示屏。
 3.本外观设计产品的设计要点：在于图形用户界面内容。
 4.最能表明设计要点的图片或照片：主视图。
 5.图形用户界面的用途：本图形用户界面用于直播及直播过程对图层、推流、音频、记分牌、评论等功能设置。
 6.图形用户界面的人机交互方式：主视图为全屏直播页面，用户点击界面右侧中部圆形按钮开始直播，点击界面底部一行按钮对直播功能进行设置；界面变化状态图1为退出全屏，点击图层图形按钮呈现的图层设置界面；界面变化状态图2为点击推流图形按钮呈现的将现场的视频信号推流到多个可选的第三方直播平台的设置界面；界面变化状态图3为点击音频设置图形按钮呈现的对各路音频信号源的控制界面；界面变化状态图4为点击记分牌图形按钮呈现的在赛事直播中插入“记分牌”功能，为比赛添加记分牌的控制界面；界面变化状态图5为点击评论图形按钮，选中右侧评论中的一条，呈现精选评论展示在直播画面中的界面；界面变化状态图6为点击设置图形按钮呈现的设置界面；变化状态图7为点击界面变化状态图1‑6中任一“Add Video Source +”按钮呈现的添加视频源的界面；点击变化状态图7“Chroma Keying”按钮实现抠像功能，点击变化状态图7“Multi‑Views”下列按钮实现多视图同屏的不同显示模式；使用状态参考图1为变化状态图4的使用参考图；使用状态参考图2为变化状态图5的使用参考图。</t>
  </si>
  <si>
    <t>CN113657237A</t>
  </si>
  <si>
    <t>本发明提供了一种基于视觉的举重运动分析系统，包括以下：数据采集设备、操作界面、分析模块和数据存储模块；数据采集设备获取运动员正面及侧面视频数据，并将数据传输至操作界面；操作界面显示数据，并通过传输协议将数据传输至分析模块；分析模块通过空间注意力机制SAM对数据进行预处理，并利用深度神经网络实现运动员关键点跟踪和各项运动数据分析，并存储至数据存储模块；分析模块根据关键点和各项运动数据形成分析报告，并将分析报告传输至操作界面。本发明极大程度上减小了运算量，填补了运动分析类似应用中的这一空缺，且系统采用容器化部署，支持多用户同时操作并发处理。</t>
  </si>
  <si>
    <t>一种基于视觉的举重运动分析系统</t>
  </si>
  <si>
    <t>KR102352955B1</t>
  </si>
  <si>
    <t>提出了一种使用姿态识别技术基于亮点图像支持方便的电视观看的方法和装置。 本发明提出的使用姿势识别技术的基于亮点图像的方便电视观看支持设备包括视频接收单元,其从外部接收用于图像识别的体育视频内容以根据观众的请求提供体育视频内容的亮点视频, 和接收器。识别特定姿势以识别在记录的体育视频内容中重复出现的基本事件,根据特定姿势的识别读取基本事件是否已经发生,并将关于基本事件的发生信息记录在基本事件发生时的记录单元 基本事件识别单元读取接收到的体育视频内容中是否发生了特殊事件,以及当特殊事件发生时,特殊事件识别单元记录关于特殊事件的信息在记录单元中。当特殊事件发生时,特殊事件为了创建事件的精彩视频,连接并记录与特殊事件相关的基本事件的发生信息和特殊事件的发生信息的记录单元特殊事件,并且当从观众接收到观看精彩视频的请求时,以及智能观看单元从记录单元接收关于与观众希望观看的精彩视频相对应的基本事件或特殊事件的生成信息,以及向观众提供相应的精彩视频。</t>
  </si>
  <si>
    <t>使用姿态识别技术的基于精彩视频的便捷收视支持方法及装置</t>
  </si>
  <si>
    <t>CN307326744S</t>
  </si>
  <si>
    <t>1.本外观设计产品的名称：显示屏幕面板的交互操作图形用户界面。
 2.本外观设计产品的用途：本外观设计产品用于以下带显示屏幕的产品中用于显示屏面板播放内容的交互操作：手机、台式电脑、笔记本电脑、平板电脑、嵌入式电脑、电视、冰箱、冷柜、净水机、饮水机、空调、洗衣机、热水器、抽油烟机、洗碗机、集成灶、蒸烤箱、电饭煲、电压力锅、料理机、破壁机、热水器、热水壶、电磁炉、微波炉、微波饭煲、榨汁机、消毒柜、加湿器、除湿器、手表、遥控器、机器人、车载导航仪、汽车显示装置、GPS装置、智能手环、梳妆镜、智能眼镜、个人数字助理、智能音箱、机顶盒、游戏机、健身监视器、按摩器、康复护理仪、烘干机、灯具、VR眼镜、MP4、掌上游戏机、智能门铃、门锁、风扇、智能冰箱贴、广告机、蓝牙耳机充电盒。
 3.本外观设计产品的设计要点：在于屏幕中的图形用户界面的内容。
 4.最能表明设计要点的图片或照片：设计1主视图。
 5.无设计要点，省略设计1至设计10的后视图、左视图、右视图、俯视图、仰视图。
 6.指定设计1为基本设计。
 7.图形用户界面的用途：主要内容是手势操作视频播放界面,选择观看的&amp;nbsp;VOD&amp;nbsp;选择介面。
 8.图形用户界面的人机交互方式：当识别到用户的手势，即设计1主视图会弹出手势操作的界面，通过手掌的移动位置，选择对应功能，并跳转所选择功能对应的界面。
 手势唤醒选择菜单，即设计2主视图会弹出手势操作的界面，默认点选语音按钮；当手掌在中间停顿，界面从设计2主视图变换为设计2界面变化状态图1，并由设计2界面变化状态图1变换为设计2界面变化状态图2，通过手掌的移动位置，选择对应功能，并跳转所选择功能对应的界面，若未识别到手掌，所有按钮预设时长（比如2秒）后消失。
 手势唤醒选择菜单，界面为设计3主视图；当手掌移动到操作环右端的返回键时，界面变换为设计3界面变化状态图1；当手掌移动到操作环左端的home键时，界面变换为设计3界面变化状态图2。
 手势唤醒选择菜单，界面为设计4主视图；当手掌移动到操作环底部的暂停按钮时，界面变换为设计4界面变化状态图1；将手掌持续放置在暂停按钮，界面由设计4界面变化状态图1变换为设计4界面变化状态图2，暂停画面并显示此时播放进程。
 手势唤醒选择菜单，界面为设计5主视图；当手掌移动到操作环底部的播放按钮时，界面变换为设计5界面变化状态图1，显示当前播放进程，操作环中间的语音形象眼睛向下；在播放的不同时间点将手掌移动到操作环底部的播放按钮时，界面显示不同的播放进程。
 手势唤醒选择菜单，界面为设计6主视图，当手掌移动到操作环顶部的音量减按钮时，界面变换为设计6界面变化状态图1，持续将手掌放置在音量减按钮处，音量逐渐减小，界面由设计6界面变化状态图1变换为设计6界面变化状态图2、设计6界面变化状态图3、设计6界面变化状态图4、设计6界面变化状态图5，当手掌移动到操作环右上角的音量加按钮时，界面变换为设计6界面变化状态图6，持续将手掌放置在音量加按钮处，音量逐渐增大，界面由设计6界面变化状态图6变换为设计6界面变化状态图7、设计6界面变化状态图8、设计6界面变化状态图9、设计6界面变化状态图10，操作环中心的语音形象眼睛跟随选择的按键位置移动。
 手势唤醒选择菜单，界面为设计7主视图，手掌可移动到操作环的任一按钮，若手掌移动到操作环底部的按钮时，界面由设计7主视图变换为设计7界面变化状态图1，进一步地将手掌持续放置在操作环底部的按钮上，界面由设计7界面&amp;nbsp;变化状态图1变换为设计7界面变化状态图2、设计7界面变化状态图3、设计7界面变化状态图4、设计7界面变化状态图5、设计7界面变化状态图6，操作环外周一圈进度圈逐渐填满，最终操作环外周一圈进度圈填满且功能被选定，同时操作环中心的语音形象眼睛闪动。
 手势唤醒选择菜单，界面为设计8主视图，当手掌移动到操作环上任一功能按钮时，操作环中心的语音形象的眼睛跟随选择按键位置移动。
 手势唤醒选择菜单，界面为设计9主视图，当手掌移动到左上角的静音按钮时，界面变换为设计9界面变化状态图，此时播放的视频或音频静音且显示当前音量下的音量大小进度条。
 手势唤醒选择菜单，界面为设计10主视图，当手掌移动到右下角的快进按钮时，界面变换为设计10界面变化状态图1，持续将手掌放置在快进按钮处，播放进程不断快进，界面由设计10界面变化状态图1变换为设计10界面变化状态图2、设计10界面变化状态图3、设计10界面变化状态图4、设计10界面变化状态图5，当手掌移动到左下角的后退按钮时，界面变换为设计10界面变化状态图6，持续将手掌放置在后退按钮处，播放进程不断倒退，界面由设计10界面变化状态图6变换为设计10界面变化状态图7、设计10界面变化状态图8、设计10界面变化状态图9、设计10界面变化状态图10，操作环中心的语音形象眼睛跟随选择的按键位置移动。
 其中，手势唤醒可以是手触碰屏幕，也可以是手不触碰屏幕，界面中“背景灰色图块”表示为图片，“色块加交叉线”表示为图标。</t>
  </si>
  <si>
    <t>显示屏幕面板的交互操作图形用户界面</t>
  </si>
  <si>
    <t>US11636680B2</t>
  </si>
  <si>
    <t>一种在计时体育赛事中识别和计时运动员的系统。 运动员使用图像识别技术计时,其中运动员在体育赛事期间由相机拍摄的一张或多张图像( 106 a, 106 b , 或者 106 c ) 带有时间戳以生成运动员的完成时间。 通过将在体育赛事期间拍摄的图像之一与运动员的个人资料图像进行比较来识别运动员。</t>
  </si>
  <si>
    <t>事件计时和摄影系统</t>
  </si>
  <si>
    <t>CN216424705U</t>
  </si>
  <si>
    <t>本实用新型公开了一种应用物联网技术的游泳池防溺水报警装置，包括：安装部、左连接部与右连接部，左连接部与右连接部采用亲肤布料制作而成，所述安装部的左侧固定连接左连接部，所述安装部的右侧连接有右连接部，所述安装部上设置有弹性气囊。本实用新型检测到溺水时通过电机带动压杆转动，使支撑弹簧失去限位，通过支撑弹簧撑起弹性气囊能够起到救生作用；通过第三魔术贴与第二魔术贴之间以及第四魔术贴与第一魔术贴之间两两相连增加了连接的稳固性避免游泳或者挣扎过程的脱落。</t>
  </si>
  <si>
    <t>一种应用物联网技术的游泳池防溺水报警装置</t>
  </si>
  <si>
    <t>CN113490049B</t>
  </si>
  <si>
    <t>本发明涉及视频剪辑技术领域，公开了一种基于人工智能的体育赛事视频剪辑方法和系统，通过生成的事件时间表给原视频做分段并打标，用户通过智能战术平板登录分段视频与标签存储服务器来进行回放，从一场完整比赛中，快速提取出各段进攻视频段落，并生成相应视频标签，方便赛后搜索和观看，能够使得用户可以方便快速并有针对性行地对完整比赛的各个关键时间做出分析，从而实现通过对有效段落的搜索和对比赛队伍的战术进行研究分析，大大提高赛事视频剪辑的效率和精确度。</t>
  </si>
  <si>
    <t>一种基于人工智能的体育赛事视频剪辑方法和系统</t>
  </si>
  <si>
    <t>GB2599483A</t>
  </si>
  <si>
    <t>一种绩效管理方法,包括; 在活动会话期间接收有关用户表现的表现数据; 从用户设备接收有关活动的媒体数据; 使用认知状态分析模型处理媒体数据以确定用户与活动相关的认知状态分数; 使用性能分析模型处理认知状态分数和性能数据以生成性能概况; 确定与活动相关的推荐; 并执行与推荐相关的动作。 性能分析模型包括使用历史性能数据和历史认知状态分数训练的机器学习模型。 该活动可以是体育锻炼或基于运动的活动。 性能数据可以由用户佩戴的设备中的传感器捕获,并且可以在活动会话期间测量用户的生理指标。 媒体数据可以包括关于用户准备、执行和反映活动会话的内容。 认知状态分数可以是对用户对活动的情绪、情绪或感觉的评估。</t>
  </si>
  <si>
    <t>利用机器学习和认知状态分析来跟踪用户表现</t>
  </si>
  <si>
    <t>US20220358808A1</t>
  </si>
  <si>
    <t>一个引擎,既计算“基本赔率”(通过使用历史数据库挖掘计算),又计算至少一个赔率制定公式,以计算现场赛事中单场比赛的至少一个结果的赔率,交叉至少两个不同的赔率制定公式 创造交叉赔率。 实施例可以利用AI将交叉赔率与计算赔率的类似历史比赛的最终赔率相关联,并在知道比赛结果后使用机器学习将每个赔率制定公式产生的赔率与根据先前类似计算的最有利可图赔率相关联 戏剧。 该系统可以使用基础计算机系统与人工智能能力计算机的混合,并连接到量子能力计算机,以帮助计算基础计算机可以确定何时和多少调用人工智能能力、量子能力和组合人工智能的几率 能力。</t>
  </si>
  <si>
    <t>CN113485560A</t>
  </si>
  <si>
    <t>本公开提供了显示信息的方法和装置，涉及深度学习、增强/虚拟现实技术领域。具体实现方案为：响应于检测到对预设操作标识的选取操作，经由图像采集设备获取预设范围内健身环境的图像数据；根据图像数据，生成预设范围内健身环境的地图数据；响应于确定预设操作标识为第一操作标识，基于地图数据，生成并显示健身器材的标识。该方式提高了用户的健身体验。</t>
  </si>
  <si>
    <t>显示信息的方法和装置</t>
  </si>
  <si>
    <t>CN113577638B</t>
  </si>
  <si>
    <t>本发明涉及智能运动设备技术领域。本发明公开了一种智能跳绳，包括两个手柄，还包括计数传感装置、心率检测装置、实时播报装置、警告装置、反作弊装置和人机交互装置。其中警告装置包括预警信息存储模块、心率比较模块和告警模块，反作弊装置包括静止心率获取模块、运动心率获取模块、跳绳频次获取模块、第一参考值获取模块、比较模块、和非正常信息输出模块。本发明提供了一种具有实时监测使用者心率功能的智能跳绳，其还能够实时播报使用者的运动数据。本发明基于心率检测装置、计数传感装置和反作弊装置构建了一个运动数据真实性判断系统，能够过滤使用者产生的不真实运动数据，能够保证线上比赛的公正性。</t>
  </si>
  <si>
    <t>一种智能跳绳</t>
  </si>
  <si>
    <t>CN113577744B</t>
  </si>
  <si>
    <t>本发明提供一种基于物联网的网球训练装置及其使用方法，涉及网球训练领域。该基于物联网的网球训练装置，包括法兰绒层，所述橡胶层的内侧固定连接有连接柱，所述连接柱和内壳之间设置有气腔室，所述内壳的内侧固定连接有支撑杆，所述支撑杆的一端固定连接有第一自驱动组件，所述内壳的内侧分别固定连接有第二自驱动组件、支撑杆和固定杆，所述固定杆的一端固定连接有球心岛，所述球心岛的一侧设置有集成传感模块。通过第一自驱动组件和第二自驱动组件配合，可以使网球滚动并调整方向，可以移动到目标位置，可以省去捡球的步骤，使训练更加省时高效。</t>
  </si>
  <si>
    <t>一种基于物联网的网球训练装置及其使用方法</t>
  </si>
  <si>
    <t>US20210362714A1</t>
  </si>
  <si>
    <t>提供了一种自动驾驶的速度规划方法及装置、装置及介质,涉及自动驾驶、深度学习等人工智能技术。 该方案包括获取车辆的当前状态,并根据当前状态和预定状态表对动作进行插值,得到当前状态的目标动作。 当前状态至少包括剩余跑步距离和当前速度。 状态表是基于强化学习方法确定的,包括多个状态和在每个状态中执行的动作。 在每个状态下执行的动作至少包括加速。</t>
  </si>
  <si>
    <t>自动驾驶的速度规划方法和装置、设备、媒介和车辆</t>
  </si>
  <si>
    <t>CN307077513S</t>
  </si>
  <si>
    <t>1.本外观设计产品的名称：训练器。
 2.本外观设计产品的用途：本外观设计产品用于个人或团队体育训练时使用，用于训练人的灵活性、速度、耐力、反应速度、眼手脚配合性、变向能力、加速能力等，也可以用于游戏等人机交互场景。
 3.本外观设计产品的设计要点：在于形状。
 4.最能表明设计要点的图片或照片：立体图。
 5.产品为等腰三角体圆滑结构，底部为触发按钮，带指示灯；触发按钮侧边为电源开关。</t>
  </si>
  <si>
    <t>训练器</t>
  </si>
  <si>
    <t>CN113576466A</t>
  </si>
  <si>
    <t>本发明公开了基于深度学习适用于啮齿动物的行为分析方法，本发明基于计算机视觉与深度学习技术，无需特殊的实验硬件设备与人为对动物进行特殊化学试剂标记处理。通过多身体关键点识别技术实现全自动化追踪动物，实现了实验过程的自动化，避免了人工计数引入的主观误差和对实验动物的干扰，增加了实验结果的客观性、可靠性。并通过设计全新指标实现机器分析小鼠行为。分析灵活，支持时段分析，支持定时终止和人工终止，并具有丰富的显示方式，能对动物的运动情况采用轨迹图、参数指标、曲线、直方图等多种显示方式。同时，根据对超精细行为指标的捕获，进一步实现动物在强迫游泳过程中行为动作的分析。</t>
  </si>
  <si>
    <t>CN216719481U</t>
  </si>
  <si>
    <t>本实用新型公开了一种基于语音交互系统的电子蓝牙跳绳，以蓝牙数据通讯、智能数据分析为研究对象，并以智能语音系统的研究为重点，通过电源管理、蓝牙数据通讯、运动姿态检测、心率检测模块、高精度霍尔计数电路等系统设计，构建智能电子蓝牙跳绳运动场景，在满足运动要求的同时，也提供语音识别交互、关键词识别、运动姿态检测、心率检测、健身计划提示、私人语音教练、运动背景歌曲等多种功能。</t>
  </si>
  <si>
    <t>一种基于语音交互系统的电子蓝牙跳绳</t>
  </si>
  <si>
    <t>CN113435449B</t>
  </si>
  <si>
    <t>本发明公开了基于深度学习的OCR图像文字识别与段落输出方法，具体涉及OCR文字识别领域，具体操作步骤如下：S1、读入图像：将待识别的图像上传/导入，得到可编辑图像；S2、图像预处理：将步骤S1中得到的可编辑图像进行编辑，调整该图像到指定大小；S3、加载CTPN预训练模型：加载CTPN模型，先通过VGG16提取图像中的局部图像特征，再使用BLSTM提取上下文特征，然后用全连接层和多预测分支得到坐标值和概率值，最后合并字符为文本检测框。本发明在深度学习检测模型CTPN的基础上，对复杂图像进行分栏分段识别；在复杂的多栏场景下对图像中的文字进行识别并段落输出，根本上解决已有OCR识别中的结果杂糅问题，大大提升结果的可读性。</t>
  </si>
  <si>
    <t>基于深度学习的OCR图像文字识别与段落输出方法</t>
  </si>
  <si>
    <t>US11769327B2</t>
  </si>
  <si>
    <t>本文提出的是用于自动且精确地生成内容的精彩或摘要视频的系统、方法和数据集。 例如,在一个或多个实施例中,体育赛事的视频可以被消化或压缩为精彩片段,这将在成本降低、快速和高效方面极大地有益于体育媒体、广播公司、视频创作者或评论员、或其他短视频创作者。 批量生产,节省繁琐的工程时间。 框架的实施例还可以用于或适应于更好地宣传运动队、运动员和/或比赛,并产生故事以颂扬体育运动或其运动员的精神。 虽然在体育背景下呈现,但应当注意的是,该方法可以用于包括其他内容和事件的视频。</t>
  </si>
  <si>
    <t>人工智能自动精准生成精彩视频</t>
  </si>
  <si>
    <t>US20210374427A1</t>
  </si>
  <si>
    <t>描述了部署在特定区域以获取鱼类图像的鱼类监测系统。 可以实施神经网络和机器学习技术,以定期训练鱼类监测系统并生成监测模式,以根据确定区域的条件捕获鱼类的高质量图像。 当检测到与监控模式匹配的条件时,可以根据监控模式指定的设置(例如位置、视角)来配置相机系统。 每种监测模式可以与一种或多种鱼类活动相关联,例如睡觉、进食、单独游泳,以及一种或多种参数,例如时间、位置和鱼类类型。</t>
  </si>
  <si>
    <t>鱼类测量站保持</t>
  </si>
  <si>
    <t>CN114038005A</t>
  </si>
  <si>
    <t>本发明公开了一种基于神经网络的步态相位识别方法。本方法的操作步骤a.构建步态数据采集设备，b.步态数据采集实验，c.下肢行走机理分析及步态相位划分，d.基于多层感知器神经网络算法，建立步态相位识别模型，进行步态相位识别，e.步态数据集的建立，f.多运动模式步态相位识别。本发明的目的在于搭建用于采集运动步态数据的足底压力测量系统，采用基于神经网络的步态相位识别算法开展行走模式和跑步模式下的步态相位识别研究，通过比较不同网络结构对识别准确率的影响，对神经网络识别模型进行优化调整。</t>
  </si>
  <si>
    <t>基于神经网络的步态相位识别方法</t>
  </si>
  <si>
    <t>KR102417224B1</t>
  </si>
  <si>
    <t>在本发明中,入口和出口形成为具有两端的管子的形式,包括水管的供水管内流动的水通过入口引入内部,流入入口的水通过出口排出。分别在供水管的一侧。水管接头要连接; 测量单元,包括多个传感器,用于测量各种信息,包括流入水管连接单元的入口侧的水的水质和流量; 通信单元,包括通信模块,用于将包括通过测量单元测量的测量值的各种类型的信息传输到外部; 控制单元,接收通过测量单元测得的测量值,进行水质分析,并控制水质传感器的整体操作; 供电电源装置; 显示单元,用于显示包括通过测量单元测量的测量值的各种类型的信息; 水管连接部分、测量部分、通讯部分、控制部分、供电部分、显示部分分别内置于壳体内形成外观; 测试单元,阻断通过水管连接单元供应至测量单元的水,并在向测量单元供应受污染的水时检测测量单元是否发生故障; 当通过测试单元的操作检测到测量单元的故障时,通过显示单元输出测量单元的更换信号,并且测量单元安装在壳体中以打开和关闭以撤回测量单元。测量单元与壳体;门构件,将该部分与水管连接部分分开; 第一可装卸部,以打开和关闭的方式将门构件连接至壳体; 第二可拆卸部分将测量部分可拆卸地连接至门构件。</t>
  </si>
  <si>
    <t>用于检测供水中漂浮物的物联网传感器和使用该传感器提供供水信息的方法</t>
  </si>
  <si>
    <t>US20230034143A1</t>
  </si>
  <si>
    <t>CN115989529A</t>
  </si>
  <si>
    <t>公开了一种用于标识和确定个体的位置的系统。该系统被配置成：(1)基于由成像传感器捕获的初步数据集来标识检测区域内的个体；(2)在显示器上示出协调标识符；(3)接收由个体操作的通信设备传输的标识符响应信号；(4)生成对应于接收标识符响应信号的标识符时间戳；(5)获得由成像传感器捕获的成像数据集；(6)确定个体的头部位置模式；(7)标识个体的子集，其包括具有符合预定头部位置模式的头部位置模式的个体；(8)如果该子集仅由一个个体组成，则将该子集中的该个体指定为被识别的个体；(9)基于成像数据集确定被识别个体的位置。</t>
  </si>
  <si>
    <t>基于图像识别的个体标识和定位系统</t>
  </si>
  <si>
    <t>CN113498892A</t>
  </si>
  <si>
    <t>本发明公开了一种基于物联网智能穿戴设备，包括手背套和腕带，手背套和腕带相连接，手背套的一侧表面设置有柔性屏幕，其柔性屏幕的底侧设置有磁性条，腕带的表面设置有太阳能板，手背套的顶端安装有连接带，其连接带的一端安装有持握块，持握块底端安装有伸缩弹簧，伸缩弹簧的底端安装有底支撑杆，连接带的表面包覆有硅胶层，持握块的内部包含有储存模块和压力传感器。本发明通过设置一种可穿戴式设备，主要替代现有技术中的腕带以及电子手表类工具，于户外健身运动中为主要运用情况，其腕带部分受手背套和连接带形成固定方式，并且于内侧设置持握块，在使用者需要捏拳的情况下能够对手心处进行保护。</t>
  </si>
  <si>
    <t>一种基于物联网智能穿戴设备</t>
  </si>
  <si>
    <t>CN215653741U</t>
  </si>
  <si>
    <t>本实用新型公开了一种基于智能护具的跆拳道训练监控系统，涉及物联网技术领域。该系统的传感器检测子系统的每个智能护具上设置有至少一个传感器节点，每个传感器节点包括：九轴传感器和定位传感器；智能控制子系统的每个定位基站分别与处理器和定位传感器无线连接，处理器与显示器连接；数据存储子系统的通信单元与数据库连接，通信单元还分别与处理器和每个传感器节点无线连接。本实用新型适用于跆拳道比赛、训练和娱乐过程中对运动者的运动状态、运动数据和运动情况进行实时监测，可以对使用者的身体数据和运动情况进行检测，实现对使用者的各个身体部位的准确定位，实时地显示采集到的运动数据。</t>
  </si>
  <si>
    <t>一种基于智能护具的跆拳道训练监控系统</t>
  </si>
  <si>
    <t>US20220040551A1</t>
  </si>
  <si>
    <t>提供了一种拳击沙袋同步控制方法。 该方法包括以下步骤:设置教练出气筒; 多个物联网传感器感知教练的拳击动作,将拳击动作的出拳位置转换成出拳位置信息,发送给数据处理设备; 处置多个学生出气筒; 将多个学生沙袋连接至数据处理装置,同步接收出拳位置信息,并将出拳位置信息转换为光控信号,以同步控制多个显示灯,让多个学生在 根据显示灯的位置打出相应的出拳练习区。</t>
  </si>
  <si>
    <t>拳击沙袋的同步控制方法</t>
  </si>
  <si>
    <t>US20220377568A1</t>
  </si>
  <si>
    <t>本主题公开的方面可以包括,例如,基于光子映射和机器学习的组合的网络部署或无线电传播计算,包括支持针对不同天线布局的无线电传输的近实时计算并允许检查 各种各样的天线位置和布局,更改配置细节,例如,倾斜天线或优化选择每个天线覆盖的扇区,等等。 公开了其他实施例。</t>
  </si>
  <si>
    <t>用于跑步规划的实时 ML 支持的无线电传播计算</t>
  </si>
  <si>
    <t>US11577147B1</t>
  </si>
  <si>
    <t>提供了一种用于检测物体与玩家身体部位之间的有意接触的电子设备和方法。 电子设备从成像设备接收视频的多个帧。 电子设备跨多个帧跟踪对象的移动和身体部位的移动。 电子设备基于跟踪到的运动从多个第一帧中确定对象的位置坐标与玩家的身体部位的位置坐标之间的重叠程度超过重叠阈值的感兴趣帧。 电子设备基于感兴趣的帧检测对象和玩家的身体部分之间的接触。 电子设备对感兴趣的帧和跟踪的运动应用机器学习模型以确定接触是否是有意的。</t>
  </si>
  <si>
    <t>检测运动中物体与运动员身体部位的故意接触</t>
  </si>
  <si>
    <t>AU2021104722A4</t>
  </si>
  <si>
    <t>本发明涉及用于体育预测的基于机器学习和人工智能的智能投注系统。 本发明的目的是解决现有技术中出现的与基于机器学习的梦幻体育在线投注相关的异常情况。 27 图纸 Real S5port ResulIt 运动数据终端处理单元 基于机器学习的权重 图 1 28</t>
  </si>
  <si>
    <t>基于机器学习和人工智能的体育预测智能投注系统</t>
  </si>
  <si>
    <t>CN113807646B</t>
  </si>
  <si>
    <t>本发明提供了一种无人机与车辆协同任务分配的智能优化方法和系统，涉及无人机技术领域。首先获取无人机与车辆协同任务分配模型和预设参数；并采用车机协同混合编码方法构建初始种群；随后计算染色体的适应度值，然后对染色体进行操作；随后对染色体对应解的可行性进行判别；并对未通过可行性判别的染色体进行修正；接着对当前种群中的染色体进行更新操作，生成子代种群；若未达到最大迭代次数，则再次进行染色体操作；若达到，输出子代种群中的适应度值最大的染色体对应的方案。本发明更能确保线段任务被唯一访问，且在染色体更新操作过程也可避免大量不可行染色体的出现，进而使得本发明提出的遗传算法节省了判断不可行染色体及矫正的时间。</t>
  </si>
  <si>
    <t>无人机与车辆协同任务分配的智能优化方法和系统</t>
  </si>
  <si>
    <t>CN113688251A</t>
  </si>
  <si>
    <t>本发明公开了一种室内体育赛事安保领域的知识图谱构建方法及系统，包括：通过获得室内区域信息、每一次赛事的人流在各区域的流动方向及时间长度、TOP‑N个拥挤区域和抽取历来发生过安全或安保问题的区域作为标注区域，预测发生安保问题的区域；通过NLP技术构建安保领域知识图谱，将可能发生安保问题的区域添加到危险区域关系属性中，对所述属性进行多种危险联合识别和属性更新；在知识图谱的本体继承中，对所述属性的继承进行约束，去除错误的危险区域，构建精准的安保知识图谱，根据所述图谱分配巡逻和指挥紧急事件。本发明用来辅助知识图谱中危险区域属性的构建，并细化区域间关系还有危险区域继承的算法，使安保领域知识图谱构建更加高效精准。</t>
  </si>
  <si>
    <t>一种室内体育赛事安保领域的知识图谱构建方法与系统</t>
  </si>
  <si>
    <t>WO2022035587A1</t>
  </si>
  <si>
    <t>在一个实施例中,一种用于训练具有多个参数的机器学习模型的方法包括实例化训练器,每个训练器至少与工作线程、同步线程和参数的本地版本相关联,使用工作线程来执行训练操作,包括 使用其关联的工作线程为每个训练器生成参数的更新本地版本,同时工作线程正在执行训练操作,使用同步线程执行同步操作,包括基于更新的本地版本生成参数的全局版本 参数并基于全局版本为每个训练器生成参数的同步本地版本,基于同步的本地参数版本继续执行训练操作,并在训练结束时至少基于最终的本地版本来确定参数 与 o 关联的参数的版本 新教练。</t>
  </si>
  <si>
    <t>在后台执行同步以实现高度可扩展的分布式训练</t>
  </si>
  <si>
    <t>EP4193307A1</t>
  </si>
  <si>
    <t>在后台执行同步以进行高度可扩展的分布式训练</t>
  </si>
  <si>
    <t>EP3896624A2</t>
  </si>
  <si>
    <t>提供了一种自动驾驶的速度规划方法及装置、装置及介质,涉及自动驾驶、深度学习等人工智能技术。 该方案包括获取车辆的当前状态(S101),并根据当前状态和预定状态表对动作进行插值,得到当前状态的目标动作(S102)。 当前状态至少包括剩余跑步距离和当前速度。 状态表是基于强化学习方法确定的,包括多个状态和在每个状态中执行的动作。 在每个状态下执行的动作至少包括加速。 使用该解决方案,查表取代了神经网络。 只需离线确定状态表,再在线查表,就可以确定当前状态的目标动作。 因此,不仅不会占用大量计算资源,还可以获得速度规划的全局最优解。</t>
  </si>
  <si>
    <t>自动驾驶速度规划方法、装置、装置、媒介和车辆</t>
  </si>
  <si>
    <t>AU2021104545A4</t>
  </si>
  <si>
    <t>物联网提高了对我们世界的认识,并提供了一个平台来监控对所述意识使我们面临的不断变化的条件的反应。 而且,就像互联网本身的出现一样,IoT 支持从微观到宏观,从微不足道到关键的无数应用。 可穿戴技术有助于检查我们的日常健身程序和活动。 大多数模型测量我们的心跳率。 此外,它们还配有警报系统,提醒我们即将进行的任务并开始活动。 Third Eye 系统是一种可穿戴物联网设备,解决了在穿越孤立或未知地点时监控用户背部的问题。 当使用面部和异常事件检测技术后发生异常活动时,它会通过无线耳塞使用语音警报提醒用户。 当用户倒塌或摔倒时,它会向家人发送紧急警报和位置信息。 它还会跟踪用户访问过的所有位置,这些位置可能对用户有用,以便根据需要进行分析。 通过语音提醒用户 三只眼设备监测用户身后未知人员 跟随用户 图 3:第三只眼设备异常事件检测 用户身后第三只眼设备检测跌倒并向其发送紧急警报 图 4:第三只眼设备用户跌倒检测和警报系统 第三 Eye device 使用 GPS 捕获访问过的地方并存储数据 图 5:Third Eye Device Data Collection</t>
  </si>
  <si>
    <t>基于智能物联网的第三只眼,防止异常活动</t>
  </si>
  <si>
    <t>CN113569096A</t>
  </si>
  <si>
    <t>本公开提供了结构化信息抽取方法、装置、设备、存储介质以及程序产品，涉及人工智能领域，尤其涉及计算机视觉和深度学习领域。具体实现方案为：对体育赛事视频进行光学字符识别，得到体育赛事信息；基于体育赛事信息，对体育赛事视频中的运动目标进行跟踪，得到运动目标的位置信息；从体育赛事视频中提取精彩动作片段；基于运动目标的位置信息，对精彩动作片段进行结构化分析，得到精彩动作片段的结构化信息。本公开可以智能分析体育赛事视频，形成结构化数据，为体育赛事锦集提供高质量的素材，有助于完成体育赛事的快速内容创作。</t>
  </si>
  <si>
    <t>CN113569095A</t>
  </si>
  <si>
    <t>本公开提供了结构化信息抽取方法、装置、设备、存储介质以及程序产品，涉及人工智能领域，尤其涉及计算机视觉和深度学习领域。具体实现方案为：从体育赛事视频中抽取目标体育赛事视频帧；对目标体育赛事视频帧进行目标检测，得到体育赛事中的指定目标信息；对指定目标信息进行聚合，得到体育赛事结构化信息。本公开可以高效地提取出体育赛事视频中的关键信息，形成结构化数据，为体育赛事锦集提供高质量的素材，有助于完成体育赛事的快速内容创作。</t>
  </si>
  <si>
    <t>KR102325409B1</t>
  </si>
  <si>
    <t>本发明涉及能够推荐针对个人优化的运动的个人运动策划方法和系统。 个人运动策展系统包括作为存储个人用户的个性化特征信息的物理存储空间的第一数据库,作为存储个人运动的运动特征信息的物理存储空间的第二数据库,以及基于用户的用户的用户输入信息当从生成的用户终端和计算的服务器接收到用户输入信息时,基于计算的相关性提取定制运动,并将关于提取的定制运动中的一个或多个的信息作为推荐运动信息发送到用户终端,其中,用户终端为推荐体育运动信息,服务器利用个性化特征信息对多个群组进行聚类,根据用户输入的信息,选择任一群组作为用户所属的群组,以及用户在计算单个运动与并且,服务器根据时间改变推荐运动的个体权重。</t>
  </si>
  <si>
    <t>基于人工智能的个人运动策展方法及系统</t>
  </si>
  <si>
    <t>CN215741708U</t>
  </si>
  <si>
    <t>本实用新型公开了一种基于人工智能的网球球网，涉及人工智能技术领域。本实用新型包括主箱和辅箱，所述主箱内壁底部固定连接有电机，电机的旋转轴固定连接有转轴一，转轴一的顶部转动连接有轴承座，轴承座固定连接在主箱的内壁底部，转轴一的中部在固定连接有卷筒一。本实用新型通过红外线发射器发出红外线，配合红外线接收器，进行测量主箱和辅箱之间的距离，进而将距离通过电信号传输到电控箱内，经过转换控制电机的转动，配合卷筒一、辅箱、滚轮、轨道等的配合实现对球网的收纳，进而避免了球网受到风吹日晒，从而提高了球网的使用寿命；通过储物柜实现了对使用者随身用品的储存，并利用主箱的T形结构，可供使用者进行休息。</t>
  </si>
  <si>
    <t>一种基于人工智能的网球球网</t>
  </si>
  <si>
    <t>CN113569097B</t>
  </si>
  <si>
    <t>本公开提供了结构化信息抽取方法、装置、设备、存储介质以及程序产品，涉及人工智能领域，尤其涉及计算机视觉和深度学习领域。具体实现方案为：从体育赛事视频中抽取目标体育赛事视频帧；对目标体育赛事视频帧进行目标检测，得到体育赛事中的指定目标信息；对目标体育赛事视频帧进行解析，得到体育赛事的至少一个进程的特征信息，体育赛事包括一个或多个进程；对指定目标信息和至少一个进程的特征信息进行聚合，得到体育赛事结构化信息。本公开可以高效地提取出体育赛事视频中的关键信息，形成结构化数据，为体育赛事锦集提供高质量的素材，有助于完成体育赛事的快速内容创作。</t>
  </si>
  <si>
    <t>IN202111033077A</t>
  </si>
  <si>
    <t>物联网和机器学习原理经常用于医学诊断和治疗以监测患者的状态。 通过利用安装有传感器的可穿戴传感器系统的功能,物联网已被用于构建在出现异常情况时警告患者同伴的系统。 机器学习已被用于通过使用经过训练的模型来检测患者状态中的任何异常情况来帮助进行医学诊断。 该框架旨在使用脉搏血氧仪和温度传感器监测患者的健康状况。 物联网传感器用于收集基本数据,云物联网用于分析、分类和在用户和医疗保健提供者之间交流医疗数据。 数据将存储在云物联网中,z-wave 设备从患者监测中使用的各种传感器收集数据,并将传输到医院并存储在医院数据库中,使用基于 AI 和 ML 的技术持续分析数据,例如 作为基于模糊粗糙 Cmeans 聚类技术的分类方法,用于将用户分类为受感染或未受感染的类别。 为了将用户分为感染组或未感染组,我们采用模糊粗糙 C 均值聚类,并使用相似系数根据患者的症状进行区分。 如果出现任何错误,患者可以使用健身手环等可穿戴设备和其他无线连接设备(例如血压和心率监测袖带、血糖仪和其他设备)获得个性化护理。 这些设备可能被配置为提醒您卡路里计数、锻炼、约会、血压变化和各种其他事情。 物联网改变了人们的生活,尤其是老年患者的生活,让他们能够实时跟踪自己的健康状况。 这对单亲父母及其家庭有很大的影响。 如果一个人的日常行为被打乱或改变,警报机制会向家庭成员、医生、护理人员和其他相关医疗服务提供者发送消息。</t>
  </si>
  <si>
    <t>基于智能医疗云的物联网模型系统,用于使用深度学习进行检测和预防</t>
  </si>
  <si>
    <t>CN307266553S</t>
  </si>
  <si>
    <t>1.本外观设计产品的名称：显示屏幕面板的剧场模式动态图形用户界面。
 2.本外观设计产品的用途：用于显示图形用户界面及交互。
 3.本外观设计产品的设计要点：在于图形用户界面的界面内容。
 4.最能表明设计要点的图片或照片：主视图。
 5.后视图、左视图、右视图、俯视图、仰视图无设计要点，省略后视图、左视图、右视图、俯视图、仰视图。
 6.图形用户界面的用途：用于剧场模式窗口互换操作的图形用户界面。
 7.图形用户界面的人机交互方式：主视图为打开剧场模式窗口界面，用户低头进入界面变化状态图1，在界面变化状态图1中选中的窗口下方显示“互换”按钮；选中“互换”按钮进入界面变化状态图2，在界面变化状态图2中会显示“互换”窗口的提示框；点击“互换”按钮进入界面变化状态图3，在界面变化状态图3中被选中的窗口与之前已进入剧场模式的窗口开始进行互换；在界面变化状态图4中被选中的窗口与之前已进入剧场模式的窗口继续进行互换；在被选中的窗口与之前已进入剧场模式的窗口进行互换完成后进入界面变化状态5，在界面变化状态图5中被选中的窗口变为剧场模式窗口。
 8.该显示屏幕面板及图形用户界面应用于电子设备，即计算机、笔记本电脑、平板电脑、手机、智能手机、智能眼镜、虚拟现实眼镜、增强现实眼镜、混合现实眼镜、手表、智能手表、健身监视器、头戴式耳机、智能音箱、电视、机顶盒。</t>
  </si>
  <si>
    <t>显示屏幕面板的剧场模式动态图形用户界面</t>
  </si>
  <si>
    <t>CN307266552S</t>
  </si>
  <si>
    <t>1.本外观设计产品的名称：显示屏幕面板的剧场模式动态图形用户界面。
 2.本外观设计产品的用途：用于显示图形用户界面及交互。
 3.本外观设计产品的设计要点：在于图形用户界面的界面内容。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7.图形用户界面的用途：用于在剧场模式下打开新窗口操作的图形用户界面。
 8.图形用户界面的人机交互方式：设计1：主视图为打开多个窗口的界面，打开图标界面进入界面变化状态图1，在界面变化状态图1中显示图标界面；点击图标界面中任意图标进入界面变化状态图2，在界面变化状态2&amp;nbsp;中显示可随意拖动摆放的新窗口；确定新窗口位置和大小后点击新窗口后进入界面变化状态图3，在界面变化状态图3中新窗口下方显示“互换”按钮。
 设计2：主视图为打开多个窗口的界面，点击除剧场模式窗口以外的任意窗口进入界面变化状态图1，在界面变化状态图1中该被点击的窗口下方显示多个操作按钮，上方显示地址栏；在地址栏输入地址并点击“+”按钮进入界面变化状态图2，在界面变化状态2中显示可随意拖动并摆放的新窗口；确定新窗口位置和大小后点击新窗口后进入界面变化状态图3，在界面变化状态图3中新窗口下方显示“互换”按钮。
 9.该显示屏幕面板及图形用户界面应用于电子设备，即计算机、笔记本电脑、平板电脑、手机、智能手机、智能眼镜、虚拟现实眼镜、增强现实眼镜、混合现实眼镜、手表、智能手表、健身监视器、头戴式耳机、智能音箱、电视、机顶盒。</t>
  </si>
  <si>
    <t>CN307279624S</t>
  </si>
  <si>
    <t>1.本外观设计产品的名称：显示屏幕面板的剧场模式动态图形用户界面。
 2.本外观设计产品的用途：用于显示图形用户界面及交互。
 3.本外观设计产品的设计要点：在于图形用户界面的界面内容。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7.图形用户界面的用途：用于窗口进入剧场模式及进行大小、远近及位置操作的图形用户界面。
 8.图形用户界面的人机交互方式：设计1和设计2：主视图为打开多个窗口的界面，点击任意窗口进入界面变化状态图1，在界面变化状态图1中选中“剧场模式”按钮显示“进入剧场模式”的提示框；点击“剧场模式”按钮进入界面变化状态图2，被选中的窗口变大变远，其余窗口排列在选中窗口下方；向右拖动选中窗口时进入界面变化状态图3，在界面变化状态图3中剧场模式的窗口与其它窗口一起向右移动；向左拖动选中窗口时进入界面变化状态图4，在界面变化状态图4中剧场模式的窗口与其它窗口一起向左移动；拖动选中窗口至合适的距离和大小时进入界面变化状态图5；点击确认后进入界面变化状态图6，在界面变化状态图6中剧场模式的窗口下方显示“其他窗口放置于下方”的提示框；当用户低头时进入界面变化状态图7，在界面变化状态图7中显示置于剧场模式下方的其它窗口。
 9.该显示屏幕面板及图形用户界面应用于电子设备，即计算机、笔记本电脑、平板电脑、手机、智能手机、智能眼镜、虚拟现实眼镜、增强现实眼镜、混合现实眼镜、手表、智能手表、健身监视器、头戴式耳机、智能音箱、电视、机顶盒。</t>
  </si>
  <si>
    <t>CN307279623S</t>
  </si>
  <si>
    <t>1.本外观设计产品的名称：显示屏幕面板的剧场模式操作图形用户界面。
 2.本外观设计产品的用途：用于显示图形用户界面及交互。
 3.本外观设计产品的设计要点：在于图形用户界面的界面内容。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7.图形用户界面的用途：用于窗口从剧场模式退出的图形用户界面。
 8.图形用户界面的人机交互方式：设计1：主视图为打开多个窗口的界面，其中一窗口为剧场模式的窗口，选中该剧场模式的窗口下方显示的“退出剧场模式”按钮；点击“退出剧场模式”按钮进入界面变化状态图，在界面变化状态图中该窗口已退出剧场模式，并与其他窗口集合排列显示。
 设计2：主视图为打开多个网页和应用窗口的界面，其中一窗口为剧场模式窗口，点击该剧场模式窗口上方的图标显示框中“X”按钮进入界面变化状态图，在界面变化状态图中该窗口已退出剧场模式并关闭，其他窗口集合排列显示。
 9.该显示屏幕面板及图形用户界面应用于电子设备，即计算机、笔记本电脑、平板电脑、手机、智能手机、智能眼镜、虚拟现实眼镜、增强现实眼镜、混合现实眼镜、手表、智能手表、健身监视器、头戴式耳机、智能音箱、电视、机顶盒。</t>
  </si>
  <si>
    <t>显示屏幕面板的剧场模式操作图形用户界面</t>
  </si>
  <si>
    <t>CN307481411S</t>
  </si>
  <si>
    <t>CN307600540S</t>
  </si>
  <si>
    <t>1.本外观设计产品的名称：显示屏幕面板的剧场模式切换图形用户界面。
 2.本外观设计产品的用途：用于显示图形用户界面及交互。
 3.本外观设计产品的设计要点：在于图形用户界面的界面内容。
 4.最能表明设计要点的图片或照片：主视图。
 5.后视图、左视图、右视图、俯视图、仰视图无设计要点，省略后视图、左视图、右视图、俯视图、仰视图。
 6.图形用户界面的用途：用于窗口进入剧场模式及进行大小、远近及位置操作的图形用户界面。
 7.图形用户界面的人机交互方式：主视图为打开多个窗口的界面，点击任意窗口进入界面变化状态图1，在界面变化状态图1中选中“剧场模式”按钮显示“进入剧场模式”的提示框；点击“剧场模式”按钮进入界面变化状态图2，被选中的窗口变大变远，其余窗口排列在选中窗口下方；向右拖动选中窗口时进入界面变化状态图3，在界面变化状态图3中剧场模式的窗口与其它窗口一起向右移动；向左拖动选中窗口时进入界面变化状态图4，在界面变化状态图4中剧场模式的窗口与其它窗口一起向左移动；拖动选中窗口至合适的距离和大小时进入界面变化状态图5；点击确认后进入界面变化状态图6，在界面变化状态图6中剧场模式的窗口下方显示“其他窗口放置于下方”的提示框；当用户低头时进入界面变化状态图7，在界面变化状态图7中显示置于剧场模式下方的其它窗口。
 8.该显示屏幕面板及图形用户界面应用于电子设备，即计算机、笔记本电脑、平板电脑、手机、智能手机、智能眼镜、虚拟现实眼镜、增强现实眼镜、混合现实眼镜、手表、智能手表、健身监视器、头戴式耳机、智能音箱、电视、机顶盒。</t>
  </si>
  <si>
    <t>显示屏幕面板的剧场模式切换图形用户界面</t>
  </si>
  <si>
    <t>CN307600541S</t>
  </si>
  <si>
    <t>1.本外观设计产品的名称：显示屏幕面板的剧场模式切换图形用户界面。
 2.本外观设计产品的用途：用于显示图形用户界面及交互。
 3.本外观设计产品的设计要点：在于图形用户界面的界面内容。
 4.最能表明设计要点的图片或照片：主视图。
 5.后视图、左视图、右视图、俯视图、仰视图无设计要点，省略后视图、左视图、右视图、俯视图、仰视图。
 6.图形用户界面的用途：用于剧场模式窗口互换操作的图形用户界面。
 7.图形用户界面的人机交互方式：主视图为打开剧场模式窗口界面，用户低头进入界面变化状态图1，在界面变化状态图1中选中的窗口下方显示“互换”按钮；选中“互换”按钮进入界面变化状态图2，在界面变化状态图2中会显示“互换”窗口的提示框；点击“互换”按钮进入界面变化状态图3，在界面变化状态图3中被选中的窗口与之前已进入剧场模式的窗口开始进行互换；在界面变化状态图4&amp;nbsp;中被选中的窗口与之前已进入剧场模式的窗口继续进行互换；在被选中的窗口与之前已进入剧场模式的窗口进行互换完成后进入界面变化状态5，在界面变化状态图5中被选中的窗口变为剧场模式窗口。
 8.该显示屏幕面板及图形用户界面应用于电子设备，即计算机、笔记本电脑、平板电脑、手机、智能手机、智能眼镜、虚拟现实眼镜、增强现实眼镜、混合现实眼镜、手表、智能手表、健身监视器、头戴式耳机、智能音箱、电视、机顶盒。</t>
  </si>
  <si>
    <t>KR1020220150174A</t>
  </si>
  <si>
    <t>本发明提供一种针对运动员每个生命周期的个性化生涯预测装置,包括:存储运动员信息的数据存储单元; 一种嵌入单元,用于通过从运动员信息中提取运动员的奖励表现信息和历史信息,并将词嵌入向量输入卷积神经网络 (CNN) 模型以生成运动员的职业信息,从而生成词嵌入向量。为运动员的每个生命周期提供定制的职业预测装置,其特征在于,包括职业预测单元,所述职业信息为运动员能够前进的至少一条或多条职业道路的概率值。</t>
  </si>
  <si>
    <t>为运动员的每个生命周期定制的职业预测装置、使用该装置的职业预测方法以及记录有提供该装置的计算机程序的计算机可读介质</t>
  </si>
  <si>
    <t>CN307670611S</t>
  </si>
  <si>
    <t>1.本外观设计产品的名称：显示屏幕面板的剧场模式切换图形用户界面。
 2.本外观设计产品的用途：用于显示图形用户界面及交互。
 3.本外观设计产品的设计要点：在于图形用户界面的界面内容。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7.图形用户界面的用途：用于在剧场模式下打开新窗口操作的图形用户界面。
 8.图形用户界面的人机交互方式：设计1：主视图为打开多个窗口的界面，打开图标界面进入界面变化状态图1，在界面变化状态图1中显示图标界面；点击图标界面中任意图标进入界面变化状态图2，在界面变化状态2&amp;nbsp;中显示可随意拖动摆放的新窗口；确定新窗口位置和大小后点击新窗口后进入界面变化状态图3，在界面变化状态图3中新窗口下方显示“互换”按钮。
 设计2：主视图为打开多个窗口的界面，点击除剧场模式窗口以外的任意窗口进入界面变化状态图1，在界面变化状态图1中该被点击的窗口下方显示多个操作按钮，上方显示地址栏；在地址栏输入地址并点击“+”按钮进入界面变化状态图2，在界面变化状态2中显示可随意拖动并摆放的新窗口；确定新窗口位置和大小后点击新窗口后进入界面变化状态图3，在界面变化状态图3中新窗口下方显示“互换”按钮。
 9.该显示屏幕面板及图形用户界面应用于电子设备，即计算机、笔记本电脑、平板电脑、手机、智能手机、智能眼镜、虚拟现实眼镜、增强现实眼镜、混合现实眼镜、手表、智能手表、健身监视器、头戴式耳机、智能音箱、电视、机顶盒。</t>
  </si>
  <si>
    <t>WO2023002070A1</t>
  </si>
  <si>
    <t>一种基于无人机录制图像的传输和转发自动生成体育赛事视频的方法,包括使用无人机(120)将无人机计算机视觉系统捕获的数据记录或转发给人工神经网络。 网络 (ANN) 架构 (108) 将数据分类和处理为感兴趣的事件,以指示器的格式发送到第二个 ANN 架构 (110) 和视频编辑软件 (100),每个片段是一个 视频及其元数据是任何格式的组合,以及标识符、识别码或参考,其通过表达开发软件(106)指向不同的数据库、集合、文档、表格或类似物, 根据情况,不同的处理语言结构包含单独的语言结构,从单词到短语、单词向量、标签、合成短语和派生词。</t>
  </si>
  <si>
    <t>基于无人机记录图像传输和重传的体育赛事视频自动生成方法</t>
  </si>
  <si>
    <t>KR1020230014210A</t>
  </si>
  <si>
    <t>[0001] 本发明涉及一种智能镜,更具体地说,是一种智能健康镜,它是一种与人工智能相结合的健身镜,在镜子上装有摄像头,使用户可以一边看着镜子一边以正确的姿势进行锻炼.</t>
  </si>
  <si>
    <t>智能健康镜</t>
  </si>
  <si>
    <t>CN216132607U</t>
  </si>
  <si>
    <t>本实用新型公开了煤矿井下用的物联网无线传输式锚杆应力传感器，包括安装基板，所述安装基板中心位置前后两侧壁之间呈对称开设有安装孔，所述安装孔内固定安装有螺栓，两个所述螺栓前侧壁固定连接有应力传感器本体，利于进行应力传感器本体的安装拆卸。本实用新型通过采用良好的安装机构设计，实际进行整体以及传感器本体安装拆卸时，其便利便捷性良好，整体操作便利性提高，整体安装性能好，此外通过设置有良好的手持机构，实际搬运移动布置方便，且易损件传感探头利于快速更换，整体实际应用价值高。</t>
  </si>
  <si>
    <t>煤矿井下用的物联网无线传输式锚杆应力传感器</t>
  </si>
  <si>
    <t>CN115569367A</t>
  </si>
  <si>
    <t>本发明提供了一种运动效果评估方法与运动效果评估系统，主要应用于运动管理单位评估从事运动的用户的运动效果，上述评估方法先取得运动设备被操作之后的运行信息，运行信息对应于用户的用户信息，然后累积收集大量运行信息之后以人工智能演算方式建立功效评估模型，接着依据功效评估模型比对用户信息得到专属于用户的运动建议信息，再依据运动建议信息回馈给用户，借以建立真正有效增进运动效果的运动建议信息，各种不同身体状态的使用者都能具备专属而有效的运动评估结果与对策，提升运动健身的效率、效果与精准性。</t>
  </si>
  <si>
    <t>运动效果评估方法与运动效果评估系统</t>
  </si>
  <si>
    <t>CN115641355A</t>
  </si>
  <si>
    <t>本公开提供了用于检测骨架的方法、装置、设备、介质和产品，涉及人工智能技术领域，尤其涉及计算机视觉和深度学习技术领域，可应用于体育训练等场景。具体实现方案为：获取目标图像；确定目标图像中的基准骨架关键点对应的位置信息；基于基准骨架关键点对应的位置信息，确定目标图像中的各个骨架关键点对应的位置信息；基于各个骨架关键点对应的位置信息和预设的骨架关键点连接信息，生成目标图像对应的目标骨架。本实现方式可以提高骨架检测的精准度。</t>
  </si>
  <si>
    <t>用于检测骨架的方法、装置、设备、介质和产品</t>
  </si>
  <si>
    <t>US20210339146A1</t>
  </si>
  <si>
    <t>提供了一种方法,包括:记录来自视频游戏的第一会话的游戏玩法数据,第一会话定义用于用户的交互式游戏玩法; 使用游戏玩法数据训练机器学习模型,其中训练使机器学习模型模仿用户的交互式游戏玩法; 在训练之后,通过将机器学习模型暴露于视频游戏的一个或多个场景来确定机器学习模型的分类,并评估机器学习模型响应于一个或多个场景的动作; 并且,使用机器学习模型的分类向用户提供教练推荐。</t>
  </si>
  <si>
    <t>用于视频游戏指导和配对的 AI 建模</t>
  </si>
  <si>
    <t>CN113609186A</t>
  </si>
  <si>
    <t>本公开公开了一种晨跑数据管理方法及装置，首先响应于接收到建立目标晨跑数据的请求，基于预设属性信息，在页面配置至少一个晨跑规则，而后实时接收每一个目标人员在预设位置点处，终端设备检测到的一组晨跑数据；最后基于晨跑数据，生成所述目标人员的第一目标晨跑数据，并基于所述目标人员的目标晨跑数据生成所述目标单位的第二目标晨跑数据。通过线上化管理班级和学生的数据，以及基于物联网技术实时获取每个学生的跑步数据，实现了跑步数据的实时性管理，以及提高了数据的管理效率。</t>
  </si>
  <si>
    <t>晨跑数据管理方法及装置</t>
  </si>
  <si>
    <t>US20230034287A1</t>
  </si>
  <si>
    <t>传统上,学习语音合成和语音识别被作为两个独立的任务进行研究。 这种分离阻碍了并发综合和识别的增量开发,其中部分学习的综合和部分学习的识别必须在整个终身学习过程中相互帮助。 本发明是一种范式转变——我们将合成和识别视为终身学习机器人的两个相互交织的方面。 此外,与现有的识别或合成系统相比,婴儿在学习过程中不需要母亲时时刻刻直接监督他们的声道。 我们认为,在细粒度时间级别上自生成的非符号状态/动作可以帮助学习者获得必要的时间上下文。 在这里,我们解决了一个新的和具有挑战性的问题——如何使自主学习系统能够开发一个人工马达来动态地生成时间密集(例如,逐帧)的动作,而无需人工手工制作一组符号状态。 这里的人工马达对应于多种机器人效应器的组合,包括但不限于说话、唱歌、跳舞、骑自行车、游泳和驾驶汽车。 自生成的状态/动作是类肌肉的、高维的、时间密集的和全局平滑的(MHTG),因此这些状态/动作直接参与每个时间帧的并发合成和识别。 人类教师无需监督学习者的运动末端。 Candid Covariance-free Incremental (CCI) 主成分分析 (PCA) 用于开发这种人工说话电机,其中 PCA 特征驱动电机。 由于每个生命都必须正常发育,因此每个 Developmental Network-2 (DN-2) 都会到达相同的网络(最大似然,ML),而不管随机初始化的权重如何,其中 ML 不仅适用于函数逼近器,还适用于涌现的图灵机。 机器合成的声音由神经网络和人类通过识别实验进行评估。 我们的实验结果显示了音素的学习合成和通过合成学习识别。 本发明对应于我们的目标迈出的关键一步,即缩小直接从物理世界实现完全自主机器学习的巨大差距。</t>
  </si>
  <si>
    <t>在开发电机的同时学习识别和合成的机器人</t>
  </si>
  <si>
    <t>ZA202105032B</t>
  </si>
  <si>
    <t>一种游泳池监控系统,使用多个传感器系统在物体到达游泳池边缘之前检测游泳池限定范围内物体的存在。 对象可以是人或动物。 传感器系统可以包括测距传感器、音频传感器、嗅觉传感器和视频成像传感器。 传感器由计算机系统监控,该系统存储了授权在泳池周边的物体的数据。 该系统通过将检测到的对象与存储的数据进行比较,在检测到受监控范围内的未经授权或未知对象时提供警报或警报。 该系统可以确定物体与泳池边缘的距离,并在物体接近泳池边缘时提供可调节的警报。 该系统使用面部识别和语音识别来检测授权对象并区分未经授权和未知对象,以建立可通过扬声器、短信或电子邮件传达的警报或警报级别。 该系统可以接受来自任何传感器的更新数据,以将额外的授权或未授权对象识别数据添加到系统数据库中。</t>
  </si>
  <si>
    <t>游泳池智能监控系统</t>
  </si>
  <si>
    <t>IN202141031885A</t>
  </si>
  <si>
    <t>为了监测患者的状态,物联网和机器学习的概念被广泛应用于医疗诊断和治疗。 物联网已被用于创建系统,通过利用安装有传感器的可穿戴传感器系统的功能,在出现异常情况时提醒患者的同伴。 机器学习已被用于帮助医学诊断领域,方法是使用经过训练的模型来检测患者状态中的任何异常。 该框架旨在通过使用脉搏血氧计、温度传感器来监测患者的健康,物联网传感器用于收集所需的信息,云物联网用于分析、分类和在用户和医疗保健服务提供商之间共享医疗信息。 使用 z-wave 设备将数据存储在云 IoT 中,从用于监测患者的不同传感器收集数据,并将其传输到医院,并通过使用基于 AI 和 Ml 的技术分析数据,将其存储在医院数据库中 连续类似技术的基于 FKNN 的分类方法被用来将用户分类为感染或未感染的类别。 可穿戴和我们利用相似系数根据患者的症状进行区分,并采用模糊 k 最近邻方法将用户分类为感染或未感染的类别。 如果任何遗漏的事情立即发生,患者可以通过可穿戴设备(例如健身手环)和其他无线连接设备(例如血压和心率监测袖带、血糖仪等)获得定制化的关注。 可以对这些小工具进行编程,提醒您注意卡路里计数、锻炼、约会、血压变化等等。 物联网让人们实时了解自己的健康状况,从而彻底改变了人们的生活,尤其是老年患者的生活。 这对单身人士及其家庭有重大影响。 如果一个人的日常活动被打断或改变,警报机制会向家庭成员、医生、救护车和相关的健康提供者提供信息。</t>
  </si>
  <si>
    <t>用于检测和预防患者健康监测的基于物联网的远程智能医疗保健系统</t>
  </si>
  <si>
    <t>CN113407703A</t>
  </si>
  <si>
    <t>本发明涉及一种智能教练方法，包括：主动教练步骤和双向教练步骤；主动教练步骤为基于用户输入已知数据，在知识图谱中进行实体识别和关系识别后，采用启发教练技术对用户进行主动的教练式启发，发出多个开放式问题，用户基于开放式问题进行回答，并基于开放式问题整理思路，找到最终答案；双向教练步骤为用户输入已知数据后，用户进行教练式提问，教练系统基于知识图谱找到最终答案并进行回答；或教练系统基于知识图谱进行教练式提问，启发用户思考并回答问题，找到最终答案。本发明还提供一种智能教练装置、电子设备和存储介质。本发明实现以教练式提问协助用户最终理清思路，并得到最终答案。</t>
  </si>
  <si>
    <t>一种智能教练方法和装置、电子设备和存储介质</t>
  </si>
  <si>
    <t>US11398132B2</t>
  </si>
  <si>
    <t>CN113673327B</t>
  </si>
  <si>
    <t>本发明公开了一种基于人体姿态估计的罚球命中预测方法，首先输入球员发球视频，并对视频进行逐帧预处理，然后对关键片段中人体姿态进行识别；使用了层数适中的网络对视频中的人体行特征提取；通过帧间姿态距离计算方法，对视频中球员进行人体跟踪，同时通过超像素方法对图像进行超像素分割，通过设置阈值的方法，对检测的人体骨骼关节点进行筛选；进一步通过特征转换方法将提取的人体姿态坐标位置转换为角度特征；最后采用支持向量机作为篮球罚篮结果预测的算法，对球员发球命中与否进行预测。</t>
  </si>
  <si>
    <t>一种基于人体姿态估计的罚球命中预测方法</t>
  </si>
  <si>
    <t>IN202141031317A</t>
  </si>
  <si>
    <t>我们的发明使用深度学习编程处理错误事件的智能方法和系统是一种网络修复应用程序,可以机械地验证无线运营商网络困难的根本解释,并生成网络修复优先级以在接收到错误事件之前实现根本原因的答案 客户端或网络麻烦。 最初,设备平台可以从多个数据源接收有关用户设备和无线运营商网络的网络元素的性能知识。 网络修复应用程序可以使用经过训练的机器学习模型来分析性能知识,以预测触摸支持性能知识中指示的症状的一个或附加用户设备的困难的根本原因。 然后将这些结果与经典的支持向量机和内核部分统计程序进行比较。 这些策略的超参数在测试之前根据教练知识的验证集进行调整。 此外,研究的是最方便的预处理、利用原生、垂直、水平和二维(全局)Mahanalobis 缩放、波纹变换和通过过滤进行的变量选择。</t>
  </si>
  <si>
    <t>使用深度学习编程处理错误事件的智能方法和系统</t>
  </si>
  <si>
    <t>CN113287871A</t>
  </si>
  <si>
    <t>一种基于物联网的消毒鞋柜控制系统，包括柜体、置物组件、控制组件、框体组件，置物组件、控制组件、框体组件设置于柜体内；置物组件包括至少两抽屉、滑动结构及抽屉驱动器，抽屉通过两端设置的滑动结构与柜体连接，抽屉驱动器与抽屉固定连接；控制组件包括物联网处理器；框体组件包括感应器，感应器与物联网处理器电性连接；物联网处理器连接外部网络，电子设备可通过网络进行控制柜体的操作。物联网处理器可控制柜体，且物联网处理器连接外部网络，电子设备通过网络进行控制柜体操作，使用户可通过操作电子设备上，远程控制柜体的运行，柜体在电子设备的指令下，进行指定的操作，使用户无需在柜体前动手进行实际操作，提高消毒鞋柜的使用性。</t>
  </si>
  <si>
    <t>一种基于物联网的消毒鞋柜控制系统</t>
  </si>
  <si>
    <t>AU2021104096A4</t>
  </si>
  <si>
    <t>在满足个人在心理支持和干预方面的能力时,滞后是显而易见的。 心理问题/精神疾病带来的巨大耻辱使全世界的人们更难去接触心理学家/精神病学家。 除了污名之外,人们不知道与精神疾病有关的心理迹象/症状和紧急干预措施。 此后,人们发现需要一种人工智能系统来与人们就他们的心理症状进行互动。 这是一个基于 AI 的内置系统,允许用户在单个平台上表达他们的需求。 该应用程序执行从诊断到治疗用户的功能。 当然,还有许多未被注意到的精神疾病病例未被报道。 与精神疾病相关的耻辱使人们更难接近精神科医生/治疗师。 这个应用程序将帮助人们在不面临任何社会污名的情况下接受治疗。 这反过来将有助于开发一个非常透明的数据库。 政府组织可以访问该数据库,以开发有关所有心理疾病的流行和发生率的统计数据。 已经接受治疗的患者可以使用该应用程序进行进一步的干预。 与市场上可用的其他应用程序不同,此应用程序完全基于 Al。 他们的感受,症状持续了多长时间,并进一步帮助他们追踪他们持续的心理健康状况。 系统将根据最新的研究和更新更新/改进系统。 将根据患者的症状进行诊断。 将记录响应并建议用户进行进一步干预。 响应的记录将进一步有助于提高诊断质量。 笔记本电脑/智能手机的传感器和摄像头将用于感知患者的情绪和生命体征。 该应用程序还将连接到智能手表以配置用户的生命体征。 将弹出基于当前记录的用户状况的自动建议。 例如,呼吸练习、药物的弹出窗口。 治疗时间安排。 正在进行的患者可以输入他们的详细信息,并可以继续在线治疗。 这反过来将帮助新老患者使用该应用程序。 多种健康应用的方法已成为人们日常生活的一部分。 我们有与医生交谈、预约、照顾我们身体健康的应用程序一直是重点。照顾我们的月经健康、体育活动、饮食计划的应用程序,较少探索精神疾病/问题的领域。 在心理健康的方法中观察到一个空白空间。 在大流行期间,延迟是在更大的波长上实现的。 当人们都被锁在家里而没有与外界互动的时候。 当人口不由自主地陷入困境时。 情况恢复正常需要几个月的时间。 有些人可能在家里有一个很好的环境,有些人可能没有。 有些人可能已经患有精神疾病。 有些人可能对酒精/药物上瘾。 纵观大流行病的历史,我们发现当时和现在都随着 COVID-19 出现精神疾病的增加。 1 据报道,精神疾病病例有所增加。 已经患有这些疾病的人没有空间接近和联系精神科医生。 由于封锁,从未出现任何症状的人也出现焦虑和恐慌症。 此外,患者将获得有关虚拟治疗和治疗会话的建议,他们可以从同一界面进行操作。 较早的治疗是应用程序的一个单独部分,要么被指定用于焦虑和抑郁,要么只是一个提供治疗和咨询的应用程序。 本发明将允许用户一次完成整个过程。 将再次虚拟地提供基于 Al 的疗法。 该应用程序将记录药物和疗法的时间和剂量。 然后,该应用程序将向用户发送关于他们的药物和治疗的信息。将从患者那里收集数据,用于正在进行的治疗和治疗或患者已经经历或针对当前心理状况应用的任何其他可能的干预措施。 Al 将接受反馈并建议对正在进行的干预措施进行改进。 然后将完整的信息转换为数据库,然后将其用于统计信息。 这些信息可以被处理成有价值的数据,组织和政府可以将其用于进一步的干预目的。 社区各级心理健康问题的普遍性很容易识别。 由于精神疾病与社会禁忌有关,以前可能不在统计数据中的人现在将成为数据完整分析的一部分。 该应用程序将有助于提取人口的真实统计数据。 通常,我们只考虑考虑了什么,而不能深入到真实数据中。 人们可以很容易地被跟踪和干预他们的状况。 对于受苦的人群或不了解情况的人来说,早期干预很容易实现。 该应用程序将通过为人们提供新的和最新的治疗方法提供健康教育提示和想法,从而提高人们的意识。 2 基于 A 的精神疾病诊断和治疗系统图:/ VirtualTherapies 药理学治疗诊断相机指纹传感器数据库完整的心理健康用户可以在应用智能手机、平板电脑和 PC 报警器中使用应用程序。 提出的发明的架构图 1.</t>
  </si>
  <si>
    <t>基于人工智能的精神疾病诊断和治疗系统</t>
  </si>
  <si>
    <t>CN113495500A</t>
  </si>
  <si>
    <t>本发明公开了一种运用物联网技术的智能体育健身馆控制系统，涉及到物联网技术领域，包括网络登录模块，用于确认训练人员的数据并提供附近的健身场馆位置和器材名称；数据储存模块，用于将训练人员的训练数据进行储存；数据分析模块。本发明通过网络登录模块的设置，可以确认训练人员的数据并在网上提供附近的健身场馆位置和器材名称，通过数据储存模块可以储存训练者的数据，并通过数据分析模块进行对之前数据进行分析，同时提供相对应的课程以及相对应的指导方式，通过救助模块用于对发生意外的训练人员进行救助，通过数据传输模块可以记录当前的训练数据，并传递当前数据给数据储存模块进行储存,通过佩戴手环的设置，可以共享训练数据。</t>
  </si>
  <si>
    <t>一种运用物联网技术的智能体育健身馆控制系统</t>
  </si>
  <si>
    <t>CN215075955U</t>
  </si>
  <si>
    <t>本实用新型属于智能健身手环技术领域，具体为一种基于物联网技术的智慧健身手环，包括手环本体、控制盒和处理器，所述手环本体的表面设置有控制盒，所述控制盒的前表面设置有显示屏和扬声器，所述控制盒的一侧设置有控制按钮，所述控制盒的内腔分别设置有处理器、WiFi模块、体能监测芯片和RFID芯片，所述处理器电性连接WiFi模块，所述WiFi模块电性输出连接物联网，所述处理器电性连接体能监测芯片和RFID芯片，所述RFID芯片电性连接RFID读写器，所述处理器电性输入连接显示屏和扬声器，其结构合理，在使用的过程中，功能丰富，实用性强，更加的智能化。</t>
  </si>
  <si>
    <t>一种基于物联网技术的智慧健身手环</t>
  </si>
  <si>
    <t>CN115245313A</t>
  </si>
  <si>
    <t>本发明公开了一种人体活动能耗计算模型。模型通过人体踝部和髋部的加速度计与陀螺仪信号进行构建。并分析了模型对低、中、高三种运动强度的预测性能。实验采用EnEx(能源支出)数据库作为基准数据库，且基于惯性数据估算能量消耗。其采用三轴加速度计和三轴陀螺仪组成的SHIMMER传感器进行数据采集。数据采集时将传感器分别放置在受试者的臀部和脚踝处。十名受试者分别在三种不同速度水平下（3.2km/h、4.8km/h、6.4km/h）的跑步机上进行测试。实验分别提取每个传感器上的原始信号，并对原始信号进行预处理。然后进行特征提取、交叉验证、回归测试。最终基于人工神经网络建立模型。</t>
  </si>
  <si>
    <t>一种基于便携加速度计和陀螺仪的日常走、跑体能消耗预测方法</t>
  </si>
  <si>
    <t>CN113457109A</t>
  </si>
  <si>
    <t>本发明提供了一种残疾人健身用云计算监控装置，涉及云计算技术领域，砝码组件安装于附属机箱一内部左下角，设定模块包括显示屏、语音识别模块和控制芯片，且显示屏、语音识别模块和控制芯片均嵌入安装于附属机箱一内部右顶壁，语音识别模块输出端与控制芯片输入端电性连接，且控制芯片输出端与显示屏输入端电性连接；龙门架内壁顶端中心嵌接有防护管，且防护管底端嵌接设有套环件，套环件底端固定连接有拉环，且套环件内部嵌入安装有信号传输模块，拉环内底壁中心嵌入有监测按钮，且监测按钮通过线缆与信号传输模块电性连接，根据实际情况变更初始状态下对用户设定的运动量，提高与用户锻炼自适应的匹配程度，以便利于残疾类用户的健身。</t>
  </si>
  <si>
    <t>一种残疾人健身用云计算监控装置</t>
  </si>
  <si>
    <t>CN113470780A</t>
  </si>
  <si>
    <t>本发明公开了一种基于物联网的体育健身交流平台，包括集成平台，所述集成平台包括数据录入模块，用于监测个人体征的手持或穿戴式设备，交流平台，存储后台，卡路里摄入和消耗加权模块，运动标准度评估模块，专家在线交流平台，本发明的基于物联网的体育健身交流平台通过交流平台建立沟通区和展示区，展示区根据健身标准动作匹配度形成展示优先级，并对视频入库前进行过滤，从而避免受到过多错误健身动作干扰，通过视频入库的过滤系统进行各健身项目的标准动作进行监测，并在线形成机器监测报告，利用视频和机器监测报告给专家提供评估和指导依据，最后，还可获取体育项目和人体体征数据报表，用于向专家咨询和交流。</t>
  </si>
  <si>
    <t>一种基于物联网的体育健身交流平台</t>
  </si>
  <si>
    <t>WO2022119605A1</t>
  </si>
  <si>
    <t>一种系统和方法,用于通过机器学习平台预测比赛状态事件。 该系统和方法包括由机器学习平台监控实时数据馈送上的多媒体内容,由机器学习平台接收与多媒体内容对应的当前匹配状态数据,以及由机器学习平台预测异常 基于接收到的多媒体内容和当前匹配状态数据的分析在多媒体内容中。 该系统和方法可以包括由机器学习平台生成关于多媒体内容中异常的可能性的置信度分数,以及由机器学习平台基于置信度分数来解决异常。 解决异常包括提取包含异常的多媒体内容的一部分、忽略异常或纠正异常。</t>
  </si>
  <si>
    <t>用于自校正匹配状态的方法和系统</t>
  </si>
  <si>
    <t>CA3200328A1</t>
  </si>
  <si>
    <t>一种被布置为通过机器学习平台预测比赛状态事件的系统和方法。 该系统和方法包括由机器学习平台监视实时数据馈送上的多媒体内容,由机器学习平台接收与多媒体内容相对应的当前比赛状态数据,以及由机器学习平台预测异常 基于对接收到的多媒体内容和当前比赛状态数据的分析来在多媒体内容中。 该系统和方法可以包括由机器学习平台生成关于多媒体内容中的异常的可能性的置信分数,以及由机器学习平台基于置信分数来解决异常。 解决异常包括提取多媒体内容中包含异常的部分、忽略异常或纠正异常。</t>
  </si>
  <si>
    <t>自校正匹配状态的方法和系统</t>
  </si>
  <si>
    <t>AU2021392585A1</t>
  </si>
  <si>
    <t>一种被布置为通过机器学习平台预测比赛状态事件的系统和方法。 该系统和方法包括由机器学习平台监视实时数据馈送上的多媒体内容、由机器学习平台接收与多媒体内容相对应的当前比赛状态数据、以及由机器学习平台预测异常 基于对接收到的多媒体内容和当前比赛状态数据的分析来在多媒体内容中。 该系统和方法可以包括由机器学习平台生成关于多媒体内容中的异常的可能性的置信分数,以及由机器学习平台基于置信分数来解决异常。 解决异常包括提取多媒体内容中包含异常的部分、忽略异常或纠正异常。</t>
  </si>
  <si>
    <t>自校正比赛状态的方法和系统</t>
  </si>
  <si>
    <t>EP4256487A1</t>
  </si>
  <si>
    <t>IN399248B</t>
  </si>
  <si>
    <t>一种与跑步机一起使用的运动监测设备,包括一个控制面板(101),该控制面板适用于固定在跑步机(100)的手柄上,以便从固定在跑步机底架上的霍尔传感器(109)接收信号 跑步机(100)使得通过设置在外壳(102)中的窗口(103)检测用跑步机的皮带固定的磁性标签(105)来感测速度和/或距离。 提供与外壳(102)固定的障碍物/占用传感器(104)以检测跑步机(100)的带上的用户的存在。 提供微控制器(113)以接收来自所述传感器(104和109)的信号并将数据存储在数据存储器中,使得计算系统可以通过物联网(IoT)访问该数据,从而监测锻炼者的锻炼活动 来自偏远地区的用户。 提供充电电路(111),用于对设置在设备外壳内的可充电电池(110)进行充电。</t>
  </si>
  <si>
    <t>与跑步机一起使用的运动监测设备</t>
  </si>
  <si>
    <t>CN113507630B</t>
  </si>
  <si>
    <t>本公开提供了一种比赛视频的拆条方法和装置，涉及包括视频处理的人工智能技术领域。具体实施方式包括：对比赛视频的各个待处理视频帧进行划分，得到多个待处理拆条片段；基于待处理拆条片段的记分牌区域，确定多个待处理拆条片段中的目标拆条片段；生成包括目标拆条片段的比赛视频拆条结果。本公开实现了对比赛视频进行准确的拆条。</t>
  </si>
  <si>
    <t>比赛视频的拆条方法和装置</t>
  </si>
  <si>
    <t>CN113419425A</t>
  </si>
  <si>
    <t>本发明公开了一种高速电主轴水冷系统智能调控方法，通过建立RBF神经网络的结构，在RBF神经网络改进上，建立四层GA‑GRNN神经网络结构框架，四层广义回归神经网络(GRNN)结构，利用遗传算法全局搜索广义回归神经网络光滑因子σ，简单准确的找到全局最小值；采用随机初始化种群的方式，初始化广义回归神经网络光滑因子σ；构造遗传算法(GA)的适应度函数并计算个体适应度，建立的高速电主轴热特性调控冷却介质流量模型，使预测输出与实际值越接近越好，采用GRNN模型的预测温度特性来构造适应度函数；对种群执行自然选择操作，对个体进行选择、交叉和变异操作使种群进化；重复选取适应度函数建立模型和对种群、个体操作，直到满足精度或最大迭代次数停止。本发明利用遗传算法对广义回归神经网络光滑因子σ进行全局最优搜索，提高了GRNN的预测精度和泛化能力，提高其训练时的精度和鲁棒性。</t>
  </si>
  <si>
    <t>一种高速电主轴水冷系统智能调控方法</t>
  </si>
  <si>
    <t>CN113553429B</t>
  </si>
  <si>
    <t>本发明涉及一种规范化标签体系构建及文本自动标注方法，涉及知识图谱、语义分析、文本生成等技术领域。在标签体系的构建方法中，采用隐含狄利克雷分布LDA进行主题聚类，同时融合上下位信息进行主题提取，该方法有效地提高了主题提取的准确率，相较于目前大部分标签，可以确保同一维度的标签处于同一层，不会出现如“体育、足球、跑步、球类运动”这种较为混乱的情况，这样大大增强了数据的规范性，且对于人物画像、知识图谱、推荐系统等应用也有积极的影响。</t>
  </si>
  <si>
    <t>一种规范化标签体系构建及文本自动标注方法</t>
  </si>
  <si>
    <t>US20220000393A1</t>
  </si>
  <si>
    <t>本文描述了用于在包括运动训练和物理治疗设置在内的各种设置中改善步行或跑步表现的系统和方法。 使用包含机器学习算法的软件程序,其目的是根据来自并入鞋类的多个传感器的数据输入,综合实时、可操作的建议以提高性能。 在表演期间和表演之后,可以在诸如智能手机或智能手表之类的移动计算设备上或通过家用计算机上的网络界面将推荐可视化或听到,并且可以将历史表演数据合并到每个用户的个性化数据库中。 这些系统包括对形式变化和个性化教练的实时建议,例如寻求提高表现的运动员。 本文所述的系统和方法也可用于医疗环境中的伤害预防或康复目的。</t>
  </si>
  <si>
    <t>用于提高物理性能的系统和方法</t>
  </si>
  <si>
    <t>CN306942169S</t>
  </si>
  <si>
    <t>1.本外观设计产品的名称：用于手机的茶叶比赛报名图形用户界面。
 2.本外观设计产品的用途：用于申请参加茶叶比赛和信息填写。
 3.本外观设计产品的设计要点：在于产品图形用户界面的界面内容。
 4.最能表明设计要点的图片或照片：界面变化状态图2。
 5.由于手机为现有设计，省略后视图、左视图、右视图、俯视图、仰视图。
 6.图形用户界面的用途：用于申请参加茶叶比赛和信息填写。
 7.图形用户界面的人机交互方式：主视图中点击“当前赛事”项下的比赛选项，跳转到界面变化状态图1；界面变化状态图1中点击“点击报名”，跳转到界面变化状态图2；界面变化状态图2中输入相关信息后点击“提交”，跳转到界面变化状态图3；界面变化状态图3中点击“继续报名”，跳转到界面变化状态图1；界面变化状态图3中点击“我参加的（送样）”，跳转到界面变化状态图4；界面变化状态图4中，点击“去送样”，跳转到界面变化状态图5。</t>
  </si>
  <si>
    <t>用于手机的茶叶比赛报名图形用户界面</t>
  </si>
  <si>
    <t>RU2767139C1</t>
  </si>
  <si>
    <t>领域:医学。物质:本发明是指医学,即康复医学,可用于各种病因的上肢瘫痪或麻痹患者的康复治疗。 将患者置于镜子前,健康肢体完全映入镜中,瘫痪肢体隐藏,患者用健康手进行各种动作,观察健康手的动作及其在镜子中的反映,从而 获得双手运动的错觉。 此外,还进行了锻炼,包括麻痹上肢软组织的锻炼:在教练的帮助下进行肌筋膜拉伸 (MFS) 和等长放松 (PIR) 技术,练习之间的按摩技术可以改善血液 软组织的供给、营养作用,从瘫痪的肢体组织形成传入流入。 执行权利要求中描述的动作旨在激活几种中枢大脑机制。 视觉信息,包括对大脑最重要的视觉反馈,将发出的传出刺激与积极的视觉强化联系起来:肢体完全无痛地移动。 该信息会刺激受累大脑半球运动区的神经网络完好,但在脑事故后无法正常工作,这些神经网络负责瘫痪手的运动。 视觉错觉包括运动想象,广泛用于医学和运动中,用于掌握/改善运动行为。 镜像神经元被激活,当执行一个动作和观察这个动作是如何执行的时会涉及到这些神经元。 在受伤的半球,部分镜像神经元被保留,但这种技术对它们有动员作用。 该方法可以减少双上肢张力的不对称,促进肩带关节和手近端关节的运动,改善血液供应,软组织营养,形成瘫痪肢体组织的传入流入。 这导致痉挛和疼痛综合征的减少,瘫痪上肢主动自主运动的形成。效果:该方法为上肢瘫痪患者的康复治疗提供了更高的效率。1 cl,2 ex</t>
  </si>
  <si>
    <t>上肢轻瘫患者手功能恢复方法</t>
  </si>
  <si>
    <t>CN215822300U</t>
  </si>
  <si>
    <t>本实用新型公开了一种人工智能儿童投球机用捡球装置，涉及捡球设备技术领域，包括便携移动车，所述便携移动车的内部固定连接有收纳仓，所述便携移动车的内部且位于收纳仓的一侧固定连接有固定仓，所述固定仓的内部安装有底座，所述底座的顶部安装有机械臂，本实用新型有益增效：设置有紧固组件，方便进行输送至收纳仓内部，减少儿童和工作人员捡球的频率，满足了儿童投球时的愉悦度，设置有缓冲组件，实现了对篮球固定时的缓冲效果，延长了设备的使用寿命，降低了成本，设置有万向轮、压力传感器、散热风扇、红外传感器和超声波传感器，通过红外传感器进行搜寻掉落篮球与避开障碍物，提高了整体的作业效率，同时降低了人工劳动强度。</t>
  </si>
  <si>
    <t>一种人工智能儿童投球机用捡球装置</t>
  </si>
  <si>
    <t>CN215822320U</t>
  </si>
  <si>
    <t>本实用新型公开了一种基于人工智能用乒乓球发球机，涉及乒乓球发球机设备技术领域，包括发球机主体，所述发球机主体的底部固定连接有支撑座，所述支撑座的底座下方安装有底座，所述底座的内部安装有升降调节组件，所述发球机主体的顶部固定连接有下落仓，本实用新型有益增效：设置有升降调节组件，当需要对整体高度进行调整时，满足了使用时不同身高体型的训练者对高度的个性化需求，提高了实训效果，设置有限位组件，当需要正常出球时，通过电动伸缩杆的输出运转推动乒乓球从发球口处射出，实现了限位限量发球，从而提高了实训效率，设置有红外传感器、万向轮、拉杆和蜂鸣器，避免设备继续运转导致的设备损坏与电力资源浪费。</t>
  </si>
  <si>
    <t>一种基于人工智能用乒乓球发球机</t>
  </si>
  <si>
    <t>US11516149B1</t>
  </si>
  <si>
    <t>分布式机器学习系统和其他分布式计算系统通过嵌入在直接耦合到网络交换机的扩展模块中的计算逻辑得到改进。 计算逻辑对系统节点处理的梯度或其他计算数据执行集体操作,例如缩减操作。 归约运算可以包括例如求和、平均、按位运算等。 以这种方式,扩展模块可以在集合阶段接管分布式系统的部分或全部处理。 该模块的内联版本位于交换机和网络之间。 携带计算数据的数据单元被计算逻辑拦截和处理,而其他数据单元则透明地通过模块进出交换机。 多个模块可以连接到交换机,每个模块耦合到不同的节点组,并共享中间结果。 还描述了 sidecar 版本。</t>
  </si>
  <si>
    <t>用于网络交换机的分布式人工智能扩展模块</t>
  </si>
  <si>
    <t>US20220020288A1</t>
  </si>
  <si>
    <t>一种提高语音熟练度的方法,可以包括以下步骤: 接收来自普通用户的语言样本输入; 通过实施机器学习模型来促进语言样本输入的分析,该模型使用基于预定语言参数集的评分代理进行训练,以生成指导分数; 接收来自评分代理分析用户语音能力的教练分数输入; 基于分数向用户生成由应用先前训练的机器学习模型产生的报告,其中该报告被配置为使用户能够提高语音熟练度。 在另一个实施例中,评分代理可以是人类、普通用户或具有基于语言参数集分析用户音频输入的能力的机器中的至少一个。</t>
  </si>
  <si>
    <t>用于处理通信能力数据的自动化系统和方法</t>
  </si>
  <si>
    <t>CN306992332S</t>
  </si>
  <si>
    <t>1.本外观设计产品的名称：用于手机的信息展示图形用户界面。
 2.本外观设计产品的用途：本外观设计产品用于显示信息、运行程序。
 3.本外观设计产品的设计要点：在于屏幕中的图形用户界面内容，手机为现有设计，界面中的文字内容仅用于指明内容区域，文字本身并非本外观设计的保护内容。
 4.最能表明设计要点的图片或照片：主视图。
 5.产品硬件部分为常规设计，省略后视图、左视图、右视图、俯视图以及仰视图。
 6.图形用户界面的用途：本外观设计产品用于娱乐、运动的信息展示。
 7.图形用户界面的人机交互方式：主视图界面中各选项可点击操作，当点击主视图界面右侧“跑步作曲”，以进入界面变化状态图。</t>
  </si>
  <si>
    <t>用于手机的信息展示图形用户界面</t>
  </si>
  <si>
    <t>EP3933685A1</t>
  </si>
  <si>
    <t>描述了一种使用人工智能自动分析游戏事件的方法和系统。</t>
  </si>
  <si>
    <t>自动分析体育赛事的方法和系统</t>
  </si>
  <si>
    <t>CN307065974S</t>
  </si>
  <si>
    <t>1.本外观设计产品的名称：带无人机场管理图形用户界面的显示屏幕面板。
 2.本外观设计产品的用途：本外观设计产品用于运行程序、触控交互、显示信息，以及无人机部署。
 3.本外观设计产品的设计要点：在于显示屏幕面板中的图形用户界面。
 4.最能表明设计要点的图片或照片：设计1主视图。
 5.除主视图以外的其他视图为常规设计，省略除主视图以外的其他视图。
 6.指定设计1为基本设计。
 7.图形用户界面的用途：将无人机场和作业设备部署到田间，并控制作业设备根据任务自动采集作物生长情况、种植环境情况和执行农事。
 8.图形用户界面的人机交互方式：点击设计1主视图左侧任务下方中标记有“执行中”的栏目进入到设计1界面状态变化图；点击设计2主视图左侧任务下方中标记有“逾期”的栏目进入到设计2界面变化状态图；点击设计3主视图右侧地图中的无人机图标进入到设计3界面变化状态图。
 9.设计1界面变化状态参考图为对应于设计1界面变化状态图所示界面实际使用中添加相应图像及参数后的示意图；设计2界面变化状态参考图为对应于设计2界面变化状态图所示界面实际使用中添加相应图像及参数后的示意图。
 该显示屏幕面板用于带有显示屏的手机、智能电视、冰箱和集成灶、计算机、笔记本电脑、平板电脑、智能手机、智能手环、智能眼镜、手表、智能手表、智能交互平板、教育机、健身监视器、头戴式耳机、智能音箱、电视、机顶盒、游戏机、用于汽车的显示装置、GPS装置、导航仪中的至少一种。</t>
  </si>
  <si>
    <t>带无人机场管理图形用户界面的显示屏幕面板</t>
  </si>
  <si>
    <t>CN307180436S</t>
  </si>
  <si>
    <t>1.本外观设计产品的名称：带有灌溉管理图形用户界面的显示屏幕面板。
 2.本外观设计产品的用途：本外观设计产品用于运行程序、触控交互或显示信息。
 3.本外观设计产品的设计要点：在于屏幕中的图形用户界面。
 4.最能表明设计要点的图片或照片：主视图。
 5.除主视图外的其它视图均为常规设计，省略除主视图外的其它视图。
 6.图形用户界面的用途：用于对地块的灌溉设施进行配置或添加，以实现对农田灌溉设施的智能化管控。
 7.图形用户界面的人机交互方式：点击主视图中管理设施列表下方的“新增设施类型”进入界面变化状态图；点击界面变化状态图中间位置的菜单中的图标可添加相应的设施，其中，在选择图标后，通过点击图标颜色栏目中的其中一颜色控件，可实现对图标颜色的配置。
 8.该显示屏幕面板用于带有显示屏的手机、冰箱和集成灶、计算机、笔记本电脑、平板电脑、智能手机、智能手环、智能眼镜、手表、智能手表、智能交互平板、教育机、健身监视器、头戴式耳机、智能音箱、电视、机顶盒、游戏机、用于汽车的显示装置、GPS装置、导航仪。</t>
  </si>
  <si>
    <t>带有灌溉管理图形用户界面的显示屏幕面板</t>
  </si>
  <si>
    <t>CN307286943S</t>
  </si>
  <si>
    <t>1.本外观设计产品的名称：带有农业设备监管图形用户界面的显示屏幕面板。
 2.本外观设计产品的用途：本外观设计产品用于运行程序、触控交互或显示信息。
 3.本外观设计产品的设计要点：在于屏幕中的图形用户界面。
 4.最能表明设计要点的图片或照片：主视图。
 5.后视图、左视图、右视图、俯视图、仰视图为常规设计，省略后视图、左视图、右视图、俯视图、仰视图。
 6.图形用户界面的用途：用于显示地块上的农机设备作业详情。
 7.图形用户界面的人机交互方式：点击主视图左侧栏中的按钮，能够查看相应信息，如点击“耕地（第二次遍作业）”即可查看目标地块上农机设备耕地过程的详细参数。
 8.主视界面参考图为主视图的参考图，该显示屏幕面板用于带有显示屏的手机、智能电视、冰箱和集成灶、计算机、笔记本电脑、平板电脑、智能手机、智能手环、智能眼镜、手表、智能手表、智能交互平板、教育机、健身监视器、头戴式耳机、智能音箱、电视、机顶盒、游戏机、用于汽车的显示装置、GPS装置、导航仪。</t>
  </si>
  <si>
    <t>带有农业设备监管图形用户界面的显示屏幕面板</t>
  </si>
  <si>
    <t>CN307326730S</t>
  </si>
  <si>
    <t>1.本外观设计产品的名称：带无人机场管理图形用户界面的显示屏幕面板。
 2.本外观设计产品的用途：本外观设计产品用于运行程序、触控交互、显示信息，以及无人机部署。
 3.本外观设计产品的设计要点：在于显示屏幕面板中的图形用户界面。
 4.最能表明设计要点的图片或照片：主视图。
 5.后视图、左视图、右视图、俯视图、仰视图为常规设计，省略后视图、左视图、右视图、俯视图、仰视图。
 6.图形用户界面的用途：将无人机场和作业设备部署到田间，并控制作业设备根据任务自动采集作物生长情况、种植环境情况和执行农事。
 7.图形用户界面的人机交互方式：点击主视图左侧任务下方中标记有“执行中”的栏目进入到界面状态变化图1；点击主视图左侧任务下方中标记有“已完成”的栏目进入到界面变化状态图2；点击界面变化状态图2左侧任务下方中标记有“逾期”的栏目进入到界面变化状态图3；点击界面变化状态图3右侧地图中的红旗图标进入到界面变化状态图4；点击主视图左侧的“停靠站”按钮进入到界面变化状态图5；点击界面变化状态图5左侧列表的其中一站台的栏目进入到界面变化状态图6；点击主视图左侧的“停靠设备”按钮进入到界面变化状态图7；点击界面变化状态图7右侧地图中的无人机图标进入到界面变化状态图8；点击主视图左侧下方的“新建任务”按钮进入到界面变化状态图9。
 8.该显示屏幕面板用于带有显示屏的手机、智能电视、冰箱和集成灶、计算机、笔记本电脑、平板电脑、智能手机、智能手环、智能眼镜、手表、智能手表、智能交互平板、教育机、健身监视器、头戴式耳机、智能音箱、电视、机顶盒、游戏机、用于汽车的显示装置、GPS装置、导航仪中的至少一种。</t>
  </si>
  <si>
    <t>CN307326729S</t>
  </si>
  <si>
    <t>1.本外观设计产品的名称：带有农业设备监管图形界面的显示屏幕面板。
 2.本外观设计产品的用途：本外观设计产品用于运行程序、触控交互或显示信息。
 3.本外观设计产品的设计要点：在于屏幕中的图形用户界面。
 4.最能表明设计要点的图片或照片：主视图。
 5.后视图、左视图、右视图、俯视图、仰视图均为常规设计，省略后视图、左视图、右视图、俯视图、仰视图。
 6.图形用户界面的用途：用于对农业设备进行配置、添加和管理，以在不同种植时期为地块配置合适的农业设备，并方便对地块中农业设备的配置情况进行查看；其中，农业设备包括农机、农业无人机、自驾仪和农机盒子。
 7.图形用户界面的人机交互方式：进入包括该图形用户界面的应用软件后显示主视图所示的界面，点击主视图所示的界面右上角的“添加农机监管”按钮进入界面变化状态图。
 8.该显示屏幕面板用于带有显示屏的手机、智能电视、冰箱和集成灶、计算机、笔记本电脑、平板电脑、智能手机、智能手环、智能眼镜、手表、智能手表、智能交互平板、教育机、健身监视器、头戴式耳机、智能音箱、电视、机顶盒、游戏机、用于汽车的显示装置、GPS装置、导航仪。</t>
  </si>
  <si>
    <t>带有农业设备监管图形界面的显示屏幕面板</t>
  </si>
  <si>
    <t>CN113435336B</t>
  </si>
  <si>
    <t>本发明公开了一种基于人工智能的跑步计时系统及方法，该系统包括：数据采集模块、预处理模块、人员检测模块、轨迹检测模块、逻辑判断模块、号码检测模块、过线检测模块、计时模块和成绩输出模块；并应用于由跑道区和成绩区所组成的跑步场馆中，在跑道区的跑道上的n个跑步者各穿戴不同颜色的号码牌，每个跑步者的前面和后面均穿戴有同一颜色的号码牌，且在跑道区依次划分为m个摄像区域，在每个摄像区域的跑道上布置有2个摄像头，其中一个摄像头沿跑步方向正向拍摄，另一个摄像头逆向拍摄，在成绩区布置有工控机、显示屏和喇叭。本发明能利用人工智能实现对跑步时间的智能计时，从而能减轻老师的现场参与度且成绩公平、相比人工计时更准确。</t>
  </si>
  <si>
    <t>一种基于人工智能的跑步智能计时系统及方法</t>
  </si>
  <si>
    <t>CN306894878S</t>
  </si>
  <si>
    <t>1.本外观设计产品的名称：体育训练机器人。
 2.本外观设计产品的用途：用于辅助体育训练的智能机器人。
 3.本外观设计产品的设计要点：在于形状。
 4.最能表明设计要点的图片或照片：立体图。
 5.本外观设计产品的底面为使用时不容易看到或看不到的部位，省略仰视图。</t>
  </si>
  <si>
    <t>CN113592226A</t>
  </si>
  <si>
    <t>本发明属于电站群操控技术领域，公开了一种梯级电站群一键操控方法，包括步骤：获取历史调令数据，将所述历史调令数据录入调令模型中，形成调令库；将典型票与所述调令库匹配并关联，得到所述调令库中与所述典型票的调令相对应的调令ID；将所述典型票中的具体操作项与所述调令ID进行关联，建立成票规则专家库；本发明利用人工智能技术，实现智能成票，实现网络下令等，将传统的调度业务工作模式更新为以人工智能为核心的新的信息化调控管理模式，操作人员无需再采用手工编写操作票、电话下令等传统的调度业务工作模式。</t>
  </si>
  <si>
    <t>一种梯级电站群一键操控方法及平台</t>
  </si>
  <si>
    <t>CN215136657U</t>
  </si>
  <si>
    <t>本实用新型公开一种智能机器人捡球机，涉及人工智能领域。该智能机器人捡球机，牵引小车的外表面固定安装有光伏板，牵引小车的内部固定安装有蓄电池，蓄电池的顶部固定安装有集成主板，牵引小车的顶部固定安装有摄像头，储球袋包括行走轮、活动挡杆和转轴，行走轮的数量为两组且分别固定套接在转轴的两端外表面的，行走轮的外表面开设有弧形槽，活动挡杆活动卡接在弧形槽的内部，弧形槽的内部设有弹簧。该智能机器人捡球机，实现在网球场上自动捡球，同时方便网球进入到储球袋的内部。</t>
  </si>
  <si>
    <t>一种智能机器人捡球机</t>
  </si>
  <si>
    <t>KR102436608B1</t>
  </si>
  <si>
    <t>[0001] 本发明涉及一种健身设备防疫管理系统及方法,更具体地,通过附在人们常用的健身设备上的物联网健身运动信息采集设备收集的运动信息来确定健身地点,并管理是否进行健身。当每个健身设备被使用时,提醒用户防止用户使用与正在使用的健身设备相邻的健身设备,并且如果健身设备满足某些使用历史条件,则提醒用户该健身设备是需要消毒的设备自动请求管理人员对相应健身设备进行消毒的健身设备传染病预防管理系统及方法。</t>
  </si>
  <si>
    <t>健身器材防疫管理系统及方法</t>
  </si>
  <si>
    <t>KR102436607B1</t>
  </si>
  <si>
    <t>[0001] 本发明涉及一种可附着物联网健身运动信息采集装置及方法,更具体地,涉及一种可拆卸和可附着的健身运动装置(或简称“健身装置”)。运动信息收集装置及方法,用于当用户使用健身装置进行运动时在健身装置上收集并无线传输用户运动信息。</t>
  </si>
  <si>
    <t>可附着物联网健身运动信息采集装置及方法</t>
  </si>
  <si>
    <t>KR102487154B1</t>
  </si>
  <si>
    <t>[0001] 本发明涉及一种健身运动管理系统和方法,更具体地,涉及一种健身运动设备(或称为“健身设备”),其通过测量和收集用户在使用所附健身设备时的运动量。通过应用物联网(IoT)健身运动信息采集装置,传输运动信息,包括运动量,其涉及一种健身运动管理系统和方法,能够自动记录和管理运动管理信息,包括运动信息和身体反应信息,让用户随时随地查看管理信息。</t>
  </si>
  <si>
    <t>健身运动管理系统及方法</t>
  </si>
  <si>
    <t>US20210319668A1</t>
  </si>
  <si>
    <t>实施例包括利用人工智能和/或机器学习来基于特定球队、运动员、事件或其他相关数据的历史得分数据产生运动分析。 机器学习可以应用于历史数据,以提高投注赔率。 赔率模块可以提前实时分析赛事结果和可用参数之间的相关性,以提供准确和最新的赔率。</t>
  </si>
  <si>
    <t>人工智能和机器学习增强的投注赔率方法、系统和装置</t>
  </si>
  <si>
    <t>KR1020220078458A</t>
  </si>
  <si>
    <t>提供了一种通过将通过加速度计传感器和陀螺仪传感器收集的数据输入到深度学习训练的CNN模型和LSTM模型中来对用户的日常生活行为进行分类的方法和装置。 根据本发明实施例的对日常活动进行分类的方法包括:通过可穿戴式数据采集单元获取运动传感器数据; 处理器执行预处理任务,将运动传感器数据作为CNN模型和LSTM模型的训练数据或输入数据; 步骤,由处理器通过输入预处理任务完成的运动传感器数据作为训练数据,训练CNN模型和LSTM模型; 处理器将已经完成预处理的运动传感器数据作为输入数据输入到学习的CNN模型和LSTM模型中,从而在跌倒运动、站立运动、行走运动中进行用户的日常生活运动,跑步动作,以及坐着或站立的动作。分类为任何一种;包括。 因此,可以不将收集到的数据应用到一个学习模型上,而是应用CNN模型和LSTM模型中的每一个来生成多个预测模型,但是通过每个预测模型的投票过程更准确地对日常生活行为进行分类. 可以</t>
  </si>
  <si>
    <t>基于使用铭牌可穿戴设备的集成监督学习对日常生活运动进行分类的方法和装置</t>
  </si>
  <si>
    <t>IN202141027960A</t>
  </si>
  <si>
    <t>在这个时代,人们忙于日常生活,照顾患有慢性功能障碍和心理健康问题的老年人也面临着很大的压力。 由于医疗设施和人力资源有限,因此很难管理患者以及任何年龄段有严重基础疾病的人。 正在鼓励拟议的“Saksham”系统减少社会接触和监督。 它包括医疗容器、按钮、蜂鸣器、干簧管、LCD、LED 和连接通信设备的系统应用模块。 它是一种基于物联网的解决方案,可以使用移动应用程序进行编程和控制。 该系统可以根据最终用户的要求进行定制和设置。 它通过警报提醒患者按剂量服药,在预定时间进行体育锻炼和进食。 如果患者没有响应警报,则建议的系统会向看护人发送警报消息。 它使护理人员能够远程监控患者,而不会打扰他/她自己的工作。</t>
  </si>
  <si>
    <t>saksham 老年人医用手杖</t>
  </si>
  <si>
    <t>WO2021261997A1</t>
  </si>
  <si>
    <t>用于检测特定区域(5)内的移动物体(10-12)的方法,包括以下步骤: -在区域(5)周围提供多个物理相机(4)); - 组成全景视频流; - 通过选择全景视图 (23) 的相应部分视图 (26) 并将选定的部分视图 (26) 去扭曲成方形视图 (27) 来定义一个或多个虚拟摄像机视图 (25);10 - 将每个去扭曲视图 (27) 馈送到深度学习神经网络; -在区域(5)的相应部分进行检测。</t>
  </si>
  <si>
    <t>检测和/或跟踪特定区域内移动物体的方法及实现该方法的体育视频制作系统</t>
  </si>
  <si>
    <t>GB2597601A</t>
  </si>
  <si>
    <t>一种处理器,包括一个或多个电路,该电路使用至少一个神经网络至少部分地基于游戏504中状态的累积变化为玩家生成推荐506。处理器接收输入数据502并将数据转换成多个 对应于公共模式的特征向量。 输入数据可以是游戏事件数据、游戏玩法数据、统计数据、聊天数据、生物特征数据或玩家技能数据的形式。 可以将多个特征向量编码到潜在空间中,该潜在空间表示代表状态变化的游戏玩法时间窗口。 神经网络包括一个生成对抗网络来接受潜在空间来生成推荐。 还公开了一种系统、方法、具有存储在其上的一组指令的机器可读介质以及用于向玩家提供推荐的玩家教练系统。</t>
  </si>
  <si>
    <t>使用一个或多个神经网络生成推荐</t>
  </si>
  <si>
    <t>EP4172937A1</t>
  </si>
  <si>
    <t>US20230252653A1</t>
  </si>
  <si>
    <t>一种用于检测特定区域内的移动物体的方法,包括最初在该区域周围提供多个物理摄像机并使用这些摄像机来合成全景视频流。 在组成全景视频流时,通过选择全景视图的对应部分视图并且通过将所选择的部分视图去扭曲成方形视图来定义一个或多个虚拟摄像机视图。 每个去扭曲视图都被输入深度学习神经网络,然后检测该区域的相应部分。</t>
  </si>
  <si>
    <t>用于检测和/或跟踪特定区域内的移动对象的方法以及实现该方法的体育视频制作系统</t>
  </si>
  <si>
    <t>CN114943749A</t>
  </si>
  <si>
    <t>本发明公开了一种基于计算机视觉的人体关键点智能追踪方法，在测试开始时通过视频与音频提示让被测人做一些特定动作，以获取被测人的特定人体关键点特征信息。通过多个工业同步相机从多个角度对人体动作进行视频采集，利用人体姿态算法在每个图片上定位人体关键点的范围，再用SIFT算法对每个关键点进行精细定位，获知每个关键点在图片上的2D位置信息。结合多相机的视角信息，将多个图片的关键点2D位置信息转化为3D位置信息，结合视频连续捕捉特点，完成多个关键点的3D追踪定位。本发明的方法实现了亚像素的关键点追踪，具有毫米级的精度，对体育运动等人体动作分析具有极大的应用价值，对提高体育科技水平具有十分重要的意义。</t>
  </si>
  <si>
    <t>一种计算机视觉人体关键点智能追踪方法</t>
  </si>
  <si>
    <t>KR102537681B1</t>
  </si>
  <si>
    <t>本发明的目的是实现一种新的血浆诊断系统,该系统能够使用易于获得的光谱仪实时诊断血浆,并进一步将有关它的数据输入和学习跑步机(机器学习系统)本发明的目的在于提供一种等离子体诊断跑步机系统,可以快速从仪表结果中获取等离子体诊断结果。 
  根据上述目的,本发明提供从光谱仪获得的等离子体光谱和从光谱计算的等离子体诊断变量作为跑步机的输入对输出数据并训练它,当等离子体光谱时导出等离子体诊断变量的人工智能等离子体是提供输入诊断系统。</t>
  </si>
  <si>
    <t>使用氮气 OES 的空气等离子诊断系统</t>
  </si>
  <si>
    <t>IN202141027517A</t>
  </si>
  <si>
    <t>电子竞技已成为玩家和观众的流行类型,促进了全球娱乐产业。 电子竞技的研究已经发展到解决对数据驱动反馈的需求,该反馈侧重于网络运动员的评估、策略和预测。 该项目的重点是创建和比较各种模型,以根据各种电子竞技比赛记录的数据来预测职业比赛的可能获胜者。 职业游戏拥有最高的行业和观众关注度,但数量有限。 该项目在深度学习和机器学习方面占主导地位,其中预测是使用我们将构建的模型进行的。 该项目可以在衡量哪种模型最适合预测比赛结果方面发挥重要作用。</t>
  </si>
  <si>
    <t>电竞比赛各种模型预测分析比较的系统和方法</t>
  </si>
  <si>
    <t>CN114931742A</t>
  </si>
  <si>
    <t>本发明公开了一种基于计算机视觉人工智能技术的体育跳远测量设备，采用人脸识别算法来自动识别跳远运动员的信息，通过手势识别来启动跳远测量，利用人体姿态识别算法与图像语义分割算法来确定跳远运动员的落地点信息，结合投影的尺子信息，最终计算出起跳点到落地点的距离，并自动存入运动员的成绩档案中。本发明自动化程度高，极大节省体育跳远测量的人力成本，能客观、准确的记录跳远距离，为提高体育科技水平具有十分重要的意义，并具有极大的应用价值。</t>
  </si>
  <si>
    <t>一种基于计算机视觉人工智能的体育跳远测量设备</t>
  </si>
  <si>
    <t>AU2021103426A4</t>
  </si>
  <si>
    <t>[658] 我们的发明增强免疫系统:使用机器学习编程预测免疫和身体健康是一种早期癌症名称,因为它可以通过在最可治愈的阶段治疗疾病来预防额外的并发症并挽救患者的生命。 在本发明期间,我们倾向于提出一种用于关联分类的替代人工系统模型,该模型在癌症检测方面具有竞争性能。 [660] 计划中的模型在生物系统中有其基础。 它模仿免疫系统的检测技能,以提供正确的抗原识别。 Wilcoxon 检验用于确定我们的提议与支持相同仿生模型的替代分类算法之间的统计重要变化。 [662] 本发明还用于数学测试​​,通过优于替代的基于免疫的算法证明了计划模型显示的改进性能。 计划的模型经过测试,与替代的知名分类模型相比具有竞争力。 此外,模型从一个偶尔的过程值边缘。 [664] 该模型在分类任务中的成功表明,群体智能有助于解决这种类型的缺点,它不仅限于改进任务 12 TOTAL NO OF SHEET:003 NO OF FIG:03 识别 100 种免疫和物理抗原 健身 使用 102 机器学习编程进行预测。 生产初始 116 种抗体 \i4 生产选择新的 +-交叉 RetsoltR 抗体突变 计算\12 亲和力 N14 106 106 11 08 否 11 促进和终止? 抑制抗体产生 是 108 结果 图 1:使用机器学习编程进行免疫预测。</t>
  </si>
  <si>
    <t>使用机器学习编程进行免疫和身体健康预测。</t>
  </si>
  <si>
    <t>CN113517052A</t>
  </si>
  <si>
    <t>本发明公开一种商用健身场景下的多感知人机交互系统与方法，涉及深度学习、机器视觉和多传感器融合等技术领域，为解决现有健身环境下教练人员不足和专业性不一的问题。本系统包括信息采集模块、信息处理/记录模块和人机交互模块，信息采集模块采集用户ID信息和传感器/人体姿态信息，之后进行信息处理和记录，并完成纠错和数据分析，最后通过人机交互模块显示处理结果，同时进行用户反馈。该系统各个模块之间相互配合，完成了信息录入、信息采集、信息处理及显示的功能，并能根据用户需求及时调整，能够完成商业健身房的智能化改造，满足健身者的日常需求。</t>
  </si>
  <si>
    <t>商用健身场景下的多感知人机交互系统与方法</t>
  </si>
  <si>
    <t>CN113591548B</t>
  </si>
  <si>
    <t>本发明提供一种靶环识别方法及系统，属于计算机视觉技术领域，利用训练好的判别模型，筛选出箭靶视频帧中有新增箭支的图片；其中，所述训练好的判别模型由训练集训练得到，所述训练集包括多张箭靶的图片以及标注箭靶的图片上有箭支的标签；结合颜色分割和椭圆拟合，确定有新增箭支的图片的靶环拟合线；对目标箭支进行检测定位，确定箭着点坐标；结合靶环拟合线和箭着点坐标，确定环数。本发明将深度学习与图像处理结合起来，有效的提升了报靶效率并且提高了射箭比赛的直观性和可观赏性；克服人工报靶存在的耗时长，实时性差，安全性低等问题，提高了射箭项目的可观赏性以及效率。</t>
  </si>
  <si>
    <t>靶环识别方法及系统</t>
  </si>
  <si>
    <t>CN113467655A</t>
  </si>
  <si>
    <t>本发明涉及一种基于物联网的健身镜物联系统及其使用方法。它解决了现有技术中健身镜功能单一，使用效果不佳问题。它包括智能健身镜，智能健身镜上设有信息采集组件，且信息采集组件与云端服务平台连接，云端服务平台与移动端数据连接，且移动端通过通讯模块与智能健身镜相连，智能健身镜上设有运动提醒装置，且智能健身镜背部设有与设置在智能健身镜正面的视频显示屏幕连接的信息存储模块，视频显示屏幕下侧设有控制组件，且信息存储模块与设置在智能健身镜上的信息识别提取机构数据连接，智能健身镜周向设有智能防护装置。本发明的优点在于：使用效果好，功能丰富，且操作方便，提高了健身效果。</t>
  </si>
  <si>
    <t>基于物联网的健身镜物联系统及其使用方法</t>
  </si>
  <si>
    <t>CN306921952S</t>
  </si>
  <si>
    <t>1.本外观设计产品的名称：用于屏幕面板的健身互动图形用户界面。
 2.本外观设计产品的用途：用于显示信息、运行程序，该屏幕面板用于电脑、手机、平板电脑、跑步机、智能交互平板。
 3.本外观设计产品的设计要点：在于屏幕中的图形用户界面内容，屏幕面板为现有设计，界面中的文字内容仅用于指明内容区域，文字本身并非本外观设计的保护内容。
 4.最能表明设计要点的图片或照片：主视图。
 5.产品硬件部分为常规设计，省略后视图、左视图、右视图、俯视图以及仰视图。
 6.图形用户界面的用途：本外观设计产品用于娱乐互动以及健身。
 7.图形用户界面的人机交互方式：当点击主视图界面中任一位置，以进入界面变化状态图1，点击主视图界面上方任一弹幕，可进入界面进入变化状态图2，当健身快结束时，以进入界面变化状态图3，点击界面变化状态图3界面右下角图标，可进入界面变化状态图4。</t>
  </si>
  <si>
    <t>用于屏幕面板的健身互动图形用户界面</t>
  </si>
  <si>
    <t>CN306921951S</t>
  </si>
  <si>
    <t>1.本外观设计产品的名称：用于手机的运动健身图形用户界面。
 2.本外观设计产品的用途：用于显示信息、运行程序。
 3.本外观设计产品的设计要点：在于屏幕中的图形用户界面内容，手机为现有设计，界面中的文字内容仅用于指明内容区域，文字本身并非本外观设计的保护内容。
 4.最能表明设计要点的图片或照片：主视图。
 5.产品硬件部分为常规设计，省略后视图、左视图、右视图、俯视图以及仰视图。
 6.图形用户界面的用途：本外观设计产品用于娱乐互动、运动健身。
 7.图形用户界面的人机交互方式：当点击主视图界面右下方鼓掌图标，可进入界面变化状态图1、变化状态图2，点击主视图界面中任一位置，可界面进入变化状态图3，点击界面变化状态图3界面中右上方横屏按钮，可进入界面变化状态图4，点击界面变化状态图4界面中任一位置，以进入界面变化状态图5，点击界面变化状态图5右下方鼓掌图标，以进入界面变化状态图6、界面变化状态图7。</t>
  </si>
  <si>
    <t>用于手机的运动健身图形用户界面</t>
  </si>
  <si>
    <t>CN307293755S</t>
  </si>
  <si>
    <t>1.本外观设计产品的名称：用于手机的健身互动图形用户界面。
 2.本外观设计产品的用途：本外观设计产品用于显示信息、运行程序。
 3.本外观设计产品的设计要点：在于屏幕中的图形用户界面内容。
 4.最能表明设计要点的图片或照片：主视图。
 5.产品硬件部分为常规设计，省略后视图、左视图、右视图、俯视图以及仰视图。
 6.图形用户界面的用途：本外观设计产品用于娱乐互动以及健身。
 7.图形用户界面的人机交互方式：当点击主视图界面右下方日历图标，可进入界面变化状态图1进行打卡，点击主视图界面上方任一弹幕，可进入界面进入变化状态图2，点击主视图左下方弹幕图标，可进入界面变化状态图3收起弹幕输入框以及关闭弹幕，点击界面变化状态图3界面中任一位置，以进入界面变化状态图4，点击界面变化状态图4右上角横屏图标按钮，可进入界面变化状态图5，点击界面变化状态图5界面右下方日历图标，可进入界面变化状态图6进行打卡，点击界面变化状态图5界面上方任一弹幕，可进入界面变化状态图7，点击界面变化状态图7界面中任一位置，以进入界面变化状态图8，点击界面变化状态图8界面下方弹幕图标，可进入界面变化状态图9收起弹幕输入框以及关闭弹幕。
 8.手机为现有设计，界面中的灰色区域为内容画面区域。</t>
  </si>
  <si>
    <t>用于手机的健身互动图形用户界面</t>
  </si>
  <si>
    <t>KR1020210155767A</t>
  </si>
  <si>
    <t>根据本发明的一个实施例,一种由服务器执行的提供运动图像的方法,(a)用预设的机器学习模型学习多个训练数据,并在输入特定运动图像数据时输出特定情况数据构建运动图像分类模型; (b) 使用运动图像分类模型基于上下文数据对预存储在运动图像数据库中的运动图像数据进行分类; (c)响应于用户终端输入的搜索数据,在掌握与搜索数据对应的至少一种情况数据后,根据识别的情况数据提取至少一种运动图像数据,并向用户展示该数据terminal. providing; 其中训练数据包括输入数据和输出数据,输入数据为服务器从运动图像数据库中随机提取的运动图像数据,输出数据为提取的运动图像数据 为预先标注的情况数据所述情况数据是表示通过特定运动图像数据识别的位置、动作、规则、球员、球队、比赛结果、比赛进程数据中的至少一项的字符串数据。</t>
  </si>
  <si>
    <t>基于深度学习建立的体育视频分类模型提供体育视频的方法和装置</t>
  </si>
  <si>
    <t>CN306861370S</t>
  </si>
  <si>
    <t>1.本外观设计产品的名称：带跑步信息图形用户界面的电话手表。
 2.本外观设计产品的用途：本外观设计产品用于通话、实时定位、语音微聊及交友。
 3.本外观设计产品的设计要点：在于产品屏幕中的图形用户界面的内容，电话手表为现有设计。
 4.最能表明设计要点的图片或照片：设计1主视界面放大图。
 5.本外观设计的后视图、左视图、右视图、俯视图、仰视图为惯常设计，省略后视图、左视图、右视图、俯视图、仰视图。
 6.指定设计1为基本设计。
 7.图形用户界面的用途：产品的图形用户界面用于为用户提供不同跑步模式的选择、显示跑步结果。
 8.图形用户界面的人机交互方式：设计1主视界面放大图示出三种不同的跑步模式，设计1界面变化状态参考图1为设计1主视界面放大图的参考图，其显示出极速50步、300m、400m三种不同的跑步模式。
 用户通过点击其中的一种模式，使设计1主视界面放大图切换至设计1界面变化状态图1。
 用户跑步过程中，界面由设计1界面变化状态图1切换至设计1界面变化状态图2，其中，设计1界面变化状态参考图2为设计1界面变化状态图2的参考图，其显示出跑步名次、时间、心率。
 用户跑步结束，界面由设计1界面变化状态图2切换至设计1界面变化状态图3，其中，设计1界面变化状态参考图3为设计1界面变化状态图3的参考图，设计1界面变化状态参考图3为在极速50步对战模式下的跑步结果显示界面图。
 设计2的人机交互方式与设计1的人机交互方式相同，仅界面存在细微差异，在此不做过多赘述。
 9.设计2请求保护色彩。</t>
  </si>
  <si>
    <t>带跑步信息图形用户界面的电话手表</t>
  </si>
  <si>
    <t>CN306920736S</t>
  </si>
  <si>
    <t>1.本外观设计产品的名称：带跑步信息图形用户界面的电话手表。
 2.本外观设计产品的用途：本外观设计产品用于通话、实时定位、语音微聊及交友。
 3.本外观设计产品的设计要点：在于产品屏幕中的图形用户界面的内容，电话手表为现有设计。
 4.最能表明设计要点的图片或照片：设计1主视界面放大图。
 5.本外观设计的后视图、左视图、右视图、俯视图、仰视图为惯常设计，省略后视图、左视图、右视图、俯视图、仰视图。
 6.指定设计1为基本设计。
 7.图形用户界面的用途：产品的图形用户界面用于为用户提供不同跑步模式的选择、显示跑步结果。
 8.图形用户界面的人机交互方式：设计1主视界面放大图示出三种不同的跑步模式，设计1界面变化状态参考图1为设计1主视界面放大图的参考图，其显示出随心跑、极速50步、300m三种不同的跑步模式。
 用户通过点击其中的一种模式，使设计1主视界面放大图切换至设计1界面变化状态图1。
 用户跑步过程中，界面由设计1界面变化状态图1切换至设计1界面变化状态图2，其中，设计1界面变化状态参考图2为设计1界面变化状态图2的参考图，其显示出跑步公里数、能量值、时间、心率。
 用户跑步结束，界面由设计1界面变化状态图2切换至设计1界面变化状态图3，其中，设计1界面变化状态参考图3为设计1界面变化状态图3的参考图，显示出本次跑步总公里数。
 设计2的人机交互方式与设计1的人机交互方式相同，仅界面存在细微差异，在此不做过多赘述。
 9.设计2请求保护色彩。</t>
  </si>
  <si>
    <t>CN307017418S</t>
  </si>
  <si>
    <t>1.本外观设计产品的名称：带能量获取图形用户界面的电话手表。
 2.本外观设计产品的用途：本外观设计产品用于通话、实时定位、语音微聊及交友。
 3.本外观设计产品的设计要点：在于产品屏幕中的图形用户界面的内容，电话手表为现有设计。
 4.最能表明设计要点的图片或照片：设计1主视界面放大图。
 5.指定设计1为基本设计。
 6.图形用户界面的用途：产品的图形用户界面用于为用户提供获取能量的不同运动方式的选择、显示能量获取结果。
 7.图形用户界面的人机交互方式：设计1主视界面放大图为能量环的能量获取入口界面，设计1界面变化状态参考图1为设计1主视界面放大图的参考图。
 用户通过点击“去获取能量”，使界面由设计1主视界面放大图切换至设计1界面变化状态图1，设计1界面变化状态图1示出三种不同的运动方式。
 用户通过点击“跑步”，使界面由设计1界面变化状态图1切换至设计1界面变化状态图2，设计1界面变化参考图2为设计1界面变化状态图2的参考图，其示出跑步公里数、能量值、时间、心率。
 用户跑步结束，界面由设计1界面变化状态图2切换至设计1界面变化状态图3，设计1界面变化状态参考图3为设计1界面变化状态图3的参考图。
 设计2的人机交互方式与设计1的人机交互方式相同，故省略。
 8.设计2请求保护色彩。</t>
  </si>
  <si>
    <t>带能量获取图形用户界面的电话手表</t>
  </si>
  <si>
    <t>AU2021103255A4</t>
  </si>
  <si>
    <t>公开了设备系统、架构和基于激励的方法,用于合作构建更大的数据体,这些数据可以可靠地用于发现新的和更快的相关性,诊断疾病(使用人工智能技术)和设计对健康问题的有效响应(为了 预防疾病、预防或尽量减少病情恶化、改善环境性能和/或预防安全事故)。 该方法包括利用与以下相关的活动:紧急健康需要(例如 COVID)、增加教育公众的意愿和商业激励措施,以鼓励不同类别的用户启用和应用消费技术,以帮助在执行功能时提供所需数据的方式 相关:人身安全、更好地管理业务风险和证明业务改进和更健康环境的商业案例。 随着个人状况监测技术的普及,由于隐私设计的数据接口、教育和服务产品的持续新可用性以及 AI 驱动的健康研究和开发的持续成功,这些系统主要在佩戴者的提名时得到改进和扩展 研究和紧急援助产品。 这种以电子方式提供的帮助,就像可能的许多不同类型的教育干预一样,是在设备佩戴和打开时在上下文合理的时间提供的(例如,当佩戴者访问健身房和休闲区时,在运动期间心跳不安全地增加的情况下) ,在用餐时间等)。 该框架和架构确保通过实施审计控制和适当确定的不同专业知识来源,在各自相互部分一致的 NFP、FP、公共或私人目标内运作,以负责任的方式交付成果。</t>
  </si>
  <si>
    <t>公开的是设备系统、架构和基于激励的方法,用于合作构建更大的数据体,这些数据体可以可靠地用于发现新的和更快的相关性,诊断疾病(使用 AI 技术)和设计对健康问题的有效响应(为了 预防疾病、预防或尽量减少状况下降、改善环境性能和/或预防安全事故)。</t>
  </si>
  <si>
    <t>IN202141025962A</t>
  </si>
  <si>
    <t>一种游泳辅助装置,包括具有口袋1的可穿戴主体,其中在口袋1上方安装人工智能(AI)摄像头模块2、安装在口袋1一端的伸缩绑带装置3、嵌入口袋内的传感器 参照图1,水流量计4与口袋1相连,显示面板5布置在口袋1上方以接收期望的距离以及期望的时间周期,其中声音导航和探测(SONAR)单元被配置为确定行进距离和剩余距离 使用者游泳时的距离,鳍与主体耦合,具有通过机动铰链8相互关联的第一部分6和第二部分7,其中部分(6、7)通过可拉伸层、多个伸缩杆制造 如图9所示,在第二部分7中布置成“U”形配置,以及一个控制单元。</t>
  </si>
  <si>
    <t>BR102021011252A2</t>
  </si>
  <si>
    <t>通过图像捕捉马蹄的形状和大小以及移动设备可读媒体的识别方法。 本发明涉及一种从用于马养殖和动物福利的移动设备的应用程序(可读介质)确定马蹄铁的正确尺寸的方法,该应用程序使用学习(机器学习)评估与马蹄的尺寸和平衡相关的测量值,通过摄影图像(手掌和脚底位置、侧面和正面),帮助马蹄铁匠、兽医、畜牧业技术人员、驯马师、比赛裁判和马主正确选择马蹄铁并指导这些蹄子的平衡。</t>
  </si>
  <si>
    <t>通过图像捕获马蹄的形状和大小以及移动设备可读介质的识别方法</t>
  </si>
  <si>
    <t>CN306856387S</t>
  </si>
  <si>
    <t>1.本外观设计产品的名称：机器车。
 2.本外观设计产品的用途：通过远程控制或人工智能控制实现移动，用于娱乐、教育或比赛等。
 该产品包括小车模型，可以通过木质板、纸板、电子模块等拼接而成，可以搭载电池等实现移动。
 3.本外观设计产品的设计要点：在于形状。
 4.最能表明设计要点的图片或照片：立体图。</t>
  </si>
  <si>
    <t>机器车</t>
  </si>
  <si>
    <t>US11282408B2</t>
  </si>
  <si>
    <t>用户计算实体通过用户计算实体的用户界面执行应用程序代码以引起IUI的显示。 IUI包括动作列表,该动作列表包括对应于团队的一个或多个团队成员的一个或多个动作项。 操作项根据一个或多个操作优先级自动排序。 行动项目中的至少一个对应于辅导机会和对其作出响应的建议。 指导机会是使用推荐模型自动识别的,该推荐模型使用机器学习至少部分地基于对应于多个关键性能指标度量的性能数据来训练。 使用推荐模型并基于绩效数据来确定响应教练机会的推荐。 推荐模型使用有关先前处理教练机会的信息和一组团队的相应结果指标进行训练。</t>
  </si>
  <si>
    <t>用于生成和提供行动建议的自训练机器学习系统</t>
  </si>
  <si>
    <t>CN306907669S</t>
  </si>
  <si>
    <t>1.本外观设计产品的名称：用于显示屏幕面板的标签选择图形用户界面。
 2.本外观设计产品的用途：用于显示信息。
 3.本外观设计产品的设计要点：在于屏幕中的图形用户界面。
 4.最能表明设计要点的图片或照片：设计1主视图。
 5.指定设计1为基本设计。
 6.图形用户界面的用途：界面用于选择标签。
 7.图形用户界面的人机交互方式：设计1至设计4主视图为标签选择界面，在设计1至设计4主视图中，用户可以查看界面上部已选中的标签，且界面下部标签选择区域的相应标签控件呈选中状态，或长按拖拽界面下部未选中的圆形标签控件至界面上部区域，松手即可选中该标签，或点击界面上部已选中标签的“叉号”控件删除该标签，或长按拖拽界面上部已选中的圆角矩形标签控件至界面下部区域，松手即可取消选择该标签。
 设计5和设计6主视图为标签选择界面，在设计5和设计6主视图中，用户可以长按拖拽界面下部的圆形标签控件至界面上部区域，松手即可选中该标签。
 设计7主视图为标签选择界面，当用户长按拖拽界面下部的“健身”圆形标签控件至界面上部区域并松手时，呈现出设计7主视图至设计7界面变化状态图2的界面变化效果。
 设计8主视图为标签选择界面，当用户长按拖拽界面上部的“旅游”圆角矩形标签控件至界面下部区域并松手时，呈现出设计8主视图至设计8界面变化状态图2的界面变化效果。
 8.该显示屏幕面板可用于手机、计算机、平板电脑、车载中控屏幕、智能电视。</t>
  </si>
  <si>
    <t>用于显示屏幕面板的标签选择图形用户界面</t>
  </si>
  <si>
    <t>US20220409134A1</t>
  </si>
  <si>
    <t>经过训练的机器学习模型可用于分析通过入耳式或体表设备获得的信号。 可以分析信号以确定与进食、咀嚼、饮水、咳嗽或打喷嚏等活动相关的信息。 此外,可以结合机器学习模型分析来自入耳式温度计或其他数据传感器的数据,以向用户设备上的用户提供数据或建议或启动操作。</t>
  </si>
  <si>
    <t>使用耳机内的入耳式麦克风作为健身和健康追踪器</t>
  </si>
  <si>
    <t>CN113256466A</t>
  </si>
  <si>
    <t>本发明公开一种基于人工智能的智慧校园建设体育教学管理方法、系统及计算机存储介质，通过统计校园班级内各类体育项目课程中学生预报名人数，对比筛选预报名人数超标的各类体育项目课程，同时统计预报名人数超标的各类体育项目课程中学习过对应课程的报名学生人数，分别与对应体育项目课程的标准报名人数进行对比，若大于则统计预报名人数超标的各类体育项目课程中学习过对应课程的各报名学生学习成绩，并按照顺序依次进行筛选，若小于则统计预报名人数超标的各类体育项目课程中各剩余报名学生的性别匹配度和体质测试值，计算预报名人数超标的各类体育项目课程中各剩余报名学生的符合度匹配系数，并按照顺序依次进行补充。</t>
  </si>
  <si>
    <t>一种基于人工智能的智慧校园建设体育教学管理方法、系统及计算机存储介质</t>
  </si>
  <si>
    <t>WO2021254198A1</t>
  </si>
  <si>
    <t>本申请提供了一种控制跑步机的方法、电子设备和系统，该方法可以用于人工智能(artificial intelligence，AI)终端。该方法包括：电子设备接收可穿戴设备发送的用户的心率值；电子设备根据电子设备中保存的用户信息，确定用户的跑步目的和跑步的恢复时间；电子设备根据跑步目的、恢复时间和映射关系，确定第一目标心率范围；电子设备根据心率值和第一目标心率范围，调节跑步机的配速。本申请实施例，有助于提高电子设备(如智能终端设备，如手机)的智能化程度，同时可以提升用户在使用跑步机时的用户体验。</t>
  </si>
  <si>
    <t>一种控制跑步机的方法、电子设备和系统</t>
  </si>
  <si>
    <t>US11529560B2</t>
  </si>
  <si>
    <t>本申请公开了一种基于人工智能(AI)的虚拟赛车控制方法。 该方法包括:通过客户端控制第一虚拟赛车在某轮赛车游戏的虚拟地图上行驶,第一虚拟赛车为追逐赛车,第一账户为参与该轮比赛的账户。 赛车游戏; 在客户端显示当第一虚拟赛车撞到虚拟地图上的第二虚拟赛车时,第二虚拟赛车的续航值降低,第二虚拟赛车为逃跑赛车。 当第二虚拟赛车的续航值不大于预设阈值时,在客户端显示第二虚拟赛车已退出本轮赛车游戏。</t>
  </si>
  <si>
    <t>CN113343844A</t>
  </si>
  <si>
    <t>本申请实施例中提供了一种球类比赛判罚指令自动生成方法、系统和服务器，所述方法应用于球类比赛判罚指令自动生成系统的服务器，服务器首先获取数据采集设备采集到的球类比赛的视频数据，通过计算机视觉算法对视频数据进行处理，获得比赛信息；然后根据比赛信息对球类比赛的违规操作及违规操作的比赛人员进行识别；最后根据识别到的违规操作及违规操作的比赛人员生成判罚指令。由于计算机视觉算法能够基于球类比赛的视频数据精确识别出比赛人员的三维姿态、比赛人员的位置、球的位置、比赛人员的运动轨迹、球的运动轨迹及比赛时间等比赛信息，从而可以根据比赛信息进行违规识别，实现对球类比赛的自动且准确地判罚，提升球类比赛的观赏性和公平性。</t>
  </si>
  <si>
    <t>球类比赛判罚指令自动生成方法、系统和服务器</t>
  </si>
  <si>
    <t>CN113392746A</t>
  </si>
  <si>
    <t>本申请实施例中提供了一种动作标准挖掘方法、装置、电子设备和计算机存储介质。该方法包括：获取视频数据和标注结果；其中，视频数据包括多个目标动作视频数据，标注结果用于表征目标动作视频数据中每帧图像对应的动作是否标准；将视频数据进行分割处理，得到目标动作视频数据中每帧图像的动作姿态向量；其中，动作姿态向量用于表征人体的动作姿态；将动作姿态向量和标注结果输入预先设置的动作标准挖掘模型，生成动作评价数据。采用本申请提供的动作标准挖掘方法，通过视频数据和标注结果，基于机器学习算法，可以自动挖掘出规范的、可量化的以及有意义的动作评价数据，进而提升体育运动评价的规范性。</t>
  </si>
  <si>
    <t>动作标准挖掘方法、装置、电子设备和计算机存储介质</t>
  </si>
  <si>
    <t>US20210383124A1</t>
  </si>
  <si>
    <t>提供了一种用于自动监测运动活动区域上的活动的系统。 该网络设备包括被配置为从从设置在活动区域​​的摄像机接收的视频中自动识别对象和姿势的人工智能。 人工智能根据从视频中识别的对象和手势自动编辑视频,并生成包括预定对象和手势的视频文件。 人工智能可以生成包括特定运动员完成的每次试验的视频,并且可以自动将视频提供给运动员或第三方。</t>
  </si>
  <si>
    <t>自主活动监测系统和方法</t>
  </si>
  <si>
    <t>CN307048770S</t>
  </si>
  <si>
    <t>1.本外观设计产品的名称：用于显示屏幕面板的健康定制图形用户界面。
 2.本外观设计产品的用途：本外观设计产品用于手机、台式电脑、笔记本电脑、平板电脑、电视、带显示屏幕的冰箱、带显示屏幕的空调、带显示屏幕的洗衣机、带显示屏幕的热水器、带显示屏幕的抽油烟机、带显示屏幕的洗碗机、带显示屏幕的集成灶、带显示屏幕的蒸烤箱、手表、带显示屏幕的机器人、车载导航仪、带显示屏的汽车显示装置、GPS装置、智能手环、智能眼镜、个人数字助理、带显示屏的智能音箱、带显示屏的机顶盒、游戏机、健身监视器的显示屏面板，通过人脸识别交互，推荐用户定制健康食谱的操作。
 3.本外观设计产品的设计要点：在于屏幕中的图形用户界面的内容。
 4.最能表明设计要点的图片或照片：设计1界面变化状态图4。
 5.无设计要点，省略设计1至设计8的后视图、左视图、右视图、俯视图、仰视图。
 6.指定设计1为基本设计。
 7.图形用户界面的用途：通过识别人脸，扫描用户面部并得出基本身体状态报告，并根据用户资料为用户定制特有健康食谱。
 8.图形用户界面的人机交互方式：设计1主视图为应用打开时的界面，点击设计1主视图底部的按钮，界面变换为设计1界面变化状态图1，对界面中的人物行进人脸识别，并将所识别出的人脸头像水平排列显示于设计1界面变化状态图1的底部，当选择设计1界面变化状态图1底部的人脸头像，界面变换为设计1界面变化状态图2，此时静止面向摄像头预设时长（比如15秒），对用户进行扫描，头像周围一圈进度条逐渐被点亮，头像周围一圈进度条完全被点亮即扫描完成，扫描完成后界面由设计1界面变化状态图2变换为设计1界面变化状态图3，在设计1界面变化状态图3中选择用户的“性别、年龄、身高、体重”参数，点击设计1界面变化状态图3底部的按钮，界面变换为设计1界面变化状态图4，显示测试结果即“血氧饱和度、呼吸速率、心率和血压”等参数项目，点击设计1界面变化状态图4顶部的建议食谱按钮，界面变换为设计1界面变化状态图5，显示对应项目下的食谱图片建议。
 设计2主视图为对界面中的人物行进人脸识别，并将所识别出的人脸头像水平排列显示于设计2主视图的底部，当选择设计2主视图底部的人脸头像，界面变换为设计2界面变化状态图1，此时静止面向摄像头，对用户进行扫描，头像周围一圈进度条逐渐被点亮，头像周围一圈进度条完全被点亮即扫描完成，扫描完成后界面由设计2界面变化状态图1变换为设计2界面变化状态图2，在设计2界面变化状态图2中选择用户的“性别、年龄、身高、体重”参数，点击设计2界面变化状态图2底部的按钮，界面变换为设计2界面变化状态图3，显示测试结果即“血氧饱和度、呼吸速率、心率和血压”等参数项目，点击设计2界面变化状态图3顶部的建议食谱按钮，界面变换为设计2界面变化状态图4，显示该测试结果对应的食谱图片建议。
 设计3主视图为用户扫描界面，此时用户面向摄像头，头像周围一圈进度条逐渐被点亮，头像周围一圈进度条完全被点亮即扫描完成，扫描完成后界面由设计3主视图变换为设计3界面变化状态图1，在设计3界面变化状态图1中选择用户的“性别、年龄、身高、体重”参数，点击设计3界面变化状态图1底部的按钮，界面变换为设计3界面变化状态图2，显示测试结果即“血氧饱和度、呼吸速率、心率和血压”等参数项目，点击设计3界面变化状态图2顶部的建议食谱按钮，界面变换为设计3界面变化状态图3，显示对应项目下的食谱图片建议。
 设计4主视图可以选择用户的“性别、年龄、身高、体重”参数，点击设计4主视图底部的按钮，界面变换为设计4界面变化状态图1，显示测试结果即“血氧饱和度、呼吸速率、心率和血压”等参数项目，点击设计4界面变化状态图1顶部的建议食谱按钮，界面变换为设计4界面变化状态图2，显示对应项目下的食谱图片建议。
 设计5主视图为用户测试结果界面，即显示“血氧饱和度、呼吸速率、心率和血压”等参数项目，点击设计5主视图顶部的建议食谱按钮，界面变换为设计5界面变化状态图，显示对应项目下的食谱图片建议。
 设计6主视图可以选择用户的“性别、年龄、身高、体重”参数，点击或滑动设计6主视图中任一按钮，可以跳转至下一界面。
 设计7主视图为用户测试结果界面，即显示“血氧饱和度、呼吸速率、心率和血压”等参数项目，点击或滑动设计7主视图中任一按钮可以跳转至下一界面。
 设计8主视图为健康食谱建议界面，点击或滑动设计8主视图中任一按钮可以跳转至下一界面。
 其中，界面中“灰色图块加人物轮廓”表示为人像，“灰色图块”表示为图片。</t>
  </si>
  <si>
    <t>用于显示屏幕面板的健康定制图形用户界面</t>
  </si>
  <si>
    <t>KR102378716B1</t>
  </si>
  <si>
    <t>根据本发明的利用玩家情绪状态预测比赛结果的系统包括变量数据库,用于存储内部变量,包括每个玩家的游戏记录和每个玩家的情绪状态,以及外部变量,包括每个团队的游戏记录; 数据采集​​器通过爬取预定网页收集运动相关信息,生成原始运动数据; 数据分类器使用预定的情绪状态模型基于原始体育数据中包括的情绪词计算每个运动员的情绪状态; 以及匹配结果预测器,其通过将内部变量和外部变量输入到使用递归神经网络学习的情感模型来计算匹配结果的预测值。</t>
  </si>
  <si>
    <t>利用球员情绪状态预测比赛结果的系统和方法</t>
  </si>
  <si>
    <t>CN307369924S</t>
  </si>
  <si>
    <t>1.本外观设计产品的名称：带信息显示的图形用户界面的显示屏幕面板。
 2.本外观设计产品的用途：本外观设计产品用于显示信息。
 3.本外观设计产品的设计要点：在于屏幕中图形用户界面的界面内容。
 4.最能表明设计要点的图片或照片：主视图。
 5.被省略的视图无设计要点，省略后视图、左视图、右视图、俯视图、仰视图。
 6.图形用户界面的用途：用于向用户展示健身课程信息和个人健身数据信息。
 7.图形用户界面的人机交互方式：主视图界面为健身界面个人中心展示界面，可展示个人训练信息内容，控制遥控器使得主视图界面下拉，主视图变化为界面变化状态图。
 8.该显示屏幕面板可用于手机，计算机，平板电脑，车载中控屏幕，智能电视，投影仪。</t>
  </si>
  <si>
    <t>带信息显示的图形用户界面的显示屏幕面板</t>
  </si>
  <si>
    <t>JP2023528892A</t>
  </si>
  <si>
    <t>一种用于监视、记录和处理活动的系统,包括用于自动记录活动视频的一个或多个摄像机。 远程媒体系统位于活动地点。 网络媒体处理器和服务通信地耦合到远程媒体系统。 远程媒体系统包括一个或多个支持人工智能的摄像机。 支持人工智能的摄像头被配置为记录活动。 网络媒体处理器被配置为接收支持AI的摄像机激活请求并确认记录请求。 系统可以自动管理技能竞赛。</t>
  </si>
  <si>
    <t>NZ802739A</t>
  </si>
  <si>
    <t>一种用于监视、记录和处理活动的系统,包括用于自动记录活动的视频的一个或多个摄像机。 远程媒体系统位于活动地点。 网络媒体处理器和服务与远程媒体系统通信地耦合。 远程媒体系统包括一台或多台启用人工智能的摄像机。 支持人工智能的摄像头配置为记录活动。 网络媒体处理器被配置为接收支持AI的摄像机的激活请求并验证记录请求。 系统可以自动管理基于技能的竞赛。</t>
  </si>
  <si>
    <t>CN113506399B</t>
  </si>
  <si>
    <t>本发明公开了一种基于人工智能的智慧校园门禁系统，包括监控主机、网络服务器和智能摄像设备，所述监控主机包括数据缓存模块、数据解包模块、数据显示模块与数据销毁模块，所述网络服务器包括数据接收模块、数据对比验证模块、验证结果发送模块、数据封装模块、数据储存单元与数据发送模块，所述智能摄像设备包括数据采集模块、智能识别模块与门锁控制模块，数据缓存模块用于通过网络专线将数据储存单元中的数据下载至监控主机上，数据解包模块用于对监控主机上已封装的数据包进行解码与还原；本发明使得使用人员难以拷贝校园人员的信息，同时保证能够及时查询到使用人员的具体操作，大大提高了智慧校园门禁系统的数据存储安全性。</t>
  </si>
  <si>
    <t>一种基于人工智能的智慧校园门禁系统</t>
  </si>
  <si>
    <t>AU2021103042A4</t>
  </si>
  <si>
    <t>本公开涉及一种用于预测羽毛球比赛结果的系统和方法。 本发明的系统包括:数据采集单元; 数据处理单元; 特征选择单元; 和一个预测模型。 本公开的目的是提出不同的机器学习模型来分析从 2016 年到 2019 年的各种羽毛球比赛的复杂数据,以预测羽毛球比赛的结果。 在本公开中,提出了三种类型的机器学习模型 NB-CBFW、CHIRP 和 Hyper Pipes 来预测 2019 年澳大利亚公开赛、2019 年马来西亚公开赛、2019 年德国公开赛和 2019 年新加坡公开赛羽毛球锦标赛的结果。 结果预测性能通过准确度、RMSE、TPR、TNR、PPV、NPV和ROC来衡量。 分析了 16 个测试数据集以进行结果预测。 与 CHIRP 和 Hyper Pipes 相比,NB-CBFW 预测的结果要好得多。 14 rC M M Et D fa ol ai</t>
  </si>
  <si>
    <t>一种预测羽毛球比赛结果的系统和方法</t>
  </si>
  <si>
    <t>CN216527589U</t>
  </si>
  <si>
    <t>本实用新型公开了一种具有人工智能的教学实训平台，包括底座，所述底座的顶部外壁设置有移动显示黑板，所述底座的顶部外壁固定连接有处理主机，所述底座的顶部外壁设置有第一移动摄像机，所述底座的顶部外壁固定连接有第二移动摄像机，所述底座的顶部外壁设置有第三移动摄像机。通过第一移动摄像机、第二移动摄像机和第三移动摄像机可以进行全景的VR拍摄，这样就可以解决实践课程因为人数过多不能靠近老师而看不见具体操作和操作细节的问题，处理主机可以第拍摄的数据进行转化输出至学生的VR仪器上，第一移动摄像机，第二移动摄像机和第三移动摄像机结构相同，位置不同，移动显示黑板可以充当线下教学的投影屏幕使用，符合现代化教学。</t>
  </si>
  <si>
    <t>一种具有人工智能的教学实训平台</t>
  </si>
  <si>
    <t>CN113268515A</t>
  </si>
  <si>
    <t>本发明涉及一种足球比赛的自动解说装置及方法，属于机器学习技术领域。本方法首先构建包含球员和球队基本信息以及近期新闻的球员球队数据库；然后利用视频事件检测技术及视频追踪技术得到足球比赛中事件类别、事件对应球员、事件发生位置、事件发生时间等当前赛况信息；之后依据比赛态势，选择性地输出球员球队介绍、球员球队新闻摘要、比赛事件解说、结束词等不同类别的足球解说词，其中，比赛事件解说由文本生成技术根据赛况信息生成；最后使用语音合成技术将解说词文本转会为对应音频。本方法通过自然语言处理、计算机视觉、语音合成等技术，实现了足球比赛的自动解说，节省了对解说员所投入的人力成本，使球迷欣赏到更多伴有解说的比赛。</t>
  </si>
  <si>
    <t>一种足球比赛的自动解说装置及方法</t>
  </si>
  <si>
    <t>CN214756586U</t>
  </si>
  <si>
    <t>本实用新型公开了一种健身课程存储装置，包括底座，所述底座上方设有壳体，所述壳体下方一侧设有多个等距排布得连接线，所述连接线另一端设有贴片，所述贴片上设有传感装置，所述传感接收装置与信息接收单元电性连接，所述信息接收单元与信息处理单元电性连接，所述信息处理单元与信息存储单元电性连接。该种健身课程存储装置，通过传感装置与传感接收装置可对健身动作进行记录，并通信息接收单元对传感接收装置的信息进行接收，信息存储单元对信息处理单元处理后得信息进行存储，使用者可以跟随运动轨迹进行健身，该种存储装置结构简单，使用方便，人机交互效果好，能够及时的进行纠错。</t>
  </si>
  <si>
    <t>一种健身课程存储装置</t>
  </si>
  <si>
    <t>AU2021102956A4</t>
  </si>
  <si>
    <t>摘要 本公开涉及一种用于板球亮点生成的帝企鹅优化事件识别和概括的方法。 该方法包括:提取音频特征以从板球视频中提取精彩片段; 通过计算相邻帧之间的色调直方图差异来检测每个令人兴奋的剪辑的关键帧或短边界,以最小化计算时间复杂度; 通过定位记分卡区域来区分回放帧和真实帧; 提取低级特征,如颜色、边缘以确定球场视图、边界视图、击球手、守场员、裁判员、球员聚集和观众; 使用动作识别器检测球员在三柱门、边界、受伤和裁判与球员之间的争议/争论期间的反应; 通过提出具有帝企鹅优化 (HDNN-EPO) 的深度神经网络来标记特定令人兴奋的剪辑的概念; 并生成亮点,按时间顺序排列选定的激动人心的剪辑。 25 (%J 00 0 rj ;:i 00 0 r-i r- EE .fl E ato 0 wC 0 b0 E 0 E 到 00 CL 0 en M~ 0 x C,- -m c0 C'e wa 0 r2 C 2 ~.C-' cf ~ 0 to 0 0 0 0 0 toU l n 0. -0 "-ae = C =( .0 enot c ~ a, 2</t>
  </si>
  <si>
    <t>一种帝企鹅优化事件识别和总结的板球亮点生成方法</t>
  </si>
  <si>
    <t>CN113318381B</t>
  </si>
  <si>
    <t>本发明涉及一种智能跑步机及其速度调节方法，属于跑步机领域，包括底盘、支架，底盘安装有跑步台，跑步台设置有动力滚筒，动力滚筒设置有速度传感器。支架顶部安装有控制台，控制台设置有触摸显示屏、操作按钮区，触摸显示屏设置有人机交互界面，并设置有穿戴数据采集终端，穿戴数据采集终端设置有心率传感器、血氧传感器、计步传感器。通过对用户的心率、血氧、步数、发热量等运动指标进行监测，通过MCU处理器的运算分析得出用户的运动信息，进而通过调速器控制跑步机动力滚筒的运转速度，让用户达到最佳的运动效果。</t>
  </si>
  <si>
    <t>一种智能跑步机及其速度调节方法</t>
  </si>
  <si>
    <t>CN113648505A</t>
  </si>
  <si>
    <t>一种提升心理能效的身心减压调适训练系统，包括依次通过电线电性连接的服务器、控制终端和控制设备，控制终端包括智能机器人，智能机器人用于通过文字、行为动作或语音模式与用户进行人机交互，对用户发出的指令做出反馈及执行；服务器用于接收制终端的设置、对控制终端的功能模块进行定制并为其提供支持、对控制终端的数据进行分析和汇总、基于控制终端的数据出具健康状态分析报告并给出建议、对控制终端的数据进行记录并存储和为控制终端提供逻辑运算支持。本发明创造旨在创造一种轻松的健身氛围，通过环境模拟模块同步模拟出贴近自然的环境、音乐播放控制模块播放轻松愉悦的背景音乐和熏香控制模块雾化出紫檀香味或贴近自然的清新气味。</t>
  </si>
  <si>
    <t>一种提升心理能效的身心减压调适训练系统</t>
  </si>
  <si>
    <t>US20210375325A1</t>
  </si>
  <si>
    <t>一种智能运动视频和数据生成系统,使用运动检测设备中的人工智能检测引擎,向多个运动检测设备广播包含全局时间戳信息的命令,使得记录的运动动作数据可以与视频数据进行时间对齐, 其中可以基于输入查询的参数生成自动拼接在一起的视频或数据集。</t>
  </si>
  <si>
    <t>从人工智能识别事件生成智能体育视频和数据</t>
  </si>
  <si>
    <t>WO2021243074A1</t>
  </si>
  <si>
    <t>US20210383123A1</t>
  </si>
  <si>
    <t>本文公开了一种预测球队在比赛场地上的阵型的系统和方法。 一种计算系统检索多个事件的一组或多组事件数据。 每组事件数据对应于事件的一个片段。 诸如混合密度网络之类的深度神经网络学习基于一组或多组事件数据来预测事件的每个部分中玩家的最佳排列。 深度神经网络根据相应的事件数据和玩家的最佳排列来学习每个细分市场的玩家分布。 计算系统基于学习生成完全训练的预测模型。 计算系统接收对应于目标事件的目标事件数据。 计算系统通过训练好的预测模型基于目标事件数据生成每个玩家的预期位置。</t>
  </si>
  <si>
    <t>运动队形预测系统及方法</t>
  </si>
  <si>
    <t>WO2021247371A1</t>
  </si>
  <si>
    <t>本文公开了一种预测球队在比赛场地上的阵型的系统和方法。 一种计算系统检索多个事件的一组或多组事件数据。 每组事件数据对应于事件的一个片段。 诸如混合密度网络之类的深度神经网络学习基于一组或多组事件数据来预测事件的每个部分中的玩家的最佳排列。 深度神经网络根据相应的事件数据和玩家的最佳排列来学习每个细分市场的玩家分布。 计算系统基于学习生成完全训练的预测模型。 计算系统接收对应于目标事件的目标事件数据。 计算系统通过训练好的预测模型基于目标事件数据生成每个玩家的预期位置。</t>
  </si>
  <si>
    <t>用于预测运动中队形的系统和方法</t>
  </si>
  <si>
    <t>CN115668095A</t>
  </si>
  <si>
    <t>本文公开了基于多主体跟踪数据生成主体和动作预测的方法和系统。计算系统从数据存储检索跟踪数据。计算系统通过以下操作来生成训练的神经网络：基于跟踪数据，通过将每个数据帧转换成包含在帧中的数据的矩阵表示，生成多个训练数据集；以及通过神经网络学习包含在帧中的每个动作的开始帧和结束帧及每个动作相关联的行动者。计算系统接收与赛事相关联的目标跟踪数据。目标跟踪数据包括多个行动者和多个动作。计算系统经由训练的神经网络生成跟踪数据中识别的每个动作的目标开始帧和目标结束帧以及对应的行动者。</t>
  </si>
  <si>
    <t>根据体育运动中的跟踪数据进行半监督动作-行动者检测</t>
  </si>
  <si>
    <t>CA3180473A1</t>
  </si>
  <si>
    <t>在运动检测设备中使用人工智能检测引擎的智能运动视频和数据生成系统,将包含全局时间戳信息的命令广播到多个运动检测设备,使得记录的运动动作数据可以与视频数据时间对齐, 其中可以根据输入查询的参数生成自动拼接在一起的视频或数据集。</t>
  </si>
  <si>
    <t>人工智能识别事件的智能体育视频和数据生成</t>
  </si>
  <si>
    <t>CN115715385A</t>
  </si>
  <si>
    <t>本文公开了一种预测比赛场地表面上的团队的队形的系统和方法。计算系统检索多个赛事的一个或更多个赛事数据集。每个赛事数据集对应于赛事的片段。诸如混合密度网络的深度神经网络基于一个或更多个赛事数据集学习以预测赛事的每个片段中的运动员的最佳排列。深度神经网络基于对应的赛事数据和运动员的最佳排列来学习每个片段的运动员的分布。计算系统基于学习生成完全训练的预测模型。计算系统接收对应于目标赛事的目标赛事数据。计算系统基于目标赛事数据经由所训练的预测模型生成每个运动员的期望位置。</t>
  </si>
  <si>
    <t>用于预测体育运动中的队形的系统和方法</t>
  </si>
  <si>
    <t>EP4158505A1</t>
  </si>
  <si>
    <t>EP4162341A1</t>
  </si>
  <si>
    <t>预测运动队形的系统和方法</t>
  </si>
  <si>
    <t>US20210374879A1</t>
  </si>
  <si>
    <t>用于招募学生运动员的社交媒体平台使任何年龄的学生运动员都可以创建详细的个人资料,上传视频和照片,并发布信息以引起招募兴趣。 教练、球探、招聘人员等也可以在平台上创建个人资料,以便他们可以招募学生运动员。 人工智能使教练和球探能够建立典型的学生运动员档案,并在学生运动员的档案与典型档案匹配时接收通知。 然后,教练可以为“匹配”提供评分,并根据原型档案和学生运动员档案的密切相关程度提供反馈。 人工智能接收带有反馈的评级输入,并且可以学会在未来识别更好的匹配。</t>
  </si>
  <si>
    <t>阿尔法侦察星系统和方法</t>
  </si>
  <si>
    <t>WO2021237285A1</t>
  </si>
  <si>
    <t>一种游戏计分装置,其中该游戏计分装置包括配置为接收输入语音信号的音频输入。 游戏计分装置还包括处理器,其被配置为处理数字数据并将语音信号转换为用于游戏计分信息的数据。 进一步地,游戏计分装置包括物理输入接口和显示器,用于显示游戏计分信息。 游戏计分信息的参数可以通过音频输入和物理输入接口进行输入。 该游戏计分装置通过语音识别和语音输入实现对比赛或比赛的有效电子游戏计分。</t>
  </si>
  <si>
    <t>一种游戏计分装置</t>
  </si>
  <si>
    <t>CA3184448A1</t>
  </si>
  <si>
    <t>一种游戏计分装置,其中所述游戏计分装置包括配置为接收输入语音信号的音频输入。 游戏计分装置还包括处理器,用于处理数字数据并将语音信号转换为游戏计分信息的数据。 进一步地,游戏计分装置包括物理输入接口和显示器,用于显示游戏计分信息。 比赛得分信息的参数可以通过音频输入接口和物理输入接口输入。 该比赛计分装置能够通过语音识别和语音输入对比赛或比赛进行高效的电子比赛计分。</t>
  </si>
  <si>
    <t>一种游戏计分器</t>
  </si>
  <si>
    <t>AU2021279096A1</t>
  </si>
  <si>
    <t>GB2613085A</t>
  </si>
  <si>
    <t>CN113499574A</t>
  </si>
  <si>
    <t>本发明公开了一种基于物联网的体育训练装置，包括：固定架、正面击打机构、侧面击打机构、显示器、感应探头和控制器；正面击打机构安装在所述固定架的内侧后端；所述侧面击打机构的数量为两个，两个所述侧面击打机构分别设置在固定架的内侧左右两端；显示器通过支架安装在所述正面击打机构的内侧感应探头设置在所述显示器的底端；控制器安装在所述固定架的外侧。该基于物联网的体育训练装置，可对运动员空手道击打练习进行自动判断得分是否有效，无需教练员进行判断，更加准确，适用于多位运动员同时进行训练，并且可根据运动员训练计划实现对击打装置不同方向和角度的调整，无需外部陪练员进行辅助练习，节约人力同时更加安全。</t>
  </si>
  <si>
    <t>一种基于物联网的体育训练装置</t>
  </si>
  <si>
    <t>CN307150880S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</si>
  <si>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5.图形用户界面的用途：用于人机交互和实现显示屏幕面板的功能，可以用于显示位置信息，并且可以用于显示持有电子设备的用户和由白点表示的目标物品之间的精确位置关系，包括由箭头指示的方向关系。
 6.图形用户界面的人机交互方式：图形用户界面可以通过轻击或滚动图形用户界面来交互，或者可以通过移动显示屏幕面板来交互。
 7.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</si>
  <si>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显示屏幕面板的显示位置信息的图形用户界面</t>
  </si>
  <si>
    <t>CN307150876S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</si>
  <si>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5.图形用户界面的用途：用于人机交互和实现显示屏幕面板的功能，并且可以用于显示位置信息。
 6.图形用户界面的人机交互方式：图形用户界面可以通过轻击或滚动图形用户界面来交互，或者可以通过移动显示屏幕面板来交互。
 7.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</si>
  <si>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CN307150877S</t>
  </si>
  <si>
    <t>CN307150878S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</si>
  <si>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5.图形用户界面的用途：用于人机交互和实现显示屏幕面板的功能，可以用于显示位置信息，并且可以用于显示持有电子设备的用户和由白点表示的目标物品之间的精确位置关系，包括由箭头指示的方向关系。
 6.图形用户界面的人机交互方式：图形用户界面可以通过轻击或滚动图形用户界面来交互，或者可以通过移动显示屏幕面板来交互。
 7.图形用户界面的变化状态说明：图形用户界面的外观依次从主视图变化到变化状态图1、变化状态图2和变化状态图3。
 8.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</si>
  <si>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CN307150875S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</si>
  <si>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5.图形用户界面的用途：用于人机交互和实现显示屏幕面板的功能，可以用于显示位置信息，并且可以用于显示持有电子设备的用户和由白点表示的目标物品之间的精确位置关系，包括由箭头指示的方向关系。
 6.图形用户界面的人机交互方式：图形用户界面可以通过轻击或滚动图形用户界面来交互，或者可以通过移动显示屏幕面板来交互。
 7.图形用户界面的变化状态说明：图形用户界面的外观根据显示屏幕面板和待定位的目标之间的位置关系而在主视图、变化状态图1和变化状态图2之间变化。
 8.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</si>
  <si>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CN307150879S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</si>
  <si>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可以用于显示位置信息，并且可以用于显示持有电子设备的用户和由白点表示的目标物品之间的精确位置关系，白点和箭头指示用户和目标物品之间的距离关系的视觉表示，并且箭头还指示用户和物品之间的方向关系，随着用户越来越靠近目标物品，白点变得越来越大并且箭头消失。
 6.图形用户界面的人机交互方式：图形用户界面可以通过轻击或滚动图形用户界面来交互，或者可以通过移动显示屏幕面板来交互。
 7.图形用户界面的变化状态说明：图形用户界面的外观依次从主视图变化到变化状态图1、变化状态图2和变化状态图3。
 8.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</si>
  <si>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CN307234886S</t>
  </si>
  <si>
    <t>1.本外观设计产品的名称：显示屏幕面板的显示位置信息的图形用户界面。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5.图形用户界面的用途：用于人机交互和实现显示屏幕面板的功能，并且可以用于显示位置信息。
 6.图形用户界面的人机交互方式：图形用户界面可以通过轻击或滚动图形用户界面来交互，或者可以通过移动显示屏幕面板来交互，请求保护的图形用户界面可以用于示出手持电子设备的用户和通过白点指示的目标物品之间的精确位置关系。
 当用户越来越接近目标物品时，图形用户界面的外观从主视图变化到变化状态图1、变化状态图2和变化状态图3，并且当用户到达目标物品的位置时，图形用户界面的外观从变化状态图3变化到变化状态图4。
 7.图形用户界面的变化状态说明：图形用户界面的外观依次从主视图变化到变化状态图1、变化状态图2、变化状态图3和变化状态图4。
 8.显示屏幕面板可以应用于计算机、笔记本电脑、平板电脑、手机、智能手机、智能手环、智能眼镜、手表、智能手表、健身监视器、头戴式耳机、个人数字助理、智能音箱、电视、投影仪、导航仪、机顶盒、游戏机、用于车辆的显示屏；显示屏幕面板为惯常设计，故省略其他视图。</t>
  </si>
  <si>
    <t>KR1020210068333A</t>
  </si>
  <si>
    <t>本申请公开了一种引导应用程序运行的方法、装置、装置及可读取存储介质,涉及语音识别技术领域。 具体实现方法包括:接收第一应用程序发送的操作指南数据,并将该操作指南数据提供给用户; 接收用户输入的语音信息,确定与语音信息匹配的目标操作指南数据; 并将目标操作引导数据发送给第一应用程序,使得第一应用程序根据目标操作引导数据进行下一步操作,不需要用户记忆,同时便于第一个获取用户具体操作行为的应用程序,有利于对用户进行行为分析。</t>
  </si>
  <si>
    <t>指导应用程序运行的方法、装置、仪器和可读存储介质</t>
  </si>
  <si>
    <t>CN113384861A</t>
  </si>
  <si>
    <t>本发明涉及图像处理技术领域，公开了一种乒乓球训练装置及训练方法、计算机可读存储介质。上述乒乓球训练装置包括处理单元、发球单元和图像采集单元；发球单元用于自动发球；图像采集单元用于采集运动员图像和训练过程中的乒乓球图像；处理单元用于获取图像采集单元采集到的图像，依据运动员图像识别运动员身份信息及分析运动员的运动姿态信息、以及依据乒乓球图像分析乒乓球的运动轨迹信息，并依据运动员的身份信息、运动员的运动姿态信息、乒乓球的运动轨迹信息中的至少一种，分析运动员的训练等级信息，并依据训练等级信息匹配相应的训练课程信息，以及发送发球指令。本发明提供的乒乓球训练装置可辅助运动员进行个性化训练，提升了训练效果。</t>
  </si>
  <si>
    <t>乒乓球训练装置及训练方法、计算机可读存储介质</t>
  </si>
  <si>
    <t>CN214799542U</t>
  </si>
  <si>
    <t>本实用新型涉及一种支持实现基于人体运动健身进行智能交互的物联网系统，其中，所述的系统包括电能存储模块，与运动发电模块相连接；MCU主控制器，与所述的电能存储模块相连接；传感器采集单元，与所述的MCU主控制器相连接；蓝牙和WIFI模块，与所述的MCU主控制器相连接；以及手机APP，与所述的蓝牙和WIFI模块实现数据交互连接。采用了本实用新型的该支持实现基于人体运动健身进行智能交互的物联网系统，提供了可无需电源供电、具有多种运动模式以及人机交互形式的新型绿色健康运动模式，具有很强的娱乐性、互动性和乐趣性，同时也具有很大的市场潜力以及应用价值。</t>
  </si>
  <si>
    <t>支持实现基于人体运动健身进行智能交互的物联网系统</t>
  </si>
  <si>
    <t>KR102330420B1</t>
  </si>
  <si>
    <t>公开了一种使用人工智能的台球学习进度系统。 台球学习,包括母球的得分、母球速度、桥距、母球路径,根据母球和两个目标球的位置信息,通过分析和深度学习当前实际台球运动员的台球比赛发明 一种使用人工智能的台球学习进度系统,该系统使用生成信息并数据库化的服务器进行学习,至少一个用于获取台球桌游戏图像的摄像机,包括母球和两个目标球的位置,以及台球table 安装在台球桌周围,将从摄像头获取到的母球和两个目标球的位置信息传输到服务器,并根据位置信息接收包括母球的存储和球场信息在内的台球学习信息通过包含控制屏幕显示的控制装置,用户可以在台球比赛中或比赛结束后轻松了解台球系统的理论和技术,无需台球专家的指导,并获得练习感。</t>
  </si>
  <si>
    <t>使用人工智能的台球学习进度系统</t>
  </si>
  <si>
    <t>CN113240561A</t>
  </si>
  <si>
    <t>本发明涉及教育技术领域，尤其是一种自动交互式智能教育管理系统，所述具体操作步骤如下：智能教育管理系统包括计算机与计算机内部的智能信息系统，智能信息系统包括安全识别模块、温度感应模块、光线感应模块、语音识别模块；在教室的内部安装电动窗帘，教室的内部设置有教学讲台，讲台的顶部设置有延伸至讲台内部的空腔室，空腔室的内部设置有电动升降架，并在计算机位于电动升降架的顶部，有益效果在于：通过设置的安全识别模块，能够防止学生私自启动电脑，能够对电脑的内部起到很好的保护作用；通过设置的光线感应模块，能够防止强光对计算机造成损坏，并且电动窗帘自动将窗户遮蔽，能够防止学生由于反光看不清教室内部的黑板。</t>
  </si>
  <si>
    <t>一种自动交互式智能教育管理系统</t>
  </si>
  <si>
    <t>CN307065956S</t>
  </si>
  <si>
    <t>1.本外观设计产品的名称：带跑步训练及考试图形用户界面的显示屏幕面板（50米x8跑）。
 2.本外观设计产品的用途：用于运行程序及显示。
 3.本外观设计产品的设计要点：在于显示屏幕显示的图形用户界面内容。
 4.最能表明设计要点的图片或照片：主视图。
 5.图形用户界面的用途：用于人机交互和实现屏幕面板的功能，并且可以用于显示信息。
 6.图形用户界面的人机交互方式：可以通过滚动图形用户界面或轻击图形用户界面中的图标动态地载入后续的图形用户界面或运行应用程序。
 7.图形用户界面的变化状态说明：变化状态图1展示"当前测试”页面；点击"开始准备”按钮，界面跳转至变化状态图2，左侧展示待测试学生列表；点击“各就位”按钮，界面跳转至变化状态图3，界面展示开始测试；主视图为学生测试完后的界面，界面左侧显示学生信息、成绩信息，中间展示出本场测试各个学生的报告、图片、视频；点击右侧导航栏"目录1"按钮，界面跳转至变化状态图4，展示"教学指导"页面，可在该页面学习运动项目相关知识；点击导航栏"目录3"按钮，界面跳转至变化状态图5，,展示"成绩对比"，包括个人成绩对比和两人成绩对比；点击导航栏"目录4"按钮，界面跳转至变化状态图,6，展示"成绩列表"，所有学生成绩详情；点击导航栏"目录5"按钮，界面跳转至变化状态图7，展示"小组数据"，各小组分组测试的测试强度；点击导航栏"目录6"按钮，界面跳转至变化状态图8，展示"个人数据"，所有学生的成绩定位、图片、视频、报告；点击导航栏"目录7"按钮，界面跳转至变化状态图9，展示"课堂报表"，显示学生测试综合数据；点击导航栏"目录8"按钮，界面跳转至变化状态图10，展示"成绩标准"，可查看当前成绩标准；点击导航栏"目录9"按钮，界面跳转至变化状态图11，展示"学生请假"，请假的学生不计入课堂报表数据。
 8.该显示屏幕面板和图形用户界面可以应用于具有显示屏幕面板的电脑、平板电脑、触控一体机、电视；显示屏幕面板为惯常设计，故省略其他视图。</t>
  </si>
  <si>
    <t>带跑步训练及考试图形用户界面的显示屏幕面板（50米x8跑）</t>
  </si>
  <si>
    <t>CN113423005B</t>
  </si>
  <si>
    <t>本发明公开了一种基于改进神经网络的智能音乐生成方法及系统，包括：构建数据集、视频帧图像初始特征提取、视频帧特征的时序关联、生成音频原始数据、网络训练与测试。本发明利用计算机快捷性、经济性的特点，设计了一种深度神经网络结构并对其进行训练，实现了对运动视频进行智能化处理并生成原始音频数据，进而合成配乐，解决了目前配乐制作难度大、时间与经济成本高的问题，同时建立了运动驱动的智能音乐生成功能系统，能够准确的对输入视频数据进行特征提取，生成质量较高的音乐并且实现音乐与运动场景相匹配，生成音乐的主观评分MOS&amp;gt;3.5，实现对体育运动等题材的视频进行快速、批量化配乐生成，使音乐制作的时间成本与经济成本减少一倍以上。</t>
  </si>
  <si>
    <t>一种基于改进神经网络的智能音乐生成方法及系统</t>
  </si>
  <si>
    <t>KR102537795B1</t>
  </si>
  <si>
    <t>根据本发明实施例的运动指导方法是一种基于人工智能的运动指导方法,由能够相互通信并辅助用户进行运动的智能镜子和指导服务器执行,其中,智能镜子提供匹配校准图像; 智能镜检测用户模仿校准图像进行校准的图像; 教练服务器根据进行校准的检测图像测量用户的关节活动范围和身体比例; 教练服务器根据从智能镜子接收到的校准图像、关节活动范围和身体比例来选择匹配图像; 教练服务器根据匹配图像生成虚拟教练; 智能镜子将接收到的虚拟教练提供给用户,并检测用户进行锻炼的图像; 智能镜子通过对比虚拟教练和运动表现图像来评价用户的运动表现。</t>
  </si>
  <si>
    <t>基于人工智能的运动指导系统、方法和程序</t>
  </si>
  <si>
    <t>CN113297936A</t>
  </si>
  <si>
    <t>一种基于局部图卷积网络的排球群体行为识别方法，涉及智能媒体计算和计算机视觉领域；首先对训练视频样本进行时域稀疏采样，对采样出的视频帧使用卷积神经网络提取全图特征图，并利用RoI Align根据图像中的个体候选框的位置提取个体视觉特征图；其次建立个体自连接图模型和个体间连接图模型，并以图卷积网络对图模型中的个体局部特征进行交互信息的传递得到关系特征图，并将其与个体视觉特征图进行融合；将训练样本进行预处理后传入网络中，利用损失函数和优化器对模型的参数进行迭代更新直至达到收敛，完成训练；最后将测试数据送入网络中，得到模型对测试数据的预测结果以及分类准确率。本发明有助于提升群体行为识别算法的性能。</t>
  </si>
  <si>
    <t>一种基于局部图卷积网络的排球群体行为识别方法</t>
  </si>
  <si>
    <t>WO2021232024A1</t>
  </si>
  <si>
    <t>本发明提供一种基于人工智能的混合RAID控制器设备。 基于人工智能的混合RAID控制器设备包括CPU来执行指令以运行基于人工智能的混合RAID控制器设备的整体操作。 此外,基于人工智能的混合RAID控制器设备包括XOR/Cipher引擎模块来执行加密和解密以提供数据安全性。 进一步地,基于人工智能的混合RAID控制器设备包括DSP模块,用于为人工智能推理引擎模块执行数据预处理。 此外,人工智能推理引擎模块便于基于人工智能的混合RAID控制器设备进行存储处理。 此外,基于人工智能的混合RAID控制器设备包括连接到SSD阵列的多个PCIe控制器。 XOR/Cipher 引擎模块嵌入 XOR 引擎来执行 RAID 奇偶校验计算以提供数据冗余。</t>
  </si>
  <si>
    <t>基于人工智能的混合RAID控制器设备</t>
  </si>
  <si>
    <t>US20210357119A1</t>
  </si>
  <si>
    <t>本发明提供一种基于人工智能的混合RAID控制器设备。 基于人工智能的混合RAID控制器设备包括CPU,用于执行指令以运行基于人工智能的混合RAID控制器设备的整体操作。 此外,基于人工智能的混合RAID控制器设备包括XOR/Cipher引擎模块来执行加密和解密以提供数据安全。 进一步地,基于人工智能的混合RAID控制器设备包括DSP模块,用于对人工智能推理引擎模块进行数据预处理。 此外,人工智能推理引擎模块有利于基于人工智能的混合RAID控制器设备进行存储内处理。 此外,基于人工智能的混合RAID控制器装置包括连接到SSD阵列的多个PCIe控制器。 XOR/Cipher 引擎模块嵌入 XOR 引擎来执行 RAID 奇偶校验计算以提供数据冗余。</t>
  </si>
  <si>
    <t>基于人工智能的混合raid控制器设备</t>
  </si>
  <si>
    <t>CN215124948U</t>
  </si>
  <si>
    <t>本实用新型公开了一种基于物联网技术的健身增肌手环，属于多功能手环领域，一种基于物联网技术的健身增肌手环，包括壳体，壳体中部固定安装有智能显示屏，壳体左右两端均固定连接有托块，托块远离壳体的一端固定连接有螺纹块，壳体前后两端均开设有第一凹槽，第一凹槽右端固定连接有第一铰链，第一铰链铰接有横杆，横杆远离第一铰链的一端固定连接有压缩弹簧，第一凹槽下端固定连接有第二铰链，第二铰链铰接有挡板，挡板中部固定连接有卡扣，螺纹块外端螺纹连接有拉力装置，其特征是通过拉力装置对拉伸弹簧的控制，以及压缩弹簧对横杆的控制，从而实现手环的增肌效果，使得佩戴者可以拥有多种体验。</t>
  </si>
  <si>
    <t>一种基于物联网技术的健身增肌手环</t>
  </si>
  <si>
    <t>CN113476815B</t>
  </si>
  <si>
    <t>本发明公开一种基于E‑ink的智能体育辅助训练方法及系统，所述方法包括：通过布置于运动场周围的数个摄像头以及激光雷达获取运动场上的运动数据；通过运动场上的运动数据解析出运动人员的位置与姿态、球类的运行轨迹；采用神经网络模型对运动人员的位置与姿态进行犯规动作侦测或标准度评价；在运动场地面的E‑ink显示器上的对应位置显示运动人员的犯规动作侦测结果或标准度评价结果、球类的落点位置。本发明可兼容多种运动且提供自动裁判和自动训练评价、模拟教练等多种功能，为运动人员提供有效辅助训练。</t>
  </si>
  <si>
    <t>基于E-ink的智能体育辅助训练方法及系统</t>
  </si>
  <si>
    <t>KR1020220155880A</t>
  </si>
  <si>
    <t>(1) 技术领域:人工智能 (2) 解决任务:群体操纵,艺术品客观分析困难 (3) 解决任务手段:利用收集到的大数据(目标标签)进行机器学习,增加偏好权重流动性.</t>
  </si>
  <si>
    <t>艺术内容个性化策展算法</t>
  </si>
  <si>
    <t>IN202141021999A</t>
  </si>
  <si>
    <t>本发明是一种用于健身训练的智能交互式显示系统和方法。 它由带有触摸屏的反射装置、摄像头、麦克风和扬声器组成。 该设备可以连接到智能手机或任何其他传感器或数字设备。 该显示器可以根据图像测量用户的体重,并可以使用人工智能算法为用户推荐健身计划。 它还通过无线生物识别传感器监测用户的重要参数、用户的姿势,并与社区和健身教练联系以获得实时体验。</t>
  </si>
  <si>
    <t>一种健身训练的智能交互显示系统及方法</t>
  </si>
  <si>
    <t>CN113110092A</t>
  </si>
  <si>
    <t>本发明涉及物联网设备技术领域，尤其涉及一种用于5G音视频物联网智能家居控制装置，包括底座和控制主机；底座的正面顶部设置有触控板、电源按钮；信号线与路由器通讯连接；底座内置通讯模块以及数据处理器；底座通过信号线与路由器通讯连接；底座的中部设置有安装槽，安装槽的中部设置有接头；控制主机安装在安装槽中，控制主机的充电孔与接头配合安装；底座通过接头与控制主机供电并传输信号；控制主机的顶部设置多个收音孔；控制主机的正面底部设置有扬声器和多个控制按钮；控制主机内置通讯模块；本发明能够方便的控制屋内的智能家居，通过手势或语音指令进行控制；或者接将控制主机取下对每个智能家居进行具体操作。</t>
  </si>
  <si>
    <t>一种用于5G音视频物联网智能家居控制装置</t>
  </si>
  <si>
    <t>US20220362631A1</t>
  </si>
  <si>
    <t>示例系统、设备、媒体和方法被描述为在增强现实中使用眼镜设备的显示器来呈现虚拟指导健身体验。 指导健身应用程序使用惯性测量单元 (IMU) 和来自一个或多个摄像头的视频数据来实现和控制运动数据帧的捕获。 该方法包括检测锻炼动作(有或没有设备)以及检测和计算重复次数。 检索有关检测到的运动或设备的相关数据,并将其用于策划有指导的健身体验。 当前的代表计数与头像一起显示在显示屏上,用于播放消息、执行动画演示、使用语音识别响应命令和查询,以及通过文本、音频和视频呈现指导健身说明。</t>
  </si>
  <si>
    <t>增强现实体验的虚拟品酒和导游</t>
  </si>
  <si>
    <t>CN113312990A</t>
  </si>
  <si>
    <t>本发明实施例公开了一种基于光学字符识别的电竞比赛赛况实时输出方法，包括：对直播视频源进行解析并以n为时间间隔获取视频的单帧图像；对比赛画面进行场景分类，识别所述单帧图像所在场景；根据所述单帧图像所在场景确定需要获取的文字关键数据区域并进行裁剪；对所述文字关键区域图像进行形态学处理；对比赛画面文字关键区域图像进行内容预判；对比赛关键区域的文字进行裁剪分割，提取出单个字符；使用卷积神经网络对所述单个字符进行识别；对识别输出的数据进行纠错并输出。采用本发明，为电竞行业提供快速，高准确率，稳定，自动化的电竞比赛数据获取方法，有利于对电竞比赛进行追踪报导和分析。</t>
  </si>
  <si>
    <t>一种基于光学字符识别的电竞比赛赛况实时输出方法</t>
  </si>
  <si>
    <t>CN306885839S</t>
  </si>
  <si>
    <t>1.本外观设计产品的名称：带篮球运球投篮训练及考试图形用户界面的显示屏幕面板。
 2.本外观设计产品的用途：用于运行程序及显示。
 3.本外观设计产品的设计要点：在于显示屏幕显示的图形用户界面内容。
 4.最能表明设计要点的图片或照片：主视图。
 5.图形用户界面的用途：用于人机交互和实现屏幕面板的功能，并且可以用于显示信息，显示篮球运球投篮成绩的图片、视频、报告，以及篮球运球投篮项目的教学指导、成绩对比、成绩列表、小组数据、个人数据、课堂报表、成绩标准、学生请假、以及整体训练的实时数据。
 6.图形用户界面的人机交互方式：可以通过滚动图形用户界面或轻击图形用户界面中的图标动态地载入后续的图形用户界面或运行应用程序。
 7.图形用户界面的变化状态说明：主视图展示"当前测试"页面，点击"开始测试"按钮，界面跳转至变化状态图1，展示学生测试时实时走位；变化状态图2为学生测试完后的界面，界面左侧显示学生用时、分数、等第数据信息，图片展示出学生的走位信息；点击图片下方"报告"按钮，界面跳转至变化状态图3，展示学生测试综合数据展示；点击右侧导航栏"目录1"按钮，界面跳转至变化状态图4，展示"教学指导"页面，可在该页面学习运动项目相关知识；点击导航栏"目录3"按钮，界面跳转至变化状态图5，展示"成绩对比"，包括个人成绩对比和两人成绩对比；点击导航栏"目录4"按钮，界面跳转至变化状态图6，展示"成绩列表"，所有学生成绩详情；点击导航栏"目录5"按钮，界面跳转至变化状态图7，展示"小组数据"，各小组分组测试的测试强度；点击导航栏"目录6"按钮，界面跳转至变化状态图8，展示"个人数据"，所有学生的成绩图片、视频、报告；点击导航栏"目录7"按钮，界面跳转至变化状态图9，展示"课堂报表"，显示学生测试综合数据；点击导航栏"目录8"按钮，界面跳转至变化状态图10，展示"成绩标准"，可查看当前成绩标准；点击导航栏"目录9"按钮，界面跳转至变化状态图11，展示"学生请假"，请假的学生不计入课堂报表数据。
 8.该显示屏幕面板和图形用户界面可以应用于具有显示屏幕面板的电脑、平板电脑、触控一体机、电视。
 9.显示屏幕面板为惯常设计，故省略其他视图。</t>
  </si>
  <si>
    <t>带篮球运球投篮训练及考试图形用户界面的显示屏幕面板</t>
  </si>
  <si>
    <t>CN113230644B</t>
  </si>
  <si>
    <t>本发明公开了一种象棋人工智能防作弊方法。它具体包括如下步骤：线上用户以在棋力评测场的对局棋谱作为数据统计标的，线下用户以棋手线下公开比赛棋谱作为数据统计标的，对棋谱的每个局面进行象棋旋风引擎和DTM残局库打分，最终给出AI局势图的打分序列；计算每步棋和每盘棋的AI吻合度；统计用户全部有效对局进行胜率激励后的AI吻合度的算数平均值，得出棋力；通过上述算法得出的棋力对象棋AI的棋力区间进行比较来判定是否为软件作弊；同时对用户最近10/25/50盘有效对局的棋力进行计算，辅以用户举报，判定是否人机作弊。本发明的有益效果是：依托象棋AI技术，对待判定用户的棋谱进行综合数据分析，比对棋谱和AI的吻合度，自动判定是否为作弊用户。</t>
  </si>
  <si>
    <t>一种象棋人工智能防作弊方法</t>
  </si>
  <si>
    <t>CN306773931S</t>
  </si>
  <si>
    <t>1.本外观设计产品的名称：智能健身镜。
 2.本外观设计产品的用途：本外观设计产品用于一种健身领域的可以人机交互的智能镜子。
 3.本外观设计产品的设计要点：在于产品的形状。
 4.最能表明设计要点的图片或照片：立体图。</t>
  </si>
  <si>
    <t>HK40040720A</t>
  </si>
  <si>
    <t>可以基于机器学习算法来确定人的跌倒风险。可以使用跌倒风险信息来通知该人和/或第三方监视人员(例如，医生、理疗师、私人教练等)该人的跌倒风险。该信息可用于监视和追踪可能受健康状况、生活方式或医疗中的改变所影响的跌倒风险的变化。此外，跌倒风险分类可以帮助个人在他们跌倒风险更高的日子里更加小心。可以使用机器学习算法来估计跌倒风险，所述机器学习算法通过计算基本和高级间断平衡模型(PEM)稳定性度量来处理来自负载传感器的数据。</t>
  </si>
  <si>
    <t>使用机器学习算法识别跌倒风险</t>
  </si>
  <si>
    <t>CN306885126S</t>
  </si>
  <si>
    <t>1.本外观设计产品的名称：带录音及数据监测图形用户界面的手环。
 2.本外观设计产品的用途：用于显示图像。
 3.本外观设计产品的设计要点：在于图形用户界面。
 4.最能表明设计要点的图片或照片：主视图。
 5.后视图为惯常设计，故省略，省略后视图;左视图为惯常设计，故省略，省略左视图;右视图为惯常设计，故省略，省略右视图;俯视图为惯常设计，故省略，省略俯视图;仰视图为惯常设计，故省略，省略仰视图。
 6.图形用户界面的用途：用于录音，并可进行多种数据的监测。
 7.图形用户界面的人机交互方式：主视图的顶部显示有蓝牙连接状态、通知气泡、电池电量显示栏，在主视图中部有时间、日期以及步数信息栏，上滑主视图跳转至变化状态图1；变化状态图1中显示有“录音”标题以及“录音”按钮，点击“录音”按钮跳转至变化状态图2；变化状态图2中显示有“录音中…”提示文字、录音时长以及“暂停”按钮，点击“暂停”按钮跳转至变化状态图3；变化状态图3中有“完成”和“继续”按钮，点击“完成”按钮可完成录音，点击“继续”按钮可继续录音；上滑变化状态图2跳转至变化状态图4，变化状态图4中显示有“锻炼”标题以及当天所消耗的“热量”、“步数”以及“距离”信息，点击变化状态图4的界面跳转至变化状态图5；变化状态图5中显示有“户外步行”以及“户外跑步”按钮，点击可选择相应的运动方式并跳转至变化状态图6；变化状态图6中显示有当前的心率、运动时间，向右滑动跳转至变化状态图7；变化状态图7中显示有“已暂停”标题以及控制按钮，在控制按钮下方显示有提示信息，长按控制按钮跳转至变化状态图8；变化状态图8中显示有“结束”标题以及“结束”按钮，其中，“结束”按钮外圈按照顺时针或逆时针的形式显示有长按时间的倒计时，长按时间达到设定的阈值后，跳转至变化状态图9；变化状态图9中显示有“运动报告”标题以及详细的运动报告；上滑变化状态图4跳转至变化状态图10；变化状态图10显示有“睡眠”标题以及最近一次睡眠的时长信息，点击变化状态图10跳转至变化状态图11；变化状态图11中显示有最近一次睡眠的详细信息；上滑变化状态图10跳转至变化状态图12，变化状态图12中显示有“心率”标题以及最近一次测量的心率值，点击变化状态图12跳转至变化状态图13；变化状态图13中显示有“心率”标题以及“正在测量”文字内容，测量完毕后跳转至变化状态图14；变化状态图14中显示有本次心率检测的心率值以及提示信息；上滑变化状态图12跳转至变化状态图15，变化状态图15中显示有“更多”标题，点击变化状态图15跳转至变化状态图16；变化状态图16中显示有“更换表盘”、“秒表”、“闹钟”以及“亮度调节”等按钮，点击可进入相应的功能。</t>
  </si>
  <si>
    <t>带录音及数据监测图形用户界面的手环</t>
  </si>
  <si>
    <t>CN306893537S</t>
  </si>
  <si>
    <t>1.本外观设计产品的名称：带足球绕杆射门训练及考试图形用户界面的显示屏幕面板。
 2.本外观设计产品的用途：用于运行程序及显示。
 3.本外观设计产品的设计要点：在于显示屏幕显示的图形用户界面内容。
 4.最能表明设计要点的图片或照片：主视图。
 5.图形用户界面的用途：用于人机交互和实现屏幕面板的功能，并且可以用于显示信息。
 6.图形用户界面的人机交互方式：可以通过滚动图形用户界面或轻击图形用户界面中的图标动态地载入后续的图形用户界面或运行应用程序。
 7.图形用户界面的变化状态说明：主视图展示"当前测试"页面，点击"开始测试"按钮，界面跳转至变化状态图1，展示学生测试时实时走位；变化状态图2为学生测试完后的界面，界面左侧显示学生用时、分数、等数据信息，图片展示出学生的走位信息；点击图片下方"报告"按钮，界面跳转至变化状态图3，展示学生测试综合数据展示；点击右侧导航栏"目录1"按钮，界面跳转至变化状态图4，展示"教学指导"页面，可在该页面学习运动项目相关知识；点击导航栏"目录3"按钮，界面跳转至变化状态图5，展示"成绩对比"，包括个人成绩对比和两人成绩对比；点击导航栏"目录4"按钮，界面跳转至变化状态图6，展示"成绩列表"，所有学生成绩详情；点击导航栏"目录5"按钮，界面跳转至变化状态图7，展示"小组数据"，各小组分组测试的测试强度；点击导航栏"目录6"按钮，界面跳转至变化状态图8，展示"个人数据"，所有学生的成绩定位、图片、视频、报告；点击导航栏"目录7"按钮，界面跳转至变化状态图9，展示"课堂报表"，显示学生测试综合数据；点击导航栏"目录8"按钮，界面跳转至变化状态图10，展示"成绩标准"，可查看当前成绩标准；点击导航栏"目录9"按钮，界面跳转至变化状态图11，展示"学生请假"，请假的学生不计入课堂报表数据。
 8.该显示屏幕面板和图形用户界面可以应用于具有显示屏幕面板的电脑、平板电脑、触控一体机、电视；显示屏幕面板为惯常设计，故省略其他视图。</t>
  </si>
  <si>
    <t>带足球绕杆射门训练及考试图形用户界面的显示屏幕面板</t>
  </si>
  <si>
    <t>US20210379148A1</t>
  </si>
  <si>
    <t>研究了在骨骼肌中过表达 Crym 蛋白的转基因小鼠 (Crym tg)。 肌肉功能,钙 2+ 瞬态、收缩力、疲劳和在跑步机或轮子上跑步没有显着改变,血清 T 3 和促甲状腺激素水平不受影响,尽管 T 3 胫骨前肌 (TA) 肌肉水平升高,血清 T 4 减少了。 Crym tg 小鼠的呼吸交换率降低,对应于脂肪利用率增加 13.7%。 雌性 Crym tg 小鼠比高脂肪或高简单碳水化合物饮食的对照组体重增加得更快。 机器学习算法揭示了 Crym tg 和对照比目鱼肌纤维之间的形态差异。 RNA-seq 和基因本体富集分析显示向与较慢肌肉功能和 β-氧化相关的基因转变。 因此,高水平的 μ-晶状体蛋白与更大的脂肪代谢有关。 这些数据表明 Crym 和 μ-晶状体蛋白可用作糖尿病和肥胖症的治疗方式。</t>
  </si>
  <si>
    <t>使用crym调节肌肉生理和能量代谢</t>
  </si>
  <si>
    <t>US20220001294A1</t>
  </si>
  <si>
    <t>一种用于判断或确定在体育比赛中由至少一个参赛者或赛车手越过的线上的位置或姿势和/或时间的系统,包括至少一个用于在中间线或终点线时拍照的装置。 比赛进行时,所拍摄的照片完成类型的图像定义了系统的输入,以及连接到摄影设备的处理单元以将接收到的照片完成图像与使用人工智能的算法的处理相结合,以自动将一个或多个光标放置在 照片完成图像。</t>
  </si>
  <si>
    <t>用于判断或确定体育比赛交叉线上位置的系统及其激活​​方法</t>
  </si>
  <si>
    <t>CN113116346A</t>
  </si>
  <si>
    <t>本发明涉及生理健康检测技术领域，尤其涉及一种基于物联网的体育运动生理健康检测系统，包括服务器终端、主手环和多个子手环，子手环可读取学生校园IC卡内存储的学生信息；子手环用于检测学生血氧饱和度、血糖、体表温度以及定位信息；当子手环检测学生的实时血氧饱和度、血糖或者体表温度过低，则子手环通过服务器终端向主手环发送报警信息；主手环还用于设定电子围栏通过给服务器终端传递给子手环；当学生佩戴子手环出现在电子围栏外，则子手环通过服务器终端发送提示信息给主手环。本基于物联网的体育运动生理健康检测系统能够监测学生在体育过程中的生理状态，及时发现学生在运动过程中发生身体不适，并发出警报信息。</t>
  </si>
  <si>
    <t>一种基于物联网的体育运动生理健康检测系统</t>
  </si>
  <si>
    <t>CN113256898A</t>
  </si>
  <si>
    <t>本发明涉及一种基于物联网的体育器材管理系统，包括服务器终端、学生校园ic卡以及多个体育器材管理柜；体育器材管理柜包括柜体，柜体上开设有存储格，存储格上连接有柜门；柜门上设有RFID读写器、触摸屏和电子锁，存储格上设有锁盒；柜体内设有控制器、无线通信模块和电源适配器；存储格下底面设有导光板和薄膜压力传感器；存储格内设有紫外线LED灯；存储格的敞开口侧边沿设有轻触开关；各电子元器件间配合连接。学生校园ic卡刷卡后，服务器终端验证学生身份，并判断学生在体育课时间内，则向体育器材管理柜发出开锁命令。学生在上体育课期间才允许借用体育器材，在使用者将体育器材放回本体育器材管理柜时，对体育器材进行消毒。</t>
  </si>
  <si>
    <t>一种基于物联网的体育器材管理系统</t>
  </si>
  <si>
    <t>CN113069740B</t>
  </si>
  <si>
    <t>本发明公开了一种基于计算机视觉判断的羽毛球自动捡拾机器人，包括移动小车、捡球装置、校正装置以及收集装置，所述车体的前侧固定连接有用于收集羽毛球位置信息的摄像头，所述车体上还安装有控制器以及智能避障系统，本发明通过摄像头采集数据，识别到场地上的球类情况，识别羽毛球后，移动小车朝着识别到的羽毛球方向移动，并且通过吹风管吹动羽毛球的裙带，致使羽毛球的头部先进入开口内，从而可使羽毛球的头部被夹持件夹住，并且通过提升件将羽毛球提取至车体内部，从而实现了自动捡球操作，避免人工收集，省时省力。</t>
  </si>
  <si>
    <t>一种基于计算机视觉判断的羽毛球自动捡拾机器人</t>
  </si>
  <si>
    <t>CN306862544S</t>
  </si>
  <si>
    <t>1.本外观设计产品的名称：带排球原地垫球训练及考试图形用户界面的显示屏幕面板。
 2.本外观设计产品的用途：用于运行程序及显示。
 3.本外观设计产品的设计要点：在于显示屏幕显示的图形用户界面内容。
 4.最能表明设计要点的图片或照片：主视图。
 5.图形用户界面的用途：用于人机交互和实现屏幕面板的功能，并且可以用于显示信息，显示排球原地垫球成绩的图片、视频、报告，以及排球原地垫球项目的教学指导、成绩对比、成绩列表、小组数据、个人数据、课堂报表、成绩标准、学生请假、以及整体训练的实时数据。
 6.图形用户界面的人机交互方式：可以通过滚动图形用户界面或轻击图形用户界面中的图标动态地载入后续的图形用户界面或运行应用程序。
 7.图形用户界面的变化状态说明：主视图展示"当前测试"页面，展示学生测试时的图片，界面左侧显示学生成绩、分数、等第数据；点击图片下方"视频"按钮，界面跳转至变化状态图1，可播放练习或测试时视频；点击右侧导航栏"目录1"按钮，界面跳转至变化状态图2，展示"教学指导"页面，可在该页面学习排球原地垫球项目相关知识；点击导航栏"目录3"按钮，界面跳转至变化状态图3，展示"成绩对比"，包括个人成绩对比和两人成绩对比；点击导航栏"目录4"按钮，界面跳转至变化状态图4，展示"成绩列表"，所有学生成绩详情；点击导航栏"目录5"按钮，界面跳转至变化状态图5，展示"小组数据"，各小组分组测试的测试强度；点击导航栏"目录6"按钮，界面跳转至变化状态图6，展示"个人数据"，所有学生的成绩图片、视频、报告；点击导航栏"目录7"按钮，界面跳转至变化状态图7，展示"课堂报表"，显示学生测试综合数据,；点击导航栏"目录8"按钮，界面跳转至变化状态图8，展示"成绩标准"，可查看当前成绩标准；点击导航栏"目录9"按钮，界面跳转至变化状态图9，展示"学生请假"，请假的学生不计入课堂报表数据。
 8.该显示屏幕面板和图形用户界面可以应用于具有显示屏幕面板的电脑、平板电脑、触控一体机、电视；9.显示屏幕面板为惯常设计，故省略其他视图。</t>
  </si>
  <si>
    <t>带排球原地垫球训练及考试图形用户界面的显示屏幕面板</t>
  </si>
  <si>
    <t>CN215064981U</t>
  </si>
  <si>
    <t>本实用新型提供一种打击力测试装置。本实用新型包括主机和打击力测试平台，主机包括中部安装板，打击力测试平台包括打击平台和与其相连的压力传感器、信号放大装置，中部安装板上设置有主控模块和与其相连的降压模块、语音模块、功放模块和电源模块，电源模块为整个系统供电，语音模块用于将主控模块传输的数据转换为声音频率信号，并将其传输给功放模块，将测得的实际打击力数据播报。该装置采用语音模块进行打击力结果实时播报，提高了用户的人机交互体验，采用集成一体化设计，使用简单。可用于对人体打击力的测试，尤其是对盲人学生的教学工作，引导盲生进行体育锻炼，促进盲生身心发展、走向社会。还可用于其他对人体打击力的测试场景。</t>
  </si>
  <si>
    <t>一种打击力测试装置</t>
  </si>
  <si>
    <t>CN113425254B</t>
  </si>
  <si>
    <t>本发明公开了一种基于混合数据输入的体脂率预测模型的青年男性体脂率预测方法，通过建立基于混合数据输入的卷积神经网络体脂率预测模型，利用裸身图像和BMI数据预测体脂率，解决以往体脂率预测模型无法同时适用于健身群体和非健身群体问题。结果表明，构建的混合数据输入的CNN回归模型预测精确度优于单纯用BMI作为自变量构建的线性回归模型或ANN回归模型，适用于青年男性健身群体和非健身群体，具有较高的实用性。</t>
  </si>
  <si>
    <t>基于混合数据输入的体脂率预测模型的青年男性体脂率预测方法</t>
  </si>
  <si>
    <t>KR1020220152652A</t>
  </si>
  <si>
    <t>提供了一种基于使用人工智能的用户锻炼数据的教练员匹配系统。 根据本发明的各种实施例的使用人工智能的基于用户运动数据的教练匹配系统匹配教练和家庭训练客户,使得家庭训练客户支付使用费,并且付费/免费可以提供一个平台,向家庭培训客户提供讲座内容,并将家庭培训客户支付的部分金额支付给培训师和健身公司。</t>
  </si>
  <si>
    <t>基于人工智能的用户运动数据教练匹配系统</t>
  </si>
  <si>
    <t>CN113112503B</t>
  </si>
  <si>
    <t>本发明公开了一种基于机器视觉实现药品标签自动检测的方法，所述方法包括图像采集、标签定位、标签内容识别和判断步骤，所述的标签内容识别和判断步骤包括标签颜色的识别和判断、标签不变内容的识别和判断、标签可变内容的识别和判断，其中，关于标签可变内容的识别和判断的具体操作包括制作先验模板、对可变区域图像进行二值化分割处理、采用神经网络进行字符识别并用softmax分类器输出识别结果，然后根据识别结果与人工预先输入的比对内容是否一致进行检测结果的判断和输出。采用本发明所述方法，既可实现对药品标签的颜色、外观缺陷及文字内容的自动识别、检测和判断，且具有自动化程度高、检测高速和精度高等优点。</t>
  </si>
  <si>
    <t>一种基于机器视觉实现药品标签自动检测的方法</t>
  </si>
  <si>
    <t>CN113139660A</t>
  </si>
  <si>
    <t>本公开提供了一种模型推理方法、装置、电子设备及存储介质，涉及模型推理领域。具体实现方案为：使用应用容器引擎镜像启动预置的人工智能模型；根据输入数据的类型和推理需求，在该预置的人工智能模型中确定多个目标模型；设置该多个目标模型的优先级；根据该优先级运行该多个目标模型进行推理，得到推理结果。本公开实施例优化了推理过程的整体操作，提升模型推理效率，基于不同的场景和具体推理需求，灵活选择用于推理的模型，并自动设置推理过程中模型执行的优先级，使得整个模型推理过程更加精准、高效。</t>
  </si>
  <si>
    <t>模型推理方法、装置、电子设备及存储介质</t>
  </si>
  <si>
    <t>CN113222805B</t>
  </si>
  <si>
    <t>本发明公开了一种快速高准确度NAO型足球机器人视觉处理方法，具体实现步骤如下：首先需要运行BHuman机器人驱动，同时同步运行软件系统，进行与机器人之间图像信息的交传，然后通过驱动核心算法处理处理库中良好封装的模块化算法进行对于图像的计算和处理；对于测试模式，首先启动系统守护进程，随后调用GUI图像化调试界面进行图像的显示与信息的输出，然后驱动良好封装的核心算法处理模块进行对于图像的计算和处理。利用计算机视觉，指令集优化技术，对图像信号进行快速的流水线处理及运算，从而实现高性能机器人视觉处理算法流程，本视觉处理方法所实现的软件系统可以简单快速的应用在NAO机器人上，并大幅度提高机器人足球比赛视觉处理的准确性和效率。</t>
  </si>
  <si>
    <t>一种快速高准确度NAO型足球机器人视觉处理方法</t>
  </si>
  <si>
    <t>IN202141020704A</t>
  </si>
  <si>
    <t>有罹患某些生活方式疾病(例如糖尿病、心血管疾病和中风)风险的人可以通过各种行为、临床或社会计划(例如卡路里计数应用程序、健身追踪器、减肥支持团体、 和临床护理。 然而,许多人在完成这些计划时遇到了困难,最终无法恢复健康。 个人的健康可以取决于各种行为、遗传、社会和其他因素。 特别是,饮食、锻炼、睡眠和压力等行为和社会因素是导致心脏病、中风和 2 型糖尿病等所谓生活方式疾病扩大的重要因素。 对于有患此类疾病风险的人来说,通过减轻压力、多睡觉、吃得更好和定期锻炼来降低风险的普遍概念可能是众所周知的。 本发明有助于确定与不同传感器数据和机器学习单元相关联的多个膳食血糖值。 该系统根据感知的生理参数确定用户的健康指标。 该健康指标非常有效地管理健康建议并向用户传达基于用户对建议的顺从性的反馈。</t>
  </si>
  <si>
    <t>基于机器学习的生活方式指导系统监测生活方式疾病的健康风险</t>
  </si>
  <si>
    <t>IN202141020582A</t>
  </si>
  <si>
    <t>使用深度学习技术的自动盐分割包括对地震图像数据中的盐沉积物分割问题。 更具体地说,本发明涉及几种新的深度学习技术,它们合并到一个神经网络中,在上述比赛中排名第 27 位(前 1%)。 盐沉积物的质地相当混乱,盐分割问题很复杂,现在仍然非常重要。 解决这个问题的第一种方法是由地球物理学专家手动解释地震图像。 多年来,已经开发了一些数学方法来自动化这个过程,但是这些方法的准确性,特别是在一些复杂的情况下,是不够的,因此提出了一些混合方法。 此外,四维(或延时)地震勘测还可以包括在三维勘测期间多次接收的地震信息。 使用在地下区域独一无二的实例中获得的独特地震图片。</t>
  </si>
  <si>
    <t>使用深度学习技术的自动盐分割</t>
  </si>
  <si>
    <t>CN306862541S</t>
  </si>
  <si>
    <t>1.本外观设计产品的名称：带篮球绕杆训练及考试图形用户界面的显示屏幕面板。
 2.本外观设计产品的用途：用于运行程序及显示。
 3.本外观设计产品的设计要点：在于显示屏幕显示的图形用户界面内容。
 4.最能表明设计要点的图片或照片：主视图。
 5.图形用户界面的用途：用于人机交互和实现屏幕面板的功能，并且可以用于显示信息，显示篮球绕杆训练或测试的图片、视频、报告，以及篮球绕杆训练项目的教学指导、成绩对比、成绩列表、小组数据、个人数据、课堂报表、成绩标准、学生请假、以及整体训练的实时数据。
 6.图形用户界面的人机交互方式：可以通过滚动图形用户界面或轻击图形用户界面中的图标动态地载入后续的图形用户界面或运行应用程序。
 7.图形用户界面的变化状态说明：主视图展示“当前测试”页面，展示学生测试时实时走位及用时信息，点击“开始测试”按钮，开始测试；界面跳转至变化状态图1，展示学生测试时走位；测试完成后界面跳转至变化状态图2，界面左侧显示学生用时、分数、等第数据信息，图片展示出学生的走位信息；点击图片下方“报告”按钮，界面跳转至变化状态图3，展示学生测试综合数据展示；点击右侧导航栏“目录1”按钮，界面跳转至变化状态图4，展示“教学指导”页面，播放教学指导视频，可在该页面学习篮球绕杆项目相关知识及热身相关知识；点击导航栏“目录3”按钮，界面跳转至变化状态图5，展示“成绩对比”，包括个人成绩对比和两人成绩对比；点击导航栏“目录4”按钮，界面跳转至变化状态图,6，展示“成绩列表”，所有学生成绩详情；点击导航栏“目录5”按钮，界面跳转至变化状态图7，展示“小组数据”，各小组分组测试的测试强度；点击导航栏“目录6”按钮，界面跳转至变化状态图8，展示“个人数据”，所有学生的成绩图片、视频、报告；点击导航栏“目录7”按钮，界面跳转至变化状态图9，展示“课堂报表”，显示学生测试综合数据；点击导航栏“目录8”按钮，界面跳转至变化状态图10，展示“成绩标准”，可查看当前成绩标准；点击导航栏“目录9”按钮，界面跳转至变化状态图11，展示“学生请假”，请假的学生不计入课堂报表数据。
 8.该显示屏幕面板和图形用户界面可以应用于具有显示屏幕面板的各种电子装置，例如手机、电脑、平板电脑、便携式电脑、台式电脑、电视；显示屏幕面板为惯常设计，故省略其他视图。</t>
  </si>
  <si>
    <t>带篮球绕杆训练及考试图形用户界面的显示屏幕面板</t>
  </si>
  <si>
    <t>US20210350722A1</t>
  </si>
  <si>
    <t>提供了一种语言学习平台,包括用户界面和语音识别引擎。 视频库存储并上传多个交互式视频,以帮助语言学习者学习非母语。 每个交互式视频包括将由语言学习者执行的多个挑战,其中语音识别引擎确定语言学习者是否成功地执行了至少一个挑战。 辅导工具通过用户界面为语言学习者提供对一个或多个讲座、一个或多个小组会议或个性化辅导的访问,以帮助语言学习者学习非母语。 辅导工具利用一名或多名辅导员/教练与语言学习者互动以学习非母语,并且一名或多名辅导员/教练使用语音识别工具来提供语言学习者进度的实时评估。</t>
  </si>
  <si>
    <t>一种交互式语言学习平台的系统和方法</t>
  </si>
  <si>
    <t>WO2021226211A1</t>
  </si>
  <si>
    <t>提供了一种语言学习平台,包括用户界面和语音识别引擎。 视频库存储并上传多个交互式视频以帮助语言学习者学习非母语。 每个交互式视频包括将由语言学习者执行的多个挑战,其中语音识别引擎确定语言学习者是否成功地执行了至少一个挑战。 辅导工具通过用户界面为语言学习者提供一个或多个讲座、一个或多个小组会议或个性化辅导,以帮助语言学习者学习非母语。辅导工具利用一名或多名辅导员/教练 与语言学习者互动以学习非母语,并且一名或多名辅导员/教练使用语音识别工具对语言学习者的进度进行实时评估。</t>
  </si>
  <si>
    <t>US11451842B2</t>
  </si>
  <si>
    <t>IN202141020283A</t>
  </si>
  <si>
    <t>在当今世界,无论是白天还是黑夜,女性都感到独自旅行不安全。 如今,无论年龄大小,女性都会受到男性的攻击。 妇女面临着各种问题,包括抢劫/盗窃、*、猥亵、前夕戏弄和各种其他困难。 困扰每个女孩的唯一想法是,即使在零星时间,她们也可以在街上自由走动,而不必担心自己的安全。 这个项目关注女性的安全,让她们永远不会感到无助。 该系统由GSM、GPS、存储卡、震动电路、蜂鸣器、摄像头、ESP 32模块等各种模块组成。 今天有很多关于女性的案例。 现在是女性需要改变的时候了。 该项目基于女性感到受到保护的女性安全。 本文介绍了专为女性打造的安全电子夹克。 在当今的汽车、公共汽车和自动人力车等公共交通工具中,女性受到司机的骚扰、绑架和骚扰。 在每个领域都有女性的特殊影响,如体育、舞蹈、教育、商业,还有政治。 女性在各个领域都处于领先地位。 印度的女孩真的安全吗? 我们总是得到答案。因此,实施的电子系统安装在夹克中,其中有 GPS、GSM、相机、冲击电路、蜂鸣器、存储卡、振动传感器,它们与 ESP 32 板接口。 该设备借助全球定位系统 (GPS) 帮助处于危险中的女性轻松定位。 还使用全球移动通信系统 (GSM) 发出消息和呼叫以提醒他们各自的紧急联系人,这些联系人已存储在微控制器中。 因此,当任何外出旅行的女性对周围环境感到不安全时,该设备会派上用场。</t>
  </si>
  <si>
    <t>使用物联网实施女性安全电子夹克</t>
  </si>
  <si>
    <t>CN306885835S</t>
  </si>
  <si>
    <t>1.本外观设计产品的名称：显示屏幕面板的增加网页视窗图形用户界面。
 2.本外观设计产品的用途：用于运行程序、显示信息。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7.图形用户界面的用途：用于在同一界面中增加网页视窗及调整视窗位置、大小操作的图形用户界面。
 8.图形用户界面的人机交互方式：设计1光标的移动和点击。
 设计2射线的移动和点击。
 9.图形用户界面的变化状态说明：当使用者点击各设计主视图中的下方的网页添加按钮处进入界面变化状态图；在各设计界面变化状态图中的网页添加按钮处弹出新建网页视窗，使用者可以对新建网页视窗进行拖拽以及调整视窗的大小。
 10.该显示屏幕面板及图形用户界面应用于计算机、笔记本电脑、平板电脑、手机、智能手机、智能眼镜、虚拟现实眼镜、增强现实眼镜、混合现实眼镜、手表、智能手表、健身监视器、头戴式耳机、智能音箱、电视、机顶盒。</t>
  </si>
  <si>
    <t>显示屏幕面板的增加网页视窗图形用户界面</t>
  </si>
  <si>
    <t>CN306893523S</t>
  </si>
  <si>
    <t>1.本外观设计产品的名称：显示屏幕面板的网页名称搜索图形用户界面。
 2.本外观设计产品的用途：用于运行程序、显示信息。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7.图形用户界面的用途：用于点击网页地址后进行搜索操作的图形用户界面。
 8.图形用户界面的人机交互方式：光标、射线的移动，点击及点击控制手柄。
 9.图形用户界面的变化状态说明：各设计中当使用者将主视图中的光标或射线移动到界面中的网页名称区域进入界面变化状态图1；界面变化状态图1中网页名称区域变为搜索框区域；点击界面变化状态图1中的搜索框区域进入界面变化状态图2，在界面变化状态图2中提示输入网址，输入网址后点击控制手柄上的确定按钮进入界面变化状态图3，界面变化状态图3显示输入网址的网页。
 10.该显示屏幕面板及图形用户界面应用于计算机、笔记本电脑、平板电脑、手机、智能手机、智能眼镜、虚拟现实眼镜、增强现实眼镜、混合现实眼镜、手表、智能手表、健身监视器、头戴式耳机、智能音箱、电视、机顶盒。</t>
  </si>
  <si>
    <t>显示屏幕面板的网页名称搜索图形用户界面</t>
  </si>
  <si>
    <t>CN306915526S</t>
  </si>
  <si>
    <t>1.本外观设计产品的名称：显示屏幕面板的网页搜索操作图形用户界面。
 2.本外观设计产品的用途：用于运行程序、显示信息。
 3.本外观设计产品的设计要点：在于屏幕中图形用户界面的界面内容。
 4.最能表明设计要点的图片或照片：主视图。
 5.后视图、左视图、右视图、俯视图、仰视图无设计要点，省略后视图、左视图、右视图、俯视图、仰视图。
 6.图形用户界面的用途：用于网页搜索后出现新页面操作的图形用户界面。
 7.图形用户界面的人机交互方式：射线的移动、点击及点击控制手柄。
 8.图形用户界面的变化状态说明：当使用者将主视图中的射线移动到界面中的搜索框中进入界面变化状态图1；当点击界面变化状态图1中的搜索框区域中进入界面变化状态图2；在界面变化状态图2的搜索框中输入网址进入界面变化状态图3；在界面变化状态图3的搜索框中输入网址点击控制手柄上的确定按钮后出现新网页向上翻动并进入界面变化状态图4；界面变化状态图5为显示的新网页继续向上翻动的界面；界面变化状态图6为显示的新网页最终界面。
 9.该显示屏幕面板及图形用户界面应用于计算机、笔记本电脑、平板电脑、手机、智能手机、智能眼镜、虚拟现实眼镜、增强现实眼镜、混合现实眼镜、手表、智能手表、健身监视器、头戴式耳机、智能音箱、电视、机顶盒。</t>
  </si>
  <si>
    <t>显示屏幕面板的网页搜索操作图形用户界面</t>
  </si>
  <si>
    <t>CN307083102S</t>
  </si>
  <si>
    <t>1.本外观设计产品的名称：显示屏幕面板的保存网页图标图形用户界面。
 2.本外观设计产品的用途：用于显示图形用户界面。
 3.本外观设计产品的设计要点：在于屏幕中图形用户界面的界面内容。
 4.最能表明设计要点的图片或照片：主视图。
 5.后视图、左视图、右视图、俯视图、仰视图无设计要点，省略后视图、左视图、右视图、俯视图、仰视图。
 6.图形用户界面的用途：用于将网页收藏做为网页图标保存操作的图形用户界面。
 7.图形用户界面的人机交互方式：射线的移动及点击。
 8.图形用户界面的变化状态说明：当使用者将主视图中的射线移动到该网页的网页图标区域中进入界面变化状态图1；界面变化状态图1中的该网页的网页图标区域变为网页收藏操作区域；点击网页收藏操作区域的收藏按钮时进入界面变化状态图2；将射线移动到关闭按钮进入界面变化状态图3；点击关闭按钮进入界面变化状态图4；界面变化状态图4中显示保存的网页图标。
 9.该显示屏幕面板及图形用户界面应用于电子设备，即计算机、笔记本电脑、平板电脑、手机、智能手机、智能眼镜、虚拟现实眼镜、增强现实眼镜、混合现实眼镜、手表、智能手表、健身监视器、头戴式耳机、个人数字助理、智能音箱、电视、机顶盒。</t>
  </si>
  <si>
    <t>显示屏幕面板的保存网页图标图形用户界面</t>
  </si>
  <si>
    <t>CN307125584S</t>
  </si>
  <si>
    <t>1.本外观设计产品的名称：显示屏幕面板的保存网页图标图形用户界面。
 2.本外观设计产品的用途：用于显示图形用户界面。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7.图形用户界面的用途：用于将网页收藏做为网页图标保存操作的图形用户界面。
 8.图形用户界面的人机交互方式：射线的移动及点击。
 9.图形用户界面的变化状态说明：在设计1中当使用者将主视图中的射线移动到界面上方横条状的网页图标区域中进入界面变化状态图1；界面变化状态图1中的界面上方横条状的网页图标区域变为网页收藏操作区域；点击界面上方横条状的网页收藏操作区域的收藏按钮时进入界面变化状态图2；将射线移动到界面上方横条状的网页收藏操作区域中的关闭按钮进入界面变化状态图3；点击关闭按钮进入界面变化状态图4；界面变化状态图4中显示保存的网页图标。
 在设计2中当使用者将主视图中的射线移动到界面上方横条状的网页图标区域中进入界面变化状态图1；界面变化状态图1中的界面上方横条状的网页图标区域变为网页收藏操作区域；点击界面上方横条状的网页收藏操作区域的收藏按钮时进入界面变化状态图2；点击与电子设备电连接的手柄上的home按键进入界面变化状态图3，在界面变化状态图3中同时显示收藏的网页界面和保存网页图标的home界面。
 10.该显示屏幕面板及图形用户界面应用于电子设备，即计算机、笔记本电脑、平板电脑、手机、智能手机、智能眼镜、虚拟现实眼镜、增强现实眼镜、混合现实眼镜、手表、智能手表、健身监视器、头戴式耳机、个人数字助理、智能音箱、电视、机顶盒。</t>
  </si>
  <si>
    <t>CN306832235S</t>
  </si>
  <si>
    <t>1.本外观设计产品的名称：显示屏幕面板的投屏模式切换图形用户界面。
 2.本外观设计产品的用途：用于运行程序、显示信息。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7.图形用户界面的用途：图形用户界面用于投屏模式切换的快捷操作。
 8.图形用户界面的人机交互方式：点击各设计中按钮切换投屏的模式。
 9.该显示屏幕面板及图形用户界面应用于电子设备，即计算机、笔记本电脑、显示装置、通讯设备、平板电脑、手机、智能手机、可穿戴设备、智能眼镜、虚拟现实眼镜、增强现实眼镜、混合现实眼镜、手表、智能手表、健身监视器、头戴式耳机、智能音箱、电视、机顶盒。</t>
  </si>
  <si>
    <t>显示屏幕面板的投屏模式切换图形用户界面</t>
  </si>
  <si>
    <t>CN306942238S</t>
  </si>
  <si>
    <t>1.本外观设计产品的名称：显示屏幕面板的投屏模式操作图形用户界面。
 2.本外观设计产品的用途：用于运行程序、显示信息。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7.图形用户界面的用途：图形用户界面用于投屏模式的操作。
 8.图形用户界面的人机交互方式：设计1、设计2、设计3可左右滑动进行操作。
 设计4、设计5、设计6可左右滑动和点击进行操作。
 设计7、设计8、设计9可左右滑动和点击进行操作。
 9.图形用户界面的变化状态说明：设计7、设计8、设计9的主视图在与其他设备连接后进入界面变化状态图。
 10.该显示屏幕面板及图形用户界面应用于电子设备，即计算机、笔记本电脑、显示装置、通讯设备、平板电脑、手机、智能手机、可穿戴设备、智能眼镜、虚拟现实眼镜、增强现实眼镜、混合现实眼镜、手表、智能手表、健身监视器、头戴式耳机、智能音箱、电视、机顶盒。</t>
  </si>
  <si>
    <t>显示屏幕面板的投屏模式操作图形用户界面</t>
  </si>
  <si>
    <t>CN113255461B</t>
  </si>
  <si>
    <t>本发明公开一种基于双模深度网络的视频事件检测与语义标注方法及装置，包括：对输入的体育视频进行解码，分别得到音频数据流和图像数据流；对于音频数据流，首先进行音频分帧处理，然后利用深度神经网络模型提取音频特征；对于图像数据流，进行镜头边界检测，根据镜头类型分析事件转换模式，确定感兴趣视频事件边界，利用深度神经网络提取感兴趣事件片段视觉特征；将音频特征和视觉特征进行融合分类，获取感兴趣事件检测和语义标注结果。本发明方法利用音视频双模特征和深度神经网络模型有效确定体育视频中的精彩事件边界，并对其进行分类识别实现事件语义标注，为基于内容的体育视频摘要和检索打下坚实基础。</t>
  </si>
  <si>
    <t>基于双模深度网络的视频事件检测与语义标注方法及装置</t>
  </si>
  <si>
    <t>CN113516030A</t>
  </si>
  <si>
    <t>本发明提供一种动作序列验证方法、装置、存储介质及终端，包括：获取待验证动作序列；对所述待验证动作序列进行特征提取以获取对应的特征序列；对所述特征序列进行信息融合以获取整体序列特征来判断所述待验证动作序列的动作类别；将所述待验证动作序列的特征序列与标准动作序列的特征序列进行特征对比来判断是否属于同一动作序列。本发明通过构建一个新的神经网络模型来对动作序列进行验证，同时对动作序列的整体特征和特征序列按时序进行约束，动作验证的准确度高；应用领域广泛，如识别两段视频中的人是否在完成同一个动作，对工厂、车间的标准化流程进行检测；对体育娱乐领域进行动作评分等等。</t>
  </si>
  <si>
    <t>一种动作序列验证方法、装置、存储介质及终端</t>
  </si>
  <si>
    <t>CN214752119U</t>
  </si>
  <si>
    <t>本实用新型公开了助农用人工智能金融自助服务终端，包括机体，所述机体顶端滑动连接有遮光板，所述机体表面镶嵌连接有显示屏，所述机体表面固定连接有操作台，所述机体左侧固定连接有左挡板，所述左挡板内侧镶嵌连接有摄像头，所述机体顶端两侧镶嵌连接有光敏电阻，所述机体顶端中部镶嵌连接有人脸识别摄像机，所述人脸识别摄像机位于显示屏的上方，所述机体右侧固定连接有右挡板，所述右挡板外侧安装有蜂窝报警器，所述遮光板底端粘接有滑块。当光敏电阻检测到光线较强时，电动推杆启动带动遮光板前移进行遮光；当有人对机体操作时，人脸识别摄像机在一米内检测到人脸后蜂窝报警器发出声音对操作人员进行提醒。</t>
  </si>
  <si>
    <t>助农用人工智能金融自助服务终端</t>
  </si>
  <si>
    <t>CN113241147B</t>
  </si>
  <si>
    <t>本申请提供一种健身计划生成方法、装置及电子设备，涉及健身技术领域，其中，该方法包括：获取并根据用户的身体数据，确定用户当前所属的初始人群类型，然后根据预设的人群进阶知识图谱，确定并展示初始人群类型对应的进阶人群类型，响应于用户的选择操作，将用户选择的进阶人群确定为目标人群，然后，根据初始人群类型和目标人群类型确定用户的体测项目，再获取用户的体测项目对应的体测数据和用户的健身喜好，最后，根据体测数据和健身喜好生成训练计划。本申请提供的技术方案可以通过深入了解用户的身体素质和健身喜好，可以更加精准的确定用户的实际情况，进而生成能够满足用户个性化需求的健身计划。</t>
  </si>
  <si>
    <t>健身计划生成方法、装置及电子设备</t>
  </si>
  <si>
    <t>US63180476P0</t>
  </si>
  <si>
    <t>针对违反体育规则和其他行为的机器学习</t>
  </si>
  <si>
    <t>CN113209577A</t>
  </si>
  <si>
    <t>一种基于计算机物联网控制的智能机器人，包括底座，底座上有羽毛球定量倾倒装置，羽毛球定量倾倒装置下侧有定型装置，定型装置下端有竖管，竖管底部有横板，横板下侧有第一半圆弧形板，第一半圆弧形板与横板间有第二半圆弧形板，第二半圆弧形板上有插入部，第二半圆弧形板内侧有第一压力检测部，两块第一半圆弧形板相对的一侧有弧形凹槽，弧形凹槽底部有第二压力检测部，第一半圆弧形板下侧有羽毛球分类收集装置。本装置通过羽毛球的检测后分类提升了用户的打球体验，使得用户能够选到自己需要的球，同时将次品羽毛球进行收集后集中修复，减少了羽毛球的浪费，同时也可将本装置应用于羽毛球生产后的出厂检测以筛选出次品，提高羽毛球的产品质量。</t>
  </si>
  <si>
    <t>一种基于计算机物联网控制的智能机器人</t>
  </si>
  <si>
    <t>US20210346761A1</t>
  </si>
  <si>
    <t>公开了用于使用机器学习和数字视频数据重新训练跑步形式的自动步态评估的各种实施例。 使用视频数据执行至少一个机器学习例程以生成视频中人类或双足非人类对象的解剖标志的位置数据。 基于位置数据为步态周期的多个阶段确定步态度量和/或特征。 确定受试者的给定身体部位或步态度量的最佳步态周期,并可基于至少一个随时间的协变量进行调整。 将受试者的步态周期与最佳步态周期之间的差异最小化的步态周期的特定时间点或阶段对受试者的运动模式的建议改变显示在显示设备上。</t>
  </si>
  <si>
    <t>使用机器学习和数字视频数据重新训练跑步形式的自动步态评估</t>
  </si>
  <si>
    <t>CN113095422A</t>
  </si>
  <si>
    <t>本发明公开了一种实现自动程式化下令的方法及装置，包括：获取电力系统中设备的调度指令数据；根据CNN指令识别算法对所述调度指令数据进行特征提取并获取分类结果，并根据分类结果识别调度指令的具体操作；根据识别结果实现自动程式化下令。利用基于特征提取的卷积神经网络对调度指令信息进行模式化识别的方法，构建算法模型，对调度指令实现机器识别，提高配网调度操作工作效率。</t>
  </si>
  <si>
    <t>一种实现自动程式化下令的方法及装置</t>
  </si>
  <si>
    <t>CN112990361B</t>
  </si>
  <si>
    <t>本发明涉及人工智能领域，提供一种基于Q‑Learning算法的调整运动速度的方法、跑步机及提示装置，所述方法包括如下步骤：S1：基于用户在第一预定时间段的运动锻炼信息建立运动锻炼奖励矩阵，所述运动锻炼信息包括速度和心率，所述运动锻炼奖励矩阵以运动心率处在预定恒定心率范围内为训练目标，评估每次速度变化下用户身体变化效果的程度；S2：基于运动锻炼奖励矩阵和Q‑Learning算法形成Q‑Learning矩阵，所述Q‑Learning矩阵评估每次速度变化下用户身体变化的受益程度；S3：根据Q‑Learning矩阵调整用户的运动速度。相比较现有的运动强度监测需要依赖电子设备，本发明可以脱离可穿戴电子设备，有效节约运动锻炼的设备成本。</t>
  </si>
  <si>
    <t>基于Q-Learning算法的调整运动速度的方法、跑步机及提示装置</t>
  </si>
  <si>
    <t>US20210322824A1</t>
  </si>
  <si>
    <t>用于检测游泳者在诸如水槽的水生环境中的姿势的系统和方法。 在一个实施例中,水池系统包括一组摄像机,其中一个是位于水池水面上方的高架摄像机,用于捕捉游泳者的图像。 该系统还包括实现计算机视觉平台的计算机处理器,例如GPU、CPU和游戏引擎。 处理器被配置为从相机接收图像,从图像确定游泳者的身体位置,检测游泳者身体位置的定义姿势,并且响应于检测到定义的姿势,调用水槽水池的相应控制操作,例如 例如控制流经泳池的水流或更新投影到泳池内表面的界面显示。</t>
  </si>
  <si>
    <t>用于沉浸式和交互式水槽游泳池中的手势检测和控制的系统和方法</t>
  </si>
  <si>
    <t>WO2021216587A1</t>
  </si>
  <si>
    <t>KR1020220144478A</t>
  </si>
  <si>
    <t>本发明能够基于玩家的游戏表现能力来预测游戏的胜率,并提供关于在第一游戏过程中需要控制第一玩家执行的角色移动的事件的表现信息。分析模块,对第一玩家的表现信息进行分析并计算其表现能力值,并将第二场比赛所需的表现值与第一场比赛计算出的表现值进行比较,以确定第二玩家的表现值。可以包括生成第一玩家的游戏获胜率信息的预测模块。</t>
  </si>
  <si>
    <t>采用人工智能技术的中奖率预测系统</t>
  </si>
  <si>
    <t>AU2021102038A4</t>
  </si>
  <si>
    <t>本发明的基于物联网的智能设备使用RFID的不止一个停车可用通知主要存在于市区和政府场所、学校、工程学院、教练学院、大学、百货公司和医院等组织的服务人数,是 停车位不足。 这个问题是由于车辆数量不断增加和比克、摩托车、汽车现代停车场管理不足导致服务用户浪费了他们重要的时间和燃料,试图寻找可用的停车位造成污染。 本发明旨在开发一种使用射频识别和 IoT/WI-FI 的智能车辆停车应用程序,该应用程序可以检测可用的停车位置是一个地图地块,从而为人们和停车区域管理和用户节省时间 必须访问无法在停车场状态发生变化或任何类型的修改时自动发出警报的 Web 应用程序。 随着物联网的发展,智能城市的想法现在似乎是可以实现的,并且在物联网领域正在做出一致的努力,以便根据要求最大限度地提高生产力,并且非常容易对城市基础设施以及以下问题进行处理, 物联网正在解决过度拥挤的车辆、交通拥堵、停车设施不足和道路安全问题。 发明的停车方法/系统包括现场设计、IoT 模块的部署,该模块用于监控和指示每个停车位的可用性状态,还提供了一个应用程序,允许最终用户 检查停车位的可用性并根据用户需要预订停车位。 本发明是RFID/IOT和NPR的集成方法,独创性,应用比Availavle云系统更智能,RFID/IOT传感器的智能鲁棒性为99%,而NPR在检测时间上达到98%的准确率 不到 7.24 秒。 1 TOTAL NO OF SHEET: 03 NO OF FIG: 03 (:]tart 0 Default Sting unit and also Display the Notification Digital infraind sensor and' IdT based Notificatin no M ParingAvailable status PrfgNtAalbeaddgia display and map Displaytmtoailber 1 otherPadkinglocationSatus Fig. 1: Parking 可用通知。</t>
  </si>
  <si>
    <t>基于物联网的智能设备使用 RFID 的多个可用停车位通知</t>
  </si>
  <si>
    <t>CN306810751S</t>
  </si>
  <si>
    <t>1.本外观设计产品的名称：用于显示屏幕面板的运动比赛的图形用户界面。
 2.本外观设计产品的用途：本外观设计产品用于显示信息，该显示屏幕面板用于手机、电脑、平板电脑以及智能交互平板。
 3.本外观设计产品的设计要点：在于屏幕中的图形用户界面内容，显示屏幕面板为现有设计，界面中的文字内容仅用于指明内容区域，文字本身并非本外观设计的保护内容。
 4.最能表明设计要点的图片或照片：设计1变化状态图3。
 5.产品硬件部分为常规设计，省略设计1和设计2的后视图、左视图、右视图、俯视图以及仰视图。
 6.指定设计1为基本设计。
 7.图形用户界面的用途：本外观设计产品用于娱乐互动、比赛。
 8.图形用户界面的人机交互方式：点击设计1主视图界面右侧模块，可进入设计1变化状态图1查看匹配详情，匹配完成开始比赛，以进入设计1变化状态图2、设计1变化状态图3，当当前队伍比赛胜出时，以进入设计1变化状态图4，当当前队伍比赛失败时，以设计1进入变化状态图5，点击设计2主视图界面右侧模块，可进入设计2变化状态图1查看匹配倒计时，当匹配完成，以进入设计2变化状态图2进行比赛，当当前队伍比赛胜出时，以进入设计2变化状态图3，当当前队伍比赛失败时，以设计2进入变化状态图4。</t>
  </si>
  <si>
    <t>用于显示屏幕面板的运动比赛的图形用户界面</t>
  </si>
  <si>
    <t>CN306810750S</t>
  </si>
  <si>
    <t>1.本外观设计产品的名称：用于显示屏幕面板的屏幕跳转动态的图形用户界面。
 2.本外观设计产品的用途：用于显示信息、运行程序，该屏幕面板用于跑步机、椭圆机、动感单车、划船机、登山机、健身车。
 3.本外观设计产品的设计要点：在于屏幕中的图形用户界面内容，屏幕面板为现有设计。
 4.最能表明设计要点的图片或照片：主视图。
 5.产品硬件部分为常规设计，省略后视图、左视图、右视图、俯视图以及仰视图。
 6.图形用户界面的用途：本外观设计产品用于对屏幕面板的操作以展示屏幕跳转效果。
 7.图形用户界面的人机交互方式：用户对屏幕面板进行翻转以达到预设位置或者角度时，主视图界面中心位置会出现一个圆圈，屏幕背景内容逐渐消失，圆圈颜色逐渐加深直至呈现变化状态图2，当显示变化状态图2时，圆圈开始进行不规则变化展示直至呈现变化状态图7，屏幕背景色开始逐渐变亮，圆圈颜色逐渐消失直至呈现变化状态图8。</t>
  </si>
  <si>
    <t>用于显示屏幕面板的屏幕跳转动态的图形用户界面</t>
  </si>
  <si>
    <t>CN306992509S</t>
  </si>
  <si>
    <t>1.本外观设计产品的名称：用于显示屏幕面板的运动健身显示的图形用户界面。
 2.本外观设计产品的用途：本外观设计产品用于显示信息、运行程序，该显示屏幕面板用于手机、电脑、平板电脑、椭圆机、动感单车、划船机、登山机、健身机以及智能交互平板。
 3.本外观设计产品的设计要点：在于屏幕中的图形用户界面内容，显示屏幕面板为现有设计。
 4.最能表明设计要点的图片或照片：主视图。
 5.产品硬件部分为常规设计，省略后视图、左视图、右视图、俯视图以及仰视图。
 6.图形用户界面的用途：本外观设计产品用于录播状态下运动数据的显示。
 7.图形用户界面的人机交互方式：当主视图数据匹配成功后进入变化状态图1，按照变化状态图1界面文字提示，点击单车上的按钮，界面由变化状态图1到变化状态图2，或者点击变化状态图1界面单车手柄中部绿色按钮进入变化状态图2，变化状态图2中显示骑行时的相关信息，骑行运动完成后进入变化状态图3，将变化状态图3向左滑动进入变化状态图4。</t>
  </si>
  <si>
    <t>用于显示屏幕面板的运动健身显示的图形用户界面</t>
  </si>
  <si>
    <t>CN113239679A</t>
  </si>
  <si>
    <t>一种基于深度学习的债券标位自动检测技术，它涉及金融AI技术领域，它包括了以下具体模块：通用接口模块，接收聊天系统提供的信息，进行简单加工处理处理；文本解析识别模块，识别用户“投标、改标、撤标、新增”等意图，并且把相应的要素提取；重整化模块，基于用户提供的信息和历史数据库中的记录，整理成标准的数据形式；执行模块，执行具体的“投标、改标、撤标”等操作；存储器模块，存储用户的投标信息，本发明有益效果为：实现了自动检测聊天中的“投标/改标/撤标/增投”等用户意图，并通过程式实现相关的具体操作；降低了人力成本，且采用“意图识别+要素提取”的融合模型，并且融入金融领域的“经验特征”信息，目前整套系统的识别、解析准确率达到95％以上的水平，基本达到商用标准。</t>
  </si>
  <si>
    <t>一种基于深度学习的债券标位自动检测技术</t>
  </si>
  <si>
    <t>US20220336077A1</t>
  </si>
  <si>
    <t>锻炼推荐系统为用户确定锻炼计划。 锻炼推荐系统接收用户的简档和用户选择的变化水平。 该配置文件包括用户执行的锻炼历史、可用的健身器材和锻炼目标。 锻炼推荐系统将简档输入到机器学习模型,该机器学习模型被配置为对一组锻炼进行排序以供用户执行。 锻炼推荐系统基于用户选择的方差水平来修改锻炼的排名。 对于第一方差水平的排序修改大于对于小于第一方差水平的第二方差水平的排序修改。 锻炼推荐系统基于修改的排名生成锻炼计划以在用户界面内显示给用户。</t>
  </si>
  <si>
    <t>根据用户选择的方差预测练习</t>
  </si>
  <si>
    <t>CN113327662A</t>
  </si>
  <si>
    <t>本发明公开了一种基于物联网的智能家居健身镜，包括镜子主体和镜子智能系统，所述镜子主体镶嵌在支撑框架内，所述支撑框架一侧设置有前盖板，所述支撑框架另一侧设置有后盖板，所述后盖板侧面设置有定位板，所述定位板表面设置有吸盘，所述镜子主体上侧设置有摄像头，所述镜子主体下侧设置有开关和时间指示器，所述时间指示器侧面设置有身份识别模块，所述镜子智能系统与镜子主体电性连接。本发明结构设计科学合理，对使用者进行运动信息分析的同时给出用户各运动动作的分数和改正建议，很好地指导了用户进行标准健身，装置可以通过手机对其进行控制，从而能够帮助用户完成更多训练项目。</t>
  </si>
  <si>
    <t>一种基于物联网的智能家居健身镜及其控制方法</t>
  </si>
  <si>
    <t>CN214588046U</t>
  </si>
  <si>
    <t>本实用新型公开了一种基于物联网的智能家居健身魔镜，包括魔镜主体和魔镜智能系统，所述魔镜主体镶嵌在支撑框架内，所述支撑框架一侧设置有前盖板，所述支撑框架另一侧设置有后盖板，所述后盖板侧面设置有定位板，所述定位板表面设置有吸盘，所述魔镜主体上侧设置有摄像头，所述魔镜主体下侧设置有开关和时间指示器，所述时间指示器侧面设置有身份识别模块，所述魔镜智能系统与魔镜主体电性连接。本实用新型结构设计科学合理，对使用者进行运动信息分析的同时给出用户各运动动作的分数和改正建议，很好地指导了用户进行标准健身，装置可以通过手机对其进行控制，从而能够帮助用户完成更多训练项目。</t>
  </si>
  <si>
    <t>一种基于物联网的智能家居健身魔镜</t>
  </si>
  <si>
    <t>CN115246338A</t>
  </si>
  <si>
    <t>本发明公开了一种基于物联网的新能源汽车辅助定位停车充电系统，包括健身情况分析模块、渐进式充电模块和提醒模块，所述健身情况分析模块与渐进式充电模块电连接；所述健身情况分析模块用于探测人的健身质量，所述渐进式充电模块用于根据人的健身情况对充电状态进行调整以减小变压器噪音对人的影响，所述提醒模块用于在工作前提醒车内人士利用语音提醒已经开始检测，避免在不知情的情况下泄露隐私，所述健身情况分析模块包括红外感应成像模块、人体轮廓拟合模块、人体位置分析模块、计时模块、健身状态判定模块、动作幅度频率计算模块，所述红外感应成像模块与人体轮廓拟合模块电连接，本发明，具有实用性强的特点。</t>
  </si>
  <si>
    <t>基于物联网的新能源汽车辅助定位停车充电系统</t>
  </si>
  <si>
    <t>CN113256885B</t>
  </si>
  <si>
    <t>一种基于物联网的新能源汽车辅助定位停车充电系统</t>
  </si>
  <si>
    <t>KR1020220149617A</t>
  </si>
  <si>
    <t>用户查询(例如在线游戏系统处理的用户查询)是通过培训机器学习模型的输入提供的。机器学习模型可以预测用户查询的候选语言,并输出候选语言的语言置信度得分。用户查询还与每个候选语言的单个语言数据库的游戏信息关联的存储查询数据匹配。可以根据每个响应的确定性来确定比赛得分。可以添加比赛和语言信任分数以确定加权分数。应用响应的加权分数用于确定在确定数据库中搜索的哪些游戏信息用于形成用户搜索结果的响应。</t>
  </si>
  <si>
    <t>在线游戏用户输入文本的语言检测</t>
  </si>
  <si>
    <t>SE2150461A1</t>
  </si>
  <si>
    <t>[0001] 本发明涉及一种用于通过计算机视觉收集和处理数字信息和/或跟踪和说明体育练习期间、特别是球拍运动练习期间的特定事件的设备、方法和计算机程序,包括:至少一对照相机,用于获得与运动表现相关的立体真实图像相关信息, 用于处理来自至少一个相机的真实图像相关信息的处理器, 包含存储的虚拟运动员的典型动作和运动员的典型运动和位置的比较数据的存储空间分别为虚拟球,相机、处理器和存储空间都相互连接以存储和检索数字信息,由此处理器将来自至少一个相机的实际图像相关信息与相应存储的比较数据进行比较从内存空间和分类工作 链接图像相关信息。</t>
  </si>
  <si>
    <t>用于跟踪和报告体育相关事件的设备、方法和计算机程序</t>
  </si>
  <si>
    <t>CN306921813S</t>
  </si>
  <si>
    <t>1.本外观设计产品的名称：用于手机的运动健身动态图形用户界面。
 2.本外观设计产品的用途：本外观设计产品用于显示信息、运行程序。
 3.本外观设计产品的设计要点：在于屏幕中的图形用户界面内容，手机为现有设计。
 4.最能表明设计要点的图片或照片：变化状态图2。
 5.产品硬件部分为常规设计，省略后视图、左视图、右视图、俯视图以及仰视图。
 6.图形用户界面的用途：本外观设计产品用于娱乐互动以及运动健身的展示。
 7.图形用户界面的人机交互方式：点击主视图、变化状态图1以及变化状态图2的界面中各选项可进行点击操作，当用户在进行运动时，主视图界面根据运动进展进入变化状态图1和变化状态图2。</t>
  </si>
  <si>
    <t>用于手机的运动健身动态图形用户界面</t>
  </si>
  <si>
    <t>KR1020220141689A</t>
  </si>
  <si>
    <t>本发明涉及一种使用在线服务系统的商业模式,该在线服务系统利用基于移动的基础设施(例如相关用户的信使设备)来提供匹配信息,作为根据现代社会基于位置匹配体育用户的服务方法。 具体来说,从创建匹配服务阶段、使用移动程序、短信等方式招募用户、这些用户使用匹配服务阶段、使用这些服务的客户获得服务许可使用该服务阶段、使用匹配服务,是会员与创建匹配服务的人一起评价服务的服务模式。 本发明是一种通过数据分析的广告匹配服务,是一种通过广告代理商或策划机构运营的明星营销服务,建立了适合中小企业、个体户等小企业主的系统,并提供在线和移动服务,在相关广告生态系统中提供服务,是一种提供可高效管理的系统的商业模式,构建了一个系统,可以将以前成本较高的明星营销广告在线上高效利用并提供广告匹配服务所需的地点、服务、内容等附加服务,我们提供高效的管理系统,以便您在线选择和使用。</t>
  </si>
  <si>
    <t>基于人工智能和大数据的匹配服务体系</t>
  </si>
  <si>
    <t>US63174506P0</t>
  </si>
  <si>
    <t>使用机器学习模型预测跑步相关伤害的风险</t>
  </si>
  <si>
    <t>US11612818B2</t>
  </si>
  <si>
    <t>提供了用于选择进入游戏的视口的方法和系统。 一种示例方法包括识别多个虚拟摄像机以提供进入游戏的视口。 该方法包括访问旁观者用户的剧本,并且该剧本识别旁观者用户在游戏中的表现。 该方法包括在现场进行或录制比赛时访问比赛的事件数据。 该方法包括为旁观者用户生成配电盘界面,该配电盘界面包括多个视口以提供进入游戏的可选视图。 多个视口是基于通过机器学习模型处理事件数据和旁观者用户的剧本来动态选择的。 机器学习模型被配置为从事件数据和剧本中识别特征以识别旁观者用户的属性。 旁观者用户的属性用于选择进入游戏的多个视口。</t>
  </si>
  <si>
    <t>根据用户视口选择操作定制的旁观者开关板</t>
  </si>
  <si>
    <t>CN307088769S</t>
  </si>
  <si>
    <t>1.本外观设计产品的名称：屏幕面板的显示音频设备信息的图形用户界面。
 2.本外观设计产品的用途：显示屏幕面板用于显示图形用户界面。
 3.本外观设计产品的设计要点：在于图形用户界面。
 4.最能表明设计要点的图片或照片：局部放大图。
 5.图形用户界面的用途：用于人机交互和实现显示屏幕面板的功能，并且可以用于显示与所连接的音频设备的类型相关的信息，所述音频设备例如是成对的电子设备，如耳机、头戴式耳机等。
 6.图形用户界面的人机交互方式：图形用户界面可以通过轻击或滑动图形用户界面来交互。
 7.显示屏幕面板和图形用户界面可应用于以下电子设备：计算机、笔记本电脑、用于车辆的显示器、平板电脑、手机、智能手机、智能手环、智能眼镜、手表、智能手表、健身监视器、头戴式耳机、个人数字助理、智能音箱、电视、监视器、投影仪、导航设备、机顶盒、游戏机；显示屏幕面板为惯常设计，故省略其他视图。</t>
  </si>
  <si>
    <t>屏幕面板的显示音频设备信息的图形用户界面</t>
  </si>
  <si>
    <t>CN215954558U</t>
  </si>
  <si>
    <t>本实用新型属于智能机器人教练车技术领域，特别涉及一种应用于教练车采集离合、刹车踏板踩踏行程的传感装置，包括距离传感器和安装支架，所述距离传感器固定在安装支架上，所述安装支架安装于在踏板臂上,所述距离传感器为红外测距传感器,通过距离传感器采集踏板的踩踏行程数据，把采集到数据传输到教学软件，与标准数据进行比对，做到精准教学，学员可根据比对数据进行调整，调整到最佳力度，从而更容易形成肌肉记忆，便于学员找到控制踏板的感觉。</t>
  </si>
  <si>
    <t>一种应用于教练车采集离合、刹车踏板踩踏行程的传感装置</t>
  </si>
  <si>
    <t>US11595623B2</t>
  </si>
  <si>
    <t>一种用于将运动员图像识别注册到体育赛事中的系统和方法。 运动员使用图像识别技术在体育赛事中注册。 由相机拍摄的运动员的数字开始图像( 106 ) 当运动员越过起跑线时。 将数字开始图像与存储的运动员个人资料图像进行比较,以识别运动员并让他们参加比赛,而无需运动员预先注册特定比赛。 结合模式识别的增强识别技术可用于提高身份的准确性。</t>
  </si>
  <si>
    <t>体育赛事报名系统及方法</t>
  </si>
  <si>
    <t>US20210319587A1</t>
  </si>
  <si>
    <t>本文公开了一种校准广播视频馈送的系统和方法。 一种计算系统检索包括多个视频帧的多个广播视频馈送。 计算系统通过基于广播视频馈送生成多个训练数据集并通过神经网络学习为多个帧中的每一帧生成单应矩阵来生成训练神经网络。 计算系统接收目标体育赛事的目标广播视频馈送。 计算系统将目标广播视频馈送分成多个目标帧。 计算系统通过神经网络为多个目标帧中的每个目标帧生成目标单应矩阵。 计算系统通过用相应的目标单应矩阵扭曲每个目标帧来校准目标广播视频馈送。</t>
  </si>
  <si>
    <t>广播视频的端到端摄像机校准</t>
  </si>
  <si>
    <t>WO2021207569A1</t>
  </si>
  <si>
    <t>本文公开了一种校准广播视频馈送的系统和方法。 一种计算系统检索包括多个视频帧的多个广播视频馈送。 计算系统通过基于广播视频馈送生成多个训练数据集并通过神经网络学习为多个帧中的每个帧生成单应矩阵来生成训练神经网络。 计算系统接收目标体育赛事的目标广播视频馈送。 计算系统将目标广播视频馈送分成多个目标帧。 计算系统通过神经网络为多个目标帧中的每个目标帧生成目标单应矩阵。 计算系统通过用相应的目标单应矩阵扭曲每个目标帧来校准目标广播视频馈送。</t>
  </si>
  <si>
    <t>US20210322825A1</t>
  </si>
  <si>
    <t>本文公开了用于预测下一个音调的系统和方法。 计算系统检索多个事件的逐个球场信息和与逐个球场信息中的每个球场相关联的比赛上下文信息。 计算系统将逐球信息和游戏上下文信息转换成多个基于图形的表示。 图神经网络学习基于多个基于图的表示来为每个音高生成音高类型预测。 计算系统基于学习生成经过训练的图神经网络。 计算系统接收当前投手的当前逐个投球信息的当前基于图形的表示和当前比赛上下文信息。 计算系统通过经过训练的图形神经网络预测当前投手要投出的下一个投球的投球类型。</t>
  </si>
  <si>
    <t>基于图的下一音高预测方法</t>
  </si>
  <si>
    <t>WO2021216301A1</t>
  </si>
  <si>
    <t>基于图的下一个音调预测方法</t>
  </si>
  <si>
    <t>CN307010948S</t>
  </si>
  <si>
    <t>1.本外观设计产品的名称：显示屏幕面板的充电信息的动态图形用户界面。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5.图形用户界面的用途：用于人机交互和实现显示屏幕面板的功能，并且可以用于显示状态充电时的信息，包括显示充电的状态。
 6.图形用户界面的人机交互方式：图形用户界面可以通过轻击或滑动图形用户界面、或通过使设备位于无线充电源的附近来交互。
 7.图形用户界面的变化状态说明：图形用户界面的外观依次在主视图、变化状态图1和变化状态图2之间变化。
 8.显示屏幕面板可应用于计算机、笔记本电脑、用于车辆的显示器、平板电脑、手机、智能手机、智能手环、智能眼镜、手表、智能手表、健身监视器、头戴式耳机、个人数字助理、智能音箱、电视、监视器、投影仪、导航仪、机顶盒、游戏机；显示屏幕面板为惯常设计，故省略其他视图。</t>
  </si>
  <si>
    <t>显示屏幕面板的充电信息的动态图形用户界面</t>
  </si>
  <si>
    <t>CN307048751S</t>
  </si>
  <si>
    <t>1.本外观设计产品的名称：显示屏幕面板的显示状态信息的图形用户界面。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5.图形用户界面的用途：用于人机交互和实现显示屏幕面板的功能，并且可以用于显示状态信息，包括关于设备与磁性配件连接或位于磁性配件附近的信息。
 6.图形用户界面的人机交互方式：图形用户界面可以通过轻击或滑动图形用户界面、或通过使设备位于磁性配件附近来交互。
 7.显示屏幕面板可应用于计算机、笔记本电脑、用于车辆的显示器、平板电脑、手机、智能手机、智能手环、智能眼镜、手表、智能手表、健身监视器、头戴式耳机、个人数字助理、智能音箱、电视、监视器、投影仪、导航仪、机顶盒、游戏机；显示屏幕面板为惯常设计，故省略其他视图。</t>
  </si>
  <si>
    <t>显示屏幕面板的显示状态信息的图形用户界面</t>
  </si>
  <si>
    <t>CN307065946S</t>
  </si>
  <si>
    <t>US20220327582A1</t>
  </si>
  <si>
    <t>本文档提出了一种应用机器学习和深度学习技术的系统和方法,以通过允许将服务提供商与客户匹配的新方法来改善服务成果。该系统和方法涉及收集有关服务提供商和客户端的表达和潜在偏好以及属性的数据,以及有关结果改善和比赛质量的结果数据。通过使用深度学习方法来分析此数据并确定潜在变量和非线性关系,该系统能够预测服务提供商和客户的配对最有可能导致所需的结果。该系统和方法可以应用于人格因素和关系兼容性的任何专业关系,可以预示期望的结果。这些包括但不限于临床医生,教育家,专业客户和销售人员 - 客户关系。</t>
  </si>
  <si>
    <t>使用人工智能技术改善服务结果的方法</t>
  </si>
  <si>
    <t>CN115335793A</t>
  </si>
  <si>
    <t>本文公开了一种用于预测下一次投球的系统和方法。计算系统检索多个事件的逐次投球信息以及与逐次投球信息中的每次投球相关联的比赛背景信息。计算系统将逐次投球信息和比赛背景信息转换为多个基于图的表示。图神经网络基于多个基于图的表示进行学习以生成每次投球的投球类型预测。计算系统基于学习来生成训练后图神经网络。计算系统接收当前投球手的当前逐次投球信息和当前比赛背景信息的当前基于图的表示。计算系统经由训练后图神经网络来预测待由当前投球手投掷的下一次投球的投球类型。</t>
  </si>
  <si>
    <t>基于图的下一次投球预测的方法</t>
  </si>
  <si>
    <t>EP4133406A1</t>
  </si>
  <si>
    <t>EP4139767A1</t>
  </si>
  <si>
    <t>KR102264776B1</t>
  </si>
  <si>
    <t>本发明涉及一种使用物联网(IoT)的监听扬声器控制系统。 更具体地说,涉及在教堂、体育馆、礼堂、室内表演厅或室外表演厅等大量人群聚集的集会场所,使观众能够听到表演或演讲内容的音响系统。一种控制系统,用于控制会议设施音响系统中监听扬声器的声音输出,包括用于输出的多个主扬声器和用于输出监听声音的多个监听扬声器,因此进行表演或演讲的表演者可以听到它们。 由于根据本发明的监听扬声器控制系统自动计算表演者的麦克风与多个监听扬声器之间的距离以控制声音,所以即使表演者在舞台上移动时进行表演或演讲,他/她自己放大的声音通过音响系统传输,在通过监听音箱可以清晰听到声音的同时,起到防止监听音箱输出的声音进入表演者麦克风再次放大时出现的啸叫现象的效果。 另外,当多个表演者表演时,每个表演者都可以比其他表演者的声音更清楚地听到自己的声音,从而可以提高表演者的表演质量。</t>
  </si>
  <si>
    <t>使用物联网的监控扬声器控制系统</t>
  </si>
  <si>
    <t>KR102297719B1</t>
  </si>
  <si>
    <t>本发明涉及一种用户拥有的用户终端; 为用户提供锻炼服务的教练所拥有的教练终端; 基于从用户终端接收的调查信息将用户终端与多个教练终端之一匹配,并基于通过匹配的教练终端测量的用户姿势信息开出用户定制的锻炼。它涉及定制的锻炼处方基于人工智能的系统,包括推荐姿势矫正和姿势矫正产品的管理服务器。</t>
  </si>
  <si>
    <t>基于人工智能的定制运动处方系统</t>
  </si>
  <si>
    <t>KR102507339B1</t>
  </si>
  <si>
    <t>本发明通过安装在体验式足球场的各个比赛室内的激光雷达传感器对目标(踢球者、传球者、足球)进行识别和跟踪,然后检测出踢球者物体的各个物体矢量信息,包括:生成传球球员的动作、球员各身体的动作和足球的轨迹信息,并根据生成的对象矢量信息运行虚拟足球比赛,从而提供有关实际球员踢球的信息。不仅感应精准,还根据球员的踢球进行虚拟足球比赛,显着增加虚拟足球比赛的真实感、趣味性和趣味性,基于人工智能的体验式足球比赛。游戏运营服务器预学习最优踢球检测,利用算法对本地服务器传来的目标向量信息和游戏信息进行分析,检测出踢球者的最优踢球信息,并传输给本地服务器,同时本地服务器运行一种基于人工智能的体验式足球比赛通过在显示终端显示从服务器接收到的最佳踢球信息,踢球者可以根据当前虚拟足球比赛环境参考最佳踢球信息,从而提高踢球练习的效率和效果/training can be maximized and the player 这是一个使用激光雷达传感器和大数据的体验式足球比赛操作系统,可以通过引起兴趣和乐趣来增加参与度。</t>
  </si>
  <si>
    <t>基于激光雷达传感器和大数据的体验式足球比赛运营系统</t>
  </si>
  <si>
    <t>CN113191199A</t>
  </si>
  <si>
    <t>本申请提供一种基于计算机视觉进行训练动作识别的方法、装置及计算机存储介质，方法包括：根据形成技术动作的各个关联的人体特征点与地面的位置关系，以及形成技术动作的各个关联的人体特征点之间的位置关系，形成技术动作的数字化描述；基于计算机视觉实时捕获训练过程中的视频流，并从视频流中实时提取形成训练动作的各个关联的人体特征点；根据形成训练动作的各个关联的人体特征点与地面的位置关系，以及形成训练动作的各个关联的人体特征点之间的位置关系，形成训练动作的数字化描述；根据训练动作的数字化描述以及技术动作的数字化描述，对训练动作是否标准进行识别。本申请无需依赖专业的教练进行训练动作的标准与否判断。</t>
  </si>
  <si>
    <t>基于计算机视觉进行训练动作识别的方法、装置</t>
  </si>
  <si>
    <t>US20210313066A1</t>
  </si>
  <si>
    <t>一种用于生成和维护虚拟助手的系统,该系统有助于采用系统的心理方法来改善健康和自我保健。 通过与助手的互动,患者可以互动以创建个性化的健康改善计划,并根据生理测量和通过传感器或患者输入从患者收集的数据的人工智能分析进行调整。 系统可以基于患者对与系统交互的反应动态地改进健康建议。 一种计算方法,对定义人工智能内部生物物理模拟环境的生物物理参数进行统计推断,不依赖于人工神经网络。 相应的方法依赖于内部生物物理网络,该网络通过计算复制患者独特的、与健康相关的生理过程,并使用心理技术来促进患者健康的改善。</t>
  </si>
  <si>
    <t>用于自动化健康和健身建议的系统和方法</t>
  </si>
  <si>
    <t>IN202141016077A</t>
  </si>
  <si>
    <t>生物特征认证系统是一种模式识别系统,用作现代人类认证系统,需要个人的生物特征数据,借助记录和存储在数据库中的不同方式的特征自动识别人类。 这些生物特征是从人类的不同生物区域中提取的,主要是人脸、指纹、虹膜、掌纹和声音等。单一生物特征模态的人体认证系统使用单一生物实体。 单一模态人工认证系统安全性低、可靠性差、缺乏可用性。 多模型生物特征人体认证系统使用多种方式进行生物特征认证,并且更加安全、可靠并且具有足够的可用性。 这里公开的本发明是一种使用人工神经网络的具有三级多模型生物特征融合的安全人体认证系统,包括:人脸(201); 指纹(202); 掌纹 (203); 预处理(204); 特征提取(205); 比赛得分(206); 融合(207); 分类器(208); 数据库(209); 认证(210); 通过三种不同的方式为人类认证系统提供三级安全性。 本文公开的本发明使用尺度不变特征变换(SIFT)与加速鲁棒特征(SURF)的组合用于特征提取、特征级融合和人工神经网络(ANN)作为分类器来对特征进行分类并改进认证 速度。 本发明的认证率为95.59%。</t>
  </si>
  <si>
    <t>使用人工神经网络的具有三级多模型生物特征融合的安全人体认证系统</t>
  </si>
  <si>
    <t>JP7257438B2</t>
  </si>
  <si>
    <t>一种用于训练纵向动力学模型的方法、装置、电子设备和存储介质。 
  本发明涉及智能驾驶技术和深度学习技术领域,具体地,获取车辆的纵向动力学模型(S101),获取车辆行驶过程中的历史驾驶数据(S102),历史驾驶数据包括历史踩踏量、历史跑步速度和历史加速度,根据历史踩踏量和历史跑步速度生成训练数据,输入纵向动力学模型得到机械纵向动力学生成预测数据模型(S103);基于历史加速度生成目标数据(S104);以及基于目标数据和预测数据训练纵向动力学模型(S105)。 本发明方案有效降低了实际控制车辆场景中的控制误差。 
  【选型图】图1</t>
  </si>
  <si>
    <t>纵向动力学模型训练方法、装置及设备</t>
  </si>
  <si>
    <t>CN214855298U</t>
  </si>
  <si>
    <t>本申请公开了一种基于物联网的消毒型鞋柜，属于鞋柜，用于运动鞋存放，其内柜体的内部设有外筒体，外筒体具有与其相对转动的内筒体；外筒体的外侧通过横隔板与内柜体的侧面连接，相邻的外筒体之间通过连接横板固定连接，横隔板与连接横板将内柜体分隔成上部和下部；内柜体的上部加工有顶进风口和侧进风口，内柜体的底部加工有若干底部出风口，底部出风口连通有底部出风管，底部出风管与外柜体底部的出分管贯通；内筒体与外柜体的驱动装置连接，在外筒体的顶部设置有紫外灯，紫外灯、外柜体的驱动装置、净化装置均与控制器连接。其能够为田径运动场的运动员提供一种集消毒功能于一体的鞋柜，以避免运动员鞋子存放时因空气不流通导致的细菌滋生。</t>
  </si>
  <si>
    <t>基于物联网的消毒型鞋柜</t>
  </si>
  <si>
    <t>KR102252144B1</t>
  </si>
  <si>
    <t>根据本公开,一种操作电子设备以检查等离子体的操作的方法包括获取特定时间单位内的等离子体的至少一个参数的值,以及计算在特定时间单位内获取的至少一个参数的值。基于将值应用于第一机器学习算法,检查对应于特定时间单位的多个时间间隔中的每一个的运动信息;检查对应于包括至少一个以下的一个或多个操作间隔中的每一个的操作信息时间间隔并彼此区分;以及基于对应于一个或多个操作间隔中的每一个的操作信息来检查等离子体的最终操作信息。</t>
  </si>
  <si>
    <t>用于检查等离子体操作的电子设备及其操作方法</t>
  </si>
  <si>
    <t>IN202111014960A</t>
  </si>
  <si>
    <t>本发明涉及一种冰上运动训练系统,包括:主体1,其具有配置在第一和第二部分3、2中的溜冰场,其包括用于允许用户选择冰上运动的显示单元4,多个基于人工智能的成像单元 5根据运动确定溜冰场的条件和用户的运动动作,溜冰场重铺模块7,8用于帮助刮洗冰层以根据运动重铺溜冰场,与成像单元5互连的通信模块和 用于向显示单元4和投影单元6传输用户和场地比赛信息的模块显示关于技能改进的视觉信号从成像单元5接收关于基于不同训练模式的改进的输出,用于训练用户玩游戏 .</t>
  </si>
  <si>
    <t>冰上运动训练系统</t>
  </si>
  <si>
    <t>CN113050521A</t>
  </si>
  <si>
    <t>本发明公开了一种基于物联网的游泳池水质在线监测及控制系统，应用于水质监测技术领域，包括：传感器模组、数据处理模组、中央处理模块、数据收发模块、服务器、监管部门监控终端和用户监控端组。本发明通过设置在游泳池内的多种参数传感器获得水质数据，实现多参数、实时监测，将水质参数数据经数据处理分类进行传输，实现直接报警提示，结果直观；基于物联网，通过服务器和监控终端，实现远程集中监控，节约成本和响应迅速。</t>
  </si>
  <si>
    <t>一种基于物联网的游泳池水质在线监测及控制系统</t>
  </si>
  <si>
    <t>IN202111015245A</t>
  </si>
  <si>
    <t>一种健身器,包括:框架1,框架1设置有多个轮子2,轮子2辅助框架1运动;电动滑轨,设置有一对电动滚轮,滚轮在框架1上滚动;踏板 用于辅助用户进行锻炼的腰带 3、多个制造部分用于允许用户在表面上行走、启用人工智能 (AI) 的摄像头 4 用于捕获用户执行的姿势和活动的实时图像、框架 具有至少三个与框架1相连的边,用于对准膝盖以防止使用者在进行运动时摔倒的护膝7,以及一对脚踏板8,其配置有伸缩杆9以拉伸腿部 用户达到预定长度以增强肌肉。</t>
  </si>
  <si>
    <t>锻炼装置</t>
  </si>
  <si>
    <t>IN202111014883A</t>
  </si>
  <si>
    <t>一种网球场维护设备,包括:具有多个轮子2的本体1,其中轮子2辅助运动;用于捕捉球场图像的人工智能摄像头3;与伸缩杆5组合的梳洗架单元4 用于从第一类球场上刮下鹅卵石、石块、碎屑,安装一个红外(IR)传感器用于检测球场的高度,一对分配单元6、7用于分配球场维护剂,滚轮8组装在底部 用于挤压粪水混合物的主体1,连接到主体1的用于抓取残留废物的真空单元9,与用于在第三类孔隙上分配所需量的压克力补丁粘合剂的喷嘴10结合的压平器, 其中压平剂将贴剂压紧在毛孔上。</t>
  </si>
  <si>
    <t>网球场维护设备</t>
  </si>
  <si>
    <t>IN202111015228A</t>
  </si>
  <si>
    <t>一种羽毛球清洁装置,包括本体1和旋转平台2,其中平台2容纳待清洁的羽毛球,人工智能(AI)摄像头3与微控制器通信以捕捉不同类型羽毛球的图像,以及 确定羽毛球的清洁度,安装在伸缩杆5上的泡沫4用于去除羽毛球上的灰尘,多个分配单元6用于分配所需量的清洁剂,多个可延伸的刷毛7用于清洁羽毛球,湿度传感器10 为了确定羽毛球的水分含量,鼓风机单元8用于将干燥空气吹到羽毛球上以除去水分。</t>
  </si>
  <si>
    <t>毽子清洗装置</t>
  </si>
  <si>
    <t>US20230139637A1</t>
  </si>
  <si>
    <t>提供了通过固定式健身器材的遥感监测生命体征。 本文描述的一种新的非接触式方法使用射频 (RF) 雷达(例如超宽带 (UWB) 雷达)远程监测使用固定锻炼设备的受试者的生命体征信息(例如心跳和呼吸)和人体活动信息 . 在一些实施例中,雷达传感器捕获微观尺度的胸部运动(对应于生命体征信息)以及宏观尺度的身体运动(对应于锻炼的运动)。 信号处理器从雷达传感器接收雷达信号并处理雷达信号以使用联合生命体征运动模型从微观尺度胸部运动重建生命体征信息和/或从宏观尺度身体运动重建人类活动信息,其中 可以使用机器学习和其他方法进行训练。</t>
  </si>
  <si>
    <t>在固定运动器材上通过遥感监测生命体征</t>
  </si>
  <si>
    <t>CN307054569S</t>
  </si>
  <si>
    <t>1.本外观设计产品的名称：带有数字媒体操作设置的动态图形用户界面的显示屏幕面板。
 2.本外观设计产品的用途：本外观设计产品涉及带有数字媒体操作设置的动态图形用户界面的显示屏幕面板，其可用于手机、平板电脑、计算机、游戏机、电视、电子书。
 3.本外观设计产品的设计要点：在于如图所示的图形用户界面。
 4.最能表明设计要点的图片或照片：主视图。
 5.图形用户界面的用途：本外观设计所示图形用户界面用于浏览播放、执行和操作各种数字内容。
 6.图形用户界面的人机交互方式：当用户通过使用控制器或者利用手指触摸选择显示面板上的图像时，图形用户界面从主视图变化至变化状态图1，当用户在变化状态图1 中移动所选择的图像时，图形用户界面可以从变化状态图1变化至变化状态图2、变化状态图3、变化状态图4、变化状态图5。
 使用状态参考图3中的红色和灰色区域是显示不构成要求保护设计的图像的区域，例如游戏图像或电影图像。
 如使用状态参考图3所示，当用户观看电影（使用状态参考图3所示的灰色区域）时，可以远程观看朋友正在玩的游戏（使用状态参考图3所示红色区域示出了朋友的游戏屏幕）。</t>
  </si>
  <si>
    <t>带有数字媒体操作设置的动态图形用户界面的显示屏幕面板</t>
  </si>
  <si>
    <t>CN307065942S</t>
  </si>
  <si>
    <t>1.本外观设计产品的名称：用于带有数字媒体操作设置图形用户界面的显示屏幕面板。
 2.本外观设计产品的用途：本外观设计产品涉及用于带有数字媒体操作设置的显示屏幕面板的图形用户界面，其可用于手机、平板电脑、计算机、游戏机、电视、电子书。
 3.本外观设计产品的设计要点：在于如图所示的图形用户界面。
 4.最能表明设计要点的图片或照片：设计1主视图。
 5.指定设计1为基本设计。
 6.图形用户界面的用途：本外观设计所示图形用户界面用于浏览、播放、执行和操作各种数字内容。
 7.图形用户界面的人机交互方式：设计1：当用户通过使用控制器或者利用手指选择显示面板上的标签时，图形用户界面从设计1主视图变化至设计1变化状态图。
 通过选择设计1参考图1中的标记1所表示的标签（Games,Media），设计1主视图可以变换至设计1变化状态图。
 设计1主视图中显示了用于选择的成组图标（例如“Games”）。
 设计1变化状态图中显示了用于选择例如各种视频或电视广播的成组图标。
 由标记2指示的成组图标可以从一侧滚动到另一侧，并且突出显示由标记3指示的区域中的图标。
 设计2：当用户通过使用控制器或者利用手指选择显示面板上的标签时，图形用户界面从设计2主视图变化至设计2变化状态图。
 通过选择设计2参考图1中的标记1所表示的标签（Games,Media），设计2主视图可以变换至设计2变化状态图。
 设计2主视图中显示了用于选择例如各种视频或电视广播的成组图标。
 设计2变化状态图中显示了用于选择的成组图标（例如“Games”）。
 由标记2指示的成组图标可以从一侧滚动到另一侧，并且突出显示由标记3指示的区域中的图标。
 设计3：当用户通过使用控制器或者利用手指选择显示面板上的标签时，图形用户界面从设计3主视图变化至设计3变化状态图。
 通过选择设计3参考图1中的标记1所表示的标签（Games,Media），设计3主视图可以变换至设计3变化状态图。
 设计3主视图中显示了用于选择的成组图标（例如“Games”）。
 设计3变化状态图中显示了用于选择例如各种视频或电视广播的成组图标。
 由标记2指示的成组图标可以从一侧滚动到另一侧，并且突出显示由标记3指示的区域中的图标。
 如设计3参考图2所示，当用户通过移动其头部来上下移动视点（动作A）或左右移动视点（动作B）时，图像根据视点的移动而在虚拟空间内移动。
 由于这种运动，本产品的图像始终显示位于用户面前。
 设计3立体图1和设计3立体图2用于解释虚拟空间内的成组图标的位置，并且图像始终显示在用户面前，因此用户不会从倾斜方向观察到图像。
 设计4：当用户通过使用控制器或者利用手指选择显示面板上的标签时，图形用户界面从设计4主视图变化至设计4变化状态图。
 通过选择设计4参考图1中的标记1所表示的标签（Games,Media），设计4主视图可以变换至设计4变化状态图1。
 设计4主视图中显示了用于选择的成组图标（例如“Games”）。
 设计4变化状态图1中显示了用于选择例如各种视频或电视广播的成组图标。
 由标记2指示的成组图标可以从一侧滚动到另一侧，并且突出显示由标记3指示的区域中的图标。
 设计4所示图像在虚拟空间中固定且以特定坐标来显示，但由于在靠近用户的位置处以更大尺寸显示，因此用户可以仅看到一部分图像。
 如设计4参考图2所示，当用户通过移动其头部上下移动视点（动作A）或左右移动视点（动作B）时，用户可以识别整个图像。
 设计4变化状态图2和设计4变化状态图3用于解释虚拟空间内的成组图标的位置。</t>
  </si>
  <si>
    <t>用于带有数字媒体操作设置图形用户界面的显示屏幕面板</t>
  </si>
  <si>
    <t>CN307065944S</t>
  </si>
  <si>
    <t>1.本外观设计产品的名称：带有数字媒体操作设置的动态图形用户界面的显示屏幕面板。
 2.本外观设计产品的用途：本外观设计产品涉及带有数字媒体操作设置的动态图形用户界面的显示屏幕面板，其可用于手机、平板电脑、计算机、游戏机、电视、电子书。
 3.本外观设计产品的设计要点：在于如图所示的图形用户界面。
 4.最能表明设计要点的图片或照片：主视图。
 5.图形用户界面的用途：本外观设计所示图形用户界面用于浏览、播放、执行和操作各种数字内容。
 6.图形用户界面的人机交互方式：当用户通过使用控制器或者利用手指触摸显示面板上的图标时，图形用户界面从主视图依次变化至变化状态图1、变化状态图2、变化状态图3、变化状态图4、变化状态图5、变化状态图6、变化状态图7、变化状态图8、变化状态图9、变化状态图10、变化状态图11、变化状态图12、变化状态图13、变化状态图14、变化状态图15、变化状态图16、变化状态图17、变化状态图18、变化状态图19、变化状态图20、变化状态图21、变化状态图22、变化状态图23、变化状态图24、变化状态图25、变化状态图26。
 具体而言，当用户选中所述图标时，从主视图开始至各变化状态图，围绕所述图标的框架线内的亮度重复地部分变亮和变暗，所述亮度从所述图标的左上角开始逐渐移到右下角并最终从右下角消失。
 在参考图中，在标记1所示框架线的内部区域中，亮度从所述图标的左上角开始逐渐移到右下角并最终从右下角消失。
 换句话说，所述图标的颜色亮度从左上角开始逐渐向右下角增加，然后扩展到整个图标，进而亮度从左上方到右下方降低，最后整个图标的亮度返回到原始水平。</t>
  </si>
  <si>
    <t>CN307065941S</t>
  </si>
  <si>
    <t>1.本外观设计产品的名称：带有数字媒体操作设置的动态图形用户界面的显示屏幕面板。
 2.本外观设计产品的用途：本外观设计产品涉及带有数字媒体操作设置的动态图形用户界面的显示屏幕面板，其可用于手机、平板电脑、计算机、游戏机、电视、电子书。
 3.本外观设计产品的设计要点：在于所示图形用户界面。
 4.最能表明设计要点的图片或照片：主视图。
 5.图形用户界面的用途：本外观设计所示图形用户界面用于浏览、播放、执行和操作各种数字内容。
 6.图形用户界面的人机交互方式：当用户通过使用控制器或者利用手指触摸主视图所示图形用户界面最右侧的图标时，所述图形用户界面从主视图依次变化至变化状态图1、变化状态图2、变化状态图3、变化状态图4、变化状态图5、变化状态图6、变化状态图7、变化状态图8、变化状态图9、变化状态图10、变化状态图11、变化状态图12、变化状态图13、变化状态图14、变化状态图15、变化状态图16、变化状态图17、变化状态图18。
 具体而言，从主视图开始至各变化状态图，图形用户界面中的最右侧图标从左上角开始亮光，然后逐渐移到右下角并最终从右下角消失。
 换句话说，从主视图开始至各变化状态图，图形用户界面中的最右侧图标的亮度从左上角开始逐渐向右下角增加，然后扩展到整个图标，然后亮度从左上方到右下方降低，最后整个图标的亮度返回到原始水平。</t>
  </si>
  <si>
    <t>CN307065943S</t>
  </si>
  <si>
    <t>1.本外观设计产品的名称：带有数字媒体操作设置的动态图形用户界面的显示屏幕面板。
 2.本外观设计产品的用途：本外观设计产品涉及带有数字媒体操作设置的动态图形用户界面的显示屏幕面板，其可用于手机、平板电脑、计算机、游戏机、电视、电子书。
 3.本外观设计产品的设计要点：在于如图所示图形用户界面。
 4.最能表明设计要点的图片或照片：主视图。
 5.图形用户界面的用途：本外观设计所示图形用户界面用于浏览、播放、执行和操作各种数字内容。
 6.图形用户界面的人机交互方式：当用户通过使用控制器或者利用手指触摸选择显示面板上的图像并且朝左移动所选图像时，图形用户界面从主视图变化至变化状态图1，当用户向右移动所选图像时，图形用户界面从变化状态图1变化至变化状态图2。
 所述图形用户界面可以在主视图、变化状态图1、变化状态图2之间顺序过渡。</t>
  </si>
  <si>
    <t>CN307119223S</t>
  </si>
  <si>
    <t>1.本外观设计产品的名称：带有数字媒体操作设置的动态图形用户界面的显示屏幕面板。
 2.本外观设计产品的用途：本外观设计产品涉及带有数字媒体操作设置的动态图形用户界面的显示屏幕面板，其可用于手机、平板电脑、计算机、游戏机、电视、电子书。
 3.本外观设计产品的设计要点：在于如图所示图形用户界面。
 4.最能表明设计要点的图片或照片：主视图。
 5.图形用户界面的用途：本外观设计所述图形用户界面用于在诸如游戏、静止图像、视频、音乐、电子书和电视广播的多种媒体上观看、播放、执行和操作各种数字内容。
 6.图形用户界面的人机交互方式：当用户通过使用控制器或者利用手指触摸显示面板上的图标时，图形用户界面从主视图依次变化至变化状态图1、变化状态图2、变化状态图3、变化状态图4、变化状态图5、变化状态图6、变化状态图7、变化状态图8、变化状态图9、变化状态图10、变化状态图11、变化状态图12、变化状态图13、变化状态图14、变化状态图15、变化状态图16、变化状态图17、变化状态图18、变化状态图19、变化状态图20、变化状态图21。
 具体而言，从图形用户界面的中心图标的左上角开始闪耀的光逐渐移到右下角并最终从右下角消失。
 换句话说，从图形用户界面的中心图标的颜色的亮度从左上角开始向右下角逐渐增加，然后扩展到整个图像，然后开始从左上方到右下方降低亮度，最后整个图标的亮度返回到原始水平。</t>
  </si>
  <si>
    <t>CN307234879S</t>
  </si>
  <si>
    <t>1.本外观设计产品的名称：用于带有数字媒体操作设置的图形用户界面的显示屏幕面板。
 2.本外观设计产品的用途：本外观设计产品涉及用于带有数字媒体操作设置的显示屏幕面板的图形用户界面，其可用于手机、平板电脑、计算机、游戏机、电视、电子书。
 3.本外观设计产品的设计要点：在于图形用户界面。
 4.最能表明设计要点的图片或照片：设计1主视图。
 5.指定设计1为基本设计。
 6.图形用户界面的用途：本外观设计所示图形用户界面用于浏览播放、执行和操作各种数字内容。
 7.图形用户界面的人机交互方式：设计1：当用户通过使用控制器或者利用手指选择显示面板上的标签时，图形用户界面从设计1主视图变化至设计1变化状态图。
 设计2：当用户通过使用控制器或者利用手指选择显示面板上的标签时，图形用户界面从设计2主视图变化至设计2变化状态图。</t>
  </si>
  <si>
    <t>用于带有数字媒体操作设置的图形用户界面的显示屏幕面板</t>
  </si>
  <si>
    <t>CN307279599S</t>
  </si>
  <si>
    <t>1.本外观设计产品的名称：用于带有数字媒体操作设置的显示屏幕面板的图形用户界面。
 2.本外观设计产品的用途：本外观设计产品涉及用于带有数字媒体操作设置的显示屏幕面板的图形用户界面，其可用于手机、平板电脑、计算机、游戏机、电视、电子书。
 3.本外观设计产品的设计要点：在于如图所示的图形用户界面。
 4.最能表明设计要点的图片或照片：设计1主视图。
 5.指定设计1为基本设计。
 6.图形用户界面的用途：本外观设计所示图形用户界面用于浏览播放、执行和操作各种数字内容。
 7.图形用户界面的人机交互方式：设计1：当用户通过使用控制器或者利用手指选择显示面板上的图像时，图形用户界面从设计1主视图变化至设计1变化状态图1，当用户在设计1主视图中向右滑动图像时，图形用户界面从设计1主视图变化至设计1变化状态图2，当用户在设计1主视图中向左滑动图像时，图形用户界面从设计1主视图变化至设计1变化状态图3。
 如设计1主视图所示，用于选择内容的每个区域中显示要选择的各种内容以及与之相关的各种信息（设计1变化状态图1中包括放大区域的区域称为“所选内容显示区域”）。
 如设计1变化状态图2和设计1变化状态图3所示，可以将一组“所选内容显示区域”左右滚动。
 高亮显示的区域是选定区域，当用户选择并决定选定区域时，选定区域将展开并更改为设计1变化状态图1所示的状态，并且选定内容的详细信息以及与选定内容相关的各种信息显示在所选区域中。
 在除显示所选内容的区域以外的区域中，例如电影图像或墙纸图像不构成要求保护的设计的图像。
 设计2：当用户通过使用控制器或者利用手指选择显示面板上的图像时，图形用户界面从设计2主视图变化至设计2变化状态图1，当用户在设计2主视图中向右滑动图像时，图形用户界面从设计2主视图变化至设计2变化状态图2，当用户在设计2主视图中向左滑动图像时，图形用户界面从设计2主视图变化至设计2变化状态图3。
 如设计2主视图所示，用于选择内容的每个区域中显示要选择的各种内容以及与之相关的各种信息（设计2变化状态图1中包括放大区域的区域称为“所选内容显示区域”）。
 如设计2变化状态图2和设计2变化状态图3所示，可以将一组“所选内容显示区域”左右滚动。
 高亮显示的区域是选定区域，当用户选择并决定选定区域时，选定区域将展开并更改为设计2变化状态图1所示的状态，并且选定内容的详细信息以及与选定内容相关的各种信息显示在所选区域中。
 在除显示所选内容的区域以外的区域中，例如电影图像或墙纸图像不构成要求保护的设计的图像。
 设计3：当用户通过使用控制器或者利用手指选择显示面板上的图像时，图形用户界面从设计3主视图变化至设计3变化状态图1，当用户在设计3主视图中向右滑动图像时，图形用户界面从设计3主视图变化至设计3变化状态图2，当用户在设计3主视图中向左滑动图像时，图形用户界面从设计3主视图变化至设计3变化状态图3。
 如设计3主视图所示，用于选择内容的每个区域中显示要选择的各种内容以及与之相关的各种信息（设计3变化状态图1中包括放大区域的区域称为“所选内容显示区域”）。
 如设计3变化状态图2和设计3变化状态图3所示，可以将一组“所选内容显示区域”左右滚动。
 高亮显示的区域是选定区域，当用户选择并决定选定区域时，选定区域将展开并更改为设计3变化状态图1所示的状态，并且选定内容的详细信息以及与选定内容相关的各种信息显示在所选区域中。
 在除显示所选内容的区域以外的区域中，例如电影图像或墙纸图像不构成要求保护的设计的图像。
 设计4：当用户通过使用控制器或者利用手指选择显示面板上的图像时，图形用户界面从设计4主视图变化至设计4变化状态图1，当用户在设计4主视图中向右滑动图像时，图形用户界面从设计4主视图变化至设计4变化状态图2，当用户在设计4主视图中向左滑动图像时，图形用户界面从设计4主视图变化至设计4变化状态图3。
 如设计4主视图所示，用于选择内容的每个区域中显示要选择的各种内容以及与之相关的各种信息（设计4变化状态图1中包括放大区域的区域称为“所选内容显示区域”）。
 如设计4变化状态图2和设计4变化状态图3所示，可以将一组“所选内容显示区域”左右滚动。
 高亮显示的区域是选定区域，当用户选择并决定选定区域时，选定区域将展开并更改为设计4变化状态图1所示的状态，并且选定内容的详细信息以及与选定内容相关的各种信息显示在所选区域中。
 在除显示所选内容的区域以外的区域中，例如电影图像或墙纸图像不构成要求保护的设计的图像。
 虚线所示部分仅出于说明目的，不构成所要求保护的设计的部分。
 设计1‑4中的参考图示出了使用中的图像，并且不构成所要求保护的设计的部分。
 过渡图像的外观在主视图和变化状态图所示的图像之间顺序过渡。
 这些设计的主题包括图像变为其它图像的过程或周期，此过程或期间不构成要求保护的设计的部分。</t>
  </si>
  <si>
    <t>用于带有数字媒体操作设置的显示屏幕面板的图形用户界面</t>
  </si>
  <si>
    <t>KR1020220135311A</t>
  </si>
  <si>
    <t>本发明公开了一种基于深度学习的比赛预测方法及装置。 使用神经网络预测游戏结果的方法包括以下步骤:收集关于过去玩过的游戏中的玩家的玩家数据;对玩家数据进行数据预处理;以及使用数据创建游戏预测模型。预处理已经完成,包括学习步骤和利用学习到的比赛预测模型获得比赛结果的预测值的步骤。</t>
  </si>
  <si>
    <t>基于深度学习的体育彩票预测方法及装置</t>
  </si>
  <si>
    <t>KR1020220135312A</t>
  </si>
  <si>
    <t>本发明公开了一种基于深度学习的比赛预测方法及装置。 使用神经网络预测游戏结果的方法包括以下步骤:从提供者终端接收有关玩家过去玩过的游戏的玩家数据,对玩家数据进行数据预处理,并使用该玩家数据来确定游戏。经过数据预处理的球员数据,包括训练预测模型的步骤和利用学习到的比赛预测模型获得球员成绩的预测值的步骤。</t>
  </si>
  <si>
    <t>基于深度学习的体育个人彩票预测方法及装置</t>
  </si>
  <si>
    <t>IN202111014128A</t>
  </si>
  <si>
    <t>一种标枪投掷训练系统,包括:可穿戴身体1,被配置为在标枪场地4内投掷标枪时适配在运动员的手掌2和手3上,人工智能驱动的热成像相机5捕获实时图像 播放器确定播放技术,连接的微控制器用于接收捕获的实时图像并与预先输入的图像数据进行比较并在播放标枪过程中图像不匹配的情况下生成命令,与微控制器无线连接的全息图像模块 用于将不匹配的图像投射到球场内的墙上 4,显示面板 7 用于显示基于玩家技能水平的选项集,以及至少三个安装在主体 1 上的传感器,用于检测标枪投掷速度、倾斜度 标枪的角度,球员的疲劳程度。</t>
  </si>
  <si>
    <t>标枪投掷训练系统</t>
  </si>
  <si>
    <t>IN202111014148A</t>
  </si>
  <si>
    <t>一种跨栏运动员训练系统,包括用户穿戴的具有多个传感器的紧身衣1,用于确定用户在跑道上跑步时的身体疲劳体验,步态分析模块2,用于记录用户在跑道时身体1的姿势、速度和腿部运动。 跑步,控制器连接用于收集传感器和步态分析模块2提供的信息以分析用户的跑步技术,多个栏架3配备基于人工智能的热成像单元,根据分析的用户跑步技术实施的学习阶段组装在跑道上 通过控制器,在特定高度上启动特定数量的栏架3,以训练使用者根据初级、中级或专家水平跨栏架3,投影单元4提供图形建议以改善跑姿和跨栏技术, 帮助用户提高跨栏比赛的成绩。</t>
  </si>
  <si>
    <t>跨栏运动员训练系统</t>
  </si>
  <si>
    <t>KR1020210083215A</t>
  </si>
  <si>
    <t>根据本发明实施例的游泳池控制系统包括由可移动容器形成的游泳池; 以及控制与游泳池内部空间中储存的水相关的游泳池状况的控制装置,其中,游泳池状况包括游泳池水的水质、水温和水位。</t>
  </si>
  <si>
    <t>基于人工智能的用于生存游泳教育的移动集装箱游泳池的控制系统,其控制单元能够控制分隔池区域的状况</t>
  </si>
  <si>
    <t>KR1020210083214A</t>
  </si>
  <si>
    <t>具有可测量大气温度的传感器单元的用于生存游泳教育的基于人工智能的移动容器游泳池控制系统</t>
  </si>
  <si>
    <t>JP2022152638A</t>
  </si>
  <si>
    <t>有一种技术可以对 2D 图像执行 3D 骨骼识别。 此时,由于无法准确识别出隐藏在二维图像中的骨架,因此以部分隐藏的二维图像为输入生成机器学习模型,由于需要自己生成图像,因此生成学习数据是昂贵。 
  获取多个摄像头设备拍摄的人物的多张二维图像,分别从多张二维图像中检测出表示人物关节的特征点,并将特征点组合成三维图像。获取人的第一骨骼数据,从多个第一骨骼数据计算表示关节之间的方位的第一骨骼方位数据,并计算第一骨骼方位数据通过扩展获取第二骨骼方位数据,并且机器学习使用第二骨架方向数据作为特征值和第一骨架方向数据作为正确标签来提供通过机器学习生成的训练模型。</t>
  </si>
  <si>
    <t>训练模型、体操评分支持系统和骨骼识别方法</t>
  </si>
  <si>
    <t>IN202111013830A</t>
  </si>
  <si>
    <t>一种篮球训练装置,包括机器人本体1,机器人本体1由安装有辅助本体1全方位移动的万向轮4的爬行底座2、位于本体1上的AI(人工智能)热像仪3组成,用于 捕获玩家的实时活动以识别用户的游戏技术,控制面板 5 映射在身体 1 上,显示一组选项,用户可以根据他们的技能进行选择,并显示适当的方法和技术 为使用者提供游戏,一对吸力装置8安装在身体1的手掌部分,在与使用者一起玩时抓住篮球,多个喷嘴6设置在手掌部分,利用加压气体将球排出至篮球边缘 .</t>
  </si>
  <si>
    <t>IN202111014121A</t>
  </si>
  <si>
    <t>一种增强用户交互的锻炼装置,包括:适于放置在水下并允许用户进行锻炼的主体1;允许用户在带2上在第一和第二方向上行走/跑步的全向带2;手势 用于接收人工智能摄像头视角下手势的识别模块3、用于监测用户实时健康状况的生命检测传感器、与传感器关联的控制单元,其中微控制器验证接收到的手势信号并比较监测到的健康状况 、与用于跟踪来自用户的大脑信号的控制单元相关联的头带4、和充满水并允许水经由电子阀通过的多个腔室5、以及经由管道与电子阀相关联的分配单元6以用于 以用户定义的方式分配水。</t>
  </si>
  <si>
    <t>增强用户交互的锻炼设备</t>
  </si>
  <si>
    <t>CN113468945A</t>
  </si>
  <si>
    <t>本发明公开了一种游泳者溺水检测方法、介质及设备，其中方法包括：获取游泳者正常行为的历史视频图像，并对所述历史视频图像进行预处理，以生成训练数据；根据所述训练数据进行深度学习模型的训练，以生成深度学习异常检测模型；获取待检测视频图像，并对所述待检测视频图像进行预处理，以生成待检测数据，以及将所述待检测数据输入到所述深度学习异常检测模型，以便根据所述深度学习异常检测模型的输出结果判断所述待检测视频图像对应的游泳者是否溺水；能够有效提高游泳者溺水行为的识别率，保障游泳者游泳过程中的生命安全。</t>
  </si>
  <si>
    <t>游泳者溺水检测方法</t>
  </si>
  <si>
    <t>CN113033407B</t>
  </si>
  <si>
    <t>本发明涉及一种利用智能音箱的非接触式健身监测方法，属于移动计算应用技术领域。本发明仅依靠智能音箱中的扬声器发出超出人耳听力范围的高频声音，麦克风接收反射信号，即可实现对健身动作的识别，为在室内健身的用户提供细粒度的健身统计和评价。本发明方法成本低、抗干扰性强、不存在泄露隐私问题、用户体验好，适用于家庭、办公室等室内的监测环境。本发明采用的高频声音，超过了生活中大部分噪音的频率，不易受环境噪音的干扰，大大增强了本非接触式健身监测方法的环境鲁棒性。本发明可以对典型健身动作进行监测评价，结合深度学习技术和增量学习技术，在感知能力有限的智能音箱上获得准确的动作信息，具有很高的准确性。</t>
  </si>
  <si>
    <t>一种利用智能音箱的非接触式健身监测方法</t>
  </si>
  <si>
    <t>KR102502842B1</t>
  </si>
  <si>
    <t>本发明利用安装在实际台球场地中的LiDAR传感器采集台球杆的运动和每个台球的轨迹信息,同时对采集到的大数据进行分析,得到分析数据。基于此,人工智能通过学习算法,根据每个台球在体验台球台上的位置,为用户提供最佳击球信息,可以最大限度地提高台球练习的效率和效果,并为用户提供互动服务台球练习,这是可能的,它涉及一种使用激光雷达传感器的台球比赛大数据收集系统,可以通过诱导用户的兴趣和参与来增加流行度,以及一种使用收集的大数据和人工智能的体验式台球练习系统。</t>
  </si>
  <si>
    <t>使用LiDAR传感器的台球比赛大数据采集系统和使用采集的大数据和人工智能的台球体验式练习系统</t>
  </si>
  <si>
    <t>IN202111012609A</t>
  </si>
  <si>
    <t>本发明涉及一种防溺水救生系统,包括:安装在游泳池1外围的人工智能图像捕获单元2,用于捕获用户在游泳池1内游泳的图像;热图像捕获单元3也安装在游泳池1的外围。 池 1 的外围跟踪用户的生命体征和水下位置,与人工和热图像捕获单元 2,3 配对的微控制器,微控制器处理从图像捕获单元 2,3 接收的数据并生成 如果发现与用户的手势、生命体征或位置相关的任何异常情况,安装在游泳池 1 的墙壁和底座内的安全模块,根据溺水程度从微控制器接收到不同配置的命令后激活 为了在游泳时为所述用户提供安全。</t>
  </si>
  <si>
    <t>防溺水救生系统</t>
  </si>
  <si>
    <t>CN113040081B</t>
  </si>
  <si>
    <t>本发明公开了一种基于鱼群游泳能耗分析的循环水养殖鱼类智能投喂决策系统，该系统包括循环水处理系统、投饲机、循环水养殖池、PLC控制器、LED补光灯、高清摄像机、计算机、变频水泵；该系统主要运用机器视觉和深度学习技术对循环水养殖鱼群的游泳能耗进行实时分析和评估，并利用自主构建的“饱食程度‑游泳能耗”模型预测养殖鱼群实时摄食需求，进而实现循环水养殖中投喂量的智能决策。本发明的系统结构简单，方法简便有效，能大大降低依赖人工经验进行投喂量决策所带来的不确定性，在满足养殖鱼群生长所需的能量供给，有效提高循环水养殖的生产效率，符合水产养殖福利化的发展需求。</t>
  </si>
  <si>
    <t>基于鱼群游泳能耗分析的循环水养殖鱼类投喂决策系统</t>
  </si>
  <si>
    <t>IN202111012925A</t>
  </si>
  <si>
    <t>一种用于游泳的自适应训练系统,包括安装在游泳池 2 中的水流调节器 1,其中调节器 1 以预定速度向池 2 内填充的水产生人工流量以允许用户游泳,AI(人工智能) 启用与水池 2 关联的摄像头模块 3 以捕捉用户在游泳时的图像,并从图像中提取细节以确定用户拥有的游泳水平,微控制器与摄像头模块 3 互连以指导调节器 1 的操作以调节水流速度 水池 2 根据用户的能力,控制面板 4 与微控制器配对,其中面板 4 从用户那里获取关于用户希望练习的游泳风格的输入,以及链接到微控制器的数据库,该微控制器获取关于与游泳风格相对应的理想水流速度的数据,以及 调节水流,方便用户练习。 参考 图1</t>
  </si>
  <si>
    <t>适应性游泳训练系统</t>
  </si>
  <si>
    <t>KR102505469B1</t>
  </si>
  <si>
    <t>本发明使用LIDAR传感器使用实际棒球运动员(位置,运动方向,移动速度等)以及每组Cubes(S)和人工智能算法的球移动信息。分析使用使用的大数据根据每个运动员类别的统计数据和情况,图案信息,并根据在线棒球游戏应用模式信息来根据检测到的类别和情况应用模式信息。除了最大化在线棒球游戏的现实主义和现实外通过最大程度地提高运动员角色和实际球员的共识,用户通过反映击球手和投手之间的各种手术和斗争,球的速度和方向,是一个可以增强的大数据收集系统,通过反映击球手和投手之间的各种操作和挣扎来增强球员的兴趣。参与和乐趣,并增强用户参与在线棒球游戏,以提供面向用户的服务和在线棒球游戏提供系统。</t>
  </si>
  <si>
    <t>使用激光雷达传感器的棒球比赛大数据采集系统及使用它的在线棒球比赛提供系统</t>
  </si>
  <si>
    <t>CN113011343B</t>
  </si>
  <si>
    <t>本发明公开了一种基于人工智能的跑步智能计时方法，其步骤包括：1摄像机采集跑步者的跑步视频并统计跑步人数；2起点摄像头对起点处的跑步者进行起跑检测并判断有无抢跑行为；3跑步者跑步过程中，摄像机对进入自身有效区域视野范围内的所有跑步者进行人体追踪和人体检测；4跑步者跑步结束后，通过多种身份认证方式，包括：人脸识别、指纹识别、虹膜识别，支持现场灵活使用。本发明能利用人工智能实现对跑步时间的智能计时，省时省力，从而能保证成绩公平的同时提高计时准确性。</t>
  </si>
  <si>
    <t>一种基于人工智能的跑步智能计时方法</t>
  </si>
  <si>
    <t>CN113052061A</t>
  </si>
  <si>
    <t>本发明属于深度学习与图形图像处理领域，具体公开了一种基于人体姿态估计的速度滑冰运动员动作识别方法，该方法包括如下步骤：s1、获取速度滑冰视频中运动员的人体关键节点序列；s2、将获取到的姿态序列输入到图卷积动作识别网络中；s3、利用图卷积网络判断速度滑冰运动员的动作类别；s4、将动作姿态以及动作类别显示到视频，辅助教练员分析。本发明方法通过使用深度神经网络对于速度滑冰运动员的动作姿态进行分析，反馈给教练员，帮助提高运动员的运动水平。</t>
  </si>
  <si>
    <t>一种基于人体姿态估计的速度滑冰运动员动作识别方法</t>
  </si>
  <si>
    <t>CN113256052A</t>
  </si>
  <si>
    <t>本发明公开一种体育考试专用的智能化考试系统，它至少包括云平台、项目主机、发令考务通、验证考务通和采集设备，云平台与项目主机连接，项目主机由多个考试项目主机组成，每个考试项目主机均至少与发令考务通、验证考务通和采集设备连接，发令考务通外接音频输出设备，采集设备由多个考试项目采集设备组成。本发明通过云平台，结合人脸识别和图像识别技术，实现以下功能：通过图像识别，自动给考生打分，降低人为失误，降低家长及学生质疑概率；使用采集设备替代部分考务人员，降低人力投入成本。</t>
  </si>
  <si>
    <t>一种体育考试专用的智能化考试系统</t>
  </si>
  <si>
    <t>CN214714240U</t>
  </si>
  <si>
    <t>本实用新型属于智能检测设备技术领域，尤其为一种便于安装的乒乓球用人工智能监测装置，包括固定块，所述固定块上开设有凹槽，所述固定块的底部内壁上通过螺纹安装有螺纹杆，所述螺纹杆的顶部转动安装有下挤压板，所述凹槽的顶部设有上挤压板，所述固定块的一侧焊接有横板，所述横板的顶部开设有滑槽，所述滑槽内滑动安装有滑块，所述滑块的顶部焊接有立杆，所述立杆的一侧滑动安装有锁紧杆，所述立杆的顶部焊接有承重板，本实用新型结构简单、使用方便，通过螺纹杆和挤压板之间的配合，起到快速和桌面固定的作用，同时设置两个调节杆，能够根据实际情况对设备的高度调节，使用起来更加便捷。</t>
  </si>
  <si>
    <t>一种便于安装的乒乓球用人工智能监测装置</t>
  </si>
  <si>
    <t>CN113136681A</t>
  </si>
  <si>
    <t>本发明属于智能家居领域，具体提供一种健身器材与洗衣机的联动方法，旨在解决现有健身器材与洗衣机之间联动程度不够、智能化程度不高的问题。为此目的，本发明的方法包括：当用户停止使用健身器材时，获取用户在健身器材上的消耗能量并将消耗能量与设定阈值进行比较；如果消耗能量大于设定阈值，则洗衣机根据服务器的命令运行洗涤程序或自行运行洗涤程序，并且通过洗衣机中的语音物联网模块识别用户语音命令，确认相关操作，控制洗衣机的主控模块；联动场景中还可以配置智能音箱，同样可以识别用户的语音命令，同时可以为用户提供语音提示。通过本方法，可以提升健身器材与洗衣机之间的联动程度并因此简化用户操作，提升用户体验。</t>
  </si>
  <si>
    <t>健身器材与洗衣机的联动方法</t>
  </si>
  <si>
    <t>US20210295159A1</t>
  </si>
  <si>
    <t>所公开的技术能够基于使用机器学习的自我验证对数字竞赛进行仲裁。 训练神经网络以识别来自数字比赛的数字比赛结果图像。 第一计算设备用于将第一和第二用户组订阅到数字竞赛仲裁平台。 第二个计算设备用于使用组之间的数字分类帐令牌执行数字合同,其中数字合同与数字竞争的结果有关。 神经网络用于验证比赛结果。 验证基于来自第一用户组和第二用户组的报告。 第一用户组提交结果的输入图像,例如屏幕截图。 屏幕截图被接受为基于来自神经网络的结果以及没有从第二个用户组提交的结果的自我验证。</t>
  </si>
  <si>
    <t>使用机器学习的数字竞赛自我验证</t>
  </si>
  <si>
    <t>EP4060366A1</t>
  </si>
  <si>
    <t>提供了一种用于监测用户进行体育锻炼的方法。 该方法包括使用雷达传感器(110)对进行体育锻炼的用户(101)进行雷达测量。 雷达传感器输出指示雷达测量的雷达数据。 此外,该方法包括使用训练的机器学习模型基于雷达数据确定体育锻炼的类型。 此外,该方法包括使用训练的机器学习模型基于雷达数据和确定的体育锻炼类型来确定体育锻炼的执行质量。 该方法包括输出至少指示所确定的体育锻炼的执行质量的监测数据(121)。</t>
  </si>
  <si>
    <t>用于监控用户进行体育锻炼的方法、设备、本地设备和服务器</t>
  </si>
  <si>
    <t>CN306753084S</t>
  </si>
  <si>
    <t>1.本外观设计产品的名称：显示屏幕面板的测量尺寸的图形用户界面。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5.图形用户界面的用途：用于人机交互和实现显示屏幕面板的功能，并且可以用于测量物体的尺寸。
 6.图形用户界面的人机交互方式：图形用户界面可以通过轻击、滑动或滚动图形用户界面或通过沿着任意方向移动显示屏幕面板来交互。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显示系统、电视、监视器、投影仪、用于车辆的显示器、导航设备、机顶盒、游戏机；显示屏幕面板为惯常设计，故省略其他视图。</t>
  </si>
  <si>
    <t>显示屏幕面板的测量尺寸的图形用户界面</t>
  </si>
  <si>
    <t>CN306817840S</t>
  </si>
  <si>
    <t>1.本外观设计产品的名称：显示屏幕面板的图标操作动态图形用户界面。
 2.本外观设计产品的用途：用于运行程序、显示信息。
 3.本外观设计产品的设计要点：在于屏幕中图形用户界面的界面内容。
 4.最能表明设计要点的图片或照片：设计1主视图。
 5.各设计后视图、左视图、右视图、俯视图、仰视图无设计要点，省略各设计后视图、左视图、右视图、俯视图、仰视图。
 6.指定设计1为基本设计。
 7.图形用户界面的用途：图形用户界面用于界面中图标位置的操作，可根据使用者的需要将图标翻页放置。
 8.图形用户界面的人机交互方式：长按或拖拽。
 9.图形用户界面的变化状态说明：在设计1和设计2中当使用者长按主视图中的图标后进入界面变化状态图1；使用者将图标拖拽到界面的右侧并悬停后，界面中显示的翻页图标进入界面变化状态图2；使用者持续将图标悬停在界面的右侧，界面的右侧所显示的翻页图标向左移动并变化为细长状进入界面变化状态图3；使用者再持续将图标悬停在界面的右侧，图标的显示界面翻转到图标排列的空白界面进入界面变化状态图4；使用者将图标拖拽到图标排列的空白页界面的图标排列区域，进入界面变化状态图5，完成图标移动放置到空白界面的动态操作。
 在设计3和设计4中当使用者长按主视图中的图标并进行拖拽后进入界面变化状态图1；使用者将图标拖拽到界面的左侧并悬停后，进入界面变化状态图2；使用者持续将图标悬停在界面的左侧，界面的左侧所显示的翻页图标向右侧移动并变化为细长状进入界面变化状态图3；使用者再持续图标在界面的左侧悬停，图标的显示界面翻转到图标排列的上一页界面进入界面变化状态图4；使用者将图标拖拽到使用者所需位置，进入界面变化状态图5，界面变化状态图6为完成图标移动放置到上一页界面的动态操作。
 在设计5和设计6中当使用者长按主视图中的图标后进入界面变化状态图1；使用者将图标拖拽到界面的右侧并悬停后，进入界面变化状态图2；使用者持续将图标悬停在界面的右侧，界面的右侧所显示的翻页图标向左移动并变化为细长状进入界面变化状态图3；使用者再持续将图标悬停在界面的右侧，图标的显示界面翻转到图标排列的下一页界面进入界面变化状态图4；使用者将图标拖拽到使用者所需位置，进入界面变化状态图5，完成图标移动放置到下一页界面的动态操作。
 在设计7和设计8中当使用者长按后并拖拽移动主视图中的图标后进入界面变化状态图1；使用者将图标拖拽到界面的左侧并悬停后，进入界面变化状态图2；使用者持续将图标悬停在界面的左侧，界面的左侧所显示的翻页图标向所拖拽的图标右侧移动并变化为细长状进入界面变化状态图3；使用者再持续图标在界面的左侧悬停，图标的显示界面翻转到图标排列的上一页界面进入界面变化状态图4；使用者将图标拖拽到使用者所需位置，进入界面变化状态图5，界面变化状态图6 为完成图标移动放置到上一页界面的动态操作。
 10.该显示屏幕面板及图形用户界面应用于电子设备，即计算机、笔记本电脑、平板电脑、手机、智能手机、可穿戴设备、智能眼镜、虚拟现实眼镜、增强现实眼镜、混合现实眼镜、手表、智能手表、健身监视器、头戴式耳机、智能音箱、电视、机顶盒。</t>
  </si>
  <si>
    <t>显示屏幕面板的图标操作动态图形用户界面</t>
  </si>
  <si>
    <t>CN306840068S</t>
  </si>
  <si>
    <t>1.本外观设计产品的名称：显示屏幕面板的测量尺寸的图形用户界面。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5.图形用户界面的用途：用于人机交互和实现显示屏幕面板的功能，并且可以用于测量物体的尺寸。
 6.图形用户界面的人机交互方式：图形用户界面可以通过轻击、滑动或滚动图形用户界面或通过沿着任意方向移动显示屏幕面板来交互。
 7.显示屏幕面板可应用于计算机、笔记本电脑、平板电脑、手机、智能手机、智能手环、智能眼镜、手表、智能手表、健身监视器、头戴式耳机、个人数字助理、智能音箱、电视、监视器、投影仪、用于车辆的显示器、导航设备、机顶盒、游戏机；显示屏幕面板为惯常设计，故省略其他视图。</t>
  </si>
  <si>
    <t>WO2021197067A1</t>
  </si>
  <si>
    <t>本申请提供一种跑步姿态检测方法与穿戴设备，该方法应用于人工智能、人机交互领域。该方法包括：用户左脚佩戴穿戴设备跑步的过程中，所述穿戴设备检测所述用户左脚的第一跑姿参数；所述第一跑姿参数用于表征所述用户左脚在跑步过程中的状态；或者，用户右脚佩戴穿戴设备跑步的过程中，所述穿戴设备检测所述用户右脚的第二跑姿参数；所述第二跑姿参数用于表征所述用户右脚在跑步过程中的状态；根据所述第一跑姿参数和所述第二跑姿参数，确定所述用户的平衡度；根据所述平衡度，确定所述用户的跑步姿态是否正确。该方法中，穿戴设备可以对用户的跑步姿态评价，以指导用户正确、健康的跑步。</t>
  </si>
  <si>
    <t>一种跑步姿态检测方法与穿戴设备</t>
  </si>
  <si>
    <t>CN306915485S</t>
  </si>
  <si>
    <t>1.本外观设计产品的名称：显示屏幕面板的测量尺寸的图形用户界面。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6.图形用户界面的用途：用于人机交互和实现显示屏幕面板的功能，并且可以用于测量物体的尺寸。
 7.图形用户界面的人机交互方式：图形用户界面可以通过轻击、滑动或滚动图形用户界面或通过沿着任意方向移动显示屏幕面板来交互。
 8.显示屏幕面板可应用于计算机、笔记本电脑、平板电脑、手机、智能手环、智能眼镜、手表、健身监视器、头戴式耳机、个人数字助理、智能音箱、电视、监视器、投影仪、用于车辆的显示屏、导航设备、机顶盒、游戏机；显示屏幕面板为惯常设计，故省略其他视图。</t>
  </si>
  <si>
    <t>CN112667799B</t>
  </si>
  <si>
    <t>本发明公开了一种基于语言模型和实体匹配的医疗问答系统构建方法，包括S1.数据收集，S2.深度神经网络模型设计，S3.训练命名实体识别模型并构建知识图谱，S4.构建完整的医疗检索式问答系统。收集网络医疗讨论帖清洗后存入到ElasticSearch中，用于作为检索数据集；使用医疗自然语言处理比赛数据集的开源数据，训练出医疗相关的命名实体识别模型；收集开源网站的公开数据集构成医疗知识图谱，来扩充检索流程。本发明基于语言模型和实体匹配的医疗问答系统方法，构建问答系统在经过召回、精排和综合评分几个步骤之后，结合合理的评分机制，输出一个最为合适的回答，弥补检索式问答系统和知识图谱式问答系统的缺陷。</t>
  </si>
  <si>
    <t>一种基于语言模型和实体匹配的医疗问答系统构建方法</t>
  </si>
  <si>
    <t>CN112990011A</t>
  </si>
  <si>
    <t>本发明涉及一种基于机器视觉和深度学习的健身动作识别评估方法，包括以下步骤：获取待评估健身动作视频，设定动作类型；建立每一帧视频图像的人体骨架模型；提取动作与标准动作最接近的一帧视频图像作为待评估图像；建立获取动作分数的评分规则标准；计算待评估图像中人体骨架模型的距离特征和角度特征，根据评分标准中动作类型对应的评分标准对待评估图像中的动作进行评分。与现有技术相比，本发明采用自下而上的人体姿态识别算法，对人体健身动作进行识别，获取相关动作分数，提高获取分数的准确性和效率，能够有效对错误动作进行提示，提高健身效率。</t>
  </si>
  <si>
    <t>基于机器视觉和深度学习的健身动作识别评估方法</t>
  </si>
  <si>
    <t>CN113011310B</t>
  </si>
  <si>
    <t>本发明涉及体育器材技术领域，公开了一种基于图像识别和感应篮板采集投篮运动量的方法、装置、计算机设备及存储介质。通过本发明创造，可提供一种基于图像识别和感应篮板采集投篮运动量的全新方法，即在应用到布置有双目镜头相机和感应篮板的投篮训练场所中时，可通过对投篮监控视频进行篮球/人体图像识别和空间定位，确定出单次投篮过程中的篮球运动轨迹，然后进一步根据篮球运动轨迹计算出篮球所具有的机械能，最后可根据能量守恒定律和该机械能确定出运动员因投篮所消耗的热量，即采集到运动员的投篮运动量，解决当前投篮训练场所不能采集到运动员投篮运动量的问题。</t>
  </si>
  <si>
    <t>采集投篮运动量的方法、装置、计算机设备及存储介质</t>
  </si>
  <si>
    <t>US20220292281A1</t>
  </si>
  <si>
    <t>一种检测感兴趣区域内游荡事件的方法包括:捕获进入感兴趣领域的人体;跟踪人体的地位;确定人体无法检测到;根据当前时间获得地板区域的相应图像数据;确定相应的图像数据中存在斑点;计时地板区域的斑点持续时间;当持续时间超过第一个预定阈值时,检测游泳事件。</t>
  </si>
  <si>
    <t>游荡与流浪计算机视觉 Ai</t>
  </si>
  <si>
    <t>CN306832183S</t>
  </si>
  <si>
    <t>1.本外观设计产品的名称：显示屏幕的显示活动情况信息的图形用户界面。
 2.本外观设计产品的用途：显示屏幕面板用于显示图形用户界面。
 3.本外观设计产品的设计要点：在于图形用户界面。
 4.最能表明设计要点的图片或照片：设计1局部放大图。
 5.指定设计1为基本设计。
 6.图形用户界面的用途：用于人机交互和实现显示屏幕面板的功能，并且可以用于显示活动情况信息，包括体育活动或运动信息。
 7.图形用户界面的人机交互方式：图形用户界面可以通过触摸、轻击、滑动或滚动图形用户界面来交互。
 8.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</si>
  <si>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显示屏幕的显示活动情况信息的图形用户界面</t>
  </si>
  <si>
    <t>CN306840066S</t>
  </si>
  <si>
    <t>1.本外观设计产品的名称：显示屏幕的显示活动情况信息的图形用户界面。
 2.本外观设计产品的用途：显示屏幕面板用于显示图形用户界面。
 3.本外观设计产品的设计要点：在于图形用户界面。
 4.最能表明设计要点的图片或照片：局部放大图。
 5.图形用户界面的用途：用于人机交互和实现显示屏幕面板的功能，并且可以用于显示活动情况信息，包括训练中已经经过的时间、训练剩余的时间、心率、消耗的卡路里、行进的距离。
 6.图形用户界面的人机交互方式：图形用户界面可以通过触摸或轻击图形用户界面来交互。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</si>
  <si>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CN306840065S</t>
  </si>
  <si>
    <t>1.本外观设计产品的名称：显示屏幕的显示活动情况信息的图形用户界面。
 2.本外观设计产品的用途：显示屏幕面板用于显示图形用户界面。
 3.本外观设计产品的设计要点：在于图形用户界面。
 4.最能表明设计要点的图片或照片：局部放大图。
 5.图形用户界面的用途：用于人机交互和实现显示屏幕面板的功能，并且可以用于显示活动情况信息，包括体育活动或运动信息。
 6.图形用户界面的人机交互方式：图形用户界面可以通过触摸、轻击、滑动或滚动图形用户界面来交互。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</si>
  <si>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CN306847467S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</si>
  <si>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5.图形用户界面的用途：用于人机交互和实现显示屏幕面板的功能，并且可以用于显示时间以及用于显示和追踪已经过去的时间。
 6.图形用户界面的人机交互方式：图形用户界面可以通过轻击、触摸、滑动或按压图形用户界面或通过沿着任意方向移动显示屏幕面板或通过操作具有该显示屏幕面板的电子设备来交互。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用于车辆的显示器、导航设备、机顶盒、游戏机；显示屏幕面板为惯常设计，故省略其他视图。</t>
  </si>
  <si>
    <t>显示屏幕面板的显示时间的图形用户界面</t>
  </si>
  <si>
    <t>CN306928664S</t>
  </si>
  <si>
    <t>1.本外观设计产品的名称：显示屏幕面板的显示活动情况信息的图形用户界面。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5.图形用户界面的用途：用于人机交互和实现显示屏幕面板的功能，并且可以用于显示活动情况信息，包括体育活动或运动信息。
 6.图形用户界面的人机交互方式：图形用户界面可以通过触摸、轻击、滑动或滚动图形用户界面来交互。
 7.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浅灰色覆盖的圆形不构成请求保护的外观设计的一部分，并且可以是诸如图像的内容。</t>
  </si>
  <si>
    <t>显示屏幕面板的显示活动情况信息的图形用户界面</t>
  </si>
  <si>
    <t>CN306928663S</t>
  </si>
  <si>
    <t>1.本外观设计产品的名称：显示屏幕面板的显示活动情况信息的图形用户界面。
 2.本外观设计产品的用途：显示屏幕面板用于显示图形用户界面。
 3.本外观设计产品的设计要点：在于图形用户界面。
 4.最能表明设计要点的图片或照片：设计1局部放大图。
 5.指定设计1为基本设计。
 6.图形用户界面的用途：用于人机交互和实现显示屏幕面板的功能，并且可以用于显示活动情况信息，包括体育活动或运动信息。
 7.图形用户界面的人机交互方式：图形用户界面可以通过触摸、轻击、滑动或滚动图形用户界面来交互。
 8.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t>
  </si>
  <si>
    <t>CN306928665S</t>
  </si>
  <si>
    <t>1.本外观设计产品的名称：显示屏幕面板的显示活动情况信息的图形用户界面。
 2.本外观设计产品的用途：显示屏幕面板用于显示图形用户界面。
 3.本外观设计产品的设计要点：在于图形用户界面。
 4.最能表明设计要点的图片或照片：局部放大图。
 5.图形用户界面的用途：用于人机交互和实现显示屏幕面板的功能，并且可以用于显示活动情况信息，包括体育活动或运动信息。
 6.图形用户界面的人机交互方式：图形用户界面可以通过触摸、轻击、滑动或滚动图形用户界面来交互。
 7.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t>
  </si>
  <si>
    <t>CN113438443A</t>
  </si>
  <si>
    <t>本发明公开了一种具有图像特征识别功能的应急场所监测预警系统，包括若干个预警节点与至少一个监控值班室，所述预警节点包括：数据存储模块、用于对预警节点周边的岸边及水面进行视频录制的视频录制模块、用于对水体水文数据进行采集的水文数据采集模块、用于在紧急情况时发出警报的警报模块，所述警报模块包括高音喇叭与LED指示牌，所述监控值班室包括服务器；本发明可对位于水中的人员进行动作识别，以在平时监测周边游泳、钓鱼、滑冰等人员信息，并利用卷积神经网络图像识别系统判定是否有人员发生溺水现象，以及时通过警报模块发出警报，通知附近人员及时进行救援，提高了附近人员的安全性，做到真正的平战结合。</t>
  </si>
  <si>
    <t>一种具有图像特征识别功能的应急场所监测预警系统</t>
  </si>
  <si>
    <t>CN306855823S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</si>
  <si>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
 6.图形用户界面的人机交互方式：图形用户界面可以通过触摸、轻击、按压、滑动或滚动图形用户界面或通过沿着任意方向移动显示屏幕面板或通过操作具有该显示屏幕面板的电子设备来交互。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用于车辆的显示器、导航设备、机顶盒、游戏机；显示屏幕面板为惯常设计，故省略其他视图。</t>
  </si>
  <si>
    <t>CN306855824S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</si>
  <si>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5.图形用户界面的用途：用于人机交互和实现显示屏幕面板的功能，并且可以用于显示和选择当地时间或其它时间。
 6.图形用户界面的人机交互方式：图形用户界面可以通过轻击、滚动或滑动图形用户界面和/或通过沿着任意方向移动显示屏幕面板和/或通过操作具有该显示屏幕面板的电子设备来交互。
 7.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用于车辆的显示器、导航设备、机顶盒、游戏机；显示屏幕面板为惯常设计，故省略其他视图。</t>
  </si>
  <si>
    <t>CN306855825S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</si>
  <si>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5.图形用户界面的用途：用于人机交互和实现显示屏幕面板的功能，并且可以用于显示和选择当地时间或其它时间。
 6.图形用户界面的人机交互方式：图形用户界面可以通过轻击、滚动或滑动图形用户界面和/或通过沿着任意方向移动显示屏幕面板和/或通过操作具有该显示屏幕面板的电子设备来交互。
 7.图形用户界面的外观依次从主视图变化到变化状态图1、变化状态图2和变化状态图3。
 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用于车辆的显示器、导航设备、机顶盒、游戏机；显示屏幕面板为惯常设计，故省略其他视图。</t>
  </si>
  <si>
    <t>CN306900463S</t>
  </si>
  <si>
    <t>1.本外观设计产品的名称：显示屏幕面板的定制视觉通讯特征的图形用户界面。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5.图形用户界面的用途：用于人机交互和实现显示屏幕面板的功能，并且可以用于定制包括图像、图标、贴纸、面部姿态、面部外貌和特征、附件和表情的视觉通讯特征。
 6.图形用户界面的人机交互方式：图形用户界面可以通过触摸、轻击、按压、滑动或滚动图形用户界面和/或通过操作具有该显示屏幕面板的电子设备来交互。
 7.图形用户界面的外观依次从主视图变化到变化状态图1和变化状态图2。
 显示屏幕面板可应用于计算机、笔记本电脑、平板电脑、手机、智能手机、智能手环、智能眼镜、手表、智能手表、健身监视器、头戴式耳机、个人数字助理、智能音箱、电视、监视器、投影仪、用于车辆的显示器、导航设备、机顶盒、游戏机；显示屏幕面板为惯常设计，故省略其他视图。</t>
  </si>
  <si>
    <t>显示屏幕面板的定制视觉通讯特征的图形用户界面</t>
  </si>
  <si>
    <t>CN306900462S</t>
  </si>
  <si>
    <t>1.本外观设计产品的名称：显示屏幕面板的定制视觉通讯特征的图形用户界面。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5.图形用户界面的用途：用于人机交互和实现显示屏幕面板的功能，并且可以用于定制包括图像、图标、贴纸、面部姿态、面部外貌和特征、附件和表情的视觉通讯特征。
 6.图形用户界面的人机交互方式：图形用户界面可以通过触摸、轻击、按压、滑动或滚动图形用户界面和/或通过操作具有该显示屏幕面板的电子设备来交互。
 7.显示屏幕面板可应用于计算机、笔记本电脑、平板电脑、手机、智能手机、智能手环、智能眼镜、手表、智能手表、健身监视器、头戴式耳机、个人数字助理、智能音箱、电视、监视器、投影仪、用于车辆的显示器、导航设备、机顶盒、游戏机；显示屏幕面板为惯常设计，故省略其他视图。</t>
  </si>
  <si>
    <t>CN306942210S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</si>
  <si>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5.图形用户界面的用途：用于人机交互和实现显示屏幕面板的功能，并且可以用于显示时间以及用于显示和追踪已经过去的时间。
 6.图形用户界面的人机交互方式：图形用户界面可以通过轻击、触摸、滑动或按压图形用户界面或通过沿着任意方向移动显示屏幕面板或通过操作具有该显示屏幕面板的电子设备来交互。
 7.显示屏幕面板可应用于计算机、笔记本电脑、平板电脑、手机、智能手机、智能手环、智能眼镜、手表、智能手表、健身监视器、头戴式耳机、个人数字助理、智能音箱、电视、监视器、投影仪、用于车辆的显示器、导航设备、机顶盒、游戏机；显示屏幕面板为惯常设计，故省略其他视图。</t>
  </si>
  <si>
    <t>CN215231970U</t>
  </si>
  <si>
    <t>本实用新型公开了一种智能安全健身指导装置，该装置包括交互显示装置、摄像装置、器械运动状态采集装置、服务器、动作识别处理器；交互显示装置包括主控板、显示器；主控板分别与显示器、摄像装置、器械运动状态采集装置、服务器、动作识别处理器连接；动作识别处理器用于识别用户动作，交互显示装置用于接收用户触摸操作、实时展示识别动作数据和纠正动作数据；服务器用于对接收的识别动作数据进行纠正。本实用新型采用3D计算机视觉技术，建立出3D人体模型以实时精准记录人们的训练姿势，并通过深度学习算法计算匹配标准姿态数据库，及时向健身者反馈来纠正健身者的动作，实现对用户健身动作的精准识别。</t>
  </si>
  <si>
    <t>一种智能安全健身指导装置</t>
  </si>
  <si>
    <t>KR102293548B1</t>
  </si>
  <si>
    <t>本发明从X射线装置向被检材料发射X射线,利用构成该材料的原子中元素周期表中原子序数最大的原子显示颜色的特性,加深X射线。 -每种危险物质的射线颜色。涉及一种利用人工智能的危险物质检测系统和方法,能够快速检测机场、港口、军事基地、活动场所、体育场馆、展览馆、演出厅、政府大楼、和 VIP 安全场所通过学习学习。 根据本发明的使用人工智能的危险材料检测系统包括:X射线打印机,其将X射线输出到待检查材料; X射线检测器,通过X射线透过被检物,生成X射线图像并输出X射线颜色; 先匹配存储物体名称中的成分、化学式、大原子序数原子、X光颜色,再匹配存储形状、成分、化学式、大原子序数原子、X光颜色的数据库在危险物质中; 并与X光探测器电连接,通过深度学习算法对初级匹配物体名称、成分、化学式、原子序数大的原子、X光颜色进行深度学习学习,二级匹配危险品、形状、成分、化学式、大原子序数的原子、X射线颜色通过深度学习算法进行深度学习学习,X射线探测器输出的X射线图像基于深度学习学习结果,它可能包括一个计算机设备,可以识别 X 射线的颜色并检测危险物质。</t>
  </si>
  <si>
    <t>CN214202419U</t>
  </si>
  <si>
    <t>本实用新型涉及一种体育场馆用人脸识别装置，包括人脸识别器、红外体温检测器、红外人体检测器、门禁设备和控制器，红外人体检测器检测是否有人员靠近人脸识别器，当有人员靠近时，控制器根据红外人体检测器输出的信号控制人脸识别器和红外体温检测器的工作状态，人脸识别器用于识别人员的人脸图像，红外体温检测器用于检测人员的体温，当人脸图像和体温均满足对应条件时，控制器能够控制门禁设备打开，使得人员可以进入到体育场馆中。因此，本实用新型提供的体育场馆用人脸识别装置适用于体育场馆这种人员密集型公共场所，在人脸图像识别的基础上加入体温检测，降低病毒感染的风险，提升监控效果，符合当前疫情防控常态化的大环境。</t>
  </si>
  <si>
    <t>一种体育场馆用人脸识别装置</t>
  </si>
  <si>
    <t>CN306928662S</t>
  </si>
  <si>
    <t>1.本外观设计产品的名称：显示屏幕面板的显示健康信息的图形用户界面。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5.图形用户界面的用途：用于人机交互和实现显示屏幕面板的功能，并且可以用于显示健康信息，包括显示血氧数据或其它心血管数据。
 6.图形用户界面的人机交互方式：图形用户界面可以通过触摸或滚动图形用户界面来交互。
 7.显示屏幕面板可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</si>
  <si>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显示屏幕面板的显示健康信息的图形用户界面</t>
  </si>
  <si>
    <t>CN306928661S</t>
  </si>
  <si>
    <t>1.本外观设计产品的名称：显示屏幕面板的显示健康信息的动态图形用户界面。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5.图形用户界面的用途：用于人机交互和实现显示屏幕面板的功能，并且可以用于显示健康信息，包括显示血氧数据或其它心血管数据。
 6.图形用户界面的人机交互方式：图形用户界面可以通过触摸或滚动图形用户界面来交互。
 7.图形用户界面的变化状态说明：动态图形用户界面的外观依次从主视图变化到动态变化状态图1、动态变化状态图2和动态变化状态图3。
 8.显示屏幕面板可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</si>
  <si>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显示屏幕面板的显示健康信息的动态图形用户界面</t>
  </si>
  <si>
    <t>CN306942208S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</si>
  <si>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
 6.图形用户界面的人机交互方式：图形用户界面可以通过触摸图形用户界面一段时间来交互或通过向左或向右滑动来交互。
 7.显示屏幕面板可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</si>
  <si>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CN306942209S</t>
  </si>
  <si>
    <t>CN307002932S</t>
  </si>
  <si>
    <t>KR102399805B1</t>
  </si>
  <si>
    <t>根据被摄者身高喷洒,可保持水箱卫生,内置物联网功能,可根据被摄者身高调节喷洒高度。。 
  根据被测者身高调节喷洒高度,水箱整体分离,便于公共消毒灭菌器维护; 安装在外壳上并检测物体操作的传感器; 内置于外壳内的水箱,装有液态消毒剂; 水箱内置超声波模块,通过超声波震荡使消毒液汽化; 多个喷嘴安装在外壳上,喷洒汽化的消毒剂; 其特征在于包括电子控制模块,根据传感器的信号控制是否喷洒和多个喷洒孔的激活状态。</t>
  </si>
  <si>
    <t>消毒剂 喷水高度可根据目标人身高调节,水箱集中分开,易于维护</t>
  </si>
  <si>
    <t>KR1020220127447A</t>
  </si>
  <si>
    <t>由于新冠19疫情持续时间较长,非面对面消费趋势正在加速。 随着移动通信环境的改变,智能手机、平板电脑等移动媒体的普及扩大,电子商务市场进一步增长。 因此,本发明计划通过在全国销售激光射击运动器材来拓展教育服务,并通过激光射击在线培训领导者。 目的是打造一个以体育安全教育为重点、可以安全享受运动的新型体育文化社区。</t>
  </si>
  <si>
    <t>基于大数据的人工智能激光射击教育服务平台</t>
  </si>
  <si>
    <t>CN306907600S</t>
  </si>
  <si>
    <t>1.本外观设计产品的名称：显示屏幕面板的定制表盘图形用户界面。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5.图形用户界面的用途：用于人机交互和实现显示屏幕面板的功能，并且可以用于定制表盘。
 6.图形用户界面的人机交互方式：图形用户界面可以通过触摸、轻击或滑动图形用户界面来交互。
 7.显示屏幕面板可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</si>
  <si>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显示屏幕面板的定制表盘图形用户界面</t>
  </si>
  <si>
    <t>CN306928659S</t>
  </si>
  <si>
    <t>1.本外观设计产品的名称：显示屏幕面板的显示时间的动态图形用户界面。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5.图形用户界面的用途：用于人机交互和实现显示屏幕面板的功能，并且可以用于显示时间，包括显示表盘或模拟时钟。
 6.图形用户界面的人机交互方式：图形用户界面可以通过触摸动态图形用户界面一段时间来交互或通过向左或向右滑动来交互。
 7.图形用户界面的变化状态说明：动态图形用户界面的外观依次从主视图变化到动态变化状态图1、动态变化状态图2和动态变化状态图3。
 8.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t>
  </si>
  <si>
    <t>显示屏幕面板的显示时间的动态图形用户界面</t>
  </si>
  <si>
    <t>CN306928660S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</si>
  <si>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6.图形用户界面的用途：用于人机交互和实现显示屏幕面板的功能，并且可以用于显示时间，包括显示表盘或模拟时钟。
 7.图形用户界面的人机交互方式：图形用户界面可以通过触摸图形用户界面一段时间来交互或通过向左或向右滑动来交互。
 8.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t>
  </si>
  <si>
    <t>CN306928658S</t>
  </si>
  <si>
    <t>1.本外观设计产品的名称：显示屏幕面板的显示时间的动态图形用户界面。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5.图形用户界面的用途：用于人机交互和实现显示屏幕面板的功能，并且可以用于显示时间，包括显示表盘或模拟时钟。
 6.图形用户界面的人机交互方式：图形用户界面可以通过触摸动态图形用户界面一段时间来交互或通过向左或向右滑动来交互。
 7.图形用户界面的变化状态说明：动态图形用户界面的外观依次从主视图变化到动态变化状态图1和动态变化状态图2。
 8.显示屏幕面板可应用于计算机、笔记本电脑、平板电脑、手机、智能手环、智能眼镜、手表、健身监视器、头戴式耳机、个人数字助理、智能音箱、电视、监视器、投影仪、机顶盒、游戏机、导航仪、用于车辆的显示屏；显示屏幕面板为惯常设计，故省略其他视图。</t>
  </si>
  <si>
    <t>US20220199244A1</t>
  </si>
  <si>
    <t>一种预测最大摄氧量(VO 2 Max)在可穿戴设备中使用机器学习算法的集合进行了描述。 该方法与福祉、医疗保健和人工智能领域相关,包括预测最大摄氧量(VO 2 Max)使用具有内存限制的可穿戴设备以不同的速度运行会话。 所提出的方法需要少于 5 KB 的内存才能在可穿戴设备上运行。 具体来说,该方法配备了用户的个人资料数据(年龄、性别、身高和体重)、一组心率(HR)和跑步过程中的速度读数,该方法能够估计 VO 2 最大限度。</t>
  </si>
  <si>
    <t>预测可穿戴设备最大摄氧量的方法</t>
  </si>
  <si>
    <t>CN306942206S</t>
  </si>
  <si>
    <t>1.本外观设计产品的名称：显示屏幕面板的显示时间的图形用户界面。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5.图形用户界面的用途：用于人机交互和实现显示屏幕面板的功能，并且可以用于显示时间。
 6.图形用户界面的人机交互方式：图形用户界面可以通过操作具有该显示屏幕面板的电子设备来交互，包括通过移动或升高电子设备或通过按压该电子设备上的按钮来交互，通过上述交互实现调节、显示时间的功能。
 7.显示屏幕面板可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</si>
  <si>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KR1020220126448A</t>
  </si>
  <si>
    <t>[0001] 本发明由健身器材管理服务器、多个健身器材终端以及多个用户终端组成,并且涉及一种适合于健身中心等健身设施的运动处方系统,更具体地,涉及各个健身器材终端是在无意识的情况下自动检测当前用户,从运动器材管理服务器读取用户的运动历史信息,通过用户终端测量用户运动过程中的基本体力等,通过这种方式获得的个人基本信息,运动处方系统,通过基本的体能测量信息和最大耗氧量(以下简称VO2Max)来制定和量化,确定为每个用户量身定制的运动处方,并通过每个运动器材终端实时反馈给用户。 本发明与胸带耦合并佩戴在胸部,以检测用户的心电图、光电体积描记图(PPG)、活动水平和体温。用户终端具有从模块,并从用户终端接收确定运动处方运动器材管理服务器,利用生物信号、过往运动处方数据、个人基本信息和基本体能信息,存储根据运动处方、个人基本信息和基本体能信息控制运动器材的运动器材终端。接收并存储来自运动器材终端的用户的运动处方数据,并根据运动器材终端的请求,将先前的运动处方数据、个人基本信息和基本身体素质信息发送至运动器材终端。包括:</t>
  </si>
  <si>
    <t>基于人工智能的运动处方方法</t>
  </si>
  <si>
    <t>KR102306055B1</t>
  </si>
  <si>
    <t>本发明涉及一种存储在线健身管理方案的网络服务器,其中健身投资经营者终端、健身教练终端、健身客户终端有线或无线连接,处于在线状态; 健身客户进入时,提供触摸屏、视频、人工智能语音服务,识别健身客户身份,协助填写个人信息,进行客户会员支付,介绍健身营业场所,介绍附加活动. 一个无人值守的kiosk系统模块能够; 每台运动机都具备蓝牙、传感器、Iot中的一项或多项功能,实时健身指导者和健身客户可以随时随地进行运动和教学训练,并将运动结果传输至网络服务器,查看健身量exercise. 训练系统模块; 客户付费、预约班级、定制餐食、支持居家训练、在线PT、运动记录及运动量分析、提供卡路里消耗数据、商场运营、运动视频 提供网站模块通过更新进行运动姿势矫正; 可分析体型、支持户外健身运动、玩健身运动游戏的网页模块; 本发明涉及一种由健身中心、客户会员、健身班级、管理结算的综合管理模块组成的融合式健身系统。</t>
  </si>
  <si>
    <t>融合健身系统,通过在线健身管理解决方案与客户通断连接,同时共享和使用健身空间来管理运动和健康</t>
  </si>
  <si>
    <t>KR102514247B1</t>
  </si>
  <si>
    <t>本发明涉及一种在线连接的加油装置及其相关控制方法,根据一个实施例的加油装置的控制方法包括以下步骤:在控制服务器中记录并维护用于控制运行的表演调度信息。联网的打气设备,将控制服务器的比赛排程信息传输至智能手机,接收智能手机发送的比赛排程信息,并将比赛排程信息传输至配对的打气设备,在打气设备中,采集并存储在存储器中传输表演调度信息,在加油设备中检测与表演调度信息对应的动作,并且在加油设备中,基于机器学习从检测到的动作中获取动作数据。其可以包括确定的步骤,以及通过智能手机将确定的运动数据从欢呼设备传输到外部服务器的步骤。</t>
  </si>
  <si>
    <t>在线连接的刷机设备及刷机设备的控制方法</t>
  </si>
  <si>
    <t>CN112950475A</t>
  </si>
  <si>
    <t>一种基于残差学习及空间变换网络的光场超分辨率重建方法属于计算机视觉领域。本发明根据光场图像空间分辨率低的问题对图像进行超分辨率重建，首先设计了4+1的融合模型来学习光场图像的特征，此外，为了更好的提取特征，本发明将空间变换网络的定位器进行了改进。在具体操作中，将图像按照相对位置分别输入到改进的空间变换网络中，通过递归结构的卷积神经网络进行特征重建与融合，期间充分利用了相邻视图的特征信息，弥补了其他方法对相邻视点信息利用的不足，配合先进的网络结构设计，使得模型具有更好的重建效果。</t>
  </si>
  <si>
    <t>一种基于残差学习及空间变换网络的光场超分辨率重建方法</t>
  </si>
  <si>
    <t>CN113069719B</t>
  </si>
  <si>
    <t>本发明公开了一种3D VR人机交互全能运动设备，包括框架，所述框架的内顶壁焊接有支座，所述支座内转动连接有支撑盘，所述支座的下端内侧开设有环形槽，所述环形槽内设置有钢珠，所述钢珠的外表面接触连接有支撑盘，所述支撑盘的下端焊接有支撑筒，所述支撑筒内滑动套接有吊杆，所述框架的下端内侧焊接有安装座，所述安装座内滑动套接有滑套，所述滑套上固定安装有万向跑步机，所述滑套内设置有碟簧，所述碟簧的一端接触连接有框架，所述碟簧的另一端接触连接有万向跑步机。本发明涉及一种3D VR人机交互全能运动设备，具有用户体验感更好和装置调整后不易松动特点。</t>
  </si>
  <si>
    <t>一种3D VR人机交互全能运动设备</t>
  </si>
  <si>
    <t>CN112966597A</t>
  </si>
  <si>
    <t>一种基于骨骼关键点的人体运动动作计数方法，通过深度学习模型算法获取人体关键点，采样动作影响关键点的角度变化来完成运动动作的计数工作。该方式可以客观且高效的完成运动动作的技术工作，有效助力用户通过在线体育运动软件自主运动锻炼。主要使用的是hrnet模型。基于图像的AI处理、只需要采集运动视频，不需要外在其他传感器等设备进行数据采集，简单方便。同时本发明完成了基于角度变化的通用动作计数评估模型，对于开合跳、俯卧撑、蹲起等动作，只需要修改相应的参数即可，不需要针对每一个运动都重复的进行建模，有效的减少重复的工作，提高效率。</t>
  </si>
  <si>
    <t>一种基于骨骼关键点的人体运动动作计数方法</t>
  </si>
  <si>
    <t>CN112966437A</t>
  </si>
  <si>
    <t>本发明公开了基于模糊小波神经网络的目标攻击优先级评估方法及系统，仿真机器人获取攻击目标的类型、攻击目标的能力、攻击目标的价值、攻击目标的命中难度和攻击目标装甲板的像素面积；判断攻击目标是否在机器人的射程范围内，如果是，则进入下一步；否则，返回上一步；根据攻击目标的类型、攻击目标的能力、攻击目标的价值、攻击目标的命中难度和攻击目标装甲板的像素面积，基于训练后的改进的模糊小波神经网络中，得到待射击目标的优先级；根据确定的待射击目标的优先级，确定相应的射击指令，根据射击指令向待射击目标进行射击。应用模糊神经网络来解决机器人作战仿真过程中关于目标的攻击优先级问题，解决复杂比赛环境信息的不确定性问题。</t>
  </si>
  <si>
    <t>基于模糊小波神经网络的目标攻击优先级评估方法及系统</t>
  </si>
  <si>
    <t>KR102495821B1</t>
  </si>
  <si>
    <t>本发明利用激光雷达传感器采集每个足球运动员的轨迹信息(位置、速度等)和每个预设立方体(S)的球的轨迹信息,然后利用人工智能算法获取它们。大数据,根据每个球员的能力水平和情况检测模式信息,并将检测到的能力水平和情境模式信息应用到在线足球游戏的相应球员角色中,使得球员角色和实际球员对于各种变量不仅可以它通过最大化重合感来增加在线足球比赛的真实感和真实性,但也可以通过提高用户对在线足球比赛的参与度来提供以用户为中心的服务,从而增加用户的兴趣、参与度和乐趣。一种可增加的大数据收集系统及使用该系统的在线足球比赛提供系统。</t>
  </si>
  <si>
    <t>使用激光雷达传感器的足球比赛大数据采集系统及使用该系统的在线足球比赛提供系统</t>
  </si>
  <si>
    <t>US11596853B2</t>
  </si>
  <si>
    <t>一种用于青少年体育中心的设备、系统和方法。 前述可包括:能够与多个第三方应用集成的人工智能(AI)引擎; 能够提供集成的应用程序编程接口(API); 能够将现场硬件(至少包括摄像机、记分牌和音频系统)链接到 AI 引擎的硬件集成商; 以及图形用户界面(GUI),由AI引擎根据AI引擎帐户指示的用户类型而变化,其中向用户呈现至少一个计算界面,该界面集成了对这些界面的同步远程访问 多个第三方应用程序中的一个、来自摄像机的视频馈送、来自记分牌的游戏分数、以及来自音频系统的游戏内音频,关于特定游戏中由账户识别的特定玩家。</t>
  </si>
  <si>
    <t>综合体育中心应用</t>
  </si>
  <si>
    <t>CN112943846A</t>
  </si>
  <si>
    <t>本发明涉及人机交互设备技术领域，且公开了一种增强稳定性且提高舒适度的跑步机智能支撑装置，包括机架，所述机架底部转动连接有推杆，所述推杆的中间转轴处转动连接有拉杆，所述拉杆远离推杆的一端转动连接有弹性腔，所述弹性腔的下端开设有进气孔，所述弹性腔的内部转动连接有活动连杆，所述活动连杆远离弹性腔的一端转动连接有挡板。通过机架按压推杆转动，此时弹性腔能够压缩，使得内部的空气输入气道的内部，且此时金属触杆相互接触，内部电路被连通，喷头将气道内部的空气喷出，从而达到了能够在人员使用跑步机时，增加人员周围空气的流通速度，降低人员的提高温度，提高使用舒适度的效果。</t>
  </si>
  <si>
    <t>一种增强稳定性且提高舒适度的跑步机智能支撑装置</t>
  </si>
  <si>
    <t>CN214671009U</t>
  </si>
  <si>
    <t>基于物联网的户外游泳安全装置，其组成包括：水体流速和温差监测及报警装置，其特征是：所述的水体流速和温差监测及报警装置(1)包括、电源供电模块3.3V电平转换电路(2)、控制核心模块STM32F103C8T6(3)、水流量传感器模块YF‑S201(4)、温度传感器模块DS18B20(5)、LBS定位与通信模块ZX618(6)、外接显示器模块LCD1602(7)、按键模块(8)、语音报警模块Y3‑M3(9)；所述的供电模块又包括TP4056充电保护板(2‑1)、聚合物锂电池3.7V 180mAh(2‑2)；所述的控制核心模块STM32F103C8T6又包括晶振电路(3‑1)、复位电路(3‑2)、BOOT选择电路(3‑3)、SWD调试接口电路(3‑4)、STM32F103C8T6芯片(3‑5)；本实用新型申请应用于户外游泳安全装置。</t>
  </si>
  <si>
    <t>基于物联网的户外游泳安全装置</t>
  </si>
  <si>
    <t>KR1020220123781A</t>
  </si>
  <si>
    <t>公开了一种比赛预测方法和装置。 比赛预测方法包括以下步骤:收集每场比赛的第一时间点的比赛前景数据、选手数据和结果状态数据作为原始数据;对第一时间点的原始数据进行数据预处理;以及该方法可以包括:从基于以下原始数据的预先学习的比赛预测模型获取关于第二时间点的预期比赛的预测信息,第二时间点是第一时间点的未来时间点。已执行的第一个时间点。</t>
  </si>
  <si>
    <t>CN112843600B</t>
  </si>
  <si>
    <t>本发明涉及物联网技术领域，且公开了一种基于物联网用辅助健身设备，包括底座，所述底座的内部设置有调节机构，所述底座的两侧均固定连接有两个底梁，两个所述底梁的顶部固定连接有两个加压箱，两个所述加压箱之间通过横梁固定连接，所述横梁的内部固定连接有辅助机构和加压机构，所述辅助机构位于加压机构的右侧。该基于物联网用辅助健身设备，通过辅助机构能够起到对锻炼者的保护作用，防止锻炼者在推较重的杠铃时，发生推不动的情况时，对手臂造成伤害，同时，通过加压箱能够使锻炼者在推动杠铃杆时使杠铃杆保持平衡，同时也起到了对杠铃片限位的作用，防止杠铃片从杠铃杆的表面滑落从而对旁边的人造成伤害。</t>
  </si>
  <si>
    <t>一种基于物联网用辅助健身设备</t>
  </si>
  <si>
    <t>IN202141008418A</t>
  </si>
  <si>
    <t>在物联网平台上使用Arduino UNO设计和制造低成本呼吸监测系统“呼吸就是生活”,但正确呼吸就是长寿和保持健康。 无法正常呼吸的人最终会出现身体、心理和情绪问题。 需要了解在这种大流行环境(COVID-19} 中的每个人的呼吸模式。因此,本文着手设计和制造呼吸监测器。与所有其他现有方法相比,这种硬件更便宜且更智能。 通过使用这个呼吸监测系统,我们可以获得连续的呼吸模式,存储数据,并将数据与阈值进行比较。输出连接到Arduino Uno板,输出与医生、护士和亲属通信" 通过物联网的手机,如果输出可能出现偏差,监控系统主要由3部分组成:传感器,处理传感器输出的硬件电路,以及与Arduino UNO板的W1FI模块接口。传感器设计 将水银装入橡胶管中,管端用铜棒连接,传感器作为应变片固定在胸前,经过硬件电路进一步处理得到 根据人的呼吸变化的信号。 该信号使用 ESP8266-01 模块与 Arduino 接口。 数据可以绘制在系统中,以直接监测和观察呼吸曲线。 该仪器可用于医学、体育、瑜伽学校和冥想领域。</t>
  </si>
  <si>
    <t>在 IoT 平台上使用 arduino uno 设计和制造低成本呼吸监测系统</t>
  </si>
  <si>
    <t>CN112967783A</t>
  </si>
  <si>
    <t>本申请实施例提供一种基于神经网络学习算法的社区健身推荐方法和系统。该方法包括：通过用户身体特征数据构建用户身体特征集，通过健身器材特征构建健身器材特征集，通过健身方法特征构建健身方法特征集；基于所述用户身体特征集、所述健身器材特征集以及所述健身方法特征集，训练社区健身推荐神经网络；采集用户特征数据，导入所述社区健身推荐神经网络，预测所述用户的匹配健身器材以及匹配健身方法；根据所述匹配健身器材及匹配健身方法向用户进行健身推荐。本申请通过神经网络学习算法提高了社区健身推荐的准确度和效率。</t>
  </si>
  <si>
    <t>一种基于神经网络学习算法的社区健身推荐方法和系统</t>
  </si>
  <si>
    <t>KR102292146B1</t>
  </si>
  <si>
    <t>本发明使用人工智能和大数据从互联网上的大数据中收集、存储和管理名人、名人或影响者(包括演艺人员、运动员和政治家)的时尚的每件商品的详细信息。信息追随者提供平台系统采用人工智能,以非接触方式快速、细腻、准确地提供时尚相关的详细信息,包括()选择的每件时尚单品的价格、制造商、生产年份、作品名称等操作方面,安装并运行时尚风格应用程序,注册为粉丝终端,如果您输入有关喜欢的名人以及指定位置和时间的信息,则显示所穿款式的图像。包括价格,制造商在内的详细时尚信息、制作年份、作品名称、颜色、另类时尚信息、定制申请信息,明星语音问候语和详细时尚信息,通过多种传播渠道传递信息。粉丝终端用于发送或接收所述造型包框; 一种造型公共通信网络,用于通过由一个或多个通信信道组成的多个通信信道同时访问从属终端,并设置用于发送或接收造型分组帧的通信路径,其中指定对方通过对每个通信信道的切换处理连接; 通过造型公共通信网络同时接入从追随者终端选择的任意一个或多个通信通道和多个通信通道,发送和接收造型数据包帧,通过多重通信发送和接收明星造型时尚细节和另类时尚信息的大数据渠道 使用人工智能从一个或多个相关信息服务器(包括互联网站点服务器和广播媒体服务器)进行收集、分析和记录管理' 造型时尚,包括名人、运动员和政治家 它具有使用大数据和人工智能 (AI) 技术收集和管理现有信息并以非接触方式提供给追随者的效果。</t>
  </si>
  <si>
    <t>使用人工智能的名人造型、时尚信息追随者提供平台系统及其操作方法</t>
  </si>
  <si>
    <t>KR1020220122855A</t>
  </si>
  <si>
    <t>本发明实施例的基于交互式AI辅导的肌肉骨骼运动康复训练系统通过有线/无线网络连接到云服务器,可以安装在家庭中,测量用户的运动姿势或用户状态用户的健康状况信息测量单元; 基于通过用户状态信息测量单元测量的用户状态信息,智能显示面板使用交互式聊天机器人实时提供用户在锻炼期间所需的各种信息,并且使用智能显示面板或智能显示器智能神经运动装置,可拆卸地电或机械耦合至面板并允许用户进行阻力运动、有氧运动、神经运动和灵活性运动中的至少一种、智能阻力运动机、智能有氧运动机和交互式智能复合运动包括智能灵活性锻炼设备的单元; 当用户使用交互式智能复合运动单元进行基于AI的交互式辅导运动/康复训练时,通过用户状态信息测量单元测量的用户的运动状态信息被接收、分析,并基于AI的会话基于AI的交互式辅导引擎提供类型指导; 以及专家终端单元,与基于人工智能的交互式教练引擎并行地向使用交互式智能复合运动单元的用户提供康复方案、姿势矫正、姿势/运动分析、运动/康复处方内容和服务。</t>
  </si>
  <si>
    <t>基于交互式AI教练的肌肉骨骼运动与康复训练系统</t>
  </si>
  <si>
    <t>WO2021173871A1</t>
  </si>
  <si>
    <t>一种系统300和方法,用于生物监测运动员的健康状况,并在确定过度训练状况时提供警告338以减少伤害。 通过实施高效的系统架构,微人工智能的使用对于互联网覆盖不足或不存在的移动情况非常实用。</t>
  </si>
  <si>
    <t>AU2021228670A1</t>
  </si>
  <si>
    <t>CA3169787A1</t>
  </si>
  <si>
    <t>一种系统 300 和方法,用于对运动员的健康状况进行生物学监测,并在确定过度训练情况时提供警告 338 以减少伤害。 通过实施高效的系统架构,微型人工智能的使用对于互联网覆盖不足或不存在的移动情况是实用的。</t>
  </si>
  <si>
    <t>EP4110481A1</t>
  </si>
  <si>
    <t>KR102526459B1</t>
  </si>
  <si>
    <t>根据本发明实施例的个性化混合健身教练系统包括数据采集单元,用于从用户终端和健身中心终端采集用户的身体相关信息,以及基于身体的用户身体状况和生活方式。相关信息 身体状态分析单元,通过人工智能分析用户的身体相关信息、分析后的身体状态信息、用户的生活方式信息,创建推理模型,并基于生成的推理模型,适合于健身指导信息生成单元生成健身指导信息,健身指导信息提供单元提供定制的健身指导内容和方案,包括生成的健身指导信息、用户当前健身状态信息、未来健身预测信息.做。</t>
  </si>
  <si>
    <t>个性化混合健身教练系统和方法</t>
  </si>
  <si>
    <t>JP2023520303A</t>
  </si>
  <si>
    <t>一种系统 300 和方法,用于对运动员的健康进行生物学监测,并在确定过度训练情况时提供警报 338 以减少伤害。 通过实施高效的系统架构,微型人工智能的使用实际上可以帮助互联网覆盖较差或不存在的移动情况。</t>
  </si>
  <si>
    <t>移动智能减伤系统及方法</t>
  </si>
  <si>
    <t>US20230148973A1</t>
  </si>
  <si>
    <t>一个系统 300 以及对运动员的健康状况进行生物学监测并提供警告的方法 338 当确定过度训练条件以减少伤害时。 通过实施高效的系统架构,微型人工智能的使用对于互联网覆盖不足或不存在的移动情况是实用的。</t>
  </si>
  <si>
    <t>移动智能伤害最小化系统和方法</t>
  </si>
  <si>
    <t>CN112973048A</t>
  </si>
  <si>
    <t>本发明提供一种网球捡拾机器人及网球捡拾方法，所述网球捡拾机器人设置有处理器、驱动装置以及捡拾装置，其中处理器与驱动装置电连接，用于基于路径信息控制驱动装置行进，以使网球机器人抵达网球捡拾点；路径信息是基于网球捡拾点的位置信息或终端发送的驱动指令确定的；处理器与捡拾装置电连接，用于在网球机器人抵达网球捡拾点后，控制捡拾装置捡拾网球。由于路径信息是基于网球捡拾点的位置信息或终端发送的驱动指令确定的，从而使得网球捡拾机器人不依赖图像识别设备进行捡拾，降低了网球捡拾机器人的成本，同时终端可以基于网球场地的实际情况发送驱动指令，使得网球捡拾机器人能够根据网球场地的实际情况灵活调整行驶路径进行捡拾。</t>
  </si>
  <si>
    <t>网球捡拾机器人及网球捡拾方法</t>
  </si>
  <si>
    <t>CN112973050A</t>
  </si>
  <si>
    <t>本发明提供一种基于智能轨迹控制的网球捡球机及捡球方法，包括测距模块、控制模块、驱动模块和拾取模块，测距模块的一端、驱动模块的一端、拾取模块的一端分别与控制模块连接；测距模块用于监测网球捡球机与网球之间的距离；控制模块用于基于距离、融合后的蚁群算法和遗传算法，获取网球捡球机和网球之间的最优路径；驱动模块用于根据最优路径，驱动网球捡球机移动到网球预设阈值范围处；拾取模块用于在网球捡球机位于预设阈值范围内时，将网球拾起来。本方案总体成本较低、易于推广使用，并且具有较为广阔的市场前景。</t>
  </si>
  <si>
    <t>基于智能轨迹控制的网球捡球机及捡球方法</t>
  </si>
  <si>
    <t>CN214316115U</t>
  </si>
  <si>
    <t>本实用新型涉及卷积神经网络建模技术领域，且公开了一种具有信号防护的基于卷积神经网络模型的防护装置，包括金属盒，所述金属盒的顶部外侧活动安装有盒盖，所述金属盒的左右两侧壁的顶部均开设有活动槽。该具有信号防护的基于卷积神经网络模型的防护装置，通过设置金属盒，在进行网络建模时，常常会用信号机，而信号机一般是用电路板作为主体，因此在电路板外侧设置金属盒来消除辐射干扰，同时，金属盒并非固定安装在电路板外侧，当需要拆卸时，打开盒扣，再打开盒盖，即可直接取出电路板做其他操作，而橡胶块可在盒盖盖住的情况下压住电路板防止振动，整体操作简单，实用方便，达到了避免传导辐射的效果。</t>
  </si>
  <si>
    <t>一种具有信号防护的基于卷积神经网络模型的防护装置</t>
  </si>
  <si>
    <t>CN113041578B</t>
  </si>
  <si>
    <t>本发明公开了一种基于形态特征和单目测量的机器人自主捡球方法，包括：采集羽毛球和球场彩色图像信息，得到羽毛球及球场彩色图像信息；对得到的羽毛球及球场彩色图像信息进行数据处理，获得映射关系；利用搭建和训练好的特征提取网络寻找得到目标羽毛球质心的像素点位置，根据获得的映射关系得到目标羽毛球的位置信息；获取目标羽毛球和机器人的实际相对位置，完成机器人的运动路径规划；控制机器人完成对羽毛球的拾取操作。本发明充分考虑了羽毛球的特征和单目摄像头的局限和特点，设计了单目摄像头的测距方法和适用于羽毛球的卷积神经网络，实现了机器人对于目标羽毛球的自动识别和拾取，提升了羽毛球的拾取效率和自动化性能。</t>
  </si>
  <si>
    <t>一种基于形态特征和单目测量的机器人自主捡球方法</t>
  </si>
  <si>
    <t>US20220164702A1</t>
  </si>
  <si>
    <t>用于使用机器学习基于比赛状态转换预测未来运动结果的系统、方法和模型结构</t>
  </si>
  <si>
    <t>WO2021194102A1</t>
  </si>
  <si>
    <t>[0001] 本发明涉及一种基于排尿日记的反馈刺激系统和方法,包括:能够控制患者特定刺激参数的神经刺激系统,包括用于记录的软件,该软件可以通过分析每天记录的排尿日记或在任何时候改变刺激。一种预定周期; 其涉及一种控制方法,通过基于跑步的方法或机器学习技术分析用户输入的排尿信息来计算刺激参数。</t>
  </si>
  <si>
    <t>基于排尿日记的反馈刺激系统及其控制方法</t>
  </si>
  <si>
    <t>CN306871257S</t>
  </si>
  <si>
    <t>1.本外观设计产品的名称：用于显示屏幕面板的图标操作图形用户界面。
 2.本外观设计产品的用途：用于运行程序、显示信息。
 3.本外观设计产品的设计要点：在于屏幕中图形用户界面的界面内容。
 4.最能表明设计要点的图片或照片：设计1主视图。
 5.显示屏幕面板为现有设计，省略各设计后视图、左视图、右视图、俯视图、仰视图。
 6.指定设计1为基本设计。
 7.图形用户界面的用途：可根据使用者的手势或手柄指示或点击使图标进行移动和改变方向。
 8.图形用户界面的人机交互方式：用户通过手势或手柄指示或点击。
 9.图形用户界面的变化状态说明：各设计中当用户通过手势或手柄指示或点击界面中的图标中部后进入各设计界面变化状态图1，所指向的图标将向前移动；当用户通过手势或手柄指示或点击指向界面中图标的上部后进入各设计界面变化状态图2，图标向上移动并且图标向上旋转；当用户通过手势或手柄指示或点击指向界面中图标的右侧后进入各设计界面变化状态图3，图标向右移动并且图标向右旋转；当用户通过手势或手柄指示或点击指向界面中图标的下部后进入各设计界面变化状态图4，图标向下移动并且图标向下旋转；当用户通过手势或手柄指示或点击指向界面中图标的左侧后进入各设计界面变化状态图5，图标向左移动并且图标向左旋转。
 10.该显示屏幕面板及图形用户界面应用于计算机、笔记本电脑、平板电脑、手机、智能手机、智能眼镜、虚拟现实眼镜、增强现实眼镜、混合现实眼镜、手表、智能手表、健身监视器、头戴式耳机、智能音箱、电视、机顶盒。</t>
  </si>
  <si>
    <t>用于显示屏幕面板的图标操作图形用户界面</t>
  </si>
  <si>
    <t>CN306964547S</t>
  </si>
  <si>
    <t>1.本外观设计产品的名称：用于显示屏幕面板的图标操作图形用户界面。
 2.本外观设计产品的用途：用于运行程序、显示信息。
 3.本外观设计产品的设计要点：在于屏幕中图形用户界面的界面内容。
 4.最能表明设计要点的图片或照片：主视图。
 5.显示屏幕面板为现有设计，省略后视图、左视图、右视图、俯视图、仰视图。
 6.图形用户界面的用途：可根据使用者的左转或右转使图标改变方向。
 7.图形用户界面的人机交互方式：用户向左转或向右转。
 8.图形用户界面的变化状态说明：当使用者转到界面左侧，进入界面变化状态图1；当使用者转到界面右侧，进入界面变化状态图2。
 9.该显示屏幕面板及图形用户界面应用于计算机、笔记本电脑、平板电脑、手机、智能手机、智能眼镜、虚拟现实眼镜、增强现实眼镜、混合现实眼镜、手表、智能手表、健身监视器、头戴式耳机、智能音箱、电视、机顶盒。</t>
  </si>
  <si>
    <t>CN307027057S</t>
  </si>
  <si>
    <t>1.本外观设计产品的名称：带驾照考试模拟训练平台图形用户界面的手机。
 2.本外观设计产品的用途：用于运行程序。
 3.本外观设计产品的设计要点：在于产品显示屏中的图形用户界面，手机为现有设计。
 4.最能表明设计要点的图片或照片：变化状态图2。
 5.其他视图无设计要点，省略其他视图。
 6.图形用户界面的用途：用于驾照考试模拟训练，帮助驾照考生进行相关科目的学习训练；帮助意向学员找驾校、找教练等。
 7.图形用户界面的人机交互方式：主视图为该运行程序的首界面，在主视图中选择相应城市和需要考取的驾驶证类型，点击界面下方的“完成”按钮进入变化状态图1；变化状态图1为选择城市为“重庆”，驾驶证类型为“小车”后的界面，点击界面中部“我知道了”按钮进入变化状态图2；在变化状态图2中，手指向下滑动可依次进入变化状态图3、变化状态图4、变化状态图5查看“驾考学堂、精品课程、科一问答、科一头条”的相关讯息；点击变化状态图5中界面上方“科二”一栏进入变化状态图6；在变化状态图6中，手指向下滑动可依次进入变化状态图7、变化状态图8、变化状态图9查看“考场视频实拍、精品课程、科二问答、科二头条”的相关讯息；点击变化状态图9中界面上方“科三”一栏进入变化状态图10；在变化状态图10中，手指向下滑动可依次进入变化状态图11、变化状态图12、变化状态图13查看“考场视频实拍、精品课程、科三问答、科三头条”的相关讯息；点击变化状态图13中界面上方“科四”一栏进入变化状态图14；在变化状态图14中，手指向下滑动可依次进入变化状态图15、变化状态图16、变化状态图17查看“驾考学堂、精品课程、科四问答、科四头条”的相关讯息；点击变化状态图17中界面上方“拿证”一栏进入变化状态图18；在变化状态图18中，手指向下滑动可依次进入变化状态图19、变化状态图20查看“上路陪练、精品课程、学车问答、新生上路”的相关讯息；点击变化状态图20中界面底部的“报名”按钮进入变化状态图21，在变化状态图21中手指向下滑动可查看更多驾校信息；点击变化状态图21中界面上方“找教练”一栏进入变化状态图22，在变化状态图22中手指向下滑动可查看更多教练信息；点击变化状态图22中界面上方“找陪练”一栏进入变化状态图23；点击变化状态图23中界面底部“圈子”按钮进入变化状态图24；点击变化状态图24中界面上方“头条动态”一栏进入变化状态图25；点击变化状态图25界面底部“福利”按钮进入变化状态图26；在变化状态图26中，手指向下滑动进入变化状态图27可查看更多福利信息；点击变化状态图27中界面底部“我的”按钮进入变化状态图28；在变化状态图2中，点击界面中部“顺序练习”按钮进入变化状态图29；点击变化状态图29界面中下部“错题集练习”按钮进入变化状态30；在变化状态图2中，点击界面中部“模拟考试”按钮进入变化状态图31；点击变化状态图31中界面中下方“模拟考试”按钮进入变化状态图32；点击变化状态图32中界面右下方“交卷”按钮进入变化状态图33；点击变化状态图33中界面中部“现在交卷”按钮进入变化状态图34；点击变化状态图2中界面中右部“更多”按钮进入变化状态图35；在变化状态图35中，手指向下滑动可依次进入变化状态图36、变化状态图37；在变化状态图2中点击界面下方“一决高下”按钮进入变化状态图38；在变化状态图38中手指向下滑动进入变化状态图39；点击变化状态图38中界面中部“开始PK”按钮进入变化状态图40；点击变化状态图2中界面中左部“成绩排行”按钮进入变化状态图41。
 在变化状态图2中点击界面上方“重庆”后方的下拉按钮可进入主视图重新选择需要学习的地区和驾驶证类型。</t>
  </si>
  <si>
    <t>带驾照考试模拟训练平台图形用户界面的手机</t>
  </si>
  <si>
    <t>CN112774098B</t>
  </si>
  <si>
    <t>本发明公开了一种跑步机力台的动态校准方法及系统，所述方法包括：搭建跑步机力台及其校准系统；通过校准系统对跑步机力台施加输入量A，同时记录跑步机力台输出量S；根据输入量A和输出量S，求出校准矩阵C；通过深度学习的方法对校准矩阵C进一步优化，补偿非线性误差，从而使跑步机力台的测量误差更小。通过使用本发明的校准系统可以方便快速地进行跑步机力台的校准，大大降低了人力成本和时间成本，为人体运动分析结果的可靠性提供了保障。</t>
  </si>
  <si>
    <t>一种跑步机力台的动态校准方法</t>
  </si>
  <si>
    <t>CN306662868S</t>
  </si>
  <si>
    <t>1.本外观设计产品的名称：显示屏幕面板的健身饮食管理的图形用户界面。
 2.本外观设计产品的用途：本外观设计产品用于运行程序及显示界面，该显示屏幕面板用于手机、电脑、平板电脑、便携式电脑、台式电脑。
 3.本外观设计产品的设计要点：在于屏幕中的图形用户界面。
 4.最能表明设计要点的图片或照片：界面变化状态3局部放大图。
 5.图形用户界面的用途：用于显示用户运动及饮食摄入等目标完成情况及评价的图形用户界面。
 6.图形用户界面的人机交互方式：主视图为产品首页，当前目标进度为空，界面中间两个圆环根据当前目标完成进度产生相应变化，圆环中间根据完成情况给出相应评价；当用户仅完成部分饮食目标时，如图界面变化状态图1所示；当用户仅完成部分运动目标时，如图界面变化状态图2所示；当用户完成部分运动与饮食目标时，可得到界面变化状态图3或界面变化状态图4所示内容界面，分别展示“运动消耗”“运动时长”等信息；当用户完成全部运动与饮食目标时，两个圆环完整进度的状态，如图界面变化状态图5所示。
 7.主视局部放大图、界面变化状态1局部放大图、界面变化状态2局部放大图、界面变化状态3局部放大图、界面变化状态4局部放大图、界面变化状态5局部放大图，为各视图中间区域的局部放大图。</t>
  </si>
  <si>
    <t>显示屏幕面板的健身饮食管理的图形用户界面</t>
  </si>
  <si>
    <t>US20210264740A1</t>
  </si>
  <si>
    <t>提供、托管和玩与独立发生的真实或虚拟事件相关的宾果游戏,这些事件可能是随机发生或基于技能的实时发生的真实或虚拟事件,例如在体育赛事或一个或多个视频中发生的事件 由一个或多个玩家玩的游戏,这些玩家可以是人类玩家或使用人工智能的计算机玩家。</t>
  </si>
  <si>
    <t>具有由独立游戏事件确定的结果的宾果游戏方法和系统</t>
  </si>
  <si>
    <t>WO2021168325A1</t>
  </si>
  <si>
    <t>结果由独立游戏事件确定的宾果游戏方法和系统</t>
  </si>
  <si>
    <t>IN202141006874A</t>
  </si>
  <si>
    <t>本发明公开了一种能够提高员工在理论、实践、行为和生活技能学习领域的表现以改善个人生活的指导系统。 反馈系统能够更准确地生成反馈,从而轻松识别员工的弱点和优势领域 反馈系统能够从所有相关利益相关者的角度了解员工,从而产生具有改进领域的评级 ,该系统还具有通过遵循 CTG(教练、培训和指导)循环来解决薄弱环节的能力。 该系统使用人工智能方法在理论、实践、行为和生活技能领域推荐导师,并自动将导师分配给导师并监控进度并在需要时提出纠正措施</t>
  </si>
  <si>
    <t>基于人工智能的员工绩效管理及其方法</t>
  </si>
  <si>
    <t>KR1020210105840A</t>
  </si>
  <si>
    <t>本发明基于无线通信网络的露营车控制系统可结合露营车(RV)激活综合休闲文化节,基于物联网,享受休闲和普通用户(用户)。想要工作的人,使用物联网(IOT)控制露营车(RV)的智能房车控制,酒店,度假村和养老金等住宿管理者,节日,度假村,休闲公司,旅游景点,餐厅等。特点是通过RV HUG APP进行综合管理,基于物联网(IoT)连接房车业主,如码头、个人业主或租车公司。 
  本发明通过在物体上附加传感器,通过物联网(IoT)实时提供对一般用户(用户)、住宿管理者、码头、露营车(RV)所有者的各种数据进行自主交换和远程控制等整体操作。 ) 基于非面对面服务,可集中综合执行,整合大数据建立、露营地、休闲服务、住宿联动产品等推荐服务及折扣系统,经位置确认及同意智能控制器的管理可以通过AI(人工智能)自动链接,并且在客户租赁之前归还房车等整个过程都被物联网(IoT)和窄带物联网( NB-IoT:可以基于NarrowBand-Internet of Things(窄带域物-Internet)等无线通信网络,由AI(Artificial Intelligence)集体进行。</t>
  </si>
  <si>
    <t>基于无线通信网络的休闲车控制系统</t>
  </si>
  <si>
    <t>KR102319988B1</t>
  </si>
  <si>
    <t>本发明涉及一种工作推荐系统,该系统可以收集有关为残疾人进行的特殊体育活动的信息,并据此向残疾人提供合适的工作和工作机会信息,以及基于特殊体育活动信息的工作推荐。系统并且包括管理服务器,其分析关于特殊体育活动的活动信息以提供适合运动工作者的工作的工作推荐信息和该工作的工作机会信息,其中管理服务器是基于人工神经网络的内容生成器生成至少一个特殊体育内容的单元,该内容旨在根据用户使用生成模型输入的残疾信息来评估每个与工作相关的元素; 
  活动数据获取单元,将生成的专项体育内容提供给运动员,并根据专项体育内容,获取运动员进行的各项专项体育活动的活动数据; 体育活动分析单元,分析使用基于人工神经网络的活动分析模型获取的每个特殊体育活动的活动数据,并计算体育活动家的每个工作相关要素的评价分数; 职位推荐单元为具有相似职位相关性的每个职位生成多个职位组,并生成职位推荐信息,用于推荐包括在根据职位相关性因子的评估分数匹配的至少一个职位组中的职位; 职位信息匹配单元,从职位发布信息平台接收包含在职位推荐信息中的职位相关职位信息,并将接收到的职位发布信息提供给用户。</t>
  </si>
  <si>
    <t>基于特殊体力活动信息的工作推荐系统及方法</t>
  </si>
  <si>
    <t>KR102440828B1</t>
  </si>
  <si>
    <t>本发明涉及一种分段设置的交互式人工智能竞赛系统及操作方法。 本发明包括:存储单元100,用于存储比赛的运行​​周期和运行时间等日程信息、按预定区间划分的多圈等进度方法以及评分脚本信息。 每次一圈结束于存储单元中预定的进度方法和计分方法划分为某一段的多圈时,参赛者检查根据比赛计分脚本获得的分数,对通过用户终端上传的答案进行计算单元200,执行排名确定操作,并根据计算结果为多个参与者确定排名; 构造包括竞赛托管服务器10,该竞赛托管服务器10包括用于联网的通信单元300,以便能够将参与者访问和计算的结果信息传输到外部,以及与竞赛托管服务器10联网以提高AI的用户终端20。​参与者的编程技能并发现工业领域所需的人工智能解决方案。</t>
  </si>
  <si>
    <t>基于分段设置的交互AI竞赛系统及操作方法</t>
  </si>
  <si>
    <t>WO2021194090A1</t>
  </si>
  <si>
    <t>公开了一种使用人工智能分析体育视频中的广告的系统。 广告分析系统估计播放的体育图像中地面面积所占的面积比,计算体育图像中检测到的物体的高度,确定体育图像的场景。根据广告区域的广告区域,根据广告区域的广告类型对生成的广告区域中检测到的广告图像进行分类,并实时确定分类的广告图像是否对应于官方广告和广告效果分析模块计算确定模块确定为官方广告的广告图像的累计曝光时间、累计曝光次数和效果量作为分析结果,并将分析结果实时显示在体育视频中。</t>
  </si>
  <si>
    <t>基于人工智能的体育视频广告分析系统及分析方法</t>
  </si>
  <si>
    <t>KR1020220116605A</t>
  </si>
  <si>
    <t>在本发明中,智能球童服务器110将参加高尔夫球比赛的高尔夫球场用户的信息发送至球童终端120,并且球童终端120发送从智能球童服务器110接收的高尔夫球场用户的信息。基于该信息输入回合得分和/或回合信息,智能球童服务器110从球童终端120接收高尔夫回合得分和/或回合信息,球童终端(120)涉及智能球童系统和能够使用语音识别来接收高尔夫球回合得分和/或回合信息的方法。 
  根据本发明的智能球童系统和方法,球童可以轻松地通过语音输入分数和回合信息,创建回合的中继通道,并将分数和回合信息中继给熟人。</t>
  </si>
  <si>
    <t>智能球童系统及其方法</t>
  </si>
  <si>
    <t>CN306984996S</t>
  </si>
  <si>
    <t>1.本外观设计产品的名称：显示屏幕面板的健康管理图标图形用户界面。
 2.本外观设计产品的用途：显示屏幕面板用于显示图形用户界面。
 3.本外观设计产品的设计要点：在于图形用户界面。
 4.最能表明设计要点的图片或照片：设计1局部放大图。
 5.指定设计1为基本设计。
 6.图形用户界面的用途：用于人机交互和实现显示屏幕面板的功能，并且可以用于运行或执行应用程序。
 7.图形用户界面的人机交互方式：可以通过接触，例如轻击或触摸图标图形用户界面来进行交互，以载入后续的图形用户界面或运行应用程序。
 8.设计2请求保护色彩。
 显示屏幕面板和图形用户界面可以应用于计算机、笔记本电脑、平板电脑、手机、智能手表、智能手环、健身监视器、头戴式耳机、个人数字助理、智能音箱、电视、投影仪、机顶盒、游戏机或导航仪；显示屏幕面板为惯常设计，故省略其他视图。</t>
  </si>
  <si>
    <t>显示屏幕面板的健康管理图标图形用户界面</t>
  </si>
  <si>
    <t>CN306984995S</t>
  </si>
  <si>
    <t>CN306984994S</t>
  </si>
  <si>
    <t>US20220207073A1</t>
  </si>
  <si>
    <t>KR1020220115467A</t>
  </si>
  <si>
    <t>本发明是一种利用人工智能的求职服务,可以在网上正确连接需要和想要工作的人,以及根据位置信息和其他数据匹配体育设施的平台。性别、地区、经济状况、身体状况、喜好等各种个人数据,为您快速便捷地找到工作或聘用工作人员,为您推荐最合适的招聘公司,并匹配合适的健身设施和工作岗位,您可以长期稳定使用,最大化您的满意度。</t>
  </si>
  <si>
    <t>使用人工智能的定制求职和体育设施匹配平台服务和方法</t>
  </si>
  <si>
    <t>DE102021103012A1</t>
  </si>
  <si>
    <t>本公开提供用于车辆的偏振激光雷达。 一种包括处理器和存储器的计算机,存储器包含由处理器执行的指令,用于在确定偏振模式和到物体的距离的激光雷达接收器处接收发射的偏振光束,偏振模式通过比较确定线性偏振模式和圆偏振模式,并使用深度神经网络通过处理偏振模式和距离来识别物体,其中物体的身份可以是金属或非金属。 该指令可包括用于基于所识别的物体操作车辆的进一步指令。</t>
  </si>
  <si>
    <t>用于车辆的激光雷达偏振</t>
  </si>
  <si>
    <t>WO2021163013A1</t>
  </si>
  <si>
    <t>一种软件系统,能够利用人工智能和/或机器学习,根据特定球队、球员、赛事或其他相关数据的历史得分数据生成体育分析。 在实施例中,可以将机器学习应用于历史数据以提高投注赔率。 通过“赔率模块”可以提前实时分析事件结果和可用参数之间的相关性,以提供准确和最新的赔率。</t>
  </si>
  <si>
    <t>人工智能/机器学习提高投注赔率</t>
  </si>
  <si>
    <t>CN112957659B</t>
  </si>
  <si>
    <t>本发明公开一种基于行程映射交互的健身方法，包括以下步骤，步骤1，将主机用固定装置固定在墙面或地面；步骤2，用户选择健身模式，健身模式包括跟练模式、自由训练；步骤3，获得行程数值，拉绳行程传感器获得行程数值；将行程数值映射为绝对值变量，作为人机交互装置需要的输入变量，为新形态的智能健身设备提供了安全有效的人机交互输入功能。其健身设备，包括括主机、拉手或部位固定装置、拉绳、拉绳行程传感器、控制终端。利用人机交互技术在智能健身设备产品中提升交互安全性及可扩展性。</t>
  </si>
  <si>
    <t>一种基于行程映射交互的健身设备及健身方法</t>
  </si>
  <si>
    <t>CN306629950S</t>
  </si>
  <si>
    <t>1.本外观设计产品的名称：用于显示屏幕面板的教学评级图形用户界面。
 2.本外观设计产品的用途：用于显示信息。
 3.本外观设计产品的设计要点：在于屏幕中的图形用户界面。
 4.最能表明设计要点的图片或照片：设计1主视图。
 5.指定设计1为基本设计。
 6.图形用户界面的用途：界面用于运动教学、评级等。
 7.图形用户界面的人机交互方式：设计1至设计5主视图为教学评级界面，界面左侧空白区域为教学视频区域，界面右侧空白区域为摄像头捕捉到的用户图像。
 当用户的动作与左边教学区域教练的动作一致，界面右下角评级区域出现该动作的评价，用户还可以点击进度条上的用户头像查看该用户资料。
 设计6主视图为教学评级界面，界面左侧空白区域为教学视频区域，界面右侧空白区域为摄像头捕捉到的用户图像。
 当用户的动作与左边教学区域教练的动作一致时，界面左下角分数增加，界面右下角评级区域出现其他用户头像和评级点，呈现出主视图至界面变化状态图1的界面变化。
 当用户的动作与左边教学区域教练的动作不一致时，界面右下角评级区域出现评价语，呈现出界面变化状态图1至界面变化状态图2的界面变化。
 设计7主视图为教学评级界面，界面左侧空白区域为教学视频区域，界面右侧空白区域为摄像头捕捉到的用户图像。
 当用户的动作与左边教学区域教练的动作一致时，界面左下角分数增加，界面右下角评级区域出现其他用户头像和评级点，呈现出主视图至界面变化状态图1的界面变化。
 当用户的动作与左边教学区域教练的动作一直保持一致时，界面右下角评级区域出现评级和评价语，呈现出界面变化状态图1至界面变化状态图3的界面变化。
 设计8和设计9主视图为教学评级界面，界面左侧空白区域为教学视频区域，界面右侧空白区域为摄像头捕捉到的用户图像。
 当用户的动作与左边教学区域教练的动作一致时，界面左下角分数增加，界面右下角评级区域出现其他用户头像，呈现出主视图至界面变化状态图1的界面变化。
 当用户的动作与左边教学区域教练的动作多次保持一致时，界面右下角区域的头像向左移动变化，呈现出界面变化状态图1至界面变化状态图3的界面变化。
 8.该显示屏幕面板可用于手机、计算机、平板电脑、智能电视。</t>
  </si>
  <si>
    <t>用于显示屏幕面板的教学评级图形用户界面</t>
  </si>
  <si>
    <t>CN214174877U</t>
  </si>
  <si>
    <t>本实用新型公开了一种基于物联网技术的电动玩具装置，包括：用于将接收到的外界信息显示并根据用户的操作发送远程控制指令到通讯模块的主控模块；用于接收所述远程控制指令并将所述远程控制指令通发送到控制模块的通讯模块；用于采集外界信息传输到控制模块的输入模块；用于接收输入模块采集的外界信息，并将外界信息通过通讯模块发送到主控模块；接收所述远程控制指令，通过所述远程控制指令对输出模块进行控制的控制模块；用于在控制模块的控制下执行发音和/或做出动作的输出模块；用于为控制模块、并通过控制模块为其他模块供电的电源模块。当本人不能去现场参与活动，可以作为替身用在比赛现场、娱乐现场、会议现场等。</t>
  </si>
  <si>
    <t>基于物联网技术的电动玩具装置</t>
  </si>
  <si>
    <t>US20220249906A1</t>
  </si>
  <si>
    <t>计算设备可能会接收由一个或多个运动传感器生成的运动数据,该运动数据与一个或多个运动传感器感应的运动相对应。计算设备可以使用一个或多个具有差异隐私,设备活动识别的神经网络来识别与运动数据相对应的体育活动。计算设备可以响应识别与运动数据相对应的体育活动,执行与体育活动相关的操作。</t>
  </si>
  <si>
    <t>设备上的活动识别</t>
  </si>
  <si>
    <t>CN112728437A</t>
  </si>
  <si>
    <t>本发明涉及照明灯技术领域，具体的说是一种基于物联网的篮球场照明灯，包括照明灯、移动结构、固定结构、放置结构、收纳结构和清洗结构，通过移动结构可以可以很好的将照明灯进行位置移动，并且当该装置位于需要长期固定的位置时，还可将其移动结构进行收起，从而使得该装置更稳定的在地面上，通过固定结构可以将移动结构固定，方便在一些斜坡等道路上，可以将该装置进行固定，通过放置结构可以将备用的篮球放在放置结构内部，从而防止在打篮球过程中因为外界影响导致篮球丢失，还可以在篮球员休息过程中将篮球放置其中，防止拿取时不便，还可以根据篮球员的身高来调节该装置的高度。</t>
  </si>
  <si>
    <t>US20210241145A1</t>
  </si>
  <si>
    <t>本文公开了一种用于生成与一个或多个玩家相关联的角色概要的系统和方法。 一种计算系统为多个事件检索多个团队的事件信息。 计算系统生成描述每个玩家的空间输出。 计算系统识别与每支球队相关的比赛风格。 计算系统识别球员或球队在两个区域之间采取的路径子集。 计算系统识别每个玩家在团队过程中的参与。 计算系统基于事件信息生成与玩家参与给定游戏的值相对应的分数。 计算系统基于事件信息生成与每个球员的传球能力相关联的分数。 计算系统基于事件信息确定每个玩家的击球方式。 计算系统识别与每个玩家相关联的角色。</t>
  </si>
  <si>
    <t>通过无监督学习在运动中扮演角色</t>
  </si>
  <si>
    <t>WO2021158771A1</t>
  </si>
  <si>
    <t>WO2021162935A1</t>
  </si>
  <si>
    <t>一种计算系统检索多个体育赛事的逐球数据。 该计算系统基于逐球数据生成训练有素的神经网络,并辅以逐球数据以及逐球比赛上下文特征和基于击球手和投球手的个性化嵌入。 计算系统接收目标击球手和目标投球手,以便在目标事件中传递投球。 计算系统识别在要传递的球场之前的球场窗口的目标逐球数据。 计算系统检索每个目标击球手和目标投球手的历史逐球数据。 计算系统根据历史逐球数据为目标击球手和目标投球手生成个性化嵌入。 计算系统根据目标逐球数据和个性化嵌入预测要传递的球场的击球类型。</t>
  </si>
  <si>
    <t>使用个性化深度神经网络动态预测击球类型</t>
  </si>
  <si>
    <t>CN115004200A</t>
  </si>
  <si>
    <t>本文公开了一种用于生成与一个或更多个运动员相关联的角色概要的系统和方法。计算系统检索针对多个赛事的多个团队的赛事信息。计算系统生成描述每个运动员的空间输出。计算系统识别与每个团队相关联的比赛风格。计算系统识别运动员或团队在两个区之间采取的路径子集。计算系统识别每个运动员参与团队的过程。计算系统基于赛事信息，生成与运动员参与给定比赛的值相对应的分数。计算系统基于赛事信息，生成与每个运动员的传球能力相关联的分数。计算系统基于赛事信息，确定每个运动员的射门风格。计算系统识别与每个运动员相关联的角色。</t>
  </si>
  <si>
    <t>通过无监督学习在体育运动中生成角色</t>
  </si>
  <si>
    <t>CN115087997A</t>
  </si>
  <si>
    <t>计算系统检索多个体育赛事的逐球数据。计算系统基于逐球数据生成经训练的神经网络，该逐球数据补充有逐球竞赛环境特征和基于每次投球的击球手和投球手的个性化嵌入。计算系统接收在目标赛事中将要被传递的投球的目标击球手和目标投球手。计算系统识别在将要被传递的投球之前的投球窗口的目标逐球数据。计算系统检索目标击球手和目标投球手中的每一个的历史逐球数据。计算系统基于历史逐球数据为目标击球手和目标投球手两者生成个性化嵌入。计算系统基于目标逐球数据和个性化嵌入来预测将要被传递的投球的击球类型。</t>
  </si>
  <si>
    <t>EP4100895A1</t>
  </si>
  <si>
    <t>EP4104110A1</t>
  </si>
  <si>
    <t>使用个性化深度神经网络动态预测投篮类型</t>
  </si>
  <si>
    <t>US11715303B2</t>
  </si>
  <si>
    <t>计算系统检索多个体育赛事的逐球数据。 计算系统基于逐球数据生成经过训练的神经网络,并辅以逐球数据和逐球比赛上下文特征以及基于每次投球的击球手和投球手的个性化嵌入。 计算系统接收目标击球手和目标投球手以在目标事件中投出投球。 计算系统识别要传送的投球之前的投球窗口的目标球数据。 计算系统检索每个目标击球手和目标投球手的历史逐球数据。 计算系统根据历史逐球数据为目标击球手和目标投球手生成个性化嵌入。 计算系统根据目标球数据和个性化嵌入来预测要投掷的投篮类型。</t>
  </si>
  <si>
    <t>CN112769195A</t>
  </si>
  <si>
    <t>一种新能源电池组安全充电智能管理方法，其特征在于，包括：输入端A，恒温系统B，直流DC输入端宽电压及稳压电路模块C，整流滤波电路D，单片机控制器E，直流DC电压电流充电变换器F，驱动电路G，直流DC输出端O，电压参数监控模块V，电流参数监控模块I，温度监测模块T，显示屏P，蓄电池组H，蓄电池充电模块组N，报警模块J，物联网模块W，云端服务管理系统平台Y；本发明的目的在于克服现有新能源机动车、电动车、健身单车、骑行自行车、电动自行车、手摇发电装置、光能、风能、水能、海洋能等发电充电技术效率的不足，提供一种物联网智能化管理计算充电电压和电流，实现更安全、更快速高效率充电技术方法。</t>
  </si>
  <si>
    <t>一种新能源电池组安全充电智能管理方法</t>
  </si>
  <si>
    <t>WO2021162905A1</t>
  </si>
  <si>
    <t>一个涉及实时分析和收集生理数据的系统。 该系统允许用户通过收集球员的生理数据以创建历史数据库来预测和投注球员在尚未发生的比赛过程中的行为。 利用算法,可以使用使用人工智能或机器学习收集的各种生理数据来提高投注赔率。 该算法可以通过玩家的生理数据来确定游戏的结果,并且这些潜在的结果为投注平台提供额外的数据以向其用户提供改进的投注赔率。</t>
  </si>
  <si>
    <t>根据生理数据提高几率</t>
  </si>
  <si>
    <t>CN306777885S</t>
  </si>
  <si>
    <t>1.本外观设计产品的名称：显示屏幕面板的合辑视频生成图形用户界面。
 2.本外观设计产品的用途：本外观设计产品的图形用户界面用于在显示屏幕面板上进行人机交互，显示屏幕面板用于手机、平板电脑、计算机、教育机、车载导航仪、智能电视。
 3.本外观设计产品的设计要点：在于显示屏幕面板中显示的图形用户界面。
 4.最能表明设计要点的图片或照片：主视图。
 5.无设计要点，省略本外观设计产品的后视图、左视图、右视图、俯视图及仰视图。
 6.图形用户界面的用途：本外观设计产品界面上的图形用户界面用于进行生成比赛视频的合辑视频，主视图显示的界面为用户近段时间进行的多场比赛的概况，并具有合辑视频生成选项；用户触发合辑视频生成选项进入变化状态图1显示的展示多个比赛视频的界面，各个比赛缩略图上展示该比赛的信息，如“5K”代表5次精彩击杀，“1V4”代表一打四，并具有视频选择选项；用户通过点选相应的视频选择选项可进入变化状态图2或变化状态图3显示的界面，其中，变化状态图2为所点选的视频时长未超出预设时长，用户可点选下一步进入变化状态图4显示的界面，变化状态图3为所点选的视频时长超出预设时长并弹出超时提示框，用户知晓提示并返回至变化状态图1进行复选，变化状态图4显示的界面是用户为合辑视频选择背景音乐的界面，界面中具有多种推荐音乐和用户自选音乐供用户选择，并具有音乐试听选项、音乐选择选项以及提交音乐选项，用户选择相应音乐后可触发提交音乐选项完成整个视频合辑的生产，其中，以上视图中的白框代表视频缩略图、音乐专辑图片等，使用状态参考图1‑3分别展示出本外观设计产品的变化状态图1‑3在实际应用中的情况。</t>
  </si>
  <si>
    <t>显示屏幕面板的合辑视频生成图形用户界面</t>
  </si>
  <si>
    <t>CN112802051B</t>
  </si>
  <si>
    <t>本发明提供基于神经网络的篮球投篮曲线的拟合方法及系统，方法包括：根据训练投篮视频对神经网络模型进行训练得到篮球识别模型；将待识别投篮视频输入到篮球识别模型中，识别得到所有篮球位置；获取待识别投篮视频的第一预设数量的拟合曲线，并计算每个拟合曲线的拟合值，将最大的拟合值对应的拟合曲线作为篮球投篮曲线；获取拟合曲线和对应的拟合值包括：于待识别投篮视频中的所有待识别视频帧中随机获取第二预设数量的待识别视频帧，根据获取的待识别视频帧中的篮球位置依照抛物线计算公式计算得到拟合曲线；计算所有没获取的待识别视频帧的篮球位置与拟合曲线之间的重合度，并将重合度作为拟合值。有益效果：计算较高精确度的篮球投篮曲线。</t>
  </si>
  <si>
    <t>基于神经网络的篮球投篮曲线的拟合方法及系统</t>
  </si>
  <si>
    <t>CN306915481S</t>
  </si>
  <si>
    <t>1.本外观设计产品的名称：用于显示屏幕面板的健康管理图形用户界面。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6.图形用户界面的用途：用于人机交互和实现显示屏幕面板的功能，并且可以用于健康管理。
 7.图形用户界面的人机交互方式：图形用户界面可以通过触摸、轻击、滚动或滑动图形用户界面来交互。
 8.显示屏幕面板和图形用户界面可以应用于车辆、通讯设备、多媒体设备、信息终端、便携式通讯设备、便携式多媒体设备、便携式信息终端、计算机、笔记本电脑、平板电脑、手机、智能手表、智能手环、健身监视器、头戴式耳机、个人数字助理、智能音箱、电视、投影仪、机顶盒、游戏机或导航仪；显示屏幕面板为惯常设计，故省略其他视图。</t>
  </si>
  <si>
    <t>用于显示屏幕面板的健康管理图形用户界面</t>
  </si>
  <si>
    <t>CN306972773S</t>
  </si>
  <si>
    <t>1.本外观设计产品的名称：显示屏幕面板的健康管理图标图形用户界面。
 2.本外观设计产品的用途：显示屏幕面板用于显示图形用户界面。
 3.本外观设计产品的设计要点：在于图形用户界面。
 4.最能表明设计要点的图片或照片：局部放大图。
 5.图形用户界面的用途：用于人机交互和实现显示屏幕面板的功能，并且可以用于运行或执行应用程序。
 6.图形用户界面的人机交互方式：可以通过接触，例如轻击或触摸图标图形用户界面来进行交互，以载入后续的图形用户界面或运行应用程序。
 7.显示屏幕面板和图形用户界面可以应用于车辆、通讯设备、多媒体设备、信息终端、便携式通讯设备、便携式多媒体设备、便携式信息终端、计算机、笔记本电脑、平板电脑、手机、智能手表、智能手环、健身监视器、头戴式耳机、个人数字助理、智能音箱、电视、投影仪、机顶盒、游戏机或导航仪；显示屏幕面板为惯常设计，故省略其他视图。</t>
  </si>
  <si>
    <t>CN307002927S</t>
  </si>
  <si>
    <t>1.本外观设计产品的名称：用于显示屏幕面板的健康管理图形用户界面。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5.图形用户界面的用途：用于人机交互和实现显示屏幕面板的功能，并且可以用于健康管理。
 6.图形用户界面的人机交互方式：图形用户界面可以通过触摸、轻击、滚动或滑动图形用户界面来交互。
 7.显示屏幕面板和图形用户界面可以应用于车辆、计算机、笔记本电脑、平板电脑、手机、智能手表、智能手环、健身监视器、头戴式耳机、智能音箱、电视、投影仪、机顶盒、游戏机或导航仪；显示屏幕面板为惯常设计，故省略其他视图。</t>
  </si>
  <si>
    <t>CN307019172S</t>
  </si>
  <si>
    <t>1.本外观设计产品的名称：用于显示屏幕面板的健康管理图形用户界面。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5.图形用户界面的用途：用于人机交互和实现显示屏幕面板的功能，并且可以用于健康管理。
 6.图形用户界面的人机交互方式：图形用户界面可以通过触摸、轻击、滚动或滑动图形用户界面来交互。
 用户可点击如主视图所示的界面中的“LOG MEAL”，界面从主视图变化到界面变化状态图。
 7.图形用户界面的变化状态说明：图形用户界面的外观依次在主视图与界面变化状态图之间变化。
 8.显示屏幕面板和图形用户界面可以应用于车辆、计算机、笔记本电脑、平板电脑、手机、智能手表、智能手环、健身监视器、头戴式耳机、智能音箱、电视、投影仪、机顶盒、游戏机或导航仪；显示屏幕面板为惯常设计，故省略其他视图。</t>
  </si>
  <si>
    <t>CN307019173S</t>
  </si>
  <si>
    <t>1.本外观设计产品的名称：用于显示屏幕面板的健康管理图形用户界面。
 2.本外观设计产品的用途：显示屏幕面板用于显示图形用户界面。
 3.本外观设计产品的设计要点：在于图形用户界面。
 4.最能表明设计要点的图片或照片：主视图。
 5.图形用户界面的用途：用于人机交互和实现屏幕面板的功能，并且可以用于健康管理。
 6.图形用户界面的人机交互方式：图形用户界面可以通过触摸、轻击、滚动或滑动图形用户界面来交互。
 用户可点击如主视图所示的界面中的加号按钮，进入信息记录界面，显示界面变化状态图1。
 可点击保存按钮，显示界面变化状态图2，在界面下方显示有记录的信息。
 点击视图放大按钮，显示界面变化状态图3，放大显示记录的信息。
 7.图形用户界面的变化状态说明：图形用户界面的外观依次在主视图与界面变化状态图1、界面变化状态图2、界面变化状态图3之间变化。
 8.显示屏幕面板和图形用户界面可以应用于车辆、计算机、笔记本电脑、平板电脑、手机、智能手表、智能手环、健身监视器、头戴式耳机、智能音箱、电视、投影仪、机顶盒、游戏机或导航仪；显示屏幕面板为惯常设计，故省略其他视图。</t>
  </si>
  <si>
    <t>CN307142125S</t>
  </si>
  <si>
    <t>CN112933551B</t>
  </si>
  <si>
    <t>本发明提供了一种虚拟现实跑步机的地形匹配控制方法和装置，解决现有跑步机在虚拟现实场景中对运动地形模拟缺少有效地形匹配手段的技术问题。方法包括通过地形数据量化形成虚拟场景中地面对象的高度数据；通过虚拟场景中的速度变化确定当前地面对象，根据当前地面对象的高度数据调节跑步机的相对坡度。利用地面对象的真实高度特征作为反馈，避免了实体跑步机运行时需要频繁使用人机交互手段修正支撑驱动电机的高度输出以表达高度特征。同时，使得对步带坡度的控制过程形成自动反馈，基于自动反馈使优化人机交互过程、简化传感器设置成为可能。进一步，利用自动反馈过程可以针对运动者的生理特征主动进行运动量的调整，实现科学运动健身。</t>
  </si>
  <si>
    <t>一种虚拟现实跑步机的地形匹配控制方法和装置</t>
  </si>
  <si>
    <t>KR1020220110938A</t>
  </si>
  <si>
    <t>本发明公开了一种OHT检查装置。 根据本发明,隧道式壳体包括入口和出口,OHT可通过入口和出口进出; 声音传感器,设置于隧道状壳体的一侧; 无动力跑步机,允许包括在OHT的运输单元中的多个轮子在被驱动时定位在隧道形壳体内; 控制器将从声学传感器接收到的声学信号预处理成图像并将预处理后的图像输入到卷积神经网络模型以确定驱动OHT的电机是否出现故障。</t>
  </si>
  <si>
    <t>oht 检查设备</t>
  </si>
  <si>
    <t>US11504633B2</t>
  </si>
  <si>
    <t>训练有素的机器学习模型用于确定在视频游戏服务中注册的用户帐户的分数(例如,信任分数),并且分数用于在多人视频游戏设置中将玩家匹配在一起。 在示例过程中,计算系统可以访问与注册用户帐户相关联的数据,将数据作为输入提供给经过训练的机器学习模型,并且经过训练的机器学习模型生成分数作为输出,这与 在多人模式下玩视频游戏时,玩家根据特定行为表现或不表现的概率。 此后,可以至少部分地基于为那些登录用户帐户确定的分数,将执行视频游戏的已登录用户帐户的子集分配给不同的比赛,并且视频游戏在分配的比赛中为每个登录- 在用户帐户中。</t>
  </si>
  <si>
    <t>用于玩家配对的机器学习信任评分</t>
  </si>
  <si>
    <t>IN202111004196A</t>
  </si>
  <si>
    <t>本发明公开了一种能够提高员工在敬业度领域的绩效以提高个人在公司绩效的生产力的指导系统。 反馈系统能够更准确地生成反馈,从而轻松识别员工的弱点和优势领域 反馈系统能够从所有相关利益相关者的角度了解员工,从而产生具有改进领域的评级 ,该系统还具有通过遵循 CTG(教练、培训和指导)循环来解决薄弱环节的能力。 该系统使用人工智能方法推荐参与领域的导师,并自动指派导师指导和监控进度,并在需要时提出纠正措施。</t>
  </si>
  <si>
    <t>一种通过数字技术提高员工敬业度的新方法及其方法</t>
  </si>
  <si>
    <t>CN112926933A</t>
  </si>
  <si>
    <t>本发明公开了一种基于大数据的排球赛事管理系统，涉及排球赛事管理技术领域，该基于大数据的排球赛事管理系统，包括：终端模块，所述终端模块用于实现人机交互；数据库模块，所述数据库模块用于存储用户信息、赛制模式、赛事规则以及参赛要求；赛事管理模块，所述赛事管理模块用于实现赛事的管理；赛事大数据可视化与应用模块，所述赛事大数据可视化与应用模块用于实现赛事数据的可视化管理；本发明所提供的管理系统能够实现排球赛事的可视化管理，便于赛事审核、纠错，防止排球赛事管理出现操作失误，从而有效了提高赛事的管理效率，以实现排球赛事的高效管理，有助于排球赛事的有序开展。</t>
  </si>
  <si>
    <t>一种基于大数据的排球赛事管理系统</t>
  </si>
  <si>
    <t>CN112818842A</t>
  </si>
  <si>
    <t>本发明提出了一种基于机器学习的智能图像识别游泳计时系统和计时方法，该系统包括泳池，在泳池内设置有K条泳道，所述K为大于或者等于1的正整数，分别为第1泳道、第2泳道、第3泳道、……、第K泳道，其特征在于，在每条泳道的起始端或/和对岸端设置有图像采集显示器及与所述图像采集显示器相连的计时器；还包括计时主机、成绩处理主机和大屏显示器，计时主机分别与成绩处理主机和每个计时器相连，成绩处理主机与大屏相连；在大屏上显示每条泳道游泳者个人信息和对应成绩。本发明能够根据摄像头对其泳道内游泳者进行计时。</t>
  </si>
  <si>
    <t>基于机器学习的智能图像识别游泳计时系统和计时方法</t>
  </si>
  <si>
    <t>CN306629924S</t>
  </si>
  <si>
    <t>1.本外观设计产品的名称：显示屏幕面板的跑步训练辅助图形用户界面。
 2.本外观设计产品的用途：用于运行软件，该显示屏幕用于手机、平板电脑、跑步机、椭圆机、动感单车、划船机、登山机、健身车。
 3.本外观设计产品的设计要点：在于屏幕中显示的软件图形用户界面。
 4.最能表明设计要点的图片或照片：主视图。
 5.其他视图无设计要点，省略其他视图。
 6.图形用户界面的用途：本外观设计是用于辅助用户进行跑步课程的图形用户界面。
 7.图形用户界面的人机交互方式：主视图为开始跑步的主界面，主视图为当前GPS信号良好的显示界面；当GPS信号差的时候则会显示界面变化状态图1；点击主视图或界面变化状态图1中的“跑步机”选项时则显示界面变化状态图2；向上滑动界面变化状态图2则会显示燃脂课程的详情界面如界面变化状态图3所示；界面变化状态图4为切换到辅助训练的显示界面；界面变化状态图5为切换到活动赛事的显示界面。</t>
  </si>
  <si>
    <t>显示屏幕面板的跑步训练辅助图形用户界面</t>
  </si>
  <si>
    <t>CN306847452S</t>
  </si>
  <si>
    <t>1.本外观设计产品的名称：显示屏幕面板的显示用户信息的图形用户界面。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6.图形用户界面的用途：用于人机交互和实现显示屏幕面板的功能，并且可以用于显示、记录和追踪与医学数据有关的用户信息，例如，心律，脉搏，心血管健康，房颤负荷等。
 7.图形用户界面的人机交互方式：图形用户界面可以通过轻击或滑动图形用户界面来交互。
 8.设计1请求保护色彩。
 显示屏幕面板可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</si>
  <si>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显示屏幕面板的显示用户信息的图形用户界面</t>
  </si>
  <si>
    <t>CN306855802S</t>
  </si>
  <si>
    <t>1.本外观设计产品的名称：显示屏幕面板的显示用户信息的图形用户界面。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6.图形用户界面的用途：用于人机交互和实现显示屏幕面板的功能，并且可以用于显示、记录和追踪与医学数据有关的用户信息，例如，心律，脉搏，心血管健康，房颤负荷等。
 7.图形用户界面的人机交互方式：图形用户界面可以通过轻击或滑动图形用户界面来交互。
 8.图形用户界面的变化状态说明：设计1图形用户界面的外观依次在设计1主视图、设计1变化状态图1和设计1变化状态图2之间变化。
 9.显示屏幕面板可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</si>
  <si>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CN306855803S</t>
  </si>
  <si>
    <t>1.本外观设计产品的名称：显示屏幕面板的显示用户信息的图形用户界面。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6.图形用户界面的用途：用于人机交互和实现显示屏幕面板的功能，并且可以用于显示、记录和追踪与医学数据有关的用户信息，例如，心律，脉搏，心血管健康，房颤负荷等。
 7.图形用户界面的人机交互方式：图形用户界面可以通过轻击或滑动图形用户界面来交互。
 8.图形用户界面的变化状态说明：设计1图形用户界面的外观依次在设计1主视图、设计1变化状态图1、设计1变化状态图2、设计1变化状态图3和设计1变化状态图4之间变化。
 9.显示屏幕面板可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</si>
  <si>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CN214586929U</t>
  </si>
  <si>
    <t>本实用新型提出了一种智能图像识别游泳计时系统和计时方法，该系统包括泳池，在泳池内设置有K条泳道，所述K为大于或者等于1的正整数，分别为第1泳道、第2泳道、第3泳道、……、第K泳道，其特征在于，在每条泳道的起始端或/和对岸端设置有图像采集显示器及与所述图像采集显示器相连的计时器；还包括计时主机、成绩处理主机和大屏显示器，计时主机分别与成绩处理主机和每个计时器相连，成绩处理主机与大屏相连；在大屏上显示每条泳道游泳者个人信息和对应成绩。本实用新型能够根据摄像头对其泳道内游泳者进行计时。</t>
  </si>
  <si>
    <t>一种智能图像识别游泳计时系统</t>
  </si>
  <si>
    <t>JP2021077396A</t>
  </si>
  <si>
    <t>本 发明提供一种信息处理装置、方法和程序,能够根据体育比赛等事件的情况计算与事件信息一起分发的广告信息的价值。 
  信息处理系统1的信息处理装置100作为其功能具有获取用户的属性信息的属性信息获取单元131,以及收集随时间变化的事件状态信息的事件信息。基于收集单元132 , 学习单元 133 基于事件状态信息进行机器学习并生成事件预测模型信息, 以及通过实时监控事件获得的动态数据和事件预测模型信息, 预测单元 134 用于预测事件的情况事件,提供计算单元135,用于在事件的情况下将广告信息分发给用户时计算广告信息的价值,以及广告信息分发单元136。 
  【选型图】图1</t>
  </si>
  <si>
    <t>信息处理装置、信息处理方法及信息处理程序</t>
  </si>
  <si>
    <t>CN306761257S</t>
  </si>
  <si>
    <t>1.本外观设计产品的名称：屏幕面板的声音设置信息显示动态图形用户界面。
 2.本外观设计产品的用途：显示屏幕面板用于显示图形用户界面。
 3.本外观设计产品的设计要点：在于图形用户界面。
 4.最能表明设计要点的图片或照片：设计2主视局部放大图。
 5.指定设计2为基本设计。
 6.图形用户界面的用途：用于人机交互和实现显示屏幕面板的功能，并且可以用于显示与声音设置有关的信息，例如，音量水平、降噪设置、噪声通透设置、环绕声或三维音频设置等。
 7.图形用户界面的人机交互方式：图形用户界面可以通过轻击、按压或滑动图形用户界面来交互。
 8.图形用户界面的变化状态说明：设计2动态图形用户界面的外观依次在设计2主视图、设计2变化状态图1、设计2变化状态图2和设计2变化状态图3之间变化。
 9.显示屏幕面板可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</si>
  <si>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屏幕面板的声音设置信息显示动态图形用户界面</t>
  </si>
  <si>
    <t>CN112581194A</t>
  </si>
  <si>
    <t>一种健身单车物联网多媒体广告管理系统方法，其特征在于，显示屏A与物联网多媒体智能管理终端C连接固定，物联网多媒体智能管理终端C与数据储存芯片D连接固定，物联网多媒体智能管理终端C与电源F连接固定；编辑好多媒体内容数据I内容通过云数据系统管理终端G连接通讯网络上传保存在云服务器多媒体数据管理系统E数据储存芯片D中；物联网多媒体智能管理终端C通过LBS无线通讯网络B连接云服务器多媒体数据管理系统E来读取本终端匹配多媒体内容数据I中内容，当获取数据内容确认匹配允许下载时，自动下载多媒体内容数据I匹配内容到物联网多媒体智能管理终端C储存在数据储存芯片D中；物联网多媒体智能管理终端C读取数据储存芯片D中多媒体广告数据内容在显示屏A中显示播放；本发明涉及所有健身单车多媒体装置、机动车多媒体装置、骑行单车多媒体装置、健身运动器材多媒体装置、电动自行车多媒体装置、楼宇广告多媒体装置、物业管理多媒体装置、户外多媒体装置、物联网终端多媒体装置、手摇发电装置多媒体终端等技术领域。</t>
  </si>
  <si>
    <t>一种健身单车物联网多媒体广告管理系统方法</t>
  </si>
  <si>
    <t>CN112933573B</t>
  </si>
  <si>
    <t>本发明提供的一种室内滑雪比赛控制方法、系统和可读存储介质，根据获取的用户标识和比赛内容信息得到不同传感器的位置调整方案，使得传感器能够处于最佳位置，获取的用户数据更加准确。另外，本发明还利用了大数据，可以从第三方资源端获取用户的身体状态信息，从而分析用户的运动状态。本发明在进行预状态分析时，还利用了神经网络模型，能够更加精确的分析出预状态值。通过对用户数据的准确分析，可以使得模拟雪机的传感器位置调整更加准确，采集的数据更加准确。</t>
  </si>
  <si>
    <t>一种室内滑雪比赛控制方法、系统和可读存储介质</t>
  </si>
  <si>
    <t>CN112933580B</t>
  </si>
  <si>
    <t>本发明提供的一种基于声呐传感器的滑雪比赛数据获取方法、系统和可读存储介质，通过采集到的声呐传感器的数据进行用户的轨迹分析，对用户轨迹的预测调整声呐传感器的角度，进而调整声呐传感器的角度使得采集用户的数据更加准确。并且本发明还通过比赛内容信息进行用户轨迹的分析，更进一步的，还采用了轨迹神经网络模型进行用户轨迹的预测，使得用于轨迹预测更加准确，通过准确的轨迹位置从而调整声呐传感器的角度，能够使得采集到的信息更加精确，比赛的分数也就更加准确可靠。</t>
  </si>
  <si>
    <t>一种基于声呐传感器的滑雪比赛数据获取方法、系统和可读存储介质</t>
  </si>
  <si>
    <t>KR102431970B1</t>
  </si>
  <si>
    <t>根据本发明的一个实施例,由服务器执行的提供视频健身训练服务的方法包括: (a)从教练设备实时接收教练图像并将其提供给多个学生终端,接收实时图像并将其提供给训练者设备;以及(b)执行动作识别和语音识别中的至少一种,并基于执行结果从预设的训练者图像和受训者图像中获得每个特征值间隔提取,根据各自的特征值提取满足预设标准的学生图像,并将图像提供给训练器设备; 当接收到的学生图像数量超过预设的最大值时,提取最大数量的学生图像并显示在训练器设备上,并计算每个预设时间段内每个学生图像在训练器设备上显示的次数并提取将各个计数值显示为在预设差值内相等; 至少其中之一</t>
  </si>
  <si>
    <t>提供培训师与学员互动优先信息的家庭培训服务方法及装置</t>
  </si>
  <si>
    <t>CN112784762A</t>
  </si>
  <si>
    <t>本发明公开了一种基于大数据的互联网营销策略智能分析平台，包括智能分析平台主体、图像获取活动装置和微距图像识别装置。智能分析平台主体的前面顶部活动相连有图像获取活动装置，智能分析平台主体的前面底部活动连接有微距图像识别装置，智能分析平台主体的前面中间部位固定连接有一体操控面板，一体操控面板很好的方便了使用者进行集中统一操作，顶置灯条很好的体现了该平台的补光便捷性，移动调节一体底座很好的体现了该平台的升降活动灵活性，微距图像识别装置很好的体现了该平台的识别适配性，图像获取活动装置很好的提高了图像的获取效果，适用网络营销技术领域的使用，在未来具有广泛的发展前景。</t>
  </si>
  <si>
    <t>一种基于大数据的互联网营销策略智能分析平台</t>
  </si>
  <si>
    <t>CN112755463A</t>
  </si>
  <si>
    <t>本发明属于机械外骨骼应用技术领域，具体涉及一种健身器械，包括固定座、第一动力臂和第二动力臂，第一动力臂的一端通过第一关节组件与固定座连接，另一端通过第二关节组件与第二动力臂连接，第二动力臂远离第二关节组件的一端设有与人的肢体相配合的人机交互机械结构；所述第一动力臂上分别设有沿第一动力臂长度方向滑动设置的第一滑动部和第二滑动部，以及分别用于驱动第一滑动部和第二滑动部滑动的第一驱动模块和第二驱动模块。本发明能够模拟多种不同锻炼方式下人肢体的运动轨迹，进而沿着特定的运动轨迹对人的肢体产生阻力，以达到锻炼的效果；另外，本发明能够对肢体的运动动作进行主动纠正和引导，提升锻炼效果。</t>
  </si>
  <si>
    <t>一种健身器械</t>
  </si>
  <si>
    <t>CN112774085B</t>
  </si>
  <si>
    <t>本发明属于健身器材设计制造技术领域，具体涉及一种基于柔性机械臂原理的健身器，包括机械臂、支撑部，机械臂与支撑部连接，所述机械臂末端设有机械交互结构；还包括力馈关节、运动控制模块、力场控制模块、人机交互模块与人体运动姿态分析模块；本发明不使用任何配重进行力量控制，可以在有限的环境中进行过去只能在专业环境中才能完成的健身训练。本发明能够模拟多种庞大的健身设备，将众多健身房中的大型运动器材小型化，一体化，使有限空间内的力量训练成为可能，也能让健身房节约大量设备占地，极大的提高其运营效率。</t>
  </si>
  <si>
    <t>CN216358790U</t>
  </si>
  <si>
    <t>本实用新型属于机械外骨骼应用技术领域，具体涉及一种健身器械，包括固定座、第一动力臂和第二动力臂，第一动力臂的一端通过第一关节组件与固定座连接，另一端通过第二关节组件与第二动力臂连接，第二动力臂远离第二关节组件的一端设有与人的肢体相配合的人机交互机械结构；所述第一动力臂上分别设有沿第一动力臂长度方向滑动设置的第一滑动部和第二滑动部，以及分别用于驱动第一滑动部和第二滑动部滑动的第一驱动模块和第二驱动模块。本实用新型能够模拟多种不同锻炼方式下人肢体的运动轨迹，进而沿着特定的运动轨迹对人的肢体产生阻力，以达到锻炼的效果；另外，本实用新型能够对肢体的运动动作进行主动纠正和引导，提升锻炼效果。</t>
  </si>
  <si>
    <t>KR1020220106448A</t>
  </si>
  <si>
    <t>本发明涉及一种结合人工智能和无线肌电信号处理的个人运动管理系统,更具体地说,将健身和跆拳道运动的运动范围评估为角度值,并根据评估结果,锻炼肌肉(神经)诱导训练(Sensory-Motor Training),根据测试结果,单独某一块肌肉的肌力和肌耐力,提高人体平衡感缺乏方向的功能运动能力。为了提高肌肉耐力或灵活性,在执行任何功能性运动时,神经和肌肉相对于与运动相关的肌肉群进行协调的能力(人工智能和无线肌电图信号处理的协同融合,其特点是改善协调性)或共同收缩,以防止人体功能活动过程中可能发生的伤害并诱导精确操作。这是一种个人运动管理系统。</t>
  </si>
  <si>
    <t>定制运动处方的人工智能运动识别评估与肌电测量系统</t>
  </si>
  <si>
    <t>CN112764353A</t>
  </si>
  <si>
    <t>本发明公开了一种集多功能于一体的智能家庭版云镜，其外部由边框、镜子、镜面显示屏以及麦克风组成，镜子位于边框的内侧，镜面显示屏位于镜子的正中间，麦克风位于镜面显示屏的左右两侧，麦克风位于边框上；其内部由控制盒组成，控制盒由控制电路板、RFID读取模块、第一单片机、数据储存模块、语音识别模块、第二单片机、第三单片机、蓝牙模组、第四单片机、WIFI模块以及第五单片机组成。本发明为一种集多功能于一体的智能家庭版云镜，基于传统的镜子上，增加了3D虚拟试衣，Ai智能健身，穿衣搭配推荐，健康管理，智能家居控制，亲子教育，体感游戏，智能衣橱及智能家电联控的功能，其操作简单，使用便捷，科技感十足，极大丰富了人的生活。</t>
  </si>
  <si>
    <t>一种集多功能于一体的智能家庭版云镜</t>
  </si>
  <si>
    <t>CN214751380U</t>
  </si>
  <si>
    <t>本实用新型公开了一种集多功能于一体的智能家庭版云镜，其外部由边框、镜子、镜面显示屏以及麦克风组成，镜子位于边框的内侧，镜面显示屏位于镜子的正中间，麦克风位于镜面显示屏的左右两侧，麦克风位于边框上；其内部由控制盒组成，控制盒由控制电路板、RFID读取模块、第一单片机、数据储存模块、语音识别模块、第二单片机、第三单片机、蓝牙模组、第四单片机、WIFI模块以及第五单片机组成。本实用新型为一种集多功能于一体的智能家庭版云镜，基于传统的镜子上，增加了3D虚拟试衣，Ai智能健身，穿衣搭配推荐，健康管理，智能家居控制，亲子教育，体感游戏，智能衣橱及智能家电联控的功能，其操作简单，使用便捷，科技感十足，极大丰富了人的生活。</t>
  </si>
  <si>
    <t>GB2604324A</t>
  </si>
  <si>
    <t>一种指向网页的系统,其中有一个显示运动图像的屏幕和一个连接到互联网的移动相机设备。 有一种机器学习云,它分析运动图像的相机拍摄的静止图像,以识别与标签相关联的静止图像的特征,然后将标签插入 URL 以将用户带到网站上的特定页面。 移动相机设备可以是智能手机、平板电脑、智能手表或智能眼镜。 可以通过应用程序或小部件访问该网站。 静止图像可以在移动设备上进行压缩,可能通过 base64 编码。 标签列表可以存储在数据库中。 运动图像可以是诸如体育赛事之类的现场事件并且特征可以是诸如足球、球门柱、飞镖、飞镖板、网球、斯诺克台球桌之类的项目。 URL 可能包含更多空格,以便插入更多特征标签。 系统可以提示用户以横向模式拍摄静止图像。 系统可以在确定屏幕在视野内并聚焦时自动拍摄图像。</t>
  </si>
  <si>
    <t>指向网页的系统</t>
  </si>
  <si>
    <t>CN112546584A</t>
  </si>
  <si>
    <t>本发明涉及物联网衍生技术领域，具体涉及是一种基于物联网的球网升降系统及控制方法，通过设置云平台和球网升降装置，使得能够在远程对球网的高度进行控制，从而在球网高度上进行了适合高度和不适合高度两种状态切换，使得在大多数情况下，需要场地租赁者或者设备所有者同意后，乒乓球台、网球场和羽毛球场等体育设施才具有相应的使用功能，从而既降低了运营维护成本，又有效防止蹭场现象发生。解决了现有球台或者球场运营需要安排人员进行现场值守，运营维护成本较高，而采用无人值守的模式又存在球台或者球场未经过允许进行蹭场的现象，导致场地租赁者或者设备所有者经济上受到损失的问题。</t>
  </si>
  <si>
    <t>一种基于物联网的球网升降系统及控制方法</t>
  </si>
  <si>
    <t>CN214130195U</t>
  </si>
  <si>
    <t>本实用新型涉及物联网衍生技术领域，具体涉及是一种基于物联网的球网升降系统，通过设置云平台和球网升降装置，使得能够在远程对球网的高度进行控制，从而在球网高度上进行了适合高度和不适合高度两种状态切换，使得在大多数情况下，需要场地租赁者或者设备所有者同意后，乒乓球台、网球场和羽毛球场等体育设施才具有相应的使用功能，从而既降低了运营维护成本，又有效防止蹭场现象发生。解决了现有球台或者球场运营需要安排人员进行现场值守，运营维护成本较高，而采用无人值守的模式又存在球台或者球场未经过允许进行蹭场的现象，导致场地租赁者或者设备所有者经济上受到损失的问题。</t>
  </si>
  <si>
    <t>一种基于物联网的球网升降系统</t>
  </si>
  <si>
    <t>WO2021184950A1</t>
  </si>
  <si>
    <t>一种汉画像石体育图像采集比对装置，具体涉及汉画像石研究领域，包括图像采集装置（1）、图像处理终端（2），图像采集装置（1）包括底座（101）、竖杆（102）、电磁滑套（103）、连接杆（104）、横向滑轨（105）、电磁滑座（106）、摄像机（107），摄像机（107）的底端通过电磁滑座（106）与横向滑轨（105）的顶面滑动连接，图像处理终端（2）的内部设有预处理模块（3）、信息分析模块（4）、数据分析模块（5）。通过实现对汉画像石的自动转化识别和分类功能，整个算法系统在人工智能算法的干预下通过人为干预与优化算法升级，实现对大量汉画像石的分类标签，基于人工智能算法技术的控制，实现全自动化，无需依赖于操作人员的经验知识并无需通过多次调整参数反复操作，处理过程简单效率较高。</t>
  </si>
  <si>
    <t>一种汉画像石体育图像采集比对装置</t>
  </si>
  <si>
    <t>CN214550884U</t>
  </si>
  <si>
    <t>本实用新型属于跑步机技术领域，尤其为一种人机交互式电动跑步机，包括边条，马达上盖的下端面设置有马达下盖，马达下盖的外表面设置有固定板，固定板的外表面设置有立柱，立柱的外表面设置有修饰盖，立柱的上端面设置有下端盖，下端盖的上端面设置有上端盖，马达下盖的内侧面设置有滚动轮，马达下盖一侧设置有支撑管，边条的下端面分别设置有支撑梁与脚垫。本实用新型通过设置支撑管与支撑梁，使跑步机的底面与地面存在足够的空隙，增强跑步机的散热效果，延长跑步机的使用寿命，通过设置修饰盖，将立柱与螺杆顶端分隔开，避免螺杆顶端与立柱直接接触对立柱造成损伤，确保立柱的转动不会受到影响。</t>
  </si>
  <si>
    <t>一种人机交互式电动跑步机</t>
  </si>
  <si>
    <t>CN113190104A</t>
  </si>
  <si>
    <t>智能设备利用视觉分析识别人物动作实现人机交互的方法。智能设备通过摄像头分析人体动作，依据判断出的动作类型作为指令，并做响应。可用于健身运动、人机互动益智游戏以及吵杂户外环境下人机指令交互等。</t>
  </si>
  <si>
    <t>智能设备利用视觉分析识别人物动作实现人机交互的方法</t>
  </si>
  <si>
    <t>KR1020220104563A</t>
  </si>
  <si>
    <t>本发明使用心电图数据测量单元110来构建,该心电图数据测量单元110测量并发送来自受检者身体的心电图数据、PSVT、以及映射到PSVT的心电图数据的学习数据集和验证数据集,并提取特征点。深度学习预测模型单元120,根据心电图数据导出PSVT的可能性,接收从心电图数据测量单元110发送的心电图数据,并将其提供给深度学习预测模型单元120。 输入单元130和输出单元140根据深度学习预测模型单元120的心电图数据输出PSVT的可能性,以从不表达心律失常特征的正常心电图中诊断潜在PSVT。公开了一种基于跑步的PSVT预测系统。</t>
  </si>
  <si>
    <t>使用心电图的基于深度学习的 PSVT 预测系统</t>
  </si>
  <si>
    <t>KR102285329B1</t>
  </si>
  <si>
    <t>本发明涉及一种基于体育解说员解说和播音员比赛进程语音识别的实时比赛策略预测系统和方法,提取录制语音特征的语音输入单元,比赛策略预测模型生成单元基于机器学习技术的基于特征学习录制的语音然后生成游戏策略预测模型,以及体育游戏解说员的游戏评论包括游戏策略预测单元,该单元输出游戏策略预测结果。将实时转播的体育比赛解说员的解说和播音员比赛进度的实时语音输入策略预测模型。播音员。</t>
  </si>
  <si>
    <t>基于体育比赛解说员解说和播音员语音识别的实时比赛策略预测系统及方法</t>
  </si>
  <si>
    <t>KR1020220103521A</t>
  </si>
  <si>
    <t>一个实施例是数据收集单元,用于收集过去的比赛数据; 用于使用过去的比赛数据学习协同模型的学习单元; 当学习完成后,比赛预测器利用协同模型预测比赛结果,其中协同模型在注意力层中生成第一队的多个冠军的向量,并对第一队的向量进行运算以输出一线队多个冠军之间的协同作用,并根据预合并层一线队的协同作用,输出一线队的胜负,可以提供一种利用深度学习的比赛预测装置。</t>
  </si>
  <si>
    <t>使用深度学习预测英雄联盟比赛结果的装置和方法</t>
  </si>
  <si>
    <t>CN112691383A</t>
  </si>
  <si>
    <t>本发明涉及一种基于虚拟遗憾最小化算法的德州扑克AI训练方法，包括以下步骤：1)获取私人手牌信息和游戏展示信息，进行游戏特征抽象；2)基于玩家历史游戏日志，建立针对该玩家的策略预测神经网络模型；3)采用虚拟遗憾最小化算法以玩家的策略预测神经网络模型为对手训练并得到AI行为策略；4)采用训练得到的AI行为策略与游戏玩家进行实时对局，并再结束后进行比赛记录。与现有技术相比，本发明通过引入游戏信息抽象嵌入，将遗憾匹配机制和局部最小遗憾值计算方法整合到遗憾最小化算法中，具有提高计算效率和实际对局胜率的优点。</t>
  </si>
  <si>
    <t>一种基于虚拟遗憾最小化算法的德州扑克AI训练方法</t>
  </si>
  <si>
    <t>CN306596794S</t>
  </si>
  <si>
    <t>1.本外观设计产品的名称：带应用图标图形用户界面的显示屏幕面板。
 2.本外观设计产品的用途：用于交互及显示信息。
 3.本外观设计产品的设计要点：在于界面。
 4.最能表明设计要点的图片或照片：设计1主视图。
 5.指定设计1为基本设计。
 6.图形用户界面的用途：用于显示状态、信息或可操作选项。
 7.图形用户界面的人机交互方式：在通电状态下，界面显示于电子装置的显示区域，向用户提示电子装置的状态、信息或可操作选项。
 根据界面的提示，用户通过数据互连的手持控制器向电子装置发出指令，对电子装置进行控制、输入和操作。
 8.设计1‑4的后左右俯仰视图无设计要点，故省略设计1‑4的后左右俯仰视图。
 该显示屏幕面板及图形用户界面应用于电子装置：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智能音箱、电视、机顶盒、游戏系统。</t>
  </si>
  <si>
    <t>带应用图标图形用户界面的显示屏幕面板</t>
  </si>
  <si>
    <t>CN306746260S</t>
  </si>
  <si>
    <t>1.本外观设计产品的名称：用于输入文字信息图形用户界面的显示屏幕面板。
 2.本外观设计产品的用途：用于交互及显示信息。
 3.本外观设计产品的设计要点：在于界面。
 4.最能表明设计要点的图片或照片：主视图。
 5.图形用户界面的用途：向电子设备来输入文字、信息或命令。
 6.图形用户界面的人机交互方式：在主视图中，界面显示出输入键盘。
 当用户通过数据互连的手持控制器向电子设备输入文字、信息或命令时，光标从原先预设的位置滑动至键盘上的选定输入字符位置，界面切换至界面变化状态图1。
 当在界面变化状态图1 时，用户点击输入键盘上的表示选定输入字符的位置时，界面变化状态图1 切换至界面变化状态图2。
 在界面变化状态图2 时，当用户输入的字符不满足要求但是用户点击输入键盘上表示确认的位置时，界面变化状态图2 切换至界面变化状态图3，界面变化状态图3 给出了错误提示文字。
 当用户输入的字符满足要求时，光标滑动至输入键盘上表示确认的位置处，切换至界面变化状态图4。
 在界面变化状态图4 上，当用户点击输入键盘上表示确认的位置时，界面变化状态图4 切换至界面变化状态图5，此时电子设备开始根据输入的文字、信息或命令来执行操作。
 7.后左右俯仰视图无设计要点，故省略后左右俯仰视图。
 该显示屏幕面板及图形用户界面应用于电子设备，即计算机、笔记本电脑、显示装置、通讯设备、多媒体设备、信息终端、便携式通讯设备、便携式多媒体设备、便携式信息终端、平板电脑、手机、智能手机、可穿戴设备、智能眼镜、虚拟现实眼镜、增强现实眼镜、混合现实眼镜、手表、智能手表、健身监视器、头戴式耳机、个人数字助理、智能音箱、电视、机顶盒、游戏系统。</t>
  </si>
  <si>
    <t>用于输入文字信息图形用户界面的显示屏幕面板</t>
  </si>
  <si>
    <t>AU2021200218B2</t>
  </si>
  <si>
    <t>摘要 一种基于深度学习的马匹速度计算系统的方法,包括以下步骤:比赛开始前,参赛马匹绕赛场走动,摄像机拍摄目标马匹的视频,并将视频发送至光学系统。 流场计算模块; 从视频中提取图像,计算连续图像之间的光流场; 对视频进行物体人工智能检测; 从光流场中过滤所有移动物体; 根据滤波后的光流场计算相机的方向和速度; 根据目标马的位置,计算连续两幅图像之间目标马的速度; 输出连续两幅图像之间目标马匹的所有速度,得到马匹的平均速度。 1/4 类型过滤器大小输出卷积 32 3x3 256 x 256 卷积 64 3x3/2 128 x 128 卷积 32 1x1 ix 卷积 64 3x3 残差 128 x 128 卷积 128 3x3/2 64 x 64 卷积 64 1 x 1 2x 卷积 x 128 3 64 x 64 卷积 256 3x3/2 32 x 32 卷积 128 1xI 8x 卷积 256 3x3 残差 32 x 32 卷积 512 3x3/2 16 x 16 卷积 256 1 x 1 8x 卷积 512 3x3 残差 16 x 16 卷积 8 x/3024 8 Convolutional 512 1x1 4x Convolutional 1024 3x3 Residual 8 x 8 Avgpool Global Connected 1000 Softmax 图1 6000 5000 4000 C- 3000 2000 1000 0 0 25 50 75 100 125 150 175 200 位移图2(a)</t>
  </si>
  <si>
    <t>基于深度学习的马速计算系统及方法</t>
  </si>
  <si>
    <t>WO2021143716A1</t>
  </si>
  <si>
    <t>一种基于深度学习的马匹速度计算系统及方法，通过摄像机获取马匹比赛前围绕比赛场地行走的视频，通过光流场计算、基于深度学习的对象检测、光流场过滤、摄像机速度计算、利用马匹位移对摄像机速度的调整、单位转换最终得到目标马匹的平均速度。实现利用人工智能技术，以更科学的方法进行马匹观察并对马匹速度进行预测和计算。</t>
  </si>
  <si>
    <t>一种基于深度学习的马匹速度计算系统及方法</t>
  </si>
  <si>
    <t>KR1020210092685A</t>
  </si>
  <si>
    <t>本发明涉及一种基于图像分析技术的人工智能台球比赛管理系统,所要解决的问题是通过图像分析算法的简化,最大限度地降低图像分析设备所需的成本,改变运动路径而台球的位置就是要读得更细,才能计算出更准确的结果,并根据计算出的结果,为玩家提供更多样化的游戏信息。 
  例如,在台球桌的上部安装摄像单元,对台球桌的上表面进行拍摄; 接收通过图像采集单元采集的图像,根据颜色值识别图像中的台球,计算台球的位置值,分析台球之间的碰撞和与垫子的碰撞,分析之间的碰撞台球和预定义的图像分析单元根据制定的游戏规则计算得分结果,并根据计算的得分结果计算并记录每个玩家的游戏记录信息; 显示单元,用于接收和输出视频分析单元的比赛记录信息,公开了一种基于视频分析技术的人工智能台球比赛管理系统。</t>
  </si>
  <si>
    <t>基于视频分析技术的人工智能台球管理系统</t>
  </si>
  <si>
    <t>KR102505001B1</t>
  </si>
  <si>
    <t>一种游泳池救生闭路电视系统,所述闭路电视系统包括设置在池内拍摄池内情况的内置摄像头和设置在池外拍摄池外情况的外置摄像头。拍摄单元从视频信息中接收池内外视频信息,从池内视频信息和池外视频信息中提取人的运动信息,并根据人的运动信息可以包括当人在参考时间或更长时间内没有运动时产生警报信息的图像分析器,以及从图像分析器接收警报信息并输出警报的信号发生器。</t>
  </si>
  <si>
    <t>基于使用人工智能的自适应认知域设置的CCTV系统和方法</t>
  </si>
  <si>
    <t>CN112882410A</t>
  </si>
  <si>
    <t>本发明涉及体育装备，具体涉及一种实时控制的人机环境共融的骑行舱系统；骑行舱硬件系统安包括自行车、骑行台、MCU微控制单元、脉搏传感器、磁阻模块、限定反射型光电传感器（测速）、显示屏、温度传感器及角度传感器进行，控制系统以MCU微型控制单元为核心，实现各模块通信及控制，并通过RBF径向基神经网络进行非线性函数拟合完成参数建模，最终将硬件系统与软件系统结合，实现骑行运动人机交互；本发明具备骑行感受真实、骑行体验丰富的特点，并能为骑行者健康及科学骑行训练提供参考数据；在室内骑行舱健身行业具有很好的市场推广前景。</t>
  </si>
  <si>
    <t>一种实时控制的人机环境共融的骑行舱系统</t>
  </si>
  <si>
    <t>CN112843647A</t>
  </si>
  <si>
    <t>本发明属于体操训练技术领域，公开了一种啦啦操用拉伸训练控制系统及方法，包括中央处理和控制模块、训练影像采集模块、动作识别检测模块、身体体征检测模块、通信模块、服务器模块、拉伸参数调节模块、训练结果评估模块、语音识别控制模块、人机交互模块和语音提醒模块。本发明通过动作识别检测模块对采集的影像信息进行动作识别，并对识别的动作信息的准确度进行评测，能快速识别啦啦操训练的动作信息，实时进行动作评价和训练反馈，对运动员的动作加以评价以及指导，提高学习效果；而且通过身体体征检测模块可以对运动员的身体状态进行实时监测，避免训练强度过大，对运动员造成伤害，安全性高。</t>
  </si>
  <si>
    <t>一种啦啦操用拉伸训练控制系统及方法</t>
  </si>
  <si>
    <t>CN112799455A</t>
  </si>
  <si>
    <t>一种游泳池水处理设备物联网智能自动化控制系统，本地智能控制柜控制游泳池水处理设备运行，并获取游泳水处理系统的数据信息，根据用户所选模式自动运行，同时将采集到的数据信息通过数据网关模块发送至云平台模块，云平台模块对接收到的数据信息进行处理，并将处理结果发送至所述终端设备，进行展示、存储和远程控制；现场视频监控器也可以将现场的实时画面上传到云平台模块，通过终端设备可以实时查看现场情况；上述本地智能控制柜、数据网关模块、云平台模块连为一体，组成物联网智能自动化控制系统，配置于不同的游泳场馆，实现远程实时监测控制，达到设备运行环保节能，降低设备运行成本，减少现场运维人员，降低管理成本，提高管理效率。</t>
  </si>
  <si>
    <t>一种游泳池水处理设备物联网智能自动化控制系统</t>
  </si>
  <si>
    <t>CN112927779A</t>
  </si>
  <si>
    <t>本发明公开了一种高血压糖尿病人群的“全民健身”模型开发方法，通过较为全面地收集了目前高血压病和糖尿病疾病和康复治疗知识、健身运动和健身指导的相关知识资料，该知识图谱模型的用途是作为核心数据模型用来支持各种健身指导软件系统的开发，实现健身人员(特别是高血压、糖尿病特殊人群的健身人员)可以通过搜索，甚至通过在信息系统上进行自然语言问答，就能得到针对特殊人群健身人员的疾病特征、身体状况特征的病理与药物治疗、饮食治疗和运动治疗相关的知识，以及全面丰富的全民健身相关的知识、健身指导方法过程和组织相关的知识，目地是使健身人员使用这些应用系统能够得到深入的个性化健身指导。</t>
  </si>
  <si>
    <t>一种高血压糖尿病人群的全民健身模型开发方法</t>
  </si>
  <si>
    <t>SG10202100200WA</t>
  </si>
  <si>
    <t>抽象的 
  本发明提供一种具有图像合成及显示功能的游戏系统 
  5 至少一名玩家在至少一台玩家端进行游戏的显示 
  在得分时间内在多个得分区域得分 
  分别生成评分信息、采集图像 
  单元拍摄物理比赛结果生成单元的真实场景 
  获取即时图像,图像识别单元识别 
  10、分析即时图像的位置来生成位置 
  信息,然后图像合成处理单元生成 
  至少根据评分的虚拟真实合成图像 
  信息、即时图像和位置信息,以及 
  各玩家端显示屏显示虚拟真实合成 
  15 图像。 因此,本发明增加了游戏在 
  至少一名玩家结束并增加游戏的可信度。</t>
  </si>
  <si>
    <t>具有图像合成和显示的游戏系统</t>
  </si>
  <si>
    <t>CN112885426A</t>
  </si>
  <si>
    <t>本申请提供了一种数据通信方法及物联网设备，该方法包括：第一设备获取用户的运动数据；第一设备将运动数据封装至若干数据包；第一设备向第二设备发送若干数据包，以指示第二设备解析若干数据包，并指示第二设备展示若干数据包中的运动数据。这样当第一设备获取到用户的运动数据之后，该第一设备可以封装该运动数据之后发送至第二设备。该第二设备可以实时展示用户的运动数据，从而可以方便用户实时了解到用户的运动数据，若出现不规范的动作以及姿势，可以及时了解到，并及时纠正，而不需要全部通过健身教练人工纠正，可以节省成本，更加智能化，可以提高人们的生活质量，具有良好的应用前景。</t>
  </si>
  <si>
    <t>一种数据通信方法及物联网设备</t>
  </si>
  <si>
    <t>IN202141000647A</t>
  </si>
  <si>
    <t>近年来,计算机视觉在安防、医疗、体育和游戏等领域的应用越来越受到关注。 在板球、棒球、篮球等运动中,它们的作用越来越大。 挑战在于当物体运动时从视频帧中进行检测。 这项工作的重点是球检测和跟踪方法的设计和开发。 这项工作从研究去噪、检测和跟踪方法开始。 在文献中已经开发了诸如光流、帧差、背景减法和肤色提取等技术。 这些方法基于时间、频率和统计分析。 但是大多数方法都存在计算复杂性的问题。 所研究的方法是基于轨迹的球检测和跟踪、区域生长算法、PSO 算法和具有 HSV 颜色空间和纹理特征的 Mean Shift 算法。 在这项工作中,使用了帧差分和基于颜色的检测等方法。 帧差法使用更多的内存和时间,而基于颜色的方法在原理上是复杂的。 但是一旦对连通分量分析进行形态学操作,性能就会提高。 使用形态学滤波器去除了一些噪声成分,如小孔、窄裂缝、海湾和填充轮廓间隙。 降低空间分辨率以减少散射噪声和不稳定的背景假运动。 在执行基于膨胀和腐蚀的过滤之后,然后标记连接的组件。 这些组件检测并提取对象边界框。 现有的均值偏移跟踪使用单一模板(球)颜色来跟踪每一帧中的球。 当帧中的球由于运动而严重模糊或抖动时,现有方法无法跟踪球。 为了克服这个问题,提出了一种新的基于多模板的改进均值漂移算法 (MT-MS)。 这里我们没有使用单个模板,而是使用多个模板来跟踪球。 取两个模板并计算其颜色直方图。 然后使用两个模板将均值偏移算法应用于跟踪球位置。 相似度值有助于定义模板与选择窗口的接近程度。 物体在空间中的轨迹路径被描述为具有几何学的时间和位置的函数。 目标实际获取运动细节和速度信息。 当每一帧球被识别时,篮球的运动轨迹是从球的中心位置开始确定的。 实现是在 MATLAB 中完成的。 所实施的基于直方图的均值偏移算法分析球跟踪视频,当使用视频序列进行测试时,数据 1 和 2 的准确度分别为 95% 和 97%。</t>
  </si>
  <si>
    <t>视频中基于高效 3D 轨迹的运动捕捉</t>
  </si>
  <si>
    <t>CN112835398B</t>
  </si>
  <si>
    <t>本发明公开了一种人工智能电气控制系统，包括AI控制系统、游泳池系统、运行显示系统、网络通信模块和报警系统；所述游泳池系统包括游泳池、过滤水舱、电气设备、电气传感系统；所述电气设备包括循环水泵和注水控制阀，所述循环水泵和所述AI控制系统数据通信连接；游泳池底部设置有排水口，所述排水口连接有排水管系，所述排水管系连接至循环水泵，所述循环水泵连接至所述过滤水舱。本发明根据游泳人员的数量，合理设置循环水泵的循环速度，从而实现省电的同时，保证水质清洁，为游泳人员提供安全性。同时，通过对水底躺着的人体进行检测，从而及时发现游泳池中存在的潜在的溺水危险，并进行搜救和报警，提高游泳人员的安全性。</t>
  </si>
  <si>
    <t>人工智能电气控制系统</t>
  </si>
  <si>
    <t>CN112817353B</t>
  </si>
  <si>
    <t>本发明公开一种人工智能电气控制方法，包括；步骤S1，网络通信模块获取当前的气象环境和天气温度，并将气象环境和天气温度数据传输给AI控制系统，AI控制系统根据气象环境和天气温度计算出最佳适合水温；同时，AI控制系统根据游泳人员的需求，设定最佳的游泳水深；步骤S2，水温加热装置对经过过滤水舱完成过滤后的水加热；步骤S3，水温传感器检测出游泳池的实际水温；步骤S4，洁度传感器检测游泳池的水清洁度；步骤S5，运行显示系统用于显示当前的游泳池的运行数据和电气传感系统的运行数据；步骤S6，报警系统用于在AI控制系统检测的水质异常或者水温异常或水深异常时。本发明根据游泳人员的数量，合理设置循环水泵的循环速度。</t>
  </si>
  <si>
    <t>一种人工智能电气控制方法</t>
  </si>
  <si>
    <t>CN112668531A</t>
  </si>
  <si>
    <t>本发明涉及一种基于动作识别的运动姿态矫正方法，属于计算机及运动识别技术领域。该方法包括：动作识别：通过摄像头采集用户运动视频，基于深度学习算法构建动作识别算法，并利用该算法对锻炼者视频中的动作进行类别整理；骨架提取：首先从标准健身数据库中提取对应锻炼者的标准动作，然后从标准动作视频同时进行骨架提取；同时利用采集到的锻炼者视频，从中提取锻炼者运动骨架模型；姿态比对：首先将锻炼者的骨架进行模板标准化；然后将标准化后锻炼者的骨架与标准动作视频进行相似度计算，提取动作相似度最高的一帧模板动作；最后所有动作测试完成，选取出相似度低于阈值的几帧动作，并将模板动作展示出来。本发明提高了计算速度和对比精度。</t>
  </si>
  <si>
    <t>一种基于动作识别的运动姿态矫正方法</t>
  </si>
  <si>
    <t>CN112766546B</t>
  </si>
  <si>
    <t>本发明提出了一种基于机器学习的足球比赛胜负实时预测方法，首先根据足球比赛记录的统计历史数据与实时事件数据，分别对其建立评分模型得到历史特征与实时特征。采用堆叠的方式将历史特征与实时特征进行融合与筛选，再利用平均进球数、平均射门数和积分榜排名等进行扩展完成特征生成。通过建立图卷积深度神经网络模型，对足球比赛结果进行实时预测。相比只用历史数据进行比赛预测的算法准确率有所提高。</t>
  </si>
  <si>
    <t>一种基于机器学习的足球比赛胜负实时预测方法</t>
  </si>
  <si>
    <t>KR1020220098877A</t>
  </si>
  <si>
    <t>公开了一种基于人工智能的发动机一维分析模型标定系统和方法。 
  基于人工智能的发动机一维分析模型标定系统是一种MIMO(多输入多输出)模型,可以基于人工智能分析发动机的非线性特性,通过识别多输入与多输出之间的关系来确定发动机的主要目标它包括自动校准工具(ACT),可自动执行发动机的校准工作,一维分析模型可导出与性能相对应的输入数据,以及供用户操作的图形用户界面(GUI)和发动机一维分析模型包括一个控制单元,用于控制校正工作的整体操作。</t>
  </si>
  <si>
    <t>基于AI的发动机一维分析模型标定系统及方法</t>
  </si>
  <si>
    <t>CN115867952A</t>
  </si>
  <si>
    <t>实施例包括利用人工智能和/或机器学习，基于特定球队、球员、赛事的历史得分数据或其他相关数据，生成体育分析。机器学习可以应用于历史数据，以提高预测概率。概率模块可以提前实时分析赛事结果和可用参数之间的相关性，以给出准确和最新的概率。</t>
  </si>
  <si>
    <t>人工智能和机器学习增强的概率预测方法、系统和设备</t>
  </si>
  <si>
    <t>CA3206333A1</t>
  </si>
  <si>
    <t>CN112827154A</t>
  </si>
  <si>
    <t>本发明涉及体育运动设备技术领域，为了解决现有技术中，在出现误判时需要申请才会对争议球进行重新核查，导致比赛中存在有误判的问题，提供了一种体育运动智能计分器系统，包括采集模块，用于获取击球视频；处理模块，对击球视频进行处理得到球的运动路线和落点图像；识别模块，识别发球方和落点得到识别结果；存储模块，预设有计分规则；计分模块，得到系统总分；评分模块，得到裁决总分；比较模块，将当前的系统总分与当前的裁决总分进行比较；调取模块，在系统总分与裁决总分不同时调取落点图像；通信模块，将落点图像推送给裁判端，接收反馈信息，识别模块识别反馈信息；更正模块，根据反馈信息对裁决总分或系统总分进行更正。</t>
  </si>
  <si>
    <t>一种体育运动智能计分器系统</t>
  </si>
  <si>
    <t>CN214633881U</t>
  </si>
  <si>
    <t>一种便于安装的乒乓球用AI人工智能监测装置，包括安装座、活动槽、夹板、连接盘和监测器，活动槽开设于安装座的左侧端面处，并且活动槽的一端延伸至安装座的内壁处，夹板活动安装于安装座的左侧处，并且夹板的一端贯穿活动槽并延伸至安装座内部，连接盘卡合安装于夹板的外侧处，监测器则通过支架固定安装在连接盘的外侧处，通过固定板、滑杆、第一弹簧、套管、第二弹簧、压板和连接杆的设置，可以使得安装座处的2个夹板往相反的方向处运动，这样就可以快速的对检测器进行固定安装，同时利用其安装座、夹板和连接槽的设置，可以将连接盘的外侧端面卡入至连接槽内部，这样便于保障对监测器固定安装效果。</t>
  </si>
  <si>
    <t>一种便于安装的乒乓球用AI人工智能监测装置</t>
  </si>
  <si>
    <t>CN307065929S</t>
  </si>
  <si>
    <t>1.本外观设计产品的名称：用于显示屏幕面板的车辆状态展示动态图形用户界面(3)。
 2.本外观设计产品的用途：该显示屏幕面板用于汽车液晶仪表显示时速、转速等车辆状态。
 3.本外观设计产品的设计要点：在于图形用户界面。
 4.最能表明设计要点的图片或照片：界面变化状态图2。
 5.图形用户界面的用途：在车速、档位发生变化时，显示车速、档位信息及对应的变化效果。
 6.图形用户界面在产品中的区域：图形用户界面显示在显示屏幕面板的全部区域。
 7.图形用户界面的人机交互方式：各界面状态跟随车辆的车速、档位而发生变化，为用户展示车辆当前状态。
 8.图形用户界面的变化状态说明：仪表开机之后，当前为P档，显示车辆界面信息，呈现主界面；当档位拨到D档后，车辆静止时，界面变化到界面状态变化图1；当车速加速时，足球从档位箱中踢出，在轨道路径上实时动态运动，界面变化到界面状态变化图2；当车速过高时，椭圆球场左侧区域颜色变深，变化到界面状态变化图3；当车辆减速、档位拨到P档时，足球反向回到档位箱，界面按照界面状态变化图3、2、1 的顺序变化。</t>
  </si>
  <si>
    <t>用于显示屏幕面板的车辆状态展示动态图形用户界面(3)</t>
  </si>
  <si>
    <t>KR1020220096335A</t>
  </si>
  <si>
    <t>公开了一种体育赛事识别方法。 体育赛事识别方法可包括:生成混淆矩阵,用于评估实际运动与从输入图像识别的感兴趣运动之间的一致程度;以及 基于混淆矩阵提取感兴趣运动的错误识别率; 根据误识别率提取与事件识别相关的阈值; 根据待识别为感兴趣运动的运动的持续时间确定滑动窗口的大小; 基于滑动窗口将输入图像划分为帧; 从每帧的分割图像中提取感兴趣的运动的数量; 当感兴趣的运动数量超过阈值时识别为事件。</t>
  </si>
  <si>
    <t>基于运动识别概率的体育赛事识别方法及装置</t>
  </si>
  <si>
    <t>CN112274904A</t>
  </si>
  <si>
    <t>本发明涉及一种基于深度学习的珍珠球裁判辅助判罚系统及方法，属于计算机图像分析技术领域。包括红外幕墙模块、摄像机视频采集模块和中枢处理模块，判罚方法具体步骤为：（一）摄像机获取比赛时过线的视频信息；（二）红外幕墙对视频信息做标记；（三）中枢处理系统利用深度学习模型判断信号高低电位；（四）判断电压；（五）得出判罚结果。本发明珍珠球裁判辅助判罚系统将红外幕墙和摄像机结合在一起，并利用深度学习模型建立的数据库，可以较为准确的判断裁判结果，使得裁判效率提高，减少比赛争议。</t>
  </si>
  <si>
    <t>基于深度学习的珍珠球裁判辅助判罚系统及方法</t>
  </si>
  <si>
    <t>CN112675520A</t>
  </si>
  <si>
    <t>本发明公开了一种基于人体动作捕捉的团操测试仪，涉及人工智能技术领域，包括测试仪主体和设置在测试仪主体下方的身体测试区，测试仪主体内设置有控制器，所述测试仪主体上设置有与控制器电连接的图像处理器、显示屏和打印机，所述显示屏下方的测试仪主体上设置有与控制器电连接的身体测试按钮、音频输入接口、开始键和打印按钮，测试仪主体外侧设置有测试区，测试区内设置有与图像处理器电连接的捕捉设备和定位系统；本发明是用数据分析判断，使之在比赛中公平公正，更为科学化，同时也促进人体运动的发展有所突破。</t>
  </si>
  <si>
    <t>一种基于人体动作捕捉的团操测试仪</t>
  </si>
  <si>
    <t>CN112731850A</t>
  </si>
  <si>
    <t>本发明公开了一种基于物联网的智能家居盒子，包括硬件模块和软件模块所述硬件模块由8路控制器、继电器模块和控制芯片组成；所述继电器模块与8路控制器为光耦隔离，每路信号独立；所述软件模块由两个功能模块:GPIO控制模块和设备注册通讯模块组成，此基于物联网的智能家居盒子，整体成本可以控制在400左右，可以兼容控制所有的场馆健身设备，通过智能化能够有效地对场馆进行节能，降低运营成本，同时可以进行对接所有设备，适用范围广，便于推广使用。</t>
  </si>
  <si>
    <t>一种基于物联网的智能家居盒子</t>
  </si>
  <si>
    <t>CN306654886S</t>
  </si>
  <si>
    <t>1.本外观设计产品的名称：带远程控制家电图形用户界面的显示屏幕面板。
 2.本外观设计产品的用途：用于远程控制家电设备。
 3.本外观设计产品的设计要点：在于屏幕中的图形用户界面设计。
 4.最能表明设计要点的图片或照片：设计1主视图。
 5.除主视图以外的其他视图无设计要点，省略除主视图以外的其他视图。
 6.指定设计1为基本设计。
 7.图形用户界面的用途：用于根据遥控操作进入相应界面。
 8.图形用户界面的人机交互方式：设计1主视图所示界面为遥控器进行遥控操作进入的主页界面，根据用户喜好推荐影片，可滑动显示影片，同时展示语音搜片导航栏；在设计1主视图选中影片可进入设计1变化状态图1，以对该电影的名称和影评进行显示；在设计1变化状态图1点击选中影片可进入设计1变化状态图2，以对影片的详细介绍、主演名单以及相关推荐电影进行显示，并能点击影片观看按钮使家电上进入观影；设计2主视图所示界面为遥控器进行遥控操作进入的主页界面，根据用户喜好推荐影片，可滑动显示影片，同时展示语音搜片导航栏；用户退出观影后可进入设计2变化状态图1，以对影片的播放进度进行显示，从屏幕右侧可滑出显示控制面板，以对收藏的影片、电控制、健康显示以及游戏时光应用进行显示，点击相应的应用可跳转进入该应用；用户收藏电影后可进入设计2变化状态图2，控制面板可对用户收藏的影片缩略图进行显示。
 9.设计1主视图、设计2主视图、设计1变化状态图1和2以及设计2变化状态图1和2所示界面中的“XXXX”均为可变参数，根据具体的内容进行确定。
 设计1主视图参考图对应于设计1主视图，设计1变化状态图1参考图和设计1变化状态图2参考图对应于设计1变化状态图1和2中的界面添加相应的图片和文字等信息后所呈现的示意界面；设计2主视图参考图对应于设计2主视图，设计2变化状态图1参考图和设计2变化状态图2参考图对应于设计2变化状态图1和2中的界面添加相应的图片和文字等信息后所呈现的示意界面；均为示例。
 该显示屏幕面板用于遥控器、手机、智能电视、带显示屏幕的冰箱和集成灶、计算机、笔记本电脑、平板电脑、智能手机、智能手环、智能眼镜、手表、智能手表、健身监视器、头戴式耳机、智能音箱、电视、机顶盒、游戏机、用于汽车的显示装置、GPS装置、导航仪。</t>
  </si>
  <si>
    <t>带远程控制家电图形用户界面的显示屏幕面板</t>
  </si>
  <si>
    <t>CN214019056U</t>
  </si>
  <si>
    <t>本实用新型涉及健身器材技术领域，且公开了一种基于机器学习的个性化体力自适应健身器材，包括底座，所述底座上表面的前侧固定连接有座椅，所述底座上表面的左侧固定连接有两组支撑柱，所述支撑柱上表面固定连接有水箱，所述水箱右侧面的中部转动连接有转动轴，所述转动轴外表面左侧套接有两组支撑架。该基于机器学习的个性化体力自适应健身器材，通过踏板、U形杆、阻尼块和转动盘配合使用，使得使用者在用力拉动和推动握杆时，脚蹬踏踏板，转动盘与阻尼块之间的摩擦力增大，使用者拉动和推动握杆的阻力变大，从而使得该装置可以根据肌肉运动力度调节训练的强度，进一步提高了该装置的适应性，提高了训练者的训练质量。</t>
  </si>
  <si>
    <t>基于机器学习的个性化体力自适应健身器材</t>
  </si>
  <si>
    <t>CN214591175U</t>
  </si>
  <si>
    <t>一种同步双频电源控制系统，它包括控制系统以及与控制系统相连接的主电路和人机交互系统，所述的主电路采用双频感应电源，双频感应电源由中频感应加热电源与高频感应加热电源相结合构成，高频感应加热电源采用串联逆变器；中频感应加热电源采用并联逆变器；中频感应加热电源与高频感应加热电源同时输出到一个感应器。相对于现有技术，本实用新型的有益效果为：采用同步双频感应加热电源技术，加热过程可在同一阶段完成，提高了工作效率。具体操作为：高频用来加热靠近感应电源的器件表面部分，如齿轮的凸起边缘；中频用来加热齿根。这不仅精简了工件的制造工艺，也降低了成本和能耗。</t>
  </si>
  <si>
    <t>同步双频电源控制系统</t>
  </si>
  <si>
    <t>CN112597934A</t>
  </si>
  <si>
    <t>本发明公开的属于打包机面积计算技术领域，具体为图像目标检测在打包机面积计算中的应用，该图像目标检测在打包机面积计算中的应用的具体操作方式如下：S1：拍摄图像信息：在打包机的两侧安装摄像头，摄像头采集田间图像；S2：分割图像获取目标信息：根据步骤S1中采集的田间图像，识别图像中待打包作业的秸秆堆，采用深度学习MaskRcnn图像分割技术，获取各行秸秆堆的轮廓；S3：计算分割后的目标距离。通过深度学习MaskRcnn图像分割技术的运用，能够快速识别田间的待打包作业的秸秆堆；通过线性回归方式的运用，服务器后端识别对计算速度要求不高，适用性更强；计算结果较为准确。</t>
  </si>
  <si>
    <t>图像目标检测在打包机面积计算中的应用</t>
  </si>
  <si>
    <t>CN112597204A</t>
  </si>
  <si>
    <t>本发明公开了一种动感单车的模拟数据陪练方法、装置、服务器和存储介质，涉及物联网健身设备技术领域，方法包括采集体态数据，并创建或更新动态体态数据；采集锻炼数据，并插入锻炼数据；接收锻炼行为指令并查询用户信息，判定用户数据在全量数据分布中的位置，并判定用户锻炼需求；基于用户数据在全量数据分布中的位置和用户锻炼需求判定结果，捞取符合判定的数据用作陪练模拟。从而提供给用户一个智能的陪练服务，可有效跟随跟随用户提供动态的陪练数据，随着用户体态数据的变动，可以使用对应体态的锻炼数据，对于不同体态和锻炼预期的用户智能提供对应的陪练数据，可以根据用户的数据变动，反向跟踪用户在平台的锻炼效果。</t>
  </si>
  <si>
    <t>动感单车的模拟数据陪练方法、装置、服务器和存储介质</t>
  </si>
  <si>
    <t>CN112587933A</t>
  </si>
  <si>
    <t>本发明公开了一种动感单车实时在线PK方法、装置、服务器及存储介质，涉及物联网健身设备技术领域，动感单车实时在线PK方法包括：接收赛制指令以及PK请求；基于PK请求构建PK房间；监听骑行数据，并实时更新房间PK数据；检查PK房间比赛状态，并推送比赛状态或比赛结果。与现有的物联网健身产品不同的是，本发明将不同的使用基于物联网的动感单车的用户联系在一起，使不同的用户可以在进行网上进行互动比赛，如随机匹配方式下的比赛，或在线用户邀请模式下比赛，使用户在健身的同时还能在线互动，提升了用户在使用动感单车时的交互体验和娱乐体验。</t>
  </si>
  <si>
    <t>动感单车实时在线PK方法、装置、服务器及存储介质</t>
  </si>
  <si>
    <t>CN112738747A</t>
  </si>
  <si>
    <t>本发明公开了一种基于Zigbee的健身单车自组网方法、装置、服务器及存储介质，涉及物联网健身设备技术领域，方法包括：网络初始化，协调器建立本地信道，广播道标，与上位机连接入网，与至少一辆健身单车无线连接；健身单车与唯一一个父节点、N个子节点无线连接，其中，父节点为协调器或路由节点，子节点为路由节点或终端节点；协调器关机，若区域内无其它协调器，则组网完成，流程结束。当一个城市的可投放健身单车的整体区域划定并被划分成多个分区域，且将协调器放置在可投放健身单车的分区域完毕后，健身单车可在不同的分区域内自由游离离网、入网，后台通过管理系统可实时方便的看到所有物联网终端节点的状态并进行管理。</t>
  </si>
  <si>
    <t>基于Zigbee的健身单车自组网方法、装置、服务器及存储介质</t>
  </si>
  <si>
    <t>US20210224579A1</t>
  </si>
  <si>
    <t>一种移动清洁机器人,包括被配置为清洁环境中的地板表面的清洁头,以及具有在地板表面上方延伸的视野的至少一个相机。 至少一个照相机被配置为捕捉包括地板表面上方的环境部分的图像。 机器人包括识别模块,其被配置为基于由至少一个摄像机捕获的图像来识别环境中的对象,其中至少部分地使用由至少一个摄像机捕获的图像来训练识别模块。 机器人包括存储设备,用于存储环境地图。 该机器人包括控制模块,该控制模块被配置为控制移动清洁机器人使用地图在环境中导航,并考虑到识别模块所识别的物体操作清洁头来执行清洁任务。</t>
  </si>
  <si>
    <t>用于态势感知的移动清洁机器人人工智能</t>
  </si>
  <si>
    <t>WO2022062238A1</t>
  </si>
  <si>
    <t>一种足球检测方法、装置、计算机可读存储介质及机器人, 属于机器人技术领域。所述方法通过机器人的深度相机采集目标区域的二维图像和三维点云数据(S101)；使用预设的深度学习目标检测模型在所述二维图像中进行足球检测，输出足球检测框和置信度(S102)；若所述置信度大于预设的置信度阈值，则根据所述足球检测框中的三维点云数据确定足球位姿(S103)。通过所述方法，基于深度学习目标检测技术和三维点云技术，充分结合了二维图像和三维点云数据的优势，即使在使用轻量级模型的情况下，也能达到极高的准确率。</t>
  </si>
  <si>
    <t>一种足球检测方法、装置、计算机可读存储介质及机器人</t>
  </si>
  <si>
    <t>CN306696086S</t>
  </si>
  <si>
    <t>1.本外观设计产品的名称：用于平板电脑的短视频拍摄数字化流程操作界面(秒影工场)。
 2.本外观设计产品的用途：用于短视频教学。
 3.本外观设计产品的设计要点：在于产品的界面。
 4.最能表明设计要点的图片或照片：主视图。
 5.图形用户界面适用于各种普遍电脑，省略其他视图，省略左视图;图形用户界面适用于各种普遍电脑，省略其他视图，省略右视图;图形用户界面适用于各种普遍电脑，省略其他视图，省略俯视图;图形用户界面适用于各种普遍电脑，省略其他视图，省略仰视图;图形用户界面适用于各种普遍电脑，省略其他视图，省略立体图;图形用户界面适用于各种普遍电脑，省略其他视图，省略后视图。
 6.图形用户界面的用途：界面用于如何录制、剪辑短视频。
 界面主视图为图形用户界面的首页，将鼠标移动到“制作团队”菜单悬停出现二级菜单，点击“视频拍摄订单操作台”进入变化状态图1。
 点击变化状态图1界面操作栏中的“需求管理”按钮进入变化状态图2，变化状态图2中客户品牌、客户产品、广告位、用户目标、创意要求用户可通过将鼠标移上去悬停查看详细介绍；同时用户将鼠标移到样片/成片名称上悬停进行样片/成片视频预览；鼠标悬停在操作按钮即可显示具体操作名称。
 点击变化状态图2中“提交（查看）脚本”按钮进入变化状态图3，变化状态图3的图形用户界面为制作团队提交脚本中在线填写脚本的界面，用户点击文本框编辑脚本内容，点击“导出”按钮导出脚本，点击镜头填写表单中“+”按钮增加分镜镜头，点击“‑”按钮删除分镜镜头。
 点击变化状态图3界面“上传脚本”按钮进入变化状态图4，变化状态图4的图形用户界面为制作团队提交脚本中上传附件脚本的界面，点击“导出”按钮导出脚本。
 点击变化状态图3/4中“确认提交”按钮进入变化状态图5/6查看脚本。
 点击变化状态图5/6“提交物料”按钮进入变化状态图7，变化状态图7为制作团队提交物料的界面，点击“立即上传”按钮上传样片/成片。
 变化状态图4的图形用户界面为制作团队提交脚本中上传附件脚本的界面，点击“导出”按钮导出脚本。
 点击变化状态图4界面中左侧导航栏“提交物料”进入变化状态图7。
 点击“立即上传”按钮上传样片/成片进入变化状态图8，变化状态图8为查看物料的界面，用户可点击“预览”按钮进入变化状态图9界面进行物料预览，变化状态图8界面中点击“下载”按钮可下载单条物料，也可以通过点击左侧复选框进行批量操作。
 点击变化状态图8界面中左侧导航栏“拍摄设置”进入变化状态图10。
 点击变化状态图8界面中左侧导航栏“制作进程”进入变化状态图11界面。
 点击变化状态图11中左上角“关闭”按钮进入变化状态图2，点击变化状态图2界面中“制作素材”标签进入变化状态图12，用户可通过标签的切换，按照素材分类筛选进行预览下载。
 点击变化状态图12中“投放数据”标签进入变化状态图13界面，用户可通过标签的切换，按照物料是否投放进行筛选，已投放的物料可进行需求详情查看及详细数据分析，未投放的物料可查看脚本。
 变化状态图14至19为广告主管理操作界面。
 变化状态图14的图形用户界面为首页，将鼠标移动到“广告主”菜单悬停出现二级菜单，点击“我的视频拍摄需求”进入变化状态图15，点击变化状态图15中操作栏“需求管理”按钮进入变化状态图16，点击变化状态图16操作栏中“成片投放”按钮进入变化状态图17，点击变化状态图17中“点击选择”按钮进入变化状态图18，在变化状态图18的图形用户界面中，用户可通过搜索账户id、账户名、备注名查找投放账户，点击账户卡片中的“+”按钮选择账户，账户卡片中“+”的状态变更为“√”，已选择账户中点击“×”可进行删除，点击“修改备注”进行账户名称备注，点击“完成”按钮，进入变化状态图19界面，变化状态图19的图形用户界面中点击文本框中的“×”按钮删除投放账户，点击“确定投放”按钮完成成片投放。
 7.图形用户界面在产品中的区域：屏幕显示区域。
 8.图形用户界面的人机交互方式：鼠标点击、悬停。</t>
  </si>
  <si>
    <t>用于平板电脑的短视频拍摄数字化流程操作界面(秒影工场)</t>
  </si>
  <si>
    <t>CN114679614A</t>
  </si>
  <si>
    <t>本发明公开了一种语音查询方法、智能电视及计算机可读存储介质，所述方法包括：接收用户发出的查询健身教程的语音，对所述语音进行语音识别，得到所述用户需要查询的健身教程的语音指令；根据所述语音指令在本地资源库中查找与所述用户需求相匹配的本地健身教程，并切换到本地健身教程的开始界面；若在所述本地资源库中未匹配到与所述用户需求相匹配的健身教程，则获取与所述用户需求相匹配的在线健身教程，并切换到在线健身教程的开始界面。本发明通过识别用户发出的语音指令，根据语音指令匹配本地健身教程或者推荐在线健身教程，并跳转到健身教程的教学界面供用户进行健身学习和锻炼，操作简单，可以满足用户的健身需求，为用户带来方便。</t>
  </si>
  <si>
    <t>一种语音查询方法、智能电视及计算机可读存储介质</t>
  </si>
  <si>
    <t>IN202041056021A</t>
  </si>
  <si>
    <t>拟议工作的主要目标是通过使用递归神经网络的语音识别情绪,并为喜欢以有效方式选择平衡生活方式的人的受益者提供相应的体育锻炼建议。 递归神经网络(RNN)是一种分类器技术,用于对快乐、厌恶、悲伤、恐惧、惊讶和愤怒等各种情绪进行分类。 多个特征的顶点,在相似的数据库上进行了比较和清晰的讨论。 结果给出了很好的结果。 一开始的实验结果表明,结合特征将在使用 RNN 分类器的情感数据库上产生更高的准确率。 隐马尔可夫模型 (HMM)、贝叶斯分类器 (MLBC)、高斯混合模型 (GMM)、核退化和 K 最近邻方法 (KNN)、支持向量机 (SVM)、朴素贝叶斯分类器 许多研究人员用于人类情感识别和翻译的分类器。 主要缺点是只给出单个输入和相应的输出,输出组合是一项艰巨的任务,算法成本很高。 我们提出的系统用于建议从语音中进行的体育锻炼。 能量、格式、音高、少数频谱特征 Mel-Frequency-Cestrum- Coefficients (MFCC) 和调制频谱特征是现代研究中提取和使用的各种常见特征。 在这项提取情感特征的工作中,使用了调制频谱特征。为了从音频语音样本中分析、识别和分类情感,使用了标准英语情感数据库。 该系统将有助于需要指导以识别自己的情绪并获得更好的身体*■锻炼建议的人。</t>
  </si>
  <si>
    <t>使用梅尔频率感知系数的健身搅拌器的情绪识别健身辅助</t>
  </si>
  <si>
    <t>IN202041056106A</t>
  </si>
  <si>
    <t>标题:Robo Umpire ABSTRACT Cricket 是一种深受印度人去核者喜爱的运动。 根据调查,90% 的印度人是板球和板球运动员的粉丝。 许多板球运动员都有自己的粉丝追随集群。 在板球比赛中,当击球手因裁判失误而退场时,不仅会影响比赛结果,还会伤害击球手和板球迷的情绪。 在上届世界杯​​期间,由于裁判员的决定缺乏准确性,近 26% 的无球(越界线或击球手身高)和边路球的判罚被错误地判定为错误,而且更常见的是,裁判员没有注意到。 无球或边路球可以改变整场比赛的结果。 为了克服这个问题,我们开发了适用于计算机视觉和物联网的 ROBO UMPIRE。</t>
  </si>
  <si>
    <t>机器人裁判</t>
  </si>
  <si>
    <t>CN112529895B</t>
  </si>
  <si>
    <t>本申请公开了一种用于处理图像的方法、装置、设备以及存储介质，涉及图像处理领域，具体涉及深度学习、人工智能、智能搜索领域。具体实现方案为：获取目标视频，其中，目标视频中包含至少一个包含用户的运动动作的图像帧；确定图像帧中各运动动作的类别；基于类别，确定图像帧中的错误动作图像帧；对错误动作图像帧中的错误动作进行纠正，生成正确动作图像帧。本实现方式通过根据目标视频中的图像帧中的各运动动作的类别，确定错误动作图像帧，并通过对确定出的错误动作图像帧进行错误动作的纠正，可以方便教练员对学员的动作的指导，有利于学员的复习，有效地促进了学员的训练质量，提高了对大量训练视频的使用率。</t>
  </si>
  <si>
    <t>用于处理图像的方法、装置、设备以及存储介质</t>
  </si>
  <si>
    <t>CN112535858A</t>
  </si>
  <si>
    <t>本发明提供基于深度摄像技术的速度与力量反馈设备，其特征在于：基于深度摄像技术的速度与力量反馈设备，其特征在于：支撑框架上安装有深度摄像机，深度摄像机与人机交互模块电脑电连接；有一块有颜色或线条标识的训练区域，运动员站立在训练区域上；负荷重量上安装有带颜色标识的重量片，运动员抓住负荷重量的接触点、运动员身上的动作关节点上安装颜色贴片。本发明还提供基于深度摄像技术的速度与力量反馈系统。本发明可以用合理结构搜集运动员的数据，将速度与力量的训练姿态、速度、力量、功率等核心能力技术数字化，指导科学化训练。</t>
  </si>
  <si>
    <t>基于深度摄像技术的速度与力量反馈设备与系统</t>
  </si>
  <si>
    <t>CN213853038U</t>
  </si>
  <si>
    <t>本实用新型提供基于深度摄像技术的速度与力量反馈设备，其特征在于：基于深度摄像技术的速度与力量反馈设备，其特征在于：支撑框架上安装有深度摄像机，深度摄像机与人机交互模块电脑电连接；有一块有颜色或线条标识的训练区域，运动员站立在训练区域上；负荷重量上安装有带颜色标识的重量片，运动员抓住负荷重量的接触点、运动员身上的动作关节点上安装颜色贴片。本实用新型可以用合理结构搜集运动员的数据。</t>
  </si>
  <si>
    <t>基于深度摄像技术的速度与力量反馈设备</t>
  </si>
  <si>
    <t>CN215136423U</t>
  </si>
  <si>
    <t>本实用新型提供了一种健身器械智能动力柜，其特征在于，包括重力盘，重力盘可绕转动轴所在的轴线转动；转动轴调节机构，用于在控制单元的控制下调节转动轴相对于重力盘的位置，控制单元与人机交互单元相连；健身者在健身过程中向重力盘施力，使重力盘由起始位置转动至终止位置或由终止位置转动回起始位置；位置调节机构，用于在控制单元的控制下调节重力盘的起始位置以及终止位置；阻力调节机构，用于向重力盘施加阻力，当阻力调节机构向重力盘施加阻力时，重力盘在阻力及健身者向重力盘施加的作用力的共同作用下，或者被作用力带动转动，或者被阻力带动转动。</t>
  </si>
  <si>
    <t>健身器械智能动力柜</t>
  </si>
  <si>
    <t>SG11202104711PA</t>
  </si>
  <si>
    <t>提供用于集成和重复数据删除产品的系统和方法 
  使用人工智能。 一种方法包括接收至少一个注册第一 
  产品; 在至少一个数据存储中搜索第二产品; 标记,使用 
  机器学习模型,至少一个与产品信息相关的关键词 
  使用第一个产品并从产品信息中标记至少一个关键字 
  与第二产品相关; 使用机器学习模型确定, 
  第一产品和第二产品之间的匹配分数; 当比赛时 
  分数高于第一预定阈值,使用机器确定 
  学习模型,第一个产品与第二个产品相同; 当 
  匹配分数低于第一预定阈值,使用 
  机器学习模型,第一个产品不是第二个产品。</t>
  </si>
  <si>
    <t>使用人工智能进行产品集成和重复数据删除的计算机化系统和方法</t>
  </si>
  <si>
    <t>SG11202104714QA</t>
  </si>
  <si>
    <t>本公开的一个方面涉及一种计算机实现的 
  用于生成自动出站配置文件的系统。 该系统可以包括可以 
  执行的步骤包括: 接收包含运营中心容量的数据 
  (FC); 接收与传入产品相关联的多个产品标识符 
  足球委员会; 定期收集和存储产品的交易日志 
  FC 使用产品标识符; 确定产品的当前库存 
  使用产品标识符存储在 FC 中; 生成出站配置文件 
  FC 使用事务日志和当前库存中的至少一个 
  机器学习算法; 其中出站简档包括预期的 
  多个类别产品的出货产品百分比; 和 
  使用 FC 生成的出站配置文件管理网络出站 
  将出站配置文件与 FC 的实际出站容量进行比较。</t>
  </si>
  <si>
    <t>用于自动出站配置文件生成的系统和方法</t>
  </si>
  <si>
    <t>CN306512555S</t>
  </si>
  <si>
    <t>1.本外观设计产品的名称：显示屏幕面板的媒体播放器图形用户界面。
 2.本外观设计产品的设计要点：在于图形用户界面。
 3.最能表明设计要点的图片或照片：主视图。
 4.图形用户界面的用途：用于人机交互和实现显示屏幕面板的功能，并且可以用于播放音乐、视频等。
 5.图形用户界面的人机交互方式：图形用户界面可以通过轻击、按压、滚动或滑动图形用户界面来交互。
 6.显示屏幕面板可以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</si>
  <si>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显示屏幕面板的媒体播放器图形用户界面</t>
  </si>
  <si>
    <t>CN306532176S</t>
  </si>
  <si>
    <t>1.本外观设计产品的名称：显示屏幕面板的显示日历信息的图形用户界面。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5.图形用户界面的用途：用于人机交互和实现显示屏幕面板的功能，并且可以用于显示日历信息、预约信息或提醒。
 6.图形用户界面的人机交互方式：图形用户界面可以通过轻击、按压、滚动或滑动图形用户界面来交互。
 7.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</si>
  <si>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显示屏幕面板的显示日历信息的图形用户界面</t>
  </si>
  <si>
    <t>CN306541813S</t>
  </si>
  <si>
    <t>1.本外观设计产品的名称：显示屏幕面板的显示充电状态的图形用户界面。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6.图形用户界面的用途：用于人机交互和实现显示屏幕面板的功能，并且可以用于显示设备的充电状态。
 7.图形用户界面的人机交互方式：图形用户界面可以通过轻击、按压、滚动或滑动图形用户界面来交互。
 8.设计1和设计3请求保护色彩。
 显示屏幕面板可以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</si>
  <si>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显示屏幕面板的显示充电状态的图形用户界面</t>
  </si>
  <si>
    <t>WO2021133714A1</t>
  </si>
  <si>
    <t>提供了一种人工神经网络架构,用于处理原始音频波形以创建用于与文本无关的说话人验证和识别的说话人表示。 人工神经网络架构包括一个跨步卷积层、第一和第二个顺序连接的残差块、一个变换器层和一个最终的完全连接 (FC) 层。 跨步卷积层被配置为从扬声器接收原始音频波形。 第一个和第二个残差块都包含多个卷积层和最大池化层。 转换器层被配置为将帧级嵌入聚合到话语级嵌入。 FC 层的输出为其原始音频波形输入到跨步卷积层的说话人创建说话人表示。</t>
  </si>
  <si>
    <t>使用原始波形上的深度学习在媒体操作系统上进行与文本无关的说话者验证</t>
  </si>
  <si>
    <t>CN306794998S</t>
  </si>
  <si>
    <t>1.本外观设计产品的名称：用于显示屏幕面板的显示日历信息图形用户界面。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5.图形用户界面的用途：用于人机交互和实现显示屏幕面板的功能，并且可以用于显示日历信息、预约信息或提醒。
 6.图形用户界面的人机交互方式：图形用户界面可以通过轻击、按压、滚动或滑动图形用户界面来交互。
 7.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</si>
  <si>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用于显示屏幕面板的显示日历信息图形用户界面</t>
  </si>
  <si>
    <t>CN306810689S</t>
  </si>
  <si>
    <t>1.本外观设计产品的名称：显示屏幕面板的显示应用图标的图形用户界面。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6.图形用户界面的用途：用于人机交互和实现显示屏幕面板的功能，并且可以用于显示和/或载入应用图标和小组件。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</si>
  <si>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显示屏幕面板的显示应用图标的图形用户界面</t>
  </si>
  <si>
    <t>CN306817820S</t>
  </si>
  <si>
    <t>1.本外观设计产品的名称：显示屏幕面板的显示天气信息的图形用户界面。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6.图形用户界面的用途：用于人机交互和实现显示屏幕面板的功能，并且可以用于显示天气信息。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</si>
  <si>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显示屏幕面板的显示天气信息的图形用户界面</t>
  </si>
  <si>
    <t>CN306825084S</t>
  </si>
  <si>
    <t>1.本外观设计产品的名称：显示屏幕面板的地图和导航图形用户界面。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6.图形用户界面的用途：用于人机交互和实现显示屏幕面板的功能，并且可以用于地图和导航。
 7.图形用户界面的人机交互方式：图形用户界面可以通过轻击、按压、滚动或滑动图形用户界面来交互。
 8.设计1请求保护色彩。
 显示屏幕面板可以应用于计算机、笔记本电脑、平板电脑、手机、智能手环、智能眼镜、手表、智能手表、健身监视器、头戴式耳机、个人数字助理、智能音箱、电视、监视器、投影仪、机顶盒、游戏机、导航仪、用于车辆的显示装置；显示屏幕面板为惯常设计，故省略其他视图。</t>
  </si>
  <si>
    <t>显示屏幕面板的地图和导航图形用户界面</t>
  </si>
  <si>
    <t>CN306825085S</t>
  </si>
  <si>
    <t>CN306862475S</t>
  </si>
  <si>
    <t>1.本外观设计产品的名称：显示屏幕面板的显示活动的图形用户界面。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6.图形用户界面的用途：用于人机交互和实现显示屏幕面板的功能，并且可以用于显示活动。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</si>
  <si>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显示屏幕面板的显示活动的图形用户界面</t>
  </si>
  <si>
    <t>CN306862474S</t>
  </si>
  <si>
    <t>1.本外观设计产品的名称：显示屏幕面板的显示天气信息的图形用户界面。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6.图形用户界面的用途：用于人机交互和实现显示屏幕面板的功能，并且可以用于显示天气信息。
 7.图形用户界面的人机交互方式：图形用户界面可以通过轻击、按压、滚动或滑动图形用户界面来交互。
 8.设计1请求保护色彩。
 显示屏幕面板可以应用于计算机、笔记本电脑、平板电脑、手机、智能手环、智能眼镜、手表、智能手表、健身监视器、头戴式耳机、个人数字助理、智能音箱、电视、监视器、投影仪、机顶盒、游戏机、导航仪、用于车辆的显示装置；显示屏幕面板为惯常设计，故省略其他视图。</t>
  </si>
  <si>
    <t>CN306871229S</t>
  </si>
  <si>
    <t>1.本外观设计产品的名称：显示屏幕面板的显示活动的图形用户界面。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6.图形用户界面的用途：用于人机交互和实现显示屏幕面板的功能，并且可以用于显示活动。
 7.图形用户界面的人机交互方式：图形用户界面可以通过轻击、按压、滚动或滑动图形用户界面来交互。
 8.设计1请求保护色彩。
 显示屏幕面板可以应用于计算机、笔记本电脑、平板电脑、手机、智能手环、智能眼镜、手表、智能手表、健身监视器、头戴式耳机、个人数字助理、智能音箱、电视、监视器、投影仪、机顶盒、游戏机、导航仪、用于车辆的显示装置；显示屏幕面板为惯常设计，故省略其他视图。</t>
  </si>
  <si>
    <t>CN306871230S</t>
  </si>
  <si>
    <t>1.本外观设计产品的名称：显示屏幕面板的显示应用图标的图形用户界面。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6.图形用户界面的用途：用于人机交互和实现显示屏幕面板的功能，并且可以用于显示和/或载入应用图标和小组件。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</si>
  <si>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CN306900450S</t>
  </si>
  <si>
    <t>1.本外观设计产品的名称：显示屏幕面板的地图和导航图形用户界面。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6.图形用户界面的用途：用于人机交互和实现显示屏幕面板的功能，并且可以用于地图和导航。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</si>
  <si>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CN306907582S</t>
  </si>
  <si>
    <t>CN306928638S</t>
  </si>
  <si>
    <t>1.本外观设计产品的名称：显示屏幕面板的显示天气信息的图形用户界面。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6.图形用户界面的用途：用于人机交互和实现显示屏幕面板的功能，并且可以用于显示天气信息。
 7.图形用户界面的人机交互方式：图形用户界面可以通过轻击、按压、滚动或滑动图形用户界面来交互。
 8.设计1和设计3请求保护色彩。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</si>
  <si>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CN306964542S</t>
  </si>
  <si>
    <t>1.本外观设计产品的名称：显示屏幕面板的排列小组件动态图形用户界面。
 2.本外观设计产品的用途：显示屏幕面板用于显示动态图形用户界面。
 3.本外观设计产品的设计要点：在于动态图形用户界面。
 4.最能表明设计要点的图片或照片：主视图。
 5.图形用户界面的用途：用于人机交互和实现显示屏幕面板的功能，并且可以用于显示、搜索、选择、增加、排列和/或编辑用于应用界面或应用菜单的小组件。
 6.图形用户界面的人机交互方式：动态图形用户界面可以通过轻击、按压、滚动或滑动动态图形用户界面来交互，通过按压和保持，并且移动或拖拽由圆角矩形所表示的小组件，图形用户界面的外观从主视图变化到变化状态图1、变化状态图2、变化状态图3，通过释放小组件，图形用户界面的外观从变化状态图3变化到变化状态图4。
 7.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</si>
  <si>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显示屏幕面板的排列小组件动态图形用户界面</t>
  </si>
  <si>
    <t>CN306964541S</t>
  </si>
  <si>
    <t>CN306992400S</t>
  </si>
  <si>
    <t>1.本外观设计产品的名称：显示屏幕面板的排列组件图形用户界面。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5.图形用户界面的用途：用于人机交互和实现显示屏幕面板的功能，并且可以用于显示、搜索、选择、增加、排列和/或编辑用于应用界面或应用菜单的组件。
 6.图形用户界面的人机交互方式：图形用户界面可以通过轻击、按压、滚动或滑动图形用户界面来交互，图形用户界面中的大圆角正方形可以表示组件，图形用户界面中的小圆角正方形可以表示应用程序图标，通过按压并移动待添加的组件至显示屏幕面板上的期望位置，图形用户界面的外观依次从主视图变化到变化状态图1、变化状态图2、变化状态图3和变化状态图4。
 7.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</si>
  <si>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显示屏幕面板的排列组件图形用户界面</t>
  </si>
  <si>
    <t>CN307130027S</t>
  </si>
  <si>
    <t>1.本外观设计产品的名称：显示屏幕面板的显示应用图标的图形用户界面。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6.图形用户界面的用途：用于人机交互和实现显示屏幕面板的功能，并且可以用于显示和/或载入应用图标和/或小组件。
 7.图形用户界面的人机交互方式：图形用户界面可以通过轻击、按压、滚动或滑动图形用户界面来交互。
 8.设计1请求保护色彩。
 显示屏幕面板可以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</si>
  <si>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KR1020220089475A</t>
  </si>
  <si>
    <t>利用公共数据和大数据,我们提供了一种户外训练匹配平台的方法,任何人都可以在没有空间限制的情况下以合理的成本接受专业教练的定制训练。 
  提供户外训练匹配平台的方法包括:使用大数据和公共数据中的至少一种在服务器中存储教练信息、班级信息和户外场所信息中的至少一种。 从用户终端输入用户信息并传送到服务器的步骤; 通过在服务器中处理教练员信息、班级信息、户外位置信息和用户信息,将训练计划发送给用户终端; 在用户终端中批准和支付培训计划。</t>
  </si>
  <si>
    <t>如何提供基于人工智能的户外训练匹配平台</t>
  </si>
  <si>
    <t>CN307458341S</t>
  </si>
  <si>
    <t>1.本外观设计产品的名称：显示屏幕面板的显示应用图标的图形用户界面。
 2.本外观设计产品的用途：显示屏幕面板用于显示图形用户界面。
 3.本外观设计产品的设计要点：图形用户界面。
 4.最能表明设计要点的图片或照片：主视图。
 5.界面用途：用于人机交互和实现显示屏幕面板的功能，并且可以用于显示和/或载入应用图标和小组件。
 6.人机交互方式：图形用户界面可以通过轻击、按压、滚动或滑动图形用户界面来交互。
 7.其他需要说明的情形：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</si>
  <si>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CN307516927S</t>
  </si>
  <si>
    <t>CN307615722S</t>
  </si>
  <si>
    <t>1.本外观设计产品的名称：显示屏幕面板的小组件显示图形用户界面。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6.图形用户界面的用途：用于人机交互和实现显示屏幕面板的功能，并且可以用于显示、搜索、选择、增加、排列和/或编辑用于应用界面或应用菜单的小组件。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</si>
  <si>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显示屏幕面板的小组件显示图形用户界面</t>
  </si>
  <si>
    <t>EP4082008A1</t>
  </si>
  <si>
    <t>CN306893417S</t>
  </si>
  <si>
    <t>1.本外观设计产品的名称：显示屏幕面板的导航图形用户界面。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6.图形用户界面的用途：用于人机交互和实现显示屏幕面板的功能，并且可以用于在地图上显示信息、在地图上导航、查看和/或定位位置。
 7.图形用户界面的人机交互方式：图形用户界面可以通过触摸、轻击、滑动或滚动图形用户界面来交互。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车辆的显示屏；显示屏幕面板为惯常设计，故省略其他视图。</t>
  </si>
  <si>
    <t>显示屏幕面板的导航图形用户界面</t>
  </si>
  <si>
    <t>CN306893418S</t>
  </si>
  <si>
    <t>1.本外观设计产品的名称：用于显示屏幕面板的在地图上显示目标的图形用户界面。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6.图形用户界面的用途：用于人机交互和实现显示屏幕面板的功能，并且可以用于在地图上显示诸如充电站的目标。
 7.图形用户界面的人机交互方式：图形用户界面可以通过触摸、轻击、滑动或滚动图形用户界面来交互。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</si>
  <si>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用于显示屏幕面板的在地图上显示目标的图形用户界面</t>
  </si>
  <si>
    <t>CN306964540S</t>
  </si>
  <si>
    <t>1.本外观设计产品的名称：显示屏幕面板的导航图形用户界面。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6.图形用户界面的用途：用于人机交互和实现显示屏幕面板的功能，并且可以用于在地图上显示信息、在地图上导航、查看和/或定位位置。
 7.图形用户界面的人机交互方式：图形用户界面可以通过触摸、轻击、滑动或滚动图形用户界面来交互,包括通过点击路径选项来导航到目的地，通过点击按钮来选择导航模式等。
 8.设计1、设计3和设计5请求保护色彩。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</si>
  <si>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CN112686272A</t>
  </si>
  <si>
    <t>本发明公开了基于深度学习的手写体乐谱谱线删除方法，本发明模型训练所用数据集为ICDAR/GREC 2013手写体五线谱谱线删除比赛数据集，并且对该数据集进行数据增强，本发明使用了3种不同的数据增强方法。本发明的手写体乐谱谱线删除深度卷积神经网络模型，将含有乐谱图像输入的模型，模型的直接输出不含谱线的乐谱图像的结果图。本方法引入了旋转，谱线间断，谱线加粗3种额外噪声来模拟自然场景下的乐谱，提升了模型的泛化能力。提出了手写体乐谱谱线删除模型，实现了99.3％的删除准确率，在实时性上完成一张1024*2048大小的乐谱图像仅需14.85秒，相较于前文所提模型在实时性上大幅提高。</t>
  </si>
  <si>
    <t>基于深度学习的手写体乐谱谱线删除方法</t>
  </si>
  <si>
    <t>CN112598956A</t>
  </si>
  <si>
    <t>本发明提供一种航海模拟器中触控式驾驶系统及方法。系统包括教练模块、模拟器以及若干个操船模块；所述教练模块用于对模拟器进行训练科目进行初始化生成训练数据；所述操船模块包括船舶操作面板单元、视景单元、雷达显示单元、电子海图单元以及车钟/舵轮信息采集单元；所述模拟器一方面用于根据所述训练数据模拟船舶航行环境数据，另一方面根据所述操作数据仿真船舶的方向和速度控制数据模拟船舶的运行状态。本发明采用触控式操作，整合了原有航海模拟器驾驶台硬件设备，实现了学员与模拟器间的人机交互，有效解决了现有模拟器驾驶台硬件操作面板数量较多，占据空间较大的问题，降低了用户操作的复杂性。</t>
  </si>
  <si>
    <t>一种航海模拟器中触控式驾驶系统及方法</t>
  </si>
  <si>
    <t>CN306761216S</t>
  </si>
  <si>
    <t>1.本外观设计产品的名称：显示屏幕面板的信息通讯图形用户界面。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6.图形用户界面的用途：用于人机交互和实现显示屏幕面板的功能，并且可以用于信息通讯。
 7.图形用户界面的人机交互方式：图形用户界面可以通过触摸、轻击、滑动或滚动图形用户界面来交互。
 8.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</si>
  <si>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显示屏幕面板的信息通讯图形用户界面</t>
  </si>
  <si>
    <t>CN306761215S</t>
  </si>
  <si>
    <t>1.本外观设计产品的名称：显示屏幕面板的信息通讯图形用户界面。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5.图形用户界面的用途：用于人机交互和实现显示屏幕面板的功能，并且可以用于信息通讯。
 6.图形用户界面的人机交互方式：图形用户界面可以通过触摸、轻击、滑动或滚动图形用户界面来交互。
 7.显示屏幕面板可以应用于计算机、笔记本电脑、平板电脑、手机、智能手环、智能眼镜、手表、智能手表、健身监视器、头戴式耳机、个人数字助理、智能音箱、电视、监视器、投影仪、机顶盒、游戏机、导航仪、用于车辆的显示装置；显示屏幕面板为惯常设计，故省略其他视图。</t>
  </si>
  <si>
    <t>CN306786379S</t>
  </si>
  <si>
    <t>1.本外观设计产品的名称：显示屏幕面板的信息通讯图形用户界面。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5.图形用户界面的用途：用于人机交互和实现显示屏幕面板的功能，并且可以用于信息通讯。
 6.图形用户界面的人机交互方式：图形用户界面可以通过触摸、轻击、滑动或滚动图形用户界面来交互。
 7.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</si>
  <si>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CN306786380S</t>
  </si>
  <si>
    <t>CN306794995S</t>
  </si>
  <si>
    <t>1.本外观设计产品的名称：显示屏幕面板的显示状态的图形用户界面。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6.图形用户界面的用途：用于人机交互和实现显示屏幕面板的功能，并且可以用于显示状态，包括虚拟助理或语音激活应用的状态。
 7.图形用户界面的人机交互方式：图形用户界面可以通过语音、说话来交互，或者通过触摸或轻击图形用户界面来交互。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</si>
  <si>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显示屏幕面板的显示状态的图形用户界面</t>
  </si>
  <si>
    <t>CN306794996S</t>
  </si>
  <si>
    <t>CN306802698S</t>
  </si>
  <si>
    <t>CN306810688S</t>
  </si>
  <si>
    <t>CN306810687S</t>
  </si>
  <si>
    <t>CN306825081S</t>
  </si>
  <si>
    <t>CN306825083S</t>
  </si>
  <si>
    <t>1.本外观设计产品的名称：屏幕面板的显示应用和小组件的动态图形用户界面。
 2.本外观设计产品的用途：屏幕面板用于显示动态图形用户界面。
 3.本外观设计产品的设计要点：在于动态图形用户界面。
 4.最能表明设计要点的图片或照片：主视图。
 5.图形用户界面的用途：用于人机交互和实现屏幕面板的功能，并且可以用于显示和/或载入应用或小组件。
 6.图形用户界面的人机交互方式：动态图形用户界面可以通过轻击、按压、滚动或滑动图形用户界面来交互。
 7.图形用户界面的变化状态说明：动态图形用户界面的外观依次从主视图变化到变化状态图1并变化到变化状态图2。
 8.屏幕面板可以应用于计算机、笔记本电脑、平板电脑、手机、智能手机、智能手环、智能眼镜、手表、智能手表、健身监视器、头戴式耳机、个人数字助理、智能音箱、电视、监视器、投影仪、机顶盒、游戏机、导航仪、用于车辆的显示装置；屏幕面板为惯常设计，故省略其他视图。</t>
  </si>
  <si>
    <t>屏幕面板的显示应用和小组件的动态图形用户界面</t>
  </si>
  <si>
    <t>CN306840027S</t>
  </si>
  <si>
    <t>CN306871227S</t>
  </si>
  <si>
    <t>1.本外观设计产品的名称：显示屏幕面板的信息通讯图形用户界面。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5.图形用户界面的用途：用于人机交互和实现显示屏幕面板的功能，并且可以用于信息通讯。
 6.图形用户界面的人机交互方式：图形用户界面可以通过触摸、轻击、滑动或滚动图形用户界面来交互。
 7.显示屏幕面板可以应用于计算机、笔记本电脑、平板电脑、手机、智能手机、智能手环、智能眼镜、手表、智能手表、健身监视器、头戴式耳机、个人数字助理、智能音箱、电视、监视器、投影仪、机顶盒、游戏机、导航仪、用于车辆的显示装置。
 8.显示屏幕面板为惯常设计，故省略其他视图。</t>
  </si>
  <si>
    <t>CN306893415S</t>
  </si>
  <si>
    <t>1.本外观设计产品的名称：显示屏幕面板的可扫描特征显示图形用户界面。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6.图形用户界面的用途：用于人机交互和实现显示屏幕面板的功能，并且可以用于显示可扫描特征。
 7.图形用户界面的人机交互方式：图形用户界面可以通过轻击或滚动图形用户界面来交互，以便载入后续的图形用户界面，并且图形用户界面能够被其它电子设备扫描以从图形用户界面提取数据。
 8.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</si>
  <si>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显示屏幕面板的可扫描特征显示图形用户界面</t>
  </si>
  <si>
    <t>CN306893413S</t>
  </si>
  <si>
    <t>CN306893414S</t>
  </si>
  <si>
    <t>CN306893412S</t>
  </si>
  <si>
    <t>CN306907581S</t>
  </si>
  <si>
    <t>1.本外观设计产品的名称：显示屏幕面板的载入应用的图形用户界面。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6.图形用户界面的用途：用于人机交互和实现显示屏幕面板的功能，并且可以用于载入应用。
 7.图形用户界面的人机交互方式：图形用户界面可以通过轻击或滚动图形用户界面来交互。
 8.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</si>
  <si>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显示屏幕面板的载入应用的图形用户界面</t>
  </si>
  <si>
    <t>CN307192207S</t>
  </si>
  <si>
    <t>1.本外观设计产品的名称：显示屏幕面板的显示应用和小组件的图形用户界面。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6.图形用户界面的用途：用于人机交互和实现显示屏幕面板的功能，并且可以用于显示和/或载入应用或小组件。
 7.图形用户界面的人机交互方式：图形用户界面可以通过轻击、按压、滚动或滑动图形用户界面来交互。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</si>
  <si>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显示屏幕面板的显示应用和小组件的图形用户界面</t>
  </si>
  <si>
    <t>CN307192374S</t>
  </si>
  <si>
    <t>1.本外观设计产品的名称：显示屏幕面板的显示应用的图形用户界面。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6.图形用户界面的用途：用于人机交互和实现显示屏幕面板的功能，并且可以用于显示、选择、组织和/或编辑应用的显示。
 7.图形用户界面的人机交互方式：图形用户界面可以通过轻击、按压、滑动或滚动图形用户界面来交互。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省略其他视图。</t>
  </si>
  <si>
    <t>显示屏幕面板的显示应用的图形用户界面</t>
  </si>
  <si>
    <t>CN307256191S</t>
  </si>
  <si>
    <t>1.本外观设计产品的名称：显示屏幕面板的显示应用的图形用户界面。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6.图形用户界面的用途：用于人机交互和实现显示屏幕面板的功能，并且可以用于显示、选择、组织和/或编辑应用的显示。
 7.图形用户界面的人机交互方式：图形用户界面可以通过轻击、按压、滑动或滚动图形用户界面来交互。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</si>
  <si>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CN306539859S</t>
  </si>
  <si>
    <t>1.本外观设计产品的名称：显示屏幕面板的显示世界时钟的图形用户界面。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5.图形用户界面的用途：用于人机交互和实现显示屏幕面板的功能，并且可以用于显示世界时钟或时间。
 6.图形用户界面的人机交互方式：图形用户界面可以通过轻击、按压、滑动或滚动图形用户界面来交互。
 7.显示屏幕面板可以应用于计算机、笔记本电脑、显示装置、通讯设备、多媒体设备、信息终端、便携式通讯设备、便携式多媒体设备、便携式信息终端、平板电脑、手机、智能手机、可穿戴设备、手表、智能手表、健身监视器、头戴式耳机、个人数字助理、智能音箱、电视、监视器、投影仪、显示系统、机顶盒、游戏机、导航仪，所述显示装置包括用于车辆的显示装置；显示屏幕面板为惯常设计，故省略其他视图。</t>
  </si>
  <si>
    <t>显示屏幕面板的显示世界时钟的图形用户界面</t>
  </si>
  <si>
    <t>CN306704478S</t>
  </si>
  <si>
    <t>1.本外观设计产品的名称：显示屏幕面板的运行相机应用的图形用户界面。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5.图形用户界面的用途：用于人机交互和实现显示屏幕面板的功能，并且可以用于运行相机应用。
 6.图形用户界面的人机交互方式：图形用户界面可以通过轻击或按压图形用户界面来交互。
 7.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</si>
  <si>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显示屏幕面板的运行相机应用的图形用户界面</t>
  </si>
  <si>
    <t>CN306817817S</t>
  </si>
  <si>
    <t>1.本外观设计产品的名称：显示屏幕面板的显示海拔的图形用户界面。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6.图形用户界面的用途：用于人机交互和实现显示屏幕面板的功能，并且可以用于显示或追踪海拔或位置。
 7.图形用户界面的人机交互方式：图形用户界面可以通过轻击或按压图形用户界面来交互。
 8.显示屏幕面板可以应用于计算机、笔记本电脑、平板电脑、手机、智能手机、智能手环、智能眼镜、手表、智能手表、健身监视器、头戴式耳机、个人数字助理、智能音箱、电视、监视器、投影仪、机顶盒、游戏机、导航仪、用于车辆的显示装置；显示屏幕面板为惯常设计，故省略其他视图。</t>
  </si>
  <si>
    <t>显示屏幕面板的显示海拔的图形用户界面</t>
  </si>
  <si>
    <t>KR1020210117135A</t>
  </si>
  <si>
    <t>使用图像的非面对面体能测量系统包括便携式电子设备和服务器。 便携式电子设备拍摄体质测量对象的照片,并使用拍摄的图像计算体质测量结果。 在这个过程中,使用深度学习算法来提高健身测量结果的准确性。 利用图像的非面对面体质测量系统提供了多种体质测量方式。 健康测量模式包括原地行走测量模式、站立和坐着测量模式以及步行和返回模式。</t>
  </si>
  <si>
    <t>基于图像的非面对面体质测量系统</t>
  </si>
  <si>
    <t>CN306871226S</t>
  </si>
  <si>
    <t>1.本外观设计产品的名称：显示屏幕面板的显示活动的图形用户界面。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6.图形用户界面的用途：用于人机交互和实现显示屏幕面板的功能，并且可以用于显示活动记录，包括户外骑行记录。
 7.图形用户界面的人机交互方式：图形用户界面可以通过轻击、按压、向上、向下和/或向左、向右滑动或滚动图形用户界面来交互，以载入后续的图形用户界面。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</si>
  <si>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CN306893597S</t>
  </si>
  <si>
    <t>1.本外观设计产品的名称：显示屏幕面板的显示速度或距离图形用户界面。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5.图形用户界面的用途：用于人机交互和实现显示屏幕面板的功能，并且可以用于显示或追踪行进的时间、速度或距离、天气或活动。
 6.图形用户界面的人机交互方式：图形用户界面可以通过在图形用户界面上轻击、按压、滑动或滚动来交互。
 7.显示屏幕面板可以应用于计算机、笔记本电脑、平板电脑、手机、智能手环、智能眼镜、手表、智能手表、健身监视器、头戴式耳机、个人数字助理、智能音箱、电视、监视器、投影仪、机顶盒、游戏机、导航仪、用于车辆的显示屏；显示屏幕面板为惯常设计，故省略其他视图。</t>
  </si>
  <si>
    <t>显示屏幕面板的显示速度或距离图形用户界面</t>
  </si>
  <si>
    <t>CN306907579S</t>
  </si>
  <si>
    <t>1.本外观设计产品的名称：显示屏幕面板的显示速度或距离图形用户界面。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6.图形用户界面的用途：用于人机交互和实现显示屏幕面板的功能，并且可以用于显示或追踪行进的时间、速度或距离、天气或活动。
 7.图形用户界面的人机交互方式：图形用户界面可以通过在图形用户界面上轻击、按压、滑动或滚动来交互。
 8.显示屏幕面板可以应用于计算机、笔记本电脑、平板电脑、手机、智能手环、智能眼镜、手表、智能手表、健身监视器、头戴式耳机、个人数字助理、智能音箱、电视、监视器、投影仪、机顶盒、游戏机、导航仪、用于车辆的显示屏；显示屏幕面板为惯常设计，故省略其他视图。</t>
  </si>
  <si>
    <t>CN306928745S</t>
  </si>
  <si>
    <t>1.本外观设计产品的名称：显示屏幕面板的显示速度或距离图形用户界面。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5.图形用户界面的用途：用于人机交互和实现显示屏幕面板的功能，并且可以用于显示或追踪行进的时间、速度或距离。
 6.图形用户界面的人机交互方式：图形用户界面可以通过在图形用户界面上轻击、按压、滑动或滚动来交互。
 7.显示屏幕面板可以应用于计算机、笔记本电脑、平板电脑、手机、智能手环、智能眼镜、手表、智能手表、健身监视器、头戴式耳机、个人数字助理、智能音箱、电视、监视器、投影仪、机顶盒、游戏机、导航仪、用于车辆的显示屏；显示屏幕面板为惯常设计，故省略其他视图。</t>
  </si>
  <si>
    <t>KR1020220087330A</t>
  </si>
  <si>
    <t>公开了一种用于体育赛事的无人射击系统。 本发明的体育赛事无人拍摄系统通过设置在体育场内的设施中的基部、沿基部的一轴可动的移动部、以及可动部在一个轴向上移动,并指向在面向运动场的运动场中。捕获现有对象的图像捕获单元,向图像捕获单元捕获的运动图像或静止图像发出信号的控制单元,将其发送到服务器,从服务器,控制移动单元改变图像捕获单元的位置,以及来自控制单元和通信单元的图像,该通信单元以有线/无线方式向服务器发送数据和从服务器接收数据。</t>
  </si>
  <si>
    <t>基于深度学习的动态目标检测的体育比赛无人射击系统</t>
  </si>
  <si>
    <t>CN112702695A</t>
  </si>
  <si>
    <t>本发明公开了一种热塑性发泡聚氨酯纤维盲道及感应式警示引导物联网系统，包括盲人杖和盲道，其具体操作步骤如下：盲道设置：盲道在尽头或转弯处采用热塑性发泡聚氨酯纤维踏步板，凸出盲道的感觉；踏步板内安装读卡器，盲人杖内部安装有无源RFID标签；盲人杖读出信息后，通过声音提示盲人，根据盲人走向，接近时报警，往左走时左侧响，往右走时右侧响，远离后停止报警；盲人杖设置：在盲人杖顶端设置有读卡器，能够联网，同时，配备GPS，定位当前位置；在盲人杖上设置有超声波探测器，盲人杖可利用超声波探测器的超声波探测盲道障碍物；在盲人手机里下载地图app。本发明能够通过盲人杖和盲道配合，实现盲人方向的引导、尽头警示。</t>
  </si>
  <si>
    <t>一种热塑性发泡聚氨酯纤维盲道及感应式警示引导物联网系统</t>
  </si>
  <si>
    <t>CN306915459S</t>
  </si>
  <si>
    <t>1.本外观设计产品的名称：显示屏幕面板的视频通讯图形用户界面。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6.图形用户界面的用途：用于人机交互和实现显示屏幕面板的功能，并且可以用于视频通讯。
 7.图形用户界面的人机交互方式：图形用户界面可以通过轻击图标来载入相应的应用或后续的图形用户界面，或者通过滚动或滑动图形用户界面来显示额外的图标或载入后续的图形用户界面。
 8.设计1请求保护色彩。
 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</si>
  <si>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显示屏幕面板的视频通讯图形用户界面</t>
  </si>
  <si>
    <t>CN306921971S</t>
  </si>
  <si>
    <t>1.本外观设计产品的名称：显示屏幕面板的视频通讯图形用户界面。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5.图形用户界面的用途：用于人机交互和实现显示屏幕面板的功能，并且可以用于视频通讯。
 6.图形用户界面的人机交互方式：图形用户界面可以通过轻击图标来载入相应的应用或后续的图形用户界面，或者通过滚动或滑动图形用户界面来显示额外的图标或载入后续的图形用户界面。
 7.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</si>
  <si>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WO2021124351A1</t>
  </si>
  <si>
    <t>本公开涉及一种非侵入式集成系统,该系统包括裁判机器人,用于自动监控、裁判、计分、分析、学习和指导球员,同时消除对人类裁判和记分员的需要。 具有智能伸缩功能的自动裁判机器人监控、认知识别和捕捉所有设备的运动、分析它们、上下移动,甚至避免球撞向它。 非侵入式实时系统从球员开始、投掷硬币、比赛开始、监控场地位置、保持得分、裁判决定、过场、有效/无效交付、验证每场球、三柱门的所有比赛时刻开始 ,接球,边界,六分球,并在整个比赛中显示得分和统计数据。</t>
  </si>
  <si>
    <t>板球比赛智能机器人裁判,用于在板球比赛期间自动进行裁判和计分决策</t>
  </si>
  <si>
    <t>GB2605932A</t>
  </si>
  <si>
    <t>板球比赛智能机器人裁判,用于在板球比赛期间自动进行裁判和计分决定</t>
  </si>
  <si>
    <t>US20230050335A1</t>
  </si>
  <si>
    <t>本公开涉及一种非侵入式集成系统,包括裁判机器人,用于自动监控、裁判、计分、分析、学习和指导球员,同时消除对人类裁判和记分员的需要。 具有智能伸缩功能的自动裁判机器人监控,认知识别和捕捉所有设备的动作,分析它们,上下移动,甚至避免球碰撞向它移动。 非侵入式实时系统捕捉所有比赛时刻,从球员开始、掷硬币、比赛开始、监控场上位置、保持比分、裁判决定、轮换、有效/无效交付、验证每轮球、三柱门 、接球、界线、六分以及在整个比赛中显示分数和统计数据。</t>
  </si>
  <si>
    <t>板球比赛智能机器人裁判,用于板球比赛期间的自动裁判和计分决策</t>
  </si>
  <si>
    <t>CN112396137A</t>
  </si>
  <si>
    <t>本发明公开了一种融合上下文语义的的点云语义分割方法。属于人工智能技术领域；具体操作步骤：利使用高层编码特征反馈机制增强低层编码特征，从而使高层语义特征在级联过程中获取高区分度，改善基础的点云语义分割结果；利用高层语义特征的局部上下文信息以自适应地调整每个点的语义特征，从而进一步的优化分割结果的细节信息。本发明设计合理，得到的点云语义分割模型具有分割精度高、噪声小的优点。</t>
  </si>
  <si>
    <t>一种融合上下文语义的点云语义分割方法</t>
  </si>
  <si>
    <t>CN112765983A</t>
  </si>
  <si>
    <t>本发明公开了一种基于结合知识描述的神经网络的实体消歧的方法，涉及自然语言处理技术领域。包括以下步骤：步骤1：使用指称上下文文本和候选实体进行建模，计算指称上下文文本与候选实体的相似度；步骤2：使用候选实体知识描述的文本信息与指称的上下文文本进行建模；步骤3：对候选实体知识描述关键词提取；步骤4：建立实体消歧的局部模型；步骤5：建立实体消歧的全局模型；步骤6：引入损失函数，训练找到步骤4中的目标式。本发明从候选实体以及本文上下文的向量中同时进行实体操作，将全局模型用于短文本的实体消歧中，结合优化后的局部模型，弥补了全局模型语料库缺乏以及局部模型缺少文本其他实体信息的问题。</t>
  </si>
  <si>
    <t>一种基于结合知识描述的神经网络的实体消歧的方法</t>
  </si>
  <si>
    <t>CN306825078S</t>
  </si>
  <si>
    <t>1.本外观设计产品的名称：显示屏幕面板的定制时间显示选项图形用户界面。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5.图形用户界面的用途：用于人机交互和实现显示屏幕面板的功能，并且可以用于定制时间显示选项，包括定制颜色选项。
 6.图形用户界面的人机交互方式：图形用户界面可以通过在图形用户界面上轻击或滑动来交互。
 7.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</si>
  <si>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显示屏幕面板的定制时间显示选项图形用户界面</t>
  </si>
  <si>
    <t>CN306871225S</t>
  </si>
  <si>
    <t>1.本外观设计产品的名称：显示屏幕面板的音频电话通讯图形用户界面。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6.图形用户界面的用途：用于人机交互和实现显示屏幕面板的功能，并且可以用于音频电话通讯。
 7.图形用户界面的人机交互方式：图形用户界面可以通过在图形用户界面上轻击或滑动来交互。
 8.显示屏幕面板可以应用于计算机、笔记本电脑、平板电脑、手机、智能手机、智能手环、智能眼镜、手表、智能手表、健身监视器、头戴式耳机、个人数字助理、智能音箱、电视、监视器、投影仪、机顶盒、游戏机、导航仪、用于车辆的显示屏；显示屏幕面板为惯常设计，故省略其他视图。</t>
  </si>
  <si>
    <t>显示屏幕面板的音频电话通讯图形用户界面</t>
  </si>
  <si>
    <t>CN214374090U</t>
  </si>
  <si>
    <t>本实用新型公开了一种基于物联网的多场景空气环境粉尘监测装置，包括主体、硅胶保护垫、限位套和连接口，所述主体的前端设置有保护膜，且保护膜的后端固定有无痕纳米粘胶，所述保护膜的外壁连接有无胶层，所述硅胶保护垫设置于主体的外壁。该基于物联网的多场景空气环境粉尘监测装置通过保护膜的设置可以在主体使用的过程中，可以避免因长期磨损造成主体操作按钮表面的符号出现淡化的现象，无胶层与保护膜之间一体化结构的设置，使用者握住无胶层就可将保护膜拆卸下来，从而便于保护膜进行更换，硅胶保护垫覆盖在主体边角处时，可以避免主体受到撞击时，主体边角处出现损坏的现象，使得主体在使用的过程中更加的安全。</t>
  </si>
  <si>
    <t>一种基于物联网的多场景空气环境粉尘监测装置</t>
  </si>
  <si>
    <t>KR102390439B1</t>
  </si>
  <si>
    <t>本发明涉及一种基于深度学习的人形机器人足球系统,其安装在人形机器人上并基于深度学习方法识别机器人的移动、运动、周围物体或对手机器人的存在,机器人控制器根据识别的信息控制机器人的运行; 它通过网络与机器人控制器相连,分析机器人控制器传来的识别信息和动作信息,判断机器人是否违反了正在踢足球的规则,根据判断结果控制机器人,并使机器人其特征在于它包括: 游戏控制器,其中设置将参加足球的参与者的数量和类型以及难度级别。</t>
  </si>
  <si>
    <t>基于深度学习的人形机器人足球系统</t>
  </si>
  <si>
    <t>IN202011053977A</t>
  </si>
  <si>
    <t>I_Suit:一种基于人工智能和物联网的远程控制设备,可互换称为 I_Suit (99),用于提供低成本且易于使用的 I_Suit (99),用于解决截肢者和截瘫者面临的不动问题,但不限于其中 I_Suit (99) 为用户提供移动性、运动和/或运动,而无需坐在轮椅上。 I_Suit 有助于保持人体平衡、站立、攀爬、行走、协调的腿部运动和适当的算法步骤,其中 I_Suit 可以包括或移除构成它的组件以实现、改进或添加一个或多个功能。 I_Suit 不提供跑步和跳跃的机制或支持。 I_Suit 的架构如图 4 所示。</t>
  </si>
  <si>
    <t>i_suit:一种基于人工智能和物联网的远程控制设备,用于促进人体移动。</t>
  </si>
  <si>
    <t>CN112467340A</t>
  </si>
  <si>
    <t>一种基于物联网的体育赛事接收器，它涉及接收器技术领域，具体涉及一种基于物联网的体育赛事接收器的改进。它由盒盖、盒体、接收天线、底座、保护壳组成，所述盒盖的下方连接盒体，盒体的侧面安装有接收天线，接收天线的外部套有保护壳，盒体的底部安装有底座；盒体包括了电源接口、USB接口、VGA接口、网线接口、HDMI接口、AUX接口、按钮、检修板，所述盒体上设有电源接口，电源接口的左侧设有USB接口，USB接口的左侧设有VGA接口，VGA接口的左侧设有网线接口，网线接口的左侧设有HDMI接口。它通过在接收天线上套保护壳，使得接收天线不易折断，同时通过检修板进行紧急检修，方便快捷，同时通过散热板对接收器进行散热，防止接收器过热导致损坏。</t>
  </si>
  <si>
    <t>一种基于物联网的体育赛事接收器</t>
  </si>
  <si>
    <t>CN112638014A</t>
  </si>
  <si>
    <t>本发明涉及一种体育场馆用照明灯光智能控制系统，包括中央处理器、场景控制模块、控制信号输入端、通信传输模块及第一输出模块，所述中央处理器输入端设有场景控制模块、控制信号输入端及数据整合转换电路，所述中央处理器电源端设有过压保护电路，所述过压保护电路外接供电模块，所述中央处理器输出端设有第一输出模块、ZIGBEE转接单元及第二输出模块。本发明的控制系统为基于物联网技术为体育场馆照明设置无线调控系统，实现对多区域不同电路控制的照明灯的远程集中控制，通过分布式光效调整单元的设计，可对体育场馆内多区域的多组照明灯智能调配，采用无线形式连接控制，简单快捷，扩展性高，保证了控制指令的准确性。</t>
  </si>
  <si>
    <t>一种体育场馆用照明灯光智能控制系统</t>
  </si>
  <si>
    <t>CN213987644U</t>
  </si>
  <si>
    <t>本实用新型公开了乡村信息交互装置，涉及信息交互领域。乡村信息交互装置，包括安装框，所述安装框外壁面后侧开设有自助储物平台，且自助储物平台上端面安装有储存柜，所述安装框顶面前端安装有人机交互设备，且人机交互设备底端固定连接有接收台，所述人机交互设备顶面开设有顶架，且顶架前侧端面开设有播放显示屏，所述顶架后端两侧安装有边框，且边框内侧上壁面安装有安装盖板，所述安装盖板顶端转动安装有散热风扇，所述边框底部安装有侧板，且侧板左侧固转动装有转动装置，所述边框外壁面四角处插接安装有安装角码。本实用新型解决了传统的交互装置依赖过度的肢体操作，设备支付途径少的问题。</t>
  </si>
  <si>
    <t>乡村信息交互装置</t>
  </si>
  <si>
    <t>CN214413100U</t>
  </si>
  <si>
    <t>本实用新型涉及一种体育场馆用照明灯光智能控制系统，包括中央处理器、场景控制模块、控制信号输入端、通信传输模块及第一输出模块，所述中央处理器输入端设有场景控制模块、控制信号输入端及数据整合转换电路，所述中央处理器电源端设有过压保护电路，所述过压保护电路外接供电模块，所述中央处理器输出端设有第一输出模块、ZIGBEE转接单元及第二输出模块。本实用新型的控制系统为基于物联网技术为体育场馆照明设置无线调控系统，实现对多区域不同电路控制的照明灯的远程集中控制，通过分布式光效调整单元的设计，可对体育场馆内多区域的多组照明灯智能调配，采用无线形式连接控制，简单快捷，扩展性高，保证了控制指令的准确性。</t>
  </si>
  <si>
    <t>CN112546599B</t>
  </si>
  <si>
    <t>本发明提供一种计算机物联网的健身仪共享辅助设备，涉及健身设备技术领域，解决了不能够通过结构上的改进在实现设备主体与壳体固定结构与减震结构有机结合；不能够与保护结构有机结合，且不能够通过结构上的改进实现支撑承力提升以及防松动；清洁结构不能够实现与设备主体的固定有机结合的问题。一种计算机物联网的健身仪共享辅助设备，包括壳体；所述壳体上安装有共享设备主体，且共享设备主体上安装有支撑结构。因卡接块与滑动槽插接相连，且卡接块为橡胶条状结构，并且当卡接块与滑动槽插接后共享设备主体底端面不与壳体内壁底端面接触，从而通过卡接块与滑动槽的配合可实现共享设备主体的缓冲。</t>
  </si>
  <si>
    <t>一种计算机物联网的健身仪共享辅助设备</t>
  </si>
  <si>
    <t>CN306512538S</t>
  </si>
  <si>
    <t>1.本外观设计产品的名称：带绘画图形用户界面的显示屏幕面板。
 2.本外观设计产品的用途：显示屏幕面板可用于台式电脑、笔记本电脑、显示设备、通讯设备、多媒体设备、信息终端、平板电脑、手机、可穿戴设备、手表、智能手表、健身监视器、耳机、掌上电脑、智能音箱。
 3.本外观设计产品的设计要点：在于图形用户界面。
 4.最能表明设计要点的图片或照片：设计1主视图。
 5.指定设计1为基本设计。
 6.图形用户界面的用途：图形用户界面用于绘画。
 7.图形用户界面的人机交互方式：图形用户界面可通过接触显示屏幕面板和/或操作应用了图形用户界面的设备来交互。
 8.设计1请求保护色彩。</t>
  </si>
  <si>
    <t>带绘画图形用户界面的显示屏幕面板</t>
  </si>
  <si>
    <t>CN306696046S</t>
  </si>
  <si>
    <t>1.本外观设计产品的名称：显示屏幕面板的显示数据信息的图形用户界面。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5.图形用户界面的用途：用于人机交互和实现显示屏幕面板的功能，并且可以用于显示应用程序的数据信息。
 6.图形用户界面的人机交互方式：图形用户界面可以通过在图形用户界面上触摸、滑动、点击、轻击来交互。
 7.显示屏幕面板可以应用于计算机、笔记本电脑、显示装置、通讯设备、多媒体设备、信息终端、便携式通讯设备、便携式多媒体设备、便携式信息终端、平板电脑、手机、智能手机、可穿戴设备、手表、智能手表、健身监视器、头戴式耳机、个人数字助理、智能音箱、显示系统、电视、机顶盒、游戏机、导航仪，所述显示装置包括用于车辆的显示装置；显示屏幕面板为惯常设计，故省略其他视图。</t>
  </si>
  <si>
    <t>显示屏幕面板的显示数据信息的图形用户界面</t>
  </si>
  <si>
    <t>CN306713296S</t>
  </si>
  <si>
    <t>1.本外观设计产品的名称：显示屏幕面板的显示数据状态的图形用户界面。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6.图形用户界面的用途：用于人机交互和实现显示屏幕面板的功能，并且可以用于指示应用程序的数据状态。
 7.图形用户界面的人机交互方式：图形用户界面可以通过在图形用户界面上触摸、滑动、点击、轻击来交互。
 8.显示屏幕面板可以应用于计算机、笔记本电脑、平板电脑、手机、智能手机、智能手环、智能眼镜、手表、智能手表、健身监视器、头戴式耳机、个人数字助理、智能音箱、显示系统、电视、机顶盒、游戏机、导航仪、用于车辆的显示装置；显示屏幕面板为惯常设计，故省略其他视图。</t>
  </si>
  <si>
    <t>显示屏幕面板的显示数据状态的图形用户界面</t>
  </si>
  <si>
    <t>CN306730741S</t>
  </si>
  <si>
    <t>1.本外观设计产品的名称：带智能家居控制图形用户界面的显示屏幕面板。
 2.本外观设计产品的用途：用于显示信息。
 3.本外观设计产品的设计要点：在于图形用户界面。
 4.最能表明设计要点的图片或照片：主视图。
 5.图形用户界面的用途：用于智能家居控制。
 6.图形用户界面的人机交互方式：图形用户界面可以通过触摸显示屏幕面板或者操作图形用户界面所应用的设备来进行人机交互。
 7.显示屏幕面板用于计算机、笔记本电脑、多媒体播放器、平板电脑、手机、智能手机、可穿戴设备、手表、智能手表、健身监视器、耳机、个人数字助理和智能音箱。</t>
  </si>
  <si>
    <t>带智能家居控制图形用户界面的显示屏幕面板</t>
  </si>
  <si>
    <t>CN306738587S</t>
  </si>
  <si>
    <t>CN306738588S</t>
  </si>
  <si>
    <t>CN213912229U</t>
  </si>
  <si>
    <t>本实用新型公开了一种新型的拾乒乓球机器人，涉及乒乓球训练机器领域，解决了现有技术中乒乓球训练中乒乓球不能被及时捡起的问题，其技术要点是：其用于拾取散落在地面上的乒乓球，包括：底座；图像识别单元，所述图像识别单元用识别散落在地面上的乒乓球；拾球单元，所述拾球装置用于收集散落在地面上的乒乓球；移动单元，所述移动单元控制底座移动，所述移动单元固定连接于底座上；定位单元，所述定位单元用于定位乒乓球的位置；控制单元，所述控制单元控制图像采集单元、拾球单元、定位单元和移动单元工作；供电单元；本实用新型能够自动识别乒乓球并自动拾取乒乓球。</t>
  </si>
  <si>
    <t>一种新型的拾乒乓球机器人</t>
  </si>
  <si>
    <t>CN306810681S</t>
  </si>
  <si>
    <t>1.本外观设计产品的名称：带用阅读图形用户界面的显示屏幕面板。
 2.本外观设计产品的用途：显示屏幕面板能够应用于计算机、笔记本电脑、平板电脑、手机、可穿戴设备、手表、智能手表、健身器械监控器、头戴式耳机、个人数字助理、智能扬声器。
 3.本外观设计产品的设计要点：在于图形用户界面。
 4.最能表明设计要点的图片或照片：主视图。
 5.图形用户界面的用途：图形用户界面用于阅读漫画书、连环画小说或其它文字和/或视觉内容。
 6.图形用户界面的人机交互方式：图形用户界面能够通过触摸、敲击、滑动、拖动或点击显示屏幕面板或者操作界面所应用的设备以便滚动或者以其他方式来操作显示屏幕面板所显示的内容来进行阅读、书写或编辑而进行交互。</t>
  </si>
  <si>
    <t>带用阅读图形用户界面的显示屏幕面板</t>
  </si>
  <si>
    <t>CN306488269S</t>
  </si>
  <si>
    <t>1.本外观设计产品的名称：智能跑步机的触控交互面板。
 2.本外观设计产品的用途：用于智能跑步机，主要通过触控交互面板实现人机交互的过程，并由挂件紧固于机械跑带上。
 3.本外观设计产品的设计要点：在于形状。
 4.最能表明设计要点的图片或照片：设计1立体图1。
 5.指定设计1为基本设计。</t>
  </si>
  <si>
    <t>智能跑步机的触控交互面板</t>
  </si>
  <si>
    <t>US20220175276A1</t>
  </si>
  <si>
    <t>推荐系统可以存储用户数据、健身等级数据和专家规则数据。 用户数据可以对应于关于用户的健康或健身信息。 健身等级数据可以对应于关于健身等级的信息。 专家规则数据可以对应于用于实现健康目标的动作。 推荐系统可以被配置为基于用户数据确定健康目标数据。 可以直接或推断地确定健康目标数据。 健康目标数据可以与专家规则数据匹配。 专家规则数据可以与健身等级数据相匹配。 健身等级数据可以对应于与用户的健康目标一致的健身等级的方面。 可以生成与针对用户的健身等级的推荐相对应的推荐数据。</t>
  </si>
  <si>
    <t>健康和健身推荐系统</t>
  </si>
  <si>
    <t>US20220180997A1</t>
  </si>
  <si>
    <t>CN306832148S</t>
  </si>
  <si>
    <t>1.本外观设计产品的名称：显示屏幕面板的手写输入图形用户界面。
 2.本外观设计产品的用途：显示屏幕面板用于显示图形用户界面。
 3.本外观设计产品的设计要点：在于图形用户界面。
 4.最能表明设计要点的图片或照片：变化状态图2。
 5.图形用户界面的用途：用于人机交互和实现显示屏幕面板的功能，并且可以用于通过手写来输入文字。
 6.图形用户界面的人机交互方式：图形用户界面可以通过在图形用户界面上触摸、滑动、点击、轻击来交互。
 7.图形用户界面的变化状态说明：通过在两个单词之间点击并保持，图形用户界面从主视图变化到变化状态图1以示出用户插入单词的空间，通过在该空间内手写单词，图形用户界面从变化状态图1变化到变化状态图2，然后图形用户界面从变化状态图2变化到变化状态图3、变化状态图4、变化状态图5和变化状态图6，以示出将手写输入的单词转换为打字样式的单词的过程。
 8.显示屏幕面板可以应用于计算机、笔记本电脑、平板电脑、手机、智能手机、智能手环、智能眼镜、手表、智能手表、健身监视器、头戴式耳机、个人数字助理、智能音箱、电视、机顶盒、游戏机、导航仪、用于车辆的显示装置；显示屏幕面板为惯常设计，故省略其他视图。</t>
  </si>
  <si>
    <t>显示屏幕面板的手写输入图形用户界面</t>
  </si>
  <si>
    <t>CN306942184S</t>
  </si>
  <si>
    <t>1.本外观设计产品的名称：显示屏幕面板的手写输入动态图形用户界面。
 2.本外观设计产品的用途：显示屏幕面板用于显示图形用户界面。
 3.本外观设计产品的设计要点：在于图形用户界面。
 4.最能表明设计要点的图片或照片：变化状态图2。
 5.图形用户界面的用途：用于人机交互和实现显示屏幕面板的功能，并且可以用于通过手写来输入文字。
 6.图形用户界面的人机交互方式：图形用户界面可以通过在图形用户界面上触摸、滑动、点击、轻击来交互。
 7.图形用户界面的变化状态说明：通过用户手写输入文字，图形用户界面依次从主视图变化到变化状态图1、变化状态图2和变化状态图3，以示出将手写输入的文字转换为打字样式的文字的变化过程。
 8.显示屏幕面板可以应用于计算机、笔记本电脑、平板电脑、手机、智能手机、智能手环、智能眼镜、手表、智能手表、健身监视器、头戴式耳机、个人数字助理、智能音箱、电视、机顶盒、游戏机、导航仪、用于车辆的显示屏；显示屏幕面板为惯常设计，故省略其他视图。</t>
  </si>
  <si>
    <t>显示屏幕面板的手写输入动态图形用户界面</t>
  </si>
  <si>
    <t>CN306942183S</t>
  </si>
  <si>
    <t>1.本外观设计产品的名称：显示屏幕面板的手写输入图形用户界面。
 2.本外观设计产品的用途：显示屏幕面板用于显示图形用户界面。
 3.本外观设计产品的设计要点：在于图形用户界面。
 4.最能表明设计要点的图片或照片：设计1变化状态图1。
 5.指定设计1为基本设计。
 6.图形用户界面的用途：用于人机交互和实现显示屏幕面板的功能，并且可以用于通过手写来输入文字。
 7.图形用户界面的人机交互方式：图形用户界面可以通过在图形用户界面上触摸、滑动、点击、轻击来交互。
 8.图形用户界面的变化状态说明：通过按压设计1主视图中的待选择文字，图形用户界面从设计1主视图变化到设计1变化状态图1，以在被选择的文字两端增加标记并在文字上增加突出显示效果，通过进一步按压设计1变化状态图1中所示的文字，图形用户界面从设计1变化状态图1变化到设计1变化状态图2，以显示所有手写输入的文字都被选择状的状态；通过按压设计2主视图中的待选择文字，图形用户界面从设计2主视图变化到设计2变化状态图1，以在被选择的文字两端增加标记并在文字上增加突出显示效果，通过进一步按压设计2变化状态图1中所示的文字，图形用户界面从设计2变化状态图1变化到设计2变化状态图2，以显示所有手写输入的文字都被选择状的状态。
 9.设计1请求保护色彩。
 显示屏幕面板可以应用于计算机、笔记本电脑、平板电脑、手机、智能手机、智能手环、智能眼镜、手表、智能手表、健身监视器、头戴式耳机、个人数字助理、智能音箱、电视、机顶盒、游戏机、导航仪、用于车辆的显示屏；显示屏幕面板为惯常设计，故省略其他视图。</t>
  </si>
  <si>
    <t>US11127250B1</t>
  </si>
  <si>
    <t>US11455646B2</t>
  </si>
  <si>
    <t>票证交换服务器被配置为确定要为事件分发的票证的数量。 换票服务器为体育场访问描述历史事件的出席情况、运动队的历史对手以及运动队的历史输赢记录的训练数据。 票务交换服务器训练机器学习模型,该模型被配置为基于运动队在未来赛事中的对手以及运动队当前或预测的赢/输记录来预测体育场的未来赛事的上座率。 票务交换服务器选择运动队对抗对手的赛事,并使用机器学习模型确定预测出勤率。 票务交换服务器基于预测的出席来识别大于体育场容量以提供的票的数量,并将票的数量分发给预期的出席者。</t>
  </si>
  <si>
    <t>用于票务分配的机器学习出勤预测</t>
  </si>
  <si>
    <t>US11710143B2</t>
  </si>
  <si>
    <t>IN202041052178A</t>
  </si>
  <si>
    <t>使用人工智能与游泳池水下安全监控相结合的水质警报系统。借助激光灯的安全系统借助运动传感器检测运动,如果发现异常,则将警报发送到处理器进行警报。 系统还集成了质量控制传感器以确保水质,并使用激光灯确保没有其他昆虫或动物在池中。</t>
  </si>
  <si>
    <t>发明名称:人工智能游泳池水质维护与安全系统及其方法</t>
  </si>
  <si>
    <t>CN112587903A</t>
  </si>
  <si>
    <t>本发明涉及运动员训练方法技术领域，具体涉及一种基于深度学习的短跑运动员起跑训练方法及系统。包括：获取短跑运动员起跑训练时采集的实时视频数据，得到视频图像序列；利用训练好的目标检测框架对该短跑运动员起跑训练时的图像信息进行提取，根据实时视频数据中的场景和提取的该短跑运动员的第一轮廓信息及第一动作特征点信息建立样本特征库，利用样本特征库中的数据利用深度学习算法更新训练好的目标检测框架；将提取的图像信息与预存的同时刻的标准动作图像信息进行对比，判断该短跑运动员起跑训练时该时刻的动作是否达到训练要求。本发明提供了一种训练更加系统、标准，训练效果好的基于深度学习的短跑运动员起跑训练方法及系统。</t>
  </si>
  <si>
    <t>一种基于深度学习的短跑运动员起跑训练方法及系统</t>
  </si>
  <si>
    <t>CN112702481A</t>
  </si>
  <si>
    <t>本发明公开了一种基于深度学习的乒乓球轨迹跟踪装置及方法，装置包括姿态传感球拍、六轴传感器、无线传输设备、第一摄像头，第二摄像头、USB3.1传输设备、FPGA、视觉处理单元、中央处理器、显示屏、存储器、GPRS模块和网络设备。两个摄像头捕捉乒乓球画面，使用FPGA、视觉处理单元、中央处理器结合姿态传感球拍获取乒乓球轨迹，并进行轨迹分析，得到球员击球情况，使用存储器存储数据，并通过GPRS模块上传云端，实现实时查看。本发明实现实时获取乒乓球三维位置并绘制乒乓球运动轨迹，从而对球员进行击球情况分析而且设备嵌入式部署，利用资源小，操作简便。</t>
  </si>
  <si>
    <t>一种基于深度学习的乒乓球轨迹跟踪装置及方法</t>
  </si>
  <si>
    <t>WO2021113186A1</t>
  </si>
  <si>
    <t>一种用于跟踪在跑道上进行比赛的参赛者的系统包括多个物体识别设备,这些设备被定位以识别沿跑道预定位置的物体。 对象识别设备被配置为识别每个参赛者的至少一个身体特征。 处理设备被配置成基于来自对象识别设备中的至少一个的对象识别数据来确定参赛者在比赛期间到达选定的预定位置之一的时间。 发送器被配置成将参赛者在比赛期间到达选定位置的时间发送到输出设备。</t>
  </si>
  <si>
    <t>面向参与式体育赛事市场的基于人工智能的计时、成像和跟踪系统</t>
  </si>
  <si>
    <t>CN306825074S</t>
  </si>
  <si>
    <t>1.本外观设计产品的名称：带赛事历史信息图形用户界面的显示屏幕面板。
 2.本外观设计产品的用途：本外观设计产品用于运行程序、显示信息和/或通讯。
 3.本外观设计产品的设计要点：在于显示屏幕面板中显示的图形用户界面内容。
 4.最能表明设计要点的图片或照片：主视图。
 5.显示屏幕面板为现有设计，不涉及设计要点，省略其他视图。
 6.图形用户界面的用途：显示屏幕面板的图形用户界面用于历史比赛赛事信息的交互界面。
 7.图形用户界面在产品中的区域：显示屏幕面板中的界面。
 8.图形用户界面的人机交互方式：主视图显示为赛事片式的主界面，界面上方显示为即将开始的足球比赛，中部显示为历史积分排名的球队，下部显示为历史交战的成绩和球星代表；变化状态图1为在主视图中点击“查看所有赛事”按钮后所显示的变化图，界面上按时间顺序显示主界面上近期即将进行比赛的两支球队的历史对战战绩信息；变化状态图2为在主视图中点击“对手克星”卡片或上滑操作后所显示的变化图，界面上显示有进球的比赛中进球球员的表现数据。
 本外观设计附着于显示屏幕面板，所述显示屏幕面板可用于手机、智能面板、智能手表和平板电脑。</t>
  </si>
  <si>
    <t>带赛事历史信息图形用户界面的显示屏幕面板</t>
  </si>
  <si>
    <t>US11501582B2</t>
  </si>
  <si>
    <t>一种用于跟踪在赛道上进行比赛的参赛者的系统包括多个物体识别设备,这些物体识别设备被定位以识别沿着赛道的预定位置处的物体。 对象识别设备被配置为识别每个参赛者的至少一个身体特征。 处理设备被配置为基于来自至少一个对象识别设备的对象识别数据确定参赛者在比赛期间到达预定位置中的一个选定位置的时间。 发送器被配置为将参赛者在比赛期间到达选定位置的时间发送到输出设备。</t>
  </si>
  <si>
    <t>IN202041052006A</t>
  </si>
  <si>
    <t>发明名称:使用人工智能的游泳池警报系统及其方法 摘要:由于游泳者、天真的学习者和安全措施的疏忽,游泳池发生了许多死亡事件。 本发明公开了一种通过监控摄像头观察游泳池中人员的安全报警系统,该连续监控系统基于游泳池中人员可用性的传感器数据捕获图像,借助图像处理技术来检测溺水或不健康行为 检测到并使用强大的警报系统,池当局会收到警报以迅速采取行动。 本发明保证了人们的安全,不会被淹死,保证了安全的环境。 该系统还确保基于传感器对泳池中人员的检测进行持续监控。</t>
  </si>
  <si>
    <t>发明名称:使用人工智能的游泳池报警系统及其方法</t>
  </si>
  <si>
    <t>US20210089761A1</t>
  </si>
  <si>
    <t>公开了一种用于高尔夫比赛的视频分析的系统和方法。 在一个实施例中,摄像机从高尔夫球手的挥杆和/或击球的不同角度捕捉视频; 系统网络包括:处理模块,用于接收视频,对挥杆/击球的轨迹进行3D建模,以及对高尔夫球手进行3D建模; 一个机器学习模块,用于接收职业高尔夫球手的挥杆/击球的 3D 挥杆轨迹和高尔夫球手模型,并根据职业高尔夫球手的挥杆/击球的聚合计算一个或多个参考挥杆的 3D 模型; 存储参考摆动/罢工的数据库; 分析模块被配置为接收高尔夫球手的3D挥杆/击球轨迹模型和3D高尔夫球手模型,将3D轨迹模型与参考挥杆进行比较,并根据比较计算对高尔夫球手的推荐; 显示模块,被配置为向高尔夫球手显示推荐。</t>
  </si>
  <si>
    <t>高尔夫比赛视频分析系统</t>
  </si>
  <si>
    <t>KR102275175B1</t>
  </si>
  <si>
    <t>本发明涉及一种利用物联网技术链接所有健身器材的可穿戴智能健身房综合解决方案装置及其操作方法。 
  本发明包括多个健身器材(100a、100b、100c、100d、100e),其被分配了唯一的ID和用于认证的标签; 用户终端200配备有用于用户识别的认证装置并与多个健身设备100a、100b、100c、100d和100e配对; 健身数据采集单元300分别附着于多个健身设备100a、100b、100c、100d、100e,为每个ID采集健身数据,用户终端200采集健身数据,可以获得最佳的健身效果通过为从装置300收集的健身设备100a、100b、100c、100d、100e、100a、100b、100c、100d和100e中的每一个提供定制的训练方法。</t>
  </si>
  <si>
    <t>一种利用物联网技术链接所有健身器材的可穿戴智能健身房综合解决方案装置及其操作方法</t>
  </si>
  <si>
    <t>CN214388721U</t>
  </si>
  <si>
    <t>本实用新型提供了一种智能气缸阻力哈克深蹲机，包括L型主支架，L型主支架前端设有健身操作组件、后端设有辅助支架，L型主支架水平部分的后部设有倾斜布置的防滑垫，其特征在于，辅助支架上设有人机交互单元，人机交互单元与设于辅助支架内的控制单元相连；健身操作组件包括带有编码器的气缸，编码器与控制单元相连；旋转支架的后端设有竖直支撑架，竖直支撑架的顶端与固定架连接固定；固定架的前侧与L型连接杆的一端连接固定，L型连接杆的另一端与旋转支架铰接；靠垫设于固定架的后侧，靠垫上设有两个肩垫，在靠垫的左右两侧分别设有一个把手。本实用新型可以向健身者施加主动作用力，从而有效提高健身效果。</t>
  </si>
  <si>
    <t>智能气缸阻力哈克深蹲机</t>
  </si>
  <si>
    <t>CN114563012A</t>
  </si>
  <si>
    <t>本公开关于一种计步方法、装置、设备及存储介质，所述方法包括：获取当前时间段内终端设备的加速度数据；基于至少两个数据采样长度分别从所述加速度数据中截取数据，得到每个所述数据采样长度对应的多个子数据片段；将基于所述至少两个数据采样长度分别截取的一个子数据片段作为一次输入数据，并输入至预先训练的深度神经网络中，得到所述一次输入数据对应的单步计步结果；对各次输入数据对应的单步计步结果进行累计，得到所述当前时间段内的总计步结果。本公开可以适应用户诸如跑步、走步等多种步伐的数据特点，提高确定单步计步结果的准确性，进而可以提高后续基于单步计步结果确定总计步结果的准确性。</t>
  </si>
  <si>
    <t>计步方法、装置、设备及存储介质</t>
  </si>
  <si>
    <t>WO2022114292A1</t>
  </si>
  <si>
    <t>本发明客观地评估用户的肌肉力量来确定要加强的肌肉,并在此基础上使用户能够设定期望的目标,并客观地评估达到目标的运动,以提供符合目标的合适运动。一种可推荐的基于云的人工智能力量训练指导系统,更具体地说,涉及一种根据个人特征对使用肌电图(10)和个人终端(20)获得肌肉状态的用户进行分类的用户组。每个肌肉状态的信息,并将用户的肌肉状态与每个用户组的统计信息进行比较和评估,用户可以将用户组所需的肌肉状态设置为力量训练的目标,它涉及基于云的人工智能力量训练指导系统,接收一组专家的建议,并根据健身情况选择和推荐合适的练习。</t>
  </si>
  <si>
    <t>基于云端的人工智能力量训练指导系统</t>
  </si>
  <si>
    <t>CN112396018B</t>
  </si>
  <si>
    <t>本发明公开了一种结合多模态特征分析与神经网络的羽毛球运动员犯规动作识别方法，包括：实时提取运动员的人物图像、运动姿态序列、光流数据；将人物图像送入双流网络的空间流网络中，获取运动员空间特征；将运动姿态序列作为有向图传入多层的图卷积神经网络中，获得运动员运动时的姿态时空特征；将每一帧光流数据先经过卷积神经网络提取特征后再送入时间关系网络，获取运动员的光流运动信息特征；分别将得到的三种特征两两配对，得到三种聚合特征并分别送入卷积神经网络中，得到三种融合特征并将其加权融合得到最终的整体人体多模态融合运动特征，将其送入全连接网络中得到最终的动作分类识别结果。本发明提高了运动员犯规动作识别准确度。</t>
  </si>
  <si>
    <t>一种结合多模态特征分析与神经网络的羽毛球运动员犯规动作识别方法</t>
  </si>
  <si>
    <t>CN213912142U</t>
  </si>
  <si>
    <t>本发明涉及健身器材技术领域，具体指一种娱乐健身装置；包括机架，所述机架的上端面上设有中心轴，中心轴上设有两个可转动的平动翼；所述机架上设有两个操作杆，两个操作杆分别通过滑动轴承安装在机架上，两个操作杆分别与对应的平动翼传动连接从而驱动两个平动翼沿中心轴前后往复运动；所述机架上设有投币控制器和人机交互装置，投币控制器分别与两个操作杆配合连接；本发明结构合理，操作者握持两个操作杆进行推拉动作驱动两个平动翼前后往复运动，随着推动频率的加快，平动翼会逐渐加快转动速度，人机交互设备通过监测平动翼的转速，将数据显示或播放给操作者，可满足健身需求，具有体能测试的功能，娱乐性更强，提高全民身体素质。</t>
  </si>
  <si>
    <t>一种娱乐健身装置</t>
  </si>
  <si>
    <t>CN112263806A</t>
  </si>
  <si>
    <t>本发明公开了一种穿戴式跑步监测管理系统，用户可预先设定自己的跑步计划和跑步目标，在用户开始跑步时实时采集用户跑步的各项指标数据，并与用户预设的跑步计划和跑步任务进行比较，提示用户任务进展信息，同时，在用户开始跑步过程中实时采集用户的血压数据和心率数据，当用户血压数据或心率数据高于预设阈值时，进行语音报警提示，提醒用户停止锻炼并继续查看自己的血压和心率数据，若持续异常则需要即时就医，本发明利用物联网技术，实现了对用户跑步锻炼的综合管理，并可在用户出现危险时及时进行预警，保证用户跑步锻炼的安全性，具有良好的经济效益和发展前景。</t>
  </si>
  <si>
    <t>一种穿戴式跑步监测管理系统</t>
  </si>
  <si>
    <t>CN112487924A</t>
  </si>
  <si>
    <t>本发明公开一种基于深度学习技术从视频中判别人体意外摔倒的方法及装置。该方法利用深度学习模型提取人体的关键骨骼点，确定关键特征点在三维坐标系中的坐标，输出N*m*3矩阵，从每秒视频数据中抽取前后连续的k帧数据组成新矩阵N*k*m*3，计算新矩阵中每个人体的肩、肘、头、躯干以及膝的关键特征点的趋势向量以及相对位移，确定新矩阵中每个人体的躯干的中心点的坐标，计算新矩阵中每个人体的肩、肘、头以及膝的关键特征点相对于躯干的中心点的角动量偏移，计算角动量的加速度，判断新矩阵中每个人体是否符合预设的跌倒判定条件，如果符合则输出判定结果为人体产生跌倒，可以准确判断意外跌倒，不会将一般体育运动、表演等动作误判为人体跌倒。</t>
  </si>
  <si>
    <t>基于深度学习从视频中判别人体意外摔倒的方法及装置</t>
  </si>
  <si>
    <t>US11100753B1</t>
  </si>
  <si>
    <t>本发明是一种引擎,对于“进行中”或单人博彩游戏中的任何游戏,它都可以计算“基本赔率”(通过使用历史数据库挖掘计算)和至少一个赔率制定公式来计算赔率 现场赛事中单场比赛的至少一个结果,交叉至少两个不同的赔率制定公式以创建交叉赔率。 然后利用人工智能将交叉赔率与计算赔率的类似历史比赛的最终赔率相关联。 然后在比赛结果已知后利用机器学习将每个赔率制定公式产生的赔率与之前类似比赛计算出的最有利可图的赔率相关联。</t>
  </si>
  <si>
    <t>CN112396399A</t>
  </si>
  <si>
    <t>本发明提供一种基于自然语言处理技术的配网操作票拟票方法，获取现有配网操作票并构建数据库；根据自然语言处理技术构建票面合规性检查模型；根据数据库内的数据对票面合规性检查模型进行训练，并获取具体操作项的分词结果以及词性标注序列，根据分词结果以及词性标注序列构建规则库；将配电网当前操作票输入到票面合规性检查模型中，获取当前操作任务的分词结果以及词性标注序列；将当前操作任务的分词结果以及词性标注序列与规则库中的具体操作项的分词结果以及词性标注序列进行匹配对比，获得检查结果，可以实现对操作票的合规性进行自动检查，减轻工作人员劳动强度，提升工作效率，保证开票的准确性。</t>
  </si>
  <si>
    <t>基于自然语言处理技术的配网操作票拟票方法</t>
  </si>
  <si>
    <t>CN112508748A</t>
  </si>
  <si>
    <t>本发明公开了基于物联网和人脸识别的阳光体育系统；具体包括包括信息采集终端、终端管理模块、成绩管理模块和运动处方模块。其中信息采集终端包括主控模块、电源模块、人脸识别模块、无线网络模块、时控开关模块和读卡器模块；终端管理模块包括终端监测模块与路线配置模块；成绩管理模块包括成绩预览模块、批量修改模块和代刷名单模块。本发明基于物联网与人脸识别技术，实现数据自动采集、实时更新数据、运动强度监测、自动分析比对、运动处方实施和智能评估等功能，使阳光长跑活动管理精细化、学生锻炼自主化、健身指导科学化和健身效果最大化，可以用于群体性长跑活动智能管理，降低人力成本。</t>
  </si>
  <si>
    <t>基于物联网和人脸识别的阳光体育系统</t>
  </si>
  <si>
    <t>WO2021102417A1</t>
  </si>
  <si>
    <t>智能镜子系统通过人工智能 (AI) 技术收集和可视化用户的外观数据。 该系统使用各种传感器和多个摄像头来获取实时外观数据,同时用户在系统的镜子中观看。 通过使用人工智能,系统分析数据并创建用户的三维 (3D) 虚拟形象,随后将 3D 虚拟形象与测量数据一起投射到可折叠镜子镜面上的显示器上。 此外,该系统提供用户的锻炼姿势的图像/视频,同时显示教练的姿势以指导用户的学习。 此外,系统可以通过分析用户的当前服装并显示模拟的3D化身与建议的服装进行比较来提供服装建议。 所有数据和结果都安全地保存在系统中。 因此,该系统提供了一个多功能和创新的智能镜子。</t>
  </si>
  <si>
    <t>用于收集和可视化外貌信息的智能镜子系统</t>
  </si>
  <si>
    <t>US11270399B1</t>
  </si>
  <si>
    <t>使用 AI 显示来自投注应用程序的通知的方法可能会影响正常投注</t>
  </si>
  <si>
    <t>CN112434129A</t>
  </si>
  <si>
    <t>本发明公开了一种电网调度领域专业语料库生成方法，包括：对调控知识进行抽取，对抽取后的调控知识进行融合生成调度专业实体语料库；根据调度专业实体语料库和业务整体操作意图生成调度专业事件语料库，本发明构建了“通用语料集+调度专业语料集”的语料库，语料库包含了调控领域的专有名词表述，可以有效地支撑语音识别和调控语音交互的实现；在调控文本中抽取调度专业本体知识实体的准确率在95%以上，能够很好地支撑专业语料库的构建，效果远远好于现有的分词工具。将调控领域结构化、非结构化数据中的调度专业知识实体进行抽取，形成专业语料库。</t>
  </si>
  <si>
    <t>一种电网调度领域专业语料库生成方法及系统</t>
  </si>
  <si>
    <t>CN112446313A</t>
  </si>
  <si>
    <t>本发明涉及一种基于改进动态时间规整算法的排球动作识别方法，包括步骤如下：首先，获取排球运动的实时动作视频；其次，对动作视频进行姿态估计和目标检测处理，获取动作视频中人体关键点的时间序列与标准排球动作视频中人体各个关键点时间序列；最后，通过改进的动态时间规整算法进行对齐计算序列之间的距离，根据两者的序列距离来判断排球动作准确度。本发明解决了标准排球动作的判定，大大提高了效率，节省了大量的人力、物力和财力，也会减轻老师们的工作负担。实现方法简单，思路清晰，具有良好的经济价值，值得推广使用。本发明将人工智能领域的研究内容和实际排球考试相结合，实现技术落地应用，有利于推动产研结合及发展。</t>
  </si>
  <si>
    <t>一种基于改进动态时间规整算法的排球动作识别方法</t>
  </si>
  <si>
    <t>CN306694810S</t>
  </si>
  <si>
    <t>1.本外观设计产品的名称：带通讯娱乐图形用户界面的方向盘。
 2.本外观设计产品的用途：本外观设计产品用于控制被操控目标的方向。
 3.本外观设计产品的设计要点：在于屏幕中的图形用户界面。
 4.最能表明设计要点的图片或照片：主视图。
 5.产品的其他视图无设计要点，省略其他视图。
 6.图形用户界面的用途：用于通讯、娱乐及对被操控目标的空调、速度等进行控制调节。
 7.图形用户界面的人机交互方式：主视图中用户直接通过操作面板控制巡航速度调节及电话接入；主视图中滑动左侧操作面板到仪表推送状态界面，滑动右侧操作面板到多媒体操作界面，进入变化状态图1；主视图中滑动左侧操作面板到空调温度调节界面，滑动右侧操作面板到音量调节界面，进入变化状态图2；主视图中滑动左侧操作面板到微信操作界面，进入变化状态图3；主视图中滑动左侧、右侧操作面板到游戏操作界面，进入变化状态图9；变化状态图3中点击左侧操作面板“on”图标，进入变化状态图4；主视图中点击左侧操作面板“圆”（ADAS）图标，进入变化状态图5；变化状态图2中点击左侧操作面板“圆”（空调）图标和右侧操作面板“圆”（静音）图标，进入变化状态图6；变化状态图1中点击右侧操作面板“圆”（播放）图标，进入变化状态图7；变化状态图7中上下滑动右侧操作面板，进入变化状态图8（图标变亮）；变化状态图9中按压左、右侧操作面板，进入变化状态图10（图标变亮）。</t>
  </si>
  <si>
    <t>带通讯娱乐图形用户界面的方向盘</t>
  </si>
  <si>
    <t>CN306730621S</t>
  </si>
  <si>
    <t>1.本外观设计产品的名称：带播放选择图形用户界面的电视。
 2.本外观设计产品的用途：用于显示图像或视频。
 3.本外观设计产品的设计要点：在于图形用户界面。
 4.最能表明设计要点的图片或照片：主视图。
 5.无设计要点，故省略，省略除主视图外的其它正投影视图。
 6.图形用户界面的用途：用于提供不同的播放选择入口：主视图还提供近期热门赛事结果、观看预约入口和比赛行程表；界面使用状态图1包括轮播海报和轮播列表；界面使用状态图2包括轮播海报和文字通知；界面使用状态图3提供常用功能入口。
 7.图形用户界面在产品中的区域：在屏幕上显示。
 8.图形用户界面的人机交互方式：主视图焦点移动到VIP和专区图标分别进入界面使用状态图1和界面使用状态图2，焦点上移呼出界面使用状态图3；焦点高亮显示。</t>
  </si>
  <si>
    <t>带播放选择图形用户界面的电视</t>
  </si>
  <si>
    <t>US20220130200A1</t>
  </si>
  <si>
    <t>一种在特定时间窗口内对现场体育赛事的结果进行投注的系统。 系统根据历史数据估计时间窗口的持续时间。 然后窗口在估计的持续时间结束时或在投注主题已经发生或即将发生时关闭,使得用户不能对已经发生的结果下注。 时间窗的估计持续时间可以基于类似播放的统计平均值或者可以由基于人工智能的算法或模块来确定。</t>
  </si>
  <si>
    <t>US63116573P0</t>
  </si>
  <si>
    <t>基于比赛状态转换预测未来运动结果的机器学习系统</t>
  </si>
  <si>
    <t>KR1020220069355A</t>
  </si>
  <si>
    <t>本发明通过使用深度摄像头和人工智能技术分析用户的体型,不受时间和空间限制,提供最佳的运动指导服务,并通过提供实时视频讲座服务,实时反馈用户之间的联系。教练和多人参与,涉及一种可进行用户自定义体型管理的智能镜子,可实现1:1匹配运动或基于体型的分组匹配运动。</t>
  </si>
  <si>
    <t>可实现用户自定义体型管理的智能镜子</t>
  </si>
  <si>
    <t>KR102450432B1</t>
  </si>
  <si>
    <t>本发明涉及一种检测体育赛事的方法及其系统,包括以下步骤:获取特定体育赛事的图像数据; 获取与特定体育比赛图像相关的多个在线文本数据,其中在线文本数据包括作为关于何时生成在线文本数据的信息的写入时间和与在线文本数据的内容信息相关的写入内容; 使用使用运行集合学习的人工神经网络,其中在线文本数据中包括的写作时间和写作内容的分析结果被标记在与预先获取的多个体育赛事相关的图像数据中,多个它涉及一种生成运动精彩图像的方法,包括: 提取与由 的文本数据反映的至少一个体育赛事相关的体育赛事数据。</t>
  </si>
  <si>
    <t>检测体育赛事的方法和执行该方法的系统</t>
  </si>
  <si>
    <t>US20210248859A1</t>
  </si>
  <si>
    <t>一个涉及实时分析和收集生理数据的系统。 该系统允许用户通过收集球员的生理数据以创建历史数据库来预测和投注球员在尚未发生的比赛过程中的行动。 利用算法,可以使用使用人工智能或机器学习收集的各种生理数据来提高投注赔率。 该算法可以通过玩家的生理数据确定游戏的结果,并且这些潜在结果为投注平台提供额外的数据,以向其用户提供改进的投注赔率。</t>
  </si>
  <si>
    <t>基于生理数据的赔率</t>
  </si>
  <si>
    <t>KR102416987B1</t>
  </si>
  <si>
    <t>本发明涉及一种能够通过使用安装在健身中心的多个摄像头分析输入图像来向用户提供定制的健身指导信息的技术。根据本发明的实施例,健身服务器包括多个信息采集单元,使用摄像头采集与用户相关的图像信息,对采集到的图像信息进行机器学习,以识别用户的身份信息、动作信息、运动信息和面部表情信息中的至少一种,并进行识别和人工智能处理单元基于生成的至少一条信息生成交通引导信息和乘车信息,以及反馈信息提供单元,将生成的交通引导信息和乘车信息提供给用户终端。</t>
  </si>
  <si>
    <t>利用人脸识别和动作识别的智能虚拟健身系统及其运行方法</t>
  </si>
  <si>
    <t>IN202011050066A</t>
  </si>
  <si>
    <t>本发明涉及一种用于监测和存储锻炼和健康数据以及在显示设备的屏幕上显示评估结果的系统和方法。 所公开的系统包括云上的人工智能技术,用于监控和存储锻炼和健康数据以及在显示设备的屏幕上显示评估结果。 具体地,智能运动机具有多个传感器,用于监测用户正在进行的锻炼,并用于利用实时数据评估用户之前的健身数据,并基于评估数据推荐锻炼模块。</t>
  </si>
  <si>
    <t>一种用于监控用户锻炼的系统和方法</t>
  </si>
  <si>
    <t>KR102263840B1</t>
  </si>
  <si>
    <t>本发明正是考虑到了这个问题,本发明采用AI(人工智能)技术,通过将运动图像与用户的身体状况和期望的运动相匹配,来显示适合用户的运动图像(基于智能)的健身方案显示装置和方法, 身体信息采集部 用户身体成分分析(身体水分、蛋白质、矿物质、体脂)数据、骨骼肌脂肪分析(体重、骨骼肌量、体脂量)数据、肥胖分析(BMI(Body Mass Index)、体脂率)数据来自智能体测仪,采集各部位的肌肉和体脂数据。 身体成分信息收集单元; 输入有关用户偏好的锻炼类型、近期锻炼历史和锻炼强度的信息 用户信息输入单元; 并输入与用户以前患有的基础疾病和过敏反应以及应避免或不吃的食物有关的信息 用户诊断信息采集单元; 包括</t>
  </si>
  <si>
    <t>基于Ai(人工智能)的健身方案展示装置及方法</t>
  </si>
  <si>
    <t>KR102342133B1</t>
  </si>
  <si>
    <t>在本发明中,将沸石粉碎加工至一定标准并烧成后,清洗、干燥,并在表面涂上光催化剂数次,制成光触媒球过滤器,安装在室内或室外的各种设施中,以去除空气中的微细粉尘和各种细菌以及预防传染病的病毒杀菌净化系统,其配置为通过杀菌致病病毒和去除异味以及杀菌水中含有的微生物或各种细菌和病毒来提供最佳的空气和水。经粉碎加工、烧制、洗涤、干燥,表面多次涂敷光触媒,制成光触媒滤球,用于公寓、住宅、写字楼、商场、学校、办公室、室内体育馆、医院、酒店、工厂、物流仓库等场所,对百货公司、市场、谷仓、电梯、船舶等场所的细尘、各种病菌和致病病毒、有害化学物质、氡气和二氧化碳增多的污染物进行净化、去除和杀菌、地铁、公交车,配备人体运动检测传感器、微尘传感器、氡气传感器、二氧化碳传感器,以及自动检测气体和烟雾浓度、温湿度等的人工智能传感器,自动运行,可远程管理,积累各种数据,实时反映,对用水的各种设施中含有的微生物、各种细菌和各种病毒进行杀菌,去除水中的杂质,具有提供最佳水质的效果气味。</t>
  </si>
  <si>
    <t>预防传染病的病毒杀菌净化系统</t>
  </si>
  <si>
    <t>CN112308013B</t>
  </si>
  <si>
    <t>本发明公开了一种基于深度学习的足球球员追踪方法，涉及人工智能技术领域。该方法在使用原有的孪生区域选择网络的基础上，进行了改进，使用ResNet‑50网络替换原有的A lexNet网络作为特征提取网络，并修改了锚点的大小和宽高比对该孪生区域选择网络重新训练，在一定程度上提高了对球员的追踪精度和速度。除此之外，该方法还引入了Python实现的前端界面、路径判断和视频帧截取模块两个部分，提高了使用体验。</t>
  </si>
  <si>
    <t>一种基于深度学习的足球球员追踪方法</t>
  </si>
  <si>
    <t>CN306570429S</t>
  </si>
  <si>
    <t>1.本外观设计产品的名称：带进程显示图形用户界面的显示屏幕面板。
 2.本外观设计产品的用途：本外观设计的显示屏幕面板用于电脑、电视、平板、手机或智能手表上显示图形用户界面。
 3.本外观设计产品的设计要点：在于图形用户界面。
 4.最能表明设计要点的图片或照片：设计1主视图。
 5.指定设计1为基本设计。
 6.图形用户界面的用途：界面用于在团队比赛时显示时间和各个团队的排名情况。
 7.图形用户界面的人机交互方式：各设计中，主视图是显示屏幕面板的主界面，用户上下滑动主界面中部的时间牌，可以调整显示的时间数值。
 8.设计4‑设计6请求保护的外观设计包含色彩。</t>
  </si>
  <si>
    <t>CN213532630U</t>
  </si>
  <si>
    <t>本实用新型公开了一种机器人的关节驱动装置，涉及智能机器人技术领域，包括下臂，所述下臂侧壁通过关节轴轴承活动连接有关节轴，所述关节轴外侧壁固定连接有关节轴齿轮和上臂，所述下臂侧壁通过直线轴承和固定套轴承分别活动连接有变速轴和变速轴固定套，所述变速轴外侧壁固定连接有变速轴齿轮和变速斜齿轮组。本实用新型通过设置由三个斜齿圆柱齿轮组成的变速斜齿轮组，使得主轴斜齿圆柱齿轮可以通过电动升降台自由改变与之啮合的齿轮，使得变速轴可以用三种不同的转速进行转动，进而控制关节轴实现变速转动，达到了适应机器人走路和跑步等不同工况下对关节处转速的不同要求的目的。</t>
  </si>
  <si>
    <t>一种机器人的关节驱动装置</t>
  </si>
  <si>
    <t>CN112364785B</t>
  </si>
  <si>
    <t>本申请实施例提供了一种运动训练指导方法、装置、设备及计算机存储介质，方法包括：获取运动员视频图像；识别所述视频图像中运动员的关节关键点，并得到运动员运动时的关节关键点数据；根据肌肉发力邻接矩阵模型，由所述关节关键点数据得到对应的运动员肌肉点发力数据；将所述运动员肌肉点发力数据与标准动作肌肉点发力数据进行对比得到对比结果，根据所述对比结果提供运动训练指导。根据本申请提供的实施例，通过识别运动员的关节关键点，利用肌肉发力邻接矩阵模型根据骨骼关键点变化得到运动员的肌肉发力数据，并与标准动作的肌肉发力量进行对比，得到肌肉发力建议和锻炼建议。</t>
  </si>
  <si>
    <t>一种运动训练指导方法、装置、设备及计算机存储介质</t>
  </si>
  <si>
    <t>CN112370746A</t>
  </si>
  <si>
    <t>本发明涉及一种智能健身负载控制系统，特别是一种基于在线自适应预测神经网络的智能健身负载控制系统，包括：静态训练推荐智能系统，根据训练者的静态生理指标、需要的健身级别和训练目的制定符合训练者需求的训练强度，控制训练负载强度目标的生成；动态训练调节智能系统，在训练的过程中检测训练者的动态生理信号，根据训练者出现的异常动态生理信号实时动态的调整训练者的训练负载。本发明解决了“智能训练系统根据评价指标自适应的调整训练者的训练量”的技术问题，训练结果能够最大化的适应训练者自身，全程监控训练者的身体健康。</t>
  </si>
  <si>
    <t>基于在线自适应预测神经网络的智能健身负载控制系统</t>
  </si>
  <si>
    <t>KR102315018B1</t>
  </si>
  <si>
    <t>本发明涉及一种利用人工智能技术的台球击球训练系统,要解决的任务是利用惯性传感器采集球杆的运动跟踪数据,基于人工智能技术对用户的击球进行比较分析,并基于这是为了提供中风教练信息。 
  举例来说,台球台球台上装卸的运动追踪单元,通过台球台的击球来追踪运动,并产生运动追踪数据; 应用单元,安装在移动通信终端中,向外部接收和发送运动跟踪数据,并从外部接收和提供基于运动跟踪数据的击球数据,以及根据击球数据的教练数据; 为运动跟踪数据生成击球数据,基于预先构建的机器学习算法分析运动跟踪数据以生成教练数据,并将生成的击球数据和教练数据传输至应用单元。训练系统采用人工智能技术,包括一个服务器单元来提供。</t>
  </si>
  <si>
    <t>使用人工智能技术的台球击球训练系统</t>
  </si>
  <si>
    <t>US63112856P0</t>
  </si>
  <si>
    <t>使用机器学习自动控制跑步机</t>
  </si>
  <si>
    <t>AU2020103374A4</t>
  </si>
  <si>
    <t>交通噪声随着使用车辆的人口的增加而增加。 交通噪声不仅会给人带来恼怒和压力,还会造成健康缺陷。 因此需要检测移动的交通噪声。 通过将声音计麦克风与移动噪声监测、strava 智能设备相结合,收集与交通噪声相关的数据。 声音计麦克风从道路地图或任何其他车辆路线中的交通路线捕获噪音。 移动噪音监测在跑步和骑自行车时收集 GPS 位置。 数据的空间尺度监测由暗夜应用程序编程接口执行。 地图匹配算法处理后的数据通过网关接口存储在云端。 机器学习算法,采用穷举搜索的回归方法,用于测量移动交通噪声并进行预测。 预测结果在智能设备显示屏中可视化,以便采取必要的预防措施来降低噪音。 1 P a g 使用机器学习算法的移动交通噪声测量和预测方法图纸 SOUNDMOBILE 噪声计量监测空间尺度监测数据 黑暗天空 A PT 数据处理 地图匹配算法 网关 云机器学习算法 回归分析 智能算法 1. B 智能搜索 页</t>
  </si>
  <si>
    <t>使用机器学习算法的移动交通噪声测量和预测方法</t>
  </si>
  <si>
    <t>CN112632743A</t>
  </si>
  <si>
    <t>本申请公开了一种教练机后机身流程优化方法及装置。所述教练机后机身流程优化方法包括：获取教练机后机身的结构设计矩阵；对设计结构矩阵进行编码，为设计矩阵中的设计元素进行多次随机编码组合，每次随机编码组合生成一个初始种群，每个初始种群代表一个聚类方案；通过遗传算法对初始种群进行处理，从而获取符合遗传算法设定条件的聚类方案作为最优聚类方案；根据最优聚类方案生成最优结构设计矩阵，最优结构设计矩阵包括依照聚类方案进行排列的设计元素以及各设计元素与其他设计元素的关联度信息。采用本申请的教练机后机身流程优化方法及装置能够加强聚类内部的信息交互，减弱聚类间的信息交互，并且有效降低了信息反馈频次，提高研发效率。</t>
  </si>
  <si>
    <t>一种教练机后机身流程优化方法及装置</t>
  </si>
  <si>
    <t>CN112381376A</t>
  </si>
  <si>
    <t>本申请提供了一种驾驶能力过程性评价的方法及装置，用于降低驾校教练的教学工作量，提高对驾校学员的培训质量。本申请方法包括：获取目标驾驶人员的驾驶行为；通过神经网络训练生成的驾驶能力评估模型评估所述驾驶行为，生成驾驶行为数据；载入驾驶能力评估体系，所述驾驶能力评估体系用于评估所述驾驶行为数据；对比所述驾驶行为数据和所述驾驶能力评估体系，生成所述驾驶行为数据的评价结果。</t>
  </si>
  <si>
    <t>一种驾驶能力过程性评价的方法及装置</t>
  </si>
  <si>
    <t>US63111792P0</t>
  </si>
  <si>
    <t>人工智能体育博彩算法引擎</t>
  </si>
  <si>
    <t>CN112337074A</t>
  </si>
  <si>
    <t>基于雷达循迹捕捉落球点的羽毛球运动水平测试评分系统，发球机(1)位于羽毛球标准场地(5)上球网(51)的一侧半场上，一组雷达(2)分布设置在羽毛球标准场地(5)周界上，在羽毛球标准场地(5)上方设置摄像头(3)，发球机(1)、雷达(2)、摄像头(3)与系统主机(4)连接，摄像头(3)通过图像识别羽毛球，雷达(2)每秒反馈坐标发送到系统主机(4)计分终端，终端根据摄像头(3)的图像识别给出确认字符，在坐标面上画出羽毛球的轨迹点，把坐标信号发送到系统主机(4)，能精确捕捉到落球点，从而经济快捷实现羽毛球不同等级计分，用于辅助解决羽毛球教学中简便快捷记录羽毛球飞行轨迹和结合落点准确计分的技术问题。</t>
  </si>
  <si>
    <t>基于雷达循迹捕捉落球点的羽毛球运动水平测试评分系统</t>
  </si>
  <si>
    <t>CN213823403U</t>
  </si>
  <si>
    <t>基于雷达循迹捕捉落球点的羽毛球运动水平测试评分设备，七个一组的摄像头(3)组成摄像阵列，分别安装在羽毛球标准场地(5)的球网(51)两端边柱上端、两侧半场底线两端、以及羽毛球标准场地(5)上方；每二个雷达(2)为一组对角设置形成一个网格检测面，摄像头(3)通过图像识别羽毛球，雷达(2)每秒反馈坐标发送到系统主机(4)计分终端，终端根据摄像头(3)的图像识别给出确认字符，在坐标面上画出羽毛球的轨迹点，把坐标信号发送到系统主机(4)，能精确捕捉到落球点，从而经济快捷实现羽毛球不同等级计分，用于辅助解决羽毛球教学中简便快捷记录羽毛球飞行轨迹和结合落点准确计分的技术问题。</t>
  </si>
  <si>
    <t>基于雷达循迹捕捉落球点的羽毛球运动水平测试评分设备</t>
  </si>
  <si>
    <t>CN213466730U</t>
  </si>
  <si>
    <t>一种基于物联网控制的足球桌，其结构包括桌体，桌体上间隔贯穿有多根操作杆，桌体中部嵌有智能出球装置，智能出球装置包括装置外壳、推块、输球管，装置外壳为筒状结构，装置外壳中部设有活动槽，推块滑动配入活动槽内，活动槽底部设有电动气缸，电动气缸端部传动连接有伸缩杆，伸缩杆与推块底部相接，输球管水平设于装置外壳一侧，装置外壳底部设有控制电动气缸运转的控制面板，输球管内滑动设有推板，推板与输球管底部之间设有弹簧，推板上端透出输球管外，在足球桌在设有自动出球的结构，有效的提高娱乐性，以及便利性。</t>
  </si>
  <si>
    <t>一种基于物联网控制的足球桌</t>
  </si>
  <si>
    <t>KR1020220062180A</t>
  </si>
  <si>
    <t>与本发明的示例相关的多个终端; 以及与多个终端通信的服务器;在包括摄像头的基于人工智能和大数据的钓鱼比赛操作系统中,多个终端分别拍摄目标鱼和用于计算目标鱼长度的参考体。 . ; 通信单元,用于将所述多个终端中的每一个的位置信息和所述摄像头拍摄的图像信息发送给所述服务器,其中所述服务器使用接收到的图像信息确定目标词的实际长度,根据所述图像信息确定排名信息目标词的实际长度,将确定的排名信息发送给多个终端,服务器确定图像信息中包含的参考物体的长度与参考物体的实际长度的比值,计算确定实际的参考物体长度。利用图像信息中包含的目标词的长度和比例获取目标词的长度,服务器在多个终端上执行预定应用的状态下获取图像信息目标词的实际长度仅当同时满足将多个终端的用户拍摄的目标词和附加图像发送到服务器的第一条件和第二条件时,才可以确定。</t>
  </si>
  <si>
    <t>具备物联网垂钓信息采集功能的人工智能与大数据垂钓竞赛操作系统</t>
  </si>
  <si>
    <t>KR1020220062181A</t>
  </si>
  <si>
    <t>与本发明的示例相关的多个终端; 以及一种与多个终端通信的服务器; 在一种基于人工智能和大数据的钓鱼比赛操作系统的运行方法中, 其中, 多个终端的每个摄像头设置目标鱼和用于计算目标鱼长度的参考体。目标鱼。一起拍摄的第一步; 第二步,通过所述多个终端中的每一个的通信单元,将所述多个终端中的每一个的位置信息和摄像头拍摄的图像信息发送给服务器; 第三步,服务器根据接收到的图像信息确定目标词的实际长度; 第四步,服务器根据目标词的实际长度确定排名信息。 第五步,服务器将确定的排名信息发送给多个终端。 第四步,服务器计算图片信息包含的参照物的长度与参照物的实际长度的比值,计算图片信息包含的目标词的长度与该比值的比值第四步,服务器根据第一条件和多个终端的用户确定目标词的实际长度,以在多个终端上执行预定应用的状态下获取图像信息。只有满足向服务器发送目标词和捕获的附加图像的第二条件时,才可以确定目标词的实际长度。</t>
  </si>
  <si>
    <t>一种具备物联网钓鱼信息采集功能的基于人工智能和大数据的钓鱼比赛运营方法</t>
  </si>
  <si>
    <t>KR1020220062154A</t>
  </si>
  <si>
    <t>本发明通过在健身中心现场为每个运动器材区域安装蓝牙信标来检测用户的运动位置,并通过无线网络将用户的运动类型和时间信息传输到kiosk主PC通信,以提供个人运动信息和系统以及基于人工智能数据集学习过程推荐定制健康饮食的方法。 本发明实施例根据用户的个人运动量和类型构建生鲜匹配推导流程,应用大数据和深度学习算法系统,为用户提供定制化的养生内容推荐服务。 将处理后的用户定制化饮食和运动内容传输到用户的智能移动设备、可穿戴设备和各种物联网设备,让用户可以方便快捷地接受服务,实现即买即买的功能。</t>
  </si>
  <si>
    <t>一种通过运动类型和量分析以及个人生活方式分析进行健康管理方法推演的装置和方法</t>
  </si>
  <si>
    <t>IN202041048515A</t>
  </si>
  <si>
    <t>由于电晕大流行,热扫描现已成为日常生活的一部分。 目前在热扫描中存在人机交互。 因此,如果操作员被感染,则有可能从操作员那里传播病毒。 为了克服这个问题,提出了带有卫生系统的自动热扫描系统。 在这个建议的模型中,借助 ardunio 和温度测量传感器以及步进电机、LCD 和蜂鸣器,测量人体温度并保持卫生(卫生)。 当温度传感器感应到人体温度并将数据发送到 Arduino 时。 Arduino 将处理数据并与阈值数据进行比较。 温度读数将显示在 LCD 屏幕上,如果温度超过阈值,蜂鸣器将打开。 在人与人交互之后,传感模块被消毒单元消毒。 此外,该系统还可用于各种场所,如工业、学校、大学的入口,以及大型集会场所,如活动场所、夜总会、咖啡馆、酒店、餐厅、剧院、健身房等。 有了这个,我们可以轻松地消除人与人之间的互动,也不必担心在手动测量温度(热筛查)时病毒在人与人之间传播。</t>
  </si>
  <si>
    <t>体温自动读取系统</t>
  </si>
  <si>
    <t>US11676443B2</t>
  </si>
  <si>
    <t>一种系统和方法,用于通过将潜在比赛结果与实况视频叠加并根据实际比赛结果的视频分析调整潜在结果的显示来利用视频分析来增强比赛中的体育博彩。</t>
  </si>
  <si>
    <t>在投注中使用视频和人工智能的方法</t>
  </si>
  <si>
    <t>CN112245893A</t>
  </si>
  <si>
    <t>本发明公开了一种测量乒乓球旋转速度的方法及其装置，包括：构建坐标系，设置图像采集范围，采集图像；识别乒乓球的标记，获取标记的主方向；计算主方向与坐标系x轴的夹角α；获取时间间隔T后的图像中的乒乓球的标记的主方向与坐标系x轴的夹角β；根据夹角α与夹角β的角度差，获取乒乓球的旋转方向；根据角度差与时间间隔T，计算乒乓球的旋转速度ω。根据本发明通过设置图像采集范围以分析小范围图像中乒乓球的特征，解决了传统高速视觉领域传输数据量大，速度慢的缺点，保证可以在极短的时间内计算出乒乓球的旋转速度。</t>
  </si>
  <si>
    <t>一种测量乒乓球旋转速度的方法及其装置</t>
  </si>
  <si>
    <t>CN213522152U</t>
  </si>
  <si>
    <t>本实用新型提供了一种具有双摄像头的交互装置，包括镜面装置本体，还包括第一摄像头、第二摄像头、检测装置以及处理器。第一摄像头和第二摄像头设置于镜面装置本体上并关于镜面装置本体的中心对称设置。通过以上设置方式，可以做到优化摄像视角，对人体不同角度的图像进行采集，呈现最好的视觉范围。并且，该装置可以通过与人机交互装置各装置的连接，即可完成动作捕捉、模拟运动、判断角度等功能。在健身行业中，使用者可通过对比屏幕或镜面屏所生成的个人动作图像与屏幕或镜面屏播放的教学动作的差异进行调整，从而快速掌握正确健身动作。</t>
  </si>
  <si>
    <t>具有双摄像头的交互装置</t>
  </si>
  <si>
    <t>US11478716B1</t>
  </si>
  <si>
    <t>本主题技术的各个方面涉及用于确定视频游戏的玩家技能的系统、方法和机器可读介质。 该方法包括聚合来自多个视频游戏的比赛结果的多个玩家统计数据。 该方法还包括为玩家池中的每个玩家基于多个玩家统计数据计算每个玩家的匹配评级,每个玩家的匹配评级包括每个玩家将为比赛贡献的预测点数。 该方法还包括基于每个玩家的匹配等级从玩家池中选择玩家。 该方法还包括基于每个玩家的匹配等级匹配玩家,匹配等级的总和包括比赛的总预测球队得分。</t>
  </si>
  <si>
    <t>用于数据驱动技能估计的深度学习</t>
  </si>
  <si>
    <t>CN112364212A</t>
  </si>
  <si>
    <t>本发明公开了一种基于近似音识别的语音人名识别方法，其具体操作流程包含以下步骤：A、用户语音命令输入；B、平台语音转初始人名拼音；C、初始人名拼音后台查询；D、组织机构人名转拼音；E、提供备选人名列表；F、用户主动选择确认，本方法是对人员名称进行拼音转换，并根据人名文字个数和文字的首字母A‑Z进行排序处理，在正则匹配时就能极大概率抽取人名拼音，通过拼音声母、韵母的容错映射，在一定基础上又增加了识别率，且对市面上语音识别的产品进行技术上的补充，除了能匹配模糊语句，还能将文字中的多个人员名称进行抽取，大大提高了识别效率。</t>
  </si>
  <si>
    <t>一种基于近似音识别的语音人名识别方法</t>
  </si>
  <si>
    <t>CN112420027A</t>
  </si>
  <si>
    <t>本发明公开了一种基于对口语化时间段语音识别率提升方法，其具体操作流程包含以下步骤：A、规范输入目的性语音信息；B、正则提取时间文字；C、将提取出的关键时间文字转数字格式；D、判断是否有连接文字或分割符；E、结合上下文日期嗅探补全；F、规范显示目的性信息，利用了时间格式文字数量有限性的特征，通过正则模板将时间文字提取，而无需通过穷举去增加语料库；实现了两个时间的连接识别，适配了用户输入时间段的需求；通过用户输入的文本上下文嗅探出用户输入的时间段中隐含的日期语句；将用户语误的情况进行了适当处理，避免了客观不存在的时间段格式，提升用户智能效果的体验。</t>
  </si>
  <si>
    <t>一种基于对口语化时间段语音识别率提升方法</t>
  </si>
  <si>
    <t>CN306422807S</t>
  </si>
  <si>
    <t>1.本外观设计产品的名称：用于显示屏幕面板的斗歌互动图形用户界面。
 2.本外观设计产品的用途：用于显示信息。
 3.本外观设计产品的设计要点：在于屏幕中的图形用户界面。
 4.最能表明设计要点的图片或照片：设计1主视图。
 5.指定设计1为基本设计。
 6.图形用户界面的用途：本外观设计图形用户界面为显示屏幕面板的斗歌互动图形用户界面，图形用户界面用于为用户提供和对手进行歌曲PK演唱的操作及展示评分信息等。
 7.图形用户界面的人机交互方式：在设计1至设计3主视图为斗歌比赛开始界面，双方开始交替演唱，每方唱完展示实时评分，呈现主视图至界面变化状态图15的界面变化。
 比赛结束进入到结果页，并进一步展示比赛结果信息，呈现界面变化状态图15至界面变化状态图17的界面变化。
 在设计4和设计5主视图为斗歌比赛开始界面，双方开始交替演唱，每方唱完展示实时评分，比赛中途有队友或对手离开，所离开的队友或对手得分为零，比赛继续，呈现主视图至界面变化状态图11的界面变化。
 比赛结束进入到结果页，并进一步展示比赛结果信息，呈现界面变化状态图11界面变化状态图13的界面变化。
 在设计6主视图为斗歌比赛开始界面，双方开始交替演唱，每方唱完展示实时评分，当比赛中途队友、对手都离开时，比赛结束，判定用户方为赢，并展示比赛结果信息，呈现主视图至界面变化状态图5的界面变化。
 8.该显示屏幕面板可用于手机，计算机，平板电脑，车载中控屏幕，智能电视。</t>
  </si>
  <si>
    <t>用于显示屏幕面板的斗歌互动图形用户界面</t>
  </si>
  <si>
    <t>EP3816854A1</t>
  </si>
  <si>
    <t>本发明的主题尤其是一种改进的盆地管理系统。 在从至少一个源接收到数据之后,该源包括代表盆地及其环境的至少一个图像源,处理所接收的数据,处理后的数据包括图像源的至少一个图像,该处理是在经过训练以识别签名的人工智能模块中进行。 识别的签名在专家系统中被处理以确定游泳池的至少一个参数的修改。</t>
  </si>
  <si>
    <t>用于监测游泳池的改进方法和装置</t>
  </si>
  <si>
    <t>WO2021092092A9</t>
  </si>
  <si>
    <t>本文描述了用于保护隐私的无监督学习的系统和技术。 所公开的系统和方法可以使由单独实体操作的单独计算机能够基于它们各自的数据池共同执行无监督学习,同时保护隐私。 该系统提高了效率和可扩展性,同时保护隐私并避免泄露集群标识。 该系统可以通过基于 N 中 1 不经意传输 (OT) 的来自计算机的各个数据值 x 和 y 的隐私保护乘法来联合计算安全距离。 在各种实施例中,N可以是2、4或一些其他数量的份额。 第一台计算机可以用基数 N 表示其数据值 x。 第二台计算机可以形成一个 l x N 矩阵,包括 l 个随机数 nu, o 和其余元素 mi,o=(yjN i -mi,o) mod N l 。 第一台计算机可以接收来自 OT 的输出向量,其分量为 mi = (yxi N i- mi,o) mod N l 。</t>
  </si>
  <si>
    <t>CN112364140B</t>
  </si>
  <si>
    <t>本发明公开了一种通过配置单实现语音识别意图定制的方法，其具体操作流程包含以下步骤：A、预备应用场景数据；B、配置智能应用脚本文件；C、场景关键元素的排列组合；D、接入用户自身关键业务元素；E、业务数据智能更新维护，将日常人们用语中涉及到的人、物、时间、地点、事件等元素，通过开发工具对元素进行排列组合穷举，形成模板文件，当业务场景涉及到以上元素时，只需要套模板，就可以生成对话模板，封装了第三方平台API，并设计简单规则，解析脚本文件，打通了用户业务场景、本地系统和第三方AI辅助平台的数据链路，保证了用户用简单的方式就能对智能应用进行增删改等能力。</t>
  </si>
  <si>
    <t>一种通过配置单实现语音识别意图定制的方法</t>
  </si>
  <si>
    <t>SG11202203263QA</t>
  </si>
  <si>
    <t>双服务器隐私保护集群</t>
  </si>
  <si>
    <t>EP4055534A4</t>
  </si>
  <si>
    <t>CN114730389B</t>
  </si>
  <si>
    <t>本文描述了用于隐私保护无监督学习的系统和技术。所公开的系统和方法可以使得由单独实体操作的单独计算机能够基于其相应数据池而联合执行无监督学习，同时保护隐私。所述系统能提高效率和可扩展性，同时保护隐私并避免泄漏集群标识。所述系统可以基于N取1不经意传输(OT)经由来自所述计算机的相应数据值x和y的隐私保护乘法联合计算安全距离。在各种实施例中，N可以是2、4或一些其它数目的共享数。第一计算机可以用基数N表达其数据值x。第二计算机可形成包括l个随机数nu、o和剩余元素&amp;lt;Image file="DDA0003627389770000011.GIF" he="117" imgContent="drawing" imgFormat="GIF" inline="yes" orientation="portrait" wi="682"/&amp;gt;的lxN矩阵。所述第一计算机可以从所述OT接收具有分量&amp;lt;Image file="DDA0003627389770000012.GIF" he="119" imgContent="drawing" imgFormat="GIF" inline="yes" orientation="portrait" wi="682"/&amp;gt;的输出向量。</t>
  </si>
  <si>
    <t>用于隐私保护无监督学习的系统和方法</t>
  </si>
  <si>
    <t>CN116756602A</t>
  </si>
  <si>
    <t>本文描述了用于隐私保护无监督学习的系统和技术。所公开的系统和方法可以使得由单独实体操作的单独计算机能够基于其相应数据池而联合执行无监督学习，同时保护隐私。所述系统能提高效率和可扩展性，同时保护隐私并避免泄漏集群标识。所述系统可以基于N取1不经意传输(OT)经由来自所述计算机的相应数据值x和y的隐私保护乘法联合计算安全距离。在各种实施例中，N可以是2、4或一些其它数目的共享数。第一计算机可以用基数N表达其数据值x。第二计算机可形成包括l个随机数nu、o和剩余元素mi，o＝(yjN&amp;lt;supgt;i&amp;lt;/supgt;‑mi，o)mod&amp;nbsp;N&amp;lt;supgt;l&amp;lt;/supgt;的lxN矩阵。所述第一计算机可以从所述OT接收具有分量mi＝(yxi&amp;nbsp;N&amp;lt;supgt;i&amp;lt;/supgt;‑mi，o)mod&amp;nbsp;N&amp;lt;supgt;l&amp;lt;/supgt;的输出向量。</t>
  </si>
  <si>
    <t>CN306451397S</t>
  </si>
  <si>
    <t>1.本外观设计产品的名称：显示屏幕面板的动态直播互动图形用户界面。
 2.本外观设计产品的用途：用于运行软件，该显示屏幕用于手机、平板电脑、跑步机、椭圆机、动感单车、划船机、登山机、健身车。
 3.本外观设计产品的设计要点：在于屏幕中显示的软件图形用户界面。
 4.最能表明设计要点的图片或照片：主视图。
 5.其他视图无设计要点，省略其他视图。
 6.图形用户界面的用途：本外观设计是用于用户运动时进行直播互动的图形用户界面。
 7.图形用户界面的人机交互方式：主视图或界面变化状态图1为提示用户挑战的显示界面，点击主视图或界面变化状态图1中下方按钮则显示界面变化状态图2或界面变化状态图3；或当主视图或界面变化状态图1中预设显示时长结束也可显示界面变化状态图2或界面变化状态图3；当界面变化状态图2或界面变化状态图3右下方挑战进度的进程完成时则显示界面变化状态图4；点击界面变化状态图2或界面变化状态图3右下方的展示在线人数、挑战进度的进程区域或预设显示时长结束则显示界面变化状态图5或界面变化状态图6；当界面变化状态图5或界面变化状态图6右侧挑战进度的进程完成时则显示界面变化状态图7或界面变化状态图8；点击界面变化状态图4右下方的展示在线人数、挑战进度的进程区域或预设显示时长结束则直接显示界面变化状态图7或界面变化状态图8。</t>
  </si>
  <si>
    <t>显示屏幕面板的动态直播互动图形用户界面</t>
  </si>
  <si>
    <t>CN112269567B</t>
  </si>
  <si>
    <t>本发明公开了一种跨语言机器学习方法及系统，应用于以web服务的形式形成的机器学习平台，根据机器学习算法的各算法流程，生成算法流程图框架；根据各算法流程各自对应的具体操作步骤，一一为算法流程图框架上的各流程节点配置相应的算法描述；遍历算法流程图框架上的各流程节点，生成节点执行顺序，并按照节点执行顺序分别将各流程节点配置的算法描述自主翻译成python代码，得到用python代码表示的机器学习算法，以利用此机器学习算法实现机器学习。可见，本申请既能让web服务系统选择最常用的java语言，又能让机器学习算法的实现使用python语言，从而发挥了两种语言的生态优势。</t>
  </si>
  <si>
    <t>一种跨语言机器学习方法及系统</t>
  </si>
  <si>
    <t>CN306461107S</t>
  </si>
  <si>
    <t>1.本外观设计产品的名称：带球队赛事日历图形用户界面的显示屏幕面板。
 2.本外观设计产品的用途：本外观设计产品用于运行程序、显示信息和/或通讯。
 3.本外观设计产品的设计要点：在于显示屏幕面板中显示的图形用户界面内容。
 4.最能表明设计要点的图片或照片：主视图。
 5.不涉及设计要点，省略左视图；不涉及设计要点，省略右视图；不涉及设计要点，省略俯视图；不涉及设计要点，省略仰视图；不涉及设计要点，省略后视图。
 6.图形用户界面的用途：显示屏幕面板的图形用户界面显示为用于查看球队赛事日历查找赛事详情的交互界面，所述显示屏幕面板用于手机、平板电脑、电视、电脑；7.图形用户界面在产品中的区域：显示屏幕面板中的界面；8.图形用户界面的人机交互方式：主视图显示为球队赛事日历的主界面，界面上包括日历详情和球队的比赛日期，日期当天的对战球队图标；变化状态图为在主视图中点击对战球队图标或赛事日期后所显示的变化图，界面上部显示对战球队双方队名和比赛比分，下部显示本场阵容，包括球员姓名、位置、球衣号等信息。
 本外观设计附着于显示屏幕面板，所述显示屏幕面板可用于手机、智能面板、智能手表和平板电脑。</t>
  </si>
  <si>
    <t>带球队赛事日历图形用户界面的显示屏幕面板</t>
  </si>
  <si>
    <t>CN306479674S</t>
  </si>
  <si>
    <t>1.本外观设计产品的名称：显示屏幕面板的渗透比赛图形用户界面。
 2.本外观设计产品的用途：用于显示信息。
 该显示屏幕面板用于电脑或平板显示屏。
 3.本外观设计产品的设计要点：在于屏幕中的图形用户界面内容，包括元素布局、图案和交互方式等。
 4.最能表明设计要点的图片或照片：主视图。
 5.不涉及设计要点，省略后视图、左视图、右视图、俯视图、仰视图。
 6.图形用户界面的用途：用于企业参加渗透赛比赛，进行攻防模拟配置和比赛信息展示。
 7.图形用户界面的人机交互方式：主视图为平台登录后的图形界面，顶部有导航栏、大赛名称以及登录用户信息；中间区域是战队名称LOGO、所得分数与倒计时、以及此次比赛的图形场景状态。
 在主视图中点击“场景描述”，进入界面变化状态图1，界面变化状态图1描述了此次比赛的介绍；在主视图中点击“工具箱”，进入界面变化状态图2，界面变化状态图2以卡片形式展现，每个卡片中显示工具名称、时间以及类别；点击界面变化状态图2中的具体工具卡片可进入界面变化状态图3查看具体说明；在主视图中点击“上传”，进入到界面变化状态图4，界面变化状态图4中展现表格、以及相关功能按钮。
 界面中的叉号代表文字或数字，界面中的比赛、战队等名称、以及时间、描述性内容仅用于指明内容所在位置，并非本外观设计的保护内容。</t>
  </si>
  <si>
    <t>显示屏幕面板的渗透比赛图形用户界面</t>
  </si>
  <si>
    <t>WO2022082840A1</t>
  </si>
  <si>
    <t>一种迷宫(2)水平评估系统，包括迷宫(2)，脑电波测试装置(3)，脑电波分析模块(4)，水平评价模块(5)，控制模块(8)，用于拍摄迷宫(2)的摄像仪(6)，以及用于现场显示和记录迷宫(2)行走实况的显示与记录系统(7)。通过脑电波分析模块(4)分析出比赛者在比赛时的行走顺畅以及不顺畅，出现比赛焦虑，比赛兴奋，以及焦虑克服后相应五类脑电波特征值，通过熵权法计算得到得分，实现对比赛者迷宫(2)水平的机器评价。而摄像仪(6)拍摄到的迷宫(2)行走实况供测评人员根据经验判断，结合机器评价得到最终的综合评价。还包括一种基于评估系统的迷宫(2)水平评价方法以及利用优秀测试者的脑电波特征通过深度学习提高微微鼠迷宫能力。利用熵权法重组机器评价，获得最优机器评价，结合人工评价，能够客观准确科学地分析比赛者迷宫(2)水平。</t>
  </si>
  <si>
    <t>基于智能迷宫的大脑训练评价系统及其评价方法</t>
  </si>
  <si>
    <t>CN112293859A</t>
  </si>
  <si>
    <t>本发明公开了一种跑步系列智能鞋垫，涉及智能物联网领域，包括基垫与顶垫，所述基垫顶部的一侧设置有塑料囊，且基垫前表面的中间位置处设置有空腔，所述空腔的内部滑动连接有安装框，且安装框的内部安装有活性炭过滤网，所述基垫顶部的一侧设置有出气孔，且基垫的一侧设置有气囊，所述顶垫顶部的一端设置有侧垫，所述塑料囊内部一端的输出端转动连接有第一挡板。本发明设置的第一挡板向一侧旋转打开，第二挡板旋转关闭，脚中间位置处会与鞋垫之间有一定的缝隙，鞋子内部的空气快速从进气孔进入空腔，之后经过活性炭过滤网过滤气体进入塑料囊，跑步时是一个往复运动，气体在鞋子内部完成循环，从而避免鞋臭，同时避免易出汗人群脚步出汗。</t>
  </si>
  <si>
    <t>一种跑步系列智能鞋垫</t>
  </si>
  <si>
    <t>CN112259216A</t>
  </si>
  <si>
    <t>本发明公开了一种基于物联网和区块链的乒乓球运动员身体状况监控方法，方法包括如下步骤：由移动终端收集乒乓球运动员的身体状况数据；响应于收集到乒乓球运动员的身体状况数据，由移动终端在第一时隙监听由基站发送的第一控制消息；响应于接收到第一控制消息，由移动终端在第一时隙的第一下行传输资源中尝试监听由基站发送的身体状况数据上传命令；如果移动终端正确解码身体状况数据上传命令，则由移动终端在第一时隙的第一反馈资源中向基站发送第一确认接收消息；响应于向基站发送第一确认接收消息，由移动终端在第二时隙的第二下行传输资源中尝试监听由基站重复发送的身体状况数据上传命令。</t>
  </si>
  <si>
    <t>一种基于物联网和区块链的乒乓球运动员身体状况监控方法及系统</t>
  </si>
  <si>
    <t>CN306479671S</t>
  </si>
  <si>
    <t>1.本外观设计产品的名称：带有跑步机APP的自由跑步界面的显示屏。
 2.本外观设计产品的用途：主要用于在跑步机APP的自由跑步界面中，相关运动参数的切换展示。
 本外观设计产品用于手机和平板电脑。
 3.本外观设计产品的设计要点：在于如图所示的图形用户界面设计。
 4.最能表明设计要点的图片或照片：变化状态图1。
 5.除包含图形用户界面的正投影视图之外的其他视图均不具备设计要点，省略本外观设计产品的各设计中除包含图形用户界面的正投影视图之外的其他视图。
 6.图形用户界面的用途：用于跑步机APP的自由跑步过程界面，可通过人机交互方式切换和查看界面中的不同运动参数。
 7.图形用户界面的变化状态说明：主视图为跑步机APP展示“跑步中”的状态及运动参数的一幅横屏界面，在该界面中点击任意数据，例如点击“跑步时长”，跳转至变化状态图1，展示运动参数切换页面，在该页面中点击“步数”则跳转至变化状态图2，页面中展示用户跑步时长的大数字变换为用户跑步步数的数据。</t>
  </si>
  <si>
    <t>带有跑步机APP的自由跑步界面的显示屏</t>
  </si>
  <si>
    <t>CN306479670S</t>
  </si>
  <si>
    <t>1.本外观设计产品的名称：带有跑步机APP的自由跑步界面的显示屏。
 2.本外观设计产品的用途：主要用于在跑步机APP中展示自由跑步过程界面及相关运动数据。
 本外观设计产品用于手机和平板电脑。
 3.本外观设计产品的设计要点：在于如图所示的图形用户界面设计。
 4.最能表明设计要点的图片或照片：设计1主视图。
 5.除包含图形用户界面的正投影视图之外的其他视图均不具备设计要点，省略本外观设计产品的各设计中除包含图形用户界面的正投影视图之外的其他视图。
 6.指定设计1为基本设计。
 7.图形用户界面的用途：用作跑步机APP的自由跑步过程界面，且可通过人机交互方式改变运动进程及屏显模式。
 8.图形用户界面的变化状态说明：设计1主视图为跑步机APP中展示“跑步中”状态及运动参数的一幅界面；在该界面中按下“暂停”按钮后进入设计1变化状态图，此时界面处于暂停状态，按下左下侧的“继续”按钮则返回到“跑步中”动态界面，按下右下侧的“停止”按钮则停止APP的“跑步中”过程。
 设计2主视图的界面与设计1变化状态图的界面类似，在首次进入该页面后会有短时间的按钮功能或参数切换提示；在将显示屏横置时界面变化为设计2变化状态图，此时界面切换为横屏显示。
 设计3的界面内容及变化方式与设计1相似，区别仅在于设计3的界面为横屏显示。</t>
  </si>
  <si>
    <t>CN306802685S</t>
  </si>
  <si>
    <t>1.本外观设计产品的名称：带有跑步机APP首页及更多数据界面的显示屏幕面板。
 2.本外观设计产品的用途：主要用于通过跑步机APP来操控跑步机的操作和课程设置，展示运动数据及相关参数。
 本外观设计产品用于手机和平板电脑。
 3.本外观设计产品的设计要点：在于如图所示的图形用户界面设计。
 4.最能表明设计要点的图片或照片：主视图。
 5.除包含图形用户界面的正投影视图之外的其他视图均不具备设计要点，省略本外观设计产品的除包含图形用户界面的正投影视图之外的其他视图。
 6.图形用户界面的用途：通过跑步机APP连接运动类设备（跑步机），在图形用户界面内通过人机交互方式选择不同运动课程（训练），展示已进行的运动数据，以及查看不同时间单位下的更多的运动详情数据。
 7.图形用户界面的人机交互方式：在主视图的界面（即跑步机首页）中，点选“查看更多数据”后进入变化状态图1的界面（二级页面），该界面展示运动数据的日视图，在其上部具有一“日、周、月、年、总”选项条（当前选项为“日”），点击该选项条中的“周”、“月”、“年”、“总”按钮后将分别进入变化状态图2、图3、图4和图5的界面，其分别展示运动数据的“周视图”、“月视图”、“年视图”以及展示硬件使用的总体参数的“总视图”。
 8.本外观设计产品中，可以通过滑动或滚动的方式完整地展现图形用户界面的内容。</t>
  </si>
  <si>
    <t>带有跑步机APP首页及更多数据界面的显示屏幕面板</t>
  </si>
  <si>
    <t>CN306840023S</t>
  </si>
  <si>
    <t>1.本外观设计产品的名称：带有跑步机APP的训练课程界面的显示屏幕面板。
 2.本外观设计产品的用途：主要用于在跑步机APP中展示可选训练课程以供客户选择并开启训练。
 本外观设计产品用于手机和平板电脑。
 3.本外观设计产品的设计要点：在于如图所示的图形用户界面设计。
 4.最能表明设计要点的图片或照片：变化状态图2。
 5.除包含图形用户界面的正投影视图之外的其他视图均不具备设计要点，省略本外观设计产品的各设计中除包含图形用户界面的正投影视图之外的其他视图。
 6.图形用户界面的用途：用作在跑步机APP中的训练课程选择界面，可通过人机交互方式选择及开始一项训练课程。
 7.图形用户界面的变化状态说明：在主视图的跑步机APP首页界面中，选择任一训练课程（如“快走训练”）后进入变化状态图1的界面，即该训练课程的二级页面，选择该页面中的一项课程（如“三十分钟燃脂走”）后进入变化状态图2的界面，展示相应课程介绍页面，点击该页面下方的“开始跑步”按钮，进入变化状态图3至图5的“倒计时”界面，随后跳转至变化状态图6的界面，展示“运动中”界面及相关运动数据。
 8.本外观设计产品中，可以通过滑动或滚动的方式完整地展现图形用户界面的内容。</t>
  </si>
  <si>
    <t>带有跑步机APP的训练课程界面的显示屏幕面板</t>
  </si>
  <si>
    <t>KR1020220055704A</t>
  </si>
  <si>
    <t>本发明涉及一种基于人工智能的运动指导装置。 根据本发明的实施例的运动指导设备的运动姿势提取单元可以通过从图像捕获单元捕获的运动图像中提取运动对象的运动姿势来生成姿势数据。 此外,锻炼姿势分析器可以基于人工智能接收姿势数据并推断锻炼姿势是否处于正确的姿势。 此外,根据本发明的实施例的运动指导装置还可以包括指导信息输出单元,该指导信息输出单元基于运动姿势分析单元的推断结果输出运动指导信息。 借此,基于人工智能,可准确推断运动姿势是否正确,并可将适合于此的运动指导信息提供给用户。</t>
  </si>
  <si>
    <t>CN112200126A</t>
  </si>
  <si>
    <t>本发明公开了一种基于人工智能跑步肢体遮挡姿态识别方法，包括如下步骤：S1、图像数据采集：根据带采集数据的现场(跑步场景)要求，在多个角度设定图像采集装置，对人体在跑步状态下的姿态进行采集，将人物的肢体姿态图像数据与主控制器存储的对比信息比较后，以获取人物的肢体姿态信息所对应的数据信息，其中主控制器包括图像处理模块和对比模块；S2、数据处理；S3、肢体坐标追踪；S4、坐标纠正；S5、动画绘制；在检测过程中，因为人物的遮挡或摄像头边缘区域画面的不完整导致模型人物动作无法检测时，项目通过比较当前画面及其之前画面的人数与位置关系，将上一帧的人物动作补到当前画面中，避免了人物突然消失出现的问题。</t>
  </si>
  <si>
    <t>一种基于人工智能跑步肢体遮挡姿态识别方法</t>
  </si>
  <si>
    <t>PE0001472021Z</t>
  </si>
  <si>
    <t>它由一个多媒体面板和一个底座组成,当它们放在一起时,教练员会形成一个公文包的形状; 训练器底座包含各种外围设备,在训练器底座的下层,其表面有一个可拆卸的PC键盘,在所述键盘下方有一个开发套件,可用于各种电子项目、矩阵键盘、紧挨标准尺寸面包板的训练器底座的电压源区域、一些将用于数字系统应用的数字逻辑开关,以及展示一系列传感器和执行器的区域将允许学生控制和共同开发电子和物联网系统的实验应用。</t>
  </si>
  <si>
    <t>具有自主开发系统的便携式电子培训多平台</t>
  </si>
  <si>
    <t>CN112465745A</t>
  </si>
  <si>
    <t>本发明涉及医学图像技术领域，具体为一种基于全卷积回归网络的细胞计数方法，基于全卷积网络来完成密度估计，具体操作步骤如下：S1：图像预处理；S2：模型架构及训练；S3：多尺度块输入及融合。本发明基于深度学习，设计了一个利用全卷积回归网络来解决密度估计问题的CNN模型，解决了细胞计数问题基于密度估计的方法其图像特征提取算法性能局限性比较大，精度有限且泛化性能较弱的问题，本发明引入了DenseNet中的密集连接来加强原始U‑Net中的基本构造模块，可提高U‑Net中模型的特征表达能力以及更有效地训练模型。</t>
  </si>
  <si>
    <t>一种基于全卷积回归网络的细胞计数方法</t>
  </si>
  <si>
    <t>US11074787B1</t>
  </si>
  <si>
    <t>CN112121385B</t>
  </si>
  <si>
    <t>本发明涉及体育器械领域，尤其涉及一种冰球训练装置及评价系统。包括：一冰球；一训练平台，所述冰球于所述训练平台上进行移动，所述训练平台中包括：一第一阵列；一连接杆；一眼动传感器；一中控装置；所述中控装置还包括一人机交互界面，显示不同的动画显示效果。上述技术方案具有如下优点或有益效果：通过本技术方案，通过人机交互界面自定义冰球的移动轨迹，显示不同的动画显示效果，便于用户自定义调节以提升灵活性，便于用户查看增强娱乐性和观赏性，本技术方案同时兼具娱乐和冰球活动普及推广的价值本技术方案同时兼具娱乐和冰球活动普及推广的价值。</t>
  </si>
  <si>
    <t>一种冰球训练装置及评价系统</t>
  </si>
  <si>
    <t>CN112291330A</t>
  </si>
  <si>
    <t>本发明公开了一种基于物联网的将运动记录上传到服务器的方法，方法包括如下步骤：由移动终端监听由基站发送的同步信号和系统信息；响应于监听到由基站发送的同步信号和系统信息，由移动终端在第一分量载波上进行LBT过程；响应于监听到由基站发送的同步信号和系统信息，由移动终端同时在第二分量载波上进行LBT过程；响应于监听到由基站发送的同步信号和系统信息，由移动终端同时在第三分量载波上进行LBT过程；如果在第一分量载波上进行LBT过程成功，则由移动终端在第一分量载波的第一PRACH时机向基站发送随机接入前导码，并同时由移动终端在第一分量载波的第一PUSCH时机向基站发送随机接入请求。</t>
  </si>
  <si>
    <t>一种基于物联网的将运动记录上传到服务器的方法及体育运动记录系统</t>
  </si>
  <si>
    <t>US20210256650A1</t>
  </si>
  <si>
    <t>JP7105501B2</t>
  </si>
  <si>
    <t>观众可以观看无法直接看到的球员的表现。 
  视频收集/提供装置收集从多个摄像机无线传输的诸如运动图片的视频的视频流。 视频采集提供装置通过对采集到的视频流的视频信息进行图像识别,自动识别选手的行为和/或情况,预测并检测推荐观众观看的比赛表演推荐场景,以及将预测检测到的推荐场景预先通知给观众终端,将收集到的视频流中包含预先通知的推荐场景的视频流提供给观众终端。 当观众终端接收到预告时,观众终端将推荐场景的预告通知给观众,并获取视频采集/提供设备发送的包含推荐场景的视频流。 
  【选型图】图1</t>
  </si>
  <si>
    <t>视频采集和提供设备程序以及比赛观看系统和比赛观看系统的视频采集和提供设备</t>
  </si>
  <si>
    <t>CN112315471A</t>
  </si>
  <si>
    <t>本发明提供了一种迷宫水平评估系统,包括迷宫,脑电波测试装置,脑电波分析模块,水平评价模块,控制模块,用于拍摄迷宫的摄像仪,以及用于现场显示和记录迷宫行走实况的显示与记录系统。通过脑电波分析模块分析出比赛者在比赛时的行走顺畅以及不顺畅，出现比赛焦虑，比赛兴奋，以及焦虑克服后等相应四类脑电波特征值，通过熵权法计算得到得分，实现对比赛者迷宫水平的机器评价。而摄像仪拍摄到的迷宫行走实况共测评人员根据经验判断，几何及其评价得到最终的综合评价。本发明还提供一种基于上述评估系统的迷宫水平评价方法以及利用优秀测试者的脑电波特征通过深度学习提高微微鼠迷宫能力。本发明利用熵权法重组机器评价，获得最优机器评价，结合人工评价，能够客观准确科学地分析比赛者迷宫水平。</t>
  </si>
  <si>
    <t>WO2021081248A1</t>
  </si>
  <si>
    <t>训练有素的机器学习模型用于确定在视频游戏服务中注册的用户帐户的分数,并且这些分数用于在多人视频游戏设置中将玩家匹配在一起。 例如,从客户端机器接收的传感器数据可以输入到经过训练的机器学习模型,并且模型生成分数作为输出,这些分数与从这些客户端机器接收的游戏控制数据由以下生成的概率有关 手持设备,而不是使用软件合成和/或修改。 以这种方式,可以至少部分基于为那些登录用户账户确定的分数将执行视频游戏的登录用户账户的子集分配给不同的比赛(例如,通过将非人类玩家与人类玩家隔离) , 并且视频游戏在每个登录用户帐户的指定比赛中执行。</t>
  </si>
  <si>
    <t>基于传感器数据的机器学习信任评分</t>
  </si>
  <si>
    <t>CN306654842S</t>
  </si>
  <si>
    <t>1.本外观设计产品的名称：带有穿戴APP运动记录图形用户界面的显示屏幕面板。
 2.本外观设计产品的用途：主要用于穿戴APP的用户运动记录及运动结果数据展示及交互界面，本外观设计产品用于智能手表、手机和平板电脑。
 3.本外观设计产品的设计要点：在于如图所示的图形用户界面设计。
 4.最能表明设计要点的图片或照片：设计1变化状态图2。
 5.请求保护的外观设计的设计2包含色彩。
 6.除包含图形用户界面的正投影视图之外的其他视图均不具备设计要点，省略本外观设计产品的各设计中除包含图形用户界面的正投影视图之外的其他视图。
 7.指定设计1为基本设计。
 8.图形用户界面的用途：用于在穿戴APP中查看用户的多个项目的运动记录及运动结果的统计数据详情。
 9.图形用户界面的人机交互方式：在设计1主视图的界面（个人状态页）中，点击弹出窗口中的第一项、即带有运动项目图标（如骑行图标）的“运动记录”卡片后，进入设计1变化状态图1的界面，其中展示了用户的运动历史数据；在设计1变化状态图1的界面中，点击“划船机”选项可进入设计1变化状态图2的界面，点击“跳绳”选项可进入设计1变化状态图3的界面，点击“户外跑步”选项可进入设计1变化状态图4的界面，而点击“铁人三项”选项则会进入设计1变化状态图5的界面，在此界面中运动项目“户外游泳”呈高亮放大状态，当分别点选此界面中的另两个运动项目“户外跑步”和“户外骑行”时则分别进入设计1变化状态图6、设计1变化状态图7，设计1变化状态图5、6、7这三个界面分别展示所对应的运动项目下的详细数据记录。
 设计2的界面变化组合方式及人机交互方式与设计1相同。
 10.图形用户界面的变化状态说明：在本外观设计产品中，视图为通过滑动或滚动的方式展现的完整的图形用户界面的内容。
 设计1和设计2的变化状态图2至变化状态图7，均同时提供了“上部放大图”和“下部放大图”，以便更清晰地展示相应界面内容。</t>
  </si>
  <si>
    <t>带有穿戴APP运动记录图形用户界面的显示屏幕面板</t>
  </si>
  <si>
    <t>MYPI2020005559A0</t>
  </si>
  <si>
    <t>抽象 对象定位和运动跟踪系统本发明涉及一种非接触式视觉跟踪系统,特别是一种用于在体育赛事中的球场上进行对象定位和运动跟踪的系统。 该系统包括图像采集装置; 图像处理单元从所述图像捕获装置接收视频帧; 其特征在于,载有所述图像采集装置的无人机; 交互式连接到所述图像处理单元的图形用户界面; 在所述图像处理单元中应用的算法,用于由用户基于接收到的视频帧进行操作数据提取和交互式分析以处理数据提取。 绘制随附摘要:图 2</t>
  </si>
  <si>
    <t>目标定位和运动跟踪系统</t>
  </si>
  <si>
    <t>KR1020220081992A</t>
  </si>
  <si>
    <t>经过训练的机器学习模型用于确定在视频游戏服务中注册的用户帐户的分数,并且这些分数用于在多人视频游戏设置中将玩家匹配在一起。 例如,从客户端机器接收到的传感器数据可以输入到经过训练的机器学习模型,该模型会产生一个分数作为输出,这表明从该客户端机器接收到的游戏控制数据与概率有关由手持设备生成的,而不是使用软件合成和/或修改的。 这样,执行视频游戏的登录用户账户子集可以至少部分地基于为登录用户确定的分数参与不同的比赛(例如,通过将非人类玩家与人类玩家隔离)可以分配帐户,并且每个登录的用户帐户都会在分配的比赛中玩视频游戏。</t>
  </si>
  <si>
    <t>基于传感器数据的机器学习置信度评分</t>
  </si>
  <si>
    <t>JP2022552878A</t>
  </si>
  <si>
    <t>经过训练的机器学习模型用于确定在视频游戏服务中注册的用户帐户的分数,并且该分数用于在多人视频游戏设置中匹配玩家。 例如,从客户端机器接收到的传感器数据被输入到经过训练的机器学习模型中,该模型基于从客户端机器接收到的游戏控制数据,而不是使用软件进行合成和/或修改。,产生一个分数作为输出与手持设备产生的概率相关联。 因此,运行视频游戏的已登录用户帐户的子集至少部分基于为已登录用户帐户确定的分数而有所不同(例如,将非人类玩家与人类玩家隔离开来)。它可以分配给比赛,视频游戏将在分配给每个登录用户帐户的比赛中运行。</t>
  </si>
  <si>
    <t>US11663928B2</t>
  </si>
  <si>
    <t>实施例公开了一种方法,包括使用具有因特网连接的点播角色扮演网络来访问角色扮演学习材料和实时角色扮演会话,将安装在角色扮演参与者数字设备上的点播角色扮演应用程序与点播角色扮演网络连接 促进角色扮演伙伴的实时练习课程,将人工智能交流教练分析器与按需角色扮演网络相结合,为角色扮演参与者提供非语言交流分析和指导,并为角色扮演参与者提供对现场练习课程进行评分的方法 包括非语言沟通技巧。</t>
  </si>
  <si>
    <t>点播角色扮演的方法和装置</t>
  </si>
  <si>
    <t>EP4025312A4</t>
  </si>
  <si>
    <t>CN112263816A</t>
  </si>
  <si>
    <t>本发明涉及一种乒乓球收集机器人。包括图像识别机构、两个机械臂、收集机构、运动机构和控制器，收集机构安装在运动机构上，图像识别机构固定在收集机构上，两个机械臂和控制器均安装在收集机构中。本发明实现了乒乓球的全自动收集，并且收集过程准确高效，收集范围较广，减少了人们的体力消耗和时间消耗，可推广应用。</t>
  </si>
  <si>
    <t>乒乓球收集机器人</t>
  </si>
  <si>
    <t>CN213609688U</t>
  </si>
  <si>
    <t>本实用新型涉及一种乒乓球收集机器人。包括图像识别机构、两个机械臂、收集机构、运动机构和控制器，收集机构安装在运动机构上，图像识别机构固定在收集机构上，两个机械臂和控制器均安装在收集机构中。本实用新型实现了乒乓球的全自动收集，并且收集过程准确高效，收集范围较广，减少了人们的体力消耗和时间消耗，可推广应用。</t>
  </si>
  <si>
    <t>一种乒乓球收集机器人</t>
  </si>
  <si>
    <t>BR202020021610U2</t>
  </si>
  <si>
    <t>带电子控制器的 uv-c 辐射滚动扶手消毒器。 本实用新型是一种对滚动扶手带病原微生物进行灭菌的设备,由紫外-C辐照发射器和电子控制器组成。 发射器尺寸小,可以安装在各种自动扶梯/自动人行道上,即使它们减少了内部空间,也可以接受它们的双向工作。 每个发射器都有一个 uv-c 灯和反射透镜,其布置方式使得扶手的微生物在第一次曝光时在灯和反射透镜之间通过时灭活 99%,从而减少电能消耗和更换灯。 它还具有与扶手接触并将速度数据传输到电子控制器的传感器,电子控制器具有采用物联网技术的电子板,并通过wi-fi连接进行外部通信; 它通过mqqt互联网协议传输和接收数据,可以在线查看或存储在外部,提供诸如扶手速度和是否打滑、发射时间和灯更换周期、设备和楼梯的运行和停止时间等信息/跑步机、发射器当前和最终的故障以及能源消耗。</t>
  </si>
  <si>
    <t>带电子控制器的通过 UV-C 辐射的滚动扶手灭菌器</t>
  </si>
  <si>
    <t>CN112257558A</t>
  </si>
  <si>
    <t>本发明提出的一种基于大数据分析和深度学习的体育运动实时监测方法，首先对获取的大数据视频进行训练和测试，进而提取出体育运动视频序列，基于相邻帧之间的最大直方图距离，使用模糊推理模型从动作视频中选择静止关键动作图像，小波变换被用于使这些关键动作帧对于不同的方向和尺度不变，基于扩展多分辨率特征模型识别静止图像和视频中的人类动作。该方法无需考虑处理时间信息的缺失、服装变化、环境变化、缩放、分割问题以及图像的对准等问题，提高了对大数据视频集识别的准确度。</t>
  </si>
  <si>
    <t>一种基于大数据分析和深度学习的体育运动实时监测方法</t>
  </si>
  <si>
    <t>KR1020220052179A</t>
  </si>
  <si>
    <t>本发明通过显示和提供由每个孩子的体型和姿势需要纠正的游泳训练方法组成的训练内容,可以最大限度地发挥游泳训练和姿势矫正的效果,为儿童学生提供游泳课。具体地,身高、体重、体型通过AI人工智能学习引擎,针对每个学生的体型和体态,将脂肪比例、骨骼、体态和需要矫正的部位设置为项目,针对每个学生收集每个学生的数据,对收集到的数据进行学习分析,计算出结果数据模型; 计算数据模型的图像数据匹配和内容合成; 由此,能够实施上述发明的实施方式。</t>
  </si>
  <si>
    <t>定制化儿童游泳姿势矫正及方法提供服务</t>
  </si>
  <si>
    <t>CN112237731A</t>
  </si>
  <si>
    <t>本发明涉及羽毛球比赛自动记分系统及其计分方法，其特征在于，包括实时视频采集单元，用于对球场进行实时视频采集；存储单元，包含视频存储部及比分存储部；计算单元，包含视频分析处理单元、发球分析算法模块，视频分析处理单元从所述视频中提取视频信息进行分析处理，视频分析处理单元将分析结果传输至发球分析算法模块；控制单元，包含计分模块，与发球分析算法模块信号传输连接；以及显示单元，包含记分显示器，显示单元根据所述比赛信息显示比赛信息，所述控制器与所述记分显示器电性连接；本发明基于人工智能的自动记分设备，它能够代替记分裁判，将比赛的每一个回合的比分进行准确记分并显示。</t>
  </si>
  <si>
    <t>羽毛球比赛自动记分系统及其计分方法</t>
  </si>
  <si>
    <t>CN212906560U</t>
  </si>
  <si>
    <t>本实用新型公开了一种适用于健身活动监测体征信息的物联网穿戴设备，包括前壳体和后壳体，前壳体和后壳体内设有微控制器、锂电池、三轴加速度传感器、Wi‑Fi模块和GPS模块，前壳体的顶端和底端均固定安装有固定环，本实用新型通过在前壳体和后壳体内设有微控制器、三轴加速度传感器、Wi‑Fi模块和GPS模块，通过三轴加速度传感器可对人体进行监测，通过三轴加速度传感器采集加速度等信息，本设备能够在佩戴者失去行动能力时自主进行数据处理并向外界发出求救信号，并通过Wi‑Fi模块接收Wi‑Fi信号以及数据传输，大大强化了对使用者的生命安全的保障，对外出健身的人群提供救援手段。</t>
  </si>
  <si>
    <t>一种适用于健身活动监测体征信息的物联网穿戴设备</t>
  </si>
  <si>
    <t>CN112379642B</t>
  </si>
  <si>
    <t>本发明公开了智慧安监领域的基于物联网技术的智慧安监生产安全监督及紧急救援系统，包括安装吊架和紧急救援系统，安装吊架的内部固定连接有固定限位侧架，固定限位侧架的一侧设置有活动限位侧架，固定限位侧架的一侧开设有条形滑槽，条形滑槽的内部滑动连接有牵引轴；本发明中通过固定限位侧架、活动限位侧架和主动轴的设置，使传输带运转后可带动摄像头沿着安装吊架进行平移，从而提高了摄像头的拍摄范围，降低了使用成本的同时，避免出现拍摄死角，刚工作人员需要对其进行拆卸时，将锁紧螺杆从活动限位侧架内拧出，再将活动限位侧架从安装吊架上取下后，即可将承载安装板从固定限位侧架内取出，且整体操作流程简单便捷，省时省力。</t>
  </si>
  <si>
    <t>基于物联网技术的智慧安监生产安全监督及紧急救援系统</t>
  </si>
  <si>
    <t>CN114949825A</t>
  </si>
  <si>
    <t>US11748634B1</t>
  </si>
  <si>
    <t>描述了一种用于将机器学习组件集成到流水线搜索查询内以生成可视化的计算机实现的方法。 这里,提供了用于将流水线代码接收到基于网络的编程应用程序中的接口。 流水线代码的特征在于一系列操作符,被配置为基于该系列操作符的集体操作来执行一个或多个任务,其中该系列操作符中的第一操作符将从所选数据源接收输入数据,并且该系列操作符中的每个剩余操作符接收输入数据。 一系列运算符,用于根据其余运算符中前一个运算符的输出接收输入。 流水线代码执行的任务生成包括可视化在内的结果。 可视化以允许滚动流水线代码以显示流水线代码或可视化的方式呈现。</t>
  </si>
  <si>
    <t>用于将机器学习组件集成到流水线搜索查询中以生成图形可视化的系统和方法</t>
  </si>
  <si>
    <t>CN213361953U</t>
  </si>
  <si>
    <t>本实用新型公开了一种LED物联网球泡灯，涉及到物联网领域，该LED物联网球泡灯，包括灯体触头和灯连接器，所述灯体触头设置在灯连接器的顶部；所述灯连接器包括连接件、灯头固定件、多个动触头部和散热部；所述连接件的底部开设有凹槽，所述灯头固定件和动触头部均固定在凹槽的内部，多个所述动触头部环绕在灯头固定件的周向外侧；所述灯头固定件包括螺纹安装头、热膨胀件、绝缘安装件和静触头。本实用新型通过灯头固定件和多个动触头部的接触和断开能够实现球泡灯的断电和供电，通过热膨胀件的设置能够根据球泡灯内部温度的高低控制球泡灯的断电，防止球泡灯内部温度过高还继续造成元件的损坏，增加了球泡灯的使用寿命。</t>
  </si>
  <si>
    <t>一种LED物联网球泡灯</t>
  </si>
  <si>
    <t>WO2022080527A1</t>
  </si>
  <si>
    <t>多个终端; 以及与多个终端通信的服务器;在基于人工智能和大数据的钓鱼比赛操作系统中,包括: 多个终端中的每个终端是用于拍摄目标鱼的相机和用于计算鱼长度的参考体。目标鱼; 以及通信单元,用于将所述多个终端中的每一个的位置信息和摄像头拍摄的图像信息发送给服务器,其中,所述服务器利用接收到的图像信息确定目标鱼的实际长度,根据确定等级信息目标词的实际长度,将确定的排名信息发送给多个终端和服务器,计算图像信息中包含的参考体长度与参考体实际长度的比值,确定目标鱼的实际长度使用图像信息中包含的目标词的长度的比率和长度,并且服务器和通信单元中的至少一个将排名信息发送到预定的地图相关服务器,地图相关服务器可以根据排名信息在地图上显示和提供钓鱼信息。</t>
  </si>
  <si>
    <t>基于人工智能和大数据的钓鱼比赛操作系统</t>
  </si>
  <si>
    <t>CN306479645S</t>
  </si>
  <si>
    <t>1.本外观设计产品的名称：显示屏幕面板的攻防渗透赛态势图形用户界面。
 2.本外观设计产品的用途：用于显示信息。
 该显示屏幕面板用于电脑或平板显示屏。
 3.本外观设计产品的设计要点：在于屏幕中的图形用户界面内容。
 4.最能表明设计要点的图片或照片：主视图。
 5.不涉及设计要点，省略后视图、俯视图、仰视图、左视图、右视图。
 6.图形用户界面的用途：用于展示信息安全大咖们的答题动作、题目状态、排行榜、队伍的状态变化以及日志信息，实现相关功能。
 7.图形用户界面的人机交互方式：主视图为整个攻防平台渗透赛模式的图形界面，中间区域为渗透区域、区域题目以及网络设备的展示，渗透区域周围则是队伍布局展示，顶部区域分别显示Logo、赛事名称、比赛倒计时。
 屏幕右下角按钮切换相机视角可以对渗透区域及队伍动作不同角度地进行展示，可以通过快捷键交互方式控制相机进行前后移动以及控制相机视角方向左右、上下转动，转动的速度取决于快捷键的操作的频率。
 底部区域显示当前赛事的回合信息；屏幕右侧为队伍排行榜面板：包括面板名称、队伍的排名显示、队伍logo、队伍名称、队伍得分以及显示当前队伍排名上升还是保持不变或者下降的图标；屏幕右下区域为日志面板；可以通过快捷键交互显示或隐藏回合信息、队伍排行榜面板、日志面板和比赛倒计时。
 当相机移动到区域正前方时，呈现界面变化状态图1（图中隐藏日志面板和比赛倒计时）；当相机移动到区域正上方时，呈现界面变化状态图2（图中隐藏日志面板和比赛倒计时）；界面中的文字和与内容相关的图片仅用于指明内容所在位置，具体的文字或图片内容并非本外观设计的保护内容。</t>
  </si>
  <si>
    <t>显示屏幕面板的攻防渗透赛态势图形用户界面</t>
  </si>
  <si>
    <t>CN213524139U</t>
  </si>
  <si>
    <t>本实用新型公开了电子手环技术领域的一种运动员训练用监控装置，包括表盘本体，表盘本体的底面固定连接有心率感应器，心率感应器的一侧设有热敏电阻传感器，热敏电阻传感器的上方固定安装有石墨烯散热板，石墨烯散热板的上表面固定安装有GPS定位模块，GPS定位模块的右侧设有有NB‑IOT窄带物联网模块，NB‑IOT窄带物联网模块的上表面固定安装有WIFE无线通信模块，WIFE无线通信模块的右侧设有数据处理器，数据处理器的右侧设有微型电池，微型电池的右侧固定安装有蜂鸣警报器，WIFE无线通信模块、NB‑IOT窄带物联网模块、数据处理器以及微型电池均固定连接在石墨烯散热板的上表面，此手环能够实时监测运动量训练过程中的身体机能，并且可以快速将身体机能的各项数据传送到教练的手中。</t>
  </si>
  <si>
    <t>一种运动员训练用监控装置</t>
  </si>
  <si>
    <t>CN306479643S</t>
  </si>
  <si>
    <t>1.本外观设计产品的名称：显示屏幕面板的圆阵解题赛态势图形用户界面。
 2.本外观设计产品的用途：用于显示信息。
 该显示屏幕面板用于电脑或平板显示屏。
 3.本外观设计产品的设计要点：在于屏幕中的图形用户界面内容，包括题目布局、参赛队伍形象、队伍布局、队伍排名、队伍状态统计、赛事回合、仲裁者形象及仲裁者check动作和交互方式。
 4.最能表明设计要点的图片或照片：主视图。
 5.请求保护的外观设计包含色彩。
 6.不涉及设计要点，省略后视图、左视图、右视图、俯视图、仰视图。
 7.图形用户界面的用途：用于展示参赛队伍的网络攻防解题态势。
 8.图形用户界面的人机交互方式：主视图为整个解题赛模式的图形界面，中间区域为仲裁者展示（仲裁者模型会不断产生从上到下的光圈一直到地面再扩散），周围则是队伍布局展示和题目展示，顶部区域分别显示比赛日志、赛事名称、比赛倒计时及队伍排行榜，底部区域显示赛事回合和LOGO，图中的浮动面板或按钮均可通过按键控制展示或隐藏。
 图中蓝色的方框代表队伍，方框上方为队伍的名称面板及被攻击（骷髅头图标）和攻击数据（盾牌）的统计面板；方框内的黄色主机模型和圆圈模型用来表现题目。
 地面上的蓝色光圈，是由仲裁者模型从顶部产生的光圈向地面移动当移动到地面位置后开始向四周扩撒并越变越大配合地面的亮色网格线（从圆形开始显示最后到整个地面显示网格线）。
 屏幕右上角按钮分别为相机按钮和排行榜按钮，相机按钮可以切换相机视角对整个区域及队伍动作不同角度地进行展示，可以通过快捷键交互方式控制相机进行前后移动以及控制相机视角方向左右、上下转动，转动的速度取决于快捷键的操作的频率。
 主视图为相机在整个区域前方呈现的界面，相机移动到队伍区域正前方，呈现界面变化状态图1（所有图中的光圈均为动态效果用来表示平台运行状态和仲裁者动作）；当相机移动到区域斜上方时，呈现界面变化状态图2；仲裁者开始check动作时从地面向上汇聚很多红色的光圈到达一定高度后开始向四周扩大并向各个队伍的题目模型发射拖尾效果的攻击特效，呈现界面变化状态图3、4；比赛平台的运行状态（仲裁者模型上方向地面产生部分光圈，当光圈移动到地面后开始向四周扩散光圈越变越大地面开始显示亮色网格线，跟随光圈的扩散而变大到最后消失变为黑色），呈现界面变化状态图5、6、7、8；队伍解题成功动作：从解题方队伍向被解题方队伍的题目模型指向一条绿色的引导线题目模型变为红色，呈现界面变化状态图9；队伍解题获得一单位血动作：解题队伍展示绿色光柱，相机聚焦解题和被解题队伍的上方呈现界面变化状态图10；队伍解题失败：从解题方队伍向被解题队伍题目模型指向一条红色引导线，呈现界面变化状态图11；图中的文字和与内容相关的图片仅用于指明内容所在位置，具体的文字或图片内容并非本外观设计的保护内容。</t>
  </si>
  <si>
    <t>显示屏幕面板的圆阵解题赛态势图形用户界面</t>
  </si>
  <si>
    <t>CN306581915S</t>
  </si>
  <si>
    <t>1.本外观设计产品的名称：用于测序仪的测序功能的图形用户界面。
 2.本外观设计产品的用途：用于运行程序及完成测序仪预通试剂、测序和清洗。
 3.本外观设计产品的设计要点：在于产品显示的图形用户界面。
 4.最能表明设计要点的图片或照片：主视图。
 5.无设计要点，省略后视图、左视图、右视图、仰视图、俯视图。
 6.图形用户界面的用途：界面变化状态放大图1为主要功能模块的入口，其余界面变化状态放大图为具体操作过程。
 7.图形用户界面的人机交互方式：点击界面变化状态放大图1 “预通试剂”，进入界面变化状态放大图2或3；如果进入界面变化状态放大图2，点击“下一步”进入界面变化状态放大图9；根据操作提醒点击“开始”，完成预通试剂（界面变化状态放大图10‑11）；如果进入界面变化状态放大图3，则点击图中“是”进入界面变化状态放大图4，根据操作提醒选择任意清洗程序，进入界面变化状态放大图2；点击“下一步”后进入界面变化状态放大图5，根据相应提示完成清洗流程（界面变化状态放大图6‑8），完成清洗回到界面变化状态放大图1；点击界面变化状态放大图1“测序”按钮，进入点击界面变化状态放大图12，若已执行预通试剂，则自动进入，若未执行预通试剂，则进入界面变化状态放大图13；根据操作提醒完成测序（界面变化状态放大图14‑18）；测序完成后自动回到界面变化状态放大图19，根据操作提醒完成清洗（界面变化状态放大图20‑22）；在界面变化状态放大图1点击“系统设置”，进入“文件”标签，该界面可调整输出报告存放路径；进入“网络”标签，可进行网络设置；进入“系统诊断”标签，可进行系统诊断；进入“设置”标签，可进行设置。
 （界面变化状态放大图23‑26）。</t>
  </si>
  <si>
    <t>用于测序仪的测序功能的图形用户界面</t>
  </si>
  <si>
    <t>CN112188423A</t>
  </si>
  <si>
    <t>本发明公开了一种利用物联网的收集智慧篮球场内训练数据的方法，包括如下步骤：由篮球大数据分析中心生成智慧篮球场内训练数据请求消息；响应于生成智慧篮球场内训练数据请求消息，由篮球大数据分析中心将智慧篮球场内训练数据请求消息发送给基站；由移动终端与基站建立载波聚合通信连接；响应于与基站建立通信连接，由基站向移动终端发送省电配置信息；响应于接收到省电配置信息，由移动终端进入第一省电模式；如果在监听周期的起始时间段中监听到由基站发送的PDCCH消息，则由移动终端基于PDCCH中指示的PDSCH调度来接收PDSCH消息；如果在监听周期的起始时间段中没有监听到由基站发送的PDCCH消息，则移动终端在监听周期的剩余时间段中停止监听PDCCH消息。</t>
  </si>
  <si>
    <t>一种利用物联网的收集智慧篮球场内训练数据的方法及系统</t>
  </si>
  <si>
    <t>US20210170230A1</t>
  </si>
  <si>
    <t>本文公开了用于在体育比赛中训练运动员的系统和方法。 在示例性方面,一种方法可以包括接收将由至少一个运动员在体育比赛中实施的策略。 该方法可以包括基于至少一个玩家的历史数据来确定策略的成功率。 响应于确定成功率小于阈值成功率,该方法可以包括在策略由至少一个玩家实施并且没有实现目标的情况下识别游戏障碍。 该方法可以包括确定最小化至少一个玩家与游戏障碍的遭遇并实现该策略的目标的修改策略。 该方法可以包括输出用于实施修改的策略的训练过程,以呈现给至少一个玩家。</t>
  </si>
  <si>
    <t>使用人工智能在体育比赛中训练运动员的系统和方法</t>
  </si>
  <si>
    <t>AU2020102642A4</t>
  </si>
  <si>
    <t>“基于机器学习的智能锻炼镜子及其方法”本公开的示例性方面针对“基于机器学习的智能锻炼镜子及其方法”,包括镜子装置001、镜内监测设备(IMD)100、 以及多个可穿戴腕带(WB)200。镜子装置001包括双向镜子002、显示器LCD面板003。镜内监控装置(IMD)100包括微控制器103、相机101、热像仪102、GPRS -模块103a和Wi-Fi加密狗103b。微控制器101a应用户通过移动应用程序300的请求在显示LCD面板003上播放相关锻炼视频400。与相机101配合,使用ML算法的微控制器103识别用户 姿势并与显示在 LCD 面板 003 上的姿势图像相匹配,发现姿势异常。然后微控制器 103 与相关的可穿戴手环 (WB) 200 通信并振动直到用户姿势匹配 他是播放的视频400。与热像仪102配合,使用ML算法的微控制器103识别燃烧的卡路里。 1/4 001 日期校准步骤 002 镜子 003 实际图 1 基于机器学习的智能锻炼镜子</t>
  </si>
  <si>
    <t>基于机器学习的智能健身镜及其方法</t>
  </si>
  <si>
    <t>CN112182041A</t>
  </si>
  <si>
    <t>本发明提出了一种体育赛事编排方法及系统，涉及体育赛事及信息处理领域。一种体育赛事编排方法包括：通过人机交互输入赛事信息、赛事规则和参赛要求；服务终端根据参赛人员的报名情况编排赛事轮次列表；选取目标参赛人员的比赛场次，并通过服务终端传输给判决终端；判决终端根据记录的技术事件生成比赛报告，并对比赛报告进行人工核实。其能够使参赛人员的对手配对不再受组别和级别的限制，能和更多人进行交流。此外本发明还提出了一种体育赛事编排系统，包括：人机交互模块、编排赛事轮次模块、传输模块、判决模块、第一结果模块以及第二结果模块。</t>
  </si>
  <si>
    <t>一种体育赛事编排方法及系统</t>
  </si>
  <si>
    <t>KR102284802B1</t>
  </si>
  <si>
    <t>提供了一种用于提供与体育比赛相关的玩家的状态信息的设备和方法。 一种服务器利用每个玩家的周围图像提供玩家状态信息的方法,包括:从针对目标游戏生成的多个周围图像中获取第一玩家的周围图像; 获取表示第一玩家周围图像对应的动作类型的动作信息; 获取参与目标游戏的玩家的玩家信息; 获取目标比赛的场馆信息; 从为每个玩家训练的多个人工智能模型中选择为第一玩家生成的人工智能模型,以分析玩家的状况; 通过将第一玩家的周围图像、获取的运动信息、获取的玩家信息和场地信息应用于所选择的人工智能模型,获取指示第一玩家的状态的状态信息。</t>
  </si>
  <si>
    <t>用于提供与体育赛事有关的运动员状态信息的装置和方法</t>
  </si>
  <si>
    <t>CN306412837S</t>
  </si>
  <si>
    <t>1.本外观设计产品的名称：显示屏幕面板的动态直播互动图形用户界面。
 2.本外观设计产品的用途：用于运行软件，该显示屏幕用于手机、平板电脑、跑步机、椭圆机、动感单车、划船机、登山机、健身车。
 3.本外观设计产品的设计要点：在于屏幕中显示的软件图形用户界面。
 4.最能表明设计要点的图片或照片：主视图。
 5.其他视图无设计要点，省略其他视图。
 6.图形用户界面的用途：本外观设计是用于用户运动时进行直播互动的图形用户界面。
 7.图形用户界面的人机交互方式：主视图为用户触发互动后的显示界面，点击主视图右下方的图案或语音或使用特定动作触发后界面中间会出现浮窗如界面变化状态图1所示，一段时间后界面变化状态图1会自动跳转到界面变化状态图2。</t>
  </si>
  <si>
    <t>CN306620794S</t>
  </si>
  <si>
    <t>1.本外观设计产品的名称：带会员权益显示图形用户界面的显示屏幕面板。
 2.本外观设计产品的用途：本外观设计产品用于运行程序、显示信息和/或通讯。
 3.本外观设计产品的设计要点：在于显示屏幕面板中显示的图形用户界面内容。
 4.最能表明设计要点的图片或照片：主视图。
 5.不涉及设计要点，省略左视图；不涉及设计要点，省略右视图；不涉及设计要点，省略俯视图；不涉及设计要点，省略仰视图；不涉及设计要点，省略后视图。
 6.图形用户界面的用途：显示屏幕面板的图形用户界面显示为对各等级各业态会员权益进行显示的交互界面，所述显示屏幕面板用于手机、平板电脑、电视、电脑。
 7.图形用户界面在产品中的区域：显示屏幕面板中的界面。
 8.图形用户界面的人机交互方式：主视图显示为对会员权益信息进行显示的主界面，界面上方显示为会员等级信息，界面中下方以卡片形势显示包括商业、酒店、院线、旅游、足球、地产等权益；变化状态图1为在主视图中左右滑动操作后出现的对应于不同会员等级的权益信息的变化图；变化状态图2为在变化状态图1中点击“商业权益”卡片后所显示的全部权益的变化图，图的上部显示不同等级会员，中下部显示权益信息。
 本外观设计附着于显示屏幕面板。</t>
  </si>
  <si>
    <t>带会员权益显示图形用户界面的显示屏幕面板</t>
  </si>
  <si>
    <t>CN306620797S</t>
  </si>
  <si>
    <t>1.本外观设计产品的名称：带资讯空白页图形用户界面的显示屏幕面板。
 2.本外观设计产品的用途：本外观设计产品用于运行程序、显示信息和/或通讯。
 3.本外观设计产品的设计要点：在于显示屏幕面板中显示的图形用户界面内容。
 4.最能表明设计要点的图片或照片：变化状态图1。
 5.不涉及设计要点，省略左视图；不涉及设计要点，省略右视图；不涉及设计要点，省略俯视图；不涉及设计要点，省略仰视图；不涉及设计要点，省略后视图。
 6.图形用户界面的用途：显示屏幕面板的图形用户界面显示为资讯无法获取或无资讯状态时的提示动画的交互界面，所述显示屏幕面板用于手机、平板电脑、电视、电脑。
 7.图形用户界面在产品中的区域：显示屏幕面板中的界面。
 8.图形用户界面的人机交互方式：主视图显示为足球赛事资讯精选的主界面，界面上方显示为近期发生的球赛、球队以及比分结果，中部显示为赛季最佳足球球员信息，包括进球数、球衣号、姓名，下方显示为赛事资讯，资讯类别分为推荐、视频、新闻以及海报；变化状态图1为在主视图中点击“视频”图标后显示的无网络状态的变化图，界面中间显示为卡通老虎踢球的形象，并配文“信号跑到外星球了”；变化状态图2为在主视图所显示资讯后所显示的变化图，界面上方显示为资讯视频，中部为推荐的更多视频，下方为精选留言，其中无留言时显示卡通老虎和足球形象。
 本外观设计附着于显示屏幕面板。</t>
  </si>
  <si>
    <t>带资讯空白页图形用户界面的显示屏幕面板</t>
  </si>
  <si>
    <t>CN306746222S</t>
  </si>
  <si>
    <t>1.本外观设计产品的名称：带赛事数据显示图形用户界面的显示屏幕面板。
 2.本外观设计产品的用途：本外观设计产品用于运行程序、显示信息和/或通讯。
 3.本外观设计产品的设计要点：在于显示屏幕面板中显示的图形用户界面内容。
 4.最能表明设计要点的图片或照片：主视图。
 5.不涉及设计要点，省略左视图；不涉及设计要点，省略右视图；不涉及设计要点，省略俯视图；不涉及设计要点，省略仰视图；不涉及设计要点，省略后视图。
 6.图形用户界面的用途：显示屏幕面板的图形用户界面显示为对赛事数据进行可视化显示的交互界面，所述显示屏幕面板用于手机、平板电脑、电视、电脑。
 7.图形用户界面在产品中的区域：显示屏幕面板中的界面。
 8.图形用户界面的人机交互方式：主视图显示为对参赛球队的比赛结果进行统计显示的主界面，界面上方显示为参赛球队、当前比分、比赛状态，界面中下部显示为进攻数据的统计，包括射门数、准确率、被封堵、球门范围内、球门范围外等比赛数据；变化状态图1为在主视图中上滑操作后出现的变化图，界面包括对传控数据的统计，例射门等；变化状态图2为在变化状态图1中点击“本场阵容”标签或者向右滑动操作后所显示的本场比赛阵容的变化图，图中包括比赛双方、双方球员姓名、球员位置等信息。
 使用状态参考图1‑3是分别对应主视图、变化状态图1和变化状态图2的实际使用图示。
 本外观设计附着于显示屏幕面板。</t>
  </si>
  <si>
    <t>带赛事数据显示图形用户界面的显示屏幕面板</t>
  </si>
  <si>
    <t>CN306746221S</t>
  </si>
  <si>
    <t>1.本外观设计产品的名称：带球赛订票订单图形用户界面的显示屏幕面板。
 2.本外观设计产品的用途：本外观设计产品用于运行程序、显示信息和/或通讯。
 3.本外观设计产品的设计要点：在于显示屏幕面板中显示的图形用户界面内容。
 4.最能表明设计要点的图片或照片：变化状态图1。
 5.不涉及设计要点，省略左视图；不涉及设计要点，省略右视图；不涉及设计要点，省略俯视图；不涉及设计要点，省略仰视图；不涉及设计要点，省略后视图。
 6.图形用户界面的用途：显示屏幕面板的图形用户界面显示为球赛订票订单为空时的提示动画的交互界面，所述显示屏幕面板用于手机、平板电脑、电视、电脑。
 7.图形用户界面在产品中的区域：显示屏幕面板中的界面。
 8.图形用户界面的人机交互方式：主视图显示为对球队年卡和订票页面的主界面，界面上方显示为球队年卡和宣传图示，界面中下方显示主场票订单、收货地址、常用观看人、赛事订阅、消息中心、设置等设计元素；变化状态图1为在主视图中点击“主场票订单”图标后所显示的变化图，界面中间显示为纸箱造型，箱中显示卡通老虎形象；变化状态图1为在主视图中点击“收货地址”图标后所显示的变化图，界面中间显示为卡通老虎踢足球的形象；变化状态图3为在主视图中点击“常用观看人”图标后所显示的变化图，界面中间显示为卡通老虎背部和足球的形象。
 使用状态参考图1为实际使用中主视图的参考图。
 本外观设计附着于显示屏幕面板。</t>
  </si>
  <si>
    <t>带球赛订票订单图形用户界面的显示屏幕面板</t>
  </si>
  <si>
    <t>US20220101158A1</t>
  </si>
  <si>
    <t>公开了用于量化由球员使用循环驱动技术返回的球的物理质量的技术,例如在乒乓球中,并基于量化的物理质量生成循环驱动技术的整体质量的相应量化总结。 图像处理技术应用于使用循环驱动技术返回的球的历史视频记录,以量化所述球的物理特性。 使用量化的物理特性生成机器学习模型,以确定特定质量的相对重要性及其对循环驱动技术的整体质量或成功的相应量化值,例如在乒乓球比赛中。</t>
  </si>
  <si>
    <t>捕获和量化循环驱动球指标</t>
  </si>
  <si>
    <t>US11369844B2</t>
  </si>
  <si>
    <t>公开了利用机器学习为运动员的特定身体姿势生成姿势调整值以改进循环驱动技术的技术,例如乒乓球。 分析球员使用循环驱动技术击球的视频剪辑,以确定击球后特定身体姿势和球质量的值。 生成机器学习模型来分析身体姿势值和球质量之间的关系。 在接收到球员使用循环驱动技术击球的现场视频剪辑后,机器学习模型用于生成球员身体姿势的调整值,以将改进的循环驱动质量传递给球,例如更快 上旋。</t>
  </si>
  <si>
    <t>机器学习增强循环驱动训练</t>
  </si>
  <si>
    <t>CN306374190S</t>
  </si>
  <si>
    <t>1.本外观设计产品的名称：显示屏幕面板的车辆位置分享图形用户界面。
 2.本外观设计产品的用途：用于运行程序、信息显示、人机交互等。
 3.本外观设计产品的设计要点：在于屏幕中的图形用户界面的界面内容。
 4.最能表明设计要点的图片或照片：主视图。
 5.图形用户界面的用途：本图形用户界面的设计点在于在界面可查分享车辆位置。
 主视图为车辆停车地图页界面，点击页面下方悬浮框内右侧的分享按钮，界面跳转至车辆位置分享页界面，如界面变化状态图所示，用户可在该界面通过GPS分享车辆位置。
 6.其他说明：该显示屏幕面板应用于交通工具、计算机、笔记本电脑、通讯设备、多媒体设备、信息终端、便携式通讯设备、便携式多媒体设备、便携式信息终端、平板电脑、手机、可穿戴设备、智能手表、健身监视器、头戴式耳机、个人数字助理、智能音箱、电视、机顶盒、游戏系统。</t>
  </si>
  <si>
    <t>显示屏幕面板的车辆位置分享图形用户界面</t>
  </si>
  <si>
    <t>CN306512488S</t>
  </si>
  <si>
    <t>1.本外观设计产品的名称：显示屏幕面板的离线地图下载图形用户界面。
 2.本外观设计产品的用途：用于运行程序、信息显示、人机交互等。
 3.本外观设计产品的设计要点：在于屏幕中的图形用户界面的界面内容。
 4.最能表明设计要点的图片或照片：设计1主视图。
 5.指定设计1为基本设计。
 6.图形用户界面的用途：本图形用户界面的设计点在于在界面可查看离线地图下载详情。
 设计1主视图为更多的显示界面，点击界面中的下载地图栏，界面跳转至离线地图下载页的显示界面，如设计1界面变化状态图1所示，界面中显示下载地图任务状态，点击界面中已完成下载地图任务栏，界面跳转至该下载地图的详情界面，如设计1界面变化状态图2所示。
 设计2主视图为更多的显示界面，点击界面中的下载地图栏，界面跳转至离线地图下载页的显示界面，如设计2界面变化状态图1所示，界面中显示下载地图任务状态，点击界面中下载中任务地图栏，界面跳转至该下载任务地图界面，显示该地图的下载详情，如设计2界面变化状态图2所示。
 设计3主视图为更多的显示界面，点击界面中的下载地图栏，界面跳转至离线地图下载页的显示界面，如设计3界面变化状态图1所示，界面中显示下载地图任务状态，点击界面上方的选择区域栏，界面跳转至选择下载区域界面，如设计3界面变化状态图2所示，用户可在该界面选择地图下载的区域。
 7.其他说明：该显示屏幕面板应用于计算机、笔记本电脑、平板电脑、手机、智能手表、健身监视器、智能音箱、电视、机顶盒。</t>
  </si>
  <si>
    <t>显示屏幕面板的离线地图下载图形用户界面</t>
  </si>
  <si>
    <t>CN306579291S</t>
  </si>
  <si>
    <t>1.本外观设计产品的名称：基于量体操作界面的平板电脑。
 2.本外观设计产品的用途：用于通讯及运行程序。
 3.本外观设计产品的设计要点：在于产品屏幕中的图形用户界面内容，其余部分为惯常设计。
 4.最能表明设计要点的图片或照片：主视图。
 5.平板电脑为惯常设计，省略其它视图。
 6.图形用户界面的用途：用于服装定制。
 7.图形用户界面的人机交互方式：主视图为服装定制系统的主页面。
 点击主视图中部的“高端定制”图标，界面进入变化状态图1。
 变化状态图1向上滑动进入变化状态图2。
 点击变化状态图2“拍摄体型”的收缩菜单，界面进入变化状态图3。</t>
  </si>
  <si>
    <t>基于量体操作界面的平板电脑</t>
  </si>
  <si>
    <t>CN306612336S</t>
  </si>
  <si>
    <t>1.本外观设计产品的名称：显示屏幕面板的查看轨迹详情图形用户界面。
 2.本外观设计产品的用途：用于运行程序、信息显示、人机交互等。
 3.本外观设计产品的设计要点：在于屏幕中的图形用户界面的界面内容。
 4.最能表明设计要点的图片或照片：设计1主视图。
 5.指定设计1为基本设计。
 6.图形用户界面的用途：本图形用户界面的设计点在于在界面可查看运动轨迹详情。
 设计1主视图为地图主页的显示界面，点击界面上方的位置图标，界面跳转至我的运动轨迹列表页界面，如设计1界面变化状态图1所示，点击界面中的任意轨迹列表，跳转至该轨迹详情页界面，如设计1界面变化状态图2所示，界面中悬浮区块1（界面中下部区块）为本次行程的数据汇总，包含行驶日期和时间、里程、最高速度、时长，点击该悬浮区块左侧的播放图标，界面跳转至该次行车路线详情页界面，如设计1界面变化状态图3所示，该界面播放地图中车辆行驶起点至终点的轨迹动态，点击界面悬浮区块右上角按钮，可在弹窗中选择车辆行驶轨迹的不同播放速度，如设计1界面变化状态图4所示。
 设计2主视图为地图主页的显示界面，点击界面上方的位置图标，界面跳转至我的运动轨迹列表页界面，如设计2界面变化状态图1所示，点击界面中的任意轨迹列表，跳转至该轨迹详情页界面，如设计2界面变化状态图2所示，按住界面底部的悬浮区块向上滑动，进入该次行车详情数据界面，如设计2界面变化状态图3所示，该界面中悬浮区块1（界面上部区块）为本次行程的数据汇总，包含行驶日期和时间、里程、最高速度、时长；悬浮区块2（界面中上部区块）为车辆行驶的起始时间；悬浮区块3（界面中部区块）分别为车辆的功率曲线、速度曲线、加速度曲线和扭矩曲线，且横坐标可分别在10KM、20KM和30KM的不同区间内选择查看；悬浮区块34（界面下部）为本次行程中的最高海拔和最低海拔的数据显示。
 7.其他说明：该显示屏幕面板应用于车辆、计算机、笔记本电脑、平板电脑、手机、智能手表、健身监视器、头戴式耳机、个人数字助理、智能音箱、电视、机顶盒。</t>
  </si>
  <si>
    <t>显示屏幕面板的查看轨迹详情图形用户界面</t>
  </si>
  <si>
    <t>KR1020220043364A</t>
  </si>
  <si>
    <t>本发明涉及构建通过大数据提供系统和详细的高尔夫训练内容的应用平台的方法和系统,以及基于从训练对象计算的数据的机器学习系统和对象使用的智能训练机。 
  基于收集到的用户数据,大数据和机器学习系统形成职业高尔夫选手的训练指南、推荐训练课程班级、核心高尔夫教练视频内容,可以通过应用程序传递并展示在用户界面上。</t>
  </si>
  <si>
    <t>基于机器学习的高尔夫训练内容提供方法及应用系统</t>
  </si>
  <si>
    <t>CN112178861B</t>
  </si>
  <si>
    <t>本发明涉及一种健身房空调器的控制方法、装置、控制器及空调系统，所述健身房空调器的控制方法，包括：获取健身房环境数据、功能分区数据和人体数据；根据所述健身房环境数据、功能分区数据和人体数据确定空调器最优运行参数；根据所述空调器最优运行参数对空调进行控制；本发明通过健身房对空调器的实际需求情况，将健身房不同功能区域进行分类，并将人员在不同应用场景下的使用条件数据作为控制空调器运行的输入条件，应用机器学习方法得到人员在不同应用场景和使用条件下的空调器最优运行参数，使用该空调器最优运行参数控制空调器运行，既能满足不同人员的使用习惯，又能实现对各功能区域的空调进行精准控制，有利于实现节能。</t>
  </si>
  <si>
    <t>健身房空调器的控制方法、装置、控制器及空调系统</t>
  </si>
  <si>
    <t>US11521655B2</t>
  </si>
  <si>
    <t>填充视听剪辑(例如,体育赛事的视听剪辑)的技术,目的是使剪辑具有预定的持续时间,以便可以通过机器学习 (ML) 算法评估填充的剪辑是否适合观看者的兴趣。 未填充的剪辑用视听片段填充,这将导致填充的剪辑具有观众感兴趣的水平,如果未填充的剪辑已经更长的话。 在一些实施例中,填充的片段是由生成对抗网络生成的合成图像,使得合成图像将具有相同水平的观众兴趣(如由 ML 算法判断),就好像未填充的剪辑被拍摄得更长一样。</t>
  </si>
  <si>
    <t>用于机器学习的动态视听片段填充</t>
  </si>
  <si>
    <t>CN112183355B</t>
  </si>
  <si>
    <t>本发明公开了一种基于双目视觉和深度学习的出水高度检测系统及其方法，视频采集模块用于采集游泳运动员的比赛视频，视频处理模块用于去除比赛视频中的残影，目标识别和跟踪模块用于进行目标识别和目标跟踪，选择目标的中心点运动轨迹作为目标运动轨迹，三维坐标恢复模块用于计算每个轨迹点对应的深度值，根据深度值形成游泳运动员的三维轨迹，轨迹判断模块用于对所有采集的轨迹进行拟合，当轨迹为抛物线时认定为出水运动员轨迹，高度计算模块用于计算抛物线的最高点与最低点的距离作为游泳运动员的出水高度。本发明提供的出水高度检测系统，能够检测游泳运动员抛出水面的精确高度，为裁判评定动作标准提供客观依据。</t>
  </si>
  <si>
    <t>基于双目视觉和深度学习的出水高度检测系统及其方法</t>
  </si>
  <si>
    <t>CN112215861A</t>
  </si>
  <si>
    <t>本申请属于机器人技术领域，尤其涉及一种足球检测方法、装置、计算机可读存储介质及机器人。所述方法通过机器人的深度相机采集目标区域的二维图像和三维点云数据；使用预设的深度学习目标检测模型在所述二维图像中进行足球检测，输出足球检测框和置信度；若所述置信度大于预设的置信度阈值，则根据所述足球检测框中的三维点云数据确定足球位姿。通过本申请实施例，基于深度学习目标检测技术和三维点云技术，充分结合了二维图像和三维点云数据的优势，即使在使用轻量级模型的情况下，也能达到极高的准确率。</t>
  </si>
  <si>
    <t>US20220101683A1</t>
  </si>
  <si>
    <t>Fantasy Bingo 融合了传统的 Bingo 游戏和幻想运动,将宾果卡的方块替换为运动成就,让玩家通过真实世界的表现来解锁。 这里描述的实施例一般涉及用于利用人工智能和数据科学来改进与幻想体育相关的概率计算的系统、方法和设备。 例如,从 1980 年到 2018 年,NBA 3 分尝试/场比赛从 2.8 次增加到 29 次! 人工智能系统可以动态调整我们的概率计算,以最适合体育运动的趋势。 Fantasy Bingo 也可以根据累积统计在多个游戏中进行。</t>
  </si>
  <si>
    <t>基于数据科学和机器学习的奇幻宾果系统</t>
  </si>
  <si>
    <t>CN306512142S</t>
  </si>
  <si>
    <t>1.本外观设计产品的名称：健身镜。
 2.本外观设计产品的用途：用于运动健身、力量训练，中间屏安装有平板电脑，平板电脑上预装有人机交互app，包括调节健身参数、播放健身课程、互动娱乐。
 3.本外观设计产品的设计要点：在于产品的形状及图案。
 4.最能表明设计要点的图片或照片：使用状态参考图2。</t>
  </si>
  <si>
    <t>健身镜</t>
  </si>
  <si>
    <t>US20210162261A1</t>
  </si>
  <si>
    <t>一种用于为人类对象生成身体活动集的系统,该系统包括计算设备,该计算设备被配置为检测来自可穿戴健身设备的信号,使用活动机器学习模型确定活动概况,并且使用该活动概况生成该信号, 至少一个身体活动集,其中生成进一步包括用来自多个人类受试者的对应活动概况数据对活动概况进行分类,其中对应的活动概况数据将活动概况数据与至少一个身体活动集合相关联,训练健身机- 使用相应的活动概况数据的学习模型,根据活动概况数据和健身机器学习模型生成至少一个身体活动集,并使用以下方法生成活动概况和至少一个身体活动集的表示 图形用户界面。</t>
  </si>
  <si>
    <t>用于为人类对象生成身体活动集的方法和系统</t>
  </si>
  <si>
    <t>CN306479630S</t>
  </si>
  <si>
    <t>1.本外观设计产品的名称：显示屏幕面板的网络解题赛态势图形用户界面。
 2.本外观设计产品的用途：用于显示信息。
 该显示屏幕面板用于电脑或平板显示屏。
 3.本外观设计产品的设计要点：在于屏幕中的图形用户界面内容，包括设备布局、题目布局、参赛队伍形象及队伍布局和交互方式。
 4.最能表明设计要点的图片或照片：主视图。
 5.不涉及设计要点，省略后视图、左视图、右视图、俯视图、仰视图。
 6.图形用户界面的用途：用于展示参赛队伍和参赛选手的网络解题态势。
 7.图形用户界面的人机交互方式：主视图为整个解题赛模式的图形界面，中间区域为设备区域及题目的展示，周围则是队伍布局展示，顶部区域分别显示Logo、赛事名称、比赛倒计时。
 屏幕右下角按钮切换相机视角可以对整个区域及队伍动作不同角度地进行展示，可以通过快捷键交互方式控制相机进行前后移动以及控制相机视角方向左右、上下转动，转动的速度取决于快捷键的操作的频率。
 当相机移动到区域角落斜上方时，呈现界面变化状态图1；当相机移动到区域正上方时，呈现界面变化状态图2；当相机聚焦到互联网云模型区域时，呈现界面变化状态图3；当相机聚焦到某个题目区域时，呈现界面变化状态图4；在队伍开始解题时，当相机移动到区域正上方时，呈现界面变化状态图5；在队伍开始解题时，当相机移动到区域某个角落时，呈现界面变化状态图6；在队伍解题成功时，呈现界面变化状态图7。
 界面中的文字和与内容相关的图片仅用于指明内容所在位置，具体的文字或图片内容并非本外观设计的保护内容。</t>
  </si>
  <si>
    <t>显示屏幕面板的网络解题赛态势图形用户界面</t>
  </si>
  <si>
    <t>CN213698690U</t>
  </si>
  <si>
    <t>本实用新型提供了一种跑步机多功能防护系统，包括：信息验证模块、生理状态检测模块、信息处理模块、显示模块、无线通信模块、安全报警模块、气垫保护模块和音娱模块；所述信息验证模块用于验证使用者的身份信息；所述生理状态检测模块用于检测使用者的生理状态；所述信息处理模块包括微处理器和存储器；所述显示模块用于显示使用者实时心率和用户身份信息以及气垫保护模块的启闭状态；所述无线通信模块包括ZIGBEE接收模块和WIFI模块；所述安全报警模块用于在使用者心率过快和摔倒时进行报警；所述音娱模块包括语音识别单元和音乐播放单元，所述音娱模块用于在使用者跑步时进行音乐播放，本实用新型适用性和安全性高且功能多样。</t>
  </si>
  <si>
    <t>一种跑步机多功能防护系统</t>
  </si>
  <si>
    <t>IN202021040818A</t>
  </si>
  <si>
    <t>本发明总体上涉及神经-脊柱医学数据分析,并且具体地涉及用于提供关于由身体活动引起的背痛和颈部疼痛引起的问题的有效数据的过程。 该过程包括以下步骤:用户将与背部和颈部区域相关的数据输入到移动应用程序界面中; 将输入的数据传输到服务器进行数据预处理; 使用服务器中的多分类器构建模型,对输入的数据进行数据处理; 使用机器学习和数据分析技术将输入的数据与服务器中预先存储的数据进行比较,其中预先存储的数据与背痛和颈部疼痛的医疗报告有关; 服务器向移动应用界面提供预测和补救建议; 在移动应用界面的屏幕上向用户显示报告。</t>
  </si>
  <si>
    <t>提供有关因体育活动引起的背痛和颈部疼痛问题的有效数据的过程</t>
  </si>
  <si>
    <t>CN112221108A</t>
  </si>
  <si>
    <t>本发明公开了一种篮球训练分析方法、系统及存储介质。所述篮球训练分析方法包括：通过超宽带无线通信定位技术实时获取球员球场位置数据；通过RGB摄像头采集球员姿态数据；根据所述球员球场位置数据和球员运动姿态数据制定篮球训练方法。本发明通过超宽带无线通信定位技术实时获取球员球场位置数据以及通过RGB摄像头采集球员姿态数据，并结合深度学习与机器视觉技术对数据进行挖掘和分析，建立篮球战术数学模型，在此基础上利用专家系统对球员的战术进行预判和分析，从而达到提升战术执行度，提高球员与团队的篮球能力，解决篮球训练缺乏技术支持，训练效率低，针对性不强的问题。</t>
  </si>
  <si>
    <t>一种篮球训练分析方法、系统及存储介质</t>
  </si>
  <si>
    <t>US20210170229A1</t>
  </si>
  <si>
    <t>本文公开了使用人工智能在体育比赛中提供战略游戏推荐的系统和方法。 在一个示例性方面,一种方法可以包括在一段时间内从分布在体育比赛环境中的多个传感器接收图像和深度信息,并生成体育比赛的统一视觉表示。 该方法可以包括识别统一视觉表示中的至少一名玩家并接收与该至少一名玩家相关联的策略,其中该策略包括游戏事件期间的玩家移动信息。 响应于基于至少一名玩家在一段时间内的位置数据确定游戏事件正在发生,该方法可以包括为至少一名玩家生成战略游戏推荐以实施该策略并最小化遭遇 与游戏障碍。</t>
  </si>
  <si>
    <t>使用人工智能在体育比赛中提供战略游戏推荐的系统和方法</t>
  </si>
  <si>
    <t>CN213667847U</t>
  </si>
  <si>
    <t>本实用新型公开了一种篮球训练分析系统。所述篮球训练分析系统包括：球员球场位置数据获取模块，球员姿态数据获取模块，数据分析模块；所述球员球场位置数据获取模块和所述球员姿态数据获取模块均与所述数据分析模块连接；所述球员球场位置数据获取模块包括：设置在篮球场周边的至少三个超宽带无线通信基站、与所述超宽带无线通信基站通信连接的超宽带无线通信标签；球员姿态数据获取模块包括：RGB摄像头。本实用新型通过超宽带无线通信定位技术实时获取球员球场位置数据以及通过RGB摄像头采集球员姿态数据，并结合深度学习与机器视觉技术对数据进行挖掘和分析，解决篮球训练缺乏技术支持，训练效率低，针对性不强的问题。</t>
  </si>
  <si>
    <t>一种篮球训练分析系统</t>
  </si>
  <si>
    <t>IN202011040658A</t>
  </si>
  <si>
    <t>本发明公开了一种能够提高学生在理论、实践、行为、体育、文化活动和生活技能学习领域的表现,从而改善个人生活的指导系统。 反馈系统能够更准确地生成反馈,从而轻松识别学生的弱点和优势领域 反馈系统能够从所有相关利益相关者的角度理解学生,从而生成具有改进领域的评级 ,该系统还具有通过遵循 CTG(教练、培训和指导)循环来解决薄弱环节的能力。 该系统使用人工智能方法在理论、实践、行为、体育、文化活动和生活技能领域推荐导师,并自动将导师分配给导师,监控进度并在需要时提出纠正措施。</t>
  </si>
  <si>
    <t>使用人工智能指导学生的优化记分卡及其方法</t>
  </si>
  <si>
    <t>CN112291574B</t>
  </si>
  <si>
    <t>本发明公布了一种基于人工智能技术的大型体育赛事内容管理系统，并包括采集模块，存储模块，自动编目模块，检索模块，集锦生成模块。本发明的技术方案的有益效果在于：本技术方案能够生成过渡自然的多种视频集锦；自动生成准确的视频帧图像的标记，并根据标记和自动生成的索引目录进行匹配从而检索出对应的视频，这方便了体育赛事在全球范围内的转播、新闻的报道以及观众的直接观看，节省了后期的人力物力，降低了总体成本。</t>
  </si>
  <si>
    <t>一种基于人工智能技术的大型体育赛事内容管理系统</t>
  </si>
  <si>
    <t>CN112131995A</t>
  </si>
  <si>
    <t>本申请公开了一种动作分类方法、装置、计算设备、以及存储介质。所述方法包括：利用卷积神经网络对输入的视频图像提取特征数据；选择时域最优深层特征数据；计算损失差异；将所述时域最优深层特征数据与损失差异共同反馈到所述卷积神经网络的训练过程中；使用完成训练的卷积神经网络对视频中运动员的动作进行分类。所述装置包括提取模块、选择模块、计算模块、训练模块和分类模块。所述计算设备包括存储器、处理器和存储在所述存储器内并能由所述处理器运行的计算机程序，所述处理器执行所述计算机程序时实现本申请所述的方法。所述存储介质内存储有计算机程序，所述计算机程序在由处理器执行时实现本申请所述的方法。</t>
  </si>
  <si>
    <t>一种动作分类方法、装置、计算设备、以及存储介质</t>
  </si>
  <si>
    <t>CN112163476A</t>
  </si>
  <si>
    <t>本发明实施例公开了一种基于图像识别的电竞比赛赛况数据获取方法，主要步骤有加载比赛直播视频，采用自调整算法截取比赛画面，插入待识别队列中。导入图像分类特征数据，引用图像分类算法，从待识别队列中获取比赛场景画面并归类。采用比赛场景特征区域提取算法，提取并生成场景特征数据。导入场景特征数据，展示所有场景图片，编辑场景名称和框画场景内识别内容信息，保存为场景配置和识别内容配置。导入场景配置数据，识别比赛场景名称，导入识别内容配置，识别场景内所有内容，并按编辑的配置格式，输出识别数据。采用本发明，能够方便地从电竞比赛赛况视频数据中提取有用的数据信息。</t>
  </si>
  <si>
    <t>一种基于图像识别的电竞比赛赛况数据获取方法</t>
  </si>
  <si>
    <t>CN306561827S</t>
  </si>
  <si>
    <t>1.本外观设计产品的名称：显示屏幕面板的设定及引导图形用户界面。
 2.本外观设计产品的用途：本外观设计产品用于手机、计算机、平板电脑、下肢训练机、健身器材的显示屏幕面板的交互和显示。
 3.本外观设计产品的设计要点：在于显示屏幕面板中功能参数设定及引导动态图形用户界面的界面内容。
 4.最能表明设计要点的图片或照片：界面变化状态图3。
 5.不涉及设计要点，省略后视图、左视图、右视图、俯视图和仰视图。
 6.图形用户界面的用途：在于功能参数设定及引导动态图形用户界面。
 7.图形用户界面的人机交互方式：主视图为初始界面。
 界面变化状态图1显示使用者点选主视图的其中一个按钮时产生横条状选单，供使用者点选操作选单显示的功能。
 界面变化状态图2显示使用者点选主视图的另一个按钮时产生直条状选单，供使用者点选操作选单显示的功能。
 界面变化状态图3显示使用者点选主视图的多个按钮时产生横条状选单及对开的直条状选单，供使用者点选操作选单显示的功能。
 界面变化状态图4显示主视图于使用时根据用户状态改变脚印的涂色。</t>
  </si>
  <si>
    <t>显示屏幕面板的设定及引导图形用户界面</t>
  </si>
  <si>
    <t>CN112070411A</t>
  </si>
  <si>
    <t>本发明提供了一种评估篮球联赛新球员与球队适应程度的方法，包括如下步骤：S10获取新球员a的配置参数S1，设置与新球员a同一类别的球队中已有球员数量m，当m∈[2,5]时，S1＝0.3，否则，S1＝0；S20获取新球员a的符合参数S2，使用神经网络模型对新球员a进行分类，当新球员a的类型为非常符合时S2＝0.4，当球员类型为一般符合时S2＝0.2，当球员类型为不符合时S2＝0；S30获取赛场表现参数S3，表现稳定输出为S3＝0.3，否则S3＝0；以及S40ST值越高表示新球员对球队的适应程度越高，其中ST＝S1+S2+S3。本发明的一种评估篮球联赛新球员与球队适应程度的方法，使用适应参数ST对新球员与球队的适应程度进行评价比人为的评价更加的客观、准确、真实以及实用，为球队挑选出适应程度较高的新球员。</t>
  </si>
  <si>
    <t>一种评估篮球联赛新球员与球队适应程度的方法</t>
  </si>
  <si>
    <t>CN306443839S</t>
  </si>
  <si>
    <t>1.本外观设计产品的名称：用于跑步机的系统操作图形用户界面。
 2.本外观设计产品的用途：通过操作跑步机的速度使用户被动的跑步或走动，实现用户锻炼的目的。
 3.本外观设计产品的设计要点：在于图形用户界面的内容、布局。
 4.最能表明设计要点的图片或照片：主视界面使用状态参考图。
 5.由于跑步机为现有设计，省略后视图;由于跑步机为现有设计，省略左视图;由于跑步机为现有设计，省略右视图;由于跑步机为现有设计，省略俯视图;由于跑步机为现有设计，省略仰视图。
 6.图形用户界面的用途：提供操作界面，以供用户在操作界面上进行操作。
 7.图形用户界面的人机交互方式：主视界面参考图为交互界面，点击主视界面参考图的智能跑步按钮变化至界面变化状态图1，点击界面变化状态图1的距离模式按钮变化至界面变化状态图2，点击界面变化状态图2 的心率控速按钮再点击开始（start）变化至界面变化状态图3，点击界面变化状态图3的速度按钮变化至界面变化状态图4，点击主视界面参考图的实景模式按钮变化至界面变化状态图5（界面变化状态图5中灰色部分属于可变内容画面，具体可参考界面5参考图），点击主视界面参考图的多媒体按钮变化至界面变化状态图6，点击主视界面参考图的系统设置按钮变化至界面变化状态图7。</t>
  </si>
  <si>
    <t>用于跑步机的系统操作图形用户界面</t>
  </si>
  <si>
    <t>CN306443840S</t>
  </si>
  <si>
    <t>1.本外观设计产品的名称：用于跑步机的系统操作图形用户界面。
 2.本外观设计产品的用途：通过操作跑步机的速度使用户被动的跑步或走动，实现用户锻炼的目的。
 3.本外观设计产品的设计要点：在于图形用户界面的内容、布局。
 4.最能表明设计要点的图片或照片：主视界面使用状态参考图。
 5.由于跑步机为现有设计，省略后视图;由于跑步机为现有设计，省略左视图;由于跑步机为现有设计，省略右视图;由于跑步机为现有设计，省略俯视图;由于跑步机为现有设计，省略仰视图。
 6.图形用户界面的用途：提供操作界面，以供用户在操作界面上进行操作。
 7.图形用户界面的人机交互方式：主视界面参考图为交互界面，点击主视界面参考图的智能跑步按钮变化至界面变化状态图1，点击界面变化状态图1的预设程式按钮变化至界面变化状态图2，点击界面变化状态图2 的心率控速按钮变化至界面变化状态图3，点击界面变化状态图3的开始按钮变化至界面变化状态图4，点击主视界面参考图的用户中心按钮变化至界面变化状态图5，点击主视界面参考图的多媒体按钮变化至界面变化状态图6，点击主视界面参考图的实景模式按钮变化至界面变化状态图7（界面变化状态图7中灰色背景部分为可变内容画面，具体参考界面7参考图），点击主视界面参考图的设置按钮（齿轮形状）变化至界面变化状态图8。</t>
  </si>
  <si>
    <t>CN212998192U</t>
  </si>
  <si>
    <t>本实用新型公开一种人工智能医疗康复设备，包括有跑步机本体，所述跑步机本体两侧设置有升降机构，所述升降机构上设置有扶手，在所述扶手上连接有操控面板，在所述操控面板上设置有人脸识别装置，所述人脸识别装置和所述升降机构进行信号连接，本实用新型解决了现有人工智能康复设备中存在的不足，本实用新型的人工智能行走康复机能根据患者的身高自动调节控制面板和扶手的高度，不需要患者进行调节，和智能化时代接轨，能更加智能化的进行设备高度的调节，实现自适应的目的，且结构简单，使用方便。</t>
  </si>
  <si>
    <t>一种人工智能医疗康复设备</t>
  </si>
  <si>
    <t>KR102282356B1</t>
  </si>
  <si>
    <t>本发明提出了一种基于物联网的体育赛事监控系统 另外,由于本发明提出了一种基于物联网的体育赛事监控系统,可以看作是将第四产业技术嫁接到体育赛事监控技术上。</t>
  </si>
  <si>
    <t>基于物联网的运动监测系统</t>
  </si>
  <si>
    <t>US11328161B2</t>
  </si>
  <si>
    <t>带有脚位识别的事件计时和摄影系统</t>
  </si>
  <si>
    <t>CN112122187A</t>
  </si>
  <si>
    <t>本发明公开的一种用于清洗跑步机履带的人工智能装置，包括机箱，所述机箱上侧固设有固定杆，所述固定杆上侧固设有用于人工操控的智能模板，所述机箱内设有开口向上的跑步腔，所述跑步腔后壁内转动连接有右带轮轴，所述右带轮轴上固设有右带轮，所述跑步腔后壁内转动连接有位于所述右带轮轴左侧的左带轮轴，所述左带轮轴上固设有左带轮，本发明相比于传统的跑步机，首先，本发发明能通过气缸的启动带动丝杠转动从而带动清洁箱前后移动对跑步机履带进行清洁，此外，清洁箱内的水管能规律收紧和松开水管从而保护水管，防止水管因为胡乱绕线而缩短寿命。</t>
  </si>
  <si>
    <t>一种用于清洗跑步机履带的人工智能装置</t>
  </si>
  <si>
    <t>US11354939B2</t>
  </si>
  <si>
    <t>CN112085761A</t>
  </si>
  <si>
    <t>本申请提供了一种乒乓球轨迹捕捉分析方法及分析系统，分析方法包括：基于稀疏卷积神经网络对采集到的图像中的乒乓球进行检测，得到乒乓球检测结果；对双目图像中的多个乒乓球进行匹配、重建和筛选，得到有效运动目标乒乓球的空间坐标点；利用有效运动目标乒乓球的空间坐标点，得到有效乒乓球轨迹；根据有效乒乓球轨迹对乒乓球训练效果和竞技对打技战术进行分析。本申请能够在具有多球的复杂环境中实时捕捉高速、高旋转乒乓球飞行轨迹，智能分析乒乓球轨迹中包含的技战术特点，储存分析多组乒乓球轨迹的统计信息，能够满足对高水平运动员竞技对打的分析需求，也能够满足在乒乓球训练过程中对训练效果的分析与评价需求。</t>
  </si>
  <si>
    <t>乒乓球轨迹捕捉分析方法及分析系统</t>
  </si>
  <si>
    <t>KR102196793B1</t>
  </si>
  <si>
    <t>本发明允许专业培训师和一个或多个成员实时查看彼此的视频,并通过提供和接收反馈来进行在线课程,但在这个过程中,通过分析人工智能成员的视频来提供反馈。 time 它涉及配置为的非面对面培训系统 
  根据本发明的使用人工智能的非面对面培训系统通过培训师应用程序的安装和运行连接到管理服务器以请求成员招募,并且将实时教练视频传输到管理服务器. 通过安装和执行培训师终端和会员应用程序,使招募的会员能够进行在线课程,在线课程期间实时查看会员视频并显示在屏幕上并提供反馈通过访问管理服务器,会员可以直接选择或自动选择教练,将实时接收到的教练视频显示在屏幕上,并将实时拍摄的会员视频传输到管理服务器,以便会员参与在线课程,接收并存储传输过来的教练视频来自会员终端和讲师终端,允许用户在在线课程期间查看实时提供的反馈,并实时提供给会员终端,并从会员终端发送 其特征在于,其被配置为包括管理服务器,该管理服务器接收并存储会员图片,实时提供给培训师终端,通过人工智能分析会员图片,实时反馈。</t>
  </si>
  <si>
    <t>使用人工智能的非面对面培训系统</t>
  </si>
  <si>
    <t>CN306612329S</t>
  </si>
  <si>
    <t>1.本外观设计产品的名称：带赛事情况查看图形用户界面的显示屏幕面板（赛事卡片）。
 2.本外观设计产品的用途：运行程序及显示，该图形用户界面可用于手机的显示屏幕。
 3.本外观设计产品的设计要点：在于屏幕中图形用户界面的界面内容。
 4.最能表明设计要点的图片或照片：变化状态图1。
 5.无设计要点，省略后视图、左视图、右视图、俯视图和仰视图。
 6.图形用户界面的用途：本外观设计用于展现赛事类型及情况，让用户能够快速查找自己想要观看的比赛内容。
 7.图形用户界面的人机交互方式：如主视图所示，界面默认显示赛事后24小时、直播中比赛、未开始比赛；赛后24小时默认显示在页面顶部，内容包括24小时标题及比赛卡片；将主视图的比赛卡片横滑到最后，列表可自动向上定位到当前时间点24小前第一场比赛，得到如变化状态图1所示；变化状态图1所示的折叠卡片样式应用于非重要赛事显示，默认收起，点击“还有*场”可展开显示所有赛事，得到如变化状态图2所示。</t>
  </si>
  <si>
    <t>带赛事情况查看图形用户界面的显示屏幕面板（赛事卡片）</t>
  </si>
  <si>
    <t>US11328534B2</t>
  </si>
  <si>
    <t>一种用于基于显示人的锻炼活动的图像帧序列来监视进行体育锻炼的人的方法。 该方法包括基于图像帧序列,使用神经网络为每个图像帧提取一组身体关键点,该组身体关键点指示图像帧中的人的姿势; 基于每个图像帧中的身体关键点的子集,得出指示人的运动进程的至少一个特征参数; 通过评估至少一个特征参数的时间进程来检测开始循环条件,所述开始循环条件指示在进行体育锻炼时从人的开始姿势到人的运动的转变,其中锻炼循环包括 一次重复的体育锻炼; 通过评估至少一个特征参数的时间进程来检测结束循环条件,所述结束循环条件指示从人在进行体育锻炼时的运动到中间姿势的转变,其中,作为结果,开始 确定循环的次数和循环的结束; 根据循环的开始和循环的结束,推导体育锻炼的单个循环的时间段,并评估时间段。</t>
  </si>
  <si>
    <t>CN112040272A</t>
  </si>
  <si>
    <t>本申请提供了一种体育赛事智能解说方法、服务器及显示设备。其中，显示设备可以将当前播放的体育赛事内容实时发送到服务器；服务器根据体育赛事内容的场景分类结果从深度学习模型中获得对应的目标解说词，并将目标解说词发送给显示设备；显示设备再将目标解说词以语音的方式与体育赛事内容同步播出。由服务器中的深度学习模型生成与显示设备当前播放内容相匹配的解说词，显示设备可以以这种解说词替代真人解说员进行解说，进而避免真人解说员带有个人主观情感而产生的解说内容不公正或者解说观点带地域偏袒性的问题；由于深度学习模型是由大量历史赛事数据训练而来的，因此由服务器提供的解说词相比于真人解说员的解说内容也可以更加具有专业性。</t>
  </si>
  <si>
    <t>体育赛事智能解说方法、服务器及显示设备</t>
  </si>
  <si>
    <t>JP2022513781A</t>
  </si>
  <si>
    <t>实施例公开了一种目标属性检测方法、神经网络训练方法和智能跑步方法、装置、电子设备、计算机存储介质和计算机程序。 目标属性检测方法包括:对待处理图像进行语义分割;确定待处理图像的掩膜图像,掩膜图像表示目标在待处理图像中的位置。基于掩膜图像确定目标图像的属性特征图中属于目标的属性特征,其中,目标图像的属性特征图表示目标图像的属性。目标。</t>
  </si>
  <si>
    <t>目标属性检测、神经网络训练与智能驾驶方法、装置</t>
  </si>
  <si>
    <t>CN306321707S</t>
  </si>
  <si>
    <t>1.本外观设计产品的名称：显示屏幕面板的斗歌智能快评图形用户界面。
 2.本外观设计产品的用途：用于显示信息。
 3.本外观设计产品的设计要点：在于屏幕中的图形用户界面。
 4.最能表明设计要点的图片或照片：设计1主视图。
 5.指定设计1为基本设计。
 6.图形用户界面的用途：本外观设计图形用户界面为显示屏幕面板的斗歌智能快评图形用户界面，图形用户界面用于展示斗歌比赛内容和为用户提供斗歌智能快评的操作等。
 7.图形用户界面的人机交互方式：设计1至设计4主视图为斗歌比赛页，用户可点击界面中的任意控件执行更多操作。
 如点击界面底部智能快评标签发送表情或文字评论，也可点击输入框入口拉起全部表情进行点击发送评论。
 设计5主视图为斗歌比赛页展开表情选项内容界面，用户可点击界面下方表情选项进行发送表情评论等操作。
 8.该显示屏幕面板可用于手机，计算机，平板电脑，车载中控屏幕，智能电视。</t>
  </si>
  <si>
    <t>显示屏幕面板的斗歌智能快评图形用户界面</t>
  </si>
  <si>
    <t>CN213182666U</t>
  </si>
  <si>
    <t>本实用新型涉及人机交互健身技术领域，且公开了一种穿戴式人机交互设备，包括设备本体，所述设备本体的左右两侧开设有弯曲回收腔，所述弯曲回收腔内部的左侧固定安装有软板一，所述软板一的左侧固定连接有弹簧二和电动伸缩杆一，所述弹簧二的右侧和电动伸缩杆一的右侧固定连接有橡胶管，所述橡胶管的内部固定安装有橡胶棒，所述橡胶棒的外表面缠绕有弹簧一。该穿戴式人机交互设备，通过自动收紧袋，启动操作台上的启动按钮，使自动收紧袋内部的伺服马达二进行旋转，当连接带二处于紧绷状态，伺服马达二停止旋转，电动伸缩杆三带动着卡紧板二向卡紧板一进行运动使连接带二处于卡紧状态，从而让该设备紧贴身体，使锻炼效果更好。</t>
  </si>
  <si>
    <t>一种穿戴式人机交互设备</t>
  </si>
  <si>
    <t>WO2021066985A1</t>
  </si>
  <si>
    <t>提供了用于指导和行为建议的基于计算机的系统和方法,例如教育者指导建议和干预计划。 该系统处理不同的教育相关数据,使用计算效率高、基于矩阵的推荐算法处理数据,并通过使用学生相关数据确定需要和资源以确定哪些学生需要支持,将学生分组,并生成定制的 教练的干预计划。 系统可以在上传数据之前自动识别和确认数据文件类型,并且可以容纳以多种文件格式存储的学生数据。 此外,系统可以执行一种或多种机器学习算法,这些算法处理与教育者干预有关的数据,以便更快地为教练生成推荐,并改进系统的未来推荐。</t>
  </si>
  <si>
    <t>基于计算机的教学和行为推荐系统和方法</t>
  </si>
  <si>
    <t>US20210110476A1</t>
  </si>
  <si>
    <t>一个使用人工智能的财务和绩效指数系统和流程,为专业运动员和运动队提供一个可测量的实时专业运动员合同价值,该合同价值源自机器学习算法,这些算法使用历史和当前的绩效数据来监控和预测专业运动员当前和未来轨迹的见解 运动员表现和发展、团队财务、合同谈判、专业团队安置、职业发展、专业团队名册收购交易。 本公开的系统和过程提供透明度和平衡,以及专业运动员和团队在整个赛季、之前的赛季和未来赛季的实时财务和表现洞察力,他们用来增强决策过程。</t>
  </si>
  <si>
    <t>为专业运动员和团队使用人工智能的实时财务和绩效体育指数平台</t>
  </si>
  <si>
    <t>CN112044046B</t>
  </si>
  <si>
    <t>本发明涉及一种基于深度学习的跳绳计数方法，属于智能健身运动设备技术领域。包括：1)获取跳绳动作的原始视频数据，从原始视频数据中提取出图像数据；2)读取视频图像，逐帧压缩视频尺寸；3)用Farneback稠密光流算法处理压缩后的视频，输出一个新的BGR视频；4)利用训练好的分类模型对BGR视频中每一帧图像进行分类；5)根据分类结果判断跳绳状态；6)根据跳绳状态变化对跳绳进行计数；7)结果输出并显示。通过对获得的图像数据进行预处理，然后利用训练好的模型分类，并根据分类结果判断当前运动状态，最后统计跳绳状态变化次数进行计数。该方法准确率高，计数速度快，具有很高的应用价值。</t>
  </si>
  <si>
    <t>基于深度学习的跳绳计数方法</t>
  </si>
  <si>
    <t>US11170004B2</t>
  </si>
  <si>
    <t>本文公开了一种使用户能够与现场体育动态交互的应用程序。 算法生成影响体育博彩者行为的用户定制编辑内容,以提高参与度和管理风险。 通过向投注者展示可能影响他们可能希望投注的方面的编辑内容(例如,通过指出某个玩家的表现特别好或特别差),体育博彩可以影响投注比率(或者更好的是,美元 下注)在给定事件的任何一方。 在更个人的层面上,通过向用户展示增加他们参与度的内容——例如关于最喜欢的球员或本地球队的内容——这本书可以提高用户的总体投注倾向,并很好地了解哪些类型的投注 用户很可能会青睐。</t>
  </si>
  <si>
    <t>机器学习编辑与影响用户行为的预测查询配对</t>
  </si>
  <si>
    <t>AU2020102010A4</t>
  </si>
  <si>
    <t>我们的发明“PAM-Physical Fitness”是一种过程和计算机程序,用于根据从多个设备获取的多个数据流创建统一的数据流。 发明的单一方法包括用于从设备接收活动数据流的操作,每个活动数据流与任何用户的身体活动数据相关联。 本发明的方法还包括在一段时间内组装统一的活动数据流的操作。 统一活动数据流包括来自至少两个设备的数据流的数据段,并且数据段在时间段上按时间组织。 服务器包括通信模块、存储器和处理器。 通信模块可操作用于从多个设备接收多个活动数据流,并且每个活动数据流与用户的身体活动数据相关联。 本发明的方法存储器可操作以存储多个活动数据流和包括来自多个设备中的至少两个设备的数据流的数据段的统一活动数据流。 此外,处理器可用于在一段时间内为用户组装统一的活动数据流。 23 Vineet Tirth 博士(副教授) Ram Karan Singh 博士(教授) Manisha Bhatkulkar 博士(副教授) Neeraj Kumar Shukla 博士(副教授) M. Ramkumar Raja 博士(副教授) Shilpi Birla 博士(副教授) 教授) Prof.(Dr.) S. B. Chordiya (Director-SIMMC-Campus) TOTAL NO OF SHEET: 07 NO OF FIG: 09 Home Ar Quality DQAnl-arO r tiCon 5A4 Po~en Count - medium UV indexbigh idak 0.3 ppm 一氧化碳 -aceptable 6. rdsenw 暴露小时数=3.5,低风险 43 分钟 s hors 1253 步(-SlEp Elency 0 0 emm Tys-.0e meway UM a... Ie~w aVws E-I~aMmy Low mosem Fig1: IS A 可以在一个人的日常工作中收集的图表数据。</t>
  </si>
  <si>
    <t>pam-physical Fitness:使用机器学习编程预测健身和身体活动水平</t>
  </si>
  <si>
    <t>CN112036291A</t>
  </si>
  <si>
    <t>本发明提供了一种基于运动大数据和深度学习的运动学数据模型构建方法，涉及体育训练技术领域，能够极大提高人体行为的识别准确率和行为预测的准确性；该方法步骤包括S1、处理运动视频集得到训练数据并输入LSTM网络中进行训练，得到训练好的LSTM网络；S2、处理待测试运动视频集得到测试数据并输入训练好的LSTM网络中进行测试，得到测试结果；处理视频包括：将运动视频集输入行为捕捉和运动分析系统中得到特征数据；将特征数据输入VGG‑16Net中得到姿态数据；将姿态数据输入CNN网络中进行人体姿态识别得到识别数据；将识别数据输入RNN网络中得到动态特征数据。本发明提供的技术方案适用于体育运动数据处理的过程中。</t>
  </si>
  <si>
    <t>基于运动大数据和深度学习的运动学数据模型构建方法</t>
  </si>
  <si>
    <t>KR1020220027624A</t>
  </si>
  <si>
    <t>涉及一种用于电子竞技教育的电子竞技策略优化方法,提供了一种用于策略分析的强化学习模型和模型的轻量化优化方法,此时提出了一种用于实时比赛的强化学习模型算法提供了分析。 在强化学习过程的Observation过程中,从电竞游戏中获取实时观察值,获取到的观察值经过Deep RL Agent处理,Deep Neural Network的输入值是在一个批次中生成的。 然后,由观测值得​​到的状态值s(t)和状态值s(t)经过推理过程,得出动作值a(t),此时状态值s(t)为奖励 r(t) ) 来生成一个值。 将最近创建的值存储在 Experience Buffer 中,以尽量减少对生成的状态、动作和奖励值访问外部存储器,策略网络更新深度神经网络的权重并接收输入值的多-批。 为了加速操作,所有环境都与模拟器并行分配和计算。</t>
  </si>
  <si>
    <t>用于优化电子竞技策略的强化学习模型以及轻量化和优化模型的方法</t>
  </si>
  <si>
    <t>CN112016007A</t>
  </si>
  <si>
    <t>本发明公开了一种基于物联网的城市跑步推荐系统、方法、装置及设备，系统包括：设置于城市中的多个智慧杆、中心服务器以及用户终端；所述智慧杆，包括有多个环境采集传感器，用于通过各个环境采集传感器采集附近的环境参数，并将所述环境参数发送给所述中心服务器；所述中心服务器，用于根据由各个智慧杆的环境采集传感器采集的环境参数，预估各个目标道路的在多个时间段的跑步适宜程度情况，并将所述多个时间段的跑步适宜程度情况发送给用户终端；所述用户终端，用于在显示界面上显示相应目标道路在多个时间段的跑步适宜程度情况。本发明能向用户智能的推荐跑步的时间和道路，提高跑步锻炼的安全性和效果。</t>
  </si>
  <si>
    <t>基于物联网的城市跑步推荐系统、方法、装置及设备</t>
  </si>
  <si>
    <t>ID202204820A</t>
  </si>
  <si>
    <t>在这次大流行期间,不允许进行所有带来大量人员的活动,因为它们将成为冠状病毒(covid-19)的传播集群,这将导致所有经济、社会或体育活动受到此次疫情的影响。 这种情况会影响体育界的经济,从而对体育俱乐部的财务产生影响,因为没有比赛或观众不亲眼目睹的比赛。 这就是想法的由来,让观众看起来好像在体育场观看比赛,而不是在体育场,即制作一个可以远程控制的机器人,可以根据我们的愿望。 安装在体育场内的机器人可以调节光学变焦、观众的视角以及远处我们的尖叫声。 每个机器人都连接到计算机网络,以便将其控制权和转播权出售给对俱乐部狂热的球迷,以便委员会和俱乐部可以在体育场内没有观众的情况下进行比赛,但仍然可以从门票中获得资金销售观众机器人控制权。 观众可以在拥有控制权后控制该观众机器人,选择机器人的位置观看直播,调整机器人的视角,放大和缩小显示屏,并可以通过互联网传输的声音鼓励玩家,由体育场或游戏厅的扬声器发出。</t>
  </si>
  <si>
    <t>比赛的观众机器人直接基于物联网</t>
  </si>
  <si>
    <t>CN114100101B</t>
  </si>
  <si>
    <t>本申请提供一种跑步姿态检测方法及设备，该方法应用于人工智能、人机交互领域。该方法可以由第一设备执行，第一设备可以是可穿戴设备或者终端设备，该方法包括：第一设备获取用户当前的跑步活动数据和用户的特征信息，第一设备确定与用户的特征信息对应的N类跑姿参数的参考取值区间，第一设备从M类跑姿参数中，确定M类跑姿参数的采样值未落入N类跑姿参数的参考取值区间的K个跑姿参数，K个跑姿参数包括着地冲击力，第一设备确定K个跑姿参数中的L个跑姿参数与着地冲击力之间的L个相关系数，第一设备输出与L个相关系数对应的用户的跑步姿态检测结果。该方法可以对用户的跑步姿态评价，以指导用户正确、健康的跑步。</t>
  </si>
  <si>
    <t>一种跑步姿态检测方法及设备</t>
  </si>
  <si>
    <t>US11710317B2</t>
  </si>
  <si>
    <t>用于评估运动能力和生成表现数据的方法、系统和计算机程序产品。 在一个实施例中,运动员表现数据是通过对例如在练习或比赛期间的运动表现的视频进行计算机视觉分析来生成的。 所生成的运动员的表现数据可以包括例如最大速度、最大加速度、达到最大速度的时间、转换时间(例如,改变方向的时间)、接近速度(例如,拉近与另一运动员的距离的时间)、平均间隔(例如,运动员与另一运动员之间)、比赛组织能力、运动能力(例如,加权计算和/或多个度量的组合)和/或其他表现数据。 该表现数据可用于生成和/或更新与运动员相关联的档案,其可用于以更高的效率和精度招募、侦察、比较和/或评估运动员。</t>
  </si>
  <si>
    <t>CN213150090U</t>
  </si>
  <si>
    <t>本实用新型公开了一种基于BDS与GPS的教练车辅助驾驶结构，包括结构主体，其特征在于，结构主体的一侧设置有活动轮，活动轮的一侧设置有马达，结构主体的一侧设置有控制器、底板、避障模块和BDS/GPS+GPRS模块。本实用新型通过综合运用BDS/GPS定位、GPRS通讯、Arduino单片机等技术，设计了包括Arduino结构主体硬件结构，利用BDS/GPS双模定位、GPRS通讯和OneNET物联网平台等技术设计并制作了教练车定位模块，利用Arduino主控芯片、超声波与红外避障传感器集成了Arduino结构主体，同时，基于百度地图API设计和开发了智能驾考模拟软件系统，在利用高精度定位和超声避障手段，借助通信与物联网平台，创建新型一站式驾驶技能培训解决方案，实现精确定位、智能评判和平台监控功能。</t>
  </si>
  <si>
    <t>一种基于BDS与GPS的教练车辅助驾驶结构</t>
  </si>
  <si>
    <t>WO2021036954A1</t>
  </si>
  <si>
    <t>一种智能语音播放方法及设备，涉及电子技术领域，可以应用于人工智能健身场景，能够实时针对用户当前的训练状态和训练动作播放不同的语音，从而给用户以实时的语音反馈及动作改善的实时引导，且语音内容丰富多变，用户体验较好。该语音播放方法包括：电子设备显示第一应用程序的界面，第一应用程序用于用户进行运动训练（1301）；采集用户训练动作的图像（1302）；播放标准动作的动画，并显示用户训练动作的图像（1303）；确定用户训练动作中的第一动作单元触发的多条待选语音，第一动作单元为一次训练动作或者为一次训练动作的一部分（1304）；从待选语音中选择一条语音进行播放（1305）。</t>
  </si>
  <si>
    <t>一种智能语音播放方法及设备</t>
  </si>
  <si>
    <t>EP3991814A4</t>
  </si>
  <si>
    <t>一种智能语音播放方法及装置,涉及电子技术领域,可应用于人工智能健身场景,实时播放不同的语音,针对当前的训练状态和训练动作。 用户,为用户提供实时的语音反馈和行动改进的实时指导。 此外,语音内容丰富多样,用户体验较好。 语音播放方法包括:通过电子设备显示第一应用的界面,第一应用用于用户进行运动训练(1301)。 捕获用户的训练动作的图像(1302); 播放标准动作的视频,并显示用户训练动作的图像(1303); 确定用户的训练动作中的第一动作单元触发的多个待选语音,其中第一动作单元为一个训练动作或一个训练动作的一部分(1304); 从待选语音中选择语音进行播放(1305)。</t>
  </si>
  <si>
    <t>智能语音播放方法及装置</t>
  </si>
  <si>
    <t>CN112057259B</t>
  </si>
  <si>
    <t>一种基于物联网的医用护理装置，包括矩形框架，矩形框架的右侧开口，矩形框架底侧的四角分别固定连接支撑腿的上端，支撑腿的下端固定连接一个底座的顶侧，矩形框架内设有两个前后对称分布的条形板，条形板相对侧的中部通过第一支撑板相连接，第一支撑板的左右两侧分别设有第二支撑板。本发明通过一个驱动电机能够使护理床板倾斜度调整，有利于使患者的头部处于高位或低位，同时能够直接将病人从躺着的状态转动九十度，使病人站立起来，增加病人起床的便利性，病人处于站立状态后能够直接在跑步机上进行漫步训练，使病人漫步康复训练更加便捷，能够满足市场需求，适合推广。</t>
  </si>
  <si>
    <t>一种基于物联网的医用护理装置</t>
  </si>
  <si>
    <t>CN112007352B</t>
  </si>
  <si>
    <t>本发明涉及基于深度学习和光电检测的排球界线处理装置和方法，首先判断是否有物体触碰界线，如果有则截取物体触碰界线时，界限附近小范围的监控图像；若截取的监控图像中仅存在一个物体，则可通过深度学习训练直接识别判断出该物体是排球还是人体；若截取的监控图像中不止存在一个物体，则配合接触式温度传感器检测触碰界线的物体是人体还是排球，从而得出排球是否压线的结论。解决了由于排球和人体运动速度过快，不能用肉眼直接观察排球压线情况的问题。</t>
  </si>
  <si>
    <t>基于深度学习和光电检测的排球界线处理装置和方法</t>
  </si>
  <si>
    <t>CN111973970A</t>
  </si>
  <si>
    <t>一种基于物联网的职业运动员专用室内体能训练装置，它涉及物联网应用技术领域。它包含动态训练区、静态训练区、现场控制中心、云端数据中心、计算机中心；所述的动态训练区包含动态训练设备、动态辅助系统、动态数据收集设备；所述的静态训练区包含静态训练设备、静态辅助系统、静态数据设备。采用上述技术方案后，本发明有益效果为：它采用物联网技术，具有运动员训练辅助功能，辅助效果极佳，取代人工辅助操作，且可为运动员订制训练计划，节省训练时间的同时，保证训练效果，且能够在运动员训练的同时保护运动员健康。</t>
  </si>
  <si>
    <t>基于物联网的职业运动员专用室内体能训练系统</t>
  </si>
  <si>
    <t>JP7257691B2</t>
  </si>
  <si>
    <t>提供远程课程系统,玩家可以通过该系统在远程位置接收准确的建议。 
  一种远程授课系统(200),包括玩家(P)拥有的移动终端(2)和能够与移动终端(2)进行通信的云服务器(4)。 移动终端2包括数据分析单元,该数据分析单元将通过测量玩家P在比赛期间的动作并将其转换为数值而获得的挥杆测量数据从移动终端2发送到云服务器4。 当挥杆测量数据被输入到神经网络的输入层时,云服务器4具有建议信息生成单元,该单元生成并从神经网络的输出层输出关于选手P的运动的建议信息,并且发送向长途汽车总站 6. 和咨询信息提供者提供的建议信息。</t>
  </si>
  <si>
    <t>远程授课系统</t>
  </si>
  <si>
    <t>CN111882946A</t>
  </si>
  <si>
    <t>本发明涉及一种基于虚拟现实骑行运动的戒毒康复训练系统，它包括中控端管理系统、人工智能主场景控制系统、生理数据采集管理系统、大数据管理存储系统以及虚拟现实骑行训练系统，通过虚拟现实骑行场景结合运动健身硬件，对戒毒人员进行运动康复训练，及时记录用户的生理数据，包括脑电、心率数据，利用人工智能机器学习的分析技术对生理数据进行运算分析，实现对训练人员的体能健康状况进行监测管理，本发明解决了康复训练中心人与场地、人与器械互动互联的问题；解决学员体质监测、运动数据自动获取、汇总、分析的问题；解决学员运动处方专业化制定的问题；解决康复训练场馆运动安全监控的问题。</t>
  </si>
  <si>
    <t>一种基于虚拟现实骑行运动的戒毒康复训练系统</t>
  </si>
  <si>
    <t>CN111882947A</t>
  </si>
  <si>
    <t>本发明涉及一种基于虚拟现实划船运动的戒毒康复训练系统，它包括中控端管理系统、人工智能主场景控制系统、生理数据采集管理系统、大数据管理存储系统以及虚拟现实划船训练系统，通过虚拟现实划船场景结合运动健身硬件，对戒毒人员进行运动康复训练，及时记录用户的生理数据，包括脑电、心率数据，利用人工智能机器学习的分析技术对生理数据进行运算分析，实现对训练人员的体能健康状况进行监测管理，本发明解决了康复训练中心人与场地、人与器械互动互联的问题；解决学员体质监测、运动数据自动获取、汇总、分析的问题；解决学员运动处方专业化制定的问题；解决康复训练场馆运动安全监控的问题。</t>
  </si>
  <si>
    <t>一种基于虚拟现实划船运动的戒毒康复训练系统</t>
  </si>
  <si>
    <t>CN111882943A</t>
  </si>
  <si>
    <t>本发明涉及一种基于虚拟现实登山运动的戒毒康复训练系统，它包括中控端管理系统、人工智能主场景控制系统、生理数据采集管理系统、大数据管理存储系统以及虚拟现实登山训练系统，通过虚拟现实登山场景结合运动健身硬件，对戒毒人员进行运动康复训练，及时记录用户的生理数据，包括脑电、心率数据，利用人工智能机器学习的分析技术对生理数据进行运算分析，实现对训练人员的体能健康状况进行监测管理，本发明解决了康复训练中心人与场地、人与器械互动互联的问题；解决学员体质监测、运动数据自动获取、汇总、分析的问题；解决学员运动处方专业化制定的问题；解决康复训练场馆运动安全监控的问题。</t>
  </si>
  <si>
    <t>一种基于虚拟现实登山运动的戒毒康复训练系统</t>
  </si>
  <si>
    <t>WO2021036839A1</t>
  </si>
  <si>
    <t>本申请提供一种摄像头控制的方法、装置和终端设备，能够使得用户感知摄像头是否开启，从而有效对用户的隐私进行保护。该摄像头控制的方法包括：终端设备获取用户输入的第一指令，其中，所述第一指令用于播放所述终端设备中的第一应用程序中的动作教程；响应于所述第一指令，所述终端设备控制所述摄像头开启并弹出所述终端设备，并在弹出所述终端设备之后获取包含用户动作的图像，其中，所述用户动作是所述用户模仿所述动作教程做出的动作。本申请实施例的方法、装置和终端设备可以应用于人工智能（artificial intelligence，AI）领域，更具体的可以应用于智能健身领域。</t>
  </si>
  <si>
    <t>摄像头控制的方法、装置和终端设备</t>
  </si>
  <si>
    <t>EP4020964A4</t>
  </si>
  <si>
    <t>本申请提供一种摄像头控制方法、装置及终端设备,使用户能够感知摄像头是否启动,从而有效保护用户隐私。 所述摄像头控制方法包括: 终端设备获取用户输入的第一指令,所述第一指令用于在所述终端设备的第一应用中播放动作教程。 终端设备响应第一指令控制摄像头启动并从终端设备弹出,并在摄像头从终端设备弹出后获取包含用户动作的图像,其中用户动作为做出的动作 由用户通过模仿动作教程。 本申请实施例的方法、装置及终端设备可以应用于人工智能(Artificial Intelligence,AI)领域,更具体地,可以应用于智能健身领域。</t>
  </si>
  <si>
    <t>摄像头控制方法、装置、终端设备</t>
  </si>
  <si>
    <t>US11559738B2</t>
  </si>
  <si>
    <t>可以使用机器学习来提供计算机游戏的虚拟游戏世界。 机器学习的使用使虚拟游戏世界能够在运行时由标准消费硬件设备生成。 机器学习代理预先接受特定游戏世界特征的训练。 然后,这些经过适当训练的机器学习代理可用于生成虚拟游戏世界的相关部分,例如虚拟游戏世界中最接近比赛位置的部分。 有利的是,可以以高分辨率提供虚拟游戏世界并且能够覆盖比常规实际大得多的区域。</t>
  </si>
  <si>
    <t>机器学习的虚拟游戏环境</t>
  </si>
  <si>
    <t>US11607611B2</t>
  </si>
  <si>
    <t>虚拟游戏环境的机器学习分辨率增强</t>
  </si>
  <si>
    <t>CN111950458A</t>
  </si>
  <si>
    <t>本发明提供了一种游泳馆监控系统、方法及智能机器人，所述系统包括摄像采集模块、游泳人员密度采集模块、救生员状态采集模块和信息反馈模块，所述摄像采集模块输出端分别与所述游泳人员密度采集模块和救生员状态采集模块的输入端连接，所述所述游泳人员密度采集模块和救生员状态采集模块的输出端均与所述信息反馈模块连接，通过深度学习的方式对游泳馆内的游泳人员密度和救生员状态进行实时检测，对救生员实现无人化管理，提高游泳馆内人员的安全性。</t>
  </si>
  <si>
    <t>一种游泳馆监控系统、方法及智能机器人</t>
  </si>
  <si>
    <t>CN112417465A</t>
  </si>
  <si>
    <t>本公开涉及使用物联网(IOT)设备促进区块链事务。公开了一种用于在不使用智能电话的情况下促进物联网(IoT)系统与区块链对等体之间的事务的系统和方法。该系统可以具有安全性、信道管理器、消息格式化器、参数枚举器和格式化器、最终格式化器、通知器、监视器和集成器。该系统可以接受来自IoT设备的区块链查询，并且可以重新格式化区块链查询并将参数更改为能由区块链对等体操作的格式和参数框架。该系统还可以接受来自区块链对等体的响应，并且可以重新格式化该响应并将参数更改为能由IoT设备操作的格式和参数框架。该系统可以向IoT设备发送重新格式化的响应以供显示。</t>
  </si>
  <si>
    <t>使用物联网（IOT）设备促进区块链事务</t>
  </si>
  <si>
    <t>US20220044674A1</t>
  </si>
  <si>
    <t>本发明提供一种通过人工智能语音识别系统的通用模型选择特殊语音识别模型的系统,供用户选择合适的模型。 本发明除了通用模型的AI语音识别服务器外,还准备了体育赛事模型、财经新闻模型、游戏直播模型等各个领域的语音模型。 不同的用户可以根据自己的需求或领域选择不同的语音模型,分别获得更好的服务。 如果不同用户没有特殊选择,通用模型的AI语音识别服务器为不同用户提供语音识别服务。</t>
  </si>
  <si>
    <t>能够选择模型的人工智能语音识别系统</t>
  </si>
  <si>
    <t>US20220044112A1</t>
  </si>
  <si>
    <t>IN202021033854A</t>
  </si>
  <si>
    <t>随着深度学习的进步,计算机视觉每天都在发展。 残差神经网络就是这样的图像分类技术之一。 本发明是 ResNet 50 的应用,目的是使用手写生物特征识别作者 - 签名。 不同的签名验证比赛使用了很多方法。 这里使用 SigComp2009 数据集并讨论实验结果。 对于从 ICDAR 2009 真实签名数据集中随机使用的 780 个签名,ResNet 50 能够达到 92% 的准确率。</t>
  </si>
  <si>
    <t>使用神经网络进行作者识别</t>
  </si>
  <si>
    <t>IN202011033902A</t>
  </si>
  <si>
    <t>本发明涉及一种短跑运动员肌肉疲劳预测系统,包括通信模块(103)(104)、EMG(肌电图)传感器(102)、放大器(105)、微控制器(106)和显示器(107)。 在本公开中,放置在短跑运动员肌肉上的 EMG(肌电图)传感器的输出通过将信息传输到云端的通信模块传递,并基于用于模式分类的机器算法,预测肌肉疲劳 在短跑运动员中。</t>
  </si>
  <si>
    <t>基于机器学习的短跑运动员肌肉疲劳预测系统</t>
  </si>
  <si>
    <t>CN306292762S</t>
  </si>
  <si>
    <t>1.本外观设计产品的名称：显示屏幕面板的显示运动数据图形用户界面。
 2.本外观设计产品的用途：用于运行软件，该显示屏幕用于手机、平板电脑、跑步机、椭圆机、动感单车、划船机、登山机、健身车。
 3.本外观设计产品的设计要点：在于屏幕中显示的软件图形用户界面。
 4.最能表明设计要点的图片或照片：主视图。
 5.其他视图无设计要点，省略其他视图。
 6.图形用户界面的用途：本外观设计是用于查看其他用户运动状态和了解当前运动数据和状态的图形用户界面。
 7.图形用户界面的人机交互方式：主视图为用户在运动过程中阻力值在初始状态下的显示界面，界面变化状态图1和界面变化状态图2为不同阻力值时的显示界面，界面变化状态图3为阻力值最大的显示界面，若运动自然结束后会自动跳转到界面变化状态图4，若在运动过程中有人为干涉导致运动中途结束则显示界面变化状态图5。</t>
  </si>
  <si>
    <t>显示屏幕面板的显示运动数据图形用户界面</t>
  </si>
  <si>
    <t>US20210043099A1</t>
  </si>
  <si>
    <t>公开了一种用于使用 AI 代理和人类代理提供行为指导的混合方法的设备、系统和方法。 支持混合教练模式,其中对话可以从 AI 代理传递给人类代理。 在一些实施方式中,支持指导的协作模式,其中人类代理与 AI 代理协作。</t>
  </si>
  <si>
    <t>结合使用基于人工智能的个人助理和人类助理来实现长期目标</t>
  </si>
  <si>
    <t>WO2021026385A1</t>
  </si>
  <si>
    <t>IN202011033430A</t>
  </si>
  <si>
    <t>我的发明“基于人工智能的情感分析”是一种提供情感分析的过程和技术。 示例提供了一个 SAS 情感分析系统,该系统提供了工具来启用、描述、发明者、作者、程序员、用户、开发人员、思想家、演员、Kashan 等将情感分析合并到他们的内容中,例如他们的网页 WhatsApp 、电子邮件和其他网络博客或文本内容。 情绪分析系统包括一个或多个功能组件/模块,它们一起工作以提供对存储在全局数据库中的一组内容的情绪分析。 例如,SAS 可以包括分析引擎、API 和示例用户界面工具,例如可嵌入其他内容(例如,第三方网站)中的实时更新的小部件。 情感分析引擎负责根据情感确定和分类底层内容中的各种关系概况、发明者、作者、程序员、用户、开发者、思想家、演员、Kashan。 情绪分析引擎可以使用不同的技术来发现情绪,例如,使用特定动词、短语和启发式的关系搜索,和/或结合机器学习技术的相同修改。 SAS 致力于理解实体的情绪或正面和负面表达。 可以使用情感 API 构建多种类型的应用程序,包括但不限于:市场情报、市场研究、体育和娱乐、品牌管理、产品评论等。 找出一个实体或关于一个实体的正面和负面情绪表达的百分比,并根据结果。</t>
  </si>
  <si>
    <t>基于人工智能的情感分析:使用深度学习、机器学习编程的基于人工智能的情感分析。</t>
  </si>
  <si>
    <t>US20210287565A1</t>
  </si>
  <si>
    <t>一种用于足球运动的监控和比赛推荐系统,它使用历史和实时数据的组合来证明教练推荐。 在一个示例中,教练建议基于第四次下场比赛并且包括尝试投篮、弃踢或尝试第四次下位转换的建议。 每个推荐都与球队的最终获胜概率相关联。 系统所依赖的数据可以根据各种现场球队的预定档案数据或通过根据个别球员的缺席或存在来改变个别球队的属性来改变。 推荐以可视化形式提供并转发到用户界面。 该系统还可以在媒体平台上工作,用于修改实况视频馈送并将某些游戏获胜机会图形呈现给家庭观众。</t>
  </si>
  <si>
    <t>游戏监控与游戏决策推荐系统</t>
  </si>
  <si>
    <t>KR1020220017792A</t>
  </si>
  <si>
    <t>本发明是一种运动补充剂定制推荐系统和方法,包括运动补充剂产品信息和产品成分信息,通过运动营养师和运动营养教练设计的运动/饮食补充剂问卷识别消费者的特征和产品需求; 确定消费者在购买运动补充产品时考虑的因素; 它包括使用由运动营养师和运动营养教练设计的基于人工智能的定制推荐算法来推荐适合消费者的产品的步骤。</t>
  </si>
  <si>
    <t>运动补充个性化推荐系统及方法</t>
  </si>
  <si>
    <t>TW202206153A</t>
  </si>
  <si>
    <t>本发明揭露一种拳击沙包同步控制方法,其包含以下步骤:设置教练沙包;藉由物联网感测器感应教练的拳击动作,并将拳击动作所击打的位置转换成击打位置资讯传送至资料 处理装置;设置复数个学员沙包;以及将复数个学员沙包连线至资料处理装置,同步接收击打位置资讯并转换成灯号控制讯号以同步控制复数个显示灯号,让复数个学员依据灯 号位置击打对应的击打练习区。</t>
  </si>
  <si>
    <t>拳击沙包同步控制方法</t>
  </si>
  <si>
    <t>WO2021036717A1</t>
  </si>
  <si>
    <t>本申请实施例提供一种目标用户锁定方法及电子设备，涉及电子设备领域。本申请提供的方法可应用于人工智能(artificial intelligence，AI)健身场景中。能够保障目标用户锁定的准确性。电子设备通过对用户特征进行识别，或结合用户佩戴的可穿戴设备采集的数据对用户进行识别，或对用户的运动模式进行识别等方法，可完成目标用户的识别，及健身过程中的目标用户的跟踪。</t>
  </si>
  <si>
    <t>一种目标用户锁定方法及电子设备</t>
  </si>
  <si>
    <t>KR1020220042444A</t>
  </si>
  <si>
    <t>公开了一种预测个体对至少一个预定感觉刺激的长期享乐反应的方法。 该方法包括:(a)在初始暴露期间根据暴露模式将个体多次暴露于至少一种感觉刺激; (b) 获得指示个体对每次暴露的至少一种感觉刺激的享乐反应的数据; (c) 向跑步机算法提供表明个人享乐反应和暴露模式的数据; (d) 通过机器学习算法,在初始暴露期之后的预定预测期预测个体对感觉刺激的长期享乐反应。</t>
  </si>
  <si>
    <t>预测对感官刺激的长期享乐反应</t>
  </si>
  <si>
    <t>US20220284738A1</t>
  </si>
  <si>
    <t>本申请实施例提供了一种锁定目标用户的方法及电子设备,涉及电子设备领域。 本申请提供的方法可以应用于人工智能(artificial intelligence,AI)健身场景,可以保证锁定目标用户的准确性。 电子设备可通过识别用户特征、参考用户佩戴的可穿戴设备采集的数据识别用户、识别运动模式等方法识别目标用户并在健身过程中跟踪目标用户 的用户。</t>
  </si>
  <si>
    <t>EP4020389A4</t>
  </si>
  <si>
    <t>JP7341324B2</t>
  </si>
  <si>
    <t>本申请实施例提供一种锁定目标用户的方法及电子设备,涉及电子设备领域。 本应用提供的方法可应用于人工智能(AI)健身场景,并能确保锁定目标用户的准确性。 通过识别用户特征、参考用户佩戴的可穿戴设备采集的数据识别用户、识别用户的运动方式等方法,可以在健身过程中识别和跟踪电子设备的目标用户。</t>
  </si>
  <si>
    <t>目标用户锁定方法和电子设备</t>
  </si>
  <si>
    <t>CN111986775A</t>
  </si>
  <si>
    <t>本申请公开了一种数字人的健身教练指导方法、装置、电子设备及存储介质，涉及人机交互技术领域，该方法包括：获取目标对象的姿态参数和体型参数；基于所述姿态参数和所述体型参数生成虚拟数字人；根据获取的所述目标对象的健身计划进行确定健身指导信息；根据所述健身指导信息和所述虚拟数字人生成健身视频，所述健身视频用于对所述目标对象进行健身指导。本申请能够对目标对象给出更精准的动作指导，进而提升健身效果。</t>
  </si>
  <si>
    <t>数字人的健身教练指导方法、装置、电子设备及存储介质</t>
  </si>
  <si>
    <t>CN112150504A</t>
  </si>
  <si>
    <t>本发明公开了一种基于注意力机制的视觉跟踪方法。其具体操作步骤为：(1)、对图像数据集进行处理，包括统一尺寸；(2)、构建目标状态估计深度学习网络，提取目标的位置信息；(3)、将(1)中处理好的训练数据输入(2)中构建的深度学习网络进行训练，直到网络收敛得到一个训练好的网络模型，网络输出一个调节矢量；(4)、利用步骤(3)训练好的网络模型进行测试，对于要测试的视频序列给定第一帧图片的目标坐标，然后输入步骤(2)中目标状态估计网络和目标分类网络，由目标分类网络得到一个粗略的目标位置，再由目标状态估计网络得到相对精确目标状态。本发明方法能更准确地提取目标的位置信息，从而更精确估计跟踪目标状态。</t>
  </si>
  <si>
    <t>一种基于注意力机制的视觉跟踪方法</t>
  </si>
  <si>
    <t>CN306321687S</t>
  </si>
  <si>
    <t>1.本外观设计产品的名称：用于显示屏幕面板的地图图形用户界面。
 2.本外观设计产品的用途：显示屏幕面板用于显示图形用户界面。
 3.本外观设计产品的设计要点：在于图形用户界面。
 4.最能表明设计要点的图片或照片：主视图。
 5.图形用户界面的用途：用于显示信息，包括例如地图/导航、媒体/娱乐、和通讯信息。
 6.图形用户界面的人机交互方式：图形用户界面可以通过接触，例如通过触摸、轻击、滚动、滑动和/或按压显示屏幕面板来交互，并且/或者可以通过操作具有显示屏幕面板的电子装置来交互。
 7.显示屏幕面板和图形用户界面可以应用于计算机、笔记本电脑、用于车辆的显示装置、GPS装置、导航仪、平板电脑、手机、智能手机、智能手环、智能眼镜、手表、智能手表、健身监视器、头戴式耳机、个人数字助理、智能音箱、电视、机顶盒、游戏机；显示屏幕面板为惯常设计，故省略其他视图；图形用户界面中的、如在主视参考图中用参考标记A标注的浅灰色区域代表图像，所述图像可以是可变化内容。</t>
  </si>
  <si>
    <t>用于显示屏幕面板的地图图形用户界面</t>
  </si>
  <si>
    <t>CN306321688S</t>
  </si>
  <si>
    <t>1.本外观设计产品的名称：用于显示屏幕面板的地图图形用户界面。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6.图形用户界面的用途：用于显示信息，包括例如地图/导航、媒体/娱乐、日历/约会、和通讯信息。
 7.图形用户界面的人机交互方式：图形用户界面可以通过接触，例如通过触摸、轻击、滚动、滑动和/或按压显示屏幕面板来交互，并且/或者可以通过操作具有显示屏幕面板的电子装置来交互。
 8.显示屏幕面板和图形用户界面可以应用于计算机、笔记本电脑、用于车辆的显示装置、GPS装置、导航仪、平板电脑、手机、智能手机、智能手环、智能眼镜、手表、智能手表、健身监视器、头戴式耳机、个人数字助理、智能音箱、电视、机顶盒、游戏机；显示屏幕面板为惯常设计，故省略其他视图；图形用户界面中的、如在设计1主视参考图和设计2主视参考图中分别用参考标记A和A’标注的浅灰色区域代表图像，所述图像可以是可变化内容。</t>
  </si>
  <si>
    <t>US20210038950A1</t>
  </si>
  <si>
    <t>本发明涉及一种网球拾球机器人,用于拾取球场内散落的网球。 本发明是一种紧凑型机器人,具有更大的球收集能力和更小的占地面积。 本发明包括计算系统、在计算系统上执行的定制训练的神经网络、视觉和接近传感器、用于将网球收集在球收集篮中的机械装置和电源。 自定义训练的神经网络使用数据集进行训练,以使用相机和距离传感器有效地收集球。</t>
  </si>
  <si>
    <t>在球场上收集网球的系统和装置</t>
  </si>
  <si>
    <t>CN111990977A</t>
  </si>
  <si>
    <t>本发明提出了一种基于神经网络的可穿戴光纤传感器的生理参量监测装置，包括监测单元、和信号检测单元，监测单元监测生理信号，并将监测到的信号输入到信号检测单元，实现生理参量的监测；所述监测单元包括相位敏感光时域反射仪系统和监测本体；所述相位敏感光时域反射仪系统包括相位敏感光时域反射仪、扇入和扇出，所述相位敏感光时域反射仪的探测信号由信号输出端口经扇入、进入监测本体，监测本体产生的散射信号经扇出被相位敏感光时域反射仪接收；所述信号检测单元包括建立模型子单元、应用模型子单元以及评估结果子单元。本发明提出了一种基于神经网络的可穿戴光纤传感器的生理参量监测装置，可用于智能化反馈指导人体的康复训练、运动员的技能训练等。</t>
  </si>
  <si>
    <t>一种基于神经网络的可穿戴光纤传感器对人体生物参量监测装置</t>
  </si>
  <si>
    <t>CN306466837S</t>
  </si>
  <si>
    <t>1.本外观设计产品的名称：带有图形界面的身材管理智能镜。
 2.本外观设计产品的用途：用于一种智能镜。
 3.本外观设计产品的设计要点：在于产品屏幕上图形用户界面的内容。
 4.最能表明设计要点的图片或照片：主视图。
 5.无设计要点，省略后视图、左视图、右视图、俯视图和仰视图。
 6.图形用户界面的用途：通过人机交互操作用于身材管理。
 主视图中界面变化状态图为主界面状态。
 7.图形用户界面在产品中的区域：本产品的图形用户界面位于主视图中智能镜的屏幕上。
 8.图形用户界面的变化状态说明：登录：界面变化状态图1为智能镜的用户登录界面，点击图中的“人脸登入”，进入界面变化状态图2；注册：界面变化状态图3为智能镜的用户注册界面，点击图中的“注册”，进入界面变化状态图4，录入人脸后，进入界面变化状态图5，正面录入完成后进入界面变化状态图6进行侧面录入，拍照完成后进入界面变化状态图7；身材管理：界面状态变化图8为主界面，点击图8中“历史曲线”，进入界面变化状态图9，点击图中的“健身方案”，进入到界面状态变化图10（健身方案制定‑女性）或界面状态变化图11（健身方案制定男性）；点击图8中“购物”，进入到界面变化状态图12；点击图8中“在线私教”，进入到界面变化状态图13；点击图8中“我的”，进入到界面变化状态图14；点击图8中“身材数据”，进入界面状态变化图15；健身：通过选择界面状态变化图10（健身方案制定‑女性）或界面状态变化图11（健身方案制定男性）中的健身项目进入到界面状态变化图16，界面状态变化图16为今日健身内容界面，点击图中“健身打卡”，进入界面变化状态图17。</t>
  </si>
  <si>
    <t>带有图形界面的身材管理智能镜</t>
  </si>
  <si>
    <t>CN111840966A</t>
  </si>
  <si>
    <t>本发明公开了一种基于图像识别的乒乓球训练智能评价方法和系统，包括乒乓球发球机，乒乓球台，投影仪，摄像镜头，控制系统以及手机APP软件系统。投影设备根据手机APP设置，投影到乒乓球桌面指定乒乓球落点的区域；摄像头采集乒乓球桌面的图像，图像分析软件利用图像识别的学习方法识别回球落点区域以及回球速度信息，对回球的质量给出评价。手机APP软件负责参数设置、评价信息反馈以及分析指点。该系统改变了乒乓球发球机训练的枯燥无趣和无针对性训练的问题，增加了训练的趣味性和针对性。</t>
  </si>
  <si>
    <t>基于图像识别的乒乓球训练智能评价方法和系统</t>
  </si>
  <si>
    <t>CN111860418A</t>
  </si>
  <si>
    <t>本发明提供一种竞技比赛智能录像审议系统、方法、介质及终端，系统包括：图像采集模块，设置于比赛场地内用于实时采集比赛过程中目标对象的图像信息；存储模块，图像处理模块和辅助判罚终端；本发明可以通过人工智能方式准确的对采集到的运动数据给予正确的评分判断，当判定比赛中的运动员出现违规或失分动作时，可以将辅助判罚信息及时的同步通知到裁判，让裁判可以立即给予准确判罚，最大程度的减少人为因素影响到比赛的结果，提高了比赛过程的完整性，减少了误判概率，利于比赛的公平性。</t>
  </si>
  <si>
    <t>一种竞技比赛智能录像审议系统、方法、介质及终端</t>
  </si>
  <si>
    <t>CN111862072A</t>
  </si>
  <si>
    <t>本发明公开了一种基于CT图像测量腹围的方法，其具体操作方法包括以下步骤：A、图像预处理；B、图像块剪裁操作；C、通过深度学习进行外围曲线分割；D、骨骼化处理；E、边缘连接；F、累加像素点换算腹围，本发明旨在提出一种能够基于CT图像直接获得腹围的方法，该方法首先对CT图像进行预处理，通过深度学习进行外围分割，再对分割结果进行骨骼化处理，最后计算外围像素点个数乘以每个像素点对应的长度便可获得腹围，得出较为准确的实现腹围测算。</t>
  </si>
  <si>
    <t>一种基于CT图像测量腹围的方法</t>
  </si>
  <si>
    <t>JP2022025367A</t>
  </si>
  <si>
    <t>在不占用显示器显示区域的情况下,将欢呼、比赛等作为评论显示在显示器上。 
  卡拉 OK 设备 (10) 存储每首歌曲的歌词套接字数据和背景视频数据。 该卡拉OK装置包括获取单元(23),用于在歌曲的卡拉OK表演期间获取除了参与卡拉OK的歌手之外的参与者的语音信号,以及对于每个预定的表演区间的参与者的语音信号的语音识别处理。用于生成文本数据的生成单元(24)和用于通过比较每个预定演奏部分的文本数据和歌词插播数据并删除与歌词插播数据相同的内容来对文本数据执行校正处理的校正单元(25) .和显示控制部分(26),用于在显示部分上显示基于校正的文本数据和背景图像数据的图像。</t>
  </si>
  <si>
    <t>卡拉OK设备</t>
  </si>
  <si>
    <t>CN111653366A</t>
  </si>
  <si>
    <t>本发明提供一种基于肌电信号的网球肘的识别方法。采用摄像头来对病人肘屈伸运动进行捕捉，用Vicon软件对捕捉到的运动进行建模，建立模型后，再对模型的肘屈伸运动轨迹进行完善处理，得到运动模型，之后把Vicon处理得到的数据导入visual 3D软件中去，分析肘屈伸运动，得到相应的肌电图形，再导入利用卷积神经网络算法(CNN)进行学习的模型，识别网球肘。</t>
  </si>
  <si>
    <t>一种基于肌电信号的网球肘的识别方法</t>
  </si>
  <si>
    <t>CN111798982A</t>
  </si>
  <si>
    <t>本发明公开了一种警用健康管理系统及方法，其包括警用智能手环、装载于警务移动设备的APP和健康管理云端，警用智能手环和app之间通讯连接，APP和健康管理云端通讯连接，通过警用智能手环采集警务人员的实时生理指标数据和心理量表数据，在健康管理云端进行深度学习后建立健康分类模型，再用建立的健康模型来分析实时生理、心理健康数据，得出警务人员的当前身体健康状况，根据其健康状况进行生活作息提示、安排健身计划以及指导矫正健康问题，达到提高警务人员的身体、心理健康素质的目的。本发明根据实时采集数据，能及时发现警务人员的健康风险，尤其对突发疾病，实现了急救快速响应，能降低警务人员因发生健康危机而牺牲的人量。</t>
  </si>
  <si>
    <t>警用健康管理系统及健康管理方法</t>
  </si>
  <si>
    <t>CN212675673U</t>
  </si>
  <si>
    <t>本实用新型公开了物联网家用火灾自动报警装置，包括安装板和报警装置本体，所述安装板的正面和报警装置本体的背面均设置有相互磁性吸附配合的磁铁片，所述安装板的上下端螺纹贯穿连接有螺销，所述报警装置本体正面设置有连通内腔的门盖，所述门盖正面从上至下依次设置有摄像头、控制面板、警报蜂蜜器和检测端口，所述检测端口内设置有烟雾传感器、温度传感器和可燃气体传感器，所述报警装置本体内腔安装有处理器、无线通信模块。本实用新型将安装板与报警装置本体进行拆分，并且通过简单的连接结构对安装板进行随意安装与拆卸，其整体操作简单，拆卸方便，实用效果更佳。</t>
  </si>
  <si>
    <t>物联网家用火灾自动报警装置</t>
  </si>
  <si>
    <t>WO2022016583A1</t>
  </si>
  <si>
    <t>一种教练车智能辅助训练方法及系统。该方法包括：通过摄像头实时获取训练场地图像信息，并上传至机器学习模型；通过模型对训练场地图像进行检测，以判断训练场地所属类型，以及判断训练场地图像中是否存在教练车；若存在教练车，则通过模型计算及分析处理，生成一行车路径；模型通过计算及分析行车路径，判断行车路径是否偏离预设路径；若偏离，则通过模型生成一矫正信息，并将该信息发送至教练车；将矫正信息在车内进行显示及播放，使得车内的学员根据矫正信息调整自身的驾驶动作，从而使行车路径通过调整而靠近预设路径。可以在一定程度上替代教练，为学员在练车过程中提供智能的练车辅助，并且提高了学员的训练水平。</t>
  </si>
  <si>
    <t>一种教练车智能辅助训练方法及系统</t>
  </si>
  <si>
    <t>CN111790117A</t>
  </si>
  <si>
    <t>本发明提供一种云智能跑步机人机交互控制系统。本发明包括用户管理模块、自由跑步模块、运动计划模块、实景跑步模块、AI语音控制模块和系统设置模块，所述用户管理模块用于采集、存储个人信息并根据个人信息定制个人运动方案；自由跑步模块用于根据个人运动方案或手动调整跑步机参数进行跑步；运动计划模块用于根据根据跑步者的需求制定运动计划；实景跑步模块用于实现跑步过程中与实景视频播放同步；AI语音控制模块用于实现跑步者与跑步机之间的语音交互,包括用于根据接收到的语音指令,控制跑步机的工作状态，及输出语音提示；系统设置模块用于对跑步机的人机交互控制系统进行设置。本发明大大增强了用户的居家体验和运动黏度。</t>
  </si>
  <si>
    <t>一种云智能跑步机人机交互控制系统</t>
  </si>
  <si>
    <t>CN111932620A</t>
  </si>
  <si>
    <t>本申请公开了一种排球发球过网与否的判定方法及发球速度的获取方法，判定方法包括：构建卷积神经网络；训练所述卷积神经网络；利用训练好的卷积神经网络处理排球发球视频，判断排球发球是否过网。所述构建卷积神经网络，包括：构建一个六层的卷积神经网络；所述六层包括第一层卷积层、第二层池化层、第三层卷积层、第四层池化层、第五层全联接层和第六层输出层。本申请提供的排球发球过网与否的判定方法，利用卷积神经网络处理排球发球视频，判断排球发球是否过网，判断结果精确，处理速度快，精度高，降低了人工劳动强度，节省了人工成本，能够很好地满足实际应用的需要。</t>
  </si>
  <si>
    <t>排球发球过网与否的判定方法及发球速度的获取方法</t>
  </si>
  <si>
    <t>WO2021217927A1</t>
  </si>
  <si>
    <t>本申请涉及人工智能技术领域，提供了一种基于视频的运动评估方法、装置、计算机设备及存储介质，所述方法包括：获取用户的第一运动视频和教练的第二运动视频；根据第一运动视频识别用户的运动类型；根据运动类型提取第一运动视频中的第一关键帧图像及提取第二运动视频中的第二关键帧图像；检测第一关键帧图像中的第一人体关键点及检测第二关键帧图像中的第二人体关键点；计算第一人体关键点和第二人体关键点间的差异度；根据差异度和运动类型评估用户的运动得分。本申请能够根据运动类型自适应的提取关键帧图像并计算差异度，结合运动类型和差异度评估用户的运动，准确率更高。此外，本申请还涉及区块链技术，所述运动得分可存储于区块链节点中。</t>
  </si>
  <si>
    <t>基于视频的运动评估方法、装置、计算机设备及存储介质</t>
  </si>
  <si>
    <t>KR102427033B1</t>
  </si>
  <si>
    <t>本发明涉及一种使用至少一个学生终端300、教师终端200、导师终端400和通过网络500连接的人工智能的教育技术学习管理平台服务系统和方法。 Edutech学习管理平台服务系统,数据库单元120,用于存储学生信息、题库信息、咨询信息、体验学习信息、留学信息、图书信息、文体信息; 当学生终端300被连接时,进行认证,当学生终端300选择菜单时,根据选择的菜单,在题库信息、咨询信息、体验学习信息、留学信息、书籍信息、以及艺术和体育信息以及提供至少一条信息的服务器110。 在本发明的这个实施例中,可以通过利用人工智能实施使用Edu-Tech的教育和评估方法来克服时间和空间的限制,提高教育和评估内容的质量,实现公平的教育和评估。</t>
  </si>
  <si>
    <t>使用人工智能的Edutech学习管理平台服务系统和方法</t>
  </si>
  <si>
    <t>JP7338034B2</t>
  </si>
  <si>
    <t>在控制环境中的机器人时,请使用远程客户端设备的用户界面输入。该实现与基于对象操作参数生成训练实例有关,该参数由用户界面输入的实例定义,并训练机器学习模型以预测对象操作参数。这些实现后来可以减少使用训练有素的机器学习模型执行一对机器人操作时从远程客户端设备输入所需的实例数量。在执行一组机器人操作时,远程客户端设备的输入程度可以减少。另外,实现是通过使用捕获机器人在机器人到达对象之前操作的对象并可以将其操作到可以操作的机器人工作空间之前捕获机器人操作的对象的视觉数据,以减少时间。</t>
  </si>
  <si>
    <t>基于远程客户端设备输入的高效机器人控制</t>
  </si>
  <si>
    <t>CN111840943A</t>
  </si>
  <si>
    <t>本发明公开了一种球拍网弦调节器，属于网弦调节器领域，一种球拍网弦调节器，本方案可以实现在将网球拍网弦进行复位的过程中同时利用辅助工具对网弦进行预紧，使得其击球效果可以得到有效的改善，同时在网球的冲击下会不易快速松动，不需要运动员进行持续的调整，同时通过物联网技术，从物联网上下载专业运动员的挥拍动作对使用者的挥拍动作进行修正，增加使用者的挥拍训练的效果，同时在挥拍过程通过振动马达的振动反馈，增加使用者对不规则挥拍姿势的记忆，方便后续进行动作纠正，同时使用者根据振动马达造成的球拍振动来对自身的挥拍动作进行合理的实时调节，不需要频繁前往处理终端处进行查阅，大幅增加挥拍训练效率。</t>
  </si>
  <si>
    <t>一种球拍网弦调节器</t>
  </si>
  <si>
    <t>CN306236707S</t>
  </si>
  <si>
    <t>1.本外观设计产品的名称：用于显示屏幕面板的虚拟球场图形用户界面。
 2.本外观设计产品的用途：用于显示信息。
 3.本外观设计产品的设计要点：在于屏幕中的图形用户界面。
 4.最能表明设计要点的图片或照片：设计1主视图。
 5.指定设计1为基本设计。
 6.图形用户界面的用途：本外观设计的图形用户界面为虚拟球场的图形用户界面，界面用于观看视频、查看比赛实况信息等。
 7.图形用户界面的人机交互方式：在设计1至设计3中，主视图界面为比赛直播中的界面，用户可以观看视频及记分牌控件中的比赛实况信息，滑动界面或点击界面中的任意控件执行更多操作，例如切换不同的栏目标签查看分类信息、滑动界面查看赛中各个时间点的文字播报内容。
 在设计4和设计5中，视图界面为比赛直播前的界面，用户可以观看记分牌控件中的比赛实况信息，滑动界面或点击界面中的任意控件执行更多操作，例如切换不同的栏目标签查看分类信息、滑动界面查看赛中各个时间点的文字播报内容。
 在设计6中，当一方球员发起投篮并命中时，对应球员的头像上升，球场控件展示投篮命中动画，随后出现提示信息，比分牌得分发生变化，信息框下沉消失，界面下方出现对应时间的文字播报内容，呈现出主视图至界面变化状态图6的界面动态变化效果。
 在设计7中，当一方球员发起进攻，球场控件出现一方队伍进攻回合信息框，球场控件上出现进攻方向动画展示和球员站位变化，随后进攻方向消失并再次出现，最后信息框、进攻方向标志及球员站位点消失，呈现出主视图至界面变化状态图7的界面动态变化效果。
 在设计8中，当一方球员发起进攻，球场控件出现一方队伍进攻回合信息框，球场控件上出现进攻方向动画展示和球员站位变化，随后信息框、进攻方向标志及球员站位点消失，呈现出主视图至界面变化状态图4的界面动态变化效果。
 各设计界面中的圆形或矩形空白区域为内容画面，例如图标、用户头像、图片等。
 各设计界面中的叉号代表文字和/或数字。
 8.该显示屏幕面板可用于手机，计算机，平板电脑，车载中控屏幕，智能电视，智能手表。</t>
  </si>
  <si>
    <t>用于显示屏幕面板的虚拟球场图形用户界面</t>
  </si>
  <si>
    <t>WO2021016426A1</t>
  </si>
  <si>
    <t>一种运动训练系统包括运动员数据存储库、自适应算法和至少一个训练单元。 运动员数据存储库包括运动员的生物特征和表现数据。 自适应算法可以访问运动员数据存储库,并根据生物特征和表现数据进行训练,以生成与训练单元一起使用的运动员特定训练计划。 每个运动员特定的训练计划都适用于单个运动员的生物特征和表现数据。 训练单元包括电子可调运动阻力设备和控制器。 控制器被配置为接收多个运动员特定训练计划中的至少一个运动员特定训练计划,并响应于接收到的运动员特定训练计划来调整可调节阻力设备的阻力水平。 控制器还被配置为根据接收到的运动员专用训练计划记录运动员使用训练单元的表现数据。</t>
  </si>
  <si>
    <t>具有基于机器学习的训练计划的体能训练系统</t>
  </si>
  <si>
    <t>CN111760261B</t>
  </si>
  <si>
    <t>本发明涉及一种基于虚拟现实技术的体育优化训练系统及方法，属于虚拟现实技术领域。该方法具体包括：S1：在训练器材受力点处安装压力传感器，采集体验者施加的压力值；S2：采用高分辨率摄像设备采集体验者信息，通过计算机视觉生成体验者模型；S3：采用VR技术生成源标准模型，并将源标准模型结合体验者模型生成为体验者订制的标准模型；S4：设置评价参数，通过机器学习优化生成的标准模型；S5：将优化后的标准模型生成为半透明同比例模型，覆盖于体验者模型之上，以三视图或立体图形向体验者展示，从而对体验者动作进行矫正。本发明优化了现有VR设备的模拟对比功能，精确模拟出训练者的姿势与力度，及时做出训练姿势和力度的调整。</t>
  </si>
  <si>
    <t>一种基于虚拟现实技术的体育优化训练系统及方法</t>
  </si>
  <si>
    <t>US20220249911A1</t>
  </si>
  <si>
    <t>JP2022541648A</t>
  </si>
  <si>
    <t>一种运动训练系统包括运动员数据存储库、自适应算法和至少一个训练单元。 运动员数据存储库包含运动员生物特征和表现数据。 自适应算法访问运动员数据存储库,根据生物特征和表现数据进行训练,并生成针对运动员的训练计划以供训练单元使用。 每位运动员的具体训练计划均根据运动员的生物特征和表现数据进行调整。 训练单元包括可调节的运动阻力设备和控制器。 控制器接收多个运动员特定训练计划中的至少一个运动员特定训练计划,并响应于接收到的运动员特定训练计划调整可调节阻力装置的阻力水平。 控制器还根据接收到的运动员特定训练计划记录运动员使用训练单元的表现数据。</t>
  </si>
  <si>
    <t>EP4003543A4</t>
  </si>
  <si>
    <t>CN111970434A</t>
  </si>
  <si>
    <t>多摄像机多目标的运动员跟踪拍摄视频生成系统及方法属于追踪拍摄技术领域。本发明是一种借助于人工智能行人检测的识别系统，该系统能够通过多摄像头获取的视频数据，实现对一定运动场馆区域内运动员的多摄像头一致跟踪拍摄，降低摄影师的工作量及工作难度，为针对运动赛事的拍摄提供便利。本系统结构简单，仅有摄像设备、主机服务器、中心服务器和客户端，部署容易，成本低，客户端可以用现有PC，易于升级维护，一般情况下只要升级中心服务器和主机服务器的软件即可，升级维护成本低，智能化程度高，无需大量人工干预，拍摄效果稳定，准确度高。本发明能够极大地改善现有的针对运动员的跟踪拍摄情景，有较强的使用价值和理想的应用前景。</t>
  </si>
  <si>
    <t>多摄像机多目标的运动员跟踪拍摄视频生成系统及方法</t>
  </si>
  <si>
    <t>BR102020014886A2</t>
  </si>
  <si>
    <t>用于公共考试和安全入学考试的打印服务器,具有加密和分布式网络,通过人工智能选择试题。 本发明专利涉及一种创新的公开招标和安全的入学考试打印服务器设备,具有密码学和分布式区块链网络,通过人工智能进行选题。 安全的云服务器存储(1),通过全数字人工智能软件在无需人工操作的情况下选择公开竞赛和入学考试中的问题,按难度级别分隔问题,并且在考试中从不重复相同的问题。 此选择仅在考试开始前几分钟进行。 对于安全措施,系统运营商负责测试并确定将使用的最佳安全数据传输通道,通过卫星传输 (3)。 通过互联网提供商 (4) 或通过蜂窝运营商的 GSM LTE 数据网络 (2)。 以这种方式,安全数字信号被引导到安全打印服务器(5),并且通过非对称密钥在现场执行先前授权的证明监督员的认证,以授权在传统打印机(6)a3或a4上进行打印在入学考试或公开比赛的地方进行媒体制作。 入学考试或公开竞赛和答题纸(7) 以个性化方式提供考生姓名或不根据管理人员的要求,但都打印有考试地点、打印日期和时间。</t>
  </si>
  <si>
    <t>安全的竞赛和入学考试打印服务器,具有加密和分散网络,通过人工智能选择试题</t>
  </si>
  <si>
    <t>CN111781311A</t>
  </si>
  <si>
    <t>本实施方式的实施例提供了一种快速识别TATP的安检装置。所述装置包括气体捕获部、图像识别部、气体收集部、气体传输部、气体分析部和控制部。本发明提供的TATP的安检装置，可同时对多个人员和/或物品进行TATP安检。同时可广泛应用于机场、车站和体育场等人员密集场所，大幅度提高了安检效率。</t>
  </si>
  <si>
    <t>TATP安检装置</t>
  </si>
  <si>
    <t>CN111832513A</t>
  </si>
  <si>
    <t>本发明公开了一种基于神经网络的实时足球目标检测方法，主要解决现有足球目标检测速度慢，精度低的问题。其方案是：1)获取足球目标检测网络YOLOv4；2)构建足球目标训练数据集；3)获取已构建训练数据集的先验框大小，并将其替换目标检测网络YOLOv4中的先验框；4)对训练数据集进行数据增广；5)利用增广后的数据集对目标检测网络YOLOv4进行训练；6)将待检测的足球目标视频，输入到训练好的YOLOv4足球目标检测网络中进行检测标注，输出足球目标的检测结果。本发明增强了网络的识别和定位能力，提高了足球目标的检测速度和精度，保证了足球目标检测的实时性，可用于人机交互、体育赛事、实况直播及运动分析。</t>
  </si>
  <si>
    <t>基于神经网络的实时足球目标检测方法</t>
  </si>
  <si>
    <t>CN213122331U</t>
  </si>
  <si>
    <t>本实施方式的实施例提供了一种快速识别TATP的安检装置。所述装置包括气体捕获部、图像识别部、气体收集部、气体传输部、气体分析部和自动人行道。本实用新型提供的TATP的安检装置，可同时对多个人员和/或物品进行TATP安检。同时可广泛应用于机场、车站和体育场等人员密集场所，大幅度提高了安检效率。</t>
  </si>
  <si>
    <t>US20220087332A1</t>
  </si>
  <si>
    <t>能见度增强设备和系统可以使人类用户能够在无能见度或低能见度环境中查看他们的周围环境。 该系统提供了一种多功能方法来增强多种情况下的安全性和可见性,例如跑步者、保安人员、徒步旅行者、骑自行车的人、骑摩托车的人、潜水员、游泳者、海岸警卫队、海军人员、船员等。该设备具有 能见度增强单元、控制器、用户界面、为设备和系统供电的电池。 用户界面可以是控制面板、远程控制、可附接-可拆卸的车辆把手支架,或集成到车辆电子设备中。 该设备和系统可以套在各种衣服和外衣上。 该系统可以可拆卸地耦合到转向信号技术、手机存储、药物、水合作用等。该系统可以通过人工智能被教导是自动的,或者通过用户通过控制面板、应用程序、语音识别或 触敏技术。</t>
  </si>
  <si>
    <t>增强可见性的人体设备和多功能系统</t>
  </si>
  <si>
    <t>KR102376398B1</t>
  </si>
  <si>
    <t>本发明的优点在于,在使用机器学习设计复合材料时,可以导出适合设计者所要求的目标值的纤维的设计参数,从而可以更快速和有效地设计复合材料。 此外,在坠落冲击实验中获得的大量大数据中,每种纤维的复合材料的最大吸收能量、最大载荷、坠落物体的最大速度、制造成本都是输入变量。使用纤维类型作为输出变量,其优点在于设计者在设计实际复合材料时所要求的目标值对应的最优纤维类型,可以通过生成用于纤维设置的运行模型,通过执行跑步。</t>
  </si>
  <si>
    <t>如何使用机器学习为复合材料设计的纤维建立设计参数</t>
  </si>
  <si>
    <t>CN111667742A</t>
  </si>
  <si>
    <t>本发明是关于一种教练车智能辅助训练方法及系统。该方法包括：通过摄像头实时获取训练场地图像信息，并上传至机器学习模型；通过模型对训练场地图像进行检测，以判断训练场地所属类型，以及判断训练场地图像中是否存在教练车；若存在教练车，则通过模型计算及分析处理，生成一行车路径；模型通过计算及分析行车路径，判断行车路径是否偏离预设路径；若偏离，则通过模型生成一矫正信息，并将该信息发送至教练车；将矫正信息在车内进行显示及播放，使得车内的学员根据矫正信息调整自身的驾驶动作，从而使行车路径通过调整而靠近预设路径。本发明可以在一定程度上替代教练，为学员在练车过程中提供了智能的练车辅助，并且提高了学员的训练水平。</t>
  </si>
  <si>
    <t>CN212484651U</t>
  </si>
  <si>
    <t>本公开揭示了教练机飞行模拟训练系统，包括：多个飞行模拟器，所述飞行模拟器包括通讯连接的解算计算机、图形仪表及音响计算机、视景显示计算机、模拟座舱、抖振系统、杆力系统及音响系统；指挥模拟器，其包括塔台视景终端、空域视景终端、飞行计划终端、语音识别通信终端和指挥主控终端；网络交换机，其配置为使多个所述飞行模拟器与所述指挥模拟器建立通讯连接。本实用新型的教练机飞行模拟训练系统，能够实现不同气象条件下，基于一台指挥模拟器和多台飞行模拟器的多种飞行训练项目的模拟训练教学。</t>
  </si>
  <si>
    <t>教练机飞行模拟训练系统</t>
  </si>
  <si>
    <t>CN306297665S</t>
  </si>
  <si>
    <t>1.本外观设计产品的名称：带训练信息展示图形用户界面的显示屏幕面板。
 2.本外观设计产品的用途：用于运行程序、显示图形图像；显示屏幕面板用于智能手表、智能手环、可穿戴式计算机、智能自行车码表、智能椭圆机、智能跑步机、手机、平板电脑、电视机、电脑显示器、笔记本电脑。
 3.本外观设计产品的设计要点：在于图形用户界面内容。
 4.最能表明设计要点的图片或照片：设计1主视图。
 5.显示屏幕面板为惯常设计，省略设计1至设计7的后视图、左视图、右视图、俯视图、仰视图。
 6.指定设计1为基本设计。
 7.图形用户界面的用途：用于展示用户每天的训练计划，以及其他天是否有训练计划。
 8.图形用户界面的人机交互方式：根据系统感应装置感应当天为周几，则对应的周几区域下显示着重线标；若当天有训练计划，则显示周几的区域高亮；如当天没有训练计划，则其区域变暗；也可显示其他天是否有训练计划，若其他天也有训练计划，则其区域的外框高亮；若其他天没有训练计划，则其显示周几的区域变暗。
 9.黑色区域为内容画面区域。</t>
  </si>
  <si>
    <t>带训练信息展示图形用户界面的显示屏幕面板</t>
  </si>
  <si>
    <t>CN306308876S</t>
  </si>
  <si>
    <t>1.本外观设计产品的名称：带信息展示图形用户界面的显示屏幕面板。
 2.本外观设计产品的用途：用于运行程序、显示图形图像；显示屏幕面板用于智能手表、智能手环、可穿戴式计算机、智能自行车码表、智能椭圆机、智能跑步 机、手机、平板电脑、电视机、电脑显示器、笔记本电脑。
 3.本外观设计产品的设计要点：在于图形用户界面内容。
 4.最能表明设计要点的图片或照片：主视图。
 5.显示屏幕面板为惯常设计，省略后视图、左视图、右视图、俯视图、仰视图。
 6.图形用户界面的用途：用于展示用户当前身体电量、储备能量等级、压力值、恢复值等信息。
 7.图形用户界面的人机交互方式：主视图根据系统感应装置显示用户当前身体电量、储备能量等级、压力值、恢复值等信息，界面中的数值区会根据感应到的数据做相应变化，向左滑动屏幕也可进入下级界面。</t>
  </si>
  <si>
    <t>带信息展示图形用户界面的显示屏幕面板</t>
  </si>
  <si>
    <t>CN306308875S</t>
  </si>
  <si>
    <t>1.本外观设计产品的名称：带信息展示图形用户界面的显示屏幕面板。
 2.本外观设计产品的用途：用于运行程序、显示图形图像；显示屏幕面板用于智能手表、智能手环、可穿戴式计算机、智能自行车码表、智能椭圆机、智能跑步机、手机、平板电脑、电视机、电脑显示器、笔记本电脑。
 3.本外观设计产品的设计要点：在于图形用户界面内容。
 4.最能表明设计要点的图片或照片：设计1主视图。
 5.显示屏幕面板为惯常设计，省略设计1、设计2、设计3、设计4、设计5、设计6的其他视图。
 6.指定设计1为基本设计。
 7.图形用户界面的用途：用于信息展示；展示心率数值、配速、距离、卡路里、海拔、时长、步数等信息。
 8.图形用户界面的人机交互方式：设计1主视图根据系统感应装置显示心率数值变化情况、实时心率数值、配速、距离等信息；设计2主视图根据系统感应装置显示心率数值变化情况、实时心率数值、步数、卡路里等信息；设计3主视图根据系统感应装置显示心率数值变化情况、实时心率数值、海拔、时长等信息；设计4主视图根据系统感应装置显示心率数值变化情况、实时心率数值、配速、距离等信息；设计5主视图根据系统感应装置显示心率数值变化情况、实时心率数值、步数、卡路里等信息；设计6主视图根据系统感应装置显示心率数值变化情况、实时心率数值、海拔、时长等信息。</t>
  </si>
  <si>
    <t>WO2021036562A1</t>
  </si>
  <si>
    <t>一种用于健身训练的提示方法和电子设备，涉及人工智能领域。该方法包括：获取训练所需空间，所述训练所需空间用于完成一个或多个训练动作（801）；根据用户所处的训练场景和所述训练所需空间确定为用户推荐的训练位置（802）；基于所述为用户推荐的训练位置采集所述用户的训练动作（803）。通过根据用户所处的训练场景和训练所需空间为用户推荐合适的训练位置，能够实现在运动空间受限的场景下例如存在遮挡、场地不足时，用户也能够正常开展训练。</t>
  </si>
  <si>
    <t>用于健身训练的提示方法和电子设备</t>
  </si>
  <si>
    <t>WO2021036568A1</t>
  </si>
  <si>
    <t>一种人工智能领域中的辅助健身的方法，其特征在于，包括：电子设备获取用户动作（S601）；电子设备从所述用户动作中确定所述用户动作中第一肢体的运动轨迹满足第一预设条件的备选动作（S602）；电子设备确定第二肢体在所述备选动作中的动作变化幅度（S603）；电子设备根据所述动作变化幅度，确定输出指导信息（S604）。通过确定肢体动作轨迹满足第一预设条件的备选动作，根据备选动作中的肢体动作变化幅度，可以准确确定用户进行健身动作。在确定用户进行健身动作的情况下输出指导信息，能够提高输出指导信息的准确性，提升用户体验。</t>
  </si>
  <si>
    <t>辅助健身的方法和电子装置</t>
  </si>
  <si>
    <t>CN306382739S</t>
  </si>
  <si>
    <t>1.本外观设计产品的名称：带用户操作图形用户界面的显示屏幕面板。
 2.本外观设计产品的用途：用于运行程序、显示图形图像；显示屏幕面板用于智能手表、智能手环、可穿戴式计算机、智能自行车码表、智能椭圆机、智能跑步机、手机、平板电脑、电视机、电脑显示器、笔记本电脑。
 3.本外观设计产品的设计要点：在于图形用户界面内容。
 4.最能表明设计要点的图片或照片：设计1主视图。
 5.显示屏幕面板为惯常设计，省略设计1、设计2、设计3、设计4的其他视图。
 6.指定设计1为基本设计。
 7.图形用户界面的用途：用于用户操作、信息展示。
 8.图形用户界面的人机交互方式：设计1主视图选择“MY FITNESS”后显示设计1变化状态图；设计2主视图选择“MY DAY”后显示设计2变化状态图；设计3主视图选择“A”部后显示设计3变化状态图；设计4主视图选择“B”部后显示设计4变化状态图。</t>
  </si>
  <si>
    <t>带用户操作图形用户界面的显示屏幕面板</t>
  </si>
  <si>
    <t>US20220277845A1</t>
  </si>
  <si>
    <t>本申请提供了一种健身训练的提示方法及电子设备,涉及人工智能领域。 该方法包括:获取所需的训练空间,所需的训练空间用于完成一个或多个训练动作; 根据用户所在的训练场景和所需的训练空间,确定推荐给用户的训练地点; 记录根据向用户推荐的训练地点收集用户的训练动作。 根据用户所在的培训场景和所需的培训空间,为用户推荐合适的培训地点。 因此,用户也可以在运动空间有限的场景下,例如有障碍物或场地不足时,正常进行训练。</t>
  </si>
  <si>
    <t>体能训练提示方法及电子装置</t>
  </si>
  <si>
    <t>VN88511A</t>
  </si>
  <si>
    <t>本发明提供一种人工智能领域的辅助健身方法,包括以下步骤: 电子设备,捕捉用户动作(S601); 电子设备从用户的动作中判断出用户动作中的第一身体部位动作轨迹满足第一预设条件的候选动作(S602); 确定候选运动中第二身体部位的位移变化幅度的电子设备(S603); 电子设备根据运动变化的幅度确定给出引导信息(S604)。 确定满足第一预设条件的身体部位的轨迹的候选运动,可以根据候选运动中的身体部位运动变化幅度,精确确定,是执行健身动作的用户。 在识别出用户进行健身运动时给出引导信息,可以提高输出引导信息的准确性,提高用户体验。 本发明还涉及一种电子机器、一种计算机存储介质和一种芯片系统。</t>
  </si>
  <si>
    <t>支持健身、电子、计算机存储媒体和芯片系统的方法</t>
  </si>
  <si>
    <t>EP4006754A4</t>
  </si>
  <si>
    <t>本申请提供一种健身训练的提示方法及电子设备,涉及人工智能领域。 该方法包括:获取所需训练空间,该所需训练空间用于完成一个或多个训练动作(801); 根据用户所在的训练场景和所需的训练空间,确定向用户推荐的训练位置(802); 根据推荐给用户的训练地点收集用户的训练动作(803)。 根据用户所在的训练场景和所需的训练空间,向用户推荐合适的训练地点。 因此,用户在运动空间有限的场景下,如有障碍物或场地不足等情况下,也能正常进行训练。</t>
  </si>
  <si>
    <t>健身训练的提示方法及电子设备</t>
  </si>
  <si>
    <t>EP4020491A4</t>
  </si>
  <si>
    <t>一种人工智能领域的辅助健身方法,包括:电子设备获取用户动作(S601); 电子设备从用户动作中确定用户动作中第一身体部位的运动轨迹满足第一预设条件的候选动作(S602); 电子设备确定候选动作中的第二身体部位的动作变化幅度(S603); 电子设备根据移动变化幅度确定输出引导信息(S604)。 确定身体部位的运动轨迹满足第一预设条件的候选动作,根据候选动作中身体部位的运动变化幅度,可以准确判断出用户进行健身运动。 在确定用户进行健身运动时输出引导信息,从而可以提高输出引导信息的准确性,提高用户体验。</t>
  </si>
  <si>
    <t>健身辅助方法及电子装置</t>
  </si>
  <si>
    <t>JP2022546453A</t>
  </si>
  <si>
    <t>一种人工智能领域的健身支持方法,包括: 电子设备获取用户动作(S601); 确定满足预设条件的候选动作(S602); 确定(S604)输出引导信息基于运动变化的幅度。 确定满足身体部位运动轨迹的第一预设条件的候选动作,根据候选动作中身体部位的运动变化幅度,准确判断用户正在进行健身运动。可 在确定用户进行健身活动时输出引导信息,可以提高输出引导信息的准确性,改善用户体验。</t>
  </si>
  <si>
    <t>健身辅助方法和电子设备</t>
  </si>
  <si>
    <t>KR102211135B1</t>
  </si>
  <si>
    <t>根据本发明实施例的基于多神经网络模型的篮球比赛分析装置获取包括多个帧的比赛图像并提供关于第一队、第二队和体育场的信息以进行分析在游戏图像中设置动作; 通过将比赛图像输入到训练有素的第一个神经网络来指定和确定帧内包括篮球、球门柱和球员在内的物体的位置,球门柱、篮球和球员的位置包括在比赛图像的帧中的操作生成有关的第一信息; 将比赛视频输入训练有素的第二神经网络,以区分帧内不同队服,并创建比赛视频动作帧中包含的第一队和第二队队服的指定和位置的第二信息; 通过将游戏视频中的多个连续帧输入到从多个帧学习判断进球是否成功的第三神经网络,生成多个连续帧的进球成功或失败的第三信息; 并且它可以包括基于第一、第二和第三信息生成关于游戏视频的分析信息。</t>
  </si>
  <si>
    <t>基于多重神经网络模型的篮球比赛分析装置及方法</t>
  </si>
  <si>
    <t>CN111563487B</t>
  </si>
  <si>
    <t>本发明涉及人工智能技术领域，提供一种基于姿态识别模型的舞蹈评分方法及相关设备，包括：调用姿态识别模型识别教练和学生的舞蹈视频得到肢体点序列；根据肢体点序列将教练和学生的舞蹈视频的动作起止帧对齐；确定教练的舞蹈视频的动作起止帧对应的第一目标肢体点序列，及学生的舞蹈视频的动作起止帧对应的第二目标肢体点序列；根据第一和第二目标肢体点序列计算动作标准程度分、节奏掌握程度分、舞蹈技巧程度分，并基于这三个程度分计算第二舞蹈视频的总评分。本发明能够将教练的第一舞蹈视频和学生的第二舞蹈视频的起止时间对齐，确保学生和教练的动作对应，从而使得计算出的评分更可靠、准确率更高。</t>
  </si>
  <si>
    <t>基于姿态识别模型的舞蹈评分方法及相关设备</t>
  </si>
  <si>
    <t>CN306442268S</t>
  </si>
  <si>
    <t>1.本外观设计产品的名称：带斗歌挑战动态图形用户界面的显示屏幕面板。
 2.本外观设计产品的用途：用于显示信息。
 3.本外观设计产品的设计要点：在于屏幕中的图形用户界面。
 4.最能表明设计要点的图片或照片：设计1主视图。
 5.指定设计1为基本设计。
 6.图形用户界面的用途：本外观设计为带斗歌挑战动态图形用户界面的显示屏幕面板，图形用户界面用于为用户提供斗歌挑战赛流程的交互等。
 7.图形用户界面的人机交互方式：在设计1至设计4中，当用户点击主视图界面中部赏金挑战入口进入参赛页，界面跳转至变化状态图1。
 进一步点击“参赛”按钮扣除金币后进入选歌页，界面跳转至变化状态图2。
 点击“演唱”进入匹配对手至匹配成功，界面依次跳转至变化状态图4。
 匹配成功后双方进入比赛页，用户和对手先后进行演唱，并且一方唱完后系统进行智能评分并给出分数，界面由变化状态图5依次跳转至变化状态图12。
 双方演唱完后显示比赛结果，界面跳转至变化状态图13。
 用户可根据比赛结果进行下一步操作。
 在设计5和设计6中，当用户点击主视图界面中部赏金挑战入口进入参赛页，界面跳转至变化状态图1。
 进一步点击“参赛”按钮扣除金币后进入选歌页，界面跳转至变化状态图2。
 点击“演唱”进入匹配对手至匹配成功，界面依次跳转至变化状态图4。
 匹配成功后双方进入比赛页，用户和对手先后进行演唱，并且一方唱完后系统进行智能评分并给出分数，界面由变化状态图5依次跳转至变化状态图12。
 当本轮比赛中用户胜场或负场达到一定次数后，本轮比赛结束，界面跳转至变化状态图13。
 进一步点击“领取奖励”进行礼物结算，界面跳转至变化状态图14。
 在设计7中，主视图界面为挑战赛时间已开始，用户已参赛且本轮挑战未结束情况下点击主视图界面中部赏金挑战入口进入参赛页，界面跳转至变化状态图1。
 进一步点击“开始挑战”按钮进入选歌页，界面跳转至变化状态图2。
 点击“演唱”进入匹配对手至匹配成功，界面依次跳转至变化状态图4。
 匹配成功后双方进入比赛页，用户和对手先后进行演唱，并且一方唱完后系统进行智能评分并给出分数，界面由变化状态图5依次跳转至变化状态图12。
 当本轮比赛中用户胜场或负场达到一定次数后，本轮比赛结束，界面跳转至变化状态图13。
 进一步点击“领取奖励”进行礼物结算，界面跳转至变化状态图14。
 各设计界面中的圆形或圆角矩形空白区域为内容画面，例如用户头像、专辑封面等。
 各设计界面中的叉号代表文字和/或数字。
 8.该显示屏幕面板可用于手机，计算机，平板电脑，车载导航仪。</t>
  </si>
  <si>
    <t>带斗歌挑战动态图形用户界面的显示屏幕面板</t>
  </si>
  <si>
    <t>CN306495558S</t>
  </si>
  <si>
    <t>1.本外观设计产品的名称：带赛事直播图形用户界面的显示屏幕面板。
 2.本外观设计产品的用途：本外观设计产品的图形用户界面用于在显示屏幕面板上进行人机交互，显示屏幕面板用于手机、平板电脑。
 3.本外观设计产品的设计要点：在于显示屏幕面板中显示的图形用户界面。
 4.最能表明设计要点的图片或照片：设计1主视图。
 5.无设计要点，省略本外观设计产品设计1‑2的后视图、左视图、右视图、俯视图及仰视图。
 6.指定设计1为基本设计。
 7.图形用户界面的用途：本外观设计产品的界面用于赛事直播，尤其是用于高尔夫球赛事直播，设计1主视图显示的界面为高尔夫球赛事直播界面，界面中具有视频直播画面、实时计分卡以及直播互动，实时计分卡具有某一组球员的当日成绩、总成绩以及当前比赛进展情况，还具有领先者的总成绩；设计2主视图显示的界面为高尔夫球赛事直播界面，界面中具有视频直播画面、实时计分卡以及直播互动，实时计分卡具有领先者的总成绩，还具有成绩排名前列的球员的当日成绩、总成绩以及当前比赛进展情况；以上各视图中，白框代表直播画面图像，球员国籍图片、用户头像以及广告信息图像，设计1‑2使用状态参考图分别展示出本外观设计产品设计1‑2主视图在实际应用中的情况。</t>
  </si>
  <si>
    <t>带赛事直播图形用户界面的显示屏幕面板</t>
  </si>
  <si>
    <t>CN306503305S</t>
  </si>
  <si>
    <t>1.本外观设计产品的名称：带赛事直播图形用户界面的显示屏幕面板。
 2.本外观设计产品的用途：本外观设计产品的图形用户界面用于在显示屏幕面板上进行人机交互，显示屏幕面板用于手机、平板电脑。
 3.本外观设计产品的设计要点：在于显示屏幕面板中显示的图形用户界面。
 4.最能表明设计要点的图片或照片：设计1主视图。
 5.无设计要点，省略本外观设计产品设计1‑4的后视图、左视图、右视图、俯视图及仰视图。
 6.指定设计1为基本设计。
 7.图形用户界面的用途：本外观设计产品的界面用于赛事直播，尤其是用于高尔夫球赛事直播，设计1主视图显示的界面为高尔夫球赛事直播界面，界面中具有视频直播画面、实时积分卡以及直播互动，在实时积分卡上具有赛事广告区域；设计2主视图显示的界面为高尔夫球赛事直播界面，界面中具有视频直播画面、实时积分卡以及直播互动，在实时积分卡上具有将要进行的球洞信息；设计3主视图显示的界面为高尔夫球赛事直播界面，界面中具有视频直播画面、实时积分卡以及直播互动，在实时积分卡上具有赛事奖金分配信息；设计4主视图显示的界面为高尔夫球赛事直播界面，界面中具有视频直播画面、实时积分卡以及直播互动，在实时积分卡上具有最近结束的球洞比赛结果以及奖金信息；以上各视图中，白框代表直播画面图像，球员、用户头像以及广告信息图像，设计1使用状态参考图1‑2、设计2‑4使用状态参考图分别展示出本外观设计产品设计1‑4主视图在实际应用中的情况。</t>
  </si>
  <si>
    <t>CN111860267B</t>
  </si>
  <si>
    <t>本发明涉及一种基于人体骨骼关节点位的多通道健身运动识别方法，包括：步骤1、采集人体运动深度图像时序数据；步骤2、建立用于第一通道的人体骨骼关节点位变化数据集。本发明的有益效果是：本发明通过基于LSTM的深度学习算法的双通道模型进行学习训练后，对运动姿态进行识别，骨骼关节点位数据相比于传统的图像数据更加精确，定位和检测人体运动更加准确；引入地面方程，能准确的判断人体关节点位和所在地面的空间关系，进而能更准确的识别人体的空间关系，增强识别方法对不同环境变化的适应性；先采用NTU RGB+D数据集中的骨架数据对模型进行训练，再使用自建的人体健身运动数据集进行迁移学习训练，提升模型识别的准确率。</t>
  </si>
  <si>
    <t>一种基于人体骨骼关节点位的多通道健身运动识别方法</t>
  </si>
  <si>
    <t>MX2020003384A</t>
  </si>
  <si>
    <t>本发明公开了一种系统和方法,用于在传送数字内容时提供警报,例如当有趣的数字内容迫在眉睫时,例如,在足球比赛期间比赛开始时,将一个或多个观众的注意力引向 数字内容。 本发明还被配置为结合关于引导观众焦点的警告来嵌入商业信息。 该系统适用于手动或自动激活警报。 此外,该系统可选地使用人工智能 (AI) 系统来实现,该系统使用深度学习进行训练,以识别自动触发警报/商业消息序列的适当时间。 可以通过监视警报激活的手动控制来训练人工智能系统。</t>
  </si>
  <si>
    <t>提供关于传送数字内容的警报的系统和方法。</t>
  </si>
  <si>
    <t>CN111782643A</t>
  </si>
  <si>
    <t>本发明涉及动作捕捉识别技术领域，公开了一种基于物联网和机器学习的青少年体育专项技能团体训练与评估系统及方法，包括可穿戴测量传感器，用于采集多项体育项目中的一个或多个测试动作的运动数据；计算机，用于获取多个测试动作标准样本的测试数据，并建立动作轨迹模型；云存储服务器，用于存储标准样本数据库；智能移动终端设备，智能移动终端设备分别与可穿戴测量传感器和云存储服务器无线通信连接，智能移动终端设备通过可穿戴传感器采集多项体育项目的多个测试动作的测试数据，并与标准样本数据库进行比较。本发明的技术方案能够对体育运动技能的准确评估，有助于提高训练水平，并且设备成本低廉，易于使用。</t>
  </si>
  <si>
    <t>基于物联网和机器学习的青少年体育专项技能团体训练与评估系统及方法</t>
  </si>
  <si>
    <t>CN213823371U</t>
  </si>
  <si>
    <t>本实用新型公开的属于体育器械设备技术领域，具体为一种基于物联网的篮球投篮训练用设备，包括篮板、红外线感应器、篮筐、主杆和底座，所述篮板内部设置有主板、射频识别装置、电源管理模块，所述篮板前端固定设置有照明系统，所述篮板前端分别嵌入设置有采集摄像头与光亮感应探头，所述光亮感应探头与照明系统通过电性连接，该种基于物联网的篮球投篮训练用设备搭配物联网系统，其中包括主板、照明系统、采集摄像头、红外线感应器及射频识别装置等，训练人员仅通过手机蓝牙即可连接该设备，得到篮球训练过程中的图像、投篮命中率等信息，使得训练不仅有章可循，且每个人对自己训练投篮的姿势可以进行详细的了解和观察。</t>
  </si>
  <si>
    <t>一种基于物联网的篮球投篮训练用设备</t>
  </si>
  <si>
    <t>NL2026030B1</t>
  </si>
  <si>
    <t>本发明涉及一种教练式双目立体视觉装置及高精度立体视觉图像获取方法,属于立体视觉技术领域,解决现有立体视觉装置不能满足高精度和低精度5个要求的问题。 同时成本。 该装置包括:双目立体视觉单元,用于离线采集视野内的双目样本图像和在线采集测量视野内的双目实时图像,用于处理和获取双目可见非立体图像, 匹配成本图和双目立体视觉图像; 一个教练单元,用于在同一视野内获取 10 个精确的立体视觉图像,以及一个智能学习单元,用于训练存储在智能学习单元中的深度卷积神经网络,直到深度卷积神经网络根据一个双目可见不收敛 -双目可见非立体图像的立体图像、匹配代价图和基于15个双目样本图像和精确立体视觉图像得到的双目立体视觉图像,也用于获得高精度立体视觉图像 基于对收敛后的双目实时图像进行处理获得的对应图像在测量场内。</t>
  </si>
  <si>
    <t>一种教练式双目立体视觉装置及获取高精度立体视觉图像的方法</t>
  </si>
  <si>
    <t>CN112007343A</t>
  </si>
  <si>
    <t>本发明涉及一种双臂型拳击陪练机器人。属于计算机技术辅助机器人应用于体育运动领域，包括立体视觉装置、靶区装置、机械双臂装置、数据处理装置及信息显示互动装置；立体视觉装置用于提供对拳击运动员运动数据的测量；靶区装置用于提供运动员的攻击训练；机械双臂装置用于模仿真人出拳攻击，提供对运动员的防御训练；数据处理装置用于软件实现对压力传感器数据、立体视觉图像数据的读取、分析，对双机械臂的操作和控制；信息显示互动装置提供对运动数据、动作姿态评分和错误提示显示及人机交互的功能。本发明能缓解大众对拳击运动的教练需求，提高拳击教学的标准化水平，提供专业的拳击训练，增强拳击运动的娱乐性。</t>
  </si>
  <si>
    <t>一种双臂型拳击陪练机器人</t>
  </si>
  <si>
    <t>CN114344865A</t>
  </si>
  <si>
    <t>本发明公开了一种用于格斗训练、娱乐及安防性质的假人系统，以下简称格斗假人系统，本系统的假人由智能拳击手套、图像识别模块、橡胶假人、声光模块、肢体动作机构、底座支架、电路系统组成；使用者佩戴智能拳击手套，对假人进行击打训练；通过手套及假人内部的传感器全程进行语音播报，并与使用者进行语音互动，同时发出炫光灯效；适用格斗训练、压力大人群的压力发泄、健身减肥娱乐运动。</t>
  </si>
  <si>
    <t>一种用于格斗训练、娱乐及安防性质的假人</t>
  </si>
  <si>
    <t>CN111833682A</t>
  </si>
  <si>
    <t>本申请涉及一种基于VR技术的虚拟查体教学方法和装置，其中，所述基于VR技术的虚拟查体教学方法包括：构建虚拟场景和虚拟病人；通过VR头盔设备向训练者显示虚拟环境和虚拟病人，与训练者进行交互；通过肢体及手势识别模块，识别训练者的查体操作行为；通过语音识别设备识别训练者的语音信息；控制所述虚拟病人根据所述查体操作行为和所述语音信息，向训练者进行反馈；实时监测训练者的查体操作行为和语音信息是否合乎规范，并对查体操作行为和语音信息进行统计和评价，给出训练成绩和指导建议。</t>
  </si>
  <si>
    <t>基于VR技术的虚拟查体教学方法和装置</t>
  </si>
  <si>
    <t>CN212491333U</t>
  </si>
  <si>
    <t>本实用新型涉及云平台终端设备技术领域，公开了一种基于云平台的人工智能交互式终端设备，包括跑步机和智能手环，所述跑步机底部传动连接有跑步带，跑步机顶部左侧固定连接有两根相互平行的支架，两根所述支架上部均倾斜固定连接有显示器壳体，显示器壳体上部固定嵌入有显示屏，位于所述显示屏右侧下部的显示器壳体上部竖直向上开设有储物槽。本实用新型通过智能手环通过其蓝牙传输模块与跑步机上的蓝牙传输模块连接后，将智能手环上的数据库内的信息和心率实时监测模块数据记录在健身房的云数据库内，全程自动化人机交互，并且在锻炼过程中，锻炼人员也可以按下启停开关控制跑步机进行启停，安全性大大提升，人工智能交互更加便捷。</t>
  </si>
  <si>
    <t>一种基于云平台的人工智能交互式终端设备</t>
  </si>
  <si>
    <t>CN111744156B</t>
  </si>
  <si>
    <t>本发明涉及动作捕捉识别技术领域，公开了一种基于可穿戴设备与机器学习的足球动作识别评估系统及方法，包括可穿戴测量传感器，用于采集足球运动员肢体中的一个或多个运动动作的运动数据；计算机，用于获取多组专业足球运动员和足球业余爱好者的运动数据，将其作为训练数据，并建立动作轨迹模型；从所有数据中提取数据的特征参数，将特征参数输入SVM分类器，对SVM分类器进行参数调试，训练完成后得到分类模型；智能移动终端设备，用于将特征参数输入训练好的分类模型进行分类，得到最终分类结果。本发明的技术方案能够对足球动作准确分类及对动作完成者进行等级划分。</t>
  </si>
  <si>
    <t>基于可穿戴设备与机器学习的足球动作识别评估系统及方法</t>
  </si>
  <si>
    <t>KR1020220005366A</t>
  </si>
  <si>
    <t>本发明一般涉及能够以非面对面方式进行测试的平台技术。 具体地,本发明基于生物特征认证对考生进行个人识别(DID),基于VR流向考生提供非面对面的试题,并使用基于VR的语音识别和运动模式识别在VR考试内容UI/UX 一种基于VR流媒体的非面对面考试平台技术,配置提供答题答疑框架,监控试题原件鉴权和存储试题损坏记录及打分通过共享和管理基于区块链的测试行为事件信息的结果。 根据本发明,在非面授考试中通过摄像头监控考生行为,通过区块链共享考试行为事件信息,确保考试过程的可靠性,以及设置VR流媒体试题时的可靠性。 ,时间差和出题顺序提供给考生,通过不同的设置和传输,有利于防止考生在同一地点的组合作弊。 此外,根据本发明,可以通过在非面对面课堂上收集和分析考生的 VR 视频来评估课堂沉浸感,并且具有非面对面评估手段可以被评估的优点。特别是在艺术和体育领域提供。</t>
  </si>
  <si>
    <t>基于vr流媒体的非面对面测试平台系统</t>
  </si>
  <si>
    <t>EP3933787A1</t>
  </si>
  <si>
    <t>用于在体育比赛中判断或确定至少一个参赛者或跑步者(P1、P2、P3)在通过线(2)上的位置或姿势和/或时间的系统(1)至少包括: -设备(10) 用于在通过比赛的中间线或终点线时拍摄,所拍摄的照片完成类型图像定义了系统的输入,以及 - 处理单元 (3) 连接到相机以将接收到的照片完成图像与一种使用人工智能的算法处理,用于在照片完成图像上自动放置一个或多个光标。</t>
  </si>
  <si>
    <t>体育比赛终点线判断或确定位置的系统及其操作方法</t>
  </si>
  <si>
    <t>US20220004985A1</t>
  </si>
  <si>
    <t>公开了一种使用车辆路线引导的路径选择方法。 该方法接收多个请求,包括多个食物组合和多个目的地; 根据第一个机器学习过程计算预计的营养指导订单量; 确定多个组装时间,所述多个组装时间包括作为营养指导订单量的函数的每个食物组合的组装时间; 从多个跑步者路线中选择跑步者路线,用于递送作为多个组装时间的函数的多个食物组合中的至少一种食物组合; 根据多个目的地与聚合站点的接近程度,生成多个预测路线; 并与快递员配对,优化目标函数的预测路线。 还公开了一种路径选择系统。</t>
  </si>
  <si>
    <t>用于选择递送路径的方法和系统</t>
  </si>
  <si>
    <t>KR1020220003827A</t>
  </si>
  <si>
    <t>本发明涉及一种在购买体育用品时通过基于位置的服务推荐体育设施的系统和方法,它涉及一种推荐附近与类别相关的体育设施的系统和方法。 通过提供一种通过基于位置的服务推荐体育设施的系统和方法,使用户能够根据用户购买的体育器材的信息和用户的区域设置信息找到附近的体育设施,从而降低了搜索成本,并且,最后,为各类用户提供生活体育的激活,是有其目的的。 为实现上述目的,根据本发明的在购买体育用品时通过基于位置的服务推荐体育设施的系统和方法是:收集设施信息; (b) 存储体育设施信息和大容量/实时数据处理和每个类别的分布式文件系统; (c) 接收来自用户的体育用品订单; (d) 利用用户购买的运动器材、用户设置的区域等类别信息,搜索运动设施信息; (e) 通过机器学习和推荐算法推荐附近的体育设施。 如上所述,本发明从搜索运动器材的过程中自动推荐附近的运动设施以协助进行实际的运动活动。 这一步可以通过降低搜索成本,促进体育在各阶层生活中的活力。 对于生活忙碌的小资产阶级和低收入阶层来说,通过本发明增加便利性的优势,他们可以节省时间和金钱,并且在寻找体育设施信息时感到更大的满足感。 此外,由于缺乏有关体育设施的信息,残疾人不终生运动的情况很多,但由于本发明包括专供残疾人使用的体育设施,因此可以解决这个问题并激活终生体育运动可以预期在相关课程中。 使这种消费和信息搜索过程变得容易的事实导致消费增加。 这将有利于盘活日常体育用品市场,对周边商圈具有增利增效的经济效应。 此外,它还伴随着通过激活人们的生命运动而导致长期健康改善的社会效应。</t>
  </si>
  <si>
    <t>在购买体育用品时通过基于位置的服务推荐体育设施的系统和方法</t>
  </si>
  <si>
    <t>CH717611A2</t>
  </si>
  <si>
    <t>用于在体育比赛中判断或确定至少一个参赛者或跑步者(P1、P2、P3)在通过线(2)上的位置或姿势和/或时间的系统(1),至少包括:装置( 10) 用于在通过比赛的中间线或终点线时进行拍摄,拍摄的终点线类型图像定义了系统的输入,以及连接到相机的处理单元(3),用于将接收到的终点线图像与算法处理相结合使用人工智能将一个或多个光标自动放置在冲印图像上。</t>
  </si>
  <si>
    <t>用于在体育比赛中判断或确定至少一名参赛者或跑步者在传球线上的位置或姿势和/或时间的系统。</t>
  </si>
  <si>
    <t>US11546415B2</t>
  </si>
  <si>
    <t>提供了一种用于智能服务器平台的系统、方法和装置,其使用遗传算法执行基于适应度的服务器迁移。 该平台可以定位硬件和软件工件并映射工件之间的功能关系。 可以基于相互依赖性对工件进行集群,以确保功能相关的工件作为一个单元迁移。 该平台可以应用健身协议来为每个集群生成健身分数并基于健身分数选择集群。 该平台可以应用交叉协议来优化选定的集群以符合企业标准。 该平台可以迭代交叉协议并基于连续世代的种群修改收敛目标。 该平台可以对工件进行排名并生成迁移协议。 平台可以根据迁移协议执行迁移。</t>
  </si>
  <si>
    <t>智能服务器迁移平台</t>
  </si>
  <si>
    <t>DE102020117372A1</t>
  </si>
  <si>
    <t>用于体育赛事自动分析的方法和系统</t>
  </si>
  <si>
    <t>JP7109503B2</t>
  </si>
  <si>
    <t>本发明结合了用于对 AV 流进行视频索引的各种方法和用于构建自然语言用户界面的各种方法,以便能够使用口头或文本命令来定位 AV 流。允许在流内导航或增强其观看效果。 
  一种方法使用自动语音识别 (ASR) 系统将用户的语音转换为文本,然后将此转换后的文本提供给自然语言理解 (NLU) 系统以获取其含义。最后控制相关 AV 流的播放(以前或当前正在视频索引步骤下处理)基于这个提取的含义。通过增强观看处理口头命令。 
  【选型图】图1</t>
  </si>
  <si>
    <t>自然语言导航和索引音频视频流的辅助查看(特别是体育比赛)</t>
  </si>
  <si>
    <t>CN111785347A</t>
  </si>
  <si>
    <t>本发明涉及运动健身技术领域，特别涉及一种基于运动记录的健身推荐系统及方法，所述方法应用于所述系统，所述系统包括信息收集模块：用于获取用户想要锻炼的部位信息；还用于获取用户的锻炼历史记录或身体初步评测信息；计划生成模块：用于生成若干套不同属性的训练计划；计划发送模块：用于将若干训练计划推荐给用户，并接收用户所选择的训练计划；计划完成度记录模块：用于记录用户根据训练计划进行锻炼的锻炼数据；计划优化模块：用于根据锻炼数据对本次推荐的训练计划进行分析、学习优化，并在下次推荐给用户。本发明能够解决用户缺乏健身经验或缺乏专业健身知识培训，在健身时易出现不安全及效果差的问题。</t>
  </si>
  <si>
    <t>基于运动记录的健身推荐系统及方法</t>
  </si>
  <si>
    <t>CN113065352B</t>
  </si>
  <si>
    <t>本申请提出了一种电网调度工作文本的操作内容识别方法，包括将电网调度工作文本进行分词处理，对得到的词组进行向量重组操作；将向量重组后的词组输出至基于双向LSTM和CNN的深度学习网络，得到词组对应电网调度工作文本的概率值；选取最大概率值对应的电网调度工作文本进行基于编辑距离的模糊匹配计算，基于计算结果确定深度学习网络输出的词组对应的具体操作类型；对已确定的具体操作类型进行基于字符串匹配的运算得到处理详情。通过采用了深度学习网络，避免其他信息对操作内容信息的干扰；另外引入基于编辑距离和字符串匹配结合的规则对分句中的关键信息进行识别，提高了电网调度工作文本中的操作设备类型和操作类型信息的识别准确率。</t>
  </si>
  <si>
    <t>一种电网调度工作文本的操作内容识别方法</t>
  </si>
  <si>
    <t>CN111754549B</t>
  </si>
  <si>
    <t>本发明公开了一种基于深度学习的羽毛球运动员轨迹提取方法，其特点是羽毛球运动员轨迹的提取具体包括：空间数据模型与视频获取、利用faster R‑CNN进行模型训练与球鞋识别、构建像素坐标系和球场平面坐标系的映射模型，计算球鞋在平面坐标系中的坐标、球鞋匹配与双目定位和技术统计等步骤。本发明与现有技术相比具有准确地还原羽毛球运动员在比赛中的运动轨迹，提高了运动员的步法训练，方法简便，省时省力，经济、高效。</t>
  </si>
  <si>
    <t>一种基于深度学习的羽毛球运动员轨迹提取方法</t>
  </si>
  <si>
    <t>CN111795524A</t>
  </si>
  <si>
    <t>本发明实施例提供了一种热泵系统控制方法，包括参数查询及修改控制方案，该参数查询及修改控制方案包括参数查询控制逻辑和参数修改控制逻辑，具体为：通过先后按压两次触摸屏的设置键进入参数查询模式，然后再通过按压加减键选择需要查看的参数；进入参数查询模式后，再次按压一次设置键进入参数设置模式，然后通过按压加减键即可进行参数的设定，最后按压设置键完成确认。通过设置键和加减键两种按键即可执行对热泵不同模式下的参数查询以及参数设定操作，且其具体操作过程为仅通过短按或者长按的搭配完成，操作过程并不复杂，人机交互方式直截了当，可在最大程度满足用户的使用体验。</t>
  </si>
  <si>
    <t>一种热泵系统控制方法</t>
  </si>
  <si>
    <t>CN212902116U</t>
  </si>
  <si>
    <t>本实用新型实施例提供了一种热泵控制系统，包括触摸屏系统和处理器模块，所述触摸屏系统包括设置键模块和加减键模块，还包括参数查询及修改控制系统，所述参数查询及修改控制系统包括参数查询模块和参数设定模块，所述参数查询模块和所述参数设定模块均通过所述处理器模块分别和所述设置键模块、所述加减键模块电连接。通过设置键模块和加减键模块这两个模块即可执行对热泵不同模式下的参数查询以及参数设定操作，且其具体操作过程为仅通过短按或者长按的搭配完成，操作过程并不复杂，人机交互方式直截了当，可在最大程度满足用户的使用体验。</t>
  </si>
  <si>
    <t>一种热泵控制系统</t>
  </si>
  <si>
    <t>IN202041027335A</t>
  </si>
  <si>
    <t>提供了一种基于物联网 (IoT) 的安全气囊装置,用于保护用户免受意外伤害。 该设备包括用户102、身体运动跟踪传感器104、微控制器106、按摩器108、气囊装置110和改变系统112。身体运动跟踪传感器104感测用户102相对于坐标系的跌倒运动。 当身体运动跟踪传感器104感测到坠落运动10并在游泳池中溺水时,气囊装置110使气囊膨胀以保护用户102。 微控制器106执行(a)通过设备记录用户的初始身体位置,(b)通过身体运动跟踪传感器通过分析用户从初始身体位置的移动来感测用户的跌倒运动,(c)比较,通过 装置,用户的跌倒运动具有固定的阈值,以及(d)当用户的跌倒运动大于固定的阈值时,通过安全气囊装置对安全气囊充气,以保护用户免受伤害。 15 图 1</t>
  </si>
  <si>
    <t>基于物联网 (IOT) 的安全气囊装置</t>
  </si>
  <si>
    <t>NL2025923B1</t>
  </si>
  <si>
    <t>用于检测特定区域(5)内的移动物体(10-12)的方法,包括以下步骤: - 在区域(5)周围提供多个物理相机(4)); — 组成全景视频流; - 通过选择全景图 (23) 的相应局部视图 (26) 并通过将所选局部视图 (26) 反变形为正方形视图 (27) 来定义一个或多个虚拟相机视图 (25); — 将每个去扭曲视图 (27) 馈送到深度学习神经网络; 以及,——在区域(5)的相应部分进行检测。</t>
  </si>
  <si>
    <t>用于检测和/或跟踪特定区域内的移动物体的方法和实现这种方法的体育视频制作系统。</t>
  </si>
  <si>
    <t>CL63797B</t>
  </si>
  <si>
    <t>描述了部署在特定区域以获取鱼类图像的鱼类监测系统。 可以实施神经网络和机器学习技术来定期训练鱼类监测系统并生成监测模式,以根据给定区域的条件捕获高质量的鱼类图像。 当检测到与监视模式匹配的条件时,可以根据监视模式指定的设置(例如位置、视角)来配置摄像机系统。 每种监测模式都可以与一种或多种鱼类活动相关联,例如睡觉、进食、单独游泳,以及一种或多种参数,例如时间、位置和鱼类类型。</t>
  </si>
  <si>
    <t>鱼类测量站维护。</t>
  </si>
  <si>
    <t>CN111860188A</t>
  </si>
  <si>
    <t>本发明公开了一种基于时间和通道双注意力的人体姿态识别方法，包括：利用移动设备的内置传感器采集各类人体动作的原始数据，并附上动作的属性标签、利用滑窗和归一化处理并切分为训练样本集和测试样本集、建立基于时间和通道双注意力的深度卷积神经网络模型，导入训练样本和测试样本进行训练和最优化调节，得到人体动作的识别结果。本发明由于通道注意力和时序注意力的叠加作用，可以在经过大量粗粒度的训练数据训练后准确定位到目标动作发生的类别和发生时间，大大降低了人工标注训练数据的繁琐性，在体育，互动游戏，医疗保健和通用监视系统等方面具有十分重要的作用。</t>
  </si>
  <si>
    <t>一种基于时间和通道双注意力的人体姿态识别方法</t>
  </si>
  <si>
    <t>CN212115938U</t>
  </si>
  <si>
    <t>本实用新型公开了一种健身房智能物联网控制器，包括除湿箱体，所述除湿箱体的一侧表面连通有新风管，所述除湿箱体的内部设置有控制本体，所述除湿箱体的下端设置有定期更换除潮机构，所述新风管与所述除湿箱体之间设置有连接机构，所述除湿箱体内设置有倾斜石灰板。本实用新型可以省略物联网控制器在健身房内的泳池区域而产生湿度较大的问题，避免了受潮后电器元件损坏的问题。</t>
  </si>
  <si>
    <t>一种健身房智能物联网控制器</t>
  </si>
  <si>
    <t>US11621067B1</t>
  </si>
  <si>
    <t>一种在一对一健身设置和/或团体健身设置中为用户创建个性化体重训练计划的计算机实现方法。 该方法包括由用户输入用户信息、通过机器学习模型输入用户信息或其组合来创建个性化重量训练计划。 该方法包括用户肌肉的力量和弱点评估以及用户和/或用户之间的进步评估。</t>
  </si>
  <si>
    <t>一种个性化抗阻训练方案的生成方法</t>
  </si>
  <si>
    <t>US20200315531A1</t>
  </si>
  <si>
    <t>本发明针对可以基于诸如氧肺容量(pmVO2)的单一因素来确定用户健康状况的系统和方法。 在用户执行由系统的健身应用程序指定的身体测试之后,对用户进行心率测量。 心率测量值被转换为 pmVO2 值,并与其他人的 pmVO2 值进行比较。 系统根据比较结果为用户分配健身等级。 该系统还包括帮助用户从一个等级移动到更高等级的人工智能系统。</t>
  </si>
  <si>
    <t>健身系统和方法</t>
  </si>
  <si>
    <t>CN212569805U</t>
  </si>
  <si>
    <t>本实用新型涉及羽毛球运动姿态识别技术领域，且公开了基于深度学习的羽毛球运动姿态识别系统，包括移动终端，移动终端通过蓝牙连接球拍上的数据采集模块，数据采集模块包括加速度传感器、磁传感器和陀螺仪，羽毛球运动时，加速度传感器、磁传感器和陀螺仪同时收集用户的运动数据，并把运动数据传输至移动终端，移动终端再把运动数据上传至服务器，服务器包括数据处理模块和神经网络模块，数据处理模块对运动数据进行处理后，会把运动数据传输至神经网络模块，神经网络模块能够对数据做出分析，对用户的动作做出评测，智能进行评分，评测后的运动数据再次传递至移动终端，方便用户了解自身的技术统计等情况。</t>
  </si>
  <si>
    <t>基于深度学习的羽毛球运动姿态识别系统</t>
  </si>
  <si>
    <t>CN111724644B</t>
  </si>
  <si>
    <t>本发明公开了一种基于工业物联网教学实训平台，涉及物联网培训技术领域，解决了目前使用的实训平台试验功能较少，不能同时对工业类学科的学习人员提供多功能实践功能，不具备对比练习的功能的问题。一种基于工业物联网教学实训平台，包括实训平台；所述实训平台还包括有存储槽，垃圾槽和固定架；所述实训平台的两侧均开设有五处存储槽，存储槽的内侧底部均固定设置有剪叉升降机，且剪叉升降机的顶部均设置有升降台板，通过设置有台钻，磨砂装置，切割装置，台虎钳和卡盘可以提供五种以上的工业技术训练，为学习人员提供了方便且多元化的训练功能，并且可以进行两人对比训练，通过比赛式的训练学习对方的优点，有利于学习人员的学习和实践。</t>
  </si>
  <si>
    <t>一种基于工业物联网教学实训平台</t>
  </si>
  <si>
    <t>JP2022521620A</t>
  </si>
  <si>
    <t>本发明涉及一种多人在线对战节目的呈现信息传输方法、装置及终端。 该方法包括步骤:显示(301)多人在线竞技节目的用户界面,并在用户界面上接收定向操作,该定向操作用于激活演示信息传输功能,并且是指向目标显示器的操作。用户界面中的元素; 基于目标显示元素和匹配信息预测目标呈现信息的步骤(303); 将目标呈现信息发送(304)给角色的队友虚拟角色,或所有参与的虚拟角色的客户比赛。 该方法提高了用户与其他用户进行信息交流时的人机交互效率。</t>
  </si>
  <si>
    <t>演示信息传输方法、演示信息显示方法、演示信息传输装置、演示信息显示装置、终端以及多人在线对战程序的计算机程序</t>
  </si>
  <si>
    <t>CN113813568B</t>
  </si>
  <si>
    <t>CN306261987S</t>
  </si>
  <si>
    <t>1.本外观设计产品的名称：显示屏幕面板的比赛积分展示图形用户界面。
 2.本外观设计产品的用途：用于显示信息。
 3.本外观设计产品的设计要点：在于屏幕中的图形用户界面。
 4.最能表明设计要点的图片或照片：设计1主视图。
 5.指定设计1为基本设计。
 6.图形用户界面的用途：本图形用户界面为应用软件客户端的比赛积分展示图形用户界面。
 界面用于展示比赛积分、对话聊天或其他服务操作等。
 7.图形用户界面的人机交互方式：设计1至设计8主视图为比赛结果积分展示的界面，用户可以点击界面中的“分享战绩”控件或“再来一局”控件执行对应操作，用户还可以点击界面中任意控件执行更多操作。
 8.该显示屏幕面板可用于手机、计算机、平板电脑、车载导航仪。</t>
  </si>
  <si>
    <t>显示屏幕面板的比赛积分展示图形用户界面</t>
  </si>
  <si>
    <t>CN113810440A</t>
  </si>
  <si>
    <t>本发明涉及技术领域，且公开了一种基于物联网的智能游泳救生圈，包括智能控制系统，其特征在于，所述智能控制系统包括有处理器、存储器、报警器、无线收发器、数据采集子系统、电源控制子系统、运动控制子系统、无线路由、以太网、服务器和远程监控终端。本发明通过设置高清摄像头，便于对水上游玩的沿途风景和路线进行记录，通过GPS定位器对水上坐标的记录，能够及时反馈的位置，便于后期救援工作，通过超声波传感器对水域障碍物的监测，能够协助通过处理器控制救生圈做出回避，提高了使用安全性能。</t>
  </si>
  <si>
    <t>一种基于物联网的智能游泳救生圈</t>
  </si>
  <si>
    <t>US20220318621A1</t>
  </si>
  <si>
    <t>优化增强学习模型的方法,该模型包括接收标记的数据集的步骤。接收一个未标记的数据集。生成模型参数,以使用标记的数据集作为训练数据集形成初始增强学习模型。使用初始强化学习模型在未标记的数据集中找到一个或多个目标的多个匹配项。排名多个比赛。呈现排名匹配项的子集和相应的一个或多个目标,其中排名匹配项的子集包括排名最高的匹配项。接收一个信号,表明最高排名匹配的一个或多个匹配是不正确的匹配。添加描述指示的不正确的一个或多个匹配和对应的目标与标记数据集的信息,以形成新的培训数据集。更新初始强化学习模型的模型参数,以使用新的培训数据集形成更新的强化学习模型。</t>
  </si>
  <si>
    <t>优化机器学习</t>
  </si>
  <si>
    <t>CN111891928A</t>
  </si>
  <si>
    <t>本发明所述的一种无人化智慧吊装系统的架构，包括感知层、决策层、控制层；所述感知层通过GPS的定位功能获取装配式建筑构建的现场位置，同时嵌入式传感系统实时收集环境以及塔吊自身信息，运用卡尔曼滤波算法对采集的数据进行处理，实时反馈给决策层，实现感知层各类信息采集功能；所述决策层是接收感知层收集的数据信息，经过神经网络专家系统进行决策，输出塔吊的具体操作指令；所述控制层的主要功能是接收决策层输出的控制指令，根据控制指令通过车辆控制系统完成对硬件的实际操作；本发明实现了塔吊自动吊装，定位精确，生产效率高，操作风险低，降低了施工过程的人力成本。</t>
  </si>
  <si>
    <t>一种无人化智慧吊装系统的架构</t>
  </si>
  <si>
    <t>CN111640483B</t>
  </si>
  <si>
    <t>本发明公开了一种基于AKC(自动编码器和K‑means算法)模型的健身方案推荐方法，包括：获取人体待测部位近红外光谱数据，结合输入的年龄、性别、体重、三围以及臂围、腿围等多种数据，导入体脂肪检测模型得到体脂肪数据；将以上数据输入一个基于全连接神经网络的自动编码器得到用户的低维特征向量矩阵并将用户的低维特征向量矩阵输入到基于K‑Means算法的分类模型中，得出用户的身体类型。健身方案是根据用户的身体类型和多种运动期望，设置成方案模块；最后，根据用户的身体类型和运动期望，组合方案模块，输出健身方案。用户在不同的健身阶段可以同步了解自身的进步与改变并相应的调整健身方案，有助于用户提高健身训练效率。</t>
  </si>
  <si>
    <t>基于AKC模型的健身方案推荐方法</t>
  </si>
  <si>
    <t>CN212416816U</t>
  </si>
  <si>
    <t>本实用新型涉及一种跑步机，包括跑步机本体、第一信号采集单元和人机交互系统；其中，跑步机本体包括跑板；第一信号采集单元包括多个压力传感器以及与多个压力传感器通信连接的数据处理模块；多个压力传感器布置在所述跑板上；压力传感器用于采集使用者的足底压力分布数据，并将足底压力分布数据传输至数据处理模块；数据处理模块与人机交互系统通信连接，数据处理模块用于对足底压力分布数据进行处理以形成使用者的运动信息，并将运动信息发送至人机交互系统；人机交互系统用于显示所述运动信息。该跑步机可准确地获取使用者的运动信息，为科学训练提供帮助。</t>
  </si>
  <si>
    <t>一种跑步机</t>
  </si>
  <si>
    <t>IN202041023952A</t>
  </si>
  <si>
    <t>具有医疗保健监控功能的健身设备是当下的需求。 此处公开的发明通过包括传感器的支持物联网的健身腰带解决了这个问题。 在健身端,腰带分别借助超声波传感器和应变计帮助计算完美俯卧撑和识别长时间弯腰。 位于腰带中的心跳传感器有助于监测心率并在医疗保健端进行跑步机测试。 控制器控制整个系统,数据存储在移动应用程序中,该应用程序还用于调整俯卧撑距离、懒散时间并在异常心率期间提醒用户提名。 该设备有助于测量准确的锻炼模式和用户的健康状况。</t>
  </si>
  <si>
    <t>用于健身辅助的肩带</t>
  </si>
  <si>
    <t>CN113827912A</t>
  </si>
  <si>
    <t>本发明涉及一种跑步机，包括跑步机本体、第一信号采集单元和人机交互系统；其中，跑步机本体包括跑板；第一信号采集单元包括多个压力传感器以及与多个压力传感器通信连接的数据处理模块；多个压力传感器布置在所述跑板上；压力传感器用于采集使用者的足底压力分布数据，并将足底压力分布数据传输至数据处理模块；数据处理模块与人机交互系统通信连接，数据处理模块用于对足底压力分布数据进行处理以形成使用者的运动信息，并将运动信息发送至人机交互系统；人机交互系统用于显示所述运动信息。该跑步机可准确地获取使用者的运动信息，为科学训练提供帮助。</t>
  </si>
  <si>
    <t>CN306175466S</t>
  </si>
  <si>
    <t>1.本外观设计产品的名称：用于手机的虚拟跑道图形用户界面。
 2.本外观设计产品的用途：用于运行程序及内容展示。
 3.本外观设计产品的设计要点：在于屏幕中的图形用户界面内容。
 4.最能表明设计要点的图片或照片：界面变化状态图8。
 5.手机为惯常设计，省略手机的后视图;手机为惯常设计，省略手机的左视图;手机为惯常设计，省略手机的右视图;手机为惯常设计，省略手机的俯视图;手机为惯常设计，省略手机的仰视图。
 6.图形用户界面的用途：用于用户登录“跑遍四川”APP软件，并通过人机交互实现马拉松系列赛事及赛程的展示。
 主视图为用户启动“跑遍四川”APP软件后显示的图形用户界面；界面变化状态图1为用户在主视图中输入“账号”、“密码”后点击登录，或者点击“其他登录方式”下方其中任意一图标后显示的图形用户界面；界面变化状态图2为用户点击界面变化状态图1中“我的”按钮后显示的图形用户界面；界面变化状态图3为用户点击界面变化状态图2中“我的赛事”字样后显示的图形用户界面；界面变化状态图4为用户点击界面变化状态图3中“开始跑步”字样后显示的图形用户界面；界面变化状态图5为界面变化状态图4显示1秒后显示的图形用户界面；界面变化状态图6为界面变化状态图5显示1秒后显示的图形用户界面；界面变化状态图7为界面变化状态图6显示结束后显示的图形用户界面；界面变化状态图8为点击界面变化状态图7中“暂停”按钮后显示的图形用户界面；界面变化状态图9为用户到达语音播报点后进行语音播报时显示的图形用户界面；界面变化状态图10为长按界面变化状态图8或9中“长按结束”按钮后显示的图形用户界面。</t>
  </si>
  <si>
    <t>用于手机的虚拟跑道图形用户界面</t>
  </si>
  <si>
    <t>CN212491471U</t>
  </si>
  <si>
    <t>本实用新型涉及一种适用于群体性体育活动的实时监控系统，其技术特点是：包括数据采集点、移动基站和数据监控平台，数据采集点通过物联网与移动基站连接，移动基站通过无线网络与数据监控平台相连接，数据采集点包括多个用于监测群体性体育活动中每个人佩戴的可穿戴设备组，数据监控平台通过移动基站向数据采集点下发控制指令，数据采集点采集群体性体育活动中所有个体的体征数据与运动数据并通过移动基站传送给数据监控平台。本实用新型设计合理，其通过穿戴式设备所采集的人体体征数据和运动数据从一定程度上反映了被测运动者的身体情况和运动情况，解决现有穿戴式智能设备测量数据不准确以及非群体性测量等问题。</t>
  </si>
  <si>
    <t>一种适用于群体性体育活动的实时监控系统</t>
  </si>
  <si>
    <t>CN111450479A</t>
  </si>
  <si>
    <t>本发明提供了一种儿童体能训练跑步机及速度控制方法，包括跑步机本体，跑步机本体上设置有跑步机端模块组，跑步机端模块组包括第一处理模块、第一通信模块、存储模块、显示终端、指纹识别模块、信息录入模块、速度控制模块、语音识别模块和体重检测模块；还包括设置在使用者手腕上并能够脱下的穿戴设备端模块组，穿戴设备端模块组包括第二处理模块、第二通信模块、心率检测模块、电池模块、速度调节模块和血压检测模块；一种跑步机的速度控制方法，心率检测模块检测使用者心率；血压检测模块检测使用者血压，根据心跳和血压对跑步机转速进行调节。本发明具有智能化程度高的优点。</t>
  </si>
  <si>
    <t>一种儿童体能训练跑步机及速度控制方法</t>
  </si>
  <si>
    <t>US10839294B2</t>
  </si>
  <si>
    <t>神经网络的软连接节点</t>
  </si>
  <si>
    <t>CN212347560U</t>
  </si>
  <si>
    <t>本实用新型提供了一种儿童体能训练跑步机，包括跑步机本体，所述跑步机本体上设置有跑步机端模块组，所述跑步机端模块组包括第一处理模块、第一通信模块、存储模块、显示终端、指纹识别模块、信息录入模块、速度控制模块、语音识别模块和体重检测模块；还包括设置在使用者手腕上并能够脱下的穿戴设备端模块组，所述穿戴设备端模块组包括第二处理模块、第二通信模块、心率检测模块、电池模块、速度调节模块和血压检测模块；本实用新型具有智能化程度高的优点。</t>
  </si>
  <si>
    <t>一种儿童体能训练跑步机</t>
  </si>
  <si>
    <t>CN111680608B</t>
  </si>
  <si>
    <t>本发明公开了一种基于视频分析的智慧体育辅助训练系统及训练方法，包括：视频监控系统，其包括多个摄像机，用于采集视频信息；主机服务器，其通过网络设备与所述视频监控系统相连，用于接收视频信息并进行视频分析；中心服务器，其通过网络设备与所述主机服务器相连，用于接收视频分析数据，通过深度学习后形成分析报告；客户端，其通过网络设备与所述中心服务器相连，并通过互联网或者局域网与所述中心服务器实现交互。</t>
  </si>
  <si>
    <t>一种基于视频分析的智慧体育辅助训练系统及训练方法</t>
  </si>
  <si>
    <t>CN111685734A</t>
  </si>
  <si>
    <t>本发明公开了一种基于人工智能的人体健身用体态分析系统，所述基于人工智能的人体健身用体态分析系统包含以下模块：一、客户数据收集模块，通过对所使用客户的姓名、性别、年龄、身高和体重等数据进行登记、编号并进行储存，以便后续能够快速的根据姓名查找出该客户的体态分析情况，并且方便根据多组数据进行对比分析；二、体型分析模块；三、体内检测模块；四、数据输出模块。该基于人工智能的人体健身用体态分析系统，不仅能够起到健身的作用，还能够对健身之后人体的体态进行记录并分析，并且还可以对人体内部的各项数据进行分析记录，进而满足当代人更多的使用需求。</t>
  </si>
  <si>
    <t>一种基于人工智能的人体健身用体态分析系统</t>
  </si>
  <si>
    <t>CN111882027A</t>
  </si>
  <si>
    <t>本发明涉及用于RoboMaster人工智能挑战赛的机器人强化学习训练环境系统，该环境基于ROS、Python和C++，使用了Gazebo模拟器作为物理引擎，构建了基于OpenAI Gym强化学习的统一接口。该环境可以真实地模拟RoboMaster人工智能挑战赛中的机器人运动和比赛过程中的裁判系统数据，使用者可以根据情况自由地设计状态反馈和奖励。本发明使得各种基于强化学习的算法能够方便地基于此环境进行训练和效果评估，大大降低了研究RoboMaster人工智能挑战赛决策系统的难度。</t>
  </si>
  <si>
    <t>用于RoboMaster人工智能挑战赛的机器人强化学习训练环境系统</t>
  </si>
  <si>
    <t>CN306155737S</t>
  </si>
  <si>
    <t>1.本外观设计产品的名称：用于显示屏幕面板的抢答比赛图形用户界面。
 2.本外观设计产品的用途：用于显示信息。
 3.本外观设计产品的设计要点：在于屏幕中的图形用户界面。
 4.最能表明设计要点的图片或照片：设计1主视图。
 5.指定设计1为基本设计。
 6.图形用户界面的用途：本图形用户界面为应用软件客户端的抢答比赛图形用户界面。
 界面用于猜歌比拼、聊天评论、抢唱录歌或其他服务操作等。
 7.图形用户界面的人机交互方式：设计1至设计6为比赛房间的界面，用户可以点击界面中任意控件执行更多操作。
 在设计7中，当主视图显示“START”的提示时，题卡区域显示题目内容，界面右下角出现倒计时，呈现出主视图至界面变化状态图2的界面变化。
 当倒计时结束后，界面右下角出现“抢麦”控件，呈现出界面变化状态图2至界面变化状态图3的界面变化。
 在界面变化状态图3中，用户可以点击界面右下角的“抢麦”控件开始抢答。
 在设计8中，主视图显示抢麦成功的用户头像，随后该用户开始录制，呈现出主视图至界面变化状态图1的界面变化。
 在界面变化状态图1中，当用户连续点击界面右下角的“打CALL”控件时，题卡区域显示“打CALL”效果，呈现出界面变化状态图1至界面变化状态图4的界面变化。
 随后用户录制答题结束进入下一题，呈现出界面变化状态图4至界面变化状态图5的界面变化。
 在界面变化状态图4中，用户可以点击任意控件执行更多操作。
 在设计9中，主视图为用户开始录制的界面，当录制中搜到其他用户“打CALL”时，题卡区域显示“打CALL”效果，呈现出主视图至界面变化状态图的界面变化。
 在设计10中，当主视图显示“START”的提示时，题卡区域显示题目内容，界面右下角出现倒计时，呈现出主视图至界面变化状态图2的界面变化。
 当倒计时结束后，界面右下角出现“抢麦”控件，呈现出界面变化状态图2至界面变化状态图3的界面变化。
 在界面变化状态图3中，当有其他用户率先点击“抢麦”控件时，题卡区域显示其他用户抢到的提示，呈现出界面变化状态图3至界面变化状态图4的界面变化。
 随后其他用户开始录制答题，呈现出界面变化状态图4至界面变化状态图5的界面变化。
 在界面变化状态图5中，用户可以点击界面右下角的“打CALL”控件为该用户投票。
 各设计界面中的空白区域为内容画面，例如：背景画面、用户头像等。
 各设计界面中的叉号代表文字和/或数字。
 8.该图形用户界面可用于手机、计算机、平板、车载导航仪的显示屏。</t>
  </si>
  <si>
    <t>用于显示屏幕面板的抢答比赛图形用户界面</t>
  </si>
  <si>
    <t>WO2021246996A1</t>
  </si>
  <si>
    <t>人群控制的自动化梦幻体育游戏是多个具有自动化机器学习能力的软件机器人,包括用于同时运行梦幻体育游戏的软件,以及由能够替换和重新编译其自身软件的自动化机器学习软件机器人控制的在线游戏和视频游戏 代码以提高其在完成人群控制性能标准方面的性能。 人群控制的自动化梦幻体育游戏在联赛、赛季或常规比赛之前、期间和之后提供活跃的用户游戏,以及用于测试和练习的模拟游戏,以在所有这些领域实现巨大的改进空间。 基于计算机的智能控制着操作,系统功能和博彩服务完全不受人类互动的影响或影响,确保游戏的公平性和所有用户的游戏平等。</t>
  </si>
  <si>
    <t>人群控制的自动化幻想体育游戏</t>
  </si>
  <si>
    <t>CN306189881S</t>
  </si>
  <si>
    <t>1.本外观设计产品的名称：用于手机的展示体育赛事资讯图形用户界面。
 2.本外观设计产品的用途：运行程序、显示信息及通讯。
 3.本外观设计产品的设计要点：在于屏幕中图形用户界面的界面内容。
 4.最能表明设计要点的图片或照片：主视图。
 5.本外观设计为薄型产品，省略其他视图。
 6.图形用户界面的用途：本外观设计产品的界面为应用软件客户端的界面，图形用户界面用于人机交互和实现产品或者软件客户端的功能，该界面用于体育赛事资讯展示；主视图中的界面为赛事资讯刷新状态显示；用户通过点击操作，呈现出赛事资讯更新显示；界面所示具体信息仅为示例，不属于设计要素。</t>
  </si>
  <si>
    <t>用于手机的展示体育赛事资讯图形用户界面</t>
  </si>
  <si>
    <t>CN306284829S</t>
  </si>
  <si>
    <t>1.本外观设计产品的名称：用于手机的体育赛事信息图形用户界面。
 2.本外观设计产品的用途：运行程序、显示信息及通讯。
 3.本外观设计产品的设计要点：在于屏幕中图形用户界面的界面内容。
 4.最能表明设计要点的图片或照片：主视图。
 5.本外观设计为薄型产品，省略其他视图。
 6.图形用户界面的用途：本外观设计产品的界面为应用软件客户端的界面，图形用户界面用于人机交互和实现产品或者软件客户端的功能，该界面用于体育赛事信息的展示；主视图中的界面为体育赛事未进行时的状态显示；用户向上滑动后显示更多赛事信息，呈现出界面变化状态图1的界面；界面变化状态图2中的界面为体育赛事进行时的状态显示；用户向上滑动后显示更多赛事信息，呈现出界面变化状态3的界面；界面所示具体信息仅为示例，不属于设计要素。</t>
  </si>
  <si>
    <t>用于手机的体育赛事信息图形用户界面</t>
  </si>
  <si>
    <t>CN111710389A</t>
  </si>
  <si>
    <t>基于大数据的公共健身利用效率统计监测系统，它涉及公共健身设施技术领域。以该发明基于大数据的公共健身利用效率统计监测系统，使用“互联网+”、大数据与效率统计监测系统技术设计新型的绿色智能健身系统，该新型健身系统实现了对用户健身数据的采集以及上传至云端服务器功能,用户可通过手机APP随时查看自身的锻炼数据以及排名信息,实现数据的共享；同时着眼"互联网+"与健身充分结合后整个健身行业将会面临的数据爆炸增长问题,通过搭建大数据平台来处理海量的健身数据,并在大数据平台上使用机器学习算法对采集到的用户锻炼数据进行分析,发现数据中隐藏的价值,提高用户体验。</t>
  </si>
  <si>
    <t>基于大数据的公共健身利用效率统计监测系统</t>
  </si>
  <si>
    <t>CN306093070S</t>
  </si>
  <si>
    <t>1.本外观设计产品的名称：用于显示屏幕面板的答题比赛图形用户界面。
 2.本外观设计产品的用途：用于显示信息。
 3.本外观设计产品的设计要点：在于屏幕中的图形用户界面。
 4.最能表明设计要点的图片或照片：设计1主视图。
 5.指定设计1为基本设计。
 6.图形用户界面的用途：本图形用户界面为显示屏幕面板的答题比赛图形用户界面。
 界面用于聆听歌曲、选择歌曲名称或其他服务操作等。
 7.图形用户界面的人机交互方式：设计1至设计3为答题比赛的界面，用户可以点击界面中任意控件执行更多操作。
 各设计界面中的圆形灰色区域为内容画面，例如：用户头像等。
 8.该图形用户界面可用于手机、计算机、平板、车载导航仪的显示屏。</t>
  </si>
  <si>
    <t>用于显示屏幕面板的答题比赛图形用户界面</t>
  </si>
  <si>
    <t>CN306162670S</t>
  </si>
  <si>
    <t>1.本外观设计产品的名称：深度学习智能车。
 2.本外观设计产品的用途：用于机器人教学，机器人教具，机器人比赛器材等。
 3.本外观设计产品的设计要点：在于形状。
 4.最能表明设计要点的图片或照片：立体图1。</t>
  </si>
  <si>
    <t>深度学习智能车</t>
  </si>
  <si>
    <t>CN111617464B</t>
  </si>
  <si>
    <t>本发明公开了一种动作识别的跑步机健身方法，具体包括以下步骤：步骤S1：人体数据采集；步骤S2：人物建模及虚拟场景搭建；步骤S3：骨骼点信息获取与绑定；步骤S4：动作识别判断。本发明用户可以使用肢体动作通过屏幕提示对系统发送操作指令，控制虚拟人物在设计的场景中进行走路、跑步、跳跃等动作，人机交互体验感强。系统中设计的跑步路线分为虚拟游戏路线和实景路线，避免了人们在传统的跑步机长时间运动时枯燥无味的运动体验。</t>
  </si>
  <si>
    <t>一种动作识别的跑步机健身方法</t>
  </si>
  <si>
    <t>US63030688P0</t>
  </si>
  <si>
    <t>从人工智能识别事件生成智能体育视频</t>
  </si>
  <si>
    <t>CN111368810B</t>
  </si>
  <si>
    <t>本发明公开了基于人体及骨骼关键点识别的仰卧起坐检测系统及方法，该系统包括：图像采集模块，采用高清摄像头采集被测试者的视频图像；图像识别模块，提取连续帧中的被测试者的人体骨骼关键点；动作检测模块，检测连续帧中的被测试者人体骨骼关键点的以腰部关键点与肩部关键点构成的直线与相对水平位置构成的夹角变化情况来判断被测试者为躺下或者坐立或者由躺下到坐立的过程中；判断与计数模块，判断与记录被测试者在测试时间内完成的仰卧起坐的次数；以及数据显示模块，显示被测试者在测试时间内完成的仰卧起坐的次数。本发明检测速度快、成本低，同时适应单人或者多人检测，可应用于体育家庭作业以及应急响应状态下的练习检测等场景。</t>
  </si>
  <si>
    <t>基于人体及骨骼关键点识别的仰卧起坐检测系统及方法</t>
  </si>
  <si>
    <t>CN111666844A</t>
  </si>
  <si>
    <t>本发明涉及人体姿态评估领域，具体涉及一种羽毛球运动员运动姿态评估方法；包括以下步骤：S1：输入待测姿态模型骨骼点坐标；S2：进行坐标转换并计算出矢量夹角；S3：计算待测姿态模型的累计差值；S4：计算累计误差并输出累计误差最小的姿态模型序号。本发明借助图像像素坐标系下羽毛球运动员的一组骨骼点坐标，对候选姿态库的数据进行搜索，在搜索过程中匹配最优姿态模型并计算累计误差，通过匹配阶段和累计误差对运动姿态模型进行评估，提出了一种新的量化标准，与基于机器学习的传统动作识别方法比，用累计误差来量化人体姿态与标准姿态的相似度，可以从数据层面更精确的对比人体姿态的差异。</t>
  </si>
  <si>
    <t>一种羽毛球运动员运动姿态评估方法</t>
  </si>
  <si>
    <t>CN111680586B</t>
  </si>
  <si>
    <t>本发明涉及人体姿态估计领域，具体涉及一种羽毛球运动员运动姿态估计方法及系统；本发明先采集包含羽毛球运动员运动姿态图像，并对所述运动姿态图像进行预处理；再将预处理后所述运动姿态图像输入到预先训练好的预测网络模型中进行预测，最后输出一组图像像素坐标系下的人体骨骼点坐标。本发明通过以一种新的深度神经网络模型对单帧图像进行预测的方法，来得到在图像像素坐标系下的一组人体骨骼点坐标。本发明提出的深度神经网络模型在整体流程中减少了卷积层的数量，缩短了预测的时间，与传统的人体姿态估计模型相比，该模型预测时间更短，效率更高。</t>
  </si>
  <si>
    <t>一种羽毛球运动员运动姿态估计方法及系统</t>
  </si>
  <si>
    <t>CN111639749A</t>
  </si>
  <si>
    <t>本发明提供一种基于深度学习的工业机器人摩擦力辨识方法，其具体操作步骤在于：让机器人各轴单独以不同的姿态进行运动，每隔4ms采集机器人的各个轴的位置规划，实测运动轨迹数据，速度规划，计算力矩，实测力矩；利用实测力矩减去计算力矩计算误差力矩；本发明提供一种基于深度学习的工业机器人摩擦力辨识方法，解决现有的摩擦力模型不准确，辨识方法不够精准的问题。本发明将实测力矩与计算力矩的误差作为摩擦力，利用深度学习对误差力矩进行辨识，解决现有摩擦力模型不够准确的问题。得到与实际摩擦力较为吻合的计算力矩。</t>
  </si>
  <si>
    <t>一种基于深度学习的工业机器人摩擦力辨识方法</t>
  </si>
  <si>
    <t>CN113709411A</t>
  </si>
  <si>
    <t>本发明属于运动技术领域，公开了一种MR智能眼镜基于眼动追踪技术的体育辅助训练系统，专家终端利用AR/MR智能眼镜设备收集专家的眼动行为数据和视频影像数据，并将收集到的数据传输至云端服务器；云端服务器对接收到的相关数据构建AI人工智能数据训练，分析眼动数据，还接收新手用户模块发送的请求，反馈对应数据模型；新手用户模块通过AR/MR智能眼镜设备上传当前所在位置以及相应请求，并结合AR/MR智能眼镜设备进行实时学习。本发明在眼动数据分析过程中利用AI人工智能技术识别出视频数据中的运动事件，并且图像识别技术自动对视频中画面内容绘制兴趣区域，提高眼动数据分析效率。</t>
  </si>
  <si>
    <t>一种MR智能眼镜基于眼动追踪技术的体育辅助训练系统</t>
  </si>
  <si>
    <t>CN111709301B</t>
  </si>
  <si>
    <t>本发明的一种冰壶球运动状态估计方法，属于人工智能与图像处理领域。步骤一：建立冰壶球数据集，训练冰壶球目标检测网络和转角检测网络；步骤二：采用训练好的冰壶球目标检测网络对冰壶球比赛视频序列进行检测，获取冰壶球边界框信息；步骤三：将冰壶球边界框信息取出，初始化冰壶球目标跟踪网络，在后续视频帧中持续跟踪冰壶球目标，获得冰壶球的中心坐标；步骤四：根据冰壶球边界框信息，将该冰壶球从原始图像中截取出来，送入训练好的转角检测网络进行转角提取；步骤五：通过坐标转换，将图像坐标系下的冰壶球的中心坐标和转角转换为冰壶赛场上的冰壶球坐标和转角。本发明对冰壶球状态和把手转角的估计结果更为准确。</t>
  </si>
  <si>
    <t>一种冰壶球运动状态估计方法</t>
  </si>
  <si>
    <t>CN111638928B</t>
  </si>
  <si>
    <t>本申请公开了一种应用程序的操作引导方法、装置、设备和可读存储介质，涉及语音识别技术领域。具体实现方案为：接收第一应用程序发送的操作引导数据，并将所述操作引导数据提供给所述用户；接收所述用户输入的语音信息，并确定与所述语音信息相匹配的目标操作引导数据；将所述目标操作引导数据发送至所述第一应用程序，以供所述第一应用程序根据所述目标操作引导数据进行下一步操作，实现高效、便捷的主动多轮操作引导，不需要用户记忆；同时，便于第一应用程序获取到用户的具体操作行为，有利于对用户进行行为分析。</t>
  </si>
  <si>
    <t>应用程序的操作引导方法、装置、设备和可读存储介质</t>
  </si>
  <si>
    <t>CN111818120B</t>
  </si>
  <si>
    <t>本申请公开了端云用户交互方法、系统及相应设备、存储介质，其中在终端与云端之间建立有操控信息指令通道、端云协同渲染通道和/或音视频数据交互通道，所述方法包括：终端经操控信息指令通道将人机交互指令、系统事件和/或消息上传到云端，及云端基于接收到的人机交互指令、系统事件和/或消息更新消息列表并分发，云端经操控信息指令通道调用终端内核程序完成终端具体操作；和/或经端云协同渲染通道进行端云协同图形渲染并在终端输出图形，其中云端通过端云协同渲染通道更新终端的图形渲染数据；和/或终端通过音视频数据交互通道播放云端音视频资源，和/或将采集的音视频上传到云端。本发明可提高端云一体化操作系统的实时性、灵敏度和稳定性。</t>
  </si>
  <si>
    <t>端云用户交互方法、系统及相应设备、存储介质</t>
  </si>
  <si>
    <t>CN306072188S</t>
  </si>
  <si>
    <t>1.本外观设计产品的名称：机械手臂。
 2.本外观设计产品的用途：本外观产品用于高校科研应用、STEAM教育、人工智能比赛及其他工业领域抓取物体的机械爪手臂。
 3.本外观设计产品的设计要点：在于形状。
 4.最能表明设计要点的图片或照片：立体图。</t>
  </si>
  <si>
    <t>机械手臂</t>
  </si>
  <si>
    <t>CN306072187S</t>
  </si>
  <si>
    <t>1.本外观设计产品的名称：机械爪。
 2.本外观设计产品的用途：本外观产品用于高校科研应用、STEAM教育、人工智能比赛及其他工业领域抓取物体的机械爪。
 3.本外观设计产品的设计要点：在于形状。
 4.最能表明设计要点的图片或照片：立体图。</t>
  </si>
  <si>
    <t>机械爪</t>
  </si>
  <si>
    <t>CN306072186S</t>
  </si>
  <si>
    <t>1.本外观设计产品的名称：双足人形机器人。
 2.本外观设计产品的用途：本外观产品用于人形机器人研究、人工智能类比赛、STEAM教育学习。
 3.本外观设计产品的设计要点：在于形状。
 4.最能表明设计要点的图片或照片：立体图。</t>
  </si>
  <si>
    <t>双足人形机器人</t>
  </si>
  <si>
    <t>JP2021002332A</t>
  </si>
  <si>
    <t>一 种人体动作识别装置及方法、电子设备。 
  该方法首先检测输入图像中的人体边界框,然后根据检测到的边界框中的人体关键点和/或基于卷积神经网络选择性地检测人体的运动,以检测人体。身体动作。 采用这种逐步检测的方法,处理速度快,识别准确率高。 此外,通过结合两种检测方式,可以根据不同的情况选择不同的检测方式,可以灵活满足各种场景和需求。 
  【选型图】图1</t>
  </si>
  <si>
    <t>人体操作识别装置及方法、电子装置</t>
  </si>
  <si>
    <t>CN111639563B</t>
  </si>
  <si>
    <t>本发明公开了一种基于多任务的篮球视频事件与目标在线检测方法，本发明利用深度卷积神经网络共享多任务权重，能以在线或离线的方式对篮球比赛视频进行事件检测和目标检测。基于多任务的混合损失函数将各自任务的损失分别反向传播到对应的分支，加快了各自任务分支学习的速度。将两种任务得到的损失依特定权重相加得到总体损失并反向传播，使得骨干网络学习到混合两种任务的潜在特征归纳方式。半监督伪标签挖掘扩充了训练数据，有效抑制了偏离事件高潮时刻生成的低质量事件预测框和偏离目标几何中心生成的低质量包围框。时空多尺度的网络结构充分利用了多步幅的时域信息，归纳出多尺度的历史特征，有效提高了事件检测的召回率和准确率。</t>
  </si>
  <si>
    <t>一种基于多任务的篮球视频事件与目标在线检测方法</t>
  </si>
  <si>
    <t>CN111626155B</t>
  </si>
  <si>
    <t>本发明披露了一种篮球位置点的生成方法及设备，方法包括：基于深度学习训练篮球检测模型；获取投篮过程视频的连续视频帧；将视频帧输入篮球检测模型，输出篮球的检测框；过滤错误输出的检测框；根据未被过滤的检测框计算出被过滤检测框和/或漏检检测框的视频帧上的实际检测框数据，生成完整的投篮过程中篮球的检测框数据。本发明生成准确的篮球位置和大小信息的篮球位置点，取消了人工参与，极大地提高篮球投篮过程中篮球位置和大小的生成效率。</t>
  </si>
  <si>
    <t>一种篮球位置点的生成方法及设备</t>
  </si>
  <si>
    <t>US20200272643A1</t>
  </si>
  <si>
    <t>一种预测用户最有意义的多媒体内容的系统和方法,包括响应于用户请求多媒体操作而启用用户设备上的传感设备,响应于多媒体操作,对多媒体内容执行多媒体操作,识别行为和 实质上在执行多媒体操作时用户与感测设备的交互提示,从包括由识别的行为和交互提示所代表的多媒体内容的多媒体内容集合中更新推荐,并将更新的推荐呈现给用户。</t>
  </si>
  <si>
    <t>基于用户行为的内容推荐系统和方法</t>
  </si>
  <si>
    <t>CN212416810U</t>
  </si>
  <si>
    <t>本实用新型公开了一种人工智能自动速度调节跑步机，包括跑步机箱，所述跑步机箱的下表面固定连接有支撑脚，所述跑步机箱的侧面固定连接有控制机箱，所述控制机箱的正面固定连接有固定柱，所述固定柱的上表面固定连接有固定架，所述固定架的下表面固定连接有扶手，所述固定架的上表面设置有控制面板，所述控制面板的正面设置有智能语音接收器。该人工智能自动速度调节跑步机，通过设置控制面板、转动电机、控制器、跑步带重力感应器，能够感知跑步带上传来的重力，重力停留较长便于触发控制器，能够控制转动电机降低转速直至停止，使跑步带降低转动速度至停止，从而达到能够重力控制跑步机的转速，不会因跑步机转速过快摔伤跑步人员。</t>
  </si>
  <si>
    <t>KR1020210139019A</t>
  </si>
  <si>
    <t>在本发明中,多个第一队的第一队信息、多个第一队进行的比赛的比赛结果信息、以及基于第一队信息和比赛结果信息计算出的多个信息存储在存储器中。用于存储指示第一队之间排名的排名信息、包括用于多个第二队参加体育比赛的第二队信息的通信电路、以及电连接到存储器和通信电路的处理器,处理器控制使用通过机器学习第一队进行的比赛的比赛结果信息和第一队信息计算的排名系统来估计第二队排名的通信电路涉及用于存储成员之间的运动比赛的排名的系统。</t>
  </si>
  <si>
    <t>存储成员之间的运动比赛排名的系统</t>
  </si>
  <si>
    <t>CN111390939A</t>
  </si>
  <si>
    <t>本发明公开了一种基于物联网的捡球机器人，包括：捡球机器人本体、球体探测模块、行走模块以及控制模块；所述捡球机器人本体用于捡取球体；所述球体探测模块设置在所述捡球机器人本体上，所述球体探测模块用于探测球体；所述行走模块设置在所述捡球机器人本体的底部，所述行走模块用于实现所述捡球机器人本体的移动；所述控制模块设置在所述捡球机器人本体内，所述控制模块用于控制所述捡球机器人本体、所述球体探测模块、所述行走模块。本发明所述的基于物联网的捡球机器人，主要包括捡球机器人本体、球体探测模块、行走模块以及控制模块，代替运动员来捡取球体，不仅节约了运动员的体力和精力，也节约了时间。</t>
  </si>
  <si>
    <t>一种基于物联网的捡球机器人</t>
  </si>
  <si>
    <t>CN111652078A</t>
  </si>
  <si>
    <t>本发明具体涉及一种基于计算机视觉的瑜伽动作指导系统和方法，其瑜伽动作指导系统包括：图像采集模块，用于实时采集训练者与教练视频的当前身体姿态的图像；图像处理与评估模块，用于从图像中获取人体骨架信息，并基于人体骨架信息进行训练者姿势的评价与动作指导语句的推理；语音播报及评价显示模块，用于提醒训练者姿势是否标准并根据动作指导语句给予动作指导，还用于显示训练者的运动评价数据；云端数据管理模块，分别与图像采集模块、图像处理与评估模块、语音播报及评价显示模块交互。本发明为训练者提供了便捷的动作指导互动方式，帮助训练者在无需教练的情况下也能做出标准动作，提高训练效率，同时避免因为错误的训练姿势损伤身体。</t>
  </si>
  <si>
    <t>一种基于计算机视觉的瑜伽动作指导系统和方法</t>
  </si>
  <si>
    <t>KR102194776B1</t>
  </si>
  <si>
    <t>本发明涉及一种基于人工智能的积分交易价格确定系统及其驱动方法,响应销售客户终端的积分销售请求,请求积分销售的销售人员记录每个积分的积分信息在区块链账本中等待销售的会员公司,当收到来自区块链账本转换服务器和采购客户终端的购买请求,并存储在账本存储节点中时,销售服务员优先处理账本交易,以及然后从存储在账本存储节点中的销售服务员的会员公司积分中扣除积分发行服务器将积分转换为积分支付给买家,定价服务器根据销售请求和购买请求学习价格涨跌基于人工智能 (AI) 的流量,并根据学习内容形成积分交易价格。通过基于学习的人工智能设定价格,可以提供一种可以防止人为操纵价格并提高价格可靠性的积分交易定价系统。跑步机通过基于人工智能的积分交易定价系统,包括 可以得出的效果。</t>
  </si>
  <si>
    <t>基于人工智能的积分交易价格确定系统及其驱动方法</t>
  </si>
  <si>
    <t>CN113694460A</t>
  </si>
  <si>
    <t>本发明公开了一种AI心率运动系统，所述系统包括：集成搭载AI心率运动系统的第一硬件，第一硬件为手机或跑步机、健身车、动感单车、双桨划船器、椭圆机、力量训练器等；采集人体体征状态的具备无线通信能力的第二硬件，第二硬件为人体秤、心率手表中任意一种或两种；体态采集探头；表情采集探头。本发明以心率为运动依据，通过以AI为核心的软件程序调节硬件设备输出的运动强度值。多维度采集身体体征状态，以运动科学作为运动的依据，运动中通过实时语音、图像指导和提示，告知用户自身运动状态和正确姿势，可以避免运动的盲目性。通过基于体征状态、运动体态、表情、异常心率的识别实现人机交互，防止运动意外伤害发生。</t>
  </si>
  <si>
    <t>一种AI心率运动系统</t>
  </si>
  <si>
    <t>CN111569398B</t>
  </si>
  <si>
    <t>本发明公开了一种基于LED显示屏的半沉浸式保龄球训练系统及方法，包括：保龄球实体训练设施、LED显示屏、视觉系统；其中：所述保龄球实体训练设施用于提供使用者完成实际保龄球的投掷动作；所述视觉系统用于采集训练场地的三维空间中的视频图像，并采用计算机视觉算法对视频图像进行运动分析，对使用者投掷保龄球的姿态以及保龄球的运动状态进行三维姿态重建；所述LED显示屏用于显示虚拟保龄球场馆以及在虚拟保龄球场馆显示经过重建的三维姿态。通过本发明实施例，围绕LED显示屏构建混合现实系统，将虚拟世界和物理环境结合起来，帮助使用者在训练和比赛过程中记录和分析运动数据，帮助使用者精确的制定训练方案，进一步提升运动技能和运动水平。</t>
  </si>
  <si>
    <t>一种基于LED显示屏的半沉浸式保龄球训练系统及方法</t>
  </si>
  <si>
    <t>WO2020227614A1</t>
  </si>
  <si>
    <t>CN113811898A</t>
  </si>
  <si>
    <t>本文公开了一种用于为球队生成比赛预测的系统和方法。计算系统从数据储存器中检索多个比赛的轨迹数据。计算系统使用变分自动编码器和神经网络通过下述操作来生成预测模型：生成一个或更多个输入数据集，由变分自动编码器学习从而为多个比赛中的每个比赛生成多个变体，并且通过神经网络学习与多个比赛中的每个比赛对应的球队风格。计算系统接收对应于目标比赛的轨迹数据。预测模型通过确定与目标球队的目标球队身份相对应的多个目标变体来生成目标球队执行目标比赛的可能性。</t>
  </si>
  <si>
    <t>用于运动中内容和风格预测的系统和方法</t>
  </si>
  <si>
    <t>US11554292B2</t>
  </si>
  <si>
    <t>用于体育内容和风格预测的系统和方法</t>
  </si>
  <si>
    <t>EP3966749A4</t>
  </si>
  <si>
    <t>CN111275030A</t>
  </si>
  <si>
    <t>本发明公开了基于人脸与人体识别的直道跑步检测与计时系统及方法，该系统包括图像采集单元，采用摄像头逐帧采集被测试者的视频图像；图像识别单元，从视频图像帧中检测人体、跟踪检测区域内检测到的人体，进行被测试者人体和道次识别；分组检测单元，采用分组检录，通过人脸检测方法识别被测试者，并为之分配到相应道次；由主机发起跑步指令，将分组信息发至服务器，建立分组测试任务；冲线检测与记时单元，以检测到的人体框底线与初始化时设定的跑道线做相交检测，判断被测试者是否冲线；以人体冲线次数来判断被测试者是否完成跑步；以从机检测到达到过线次数时的冲线时间戳减去主机发起指令时的时间戳得到的时间来表示被测试者跑步的时长。</t>
  </si>
  <si>
    <t>基于人脸与人体识别的直道跑步检测与计时系统及方法</t>
  </si>
  <si>
    <t>DE102020112314A1</t>
  </si>
  <si>
    <t>本公开提供车辆图像的验证。 计算机包括处理器和存储器,存储器包括由处理器执行以生成一对合成立体图像和对应的合成深度图以及成像引擎的指令,合成立体图像对应于由成像引擎捕获的真实立体图像立体相机和合成深度图是对应于立体相机观察到的 3D 场景的三维 (3D) 地图,并且这对合成立体图像中的每个图像独立使用生成对抗网络 (GAN) 生成假图像图像,对应于合成立体图像之一的假图像。 这些指令还可以包括以下指令:处理一对立体假图像以形成假深度图,使用单次连体神经网络将假深度图与合成深度图进行比较,训练深度神经网络以创建确定使用由 GAN 生成的一张或多张假图像来识别物体,并根据物体操作车辆。</t>
  </si>
  <si>
    <t>验证车辆图片</t>
  </si>
  <si>
    <t>AU2020100710A4</t>
  </si>
  <si>
    <t>公开了一种基于深度学习和自然语言处理的影评情感分析方法。 深度学习分析影评情绪的方法包括:获取影评文本数据,在影评中标注正负情绪; 通过删除冗余信息来预处理电影评论; 根据词袋模型矢量化电影评论文本; 将矢量化的电影评论分成训练集和测试集; 建立影评情感分析的初始深度学习模型,将四个卷积神经网络层、两个池化层和两个全连接层连接和集成; 通过训练数据集训练初始深度学习模型生成最终深度学习模型,使用最终深度学习模型检测影评测试集并输出检测结果。 本发明能够准确区分影评的正负情绪,深度学习模型结构简单,计算量小,提高了影评情绪分析的速度。 1 原始评论 - 删除 HTML,评论文本 -n n 字母 - 仅小写字母并拆分为单独的 加入干净的评论 4 - 单词 - 有意义的词 * 删除 - 单词一起停用词 图 1 [句子] 约翰喜欢看电影 . 玛丽也喜欢。 约翰也喜欢看足球比赛。 mokes" 52 to":3 约翰喜欢看电影。玛丽也喜欢。 约翰还喜欢看足球比赛。 [1, 1, 1, 1, 0, 1, 1, 1, 0, 0] 图 2 1</t>
  </si>
  <si>
    <t>基于深度学习和自然语言处理的影评情感分析方法</t>
  </si>
  <si>
    <t>US11724171B2</t>
  </si>
  <si>
    <t>当今可用的运动数据跟踪系统基于专用硬件来检测和跟踪球场上的目标。 虽然有效,但实施和维护这些系统带来了许多挑战,包括高成本和需要密切的人工监控。 另一方面,体育分析社区一直在探索人工计算和众包,以生成值得信赖、更便宜且更容易获取的跟踪数据。 然而,最先进的方法需要大量用户来执行注释,或者给单个用户带来太多负担。 描述了通过使用大量历史数据集合热启动手动注释过程来促进创建事件的跟踪数据序列(例如,棒球比赛)的示例方法、系统和用户界面。</t>
  </si>
  <si>
    <t>减少游戏注释中的人机交互</t>
  </si>
  <si>
    <t>CN111444890A</t>
  </si>
  <si>
    <t>本发明实施例公开了一种基于机器学习的体育数据分析系统和方法，通过检查球员以及球员身体的关键骨骼节点，将运动员身体的关节节点在一段时间内的三维位置移动作为机器学习模型的输入，来识别运动动作。因为模型的输入数据是身体的节点信息，运动动作的类别不仅可以得到识别，而且该动作的标准程度也可以得到判断，并由此制定有针对性的训练方案。此外，该系统和方法通过追踪训练或比赛中的运动员和物体的三维轨迹。通过分析运动员以及物体的运动交互，运动员的运动动作得到分析和识别，从而分析得到对整个比赛或训练中事件的理解。</t>
  </si>
  <si>
    <t>一种基于机器学习的体育数据分析系统和方法</t>
  </si>
  <si>
    <t>US20210272670A1</t>
  </si>
  <si>
    <t>一种系统和方法,用于对运动员的健康状况进行生物监测,并在确定过度训练状况时提供警告以减少伤害。 通过实施高效的系统架构,微人工智能的使用对于互联网覆盖不足或不存在的移动情况非常实用。</t>
  </si>
  <si>
    <t>US11475249B2</t>
  </si>
  <si>
    <t>机器视觉系统获得了与虚拟运动事件相关的训练有素的合成数据集,训练有素的合成数据集的功能,包括与虚拟体育事件相关的功能。机器视觉系统可以通过使用与实际体育事件相关的现实生活数据集扩展训练的合成数据集来进一步训练为了注释,基于与训练有素训练的数据集的检测改进,无监督的机器学习组件对该部分注释该部分,将注释的部分添加到训练有素的合成数据集中,以获得扩展训练的数据集。合成数据集以及公认结果的另一部分的可用性,使用扩展训练的数据集的一部分作为下一个迭代中的训练有素的合成数据集重复扩展,并将扩展训练的数据集提供到机器视频系统。</t>
  </si>
  <si>
    <t>在机器视觉中扩展知识数据</t>
  </si>
  <si>
    <t>CN111626137A</t>
  </si>
  <si>
    <t>本发明涉及人工智能技术领域，提供了一种基于视频的运动评估方法、装置、计算机设备及存储介质，所述方法包括：获取用户的第一运动视频和教练的第二运动视频；根据第一运动视频识别用户的运动类型；根据运动类型提取第一运动视频中的第一关键帧图像及提取第二运动视频中的第二关键帧图像；检测第一关键帧图像中的第一人体关键点及检测第二关键帧图像中的第二人体关键点；计算第一人体关键点和第二人体关键点间的差异度；根据差异度和运动类型评估用户的运动得分。本发明能够根据运动类型自适应的提取关键帧图像并计算差异度，结合运动类型和差异度评估用户的运动，准确率更高。此外，本发明还涉及区块链技术，所述运动得分可存储于区块链节点中。</t>
  </si>
  <si>
    <t>KR102220192B1</t>
  </si>
  <si>
    <t>本发明准确识别特定对手之间围棋对局的每个落地位置和每个落地石是黑是白,对一系列落地过程进行加密,管理围棋中继服务器中的实时传输记录,允许大量的观众远程 这是一个使用智能围棋板的中继系统,允许用户在他们的终端上观看围棋比赛。它具有棋盘形状,并识别落在 361 个着陆点中每个落点的围棋棋子的颜色人工智能,记录和管理游戏订单数据,记录和管理游戏订单数据,按照大国顺序加密转换成区块链数据包帧,通过多条通信路径同时传输的智能棋盘由多个激活的通信单元组成,通过多条通信路径接收智能棋盘发送的每个数据包并且没有传输错误的数据包通过解密游戏命令并检查游戏命令,并通过包括游戏中继服务器记录的功能并在划分区域进行管理,通过人工智能检查落在棋盘361每个路口的棋子颜色,判断黑棋子还是白棋子。实时传输到远程服务器,起到减少和阻断他人不正当黑客攻击的作用。</t>
  </si>
  <si>
    <t>使用智能棋盘的接力系统</t>
  </si>
  <si>
    <t>CN211956278U</t>
  </si>
  <si>
    <t>本实用新型涉及云平台终端设备技术领域，公开了一种基于云平台的人工智能交互式终端设备，包括智能交互式终端和智能手环，所述智能交互式终端外壁设置有摄像头、显示屏、扬声器、输入键盘和读卡器，所述摄像头设于显示屏顶部，所述扬声器设于显示屏左右两侧，所述输入键盘设于显示屏底部，所述读卡器设于输入键盘左侧。本实用新型通过智能手环通过其蓝牙传输模块与智能交互式终端上的蓝牙传输模块连接后，将智能手环上的数据库内的信息(运动目标、体重和身体健康状态)和心率实时监测模块数据记录在健身房的云数据库内，然后通过智能手环上的动作捕捉模块，捕捉使用者的动作信息，对捕捉的动作信息进行识别，最后通过智能交互式终端进行反馈。</t>
  </si>
  <si>
    <t>KR1020210132300A</t>
  </si>
  <si>
    <t>公开了一种使用人工智能的体育视频搜索方法和搜索系统。 根据一个实施例的运动视频搜索方法从采集到的运动视频数据中为每个场景选择一个代表画面,提取与选择的代表画面对应的至少一个特征信息,并对应每个代表画面深度学习学习模型建立步骤建立模型; 索引信息构建步骤,将各个代表画面和特征信息与代表画面的时间信息一起进行索引存储; 以及搜索执行步骤,接收搜索词,使用输入的搜索词作为关键字搜索索引信息,并找到并提供包括与索引信息对应的代表屏幕的运动视频。 这是高效的,因为不需要手动创建单独的元数据,并且可以使用人工智能获得高精度和快速的搜索结果。</t>
  </si>
  <si>
    <t>使用人工智能的体育视频搜索方法和搜索系统</t>
  </si>
  <si>
    <t>KR1020210132335A</t>
  </si>
  <si>
    <t>本发明的训练服务提供终端包括用于从第一用户接收身体信息的输入装置; 网络通信模块,用于从外部接收与第一用户选择的第一练习相关的训练动作数据; 训练分析模块,用于根据身体信息生成第一练习的参考数据; 可穿戴传感器,佩戴在第一用户的身体上并检测第一用户的运动; 以及用于输出训练动作数据、检测到的第一用户的动作和参考数据的显示器,其中训练分析模块利用身体信息生成人工神经网络模型,并且学习人工神经网络模型的参考数据是根据结果​​生成,参考数据包括第一用户的脊柱与大腿的夹角,第一用户的髋关节位置,以及第一用户大腿与小腿的膝关节夹角。第一用户。包括任何一个</t>
  </si>
  <si>
    <t>健身中心培训服务提供系统</t>
  </si>
  <si>
    <t>US11305174B2</t>
  </si>
  <si>
    <t>本文描述了用于使棒球或垒球比赛的裁判自动化或辅助裁判的方法和系统。 击球区的位置是根据摄像机拍摄的站在本垒旁边的击球手的视频图像确定的。 向击球手移动的球的位置以及击球手握住的击球棒的位置,是使用计算机视觉基于由具有不同位置的至少两个摄像机捕获的视频图像自动跟踪的。 另外,对于球的位置是否与击球区相交,以及击球手是否真正尝试将球棒挥向球,存在自主判断,并且基于这些判断中的至少一个,存在自主判断 是否发生了“罢工”或“球”。 此外,自动输出是否发生“击球”或“球”的指示。</t>
  </si>
  <si>
    <t>US11475054B2</t>
  </si>
  <si>
    <t>将用户查询(例如由在线游戏系统处理的用户查询)输入到训练有素的机器学习模型中。机器学习模型可以预测用户查询的候选语言,并输出候选语言的语言置信度得分。用户查询还与各个候选语言的单个语言数据库中的游戏信息相关联的存储查询数据。可以根据各自响应匹配的确定性确定匹配分数。比赛得分和语言置信度得分可以加权以确定加权分数。应用响应匹配的加权分数用于确定从确定的数据库中检索到的游戏信息用于形成向用户的搜索结果的响应。</t>
  </si>
  <si>
    <t>CN306150014S</t>
  </si>
  <si>
    <t>1.本外观设计产品的名称：用于滚筒洗衣机面板的程序控制图形用户界面。
 2.本外观设计产品的用途：用于控制操作洗涤衣物。
 3.本外观设计产品的设计要点：在于产品的图形用户界面内容。
 4.最能表明设计要点的图片或照片：主视界面放大图。
 5.后视图、左视图、右视图、俯视图、仰视图无设计要点，省略后视图、左视图、右视图、俯视图、仰视图。
 6.图形用户界面的用途：通过人机交互操作实现滚筒洗衣机的各项功能。
 7.图形用户界面在产品中的区域：本外观设计产品的图形用户界面位于滚筒洗衣机面板上。
 8.图形用户界面的变化状态说明：主视界面放大图为洗衣程序中“棉麻”状态下的界面，用户可点击程序上方和下方的箭头进行程序选择；界面变化状态图1为点击主视界面放大图中程序下方的箭头，进入到洗衣程序中“速洗”状态下的界面；界面变化状态图2为点击界面变化状态图1中程序下方的箭头，进入到洗衣程序中“大件”状态下的界面；界面变化状态图3为点击界面变化状态图2中程序下方的箭头，进入到洗衣程序中“羊毛”状态下的界面；界面变化状态图4为点击界面变化状态图3中程序下方的箭头，进入到洗衣程序中“单烘干”状态下的界面；界面变化状态图5为点击界面变化状态图4中程序下方的箭头，进入到洗衣程序中“单漂洗”状态下的界面；界面变化状态图6为点击界面变化状态图5中程序下方的箭头，进入到洗衣程序中“单脱水”状态下的界面；界面变化状态图7为点击界面变化状态图6中程序下方的箭头，进入到洗衣程序中“羽绒”状态下的界面；界面变化状态图8为点击界面变化状态图7中程序下方的箭头，进入到洗衣程序中“内衣”状态下的界面；界面变化状态图9为点击界面变化状态图8中程序下方的箭头，进入到洗衣程序中“混合”状态下的界面；界面变化状态图10为点击界面变化状态图9中程序下方的箭头，进入到洗衣程序中“摇篮柔洗”状态下的界面；界面变化状态图11为点击界面变化状态图10中程序下方的箭头，进入到洗衣程序中“童装”状态下的界面；界面变化状态图12为点击界面变化状态图11中程序下方的箭头，进入到洗衣程序中“化纤”状态下的界面；界面变化状态图13为点击界面变化状态图12中程序下方的箭头，进入到洗衣程序中“烫烫净”状态下的界面；界面变化状态图14为点击界面变化状态图13中程序下方的箭头，进入到洗衣程序中“美颜洗”状态下的界面；界面变化状态图15为点击界面变化状态图14中程序下方的箭头，进入到洗衣程序中“筒自洁”状态下的界面；界面变化状态图16为点击界面变化状态图15中程序下方的箭头，进入到洗衣程序中“牛仔洗”状态下的界面；界面变化状态图17为点击界面变化状态图16中程序下方的箭头，进入到洗衣程序中“衬衫洗”状态下的界面；界面变化状态图18为点击界面变化状态图17中程序下方的箭头，进入到洗衣程序中“健身运动洗”状态下的界面；界面变化状态图19为点击界面变化状态图18中程序下方的箭头，进入到洗衣程序中“床上用品洗”状态下的界面；界面变化状态图20为点击界面变化状态图19中的“时间”图标，进入到当前洗涤时间显示的界面，用户可再次点击“时间”图标进行洗涤时间选择；界面变化状态图21为点击界面变化状态图19中的“温度”图标，进入到当前洗涤温度显示的界面，用户可再次点击“温度”图标进行洗涤温度选择；界面变化状态图22为点击界面变化状态图19中的“转速”图标，进入到当前洗涤转速显示的界面，用户可再次点击“转速”图标进行洗涤转速选择；界面变化状态图23为点击界面变化状态图19中的“漂洗”图标，进入到漂洗所需时间的界面，用户可再次点击“漂洗”图标对漂洗时间进行选择；界面变化状态图24为点击界面变化状态图19中的“烘干”图标，进入到烘干所需时间的界面，用户可再次点击“烘干”图标对烘干时间进行选择；界面变化状态图25为点击界面变化状态图19中的“空气洗”图标，进入到空气洗所需时间的界面，用户可再次点击“空气洗”图标对空气洗时间进行选择；界面变化状态图26为点击主视界面放大图中“启动”按键，进入到洗涤过程中进水状态的界面；界面变化状态图27为界面变化状态图26中进水状态结束后自动跳转至漂洗状态的界面；界面变化状态图28为界面变化状态图27中漂洗状态结束后自动跳转至脱水状态的界面；界面变化状态图29为界面变化状态图28中脱水状态结束后自动跳转至烘干状态的界面。</t>
  </si>
  <si>
    <t>用于滚筒洗衣机面板的程序控制图形用户界面</t>
  </si>
  <si>
    <t>TWD212377S</t>
  </si>
  <si>
    <t>【物品用途】 
  本设计为一种用于可穿戴设备表盘的图形化使用者介面,所述可穿戴设备例如手表、手环等。 本设计的图形化使用者介面用于人机交互,而运行程式、显示资讯和通讯。 
  【设计说明】 
  本设计的前视图中以一点链线所揭露的可穿戴设备表盘,具体来说,灰阶填色部分为可穿戴设备的表盘框,为本案不主张设计的部分。 前视图中以虚线所揭露之使用者介面中的图形,即数字、文字、符号,为本案不主张设计的部分。 
  本设计的图形化使用者介面,表盘中央呈环形,显示日期、时间、天气、电量和卡路里。 当可穿戴设备感应到使用者在跑步时,圆环内部显示运动的图像,且卡路里消耗逐渐增加。</t>
  </si>
  <si>
    <t>用于可穿戴设备表盘的图形化使用者介面</t>
  </si>
  <si>
    <t>CN113556507A</t>
  </si>
  <si>
    <t>一种培训用车载智能监控系统及其监控方法是将人脸识别器，行为录像镜头，语音拾音，可隐藏图像的显示屏设计为一体化的中央后视镜，利用人工智能人脸识别技术进行身份认证，不仅用于实现学员练车自动计时，还用来对学员、教练用车情况进行管理，实时监督教练陪护；利用关节识别、语音识别技术，保护学员的合法权益；显示屏图像的可隐藏，避免了分散学员注意力，影响驾驶安全；后视镜内置安装了一套水平齿轮和一套垂直齿轮，实现中央后视镜的上下、左右自动调节；摄像头和后视镜分体设计，保证后视镜在调节时，摄像头面板位置不变，稳定采集图像。</t>
  </si>
  <si>
    <t>一种培训用车载智能监控系统及其监控方法</t>
  </si>
  <si>
    <t>TWD213151D01S</t>
  </si>
  <si>
    <t>【物品用途】 
  本设计为一种用于可穿戴设备表盘的图形化使用者介面,所述可穿戴设备例如手表、手环等。 本设计的图形化使用者介面用于人机交互,而运行程式、显示资讯和通讯。 
  【设计说明】 
  本设计为第109302194号专利申请案之衍生设计。 
  本设计的前视图中以一点链线所揭露的可穿戴设备及表盘,为本案不主张设计的部分。 前视图中以虚线所揭露之使用者介面中的图形,即数字、文字、符号,为本案不主张设计的部分。 
  本设计的图形化使用者介面,表盘中央呈环形,显示日期、时间、天气、电量和卡路里。 当可穿戴设备感应到使用者在跑步时,圆环内部显示运动的图像,且卡路里消耗逐渐增加。</t>
  </si>
  <si>
    <t>IN202017017207A</t>
  </si>
  <si>
    <t>一种用于将运动员图像识别注册到体育赛事中的系统和方法。 运动员使用图像识别技术在体育赛事中注册。 当运动员越过起跑线时,由摄像机 (106) 拍摄的运动员的数字开始图像。 将数字开始图像与存储的运动员个人资料图像进行比较,以识别运动员并将他们输入到事件中,而无需运动员预先注册特定事件。 结合模式识别的增强识别技术可用于提高身份准确性。</t>
  </si>
  <si>
    <t>一种体育赛事运动员图像识别注册系统及方法</t>
  </si>
  <si>
    <t>CN113529336A</t>
  </si>
  <si>
    <t>本发明涉及衣物处理技术领域，具体提供一种用于衣物处理设备的运行方法，旨在解决现有衣物处理设备不够智能化和人性化的问题。为此目的，本发明的运行方法包括下列步骤：获取当前时间；将当前时间和预设时间进行比较；根据当前时间和预设时间的比较结果，选择性地提示用户进行健身运动。本发明的运行方法根据当前时间和预设时间的比较结果，选择性地提示用户进行健身运动，能够及时提醒用户进行健身运动，给出合理的运动建议，使得用户能够合理安排健身计划、选择合理的健身方式并及时进行健身运动，实现了衣物处理设备和用户的人机交互，例如语音交互，使得衣物处理设备的智能控制更加人性化，满足用户的多方面需求，提升了用户的使用体验。</t>
  </si>
  <si>
    <t>用于衣物处理设备的运行方法</t>
  </si>
  <si>
    <t>CN111544868A</t>
  </si>
  <si>
    <t>本说明书一个或多个实施例提供一种基于物联网的智能篮球训练系统，涉及体育训练技术领域，包括：篮球架，所述篮球架由支撑架、底座、篮板和篮筐组成，所述底座内部安装控制端，所述底座表面嵌合安装体重秤，所述支撑架前表面下部安装位移传感器，所述篮筐内侧安装红外传感器，所述支撑架背对所述篮筐的表面设置第一显示屏、人脸识别装置和采集装置，所述控制端通过通信模块与客户端电信号连接；本发明提供的一种基于物联网的智能篮球训练系统，能够智能记录分析每次篮球训练人员的身体指数和进球数目，综合评估训练结果。</t>
  </si>
  <si>
    <t>一种基于物联网的智能篮球训练系统</t>
  </si>
  <si>
    <t>TWD212944S</t>
  </si>
  <si>
    <t>【物品用途】 
  本设计为一种用于可穿戴设备表盘的动态图形化使用者介面,所述可穿戴设备例如手表、手环等。 本设计的动态图形化使用者介面用于人机交互,而运行程式、显示资讯和通讯。 
  【设计说明】 
  本设计的前视图中以一点链线所揭露的可穿戴设备及表盘(显示面板),具体来说,灰阶填色部分为可穿戴设备的表带及表盘框,为本案不主张设计的部分 。 前视图中以虚线所揭露之使用者介面中的图形,即数字、文字,为本案不主张设计的部分。 
  本设计的前视图之变化状态图1至前视图之变化状态图3仅显示出表盘框及显示面板,图式中以一点链线及灰阶填色部分所揭露的表盘框及显示面板,为 本案不主张设计的部分。 前视图之变化状态图1至前视图之变化状态图3中以虚线所揭露之使用者介面中的图形,即数字、文字,为本案不主张设计的部分。 
  前视图显示本设计之动态图形化使用者介面应用于可穿戴设备,图式所揭露的各视图,可由前视图产生前视图之变化状态图1至前视图之变化状态图3,为多个不同 变化外观的动态图形化使用者介面设计。 
  具体来说,显示面板上方显示日期及相关天气情况,显示面板中央为相关资料清单,使用者可点击清单中的资料查看具体详情。 显示面板下方为控制项图像元件,使用者可点击图像元件进行进一步操作,例如查看骑行资料、跑步资料或者心律资料等。 当使用者点击显示面板中的任一资料资讯时,显示面板跳转显示该资料资讯详情,呈现出前视图之变化状态图1至前视图之变化状态图3的动态变化效果。 
  图式所揭露之动态图形化使用者介面中的色彩为本案主张设计的部分。 
  使用状态参考图1至使用状态参考图4为本设计实际应用于可穿戴设备表盘的使用状态示意图。</t>
  </si>
  <si>
    <t>用于可穿戴设备表盘的动态图形化使用者介面</t>
  </si>
  <si>
    <t>CN306080056S</t>
  </si>
  <si>
    <t>1.本外观设计产品的名称：物联网球阀执行器。
 2.本外观设计产品的用途：用于控制、调节球阀状态的执行装置。
 3.本外观设计产品的设计要点：在于形状。
 4.最能表明设计要点的图片或照片：立体图1。</t>
  </si>
  <si>
    <t>物联网球阀执行器</t>
  </si>
  <si>
    <t>CN111359190A</t>
  </si>
  <si>
    <t>本发明涉及体育器械领域，尤其涉及一种冰球训练装置及评价系统。包括：一冰球；一训练平台，所述冰球于所述训练平台上进行移动，所述训练平台中包括：一第一阵列；一连接杆；一眼动传感器；一中控装置；所述中控装置还包括一人机交互界面，用于显示所述评价结果。上述技术方案具有如下优点或有益效果：通过本技术方案，方便运动员在家也能进行冰球训练，通过获取运动员冰球训练中的轨迹并进行比对，能够对运动员的训练过程进行评价，使得运动员对于自身的训练情况有直观且清晰的了解，进而提升运动员的训练效果；本技术方案同时兼具娱乐和冰球活动普及推广的价值。</t>
  </si>
  <si>
    <t>CN111540465A</t>
  </si>
  <si>
    <t>本发明公开了一种神经网络模型预测大学生男子足球员运动损伤风险的方法，包括以下步骤：S1、采集受试者基本信息数据、功能性动作评价指标数据；S2、对受试者进行下肢非接触损伤情况调查，并分成损伤组和非损伤组；S3、分别采集数据在损伤组和非损伤组间的P值，以P值作为判定各类数据是否被筛选为损伤风险因子的标准；S4、利用损伤风险因子作为自变量、有无非接触性损伤作为因变量构建多层感知器模型；S5、利用多层感知器模型预测大学生男子足球运动员的非接触性损伤风险。本发明具有有效预测中国男子大学生足球运动员下肢非接触性损伤风险，对无损伤人群诊断的正确率为87％，对损伤人群诊断的正确率为93.3％的有益效果。</t>
  </si>
  <si>
    <t>神经网络模型预测大学生男子足球员运动损伤风险的方法</t>
  </si>
  <si>
    <t>RU2738660C1</t>
  </si>
  <si>
    <t>领域:医学。物质:本发明是指医学,即耳鼻喉科、发声学,可用于语音形成疾病患者的诊断和康复。 公开了一种方法,包括通过对照患者发音各种类型的测试任务,收集对照患者的语音样本,将对照患者的语音样本记录在数据库中,通过傅里叶分析确定语音的频率-幅度特征,通过神经网络确定 网络,获得的声音数据与患者诊断之间的数学关联,形成语音的频率幅度特征与语音语音病理学和对照患者的参考语音的数据库,通过发音记录患者的语音样本说 相同的测试任务,分析患者的频率-幅度特征,通过将患有语音功能障碍患者的声音的频率-幅度特征与来自数据库的对照患者的声音的频率-幅度特征进行比较来确定患者的诊断,并考虑 对照患者诊断的帐户依赖性 s关于他们的声音和康复的频率-幅度特性。 此外,患者的康复程序是使用包括语音体操在内的运动综合体进行的,通过将患者的声音特征与其声音特征进行比较,在初始诊断期间和进行康复练习时获得持续监测过程的动态。 ,以及记录练习的参考表现并根据康复动态的结果纠正康复程序。效果:方法提供准确的诊断、高康复率和治疗成功率且无复发,不需要额外的昂贵设备, 它甚至可以在使用现代电话设备的情况下实施; 方法并不昂贵且易于实施。1 cl,1 dwg</t>
  </si>
  <si>
    <t>语音功能障碍患者的诊断与康复方法</t>
  </si>
  <si>
    <t>US11167214B1</t>
  </si>
  <si>
    <t>本文描述了用于实现动态游戏或竞赛管理平台的系统和方法。 该平台可以与程序化广告系统集成,并被配置为利用基本实时的程序化广告信息、预测分析和/或一种或多种人工智能(AI)算法来动态调整与游戏或竞赛相关的参数。 AI算法可以使用历史广告收入信息和本文所述的许多其他广告收入预测因素来预测特定时间段内未来广告收入的数量或产生预期。 基于该预测,比赛管理平台可以被配置为调整各种参数,以动态调整游戏或比赛本身以及基于一个或多个存储的模型将被授予的预计奖品,该模型被设计为达到一定的总奖金额。 一段时间。</t>
  </si>
  <si>
    <t>动态游戏管理平台,利用预测分析实时修改游戏参数</t>
  </si>
  <si>
    <t>CN111564197A</t>
  </si>
  <si>
    <t>本发明公开了一种体育运动智能分析系统及方法，通过运动分析终端获取用户的生理参数，并将所述生理参数上传至云服务器；所述云服务器根据所述生理参数，利用神经网络预测所述生理参数对应的用户所匹配的体育运动项目，以及所承受的极限运动量；将匹配的体育运动项目推送给运动分析终端，获取用户选择的指令；通过运动分析终端对用户进行的体育运动实时监测和分析，并显示相关运动数据。实现对用户体育运动的全过程智能监测和分析，进而指导科学运动，可提供个性化的运动建议，提高用户的使用体验。</t>
  </si>
  <si>
    <t>一种体育运动智能分析系统及方法</t>
  </si>
  <si>
    <t>IN202017016162A</t>
  </si>
  <si>
    <t>本发明公开了一种用于在传送数字内容时提供警报的系统和方法,例如当有趣的数字内容即将到来时,例如足球比赛期间的比赛开始时,以将一个或多个观众的注意力引导到 数字内容。 本发明还被配置为嵌入商业消息连同关于引导观众焦点的警报。 该系统适用于手动或自动激活警报。 此外,该系统可选用人工智能 (AI) 系统实现,该系统使用深度学习进行训练,以识别适当的时间以自动触发警报/商业消息序列。 可以通过监控警报激活的手动控制来训练 AI 系统。</t>
  </si>
  <si>
    <t>用于在传送数字内容时提供警报的系统和方法</t>
  </si>
  <si>
    <t>CN111477244B</t>
  </si>
  <si>
    <t>本发明公开了一种面向用户的自定义体育赛事解说增强方法，对于解说视频中的人声声纹进行分离，根据用户设置对个别解说员声纹进行屏蔽，实现更好的观赛体验。在人声声纹提取过程中，通过对音频进行切分，傅里叶变换，经深度循环神经网络处理，提取出纯净的人声时间帧。在解说员身份识别过程中，首先从时间帧中通过通用背景模型，根据特定时间帧进行最大后验估计，提取出时间帧的特征向量。对时间帧的特征向量进行聚类，每一个类别即为一个解说员，每一个类别的均值，即为解说员的身份向量，以此完成解说员的识别与屏蔽功能。</t>
  </si>
  <si>
    <t>一种面向用户的自定义体育赛事解说增强方法</t>
  </si>
  <si>
    <t>CN111437583B</t>
  </si>
  <si>
    <t>一种基于Kinect的羽毛球基本动作辅助训练系统，属于人机交互领域，本发明为解决采用DTW算法的羽毛球动作指导系统存在适用范围小、准确率低的问题。本发明系统包括数据采集模块、动作特征提取与识别模块和动作标准程度分析与指导模块；数据采集模块：利用Kinect v2体感设备对运动员进行实时监控，采集运动员全身25个关节点三维坐标数据；动作特征提取与识别模块：建立标准模板；获取待测用户与标准模板动作的相似度；动作标准程度分析与指导模块：根据相似度判断待测用户当前所做动作所属类别，再根据该类别动作技术评价规则设定的骨骼夹角阈值范围分析待测用户当前所做动作是否符合标准。</t>
  </si>
  <si>
    <t>一种基于Kinect的羽毛球基本动作辅助训练系统</t>
  </si>
  <si>
    <t>CN111401313B</t>
  </si>
  <si>
    <t>本发明提供了一种体育参赛人员识别定位方法以及系统，该系统包括人脸识别子系统、号码牌识别子系统、精准匹配与模糊匹配子系统以及全局匹配子系统，其中人脸识别子系统基于深度学习执行人脸识别；号码牌识别子系统基于深度学习执行号码牌识别，号码牌识别子系统获取体育赛事影像，依次对每一张图像进行识别，通过文字识别将图像中包含的所有号码牌保存在后台的数据库中，号码牌识别子系统获取体育参赛人员输入的个人的号码后，将相对应包含此号码牌的图像提取并分发给用户；精准匹配与模糊匹配子系统将精确匹配与模糊匹配结合起来对号码牌执行识别；全局匹配子系统基于全局执行个人的人脸信息以及号码牌信息的匹配。</t>
  </si>
  <si>
    <t>体育参赛人员识别定位方法、系统以及设备</t>
  </si>
  <si>
    <t>CN212038779U</t>
  </si>
  <si>
    <t>本实用新型公开了一种VR人机交互式跑步机，包括跑台、辊轮、立柱和人机交互设备，所述辊轮设置为多组，并且多组所述辊轮沿跑台的长度方向横向平行架设，所述辊轮与跑台滚动连接，所述人机交互设备可翻转调节的固定在立柱的顶部，所述立柱的底部滑动式安装在跑台上并翻转折叠，所述跑台的前部开设有用于容置人机交互设备的第二收纳槽，当所述立柱翻转至与水平面平行时，所述人机交互设备可容置在第二收纳槽内部，所述跑台的两侧设置有用于与立柱底部卡接并进行限位阻挡的止挡组件。本实用新型所述的一种VR人机交互式跑步机，可以将立柱折叠收纳在跑台上，方便运输作业，而且用户安装使用时便捷，能够减小其占用空间。</t>
  </si>
  <si>
    <t>一种VR人机交互式跑步机</t>
  </si>
  <si>
    <t>CN111488824B</t>
  </si>
  <si>
    <t>本申请公开了一种运动提示方法、装置、电子设备和存储介质，涉及图像识别技术领域，具体实现方案为：获取用户运动图像，并在所述用户运动图像中获取各肢体关键点的三维识别坐标；根据各所述三维识别坐标，确定与所述用户运动图像匹配的用户动作；根据用户动作与肢体关键点之间的映射关系，在识别出的全部肢体关键点中，筛选出目标肢体关键点；获取各目标肢体关键点与所述用户动作对应的三维标准坐标；根据目标肢体关键点的三维标准坐标与三维识别坐标之间的差异值，进行运动提示。本申请能够在用户健身过程中，对用户进行有效的动作提示。</t>
  </si>
  <si>
    <t>运动提示方法、装置、电子设备和存储介质</t>
  </si>
  <si>
    <t>CN113496337A</t>
  </si>
  <si>
    <t>本发明公开了一种离线终端融合精细化工的风控评估系统及应用。所述方法针对精细化工行业企业，从企业运营信息、行业评评估信息、商业信贷信息等5个维度构建信用指标评估体系，通过搭建模型管理架构，建设监控授信预警、追踪查证为主的业务应用，从而设计一套完整的服务于大数据和人工智能时代的离线业务终端平台。该平台融合了知识推理、知识图谱和离线业务终端等先进技术，利用企业内外部的结构化和非结构化数据，建立风控关系评估模型，可直接通过离线业务终端，授信给用户。其有益效果如下：该离线终端和风控评估系统平台融合了精细化工行业，实现了理论和实践的相结合，具体操作过程便捷、简单，运行性能稳定，可实现对企业的风控业务全面监控，降低风险，降低成本。</t>
  </si>
  <si>
    <t>一种离线终端融合精细化工的风控评估系统及应用</t>
  </si>
  <si>
    <t>CN111488815B</t>
  </si>
  <si>
    <t>本发明公开了一种基于图卷积网络和长短时记忆网络的事件预测方法，包括下述步骤：S1、对篮球比赛视频单位时间视频频段的个体进行检测，依据检测到的个人位置，在空间和时间上进行视频切片，再将切片后的视频送进三维残差卷积网络进行特征提取；S2、构建基于图卷积神经网络的篮球进分时间预测模型；S3、基于图卷积神经网络和长短时记忆神经实现对一段篮球视频下一单位长度进球事件的预测。本发明定义了新型的图卷积神经网络，能有效捕捉人与人的关系，有效地考虑到了边权重的重要信息，并将场景全局特征作为模型输入，使得模型能从局部到全局刻画视频特征，从而获得一个更加完整的篮球比赛行为描述，进而有效地预测未来进球事件。</t>
  </si>
  <si>
    <t>基于图卷积网络和长短时记忆网络的事件预测方法</t>
  </si>
  <si>
    <t>CN306053125S</t>
  </si>
  <si>
    <t>1.本外观设计产品的名称：用于手机的智能家居设备管理的图形用户界面。
 2.本外观设计产品的用途：用于运行软件及程序。
 3.本外观设计产品的设计要点：在于屏幕中显示的软件图形用户界面。
 4.最能表明设计要点的图片或照片：界面变化状态图1。
 5.无设计要点，省略后视图、左视图、右视图、俯视图、仰视图。
 6.图形用户界面的用途：用于智能家居系统智能设备的管理与控制。
 7.图形用户界面的人机交互方式：主视图为软件的登陆/注册页；在主视图中填写账号密码后，点击“登录”，得到界面变化状态图1，进入主页；点击界面变化状态图1中的“加入家庭”弹出填写所要加入“家庭”的信息框，加入后能控制对应家庭的智能设备，如图界面变化状态图2所示；点击界面变化状态图1中的“创建家庭”，得到界面变化状态图3，创建虚拟的“家庭”，用于后续添加智能设备，该页先弹出定位框；“家庭”设置完成后，得到界面变化状态图4；为对应虚拟“家庭”的主页点击界面变化状态图4中的“添加房间”，得到界面变化状态图5，该页面提示用户在现实房间中寻找“雨蛙智能开关”这个智能主控设备，并扫描设备的二维码；点击界面变化状态图5“扫一扫”选项，扫描实物雨蛙智能开关屏幕上的二维码后，得到界面变化状态图6，以提示用户设置Wi‑Fi；点击界面变化状态图6“去设置Wi‑Fi”得出，得到界面变化状态图7，以使开关设置接入Wi‑Fi；在界面变化状态图7点击“配置”，得到界面变化状态图8，使实物智能开关接入Wi‑Fi后得出该页面，以选择智能开关所在的空间（房间）选择界面变化状态图8中任一空间类型后，登记该智能开关的电子开关“，每个电子开关作一为路输出，控制所接入电器的通断，如图界面变化状态图9所示；选择界面变化状态图9中任一电子开关后弹出界面变化状态图10页面，以登记所选“电子开关”所对应接入的电器；登记好“电子开关”对应连接的电器后，跳回界面变化状态图9，并点击界面变化状态图9右上角的“确定”后，弹出界面变化状态图11，以重复接入同一空间里的雨蛙智能开关；接入同一空间里的雨蛙智能开关后，在界面变化状态图11点击“跳过”，转为界面变化状态图12，以提示用户接入雨蛙系列产品的具体操作；界面变化状态图12点击“确定”后转为界面变化状态图13，提示智能产品登记情况，确定所需接入的电子产品，已接入后点击“确认”；由界面变化状态图13点击“确认”后进入界面变化状态图14，提示用户接入带遥控的设备；点击界面变化状态图14中“添加设备”得到界面变化状态图15，供用户选择添加的遥控设备；在界面变化状态图15中点击相应的电视品牌，得到界面变化状态图16，提示用户接入电视的操作方式；配对完成后得界面变化状态图17页面所示；完成初设后，在界面变化状态图17中，点击“稍后添加”，得到如界面变化状态图18所示的房间页（这里的空间是界面变化状态图8选的“卧室”）；界面变化状态图18中点击设备栏中的“空调”，得到界面变化状态图19；界面变化状态图18中点击设备栏中的“电视”，得到界面变化状态图20；点击界面变化状态图20中“监控”，得到界面变化状态图21；点击界面变化状态图18中“语音”，得到界面变化状态图22，可使用智能家居设备分别家庭内其它“雨蛙智能开关”进行“广播”或选择家庭内任一“雨蛙智能开关”进行“对讲”操作；点击界面变化状态图22中“广播”，得到界面变化状态图23，可对室内进行广播；点击界面变化状态图18右上角菜单图标弹出该页菜单栏，如图界面变化状态图24所示；点击界面变化状态图18的“卧室”下拉箭头，弹出其它“空间”的选项，以供用户切换其它空间，如图界面变化状态图25所示；点击界面变化状态图24右上角下拉菜单栏的“切换家庭”，得到界面变化状态图26；点击界面变化状态图24右上角下拉菜单栏的“进入设置”，得到界面变化状态图27；点击界面变化状态图27头像进入个人中心页，以供用户登记账号信息，如图界面变化状态图28。</t>
  </si>
  <si>
    <t>用于手机的智能家居设备管理的图形用户界面</t>
  </si>
  <si>
    <t>US20200320894A1</t>
  </si>
  <si>
    <t>通过计算设备和相关计算系统的图形用户界面操作的虚拟交互式教练。 这包括向用户呈现交互式问题,以获取有关用户简档数据、财务数据、财务目标和其他相关信息的输入。 该系统使用人工智能算法识别最相关的问题和行动项目以呈现给每个用户。</t>
  </si>
  <si>
    <t>互动辅导界面</t>
  </si>
  <si>
    <t>CL66561B</t>
  </si>
  <si>
    <t>公开了一种游戏场地桌上游戏监控系统,包括:至少一个摄像头,用于捕获游戏表面的图像; 计算装置与至少一个相机通信,所述计算装置被配置为分析捕获的比赛场地图像以自动应用机器学习过程以识别捕获的图像中的游戏对象、游戏事件和玩家。</t>
  </si>
  <si>
    <t>在赌博场所监控桌上游戏的系统和方法</t>
  </si>
  <si>
    <t>JP7317121B2</t>
  </si>
  <si>
    <t>本申请公开了一种基于人工智能的虚拟赛车控制方法及装置、存储介质及装置。 终端执行的该方法使用第一账号登录的客户端,控制第一账号的第一辆虚拟赛车在一轮极速赛车游戏的虚拟地图上移动,当第一台虚拟赛车与第二台发生碰撞时在虚拟地图上的虚拟赛车,向客户端显示第二虚拟赛车的耐久值降低,并且第二虚拟赛车的耐久值低于预定阈值,如果是,向客户端显示第二台虚拟赛车完成一轮速度游戏,条件是第二台或第一台虚拟赛车必须跑到预定目标,不需要完成一轮速度游戏,提高第二台的效率虚拟赛车完成了这一轮的虚拟比赛。</t>
  </si>
  <si>
    <t>虚拟赛车控制方法和装置、装置以及计算机程序</t>
  </si>
  <si>
    <t>CN111476536A</t>
  </si>
  <si>
    <t>本发明公开了一种基于人工智能的职业技能竞赛实训教育平台，包括：用户单元、竞赛实训单元、检测单元、数据服务单元、人工智能服务单元和云服务平台单元。本发明旨在通过任务游戏式闯关模式和人工智能分析对IT的竞赛提供实训内容、学习者能力跟踪和路径智能规划提供一套方法，建立一套软件系统，解决参加比赛的参赛选手和指导老师没有统一的训练模式和训练系统的问题。</t>
  </si>
  <si>
    <t>一种基于人工智能的职业技能竞赛实训教育平台</t>
  </si>
  <si>
    <t>CN306596665S</t>
  </si>
  <si>
    <t>1.本外观设计产品的名称：带有换装图形用户界面的显示屏幕面板。
 2.本外观设计产品的用途：用于运行程序及通讯。
 3.本外观设计产品的设计要点：在于屏幕中的图形用户界面内容，显示用的载体设备为现有设计，其他面不涉及设计要点。
 该显示屏幕面板用于手机、平板电脑、台式电脑、电视、试装合体机。
 4.最能表明设计要点的图片或照片：设计1界面变化状态图。
 5.惯常设计，省略本外观设计的各设计的后视图、左视图、右视图、俯视图、仰视图。
 6.指定设计1为基本设计。
 7.图形用户界面的用途：本外观设计产品的界面用于提供一种AR换装交互，当用户走到本外观设计产品前面时，根据用户身材等信息向用户推荐可试穿的衣服，例如礼服、球服、长裙等，这些衣服为已完成三维建模的衣服，同时建立用户三维模型，将基础三维模型的脸换为用户的脸并显示于屏幕中，该人物基础三维模型是提前建立好的，并且便于用户实时查看和体验试装效果。
 人机交互方式：如设计1~设计3的各视图所示，用户点击界面左侧的服装、首饰或鞋等图标时，在界面的右侧显示换装的效果。
 并且，不同的衣服匹配不同的穿衣动作，需要根据用户的选择，来进行规定穿衣动作，以使衣服与用户身体图像贴合。
 例如，礼服有礼服对应的穿衣动作，如需要用户先伸出左胳膊，则衣服贴合到左胳膊上，然后用户伸出右胳膊，礼服贴合到右胳膊上，最后整体贴合到用户身上。
 然后，进行三维衣服和三维用户的二次贴合，当用户腰围、臂围、腿粗超过最优值时，在界面同时展现实际效果及最优效果（A2框），并在界面左侧显示向用户推荐的试装测试结果和健身运动信息内容（A1、B、C框）、以及相关APP的二维码（D框）。</t>
  </si>
  <si>
    <t>带有换装图形用户界面的显示屏幕面板</t>
  </si>
  <si>
    <t>CN113457106B</t>
  </si>
  <si>
    <t>CN116637352A</t>
  </si>
  <si>
    <t>US11640767B1</t>
  </si>
  <si>
    <t>一种用于声乐训练的计算机实现的系统和方法。 测量和评估用户的声音。 还获取关于用户的个性化属性,包括用户的目标。 基于用户语音的测量方面和获取的用户属性(基于用户报告数据、机械评估和/或人工智能确定的分析的组合),(1) 生成关于用户的报告 (2) 针对用户的声音、发声能力、声音舒适区边界和用户目标,以科学的方式为用户提供个性化的反馈、课程和发声练习,形式为 虚拟声乐教练。 技术和目标可以实时提供给用户,和/或用于生成新的练习和训练。 通过不断地测量和评分用户的进步,生成持续的整体语音策略以帮助用户实现其持续的发声发展目标。</t>
  </si>
  <si>
    <t>声乐训练系统及方法</t>
  </si>
  <si>
    <t>CN211349397U</t>
  </si>
  <si>
    <t>本实用新型公开了物联网显示设备技术中的一种基于5G技术的物联网显示设备，包括壳体、显示屏以及按键，显示屏的上方设有磁条读卡器，壳体的一侧设有指纹识别器以及扫描按钮，壳体的另一侧设有充电接口以及USB接口，壳体的背面设有条形码扫描器、摄像头、RFID识别器。本实用新型的有益效果在于，集于多功能为一体的物联网显示设备，内设磁条读卡器、指纹识别器、条形码扫描器、摄像头、RFID识别器，可以适用各类数据采集满足不同用户的需求，采集信息简单易查询、监控；采用5G互联实现远距离快速传输，省去用网线传输信息，节约成本。物联网显示设备外观结构简单，整体操作舒适，用户体验感佳。</t>
  </si>
  <si>
    <t>一种基于5G技术的物联网显示设备</t>
  </si>
  <si>
    <t>KR102333438B1</t>
  </si>
  <si>
    <t>KR102370824B1</t>
  </si>
  <si>
    <t>本发明的提供高尔夫教练服务的装置包括用于通信的通信模块、用于存储多个教练中的每一个教练的教练评级信息的存储模块,以及来自第一用户设备通过通信模块的教练课程请求。 1 接收用户的推杆图像时,包括图像提取单元,用于从接收的第一用户的推杆图像中提取第一用户的阅读图像,以及由多个操作组成的多个层,其权重是应用,一种人工神经网络,用于在一个用户的阅读图像时,通过执行对输入的阅读图像应用权重的多个计算,输出第一用户的推杆姿势属于多个不规则姿势类型中的每一个的概率。输入;根据属于多种不规则姿势类型中的每一种的概率确定不正确姿势的类型,并参考教练导出推荐教练列表,用于推荐适合确定的不正确姿势类型的教练评分信息,以及导出的推荐 它包括教练课程提供单元,用于通过通信模块将教练列表传送到第一用户设备。</t>
  </si>
  <si>
    <t>提供高尔夫教练服务的装置及其方法</t>
  </si>
  <si>
    <t>CN306175426S</t>
  </si>
  <si>
    <t>1.本外观设计产品的名称：用于手机的体育赛事智能语音采集界面。
 2.本外观设计产品的用途：本外观设计产品用于体育赛事人工智能语音采集、运行程序及通讯。
 3.本外观设计产品的设计要点：在于图像用户界面的运行情况的界面内容。
 4.最能表明设计要点的图片或照片：主视图。
 5.无设计要点，省略后视图、左视图、右视图、俯视图、仰视图。
 6.图形用户界面的用途：图形用户界面为显示屏幕面板的应用界面，该显示屏幕面板用于手机、电脑。
 主视界面变化状态图为用户打开软件登录后旋转显示的首页，首次打开应用，进入界面变化状态图1。
 I、在界面变化状态主视图中，点击界面顶部的“广东省职业联赛”处的下箭头，进入界面变化状态图 2。
 II、在界面变化状态主视图中，点击右侧上的“历史记录”选项，进入界面变化状态图 3。
 A1、在界面变化状态图 3 中，点击右上角的“球队筛选”选项，进入界面变化状态图 4。
 A2、在界面变化状态图 3 中，点击右上角的“时间筛选”选项，进入界面变化状态图 5。
 A3、在界面变化状态图 3 中，点击右侧的“事件列表”选项，进入界面变化状态图 6。
 III、在界面变化状态主视图中，点击下方赛事列表的“事件采集”或“报幕员”选项，进入界面变化状态图 7。
 B1、在界面变化状态图 7 中，选择身份为“报幕员”的选项时，进入界面变化状态图 8。
 在界面变化状态图 8 中，点击界面的“比分”选项，进入界面变化状态图 9。
 B2、在界面变化状态图 7 中，选择身份为“事件采集”的选项时，进入界面变化状态图 10。
 在界面变化状态图 10 中，点击界面的“球员号码”，进入界面变化状态图 11。
 在界面变化状态图 10 中，点击界面的“球员事件”，进入界面变化状态图 12。
 IV、在界面变化状态主视图中，点击界面右下角的“事件列表”选项，进入界面变化状态图 13。
 在界面变化状态图 13 中，点击界面右上角的“身份选”选项，进入界面变化状态图 14。
 V、在界面变化状态主视图中，点击右下角的“数据统计”选项，进入界面变化状态图 15。
 C1、在界面变化状态图 15 中，点击下方的“统计数据”选项，进入界面变化状态图 16。
 C2、在界面变化状态图 15 中，点击右上角的“设置”选项，进入界面变化状态图 17。
 C3、在界面变化状态图 15 中，点击下方的“语音热点采集”选项，进入界面变化状态图 18。
 C4、在界面变化状态图 15 中，点击下方的“语音采集”选项，进入界面变化状态图 19。
 VI、在界面变化状态主视图中，点击界面右下角的“修改”选项，进入界面变化状态图 20。
 VII、在主视图中，点击界面左侧上的“新建赛事”选项，进入界面变化状态图 21。</t>
  </si>
  <si>
    <t>用于手机的体育赛事智能语音采集界面</t>
  </si>
  <si>
    <t>KR102501416B1</t>
  </si>
  <si>
    <t>本发明涉及一种物联网球拍锻炼装置和使用该装置的球拍锻炼系统,根据本发明实施例的物联网球拍锻炼装置包括形成为椭圆形的头部和形成在头部上的支撑部。主体部分包括主体部分、连接到支撑部分并形成为人可以握住的形状的手柄部分,并且形成在主体部分或手柄部分中以检测感测信息包括倾斜度、速度和加速度中的至少一种。它包括感测单元、形成在握持部分中并与外部用户终端通信的通信单元以及用于将感测信息传输到用户终端的控制单元。</t>
  </si>
  <si>
    <t>物联网球拍运动装置及使用该装置的球拍运动系统</t>
  </si>
  <si>
    <t>IN202021012755A</t>
  </si>
  <si>
    <t>CN111383735A</t>
  </si>
  <si>
    <t>本发明提供一种基于人工智能的无人化健身分析方法，涉及无人健身技术领域，包括以下步骤：S1：基于人体关键点定义运动指标分析的规则，生成规则表；S2：实时采集运动者的运动图像，获取运动者的骨架点信息；S3：将获取的骨架点信息输入至规则表；S4：判断生成的骨架点信息与规则表中数据误差值是否小于预定阈值，若是，则动作合格，反之则输出错误骨架点信息。本发明一种互动式舞台灯光换色方法利用人工智能、大数据、云计算、体感控制等技术，针对居家场景的健康智能健身指导，面向海量运动视频图像数据的识别、跟踪、定位进行管理；研究运动训练、健身指导、体育康复等健身指导，开展多功能、智能化的运动健身分析和指导。</t>
  </si>
  <si>
    <t>一种基于人工智能的无人化健身分析方法</t>
  </si>
  <si>
    <t>IN202021012732A</t>
  </si>
  <si>
    <t>基于计算机推理的在线健康系统的系统和方法以及个人准备方法。 目前,体型数据包括身体三维显示信息、身体排列、关键、体重、体积、身体水份和身体形状数据,通过身体过滤,有助于定制高管计划的身体形状,通过监督情况和饮食 ,个人准备可以更加系统地进行,增加个人准备的影响。 同样,通过部分终端检测从健身场所外部摄取的营养和运动量,并将其反映到管理人员的体形计划中,可以更系统地对个人的健康板和体形板进行管理。 执行。</t>
  </si>
  <si>
    <t>基于人工智能的在线健身和私教系统及方法</t>
  </si>
  <si>
    <t>IN202021012729A</t>
  </si>
  <si>
    <t>允许用户与人工智能聊天机器人交互以自动识别他们感兴趣的基因谱测试的系统和方法,以及至少部分基于为用户个性化的健康和健身产品和/或计划的推荐 用户的基因图谱测试结果。 这样的推荐可以包括例如额外的诊断测试、推荐购买的营养补充剂、关于非常适合用户的特定程序的推荐等。</t>
  </si>
  <si>
    <t>机器人改进的遗传测试获取人工智能的系统和方法</t>
  </si>
  <si>
    <t>CN111401280A</t>
  </si>
  <si>
    <t>本发明公开了一种基于灰度共生矩阵调整学习率的图像识别方法包括通过摄像头采集远动员图像，将采集到的图像汇总；对原图像进行高斯滤波，获取得到入射图像；将入射图像与原图像相减得到反射图像；根据四方向八邻域灰度共生矩阵判断对混合高斯模型进行学习率更新；运动员提取；本发明能够有效实现在光照较差情况下，对运动员进行快速检测与提前，从而通过运动员的提取实现运动员位置的自动识别，才能够进一步对运动员姿态进行有效分析。</t>
  </si>
  <si>
    <t>一种基于灰度共生矩阵调整学习率的图像识别方法</t>
  </si>
  <si>
    <t>KR102171439B1</t>
  </si>
  <si>
    <t>本发明涉及一种人脸识别自动发卡装置,用于对来访者进行人脸识别、拍照登记自动发卡,包括:主体; 触摸屏单元安装在主体上,用于输入信息和显示设备的操作状态; 安装在主体上的摄像头拍摄单元,用于通过拍摄的图像识别访客的面部; 通行证供应单元,安装在主体上,一张一张地供应通行证; 通行证检查单元安装在主体上,检查通过通行证供应单元供应的通行证是好的还是有缺陷的,并有选择地将其排出; 控制器安装在主体上以控制设备所需的整体操作,其中通行证是RFIC芯片安装通行证,能够通过使用RF频率的通信无线识别记录的信息。 
  根据本发明,访客可以通过自动化设备进行自己的面部识别和登记,通过该访客的面部识别和登记获取信息,并自动发放通行证。可以消除不便和麻烦。交换身份证和通行证,并根据访客访问提供增加安全性的优势。</t>
  </si>
  <si>
    <t>无人自动人脸识别通行证签发装置</t>
  </si>
  <si>
    <t>CN211718757U</t>
  </si>
  <si>
    <t>本实用新型公开了一种计算机PLC控制的工业机器人机界面控制装置，包括控制装置壳体，控制装置壳体上端面设有矩形凹槽，矩形凹槽内设有人机交互界面，人机交互界面通过移动机构与控制装置壳体连接，控制装置壳体外壁上设有与人机交互界面位置对应的开口，控制装置壳体一侧固定设有侧U型固定座，金属指套外套设有硅胶套，且硅胶套下侧设有硅胶球，硅胶套下端设有与硅胶球过盈匹配的凹槽。本实用新型在进行使用时，可以通过壳体对人机交互界面进行保护，需要对人机交互界面进行操作时，将人机交互界面抽出即可，而且还设置指套，在操作人机交互界面时对人机交互界面进行保护，指套使用完毕会进行消毒，整体操作时安全性较高。</t>
  </si>
  <si>
    <t>一种计算机PLC控制的工业机器人机界面控制装置</t>
  </si>
  <si>
    <t>CN211124172U</t>
  </si>
  <si>
    <t>本实用新型的提供一种基于窄带物联网的体征钥匙手环，包括：壳体、应急按钮、电池、射频天线、TM卡、电路板、底板、壳仓、腕带；其中，电路板包括：体征模块、控制模块、物联网模块和按键检测模块。本实用新型集储物柜钥匙与生命体征监测为一体，在用户发生危险时，及时告警，联动监护人员，进行第一时间施救，将危险将至最低。同时，可以联动后台，采集数据进行数据分析，为健身用户提供一对一贴心的健身指导。产品基于窄带物联网，超低功耗，覆盖范围广，节约成本，让健身场馆批量采购成为可能。</t>
  </si>
  <si>
    <t>一种基于窄带物联网的体征钥匙手环</t>
  </si>
  <si>
    <t>CN111265843B</t>
  </si>
  <si>
    <t>本发明公开一种基于物联网技术的健身环使用方法，包括：步骤一：使用者佩戴相应位置健身环，服务器实时获取所述健身环的位置，步骤二：根据不同难度服务器通过VR眼镜向使用者显示对应难度的墙壁、箭、子弹、水果等，步骤三：佩戴者躲避或按照相应要求做出相应姿势，所述健身环实时将位置发送给服务器，佩戴者的姿势包括动作及动作幅度，步骤四：服务器判断佩戴者姿势，记录佩戴者得分、扣分情况，步骤五：当佩戴者发生失误服务器实时控制所述健身环震荡，使佩戴者实时感知哪个部位未按照相应规则做出相应动作。本发明涉及物联网设备领域，具体地讲，涉及一种基于物联网技术的健身环使用方法。本发明方便佩戴者身体灵巧度训练。</t>
  </si>
  <si>
    <t>一种基于物联网技术的健身环使用方法</t>
  </si>
  <si>
    <t>CN212235922U</t>
  </si>
  <si>
    <t>本实用新型公开了一种物联网智能沙袋，包括拳击沙袋实体及智能系统，智能系统安装在拳击沙袋实体内部，包括单片机、薄膜开关、加速度传感器、点阵柔性屏、BT蓝牙、屏驱动器及电源，单片机分别和薄膜开关、加速度传感器、点阵led柔性屏、BT蓝牙电性相连，屏驱动器和点阵led柔性屏电性相连并提供电能，电源分别和单片机、屏驱动器、BT蓝牙电性相连并提供电能；通过智能系统采集拳击沙袋实体上传来的各种数据并与外部电脑进行数据交互实现提高娱乐性和代入感。本实用新型可以提高拳击沙袋的娱乐性和代入感让使得人们能坚持做健身活动。</t>
  </si>
  <si>
    <t>一种物联网智能沙袋</t>
  </si>
  <si>
    <t>KR1020210117385A</t>
  </si>
  <si>
    <t>本发明涉及一种使用人工智能的乒乓球目标训练系统和方法, 
  本发明的构成是向使用者发射乒乓球的乒乓球供给装置; 显示设备,用于在乒乓球台上向用户显示智能设备请求的目标区域; 收集乒乓球击中乒乓球台瞬间产生的声音传感器测量值和捕获图像,并将测量值和捕获图像的数据通过有线或有线传输到智能设备的集成传感器设备无线通信; 用户在乒乓球台上选择或自己推荐的目标区域被传送到显示设备,通过有线或无线通信接收集成传感器设备发送的数据,并将接收到的数据传送到服务器,服务器一种智能设备,利用判断模型和智能设备管理的数据判断乒乓球是否进入目标区域; 并提供深度学习模型,对智能设备传来的拍摄图像进行特征提取和比较,判断乒乓球是否进入了乒乓球台上的目标区域,并具有存储用户训练的功能难度、结果或历史服务器; 它的特点是包括。</t>
  </si>
  <si>
    <t>使用人工智能的乒乓球目标训练系统及操作方法</t>
  </si>
  <si>
    <t>CN111310748B</t>
  </si>
  <si>
    <t>本发明公开了一种汉画像石体育图像采集比对装置，具体涉及汉画像石研究领域，包括图像采集装置、图像处理终端，图像采集装置包括底座、竖杆、电磁滑套、连接杆、横向滑轨、电磁滑座、摄像机，摄像机的底端通过电磁滑座与横向滑轨的顶面滑动连接，图像处理终端的内部设有预处理模块、信息分析模块、数据分析模块。本发明通过实现对汉画像石的自动转化识别和分类功能，整个算法系统在人工智能算法的干预下通过人为干预与优化算法升级，实现对大量汉画像石的分类标签，基于人工智能算法技术的控制，实现全自动化，无需依赖于操作人员的经验知识并无需通过多次调整参数反复操作，处理过程简单效率较高。</t>
  </si>
  <si>
    <t>CN111275021B</t>
  </si>
  <si>
    <t>本发明涉及运动技术领域，公开了一种基于计算机视觉的足球越位线自动划线方法，首先将场边摄像机拍摄画面实时传送到服务器；在服务器上截取进攻方球员触球瞬间的图像；通过软件对图像进行处理获取草坪区域及白色边线，获取半边球场边线上4个角(A0,A1,A2,A3)的坐标，根据越位规则选取倒数第二名防守队员身体最靠近球门的点A4并根据透视原理及公式计算并生成越位线。与现有技术相比，该方法及系统自动化程度及准确度高，避免了目前手工划线方式的弊端，能够协助裁判作出更加准确的判罚。</t>
  </si>
  <si>
    <t>一种基于计算机视觉的足球越位线自动划线方法</t>
  </si>
  <si>
    <t>IN202041011076A</t>
  </si>
  <si>
    <t>一种运动员激励推荐系统,包括生物传感器、环境传感器、个人信息模块、数据库、处理器和计算设备。 生物传感器检测生物数据。 环境传感器安装在场所内以检测环境数据。 个人信息模块从管理员接收运动员的个人数据。 数据库接收和存储生物数据、环境数据和个人数据。 处理器执行对生物数据、环境数据和个人数据的抽象和分类,实时分析并向运动员提出建议,并对实时分析和建议进行评估。 计算设备呈现结果,例如指示运动员在没有身体损伤的情况下的表现的第一阈值、指示打破先前记录所需的努力的第二阈值以及指示身体状况的危险状态的第三阈值 的运动员。 最具说明性的图:图2。</t>
  </si>
  <si>
    <t>动机推荐系统和方法</t>
  </si>
  <si>
    <t>CN111553165B</t>
  </si>
  <si>
    <t>本发明涉及一种基于情感计算的足球运动员比赛表现评估方法，属于人工智能机器学习技术领域。本方法，利用情感计算技术和文本信息抽取技术，将足球战报中涉及球员表现的表述进行结构化处理并进行量化，之后与统计数据进行结合，利用线性回归算法输出球员表现评分。本方法在输入球员技术统计的基础上，通过引入战报文本信息，利用情感计算技术，使事件的质量得以量化，从而同时兼顾技术项的数量和质量，能够更科学合理地对球员的比赛表现进行评判。</t>
  </si>
  <si>
    <t>一种基于情感计算的足球运动员比赛表现评估方法</t>
  </si>
  <si>
    <t>IN202021011023A</t>
  </si>
  <si>
    <t>给出了一个基于人工智能的精明的社会保险管理给予系统,并且无论如何产生一个锻炼计划,并且如果在任何情况下选择一个锻炼计划中的任何一个,产生一个选择与时间和位置同步的活动计划,并且 无论如何,从包括传感器在内的可穿戴手环收集的成就信息包括用于识别客户发展快车的客户端、客户端的现状以及无论如何在供应商中布置的一个健身设备的情况,从 检查经销商的3D数据观察终端,用于组织转换后的2D绘图中的成就信息,传输单元,用于无论如何将一个锻炼程序传输到客户端终端,以及用于控制活动程序的控制单元。</t>
  </si>
  <si>
    <t>用于向客户提供与健康相关的交流的系统和方法</t>
  </si>
  <si>
    <t>GB2589938A</t>
  </si>
  <si>
    <t>从运动环境600的图像数据导出三维(3D)数据用于确定是否遵守越位规则。 从至少一个照相机601a-d接收图像数据并且检测环境内的至少一个对象602a-f。 对象被分类并由神经网络确定对象的2D骨架,并且通过将2D骨架映射到3D来确定3D骨架。 可以对表示人的部分的多个相关联的子对象(404a-c,图4B)进行分类。 将 2D 骨架映射到 3D 可以使用神经网络、统计或概率方法,并且可以应用人体解剖学完整约束。 图像数据可以包括从多个摄像机中的每一个收集的按时间排序的帧序列,并且可以在每个帧中对对象进行分类并且跨帧序列进行跟踪。 环境的 3D 模型可以使用同时定位和映射来估计每个相机的位置和方向来构建,并且可以通过将 3D 骨架与对象的 3D 模型集成来构建 3D 化身。 对象可以是真实世界运动环境中的运动员和运动器材。</t>
  </si>
  <si>
    <t>用于生成运动环境的 4d 时空模型以确定是否符合越位规则的实时系统</t>
  </si>
  <si>
    <t>US20210287274A1</t>
  </si>
  <si>
    <t>公开了一种用于提供易于在用户的通信设备上使用的一体化个人时尚指导和帮助的方法和系统,其包括:(a)在接收来自来自的输入图像和个人参数之后提供服装健身服务使用 用户; (b) 使用身体模型和尺寸以及 F&amp;A 项目的输入图像提供试穿服务; (c) 通过匹配从用户和卖家之间以点对点方式交换的过去和当前时尚和服装 (F&amp;A) 图像文件中提取的 F&amp;A 项目的输入图像,提供智能风格服务; (d) 通过寻找流行趋势、商店、地点和合适的折扣价格为用户提供推荐服务。</t>
  </si>
  <si>
    <t>使用人工智能和点对点网络数据库进行一体式个人时尚指导和协助的方法和系统</t>
  </si>
  <si>
    <t>KR1020210115465A</t>
  </si>
  <si>
    <t>本发明涉及一种人工智能智能乒乓球练习系统及操作方法, 
  本发明的构成是向使用者发射乒乓球的乒乓球供给装置; 一种智能一体化传感装置,将用户的乒乓球运动姿势图像和一个或多个乒乓球位置传感器检测测量的乒乓球位置测量值,通过有线或无线方式传输至智能设备。沟通; 通过有线或无线通信接收智能集成传感器设备传来的拍摄图像和位置测量值,将接收到的乒乓球的拍摄图像和位置测量值传输给服务器,并将拍摄图像作为输入。 learning 学习模型判断乒乓球姿势的类型,根据使用者的乒乓球姿势类型或乒乓球位置的测量值改变乒乓球供给装置的控制值, 选择用户选择的或智能设备或服务器推荐的角色。 服务器包括用于通过提取乒乓球姿势类型的特征并将其与参考图像进行比较来确定乒乓球姿势类型的深度学习学习模型以及用于存储用户的锻炼结果和历史的功能; 显示应用程序中表达的字符的显示设备; 它的特点是包括。</t>
  </si>
  <si>
    <t>人工智能智能乒乓球练习系统及操作方法</t>
  </si>
  <si>
    <t>CN111184995A</t>
  </si>
  <si>
    <t>本发明提供了一种用于体育、武术陪练的太极推手机器人，旨在解决太极拳练习中推手练习这一关键环节。一种用于体育、武术陪练的太极推手机器人，包括：机器人主体，采用人体仿真设计；驱动系统，用于驱动机器人主体执行动作；机器人与环境交换系统，用于实现机器人与外部设备的协调；感受系统，用以获得机器人主体内部和外部环境状态中的信息；控制系统，根据预设程序或接收外部反馈信号，下达机器人主体动作的控制命令；人机交互系统，用于实现人与机器人的交互功能。本发明赋予了实体机器人在体育训练领域的拟人化功能，填补了武术训练中人、机结合的空白。</t>
  </si>
  <si>
    <t>一种用于体育、武术陪练的太极推手机器人</t>
  </si>
  <si>
    <t>CN111346358A</t>
  </si>
  <si>
    <t>本发明公开了一种基于卷积神经网络的游泳训练评估系统和方法。水下高清摄像机装在泳池底部导轨上从泳池底部向上拍摄；水面高清摄像机装在泳池侧面池壁轨道上从泳池侧面水平拍摄；包括高空高清摄像机装在泳池上方轨道上向下俯拍，均随游泳前进移动；方法是间隔取样图像，分析处理获得游泳动作数据，一个完整游泳动作周期内多次取样作为输入，游泳成绩作为输出，利用卷积神经网络建立游泳评估模型，模拟调整运动员游泳姿势，计算模拟调整姿势后的成绩，进而改进游泳姿势。本发明用在游泳训练的辅助中，通过摄像机捕捉游泳姿势、动作的间隔图像，对采样游泳动作数据，通过神经网络模型进行调整和预测，并反馈以期望帮助提高游泳成绩。</t>
  </si>
  <si>
    <t>基于卷积神经网络的游泳训练评估系统和方法</t>
  </si>
  <si>
    <t>KR1020210114815A</t>
  </si>
  <si>
    <t>本发明的一个目的是提供一种基于深度学习的分数显示系统和使用人工智能移动应用程序的操作方法,本发明的配置是收集运动员、球队或用户之间的运动项目的视频和声音. 移动终端; 移动应用程序,将从移动终端接收到的视频和声音传输到深度学习服务器,并向玩家、团队或用户显示分析结果; 一个智能数字记分牌系统,包括一个服务器,该服务器提取、分析和解释从移动应用程序接收到的视频和声音的混合特征,并存储体育赛事的结果和历史;以及它是如何工作的。</t>
  </si>
  <si>
    <t>基于深度学习的分数显示系统及使用移动应用的操作方法</t>
  </si>
  <si>
    <t>CN211724623U</t>
  </si>
  <si>
    <t>本实用新型公开了一种具有发球机构的足球智能机器人，包括底座、第一伸缩汽缸、驱动电机和第二伸缩汽缸，所述底座的顶端外表面固定焊接有支撑框架，所述支撑框架的顶端外表面通过转轴活动连接有球筒，所述底座的顶端外表面固定安装有第一伸缩汽缸，所述第一伸缩汽缸的顶端固定焊接有电机箱，所述电机箱的内部固定安装有驱动电机，所述驱动电机的输出端固定焊接有摩擦轮。本实用新型通过第一伸缩汽缸、驱动电机、摩擦轮和支撑架组成角度可调式发球机构，通过其角度可调式发球机构可以在足球训练员独自一人时也可进行训练，且通过角度可调，使其发射的角度可以进行改变，可以锻炼足球训练员的各种接球姿势，且结构简单，操作方便。</t>
  </si>
  <si>
    <t>一种具有发球机构的足球智能机器人</t>
  </si>
  <si>
    <t>JP2021144366A</t>
  </si>
  <si>
    <t>[目的] 通过在比赛期结束后扩大比赛的伪参与来加强在线教育。 
  [解决方案] 一种信息处理系统,通过网络处理AI(人工智能)人力资源教育中的编程竞赛,并在竞赛期间向第一参与者提供挑战。任务提供部分;第二任务提供部分提供持有期结束后给第二个参与者的任务; 第一个参与者发布的解决方案,由第一个任务提供部分提供; 2 排名呈现单元,评估第二个参与者发布的解决方案,以提供任务由作业提供单元给出评价结果降序排列的排名表。 
  【选型图】图1</t>
  </si>
  <si>
    <t>信息处理系统、信息处理方法及信息处理程序</t>
  </si>
  <si>
    <t>CN111401174B</t>
  </si>
  <si>
    <t>一种基于多模态信息融合的排球群体行为识别方法应用于计算机视觉群体行为识别领域。由于在体育分析，自动视频监控系统，人机交互应用，视频推荐系统等方面的广泛应用，群体行为识别任务备受关注。对于多人场景中的群体行为识别，目标之间以及目标和运动模式之间的关系建模能够提供有判别力的视觉线索。本发明旨在利用将图像目标间的关系以及运动模式作为多模态信息引入，然后利用序列模型GRU对这些信息进行有效编码和全局推理。最后，基于注意力机制，从时域角度整合了推断模块的得到的信息并获取最终结果。该方法实现了针对排球数据集中的群体行为识别，并通过测试验证了方法可行性，具有重要应用价值。</t>
  </si>
  <si>
    <t>一种基于多模态信息融合的排球群体行为识别方法</t>
  </si>
  <si>
    <t>KR1020210112024A</t>
  </si>
  <si>
    <t>本发明的目的在于提供一种利用深度学习的乒乓球运动姿势矫正系统及操作方法, 
  本发明的配置包括:用户设备,用于接收用户进行的乒乓球运动姿势的拍摄或预先记录的图像; 应用程序能够将通过用户设备收集的乒乓球运动姿势的图像传输到服务器并显示通过深度学习确定的相应图像的校正信息; 一种乒乓球运动姿势校正系统和操作,包括服务器,该服务器提供从图像中​​提取和评估运动姿势的深度学习学习模型到应用程序,并存储用户乒乓球运动姿势的校正历史。</t>
  </si>
  <si>
    <t>利用深度学习的乒乓球姿势矫正系统及操作方法</t>
  </si>
  <si>
    <t>IN202041009311A</t>
  </si>
  <si>
    <t>公开了一种基于人工智能的可穿戴设备,用于肌肉健康监测,用于肌肉强化和康复。 该装置包括用于确定四肢的运动和方向的运动感测单元和用于确定与肌肉纤维收缩相关的肌肉活动或振动的力感测单元,同时受试者正在执行锻炼程序。 传感器装置能够长期监测佩戴者的肌肉健康状况,并根据健康/受损受试者的潜力推荐适应性锻炼方案。</t>
  </si>
  <si>
    <t>用于健身和康复应用的基于人工智能的辅助设备</t>
  </si>
  <si>
    <t>CO20200002389U1</t>
  </si>
  <si>
    <t>本发明是指通过智慧城市、建筑和商业家具(停车场、自行车停车场、停车咪表以及各种公共和私人交通工具、大型展示柜和智能屏幕)的控制和监控中心、管理和通信中心,交互式屏幕、数字道路标牌、收费站、智能图腾、智能企业标牌无人机、公共交通、商店、商店、百货公司、机场、学校、大学、公园、购物中心、体育馆、体育场等的教育和商业数字广告) ,适用于外部和内部使用以及公共空间。 本发明包括一个全天24小时开放的通信通道,专门通过互联网提供信息,以及一个通过人工智能(hob)向智能领导者发送、接收、响应、传输和处理各种信息的云存储系统。家具和智能、商业、警察和道路机器人。</t>
  </si>
  <si>
    <t>具有远程管理功能的智能街道家具</t>
  </si>
  <si>
    <t>CN111359192A</t>
  </si>
  <si>
    <t>一种人工智能陪练方法，其特征在于，包含：量测受训人的体位数据；根据该体位数据，利用智能处理模块推断运动水平；当该运动水平低于训练标准时，制定运动计划；以及根据该运动计划，制动陪练机器模块，以训练该受训人，其中在制动该陪练机器模块的同时，进行该量测受训人的体位数据的步骤。由于能够存取云端的大数据，亦即较多的数据库当中的较多数据，也就能更有效地仿真某一位比赛选手，或是某一阶段的比赛选手群众的反应。如此一来，人工智能陪练的效能就能超越人类提供的陪练，达到随时进行随选程度的陪练效果。</t>
  </si>
  <si>
    <t>人工智能陪练系统与方法</t>
  </si>
  <si>
    <t>US11032624B2</t>
  </si>
  <si>
    <t>用于在传送数字内容的同时提供警报和广告的系统和方法</t>
  </si>
  <si>
    <t>WO2020176872A1</t>
  </si>
  <si>
    <t>WO2020176869A1</t>
  </si>
  <si>
    <t>在此提供了一种在广播视频馈送中重新识别玩家的系统和方法。 计算系统检索体育赛事的广播视频馈送。 广播视频馈送包括多个视频帧。 计算系统基于多个视频帧生成多个轨道。 每个轨道包括与至少一个玩家相关联的多个图像块。 多个图像块中的每个图像块是多个视频帧的相应帧的子集。 对于每个轨道,计算系统都会生成一个图像补丁库。 在画廊的每个图像补丁中都可以看到每个球员的球衣号码。 计算系统通过卷积自动编码器匹配跨画廊的轨道。 计算系统通过神经网络测量每个匹配轨道的相似度分数,并根据测量的相似度关联两个轨道。</t>
  </si>
  <si>
    <t>广播视频中玩家重新识别的系统和方法</t>
  </si>
  <si>
    <t>WO2020176875A1</t>
  </si>
  <si>
    <t>此处公开了一种校准捕捉体育赛事的移动摄像机的系统和方法。 计算系统检索体育赛事的广播视频馈送。 广播视频馈送包括多个视频帧。 计算系统通过神经网络标记每个视频帧中捕获的游戏表面的组件。 计算系统将标记视频帧的子集与一组具有各种相机视角的模板相匹配。 计算系统将游戏表面模型拟合到与模板集匹配的标记视频帧集。 计算系统使用光流模型识别每个视频帧中的相机运动。 计算系统基于拟合的比赛表面模型和相机运动为每个视频帧生成单应性矩阵。 计算系统根据为每个视频帧生成的单应矩阵校准每个摄像机。</t>
  </si>
  <si>
    <t>用于校准捕捉广播视频的移动摄像机的系统和方法</t>
  </si>
  <si>
    <t>KR1020210109931A</t>
  </si>
  <si>
    <t>本发明的一个目的是提供一种使用物联网传感器技术的乒乓球训练系统和操作方法,本发明的配置使用户能够通过结合乒乓球拍收集他或她的挥杆训练产生的传感器数据. 智能球拍罩; 移动终端能够接收由智能球拍套的速度传感器、地磁传感器和振动传感器中的至少一个产生的测量数据; 能够接收与移动终端相同的测量数据的个人电脑; 移动应用程序,将移动终端采集的测量数据传输至服务器,并将测量数据的分析结果提供给用户; 网站通过与移动应用程序相同的功能将从个人电脑收集的测量数据传输到服务器,并向用户提供测量数据的分析结果; 一种管理服务器,能够通过将与智能球拍罩一起生成的测量数据存储在移动应用程序或网站中来提供测量数据的当前状态和历史记录; 一种乒乓球训练系统及操作方法,其特征在于,包括:</t>
  </si>
  <si>
    <t>利用物联网传感器技术的乒乓球训练系统及操作方法</t>
  </si>
  <si>
    <t>CN113508419A</t>
  </si>
  <si>
    <t>本公开描述了一种生成运动员跟踪预测的系统及方法。计算系统检索体育赛事的广播视频馈送。计算系统将广播视频馈送分割成统一视图。计算系统基于多个可跟踪帧来生成多个数据集。计算系统基于身体姿势信息来校准与每个可跟踪帧相关联的相机。计算系统基于多个可跟踪帧和身体姿势信息来生成多个短踪片集。计算系统通过针对多个可跟踪帧中的每个运动员生成运动场向量来连接每个短踪片集。计算系统使用神经网络基于运动员的运动场向量来预测运动员的将来运动。</t>
  </si>
  <si>
    <t>从广播视频生成运动员跟踪数据的系统及方法</t>
  </si>
  <si>
    <t>CN113544697A</t>
  </si>
  <si>
    <t>本文公开了一种生成运动员预测的方法。计算系统从数据存储中检索数据。计算系统使用人工神经网络生成预测模型。该人工神经网络生成一个或更多个个性化嵌入，一个或更多个个性化嵌入包括基于历史表现的运动员特定信息。计算系统从数据中选择与在数据中捕获的每次射击尝试相关的一个或多个特征。人工神经网络至少基于一个或多个个性化嵌入以及与每次射击尝试相关的一个或多个特征，来学习每次射击尝试的结果。</t>
  </si>
  <si>
    <t>用数据和身体姿态分析运动表现以对表现进行个性化预测</t>
  </si>
  <si>
    <t>CN113544698A</t>
  </si>
  <si>
    <t>本公开提供了一种再识别广播视频馈送中运动员的系统及方法。计算系统检索体育赛事的广播视频馈送。广播视频馈送包括多个视频帧。计算系统基于多个视频帧来生成多个踪迹。每个踪迹包括与至少一个运动员相关联的多个图像补丁。多个图像补丁中的每个图像补丁是多个视频帧中的对应帧的子集。对于每个踪迹，计算系统生成图像补丁图库。图库的每个图像补丁中可见每个运动员的队服号码。计算系统经由卷积自编码器匹配跨图库踪迹。计算系统经由神经网络测定每个匹配踪迹的相似度分值，并基于所测定的相似度来关联两个踪迹。</t>
  </si>
  <si>
    <t>广播视频中运动员再识别的系统及方法</t>
  </si>
  <si>
    <t>CN113574866A</t>
  </si>
  <si>
    <t>本文公开了一种校准捕捉体育赛事的移动相机的系统及方法。计算系统检索体育赛事的广播视频馈送。广播视频馈送包括多个视频帧。计算系统经由神经网络标注在每个视频帧中捕获的赛场分量。计算系统将标注视频帧子集与具有各种相机视角的模板集进行匹配。计算系统将赛场模型拟合到与模板集相匹配的标注视频帧集。计算系统使用光流模型来识别每个视频帧中的相机运动。计算系统基于拟合赛场模型和相机运动来针对每个视频帧生成单应矩阵。计算系统基于针对每个视频帧生成的单应矩阵来校准每个相机。</t>
  </si>
  <si>
    <t>校准捕捉广播视频的移动相机的系统及方法</t>
  </si>
  <si>
    <t>US11176411B2</t>
  </si>
  <si>
    <t>本文提供了一种重新识别广播视频馈送中的播放器的系统和方法。 计算系统检索体育赛事的广播视频馈送。 广播视频馈送包括多个视频帧。 计算系统基于多个视频帧生成多个轨道。 每个轨道包括与至少一个玩家相关联的多个图像块。 多个图像块中的每个图像块是多个视频帧的对应帧的子集。 对于每个轨道,计算系统生成一个图像补丁库。 每个球员的球衣号码在画廊的每个图像块中都可见。 计算系统通过卷积自动编码器匹配跨画廊的轨道。 计算系统通过神经网络测量每个匹配轨道的相似度分数,并根据测量的相似度关联两个轨道。</t>
  </si>
  <si>
    <t>SG10202001836XA</t>
  </si>
  <si>
    <t>题目:人工智能辅助的综合健康管理系统及方法 
  摘要 
  本公开涉及用于远程监测多个健康参数的系统和方法。 这 
  本发明监测的五个主要方面是基于生命体征的身体健康、健身 
  基于参数的身体健康、认知健康、行为健康和心理健康。 这 
  公开内容还包括预测活动或睡眠或其组合对健康的影响的方法。 
  个性化的睡眠和活动模式以及适应症,包括但不限于血液 
  压力、血糖和肥胖。</t>
  </si>
  <si>
    <t>人工智能辅助综合健康管理系统及方法</t>
  </si>
  <si>
    <t>US11182642B2</t>
  </si>
  <si>
    <t>EP3912089A4</t>
  </si>
  <si>
    <t>EP3912132A4</t>
  </si>
  <si>
    <t>US11593581B2</t>
  </si>
  <si>
    <t>EP3935832A4</t>
  </si>
  <si>
    <t>CN111324748B</t>
  </si>
  <si>
    <t>本申请公开了一种体育战报的生成方法、装置、电子设备及存储介质，涉及知识图谱技术领域。具体实现方案为：在体育比赛的播放信息中获取两个以上比赛事件以及各个比赛事件的事件属性；根据两个以上比赛事件以及各个比赛事件的事件属性，构建出体育比赛对应的脉络图谱；通过体育比赛对应的脉络图谱和预先设置的标题模板构建体育战报的标题；通过体育比赛对应的脉络图谱和预先设置的数据库构建体育比赛的基本信息；通过体育比赛对应的脉络图谱构建体育战报的关键事件；基于体育战报的标题、体育比赛的基本信息以及体育比赛的关键事件，生成体育战报。本申请实施例可以将比赛信息关联起来，从而可以生成更加丰富的体育战报，可读性更强。</t>
  </si>
  <si>
    <t>一种体育战报的生成方法、装置、电子设备及存储介质</t>
  </si>
  <si>
    <t>CN111339161A</t>
  </si>
  <si>
    <t>一种基于GA和模糊频繁项集的冰球运动员离群原因分析方法，其特征是首先使用遗传算法生成隶属函数，并重新设计适应度函数，使模糊区间的划分更加合理；然后根据冰球成绩特征对适应度最高的隶属函数进行优化，利用优化后的隶属函数对数量型数据库模糊化；最后在构造模糊频繁模式树时引入阈值并改进原有算法模糊属性区域的选择策略，保留更多的模糊区域，使算法具有更好的模糊频繁项集挖掘能力。本发明通过检测冰球运动员比赛成绩中的异常现象，可以更加全面、准确地分析出影响运动员比赛成绩的关键因素，从而辅助教练员对运动员有效合理的指导。</t>
  </si>
  <si>
    <t>一种基于GA和模糊频繁项集的冰球运动员离群原因分析方法</t>
  </si>
  <si>
    <t>CN306175514S</t>
  </si>
  <si>
    <t>1.本外观设计产品的名称：显示屏幕面板的直播间比赛图形用户界面。
 2.本外观设计产品的用途：用于显示信息。
 3.本外观设计产品的设计要点：在于屏幕中的图形用户界面。
 4.最能表明设计要点的图片或照片：设计1主视图。
 5.指定设计1为基本设计。
 6.图形用户界面的用途：本外观设计图形用户界面为应用软件客户端的直播间图形用户界面，界面用于团战比赛或观看评论等操作。
 7.图形用户界面的人机交互方式：在设计1主视图中，当用户点击主视图中部的“Start”控件时，用户方区域出现“Ready”的提示语，随后比赛开始，呈现出主视图至界面变化状态图2的界面变化。
 随后团战比赛结束时，界面中部弹出比赛结果的浮窗，呈现出界面变化状态图2至界面变化状态图3的界面变化。
 用户可以点击界面变化状态图3中任意控件执行更多操作。
 在设计2主视图中，当用户点击主视图中部的加号控件邀请好友，好友加入时，加号控件转变为好友头像，呈现出主视图至界面变化状态图1的界面变化。
 当用户点击“Start”控件时，用户方区域出现“Ready”的提示语，随后比赛开始，呈现出界面变化状态图1至界面变化状态图3的界面变化。
 随后团战比赛结束时，界面中部弹出比赛结果的浮窗，呈现出界面变化状态图3至界面变化状态图4的界面变化。
 用户可以点击界面变化状态图4中任意控件执行更多操作。
 各设计界面中的空白区域为内容画面，例如用户头像、图片等。
 各设计界面中的叉号代表文字和/或数字。
 8.该显示屏幕面板可用于手机、计算机、平板电脑、车载导航仪。</t>
  </si>
  <si>
    <t>显示屏幕面板的直播间比赛图形用户界面</t>
  </si>
  <si>
    <t>TWM608245U</t>
  </si>
  <si>
    <t>本创作系有关一种泳池物联网即时救援系统,是使用手环以及防水控制器制作而成,其中装有防水心跳感测模组及防水温度感测模组侦测配戴者的心跳及体温, 以及防水触控感测模组,紧急时刻可长时间按压,将危险之状态显示于防水RGBLED模组上。 救援系统是用来控制滑轨模组、救生圈投放模组及救生员警报系统,经由WiFi模组与在配戴者手腕上的手环内之防水WiFi模组连线,经由救援系统内的控制 器确认配戴者之生理状态,达成泳池内游泳者之安全监控,以确保游泳者在紧急状况时能被即时救援之安全目的。</t>
  </si>
  <si>
    <t>泳池物联网即时救援系统</t>
  </si>
  <si>
    <t>KR102334529B1</t>
  </si>
  <si>
    <t>本发明涉及使用基于机器学习的智能浮板来分析用户的水下运动的系统和方法。 根据本发明实施例的使用基于机器学习的智能浮板分析用户水下运动的系统是用户的游泳划水姿势校正、水下运动康复训练或基于传感器的水下运动监测和分析。在身体的预定部位具有用于安装电子设备的内置空间; 用于测量用户使用浮板在水下游泳或操作的运动的传感器; 微处理器检查传感器和无线通信模块的状态并控制操作,通过使用机器学习模型推断传感器测量的数据来分类和分析用户的游泳或水下运动; 无线通信模块,用于将微处理器分类分析后的数据无线传输至外部设备; 电源装置分别为传感器、微处理器和无线通信模块提供驱动电源。 根据本发明,使用配备传感器的基于机器学习的智能浮板测量和分析用户的水下运动,从而纠正游泳平衡和姿势,识别运动的类型和质量,或者异常情况可以快速检测和响应.</t>
  </si>
  <si>
    <t>使用基于机器学习的智能踢板的用户水下运动分析系统和方法</t>
  </si>
  <si>
    <t>IN202041007977A</t>
  </si>
  <si>
    <t>FDML-Fitness:使用机器学习和深度学习导出的健身功能。 摘要我的发明“FDML-Fitness”一种使用机器学习和深度学习来解决具有“近似+正”结果(事件发生)或“近似负”结果(事件未发生)的复杂问题的方法 ,其中近似阳性结果的现代概率非常低,阳性结果的后果是显着的。 获得训练和测试数据,并提取该数据的另一组子集,以应用于深度学习系统。 训练、测试数据包括与肯定结果对应的各种记录、与否定结果对应的记录中的一些最近邻以及与否定结果对应的一些其他记录。 机器学习,深度学习系统使用协同进化的方法来获得一个规则集,用于在多个周期后预测结果。 “FDML-Fitness”使用针对问题类型导出的适应度函数,例如基于规则的敏感性和正预测值的适应度函数。 在此预测中,适应度函数数据仅在印度人中完全映射。</t>
  </si>
  <si>
    <t>fdml-fitness:使用机器学习和深度学习导出的适应度函数。</t>
  </si>
  <si>
    <t>CN111317982A</t>
  </si>
  <si>
    <t>本发明公开了一种盲人网球运动场智能人机交互系统,包括盲人网球运动场智能人机交互系统上设有2对无线耳塞式运动耳机，4个广角摄像头，采用RT‑Thread系统的STM32型号单片机，有特殊颜色箭头的网球帽，特殊颜色且带有声源的网球，该系统现了自动获取盲人运动员和网球的位置及状态，并能据此智能提示盲人运动员如何运动，判断是否犯规等，智能化程度高，本发明所设计的盲人网球运动场智能人机交互系统采用多摄像头多角度检测定位，无线耳机语音提示盲人运动员相关的信息，提示准确，运动舒适，成本低廉且智能化程度高，便于盲人进行网球运动。</t>
  </si>
  <si>
    <t>一种盲人网球运动场智能人机交互系统</t>
  </si>
  <si>
    <t>WO2020174383A1</t>
  </si>
  <si>
    <t>用于填充视听剪辑(例如,体育赛事的视听剪辑)的技术是为了使剪辑具有预定的持续时间,从而可以通过机器学习(ML)算法(310)针对观看者的兴趣评估填充的剪辑。 假如。 未填充的剪辑填充有视听片段,这将导致填充的剪辑具有如果未填充的剪辑更长的话观众感兴趣的水平。 填充片段是由生成对抗网络生成的合成图像,使得合成图像将具有相同水平的观众兴趣(由 ML 算法 (310) 判断),就好像未填充片段被拍摄得更长一样。</t>
  </si>
  <si>
    <t>CN113439277A</t>
  </si>
  <si>
    <t>提供了用于填充视听剪辑(例如，体育赛事的视听剪辑)的技术用于使得剪辑具有预定时长以使得填充的剪辑可以通过机器学习(ML)算法(310)针对观看者兴趣进行评估。用一个或多个视听片段来填充未填充剪辑，所述视听片段将使得填充的剪辑具有在未填充剪辑已经更长的情况下其将具有的观看者兴趣水平。填充的片段是由生成的对手网络生成的合成图像，使得合成图像将具有与如同未填充的剪辑已经被拍摄得更长一样的观看者兴趣水平(由ML算法(310)判断)。</t>
  </si>
  <si>
    <t>用于机器学习的动态音频片段填充</t>
  </si>
  <si>
    <t>GB2596463B</t>
  </si>
  <si>
    <t>JP2022521120A5</t>
  </si>
  <si>
    <t>用于填充视听剪辑(例如,体育赛事的视听剪辑)以在剪辑中具有预定持续时间的技术,以便机器学习(ML)算法可以评估填充剪辑以获得观众的兴趣。 未填充的剪辑用视听片段填充,以便填充的剪辑具有如果未填充的剪辑较长时观众感兴趣的水平。 在一些实施例中,填充片段被调整,使得合成图像具有相同的观众兴趣水平(由 ML 算法确定),就好像未填充的剪辑已被拍摄得更长一样。由生成对抗网络生成的合成图像。</t>
  </si>
  <si>
    <t>机器学习的动态视听段填充</t>
  </si>
  <si>
    <t>CN111319732A</t>
  </si>
  <si>
    <t>本发明涉及一种水下安全急救型智能机器人，包括底座外壳，所述的底座外壳顶部设置有内凹的腔室，该腔室内安装有快速充气机构和辅助气囊启动机械装置，所述的辅助气囊启动机械装置包括从动臂、主动臂和驱动部件，所述的底座外壳内部安装有驱动部件、蓄电池和控制板，该控制板分别与驱动部件和蓄电池相连，所述的驱动部件的输出端与主动臂相连，该主动臂一端转动安装有从动臂，所述的从动臂的一端与辅助气囊启动机械装置相连，所述的腔室上端口通过两个翻盖封住，所述的底座外壳底部设置有行走机构，所述的底座外壳顶部还安装有检测遇险感测装置。本发明工作安全可靠，移动灵活，不仅能满足多种类型游泳池，对单人游泳更能起到一定的防护作用。</t>
  </si>
  <si>
    <t>一种水下安全急救型智能机器人</t>
  </si>
  <si>
    <t>CN111326231A</t>
  </si>
  <si>
    <t>本发明公开了一种健康瘦身方法及套餐推荐系统，属于减肥技术领域，包括以下步骤：S1：拟定用于根据用户的身体素质信息确定用户的胖瘦程度；S2：用于从健身数据库中匹配出符合用户的自身条件及运动喜好的N项体育运动；S3：用于将N项体育运动经预训练好的健康运动模型训练；S4：使用户参照运动方案运动；S5：严格依照食谱所记载的食物克数、油量制备食品，并饮食。根据用户在规划时间内的目标胖瘦程度计算用户每日减肥所需消耗的卡路里量，然后从健身数据库中匹配出符合用户的自身条件及当日运动喜好的若干项体育运动；而训练出既合适用户又符合用户喜好的个性化运动方案，有助于用户的身体健康，且提高了用户的减肥效。</t>
  </si>
  <si>
    <t>一种健康瘦身方法及套餐推荐系统</t>
  </si>
  <si>
    <t>US11305198B2</t>
  </si>
  <si>
    <t>一种奇幻体育视觉模拟系统,提供视听体验,允许比赛参与者和观众观看虚拟奇幻体育比赛的视频游戏模型。 这些模拟可以在任何两个或多个竞赛参与者之间的任何时间发生,例如在更广泛的联赛背景下的迷你竞赛。 一旦组建了联盟并创建了球队名单,就会根据真实运动员的统计数据进行数值计算,以确定所有虚拟运动员在游戏中的当前表现“状态”。 人工智能、指导、随机化和其他因素可以提供进一步的模拟输入。 这种统计分析是为每个虚拟运动员分配表现变量的基础,它允许系统根据每个虚拟运动员和团队在这个梦幻运动视觉模拟系统中的表现来计算数值点值。 参与者可以通过各种视听设备体验模拟,包括扩展现实。</t>
  </si>
  <si>
    <t>视觉上代表虚拟幻想体育比赛 II</t>
  </si>
  <si>
    <t>CN306392642S</t>
  </si>
  <si>
    <t>1.本外观设计产品的名称：运动健身指导助手界面（web端）。
 2.本外观设计产品的用途：用于运行PC端基于人工智能的无人化教练运动指导软件。
 3.本外观设计产品的设计要点：在于界面变化状态图1。
 4.最能表明设计要点的图片或照片：界面变化状态图 1。
 5.图形用户界面的用途：用于运行PC端基于人工智能的无人化教练运动指导软件。
 6.图形用户界面的人机交互方式：触摸式跟体感式。</t>
  </si>
  <si>
    <t>运动健身指导助手界面（web端）</t>
  </si>
  <si>
    <t>CN306392641S</t>
  </si>
  <si>
    <t>1.本外观设计产品的名称：运动健身指导助手界面（安卓端）。
 2.本外观设计产品的用途：用于运行安卓端基于人工智能的无人化教练运动指导软件。
 3.本外观设计产品的设计要点：在于界面变化状态图1。
 4.最能表明设计要点的图片或照片：界面变化状态图1。
 5.图形用户界面在产品中的区域：屏幕中的图形用户界面。
 6.图形用户界面的人机交互方式：触摸。</t>
  </si>
  <si>
    <t>运动健身指导助手界面（安卓端）</t>
  </si>
  <si>
    <t>US11417318B2</t>
  </si>
  <si>
    <t>提供了使计算系统从多方对话(例如,教练和学员之间)中提取对话特征、将对话特征应用于机器学习系统以生成对话分析指标并将对话分析指标的映射应用于 行动和推论,以确定为多方对话采取的行动或作出的推论。 在各种实施方式中,动作和推断可以包括确定多方对话的分数,例如朝着指导目标的进展的分数、整个对话中各个点的即时分数、对话影响分数、所有权分数等。这些分数可以是, 例如,与上下文和基准指标一起出现在各种用户界面中,用于为教练或学员选择资源,用于更新教练/学员匹配,用于提供实时警报以表明对话的进展情况等。</t>
  </si>
  <si>
    <t>CN111339892B</t>
  </si>
  <si>
    <t>本发明属于视频监控技术领域，涉及一种基于端到端3D卷积神经网络的泳池溺水检测方法；包括S1、对原始的监控视频进行像素级的二值标记；S2、在编码器端将每个视频片段分别输入3D卷积神经网络中得到输入视频片段vi特征立方体Fi；S3、对视频片段vi中的每帧均使用一个分割分支进行背景或行为前景的像素级预测；S4、截取特征立方体Fi对应位置处的特征输入识别分支，进行ToI池化，得到预测的行为标签；S5、读取泳池区域实时视频流，定位出游泳人员的行为位置并预测行为标签，判断是否出现溺水等异常行为；所述方法采用像素级的二值标记方式，节省了标记样本耗费的时间，提供像素级的行为定位，定位的方式更准确，解决了边框回归收敛难的问题。</t>
  </si>
  <si>
    <t>一种基于端到端3D卷积神经网络的泳池溺水检测方法</t>
  </si>
  <si>
    <t>US20200192464A1</t>
  </si>
  <si>
    <t>一种系统,包括:配置为捕捉用户手部的一个或多个图像的相机; 以及计算机,被配置为:接收一幅或多幅捕获的图像,将映射函数应用于接收到的一幅或多幅图像,从而产生与用户手部的至少一个特征相关联的一个或多个坐标,其中映射函数源自 通过将机器学习算法应用于包括教练手的图像的训练数据而产生的一组标记图像,其中这些图像被标记有从附着在教练手上的多个磁传感器获得的坐标。</t>
  </si>
  <si>
    <t>使用多感官数据进行手势识别</t>
  </si>
  <si>
    <t>IN202041007339A</t>
  </si>
  <si>
    <t>[0001] 本发明涉及一种自主治疗辅助系统,更具体而言,机器学习和物联网支持肌肉劳损活动,随后包括物理治疗师和瑜伽治疗师实时推荐的包括康复程序在内的体育锻炼,包括多个可穿戴肌肉活动捕捉设备[ 200]包括一个肌电图(EMG),用于在进行锻炼时感知肌肉的电活动,一个具有内置无线通信能力的计算单元和一个可充电电池电源; 中央可穿戴设备[300]从连接的多个可穿戴肌肉活动捕获设备收集肌肉活动数据; 中央云服务器[400]从中央可穿戴设备[300]收集肌肉活动数据; 移动通信设备[500]安装有适当的应用程序编程接口并被配置为接收来自中央云服务器[400]的通信。</t>
  </si>
  <si>
    <t>自主和可重构的治疗辅助系统</t>
  </si>
  <si>
    <t>CN111084962A</t>
  </si>
  <si>
    <t>本发明公开了一种用于辅助跑步的人工智能跑步机，包括机体，所述机体的顶面分别固设有支撑杆和负重箱，所述支撑杆的顶面固设有显示面板，所述支撑杆的右侧面前后对称固设有扶手，本发明可以通过可以调节弹力大小的紧压弹簧，可以使得在跑步机上进行负重跑步，相较于传统的跑步机，功能性可以增加，同时本发明可以调节机体的角度，可以模拟出不同环境下跑步的模式，同时本发明融入人工智能的概念，可以有效地防止人们因为摔倒，而造成被跑步机甩出去的危险。</t>
  </si>
  <si>
    <t>一种用于辅助跑步的人工智能跑步机</t>
  </si>
  <si>
    <t>WO2020190438A1</t>
  </si>
  <si>
    <t>描述了一种为游戏训练角色的方法。 该方法包括促进游戏的一个或多个场景的显示。 一个或多个场景包括角色和虚拟对象。 该方法还包括接收用于由用户控制角色与虚拟对象交互的输入数据,以及分析输入数据以识别一个或多个场景中的角色的交互模式。 交互模式定义输入以训练与用户的用户帐户相关联的人工智能 (AI) 模型。 该方法包括使角色能够与基于 AI 模型的新场景进行交互。 该方法包括跟踪角色与新场景的交互以执行 AI 模型的额外训练。</t>
  </si>
  <si>
    <t>用于训练用于比赛比赛的人工智能模型的系统和方法</t>
  </si>
  <si>
    <t>CN113710338A</t>
  </si>
  <si>
    <t>描述一种训练游戏的角色的方法。所述方法包括促进所述游戏的一个或多个场景的显示。所述一个或多个场景包括所述角色和虚拟对象。所述方法还包括接收用于通过用户控制角色以与虚拟对象交互的输入数据，并分析输入数据以识别一个或多个场景中的角色的交互模式。所述交互模式定义输入以训练与所述用户的用户账户相关联的人工智能(AI)模型。所述方法包括使角色能够基于AI模型与新场景交互。所述方法包括跟踪所述角色与所述新场景的所述交互以执行所述AI模型的额外训练。</t>
  </si>
  <si>
    <t>训练用于比赛的人工智能模型的系统和方法</t>
  </si>
  <si>
    <t>EP3938065A1</t>
  </si>
  <si>
    <t>为比赛训练人工智能模型的系统和方法</t>
  </si>
  <si>
    <t>JP2022525411A</t>
  </si>
  <si>
    <t>描述一种训练游戏角色的方法。 该方法包括促进游戏的一个或多个场景的显示。 
  一个或多个场景包括角色和虚拟对象。 该方法包括接收用于由用户操纵角色以与虚拟对象交互的输入数据,以及分析输入数据以识别角色在一个或多个场景中的交互模式,并且进一步包括。 交互模式定义用于训练与用户的用户帐户关联的人工智能 (AI) 模型的输入。 该方法涉及允许角色与基于 AI 模型的新场景进行交互。 该方法涉及跟踪角色与新场景的交互,以对 AI 模型进行额外训练。</t>
  </si>
  <si>
    <t>为竞技比赛训练人工智能模型的系统和方法</t>
  </si>
  <si>
    <t>IN202011006914A</t>
  </si>
  <si>
    <t>发明“使用深度学习的健身智能预测分析”一种使用深度学习解决具有“+肯定”结果(事件发生)或“-否定”结果(事件未发生)的问题的方法,其中 阳性结果的概率非常低,阳性结果的后果是显着的。 获得训练数据并提取该数据的另一组子集以应用于深度学习系统。 高级训练数据包括与肯定结果对应的各种记录、与否定结果对应的记录中的一些最近邻以及与否定结果对应的一些其他记录。 深度学习系统使用协同进化的方法来获得一个规则集,用于在多个循环后预测结果。 “Fitness Intelligent Predictive Analytics Using Deep Learning”使用根据问题类型导出的适应度函数,例如基于规则的敏感性和正预测值的适应度函数。 使用整个封闭的训练数据集验证规则。</t>
  </si>
  <si>
    <t>使用深度学习的健身智能预测分析</t>
  </si>
  <si>
    <t>CN306189969S</t>
  </si>
  <si>
    <t>1.本外观设计产品的名称：用于车载屏幕的语音查询服务图形用户界面。
 2.本外观设计产品的用途：用于运行软件。
 3.本外观设计产品的设计要点：在于屏幕中显示的软件图形用户界面。
 4.最能表明设计要点的图片或照片：主视图。
 5.车载屏幕为惯常设计，其他视图无设计要点，省略其他视图。
 6.图形用户界面的用途：本外观设计是用于车载系统给用户提供语音查询服务的图形用户界面。
 7.图形用户界面的人机交互方式：主视图界面是当车机开机状态下所显示的界面；当用户说：“我想听XXX的新闻”，会跳转到新闻。
 界面如界面变化状态图1所示，点击此高亮新闻列表右边图标，车机系统停止播报，条目高亮消失，如界面变化状态图2所示；语音播报过程中点击界面变化状态图1或图2中任意一条新闻列表，进入新闻详情页如界面变化状态图3所示，界面变化状态图4为进入新闻详情页后新闻封面加载不成功所显示的界面；如果点击后新闻详情页文字数超过一定字数，汽车在驾驶状态时，新闻详情页会显示驾驶模式的界面如界面变化状态图5所示，如果在界面变化状态图1‑2新闻列表界面进入到新闻详情界面的时候网络不好时则显示界面变化状态图6。
 当用户唤醒语音，在主视图界面中说：“XXX用X语怎么说”,系统自动播报对应语言的译文，如界面变化状态图7。
 当播报翻译结果时，播报内容列表高亮，播报完高亮消失如界面变化状态图8所示。
 当用户唤醒语音，在主视图界面中说：“现在XX几点”,车机系统播报用户目标地点的时间、星期及日期，显示图标和播报的文字如界面变化状态图9所示。
 当用户唤醒语音，在主视图界面中说：“XXX路况怎么样”,车机系统自动播报目标路段的路况信息，同时界面显示界面变化状态图10。
 当用户唤醒语音，在主视图界面中说：“XX的限行尾号是几”,车机系统播报今日当前地区限行尾号，界面显示如界面变化状态图11所示。
 当用户在主视图界面中说：“明天XX的天气怎么样”,车机系统播报用户查询地区相应时间的天气情况及气温，界面显示如界面变化状态图12。
 当用户在主视图界面中说：“XXX最近一期的中奖号码”,车机系统播报：“为您找到最近一期的XXX中奖号码”，同时显示界面变化状态图13。
 当用户在主视图界面中说：“今天XXX比赛的比分”,车机系统自动查询并播报“为您找到以下结果”，同时显示界面变化状态图14。
 当用户在主视图界面中说：“XXX是什么”,车机系统播报搜索到的百科结果，同时显示界面变化状态图15，如果百科结果内容字数超过一定字数，汽车在驾驶状态时，界面显示驾驶模式样式，如界面变化状态图16所示。
 当用户在主视图界面中说：“一X等于多少X”,车机系统自动播报单位转换结果：“1X等于XXXXX磅”，同时显示界面变化状态图17。</t>
  </si>
  <si>
    <t>用于车载屏幕的语音查询服务图形用户界面</t>
  </si>
  <si>
    <t>WO2020168194A1</t>
  </si>
  <si>
    <t>描述了用于解决私有 IT 环境设备中的操作漏洞的实用程序,以提高正常运行时间和整体操作成熟度。 来自各种硬件和软件供应商的操作漏洞公告经过结构化并与配置项相关联,以确定专用网络中的设备是否受操作漏洞公告的影响。 当确定相关性时,可以执行一个或多个补救操作,例如生成问题记录、生成事件记录、生成知识库文章、生成事件、生成任务、生成警报、生成工作项、升级 或降级受影响设备的软件,和/或应用变通方法,以及其他示例。 机器学习引擎可用于识别优化的解决方案并提供有和/或没有推荐解决方案的中断发生概率。</t>
  </si>
  <si>
    <t>识别和修复操作漏洞的技术</t>
  </si>
  <si>
    <t>US20220138041A1</t>
  </si>
  <si>
    <t>描述了用于解决私有 IT 环境设备中操作漏洞的实用程序,以提高正常运行时间和整体操作成熟度。 来自各种硬件和软件供应商的操作漏洞公告被结构化并与配置项相关联,以确定专用网络中的设备是否受操作漏洞公告的约束。 当确定相关性时,可以执行一个或多个补救措施,例如生成问题记录、生成事件记录、生成知识库文章、生成事件、生成任务、生成警报、生成工作项、升级 或降级受影响设备的软件,和/或应用变通办法,等等。 机器学习引擎可用于识别优化的解决方案并提供在有和/或没有推荐解决方案的情况下发生中断的概率。</t>
  </si>
  <si>
    <t>US20200236406A1</t>
  </si>
  <si>
    <t>用于实时多视图计算机视觉流应用程序的分布式微服务通信的方法、装置、系统和软件。 一方面,提供了一种用于制作身临其境的体育视频内容的方法。 在数据中心接收来自安装在体育场或场馆中的多个物理摄像机 (PCam) 的多个视频馈送,其中 PCam 具有指向体育场或场馆中的场地或球场中的至少一个的各自视点和一个 或更多的球员参加在体育场或场地进行的一项运动。 使用多个分布式有状态和无状态处理服务在数据中心并行处理多个视频馈送以生成包括包含多个体素的体积模型的三维点云并且处理来自每个体素的多个体素 与各个虚拟摄像机(VCam)相关联的多个视点,以实时输出视频流。</t>
  </si>
  <si>
    <t>分布式微服务网络实时多视图计算机视觉流应用程序通信</t>
  </si>
  <si>
    <t>KR1020210103199A</t>
  </si>
  <si>
    <t>根据本发明的实施例的基于机器学习算法推荐最佳运动负荷计划的方法包括以下步骤:从运动员、组或团队中的至少一个接收预定时间段内的运动负荷计划。教练,接收基础运动负荷计划改善程度的输入,将运动负荷计划输入到基于预定机器学习算法学习的第一神经网络中,并评估运动负荷计划,并评估运动负荷根据改善的程度改进运动负荷计划,将运动负荷计划输入到基于机器学习算法学习并推荐运动负荷计划的第二神经网络。</t>
  </si>
  <si>
    <t>基于机器学习算法的最佳运动负荷计划推荐方法、装置及计算机程序</t>
  </si>
  <si>
    <t>US20200258047A1</t>
  </si>
  <si>
    <t>一种系统和方法,基于无偏见的指标(例如可以包括基于技能的标准)将潜在的销售人才(在本文中也称为一个或多个玩家)与潜在的雇主匹配。 比赛通过模拟销售会话进行,该模拟销售会话可以实现为游戏。 在模拟销售会话期间对玩家的行为进行评分。 该游戏采用 AI 驱动的动画机器人和游戏机制来模拟现场销售情况并评估玩家在竞争性移动/PC 设备体验中的技能。 所公开实施例的各方面被配置为使用机器学习来利用来自玩家和雇主的数据来在两方之间进行预测性的、成功的匹配。</t>
  </si>
  <si>
    <t>一种在线销售竞赛和游戏的系统和方法</t>
  </si>
  <si>
    <t>CN210645067U</t>
  </si>
  <si>
    <t>本实用新型公开了一种识别篮球轨迹摄像头模组，包括承重连接杆，承重连接杆顶部连接有承重连接块，承重连接块上表面和固定连接板的底部连接，固定连接板的外表面对称分布有摄像头，承重连接杆的外表面套装有连接套筒，连接套筒的外侧等距分布有多个第一U形连接板，第一U形连接板和连接杆的端部连接，承重连接杆的底部等距分布有多个第二U形连接板，连接杆的外侧设置有第二U形连接板；该项目使用一套使用成本较低的基于计算机视觉的篮球智能轨迹追踪系统，通过视频/数字图像基本操作、运动目标提取与跟踪、物体识别、越界判定算法及其实现等部分，以期更好地减少篮球比赛中的误判，使篮球比赛可以公平公正地进行。</t>
  </si>
  <si>
    <t>一种识别篮球轨迹摄像头模组</t>
  </si>
  <si>
    <t>CN306182280S</t>
  </si>
  <si>
    <t>1.本外观设计产品的名称：手机的显示和选择健康特征的图标图形用户界面。
 2.本外观设计产品的用途：手机用于显示图形用户界面、运行程序和通讯。
 3.本外观设计产品的设计要点：在于图形用户界面。
 4.最能表明设计要点的图片或照片：设计1局部放大图。
 5.指定设计1为基本设计。
 6.图形用户界面的用途：用于人机交互和实现手机的功能，并且可以用于运行或执行应用程序，例如用于显示和选择健康和健身研究特征。
 7.图形用户界面的人机交互方式：可以通过接触，例如通过轻击或触摸显示器上的图形用户界面来运行后续的图形用户界面或执行应用程序。
 8.手机为惯常设计，故省略其他视图。
 9.设计1请求保护色彩。</t>
  </si>
  <si>
    <t>手机的显示和选择健康特征的图标图形用户界面</t>
  </si>
  <si>
    <t>IN202041005632A</t>
  </si>
  <si>
    <t>FML- 预测:使用机器学习进行适应度预测 摘要 本发明“FML- 预测”是一种使用机器学习解决具有“+正”结果(事件发生)或“-负”结果(事件发生)的问题的方法 不会发生),其中阳性结果的概率非常低,而阳性结果的后果是显着的。 获得训练数据,并提取该数据的另一组子集以应用于机器学习系统。 训练数据包括一些与正结果对应的记录,一些与负结果对应的记录的最近邻,以及一些与负结果对应的其他记录。 机器学习系统使用协同进化的方法来获得一个规则集,用于在多个循环后预测结果。 “FML-预测”使用为与问题类型一起使用导出的适应度函数,例如基于规则的灵敏度和阳性预测值的适应度函数。 使用整个训练数据集验证规则。</t>
  </si>
  <si>
    <t>fml- prediction:使用机器学习进行健身预测</t>
  </si>
  <si>
    <t>CN111318025B</t>
  </si>
  <si>
    <t>本公开涉及一种游戏对象的匹配方法、装置、电子设备及计算机可读介质，属于游戏技术领域。该方法包括：从日志数据中提取游戏对象的特征数据，包括排位分数、比赛时间参数、对手排位分数和比赛胜负参数；根据排位分数、比赛时间参数和对手排位分数得到模型参数，并根据模型参数确定损失函数；将真实胜率作为训练数据对损失函数进行迭代训练，以更新所述游戏对象的排位分数；当损失函数小于或等于损失阈值或迭代次数大于或等于迭代阈值时，确定更新后的排位分数，以根据所述排位分数对游戏对象进行匹配。本公开通过使用更加全面的游戏对象特征参数定义损失函数，并使用机器学习算法对损失函数进行迭代训练，可以有效提高玩家胜负的预测准确率。</t>
  </si>
  <si>
    <t>游戏对象的匹配方法、装置、电子设备及计算机可读介质</t>
  </si>
  <si>
    <t>CN306053201S</t>
  </si>
  <si>
    <t>1.本外观设计产品的名称：显示屏幕面板的多人比赛图形用户界面。
 2.本外观设计产品的用途：用于显示信息。
 3.本外观设计产品的设计要点：在于屏幕中的图形用户界面。
 4.最能表明设计要点的图片或照片：设计1主视图。
 5.指定设计1为基本设计。
 6.图形用户界面的用途：本图形用户界面为应用软件客户端的多人比赛图形用户界面，界面可用于比赛猜歌答题等。
 7.图形用户界面的人机交互方式：在设计1中，当用户点击主视图界面中部的“猜歌生存赛”时，界面跳转至界面变化状态图1。
 在界面变化状态图1中，当用户点击“开始匹配”控件时，界面中部显示匹配到的用户头像，呈现出界面变化状态图1至界面变化状态图2的界面变化。
 当用户队伍集结完成后，界面跳转至界面变化状态图3。
 随后“已加入的玩家”人数在规定时间内达到规定人数后，界面跳转至界面变化状态图4。
 在界面变化状态图4中，当用户点击任意选项后答对问题，界面头部动画发生变化，界面中部各选项左右侧显示答题结果，呈现出界面变化状态图4至界面变化状态图5的界面变化。
 随后界面头部显示“剩余玩家”人数后显示“下一题”倒计时，呈现出界面变化状态图5至界面变化状态图7的界面变化。
 随后界面跳转至界面变化状态图8，在界面变化状态图8中，界面为新的答题选项。
 当用户点击任意选项后答题结束，界面跳转至界面变化状态图9。
 随后界面跳转至界面变化状态图10。
 在界面变化状态图10中，用户可以点击“返回房间”控件返回房间界面。
 在设计2中，当用户点击主视图界面中部的“猜歌生存赛”时，界面跳转至界面变化状态图1。
 在界面变化状态图1中，当用户点击“开始匹配”控件时，界面中部显示匹配到的用户头像，呈现出界面变化状态图1至界面变化状态图2的界面变化。
 当用户队伍集结完成后，界面跳转至界面变化状态图3。
 随后“已加入的玩家”人数在规定时间内达到规定人数后，界面跳转至界面变化状态图4。
 在界面变化状态图4中，当用户点击任意选项后答错问题，界面头部动画发生变化，界面中部各选项左右侧显示答题结果，呈现出界面变化状态图4至界面变化状态图5的界面变化。
 随后界面头部显示“下一题”倒计时，呈现出界面变化状态图5至界面变化状态图6的界面变化。
 随后界面跳转至界面变化状态图7，在界面变化状态图7中，当前状态为“观战中”状态，界面为新的答题选项。
 当队友点击选项后，呈现出界面变化状态图7至界面变化状态图8的界面变化。
 随后答题结束，界面跳转至界面变化状态图9。
 随后界面跳转至界面变化状态图10。
 在界面变化状态图10中，用户可以点击“返回房间”控件返回房间界面。
 在设计3中，当用户点击主视图界面中部的“猜歌生存赛”时，界面跳转至界面变化状态图1。
 在界面变化状态图1中，当用户点击“邀请好友”控件时，界面中部显示邀请渠道浮窗和“取消”控件，呈现出界面变化状态图1至界面变化状态图2的界面变化。
 当用户选择邀请渠道后，浮窗关闭，界面中部显示匹配到的用户头像，呈现出界面变化状态图2至界面变化状态图3的界面变化。
 当用户队伍集结完成后，界面跳转至界面变化状态图4。
 随后“已加入的玩家”人数在规定时间内达到规定人数后，界面跳转至界面变化状态图5。
 在界面变化状态图5中，当用户点击任意选项后答对问题，界面头部动画发生变化，界面中部各选项左右侧显示答题结果，呈现出界面变化状态图5至界面变化状态图6的界面变化。
 随后界面头部显示“剩余玩家”人数后显示“下一题”倒计时，呈现出界面变化状态图6至界面变化状态图8的界面变化。
 随后界面跳转至界面变化状态图9，在界面变化状态图9中，界面为新的答题选项。
 当用户点击选项后答题结束，界面跳转至界面变化状态图10。
 随后界面跳转至界面变化状态图11。
 在界面变化状态图11中，用户可以点击“返回房间”控件返回房间界面。
 在设计4中，当用户点击主视图界面中部的“猜歌生存赛”时，界面跳转至界面变化状态图1。
 在界面变化状态图1中，当用户点击“邀请好友”控件时，界面中部显示邀请渠道浮窗和“取消”控件，呈现出界面变化状态图1至界面变化状态图2的界面变化。
 当用户选择邀请渠道后，浮窗关闭，界面中部显示匹配到的用户头像，呈现出界面变化状态图2至界面变化状态图3的界面变化。
 当用户队伍集结完成后，界面跳转至界面变化状态图4。
 随后“已加入的玩家”人数在规定时间内达到规定人数后，界面跳转至界面变化状态图5。
 在界面变化状态图5中，当用户点击任意选项后答错问题，界面头部动画发生变化，界面中部各选项左右侧显示答题结果，呈现出界面变化状态图5至界面变化状态图6的界面变化。
 随后界面头部显示“下一题”倒计时，呈现出界面变化状态图6至界面变化状态图7的界面变化。
 随后界面跳转至界面变化状态图8，在界面变化状态图8中，当前状态为“观战中”状态，界面为新的答题选项。
 当队友点击任意选项后，呈现出界面变化状态图8至界面变化状态图9的界面变化。
 随后答题结束，界面跳转至界面变化状态图10。
 随后界面跳转至界面变化状态图11。
 在界面变化状态图11中，用户可以点击“返回房间”控件返回房间界面。
 8.该显示屏幕面板可用于手机、计算机、平板电脑、车载导航仪。</t>
  </si>
  <si>
    <t>显示屏幕面板的多人比赛图形用户界面</t>
  </si>
  <si>
    <t>BR112021010640A2</t>
  </si>
  <si>
    <t>获得宫颈癌早期预测因子的体外方法,用于宫颈癌筛查和早期检测的 DNA 甲基化生物标志物组合,用于宫颈癌筛查和早期检测的 DNA 甲基化生物标志物组合,宫颈癌检测试剂盒,使用多变量线性回归方程或神经网络分析、使用受体操作特性 (roc) 分析和计算机实现的方法来获得用于早期检测宫颈癌诊断的候选 DNA 甲基化生物标志物。 本发明公开了一种体外方法,用于获得 DNA 甲基化生物标志物,例如人类基因组 (即 cgids) 中的分化 DNA 甲基化位置,通过检查“分类”变化的进展来预测宫颈癌,尤其是在早期但难以接近的阶段。癌前病变(宫颈上皮内瘤变 (nic))三个阶段的 DNA 甲基化,从 nic1 进展到 nic3。 本发明公开了cgids的组合,通过测量其DNA甲基化状态并得出“甲基化评分”,以高特异性和敏感性检测宫颈癌,该“甲基化评分”可用作宫颈癌的生物标志物。 还公开了使用下一代多重测序甲基化测定、焦磷酸测序测定和甲基化特异性PCR使用此类cgid预测宫颈癌的试剂盒。 本发明中描述的DNA甲基化标记(cgids)可用于本领域技术人员筛查和早期检测宫颈癌以检测宫颈癌。</t>
  </si>
  <si>
    <t>获得早期宫颈癌预测指标的体外方法、用于筛查和早期检测宫颈癌的 DNA 甲基化生物标志物小组、用于筛查和早期检测宫颈癌的 DNA 甲基化生物标志物组合、用于宫颈癌检测的试剂盒、多变量线性回归的使用方程或神经网络分析、受体操作特征 (ROC) 分析的使用和计算机实现的方法来获得 DNA 甲基化生物标志物以早期检测宫颈癌诊断</t>
  </si>
  <si>
    <t>US11328819B2</t>
  </si>
  <si>
    <t>一种用于充满活力的体质指导的人工智能健身专业支持网络的系统包括诊断引擎,该诊断引擎在至少一个计算设备上运行并被配置为从用户接收训练数据和至少一个生物提取并生成诊断输出。 该系统包括咨询模块,该咨询模块被配置为接收对咨询输入的请求并至少生成咨询输出。 该系统包括健身模块,其被配置为选择至少一个知情顾问客户端设备并将该至少一个顾问输出传输到至少一个知情顾问客户端设备。</t>
  </si>
  <si>
    <t>WO2020166356A1</t>
  </si>
  <si>
    <t>提供了一种用于至少基于每个运动员在该时间点的运动中的位置来生成指示该时间点的相位特性的数据的设备。 作为本发明的实施方式的数据生成装置具备状况数据生成部。 情境数据生成器将位置关系数据和特征数据输入到基于神经网络的数据生成模型中以生成情境数据。 位置关系数据表示运动中每个运动员的位置关系。 特征数据表示每个玩家的特征。 方面数据表示运动方面的特征。</t>
  </si>
  <si>
    <t>数据生成装置、数据处理装置、数据生成模型、数据生成方法和程序</t>
  </si>
  <si>
    <t>KR102275946B1</t>
  </si>
  <si>
    <t>本发明涉及一种实时制作的人工智能编码教育学习支持系统,更具体地说,将编码教育的学习内容分为小学、初中、高中各学习阶段12个阶段进行适合学生的辅导。编码教育中学习者的水平,根据学习者的天赋和水平,将编码步骤分为数学、科学、信息、语言、社会、艺术、体育7个领域,是一个人工智能编码教育学习支持系统包含由...组成 为此,本发明提供一种进行编码教育的用户终端; 与用户终端连接进行数据通信,为用户终端提供每个学习阶段、学习区域、编码阶段的用户定制学习资料内容,并基于人工智能分析用户的学习水平和执行水平,提供定制化的学习资料内容。提供的指导信息编码教育学习支持服务器;被配置为包括。 这里,编码教育学习支持服务器包括与用户终端进行数据通信的通信单元、通过按学习阶段、学习区域和编码阶段分类提供每个阶段的学习材料的教育数据单元、虚拟教室组, 以及用户的个体 包括分析和管理信息、学习水平分析和标志记录的学习者管理单元,以及使用人工智能 (AI) 分析学习者的访问水平和执行水平并控制定制指导信息的智能控制单元进行实时交互交流。</t>
  </si>
  <si>
    <t>交互式实时人工智能编码教育学习支持系统</t>
  </si>
  <si>
    <t>KR1020200021952A</t>
  </si>
  <si>
    <t>,提供免费商标查询服务,在Naver上搜索'大安商标',友情电话咨询1833-8891,提供全国最低费用的可靠商标注册服务,大安国际专利律师事务所(www.1833-8891. com) Daon 提供国际专利律师事务所的商标注册、商标申请、商标注册、商号注册的方法。 ---------------------------------------------- ---------------------- 智能手机、移动电话、主页、烹饪方法、人工智能、汽车、微尘、化妆品、发光二极管、发光二极管、生产方法, 制造方法, 机器人, 株式会社, 检查, 程序, 商标注册, 商标申请, 相互注册, 相机, oled, 自行车, 半导体, 印刷电路板, 干细胞, 细胞, 抗癌, 面膜, 衣服, 鞋子,家具、书桌、椅子、管材、包装、印刷、漂白剂等清洗剂; 清洁、抛光和研磨材料; 非医用肥皂; 香水、精油、非医疗化妆品、非医疗洗发水; 非医用牙膏、药品、医疗和兽医制剂; 医用消毒剂; 医用或兽医用膳食食品和制剂,婴儿食品; 供人类或动物使用的膳食补充剂; 石膏,外伤治疗材料; 牙科填充材料、牙科用蜡; 消毒剂; 杀虫剂; 杀菌剂、除草剂、普通金属及其合金、矿石; 金属建筑材料; 金属移动结构; 非电气用途的通用金属电缆和电线; 小型金属制品; 用于储存或运输的金属容器; 保险柜、机械和机床; 马达和发动机(陆地车辆除外); 机械联轴器和传动部件(陆地车辆除外); 非手工农具; 孵化器; 自动售货、科学、航海、测量、摄影、电影、光学、计量、测量、信号、检查(监视)、救生和教育设备; 传导、转换、转换、积累、调节或控制电能的器具; 记录、传输或复制声音或图像的设备; 磁性数据媒体、记录盘; CD、DVD 和其他数字记录媒体; 投币机制; 收银机、计算器、数据处理器、计算机; 计算机软件、灭火器、纸张和纸板; 印刷; 装订材料; 图片; 文具和办公用品(不包括家具); 文具或家用粘合剂; 艺术和制图材料; 画笔; 教科书; 包装用塑料片材、薄膜和袋子; 印字、印版、皮革和仿皮; 跌倒; 行李袋和手提袋; 雨伞和遮阳伞; 拐杖; 鞭子和挽具; 动物项圈、皮带和衣服;非金属建筑材料; 建筑用非金属硬管; 柏油、沥青和柏油; 非金属移动结构; 非金属纪念碑、家具、镜子、相框; 用于储存或运输的非金属容器; 生骨或半加工骨、角、鲸骨或珍珠母; 壳; 海泡石; 琥珀(宝石)、家用或厨房用具和容器; 梳子和海绵; 刷子(油漆刷除外); 制作鞋底的材料; 清洁工具; 非建筑用原玻璃或半成品玻璃; 玻璃器皿、陶瓷器和陶器、绳索和麻线; 网; 帐篷和防水油布; 由纺织或合成材料制成的遮阳篷; 帆; 用于运输和储存货物的麻袋; 填充材料(纸/纸板/橡胶或塑料除外); 原纤维和纺织品替代品,纺织品纱线,纺织品和纺织品替代品; 家用布草; 纺织品或塑料窗帘、服装、鞋帽、花边和刺绣、缎带和装饰花边; 纽扣、钩眼、大头针; 人造花; 发饰; 假发、地毯、垫子、垫子、油毡和其他地板覆盖材料; 无纺布壁挂、娱乐设备、玩具; 视频游戏设备; 体操和体育用品; 圣诞树、肉类、鱼类、家禽和野味的装饰品; 肉汁; 加工、冷冻、干燥和煮熟的水果和蔬菜; 果冻、果酱、蜜饯; 蛋; 牛奶和其他乳制品; 食用油脂、咖啡、茶、可可和咖啡代用品; 白饭; 木薯和西米; 谷物面粉和谷物制品; 面包、糕点和糖果; 食用冰; 糖、蜂蜜、糖蜜; 食品用酵母,泡打粉; 盐; 芥末(香料); 醋、酱(调味品); 香料; 冰、未加工的农业、水产养殖业、园艺和林业产品; 未加工或半加工的谷物和种子; 新鲜水果和蔬菜,新鲜香草; 肉质植物和花卉; 种植用球茎、幼苗和谷物种子; 活的动物; 动物饲料和饮料; 麦芽、啤酒; 矿泉水、碳酸水和其他非酒精饮料; 果汁饮料和果汁; 饮料用糖浆及制剂、酒精饮料(不包括啤酒)、吸烟用具; 火柴</t>
  </si>
  <si>
    <t>Daon商标(代表电话1833 8891,商标注册行业第一,在Naver上可通过Daon商标搜索)如何以全国最低的成本提供商标注册服务</t>
  </si>
  <si>
    <t>WO2020160098A1</t>
  </si>
  <si>
    <t>一种游泳池监控系统,使用多个传感器系统在物体到达游泳池边缘之前检测游泳池限定周界内物体的存在。 对象可以是人或动物。 传感器系统可以包括测距传感器、音频传感器、嗅觉传感器和视频成像传感器。 传感器由计算机系统监控,该计算机系统存储了授权在池周边内的对象的数据。 该系统通过将检测到的对象与存储的数据进行比较,在检测到受监控周边中的未经授权或未知对象时提供警报或警报。 该系统可以确定物体与水池边缘的距离,并在物体靠近水池边缘时提供可调节的警报。 该系统使用面部识别和语音识别来检测授权对象并区分未经授权和未知对象,以建立可以通过扬声器、短信或电子邮件传达的警报或警报级别。 该系统可以接受来自任何传感器的更新数据,以将额外的授权或未授权对象识别数据添加到系统数据库中。</t>
  </si>
  <si>
    <t>AU2020215581B2</t>
  </si>
  <si>
    <t>IL284649A</t>
  </si>
  <si>
    <t>EP3918586A4</t>
  </si>
  <si>
    <t>CA3126835C</t>
  </si>
  <si>
    <t>CN113348493B</t>
  </si>
  <si>
    <t>一种游泳池监控系统，通过使用多个传感器系统，在对象到达游泳池边缘之前检测游泳池限定周边内对象的存在。对象可以是人或动物。传感器系统可以包括测距传感器、音频传感器、嗅觉传感器和视频成像传感器。这些传感器由计算机系统监控，该计算机系统存储了授权可在泳池周边内的对象的数据。该系统通过将检测到的对象与存储的数据进行比较，在检测到受监控周边内存在未授权或未知对象时提供警告或警报。该系统可以确定物体与泳池边缘的距离，并在对象靠近泳池边缘时发出可调整的警报。该系统使用面部识别和语音识别来检测授权对象并区分未授权和未知对象，以建立可以通过扬声器、文本消息或电子邮件传达的警告或警报级别。该系统可以接受来自任何传感器的更新数据，以将额外的授权或未经授权的对象识别数据添加到系统数据库中。</t>
  </si>
  <si>
    <t>US10964187B2</t>
  </si>
  <si>
    <t>KR1020210096493A</t>
  </si>
  <si>
    <t>本说明书的一种用于控制人工智能机器人装置的方法包括识别电池的容量信息; 获得关于至少一条行驶路径的行驶信息,通过该行驶路径可以行驶目标区域; 根据获取的行驶信息和电池的容量信息,预测沿行驶路线行驶时电池消耗的电量信息; 基于通过分析预测电力信息计算的剩余电池水平来确定是否完成行驶路线; 根据比赛是否完成确定行驶路径。 本说明书的人工智能机器人设备包括人工智能(Artificail Intelligenfce)模块、无人机(Unmanned Aerial Vehicles,UAVs)、机器人、增强现实(AR)设备、虚拟现实(VR)设备、5G服务以及可以关联的与相关设备等。</t>
  </si>
  <si>
    <t>如何控制人工智能机器人设备</t>
  </si>
  <si>
    <t>US10699715B1</t>
  </si>
  <si>
    <t>提供了一种人工神经网络架构,用于处理原始音频波形以创建用于与文本无关的说话人验证和识别的说话人表示。 人工神经网络架构包括一个跨步卷积层、第一和第二个顺序连接的残差块、一个变换器层和一个最终的完全连接 (FC) 层。 跨步卷积层被配置为从扬声器接收原始音频波形。 第一个和第二个残差块都包含多个卷积层和最大池化层。 转换器层被配置为将帧级嵌入聚合为话语级嵌入。 FC 层的输出为其原始音频波形输入到跨步卷积层的说话人创建说话人表示。</t>
  </si>
  <si>
    <t>使用对原始波形的深度学习在媒体操作系统上进行与文本无关的说话人验证</t>
  </si>
  <si>
    <t>US20200320829A1</t>
  </si>
  <si>
    <t>本文公开了一种使用户能够与现场体育动态交互的应用程序。 该应用程序监控正在进行的体育比赛,并根据比赛的状态生成提议并将提议呈现给用户。 用户接受提议或继续其他提议。 命题是在游戏的每一秒内大量生成的,并根据一系列标准进行排名。 该标准用于为当时体育运动中最激动人心的问题提供人工智能近似值。 在提出的建议之间穿插,系统将游戏奖金作为修改后的随机事件插入。</t>
  </si>
  <si>
    <t>连续生成、动态排名和向用户传递查询</t>
  </si>
  <si>
    <t>JP6930765B2</t>
  </si>
  <si>
    <t>Kind Code: A1 本发明涉及一种基于深度学习的车辆驾驶员异常状态检测和预警方法。 
  驾驶员状态检测装置(a)将车辆的内部图像输入打瞌睡检测网络,检测特定驾驶员的面部,从面部检测眼部,并通过检测眼睛的眨眼状态来判断打瞌睡状态。眼睛;将室内图像输入姿势匹配网络以检测特定驾驶员的身体关键点;(b)通过判断是否与预设的跑步姿势之一匹配来确定异常状态;以及(b)参考部分然后,当确定特定驾驶员处于危险状态时,使用V2V(车辆对车辆)通信将有关危险状态的信息传输到周围车辆,以便周围驾驶员可以检测危险状态.一种包括识别步骤的方法。 
  【选型图】图2</t>
  </si>
  <si>
    <t>一种通过V2V连接的人的状态识别检测到异常驾驶情况的报警方法及装置</t>
  </si>
  <si>
    <t>KR102184182B1</t>
  </si>
  <si>
    <t>在本发明中,平台被赋予设定目标和管理要实现的项目或任务的目标,接收来自项目经理(PM)或总经理的指令,并管理和执行所有管理以实现目标的任务。 . 基于“SWEEP”(Successive Work and Event Evaluation and Proceeding)目标管理技术,它管理整个执行过程,就像精确浏览目标任务(也称为工作或活动)一样,目标管理是自主的,它涉及一种构建智能平台的技术,通过主动执行,大大提高了目标管理的准确性、及时性、连续性、一致性和客观性。 在本发明中,基于执行要实现的项目/任务的目标管理所需的专业知识和方法(统称为“知识”)以及数据之间的关系信息(统称为“知识”),设定目标和执行目标管理所需的数据和处理数据, 信息)被系统地收集,平台将这些知识和信息用于目标管理的各种判断和推理,并支持PM和自主/主动我们打算设计一个智能自主目标管理平台技术,可以管理和实现目标。 知识和信息的类型,例如“BREAKDOWN TREE (BDT)”、“IVY”、“VINE”、“BUSH”和“SHRUB”,作为实现知识和信息系统收集、存储和利用的特定手段根据定义和配置“STUMP”(Smart Total Unified Management Platform)作为stub的特点,设计和定义了各种专门用于存储和利用知识和信息的“PLANT”(工厂)知识和信息模型,以形成一个框架或基础,将植物“嫁接”到 STUMP,以及知识和信息之间作为“目标管理知识和信息体 (BOGMKI)”(目标管理知识和信息体 (BOGMKI)),“超级树”是定义和实施。 通过超级树的配置,超级树中以节点的形式存储的每一个知识和信息通过所属PLANT中的知识和信息之间的父/子关系或前因/后继关系等邻接关系是内部的. 除了访问路径之外,通过嫁接所连接的PLANT的节点提供双向访问路径,使得存储在超级树中的所有知识和信息都可以作为周边相关信息自由访问(上下文) 从超级树中的任何位置。) 并且可用于在整个项目/任务目标管理的整个阶段以及“SWEEP”中进行推理、持续监控和管理所有详细任务和事件发生的进度。需要广泛的知识和信息。(工作和事件评估和推进)它可以实现目标管理技术的实施和应用,平台作为虚拟项目经理积极支持和协助项目经理或总经理,智能自主地执行分配的任务使执行成为可能 这种基于超级树的智能平台建设技术是人工智能知识表示与推理领域的技术,是智能工厂建设,拥有各类厂房EPC、造船、楼宇建造和大型基础设施建设等大型项目. 和运营、计算机系统运行和安全管理、企业管理、组织管理、能源管理、各种体育管理和股票投资,以及个人目标、健康、安全和福利管理,设定和实现目标的人可以是用作建立各种智能自主目标管理系统所必需的通用核心基础技术,这些系统支持在广泛的活动中以最低的总成本实现目标。</t>
  </si>
  <si>
    <t>基于超级树的Project/Task智能目标管理方法及平台</t>
  </si>
  <si>
    <t>US10863927B2</t>
  </si>
  <si>
    <t>一个人的跌倒风险可以基于机器学习算法来确定。 跌倒风险信息可用于通知人和/或第三方监控人员(例如医生、物理治疗师、私人教练等)该人的跌倒风险。 此信息可用于监控和跟踪可能受健康状况、生活方式行为或医疗变化影响的跌倒风险变化。 此外,跌倒风险分类可以帮助个人在跌倒风险更大的日子里更加小心。 跌倒风险可以使用机器学习算法来估计,该算法通过计算基本和高级间断平衡模型 (PEM) 稳定性指标来处理来自负载传感器的数据。</t>
  </si>
  <si>
    <t>CN111270582A</t>
  </si>
  <si>
    <t>本发明涉及一种大型智能临时可拆卸跑道体系，由多个连接单元依次首尾连接而成；可调基础上设置组合柱，两个相邻的组合柱上部用桁架梁进行连接；桁架梁上部铺设跑道面板，跑道面板两侧设有护栏，跑道围栏照明结构和千斤顶上安装有非接触图像采集与分析功能单元，利用开发的专用IOTs‑R(IOTs‑Run，基于物联网前端的分布式数据库跑步非接触式图像采集系统)系统，对跑道系统及用户的实时演变化过程进行大数据的模型分析，保证临时结构安全，提供云计算和智能分析结果，全面实现跑道的智能安全管控。本发明可在不专门占用现有土地资源的情况下，充分利用城市道路上方闲置空间快速建造临时可拆卸跑道，为市民提供全新、便捷、科学的健身智能场所。</t>
  </si>
  <si>
    <t>大型智能临时可拆卸跑道体系</t>
  </si>
  <si>
    <t>CN305896185S</t>
  </si>
  <si>
    <t>1.本外观设计产品的名称：带图形用户界面的计算机（电子导播系统）。
 2.本外观设计产品的用途：用于运行程序。
 3.本外观设计产品的设计要点：在于屏幕中的图形用户界面的界面内容。
 4.最能表明设计要点的图片或照片：主视图。
 5.无设计要点，省略俯视图、仰视图。
 6.图形用户界面的用途：屏幕中的图形用户界面的界面内容为用于电子导播系统的人机交互界面，点选主视图的各项按钮可分别进入各变化状态图。
 进入相应的界面，实现人机交互。
 其中，主视图中设有功能按钮：绿色话筒按钮、Positions按钮、Draw按钮；主视图与各变化状态图右上角黑色为图片显示区。
 点选主视图右侧绿色话筒按键，可进入变化状态图1关闭导播通话；点选主视图右侧Positions按键，可进入变化状态图2展示各摄像师所在当前位置；点选主视图左侧Draw按键，可进入到变化状态图3展示当前比赛分组；点选变化状态图3左侧Leaderboar按键，可进入主视图查看当前排名；点选变化状态图3右侧绿色话筒按键，可进入变化状态图4关闭导播通话；点选主视图右侧Positions按键，可进入变化状态图5展示各位置信息；根据切换页签不同，均可进入该相应的页面。</t>
  </si>
  <si>
    <t>带图形用户界面的计算机（电子导播系统）</t>
  </si>
  <si>
    <t>CN110935151B</t>
  </si>
  <si>
    <t>本发明提供一种电动液压智能篮球架，属于体育用品领域，包括底座、前立柱、后立柱、横梁、上拉杆、篮板、篮筐；所述前立柱与后立柱底部通过旋转轴依次连接底座的前端的轴承座，所述前立柱、后立柱分别通过旋转轴与横梁的轴承座配合连接，所述篮板底部固定在横梁的前端，所述篮板上端连接上拉杆前端，所述上拉杆的后端与横梁的中间连接，所述篮板、上拉杆与横梁形成一个三角形，所述篮筐固定在所述篮板上；在所述底座上安装有液压泵站系统、升降系统、转向系统以及升臂系统；整个智能篮球架有众多功能，可以根据需求选择不同的功能系统，液晶控制系统通过遥控器、液晶控制系统、篮板屏幕、手机APP下载二维码来控制或语音识别控制功能。</t>
  </si>
  <si>
    <t>一种电动液压智能篮球架</t>
  </si>
  <si>
    <t>IN202021002444A</t>
  </si>
  <si>
    <t>本发明揭示了一种基于物联网和云计算的板子健身系统和方法。 该系统在任何情况下都涉及一个健身位置小工具、一个智能便携式舞台、一个云焦点服务器、在任何情况下一个专业工作阶段、无论如何一个连接问题阶段和无论如何一个客户端。 客户方包括危机关注客户方和保护客户方。 健身识别小工具通过通信约定与精巧的便携式舞台相关联。 敏锐的多功能舞台通过通信组织与云焦点服务器相关联。 连接查询阶段、专家工作阶段、危机焦点客户端和保护客户端分别与云焦点服务器关联。</t>
  </si>
  <si>
    <t>基于物联网和云计算的董事会制度与方法适应度</t>
  </si>
  <si>
    <t>CN211554742U</t>
  </si>
  <si>
    <t>一种智能冰壶机器人竞赛运动控制系统，它涉及中小学人工智能教育机器人竞赛领域，本实用新型的目的是为了解决目前没有一种智能冰壶类竞赛机器人运动控制系统的问题；本实用新型的控制系统符合北方机器人教育地方特色，以冰壶为基体，在其上设计控制系统，在冰壶上外沿平均分布4个红外距离检测元件，可以实时检测四周是否有对方冰壶过来撞击，检测到撞击信号会提前做出躲避策略，冰壶底部设计有颜色识别传感器，可以通过对比赛地图不同得分区不同颜色的识别，并通过双马达驱动系统进行运动状态控制。从而实现了冰壶在比赛中的运动控制。本实用新型应用于中小学人工智能教育机器人竞赛领域。</t>
  </si>
  <si>
    <t>一种智能冰壶机器人竞赛运动控制系统</t>
  </si>
  <si>
    <t>US11375948B2</t>
  </si>
  <si>
    <t>CN111274914B</t>
  </si>
  <si>
    <t>本发明公开了一种基于深度学习的马匹速计算系统及方法，通过摄像机获取马匹比赛前围绕比赛场地行走的视频，通过光流场计算、基于深度学习的对象检测、光流场过滤、摄像机速度计算、利用马匹位移对摄像机速度的调整、单位转换最终得到目标马匹的平均速度。本发明实现利用人工智能技术，以更科学的方法进行马匹观察并对马匹速度进行预测和计算。</t>
  </si>
  <si>
    <t>US20210045676A1</t>
  </si>
  <si>
    <t>提供了一种使用深度学习的自动判断装置,该自动判断装置包括信号数据处理器,该信号数据处理器被配置为收集通过多导睡眠图检测到的信号数据,通过分析收集到的信号数据的特征来提取特征数据,并对提取的特征数据进行变换 时间序列数据; 睡眠阶段分类模型处理器,用于将处理后的信号数据输入到预先生成的睡眠阶段分类模型中,对信号数据对应的睡眠阶段进行分类。 睡眠阶段分类模型处理器被配置为基于美国睡眠医学会(AASM)标准和Rechtschaffen and Kales(R&amp;K)标准中的至少一个来使用时间序列数据的纪元单元作为处理后的信号来对睡眠阶段进行分类 数据。</t>
  </si>
  <si>
    <t>一种深度跑步自动判断睡眠障碍的装置及其操作方法</t>
  </si>
  <si>
    <t>WO2020150327A1</t>
  </si>
  <si>
    <t>一种使用人工智能 (AI) 引擎或图像处理器实现的增强认知方法创建可扩展动态关节骨架 (DJS) 模型以增强心理运动学习的方法。 该方法涉及从运动员、教师或专家的视频文件的实时运动图像中提取 DJS 模型,以创建用于训练的可扩展参考模型,AI 引擎由此提取受试者的物理属性,包括臂长、长度、 躯干长度以及捕捉运动技能的连续运动,例如挥动金球杆,包括位置、站姿、球杆位置、挥杆速度和加速度、扭转等。</t>
  </si>
  <si>
    <t>心理运动学习中同步反馈的增强认知方法和装置</t>
  </si>
  <si>
    <t>AU2020209768A1</t>
  </si>
  <si>
    <t>一种使用由人工智能 (AI) 引擎或图像处理器实现的增强认知方法创建可扩展的动态关节骨骼 (DJS) 模型以增强精神运动学习的方法。 该方法包括从运动员、教师或专家的视频文件的实时运动图像中提取 DJS 模型,以创建用于训练的可扩展参考模型,由此 AI 引擎提取主体的物理属性,包括手臂长度、长度、 躯干长度以及捕捉运动技能的连续运动,例如挥动金球杆,包括位置、站姿、球杆位置、挥杆速度和加速度、扭转等。</t>
  </si>
  <si>
    <t>心理运动学习中同时反馈的增强认知方法和装置</t>
  </si>
  <si>
    <t>SG11202107737WA</t>
  </si>
  <si>
    <t>EP3911423A4</t>
  </si>
  <si>
    <t>US11638853B2</t>
  </si>
  <si>
    <t>KR102529604B1</t>
  </si>
  <si>
    <t>一种使用人工智能 (AI) 引擎或图像处理器实现的增强认知方法生成可扩展的动态连接骨架 (DJS) 模型以改善心理运动学习的新方法,适用于运动员、教师或专家,提取 DJS 模型从视频文件的实时运动图像创建用于训练的可扩展参考模型,AI 引擎由此确定手臂的长度、身体的长度和躯干的长度。它不仅提取被摄体的身体属性,同时也捕捉了挥动高尔夫球杆等运动技能的连续动作,包括位置、姿势、球杆位置、挥杆速度和加速度、扭转等。</t>
  </si>
  <si>
    <t>用于心理运动学习同步反馈的增强认知方法和装置</t>
  </si>
  <si>
    <t>CN111241357A</t>
  </si>
  <si>
    <t>本发明涉及人工智能技术领域，公开了一种对话训练方法，通过实时获取坐席的说辞信息，根据语音识别技术将说辞信息的语音转换为文字，然后提取其中的关键信息，输入至对话分析模型中匹配出对应的回应策略，根据回应策略集合预先训练好的应对话术推荐模型来确定回应语言，对话教练系统根据回应语言对坐席的说辞给出回答，从实现人机不同场景的实战演练，这样也大大减少了人工经验传授过程；本发明还提供了一种对话训练装置、系统及计算机可读存储介质，从而节省了人力资源，降低了成本，充分模拟实际场景，让新手坐席在上岗前感受真实的销售过程，有助于提升他们的销售技能，提高真实客户面对坐席新人的感受。</t>
  </si>
  <si>
    <t>对话训练方法、装置、系统及存储介质</t>
  </si>
  <si>
    <t>CN111265824A</t>
  </si>
  <si>
    <t>本发明实施例公开了一种基于物联网的跨域竞技健身方法、装置及系统，涉及线上健身领域。所述方法包括：接收竞技发起者的竞技请求；接收竞技应答者的接受竞技信息；创建竞技健身房间；对竞技发起者和竞技应答者的物联网设备进行时钟同步；接收竞技发起者和竞技应答者的物联网设备上传的竞技数据并进行处理。本发明实施例通过线上竞技的方式，同时通过时钟同步，数据调整对齐后，提高竞技的严谨性，保证竞技成绩的真实有效性，促使用户之间产生粘性，增强健身效果，以沉浸式健身方式提高用户体验。</t>
  </si>
  <si>
    <t>一种基于物联网的跨域竞技健身方法、装置及系统</t>
  </si>
  <si>
    <t>CN111291617A</t>
  </si>
  <si>
    <t>本发明公开了一种羽毛球赛事视频精彩片段提取方法，包括：获取羽毛球视频；采用Keras框架进行迁移学习，获得视角分类模型；根据视角分类模型，对羽毛球视频进行分割，获得广播视角羽毛球视频片段；通过YOLOv3目标检测模型，确定运动员的重心；根据运动员的重心，确定广播视角羽毛球视频片段中整体球员平均速度，并将整体球员平均速度最大的几个广播视角羽毛球视频片段作为羽毛球视频精彩片段。本发明涉及以视角分类为核心的片段分割环节、以判断球员整体速度为核心的精彩片段提取环节，最终实现了一种羽毛球赛事视频的精彩片段提取方法，可以使用户直接欣赏到羽毛球赛事视频中的比赛精彩片段，节约了用户的时间成本。</t>
  </si>
  <si>
    <t>基于机器学习的羽毛球赛事视频精彩片段提取方法</t>
  </si>
  <si>
    <t>CN211935505U</t>
  </si>
  <si>
    <t>本实用新型涉及AI人工智能监测装置技术领域，且公开了一种便于安装的乒乓球用AI人工智能监测装置，包括安装座和监测器，所述安装座的内部固定安装有固定板，所述固定板的内部固定安装有套管，所述套管的内部活动安装有转轴，所述转轴的顶部与底部均固定安装有螺纹轴，两个所述螺纹轴的相背一侧均固定安装有连接轴，两个所述连接轴的外侧均固定安装有与安装座固定连接的轴承。该便于安装的乒乓球用AI人工智能监测装置，具备便于安装等优点，解决了市场上的乒乓球用人工智能监测装置在使用的过程中，不便于对乒乓球用人工智能监测设备进行安装，从而影响了乒乓球用人工智能监测设备使用的问题。</t>
  </si>
  <si>
    <t>CN111275182B</t>
  </si>
  <si>
    <t>本发明公开了基于云计算的深度学习模拟巩固方法，属于深度学习领域，基于云计算的深度学习模拟巩固方法，通过与模拟环境相似的数据组与理想数据间的误差设置误差模型，可以提高深度学习对象实际操作的精度以及操作灵敏度，在实际微调修正过程中，通过差异节点以及差异节点外的互容修正圈的设置，可以不断缩小下次操作数据点的确定范围，有效提高下次操作数据点的精度，同时还可以降低下次操作数据点的判断难度，提高深度学习对象的整体操作效率，同时通过与模拟环境存在明显差异的数据组与理想数据间的差异，扩大模拟环境的深度，缩小模拟环境与实际操作环境间差异，进而完善深度学习对象进行深度学习的全面性。</t>
  </si>
  <si>
    <t>基于云计算的深度学习模拟巩固方法</t>
  </si>
  <si>
    <t>JP6914490B2</t>
  </si>
  <si>
    <t>提供了一种能够根据诸如体育比赛的事件的情况来计算事件信息的值的信息处理设备、方法和程序。 
  信息处理系统1的信息处理设备100作为其功能包括获取用户的属性信息的属性信息获取单元131和收集随时间变化的事件状况信息的事件信息。基于收集单元132 、 学习单元 133 基于事件状态信息进行机器学习并生成事件预测模型信息, 以及通过实时监测事件获得的动态数据和事件预测模型信息, 预测单元 134 用于预测事件的情况事件,价值计算单元135,用于计算在单位时间发生事件的情况下向用户提供的服务中的事件信息的价值,并累加事件信息的价值。计费信息计算136单元。 
  【选型图】图1</t>
  </si>
  <si>
    <t>KR102382224B1</t>
  </si>
  <si>
    <t>本发明利用大数据和人工智能提供训练对象的数字孪生体,并基于对数字孪生体进行各种计算机模拟的结果来改变表现状态、比赛信息数据和改进方法。通过提供至少一种训练信息数据来提高性能。</t>
  </si>
  <si>
    <t>如何使用人工智能提高性能</t>
  </si>
  <si>
    <t>CN113111683B</t>
  </si>
  <si>
    <t>本发明涉及一种发球违例姿态识别平台及方法，所述平台包括：拍摄控制设备，设置在现场摄像机的附近，用于在羽毛球场地执行发球时，在工作人员的操作下发送摄像启动命令；现场摄像机，用于在底端云台的带动下，对当前执行发球的球员所在环境执行定向摄像操作，以获得当前时刻对应的当前图像帧，所述现场摄像机执行定向摄像的时间间隔为预设时间长度；数据发送设备，用于通过无线网络将接收到的发球违例信号或发球合格信号发送给最近的裁判的手持终端。本发明的发球违例姿态识别平台及方法数据有效、应用广泛。由于采用定制的图像识别机制对羽毛球比赛时发球人员的发球违例姿态进行机器识别，从而避免产生人工识别带来的偏差和误判。</t>
  </si>
  <si>
    <t>发球违例姿态识别平台及方法</t>
  </si>
  <si>
    <t>CN111176182A</t>
  </si>
  <si>
    <t>一种基于电阻屏位置检测的板球控制实验系统，包括电阻屏、底盘与二维舵机控制机械结构；电阻屏固定在底盘上方水平位置，板球在电阻屏平面上运动；二维舵机机械控制结构包括球关节、两个导轨、两个连杆和两个舵机，底盘中央设有球关节；底盘为矩形，横边与竖边分别设有两个导轨，二个连杆受驱动一端分别由二个独立的舵机驱动，二个连杆输出端凸部分别在两个导轨内滑动；另包括单片机、电源；单片机先与AD转换芯片相连再与电阻屏相连，从电阻屏获取小球位置信息；单片机和舵机相连，对舵机直接控制；单片机还与键盘和显示屏相连接，通过键盘对系统进行认为设置，显示屏显示小球位置等信息，实现人机交互功能。</t>
  </si>
  <si>
    <t>一种基于电阻屏位置检测的板球控制实验系统</t>
  </si>
  <si>
    <t>CN211956163U</t>
  </si>
  <si>
    <t>KR1020210088367A</t>
  </si>
  <si>
    <t>本发明为机器学习模型建立本体,使得多个机器学习模型可以相互链接和利用,以及用于支持各种机器学习模型的应用和使用它的模型之间的链接的本体操作系统和方法,以及我们提出了一个机器学习模型本体。 根据本发明,建立机器学习模型从中导出的初始输入数据的本体和各种机器学习模型的本体,并使用这些本体执行机器学习模型操作的数据预处理,而机器学习模型执行得到的结果又体现在数据和机器学习模型的本体中。</t>
  </si>
  <si>
    <t>用于机器学习模型的本体操作系统</t>
  </si>
  <si>
    <t>CN213077445U</t>
  </si>
  <si>
    <t>本实用新型公开了一种人工智能篮球场地，包括固定安装在地面上的板面，所述板面上固定安装有多个支撑杆，两个所述相邻的支撑杆相对的内侧壁均开设有第一滑槽，两个所述支撑杆之间设有防护机构，所述防护机构的顶部固定安装有两个通线轮，所述支撑杆的顶部固定安装有照明灯，两个所述第一滑槽的内侧壁均开设有第二滑槽，两个所述第二滑槽内均设有卡紧机构，两个所述卡紧机构的顶部均与防护机构的底部相抵紧，所述支撑杆的前侧壁开设有安装槽。本实用新型结构设计合理，其能够在运动员进行篮球训练时，对篮球进行有效地阻挡，保证篮球一直处于场地内，减少运动员捡球时间，提高训练效率。</t>
  </si>
  <si>
    <t>一种人工智能篮球场地</t>
  </si>
  <si>
    <t>CA3066383A1</t>
  </si>
  <si>
    <t>提供了一种系统和方法,用于使用跟踪参与基于团队的体育赛事的单个可移动双边目标游戏对象来对输入视频信号进行自动视频处理。 该方法包括:接收输入视频信号; 分析一个或多个上下文特征图的输入视频信号; 编码一个或多个上下文特征图; 使用经过训练的机器学习模型,为输入视频信号的一个或多个帧的每组确定单个可移动双边目标游戏对象的估计坐标,机器学习模型接收编码的一个或多个上下文特征图作为特征 机器学习模型,机器学习模型使用训练数据训练,训练数据包括多个先前记录的训练视频信号,每个训练视频信号具有关联的编码一个或多个上下文特征图,训练数据还包括地面实况数据,包括单个可移动双边的屏幕坐标- 有针对性的游戏对象。</t>
  </si>
  <si>
    <t>使用单个可移动双边目标游戏对象的跟踪对输入视频信号进行自动视频处理的系统和方法</t>
  </si>
  <si>
    <t>KR1020210087585A</t>
  </si>
  <si>
    <t>公开了一种基于人工智能的在线个人培训系统和方法。 本发明通过输入基本体型信息和目标体型信息创建个性化体型管理方案,目标体型信息包括身体成分、身高、体重、肌肉质量、身体水分,以及身体成分、身高、体重、肌肉质量和身体水分。通过全身 3D 建模数据,并通过此,成员的运动进度 通过管理情况和饮食,最大限度地提高个人训练的效果,从而可以更系统地进行个人训练。 此外,通过会员终端感知在健身中心外消耗的食物量和运动量,并反映在体型管理方案中,可以更加系统地进行会员的健康管理和体型管理。 此外,当会员不在健身中心时,提供替代运动信息,持续告知会员因运动而改变的身体状况信息,促使会员坚持锻炼,从而通过个人管理体形和健康。训练产生效果</t>
  </si>
  <si>
    <t>在线个人培训系统和方法</t>
  </si>
  <si>
    <t>US11188759B2</t>
  </si>
  <si>
    <t>用于使用单个可移动双边目标游戏对象的跟踪对输入视频信号进行自动视频处理的系统和方法</t>
  </si>
  <si>
    <t>CN110930809A</t>
  </si>
  <si>
    <t>本发明公开了一种测试操作3D演示系统，应用于运动员选拔的身体指标测试以及形态测试培训环节，具体包括一交互终端、一影像获取终端、一处理终端和一投影终端。通过本技术方案，融合机器学习和大数据分析方法，能够有效指导测试人员对待测试人员的各项身体具体指标进行有效精准科学的测量，通过投影的方式呈现于待测试人员的身体对应位置以供测试人员进行参考，有助于测试精准化、科学化、高效化；应用在培训场景中，有助于被培训人员快速准确掌握测量要点，降提高培训效率，低培训成本。</t>
  </si>
  <si>
    <t>一种测试操作3D演示系统</t>
  </si>
  <si>
    <t>CN210924285U</t>
  </si>
  <si>
    <t>本实用新型涉及一种基于生物体态识别控制的实现多种运动模式的球形无人机系统，包括圆球形框架，所述的圆球形框架的球心所处平面安装有无人机系统控制平台，所述的无人机系统控制平台安装有MCU主控处理单元；所述的系统还包括生物体态识别传感器单元，被置于圆球形框架的前后左右上下的位置，与所述的MCU主控处理单元相连接。采用了本实用新型的基于生物体态识别控制的实现多种运动模式的球形无人机系统，将无人机设计成圆球形结构，类似篮球、排球和足球集一体的形状，在室内外场地进行相应的运动竞技表演，具有很强的人机交互性、欣赏性、可玩性和乐趣性，同时填充了现有市场中此类产品的空白，具有很高的团体趣味性和市场应用价值。</t>
  </si>
  <si>
    <t>基于生物体态识别控制的实现多种运动模式的球形无人机系统</t>
  </si>
  <si>
    <t>CN306141015S</t>
  </si>
  <si>
    <t>1.本外观设计产品的名称：平板电脑的装修系统图形用户界面。
 2.本外观设计产品的用途：本外观设计产品用于运行程序并显示图形用户界面。
 3.本外观设计产品的设计要点：在于本外观设计产品的图形用户界面内容。
 4.最能表明设计要点的图片或照片：主视图。
 5.本产品为图形用户界面（GUI）设计，其他视图无设计要点，省略其他视图。
 6.界面用途：本外观设计产品的界面为手机应用软件客户端的界面，图形用户界面用于人机交互和实现产品或者软件客户端的功能，该界面用于展示工装设计效果。
 主视图中界面为初始登录界面；点击登录界面中的“注册”，界面跳转到变化状态图1；点击登录界面中的“忘记密码”，界面跳转到变化状态图2；在登录界面中直接登录成功进入变化状态图3；变化状态图3点击“户型搜索”按钮，进入变化状态图4；点击编辑按钮进入变化状态图5；点击面变化状态图3“新建方案”进入变化状态图6；点击变化状态图3“个人中心”进入变化状态图7；变化状态图8点击户型详情按钮查看地址、建筑面积、出租状态、租价详情；点击编辑按钮进入变化状态图5；点击效果图按钮查看效果图变化状态图9；点击报价表按钮查看报价表变化状态图10；点击变化状态图7设置按钮进入变化状态图11；按修改密码按钮进入变化状态图12；按退出按钮进入变化状态图13；点击变化状态图7客户列表按钮进入变化状态图14；点击变化状态图进入变化状态图15；点击个人方案里的户型详情按钮打开户型详情界面图变化状态图16；点击编辑按钮进入变化状态图5；点击效果图按钮查看效果图变化状态图9；点击报价表按钮查看报价表图变化状态图10；变化状态图5为编辑界面；点击添加门窗按钮打开添加门窗界面图变化状态图17，点击建筑结构显示结构部件承重墙柱等。
 点击导出文件按钮进入变化状态图18；点击保存按钮进入变化状态图19；点击添加客户按钮进入变化状态图20；点击个人方案按钮进入变化状态图21；点击变化状态图5户型详情按钮进入变化状态图22点击个人中心按钮进入变化状态图7；点击3D按钮跳转漫游模式界面——变化状态图23；点击上帝模式按钮进入上帝模式界面——变化状态图24；点击效果图按钮打开效果图界面——变化状态图25；点击变化状态图24游客模式按钮回到漫游模式界面——变化状态图23；点击风格按钮打开风格替换界面——变化状态图26；点击效果图按钮打开效果图界面——变化状态图25；点击变化状态图5中的修改房间数按钮打开修改房间数界面——变化状态图27；点击自动布局按钮打开自动布局界面——变化状态图28；点击风格按钮进入变化状态图29；点击历史记录可以查看选择过的风格。
 点击地板进入变化状态图30；点击替换地板按钮、替换材质按钮、添加家具按钮进入变化状态图31；点击改变布局按钮进入变化状态图32；点击改变房间属性按钮进入变化状态图33；点击家具进入变化状态图34；点击替换家具按钮、替换家具材质按钮进入变化状态图35；点击家具详情按钮进入变化状态图36；点击复制家具按钮复制家具，点击删除家具按钮删除家具，点击镜面家具按钮镜面翻转家具。
 点击墙体打开进入变化状态图37；（整体操作步骤界面参考使用状态参考图1‑30）。</t>
  </si>
  <si>
    <t>平板电脑的装修系统图形用户界面</t>
  </si>
  <si>
    <t>CN110930874A</t>
  </si>
  <si>
    <t>本发明涉及一种健身器材用可旋转移动的智能彩屏，包括：承载组件，用于承载转动组件；设置在转动组件上的彩屏框架；所述转动组件用于驱动彩屏框架进行全方位的旋转；设置在所述彩屏框架内的控制系统，所述控制系统内可预装与多种健身设备对应的控制软件；与控制软件相连的显示屏，用于显示和控制相关信息，显示屏设置在彩屏框架内；本发明中用户使用360°可旋转移动的显示屏能够更方便更灵活，并且能够搭配多种健身器材使用，还单独可以当做电视机使用，同时还内置多种娱乐等功能，显示屏有360°可调整摄像头；显示屏还具有AI智能语音功能，通过AI智能语音指令实现人机交互功能,增加了用户的舒适性和娱乐性,进一步提升了用户的满意度。</t>
  </si>
  <si>
    <t>一种健身器材用可旋转移动的智能彩屏</t>
  </si>
  <si>
    <t>CN111144341A</t>
  </si>
  <si>
    <t>本发明涉及计算机视觉技术领域，公开了一种基于移动平台的健身动作纠错方法及系统，该方法包括：移动拍摄用户的健身影像；识别健身影像中用户的健身动作；检测健身动作是否匹配于正确健身动作；若不匹配，向用户输出正确健身动作。其中，移动平台包括移动底座、云台、摄像头、伸缩杆及显示屏。通过移动平台进行移动拍摄，可在无须布设大量设备的情况下，对用户健身动作进行无死角拍摄，从而识别出健身动作并进行纠错，实施成本较低，便于推广应用。</t>
  </si>
  <si>
    <t>一种基于移动平台的健身动作纠错方法及系统</t>
  </si>
  <si>
    <t>CN305887516S</t>
  </si>
  <si>
    <t>1.本外观设计产品的名称：用于显示屏幕面板的音效设置图形用户界面。
 2.本外观设计产品的用途：用于显示信息。
 3.本外观设计产品的设计要点：在于屏幕中的图形用户界面。
 4.最能表明设计要点的图片或照片：设计1主视图。
 5.指定设计1为基本设计。
 6.图形用户界面的用途：该图形用户界面可用于手机、计算机、平板、车载导航仪、多媒体终端、智能终端的显示屏。
 7.图形用户界面的人机交互方式：在设计1主视图中，界面头部显示“使用中”的音效浮层；界面中部为“演唱会”音效场景画面，画面中布满序号点位（不同点位的音效也不同），界面中部的黄色图标为用户设置的音效点位，用户还可以点击设置其他点位的音效；其下方底部为“体育馆、演唱会、歌剧院”三个音效控件，其中高亮的图形为“演唱会”音效控件，用户可以点击其他音效控件切换场景；界面底部为评论栏、评论控件和“发送”控件，用户可以点击评论栏输入评论内容，点击“发送”控件发送评论，还可以点击评论控件查看其他用户的评论内容。
 在设计2主视图中，界面头部显示“使用中”的音效浮层；界面中部为“演唱会”音效场景画面，画面中布满序号点位（不同点位的音效也不同），用户可以点击任意点位设置音效；其下方底部为“体育馆、演唱会、歌剧院”三个音效控件，其中高亮的图形为“演唱会”音效控件，用户可以点击其他音效控件切换场景；界面底部为评论栏、评论控件和“发送”控件，用户可以点击评论栏输入评论内容，点击“发送”控件发送评论，还可以点击评论控件查看其他用户的评论内容。
 在设计3主视图中，界面头部显示“使用中”的音效浮层；界面中部为“歌剧院”音效场景画面，画面中布满序号点位（不同点位的音效也不同），界面中部的黄色图标为用户设置的音效点位，用户还可以点击设置其他点位的音效；其下方底部为“体育馆、演唱会、歌剧院”三个音效控件，其中高亮的图形为“歌剧院”音效控件，用户可以点击其他音效控件切换场景；界面底部为评论栏、评论控件和“发送”控件，用户可以点击评论栏输入评论内容，点击“发送”控件发送评论，还可以点击评论控件查看其他用户的评论内容。
 在设计4主视图中，界面头部显示“使用中”的音效浮层；界面中部为“演唱会”音效场景画面，画面中布满序号点位（不同点位的音效也不同），用户可以点击任意点位设置音效；其下方底部为“体育馆、演唱会、歌剧院”三个音效控件，其中高亮的图形为“体育馆”音效控件，用户可以点击其他音效控件切换场景；界面底部为评论栏、评论控件和“发送”控件，用户可以点击评论栏输入评论内容，点击“发送”控件发送评论，还可以点击评论控件查看其他用户的评论内容。</t>
  </si>
  <si>
    <t>用于显示屏幕面板的音效设置图形用户界面</t>
  </si>
  <si>
    <t>CN210896311U</t>
  </si>
  <si>
    <t>本实用新型涉及一种健身器材用可旋转移动的智能彩屏，包括：承载组件，用于承载转动组件；设置在转动组件上的彩屏框架；所述转动组件用于驱动彩屏框架进行全方位的旋转；设置在所述彩屏框架内的控制系统，所述控制系统内可预装与多种健身设备对应的控制软件；与控制软件相连的显示屏，用于显示和控制相关信息，显示屏设置在彩屏框架内；本实用新型中用户使用360°可旋转移动的显示屏能够更方便更灵活，并且能够搭配多种健身器材使用，还单独可以当做电视机使用，同时还内置多种娱乐等功能，显示屏有360°可调整摄像头；显示屏还具有AI智能语音功能，通过AI智能语音指令实现人机交互功能,增加了用户的舒适性和娱乐性,进一步提升了用户的满意度。</t>
  </si>
  <si>
    <t>KR1020210085578A</t>
  </si>
  <si>
    <t>本发明涉及一种猫咪玩耍锻炼装置,包括:发声单元,在经过预设等待时间后输出录制的声音; 将激光照射到随机位置一段设定时间的激光指示器; 物联网控制单元,用于根据从智能手机接收到的控制信号来控制声音单元和激光指示器的驱动; 以及通过容纳声音单元、激光指示器和物联网控制单元附在墙上的主体,其中提供多个激光指示器,每个激光指示器具有唯一ID,并且每个激光指示器根据控制随机照射激光从 IoT 控制单元施加的信号。激光照射方向位置由根据控制信号驱动的电机随机变化。 如上所述,根据本发明的一个实施例,通过提供一种游戏锻炼装置,该装置可以安装在墙角,并在宠物猫试图抓到一只猫时,将激光笔照射到安装在斜墙上的拉板。时间设定时的激光通过诱导运动,宠物猫即使没有同伴也不会自由,并且具有通过定期玩耍和锻炼提高注意力和肌肉力量的效果。</t>
  </si>
  <si>
    <t>猫玩健身器</t>
  </si>
  <si>
    <t>CN110917602A</t>
  </si>
  <si>
    <t>本发明公开了一种基于语音控制的发球器，包括机壳，所述机壳内设有上端与外界连通的入料腔，所述入料腔下端壁内设有与所述入料腔连通的存储腔，所述存储腔右侧下端凹陷，所述存储腔下端壁固定连接有斜板，人工将网球通过入料腔放入存储腔内经过斜板的的作用进入凹陷内，所述机壳内设有两个皮垫，两个皮垫相互靠近可将网球固定，所述机壳内设有击球腔，所述击球块内设有射出腔，所述射出腔左端壁内设有蓄力板，所述蓄力板固定连接有右端位于所述射出腔内的击球块，所述机壳上侧右端面固定连接有语音识别器，所述语音识别器检测到语音信号时启动所述击球块向右运动时可将射出腔内网球打出。</t>
  </si>
  <si>
    <t>一种基于语音控制的发球器</t>
  </si>
  <si>
    <t>CN111369629A</t>
  </si>
  <si>
    <t>本发明公开了一种基于挥拍击球动作双目视觉感知的回球轨迹预测方法，将击球前球拍轨迹作为羽毛球轨迹预测的重要依据，把预测时间点从球拍离球后提到球拍触球前，争取更多的时间，以提高羽毛球机器人快速反应能力、击球点优化能力、击球主动性和竞技水平。具体过程是：首先标定双目相机，对采集的击球双目图像进行去噪、校正畸变，再通过帧差法识别运动区域，利用轮廓形状、面积特征检测出羽毛球和球拍，提取相应特征点，依据极线约束原理匹配双目图像，计算特征点视差和深度，求取特征点坐标，根据界线筛除场外无效运动目标，计算出有效目标运动参数，作为神经网络输入进行学习或预测，最后利用卡尔曼滤波对回球的中长期轨迹作预测计算。</t>
  </si>
  <si>
    <t>一种基于挥拍击球动作双目视觉感知的回球轨迹预测方法</t>
  </si>
  <si>
    <t>US62954130P0</t>
  </si>
  <si>
    <t>使用原始波形上的深度学习在媒体操作系统上进行文本无关的说话者验证</t>
  </si>
  <si>
    <t>CN111130942B</t>
  </si>
  <si>
    <t>本发明属于应用流量识别技术领域，具体涉及一种基于消息大小分析的应用流量识别方法。本发明具体操作为从局域网络环境中选取适当长度的数据流，截取长度为m比特大小的流，提取流中完整的消息；将消息进行嵌入处理，通过将消息的每一字节嵌入到向量中的数据预处理，使用卷积神经网络提取数据流中的消息的特征；生成消息大小特征，对第三个卷积神经网络层的输出做平坦化处理；通过使用LSTM来编码特征矢量Vi来获取流中消息的上下文信息；引入注意机制，将每个流中重要的消息大小特征加权表示，突出比较明显且重要的特征；应用流量识别，通过给定的矢量f，训练出一个二进制分类器来进行应用流量识别。</t>
  </si>
  <si>
    <t>一种基于消息大小分析的应用流量识别方法</t>
  </si>
  <si>
    <t>KR102213869B1</t>
  </si>
  <si>
    <t>本发明涉及台球课程系统和方法。 本发明的台球课程系统包括安装在台球桌周围的多个台球桌终端、参与台球比赛的用户提供的用户终端和台球课程服务器。 摄像机在台球比赛、练习、训练过程中采集台球台的比赛视频,传输至台球台终端。 台球桌终端显示摄像机传来的比赛视频和台球课服务器传来的台球课信息。 台球课服务器预先对台球比赛进行分析学习,根据台球的位置形成各种台球课信息的数据库。 台球课服务器向台球桌终端发送台球课信息。 台球课服务器对台球课的结果进行分析和深度学习,向用户提供台球课信息。 根据本发明,通过分析台球课的结果来识别用户的弱点,并向用户提供必要的台球课信息来克服它,用户可以集中训练相应的台球课信息。</t>
  </si>
  <si>
    <t>台球课系统及其方法</t>
  </si>
  <si>
    <t>KR102236138B1</t>
  </si>
  <si>
    <t>基于人工智能的生存游泳训练移动集装箱游泳池控制系统及装置</t>
  </si>
  <si>
    <t>KR102257358B1</t>
  </si>
  <si>
    <t>本发明涉及一种冰壶扫地控制系统和方法,包括以下步骤:a)根据冰壶比赛的进程,提供反映冰块运动轨迹信息、扫地面积信息或冰质环境信息的虚拟冰壶环境。实时; b) 在虚拟冰壶环境中设置一个或多个目标位置信息,对每个目标位置信息进行投掷石块动作和扫除操作,测量每个目标位置信息与石头到达位置信息的误差距离, ,学习基于深度神经网络 (DNN) 的扫描模型,该模型根据误差距离设置扫描开/关操作的补偿; c) 为扫地模型设置包括目标位置信息和石头位置信息的输入值,并根据基于目标位置信息和石头到达位置信息设置的误差距离的补偿集确定扫地开/关操作策略,并根据设置的策略,将实时扫描开/关操作的动作设置为输出值; d)在实际冰壶比赛中,当使用用于识别棋子位置的摄像装置输入实时剔除图像信息时,对移动的棋子进行实时扫开/关闭操作,直到棋子停止。该方法可以包括提供用于确定的扫描控制信息。</t>
  </si>
  <si>
    <t>卷曲扫掠控制系统及其方法</t>
  </si>
  <si>
    <t>CN111192376B</t>
  </si>
  <si>
    <t>本发明公开一种基于人工智能的水库巡检机器，包括供电模块，用于对各个部件进行供电；高清摄像头，用于对环境进行拍摄；喇叭，用于播放宣传语和发出警报声；超声波探测器，用于探测浮台与水底的距离，防止搁浅；浮台，作为各个元件的载体；驱动装置，用于驱动浮台，并使得浮台可以往多个方向移动；主控模块；其中，所述主控模块被配置为对高清摄像头拍摄的图像进行识别，并判断出图像中的人的动作信息；该基于人工智能的水库巡检机器能沿水库水域进行自动巡检，能够自动识别出在水库区域内进行非法游泳、非法垂钓、破坏水库设施的非法行为的人，发现以上险情能够及时发出警报驱赶违法违规者、并能及时上报信息事件到管理站。</t>
  </si>
  <si>
    <t>一种基于人工智能的水库巡检机器</t>
  </si>
  <si>
    <t>CN111167106A</t>
  </si>
  <si>
    <t>本申请提供一种羽毛球的判罚方法及装置，涉及物联网控制技术领域，用于解决判断羽毛球是否出界的技术问题。该方法还包括：服务器通过三维激光雷达获取羽毛球的位置数据；服务器根据羽毛球的位置数据，确定羽毛球的高度以及二维平面坐标，二维平面坐标用于指示羽毛球在二维平面坐标系中的位置，二维平面坐标系中第一坐标轴平行于羽毛球球场的底线，第二坐标轴平行于羽毛球球场的边线；当羽毛球的高度小于阈值时，服务器根据羽毛球的二维平面坐标，判断羽毛球是否出界。本申请适用于羽毛球比赛的场景下。</t>
  </si>
  <si>
    <t>一种羽毛球的判罚方法及装置</t>
  </si>
  <si>
    <t>JP2021101263A</t>
  </si>
  <si>
    <t>提供了一种能够获取更合适的数据集的技术,该数据集用于执行关于根据用户的运动特征提供体育运动的支持信息的机器学习。 
  根据本公开的实施例的信息处理设备30基于由运动数据获取单元301获取的运动数据使用训练模型LM根据对象的运动获得支持信息。支持信息输出单元304用于output; 如果确定不是,则支持信息输出单元304根据输入设备37接收的输入输出的支持信息与获取的数据库21的数据集的动作数据比较接近。辅助信息编辑单元306,编辑包括动作数据的数据集的至少一个辅助信息。 
  【选型图】图3</t>
  </si>
  <si>
    <t>信息处理装置、信息处理方法、程序</t>
  </si>
  <si>
    <t>CN111093240B</t>
  </si>
  <si>
    <t>本发明公开了一种基于物联网的乒乓球远程课程的传输方法，包括如下步骤：由运动手环感测用户挥拍动作信息；由运动手环将所感测的用户的挥拍动作信息发送给移动终端；由移动终端与基站建立RRC连接；响应于建立与基站的RRC连接，由移动终端接收由基站发送的WLAN接入点列表及WLAN接入点的工作频率信息；响应于接收到WLAN接入点列表及WLAN接入点的工作频率信息，由移动终端在WLAN接入点的工作频率上监测WLAN接入点列表中的WLAN接入点发送的参考信号的参考信号强度；由移动终端基于所接收的参考信号强度，确定合适的WLAN接入点；响应于确定合适的WLAN接入点，由移动终端将被选择的WLAN接入点的BSSID发送给基站；响应于接收到被选择的WLAN接入点的BSSID，由基站判断基站的负载情况。</t>
  </si>
  <si>
    <t>一种基于物联网的乒乓球远程课程的传输方法及系统</t>
  </si>
  <si>
    <t>WO2020137968A1</t>
  </si>
  <si>
    <t>至少在设置有旅行相关标记的区域中收纳多个具有唯一信息的RFID标签的收纳物,并设置地面车辆和飞行器,用于读取贴附在收纳物上的RFID标签. RFID阅读系统。 地面车辆具有着陆标志、成像装置、标签读取装置和控制装置。 控制单元至少对由摄像单元拍摄到的行驶相关标记进行图像识别,使地面车辆行驶,读取与车辆的读取范围标记对应的RFID标签的标签信息。 飞行物具有成像装置、标签读取装置和控制装置。 控制装置至少对成像装置成像的着陆标志进行图像识别,以着陆标志作为飞行器降落和飞行的基点,并通过标签读取装置读取RFID标签,这是协同完成的与地面跑步体的跑步状态。</t>
  </si>
  <si>
    <t>射频识别系统</t>
  </si>
  <si>
    <t>CN211379956U</t>
  </si>
  <si>
    <t>本实用新型属于佩戴设备技术领域，涉及一种游泳镜盒，包括镜盒本体和LED显示电路，LED显示电路设置在镜盒本体内部，LED显示电路包括LED灯组、声控传感器、蓝牙控制模块、供电模块和功放模块；供电模块被配置为为声控传感器、蓝牙控制模块、语音识别模块和功放模块供电；声控传感器被配置为在感应到声音信号时向蓝牙控制模块发送第一显示信号；蓝牙控制模块被配置为接收预设终端的播放指令并控制功放模块播放预设音频，或根据第一显示信号控制LED灯组的亮度。本实用新型增加了指示灯方便使用者更容易找到，自带的蓝牙音箱，消费者在户外旅行不用额外再携带音箱，增强了产品的用户体验。</t>
  </si>
  <si>
    <t>游泳镜盒</t>
  </si>
  <si>
    <t>JP2021100222A</t>
  </si>
  <si>
    <t>本发明有助于在从体育场等大型设施的观众席观看使用5G的AR服务时提高捕获和图像识别的准确性。 
  终端设备具有收发器、摄像头、显示器和处理器。 处理器从基站发送的多个波束成形同步信号中确定无线电质量满足预定阈值的第一同步信号,并且将第一同步信号报告给基站。 处理器将校正信息校正后的虚拟对象叠加在相机的捕获图像上,并将其显示在显示器上。 校正信息是用于指示第一同步信号覆盖的区域相对于真实对象的位置的信息。 校正信息包括关于区域中显示器上显示的虚拟对象的取向以及真实对象到该区域的距离的信息。 
  【选型图】图1</t>
  </si>
  <si>
    <t>终端设备、应用服务器、接收方法和发送方法</t>
  </si>
  <si>
    <t>CN111026934A</t>
  </si>
  <si>
    <t>本申请实施例公开了一种智能推荐方法及相关设备，应用于包括信息采集装置、个性化采集装置、人工智能芯片和个性化推荐装置的智能电子设备，方法包括：通过信息采集装置对待测对象执行获得健身信息的操作，得到待测对象的目标健身信息；通过个性化采集装置对待测对象执行获得个人爱好的操作，得到待测对象对应的第一个人爱好集合；通过人工智能芯片根据目标健身信息和第一个人爱好集合确定对待测对象推荐的第二个人爱好集合；通过个性化推荐装置推荐第二个人爱好集合。采用本申请实施例有助于提高向待测对象推荐个人爱好的准确性，进而提高待测对象的运动体验。</t>
  </si>
  <si>
    <t>智能推荐方法及相关设备</t>
  </si>
  <si>
    <t>US20200143699A1</t>
  </si>
  <si>
    <t>虚拟飞机模拟器用于教育和训练单独飞行或与其他飞行员、教练和空中交通管制员一起飞行的飞机飞行员。 该设备包含一个安装在计算机化机械平台上的胶囊,提供多达六个实时运动自由度,以及一个飞行员座椅。 为了更接近地模拟飞行员的真实感觉,太空舱还可以配备一个控制杆、一个或多个推力杆和踏板。 立体眼镜用于创建虚拟现实。 本发明通过引入具有人工智能的虚拟化身改进了模拟器的功能,当与受训者一起飞行时,该化身可以复制机长、副驾驶员、空中交通管制员或教练的动作。 化身还可以在标准飞行员通信协议词库的范围内与受训者保持口头对话。 该设备无需更改硬件即可适用于任何机型。</t>
  </si>
  <si>
    <t>通用虚拟模拟器</t>
  </si>
  <si>
    <t>CN111161833A</t>
  </si>
  <si>
    <t>本申请实施例公开了一种健身计划生成方法，应用于包括生理参数获取装置、人工智能芯片、通用处理器的智能电子设备，该方法包括：通过生理参数获取装置获取健身用户的身体参数；通过通用处理器将身体参数组成输入数据，并将输入数据传输给人工智能芯片；通过人工智能芯片对输入数据进行神经网络运算，得到输出结果；通过通用处理器根据输出结果得到与身体参数对应的健身计划。本申请有利于实现针对性健身，提高用户健身体验。</t>
  </si>
  <si>
    <t>健身计划生成方法及相关设备</t>
  </si>
  <si>
    <t>KR1020210079735A</t>
  </si>
  <si>
    <t>公开了一种通过收集字幕文本自动将体育广播的字幕文本分类为用于学习基于神经网络的句子生成模型的学习数据的装置和方法。 根据示例性实施例的用于自动分类体育字幕的装置包括:字幕收集单元,收集广播字幕文本; 一个预处理单元,将收集到的字幕文本提炼和标准化为句子; 初级鉴别单元,用于将在预处理单元中标准化的每个句子鉴别​​为多个上分类之一; 至少一个次级鉴别单元,用于根据多个较高类别中的每一个确定一个句子为多个较低类别之一; 类别分类单元使用每个句子所属的上下分类将每个句子分类到多个类别之一。</t>
  </si>
  <si>
    <t>体育字幕自动分类装置及方法</t>
  </si>
  <si>
    <t>US10974147B1</t>
  </si>
  <si>
    <t>提供了用于选择进入游戏的视口的方法和系统。 提供了一种用于将视口呈现给旁观者用户的游戏示例方法。 该方法包括识别多个虚拟摄像机以提供进入游戏的视口。 该方法包括访问旁观者用户的剧本。 与旁观者用户的简档关联存储的剧本。 剧本识别与游戏的一个或多个游戏特征相关的旁观者用户的表现属性。 该方法包括在现场进行比赛时访问比赛的事件数据。 该方法包括为旁观者用户生成配电盘界面,该配电盘界面包括提供进入游戏的视图的多个视口。 基于通过机器学习模型处理事件数据和旁观者用户的剧本,动态地选择多个视口以包含到切换板界面中。 该方法包括在旁观者用户正在观看多个视口之一时更新配电盘界面以包括对多个视口的选择的一个或多个改变。</t>
  </si>
  <si>
    <t>根据用户视口选择动作定制的观众开关板</t>
  </si>
  <si>
    <t>BE1027898B1</t>
  </si>
  <si>
    <t>本发明涉及一种由WLAN或以太网连接的检测器、专用应用程序和WLAN受控设备组合而成的游泳池控制系统。 通过 Wlan 检测器,信号(例如与水质或游泳池设备的状况有关)在本地或通过远程服务器(例如通过“云”)发送到专用应用程序,例如在移动运营商,例如手机或平板电脑。 典型的信号是 pH、氧化还原、温度、水流速、水位和时间。 然后,这些不同的信号由专门的应用程序组合和解释,之后软件将二进制信号发送到一个或多个控制设备,这些设备也通过 Wlan 连接到专门的应用程序。 Wlan 控制设备依次控制游泳池设备,例如过滤泵、pH 或氯计量泵、紫外线灯、热泵、电加热或自动水龙头。 总之,本申请因此涉及一种基于物联网(IOT)的游泳池控制系统。</t>
  </si>
  <si>
    <t>泳池控制系统</t>
  </si>
  <si>
    <t>CN214588016U</t>
  </si>
  <si>
    <t>一种语音控制跑步机，包括控制系统，所述控制系统包括第一通信接口；所述跑步机还包括语音识别处理系统，所述语音识别处理系统包括语音本地识别芯片，所述语音本地识别芯片连接有语音识别语音识别处理系统,所述语音识别语音识别处理系统包括与语音本地识别芯片信号连接的音频解码芯片,所述音频解码芯片通过功放芯片与喇叭信号连接,所述音频解码芯片还连接有麦克风;所述语音识别处理系统还包括可与所述第一通信接口通信的第二通信接口。采用本实用新型所述语音控制跑步机，与现有技术相比，本实用新型由于采用了智能语音主控模块简化了整个跑步机的语音控制系统；减少了传统语音控制系统的模块数量，降低了制造成本，减少了多模块通信时造成的干扰。</t>
  </si>
  <si>
    <t>一种语音控制跑步机</t>
  </si>
  <si>
    <t>US11315065B1</t>
  </si>
  <si>
    <t>US11471741B2</t>
  </si>
  <si>
    <t>智能球机器使用人工智能来训练玩家或与球员一起比赛。例如,球机可以根据球员的成功回球弹跳调整网球速度,topspin。可以通过玩家的轮廓将球机器预配置。例如,球机器可以从游戏录制中下载网球玩家的完整配置文件,或者可以下载带有玩家的自定义配置文件的文件,以使用球机训练玩家。球机器配备了多个车轮,电动机和轴,可提供一个或多个球的完全可定制的发射。例如,可以从机器从网球场的一侧推出球,再到网球场的另一侧,具有多种速度,轨迹,topspin,弹跳等。</t>
  </si>
  <si>
    <t>自适应网球机</t>
  </si>
  <si>
    <t>US11170607B2</t>
  </si>
  <si>
    <t>本文公开了一种使用户能够与现场体育动态交互的应用程序。 该应用程序监控正在进行的体育比赛,并根据比赛的状态生成提议并将提议呈现给用户。 用户接受提议或继续其他提议。 命题是在游戏的每一秒内大量生成的,并根据一系列标准进行排名。 该标准用于为当时体育运动中最激动人心的问题提供人工智能近似值。</t>
  </si>
  <si>
    <t>CN111027500A</t>
  </si>
  <si>
    <t>本发明公开了基于图像识别技术的健康管理方法及电子设备，包括建立各种食物的热量数据库和食物种类图形识别数据库；扫描待测食物，获取待测食物图像信息，采用图像识别技术，根据所述食物种类图形识别数据库识别出食物种类；根据识别出的食物种类参照所述热量数据库，得到待测食物对应的热量；根据食物种类获取食物营养成分列表；根据用户预设的身体素质信息，结合人体营养所需比例，判定食物是否适合用户，以此，通过本方法及电子设备可以提醒用户健康摄入食物，解决了现有技术中人们只能依靠营养师、健身教练等专业人员的指导，使自身的摄入量与消耗量之间达到平衡的问题。</t>
  </si>
  <si>
    <t>基于图像识别技术的健康管理方法及电子设备</t>
  </si>
  <si>
    <t>CN305878258S</t>
  </si>
  <si>
    <t>1.本外观设计产品的名称：网球比赛电子记录图形用户界面显示屏幕面板。
 2.本外观设计产品的用途：用于记录网球比赛进程、球员数据、团体数据、其他事件，可以用于手机，平板电脑。
 3.本外观设计产品的设计要点：在于图案。
 4.最能表明设计要点的图片或照片：界面变化状态图1。
 5.图形用户界面的用途：屏幕中的图形用户界面是用于网球比赛电子记录人机交互界面。
 主视图是排球比赛电子记录的登陆操作界面，点击其中的“登陆”按键，可以进入如界面变化状态图1所示的比赛选择界面；点击“创建比赛”按键，进入界面变化状态图2‑1，拖动屏幕进入界面变化状态图2‑2，根据赛制，选择对应的赛事进行设置；设置完毕，进入界面变化状态图3，选择对应赛事，选择赛事、场地、时间、当场值班裁判员、赛程。
 选择完毕点击确定，进入掷硬币选择界面。
 单打掷硬币如界面变化状态图4。
 根据掷硬币结果选择，进入界面变化状态图5，选择球权，场地；双打掷硬币如界面变化状态图6。
 根据掷硬币结果选择，进入界面变化状态图7，选择球权，场地；单打选择完毕，进入比赛界面如界面变化状态图8，进行操作。
 双打选择完毕，进入比赛界面如界面变化状态图9，进行操作。
 点击左下角和右下角选择接发球球员。
 点击PRESS TO START MATCH比赛开始如界面变化状态图10。
 单打双打的界面操作一样，界面中按键操作注解：点击ACE得分，如界面变化状态图11；点击NET擦网，如界面变化状态图12；点击FAULT失误，如界面变化状态图13；点击FOOT FAULT脚误，如界面变化状态图14；点击UNDO撤回上一条操作，如界面变化状态图15。
 比赛结束自动进入比分结束页面。
 双打结束界面如界面变化状态图16，点击提交成绩返回界面变化状态图1；单打进入结束界面如界面变化状态图17，点击提交成绩返回界面变化状态图1。</t>
  </si>
  <si>
    <t>网球比赛电子记录图形用户界面显示屏幕面板</t>
  </si>
  <si>
    <t>CN111061952B</t>
  </si>
  <si>
    <t>一种基于深度学习的智能自动配重方法，包括如下步骤：获取健身者的卡号和健身项目；根据所述卡号，从数据库中检索出对应卡号的个人信息；将所述个人信息与健身项目整合成健身信息，并将所述健身信息传输至智能化配重系统；一种智能自动配重系统，包括获取模块、检索模块、整合模块、显示判断模块、最终配重传输模块、智能化配重系统、数据库和自动化配重系统；一种基于深度学习的智能自动配重健身设备，包括第一底座、第二底座、安全杆套、安全杆轴、杠铃杆套、杠铃杆、杠铃电磁铁、铁板、杠铃块、顶架、杠铃安全挂钩、杠铃安全挂钩轴套、导杆轴套、导杆轴、控制面板、控制面板支架和电流控制器；本发明能实现无级自动配重。</t>
  </si>
  <si>
    <t>一种基于深度学习的智能自动配重方法、系统及设备</t>
  </si>
  <si>
    <t>US10911795B2</t>
  </si>
  <si>
    <t>本发明公开了一种系统和方法,用于在传送数字内容(例如足球比赛期间的比赛开始)期间,当感兴趣的片段即将到来时提供警报,以引导一个或多个观众的注意力 面向数字内容。 本发明还被配置为嵌入商业消息连同关于引导观众焦点的警报。 警报和商业消息通过使用行业标准标签插入,例如由电缆电信工程师协会 (SCTE) 标准 SCTE 35 和 SCTE 104 定义的标签。这些标签随后在某些地方被所需的警报和商业消息媒体文件替换 指向数字内容的交付路径。 该系统适用于手动或自动激活警报。 此外,该系统可选用人工智能 (AI) 系统实现,该系统使用深度学习进行训练,以识别适当的时间以自动触发警报/商业消息序列。 可以通过监控警报激活的手动控制来训练 AI 系统。</t>
  </si>
  <si>
    <t>用于在传送数字内容时使用标签来提供警报的系统和方法</t>
  </si>
  <si>
    <t>IN349178B</t>
  </si>
  <si>
    <t>本公开涉及一种非侵入式集成系统,包括裁判机器人(50),用于自动监控、裁判、计分、分析、学习和指导球员,同时消除对人类裁判和记分员的需要。 具有智能伸缩功能监视器的自动裁判机器人(50)认知识别和捕捉来自所有设备的动作,分析它们,上下移动甚至避免球碰撞向它移动。 非侵入式实时系统 (100) 捕获所有比赛时刻,从球员开始、掷硬币、比赛开始、监控场地位置、保持比分、裁判决定、轮换、有效/无效交付、验证每个球 在整个比赛中,三柱门、接球、边界、六分球以及显示分数和统计数据。</t>
  </si>
  <si>
    <t>CN111147394B</t>
  </si>
  <si>
    <t>本发明公开了一种远程桌面协议流量行为的多级分类检测方法，首先筛选出加密的RDP协议流量，包括TLS协议、SSH协议、HTTP隧道流量的识别；然后根据RDP协议建立连接阶段的报文长度序列特征实现对加密RDP流量的识别；最后针对加密RDP协议流量所包含的行为，通过对流量长度、负载随机性和交互性三个层面提取特征，并使用机器学习的方法进行分类，实现RDP协议流量内部细粒度的识别，即对RDP协议流量行为的识别。本发明在保证隐私的前提下，通过对流量多级化分类处理，能够有效实现对用户远程操控服务器所产生的RDP协议流量识别以及具体操作行为的分类。</t>
  </si>
  <si>
    <t>一种远程桌面协议流量行为的多级分类检测方法</t>
  </si>
  <si>
    <t>CN306223767S</t>
  </si>
  <si>
    <t>1.本外观设计产品的名称：显示屏幕面板的设置跑步距离图形用户界面。
 2.本外观设计产品的用途：用于显示图形用户界面及人机交互；显示屏幕面板用于运动手表、智能手环、电话手表、手机。
 3.本外观设计产品的设计要点：在于图形用户界面。
 4.最能表明设计要点的图片或照片：设计1主视图。
 5.指定设计5为基本设计。
 6.图形用户界面的用途：界面用于设置跑步距离。
 7.图形用户界面的人机交互方式：各设计中，“初级运动者”下方的横向调节区中，左右滑动三角指示标可以设置跑步距离。
 8.图形用户界面的变化状态说明：各设计中，主视图界面中向右滑动三角指示标可以呈现出界面变化状态图1及2。
 9.设计1及设计2要求保护色彩。</t>
  </si>
  <si>
    <t>显示屏幕面板的设置跑步距离图形用户界面</t>
  </si>
  <si>
    <t>CN306363493S</t>
  </si>
  <si>
    <t>1.本外观设计产品的名称：用于手机的运动数据信息统计的图形用户界面。
 2.本外观设计产品的用途：用于移动通迅、数据处理等。
 3.本外观设计产品的设计要点：在于图形用户界面。
 4.最能表明设计要点的图片或照片：主视图。
 5.本外观设计的产品为图形用户界面的外观设计，其他视图为惯常设计，省略其他视图。
 6.图形用户界面的用途：本外观设计主要用于对用户的运动数据进行信息统计的交互界面，可记录用户的跑步、健走、健身、瑜伽等运动数据。
 7.图形用户界面的人机交互方式：点击主视图左上方的“跑步”，可对跑步数据进行统计，点击中上方“健走”，可对健走数据进行统计，点击中上方“健身”，可对健身进行数据统计，点击右上方“瑜伽”，可对瑜伽进行数据统计；点击主视图中下部的三角图标，可呈现出界面变化状态图。</t>
  </si>
  <si>
    <t>用于手机的运动数据信息统计的图形用户界面</t>
  </si>
  <si>
    <t>US10971262B2</t>
  </si>
  <si>
    <t>提供了用于实现个性化培训推荐系统的机制。 从用户接收请求以生成用于指定体育赛事的个性化训练方案,并且识别包括指定体育赛事的一个或多个地理区段的特征的事件信息。 基于事件信息,地理区域的一个或多个部分被识别,其在预定容限内近似于一个或多个地理区段的一个或多个特征。 至少通过基于对每个部分的该部分的特征与与一个或多个相关联的一个或多个物理特征的匹配水平的评估组合地理区域的部分的选定集合来生成培训课程。 指定运动项目的更多地理段,然后将其作为用户的个性化训练方案呈现给用户。</t>
  </si>
  <si>
    <t>基于计划课程和个人评估的个性化培训</t>
  </si>
  <si>
    <t>ID2021PID05353A</t>
  </si>
  <si>
    <t>抽象的 
  组织的神经测量图 
  神经计量学是认知和行为神经科学、积极心理学、神经信息学和教练领域中多种科学的应用。 神经计量学方法可以使公司更容易将合适的人安排到合适的角色,它还可以弥合两个或多个工作职能、职位或员工性格之间的差距/距离。 使用神经测量学方法,可以减少主观性和操纵应试者答案的可能性。 这是因为这种方法直接从数据收集的源头测量,即大脑的电活动。 
  一般来说,有三种类型的神经测量学,即文化拟合神经测量学、功能拟合神经测量学和基于特定质量的神经测量学。 Culture Fit Neurometric 是一种测量类型,使用的标准是公司拥有的最重要的文化或价值观。 功能拟合神经测量学是一种神经测量学,它测量组织中某些功能/角色的特定方面,以便测量和评估面向这些特定方面。 虽然基于特定质量的神经测量测量一个人的特定质量或性格,但无论在组织中的职位或职能如何,任何人都可以拥有这种品质。 所采取的步骤包括:1) 心理测量;2) 使用脑电图 (EEG) 和近红外光谱 (NIRS) 以及其他生物特征测量(如面部识别)等脑成像模式测量休息时的脑电活动和某些刺激, 语音识别. 和眼动追踪; 3).</t>
  </si>
  <si>
    <t>组织的神经计量映射</t>
  </si>
  <si>
    <t>CN111046886B</t>
  </si>
  <si>
    <t>本申请公开了一种号码牌自动识别方法、装置、设备及计算机可读存储介质。其中，方法包括利用检测目标为person的目标检测模型从包含至少一个运动员图块的待处理图像中提取运动员目标区域，然后通过文字检测模型从目标区域提取文字区域，并基于文字识别模型对文字区域中文字部分进行识别，得到初始号码信息，最后利用树形过滤算法对初始号码信息进行筛选，得到图像中各运动员对应的一组号码值；文字检测模型为基于CTPN算法，利用训练样本集训练循环神经网络和卷积神经网络相结合的端到端网络模型所得；文字识别模型利用号码牌训练样本集训练卷积循环网络模型所得。本申请可以高效、准确地识别运动员号码牌，有利于提高马拉松运动员照片的识别准确率。</t>
  </si>
  <si>
    <t>号码牌自动识别方法、装置、设备及计算机可读存储介质</t>
  </si>
  <si>
    <t>KR102363658B1</t>
  </si>
  <si>
    <t>本发明涉及一种能够实时判断是否发生火灾并在相应火区进行集中灭火的灭火装置及使用该灭火装置的灭火方法。 
  根据本发明的灭火装置包括构成外形的主体、联接到轨道使得主体能够沿着轨道移动的轨道紧固部分、以及安装在主体的一个表面上的巡逻功能,以及图像识别单元执行,由多个传感器组成的检测传感器单元与图像识别单元通信以检测火灾点处的火灾数据,并分析从图像识别单元传输的数据和检测传感器单元包括检测火灾发生点的火灾进展状态的主体操作装置,主体操作装置根据火灾进展状态控制用于在火灾点灭火的煤球。</t>
  </si>
  <si>
    <t>灭火装置及使用该灭火装置的灭火方法</t>
  </si>
  <si>
    <t>CN110956218A</t>
  </si>
  <si>
    <t>本发明涉及一种基于Heatmap的Nao机器人目标检测足球候选点的生成方法，包括选取卷积神经网络为目标检测模型，模拟比赛环境，采集多组图片制作训练和测试用数据集，并生成Heatmap，处理得到Heatmap可视化结果，重构卷积神经网络加快网络计算速度，并设定合适的阈值，Heatmap中大于设定阈值的点即为球的候选点，最终将候选点送入分类器得到最终准确的识别结果。本发明增强了Nao机器人视觉系统对比赛场地光线环境的适应能力，能够在不同的光线环境下实现对球的高精度识别，利用较少的卷积层完成特征提取，保证了识别的实时性，同时通过生成足球候选点再进入分类器识别的方法，较大的提高了其对足球识别的准确率。</t>
  </si>
  <si>
    <t>基于Heatmap的Nao机器人目标检测足球候选点的生成方法</t>
  </si>
  <si>
    <t>CN111079616B</t>
  </si>
  <si>
    <t>本发明公开了一种基于神经网络的单人运动姿态矫正方法,主要解决当今体育老师对学生进行运动指导准确性和效率低下的问题。其实现方案是：下载包含人体关节点的图像数据集和其对应的标注文件，构建训练数据集；搭建基于空间域转换的人体关节点检测网络，并利用训练数据集对其训练；采集标准运动和普通运动图片，分别输入到训练好的基于空间域转换的人体关节点检测网络，得到各自的关节点坐标，分别构成标准运动和普通运动数据集并进行匹配，得到标准匹配图片；计算普通运动图片与标准匹配图片中各关节点之间的欧氏距离，统计大于打分阈值的关节点，即为需要矫正的动作点。本发明提高了运动姿态矫正准确率和训练效率，可用于单人运动姿态矫正。</t>
  </si>
  <si>
    <t>基于神经网络的单人运动姿态矫正方法</t>
  </si>
  <si>
    <t>CN110853301A</t>
  </si>
  <si>
    <t>本发明提出了一种基于机器学习的泳池防溺水识别方法。包括水面上方识别与水面下方识别两个方法，通过在泳池岸边和泳池池壁安装摄像头，通过处理视频流判断是否溺水，解决了泳池中视野盲区的问题，救生员可以随时查看泳池安全情况，并且用机器学习的技术对泳池中的实时视频进行分析，如果经过算法判断出现了溺水情况，就可以及时的将溺水信息发送给救生员，这样就解决了救生员注意力无法一直集中的问题，并且可以减少救生员配置，减轻泳池运营压力；而且该方法无需游泳者佩戴任何辅助设备，不会影响游泳体验。</t>
  </si>
  <si>
    <t>基于机器学习的泳池防溺水识别方法</t>
  </si>
  <si>
    <t>CN110944123A</t>
  </si>
  <si>
    <t>本发明涉及一种体育赛事智能导播方法，所述方法包括：定义一项赛事的智能导播规则，包括镜头切换触发条件及对应导播信号；接收赛场多路实时信号；对实时信号的视频帧进行图像识别，根据识别结果判断是否符合触发条件，如果符合触发条件，则切换到该触发条件对应的导播信号播出。本发明提供的一种体育赛事智能导播方法，通过对体育赛事实时视频信号进行图像处理，实现了对赛况的自动判断，进一步实现了导播信号的自动切换，从而实现了对体育赛事的自动化智能导播，可以辅助或代替人工导播的工作。</t>
  </si>
  <si>
    <t>一种体育赛事智能导播方法</t>
  </si>
  <si>
    <t>CN111085458A</t>
  </si>
  <si>
    <t>本发明涉及一种用于流水线生产的智能机器人，包括固定管和密封盘，所述固定管和密封盘同轴设置，所述密封盘与固定管的一端密封且固定连接，所述密封盘上设有两个排料孔，所述排料孔以密封盘的轴线为中心周向均匀分布，所述排料孔与固定管连通，所述主体内设有检测机构和清洁机构，所述检测机构包括转动盘、声音传感器、转动轴、第一轴承和驱动组件，所述清洁机构位于转动盘的远离密封盘的一侧，该用于流水线生产的智能机器人通过检测机构实现了自动检测乒乓球破损程度的功能，提高了便捷性，不仅如此，还通过清洁机构实现了清除乒乓球上杂质的功能。</t>
  </si>
  <si>
    <t>一种用于流水线生产的智能机器人</t>
  </si>
  <si>
    <t>US11260302B2</t>
  </si>
  <si>
    <t>提供了一种在游戏环境中创建代理的代理创建方法。 代理创建方法包括:代理创建装置根据玩家共同的动作特征模式创建基础代理,将基础代理传送给游戏服务器,代理创建装置接收通过以下方式获得的比赛结果数据。 执行基础代理和单个玩家的角色之间的匹配,并由代理创建设备通过使用匹配结果数据执行机器学习,并基于结果创建为单个玩家的匹配定制的进化代理 的机器学习。</t>
  </si>
  <si>
    <t>在游戏环境中创建代理的装置和方法</t>
  </si>
  <si>
    <t>CN210096783U</t>
  </si>
  <si>
    <t>本实用新型涉及健身器材技术领域，提供了一种数字多功能健身设备。所述数字多功能健身设备包括：AI智能系统和挂壁式装置主体；所述挂壁式装置主体上设有用于人机交互的显示屏，所述挂壁式装置主体两侧分别设有可在任意位置固定的调节支臂，所述调节支臂的末端设有牵引绳；AI智能系统中设有电子重力系统，所述AI智能系统通过所述电子重力系统调整所述调节支臂的输出阻力。本实用新型的有益效果在于：所述数字多功能健身设备可直接固定在墙壁上，安装便捷、占用空间小、适用范围广；所述数字多功能健身设备中的AI智能系统通过显示屏可输出供用户浏览的大量专业健身在线课程，并通过电子重力系统调整调节支臂的输出阻力，定制适合用户的锻炼模式。</t>
  </si>
  <si>
    <t>一种数字多功能健身设备</t>
  </si>
  <si>
    <t>CN110841262A</t>
  </si>
  <si>
    <t>本发明涉及一种基于可穿戴设备的足球训练系统，包括云计算中心，环境信息采集与处理系统，信息展示系统，运动员监控系统；所述环境信息采集与处理系统，用于接收传感器采集的环境数据信息，并发送给云计算中心进行处理和反馈；同时将各种数据发送至展示平台；所述信息展示系统，用于向用户实时接收并显示所采集的数据信息，以及当处理信息超出预设参数时能够实时发出警报提醒；所述运动员监控系统，包括多个佩戴于运动员身上的可穿戴设备，用于采集运动员的训练动作数据，云计算中心基于卷积神经网络模型的不断学习运动员训练动作数据以进行分类，并结合运动员身体状态参数和环境信息参数，预测运动员最佳训练动作。</t>
  </si>
  <si>
    <t>一种基于可穿戴设备的足球训练系统</t>
  </si>
  <si>
    <t>KR1020210071585A</t>
  </si>
  <si>
    <t>本发明涉及一种基于物联网的生命安全管理系统,其配置固定安装在学校和公共建筑中,通过每个传感器单元的驱动来检测细微灰尘、根据振动的波长、噪声条件和空间中的空气条件分别收集微尘浓度、检测预定震级或更大的地震、检测和收集噪声状态以及通过驱动编程的每个传感器单元的空气质量状态的传感器装置; 通过传感器设备收集的细尘状态信息、根据地震检测的状态信息、噪声状态信息或根据大气环境的空气质量状态信息被收集、存储、数据库化,并且与多个传感器设备联动的细尘浓度,在根据地震探测信息、噪声状态信息或空气质量状态信息,当出现超过设定标准值的紧急情况时,将信息按等级分类后传输至授权用户终端,通过运行空气净化器来应对紧急情况。 area, gas 传输阻塞信息以强制执行的操作服务器; 对于传感器设备的远程控制,通过操作服务器接收并执行驾驶应用程序(APP),以及操作服务器提供的细尘状态信息、根据地震检测的状态信息、噪声状态信息或空气质量根据大气环境通过IoT(物联网)远程操作安装空间内的空气净化器或根据状态信息被手动存储的情况发送相应的驱动信号以锁定或阻塞气阀的用户终端:和在操作服务器中 基于存储在操作服务器中的数据库,该数据库基于根据紧急情况的信息,例如细尘状态信息、根据地震检测的状态信息、噪音状态信息或根据紧急情况的空气质量状态信息大气环境、各传感器单元和其特征在于,其被配置为包括:管理者终端,其监测驱动操作服务器所需的或由管理者执行以应对联锁装置中的紧急情况的整体操作。 
  因此,本发明通过驱动包括地震、细尘、噪声或空气质量传感器的传感器设备来检测和收集地震、细尘、噪声或空气状况信息,从而通过数据管理和信息化提高生命安全。通过机器对机器通信促进和提供能够远程实时应对的效果。</t>
  </si>
  <si>
    <t>基于物联网的生命安全管理系统</t>
  </si>
  <si>
    <t>CN110969133B</t>
  </si>
  <si>
    <t>本发明公开一种乒乓球比赛视频的智能数据采集方法，包括：S1：比赛切割，即将整场乒乓球比赛视频切割为仅包含每一回合的比赛片段；S2：微调优化及球员骨架检测，即将S1中的每一回合的比赛片段采用用于视频检测和切割的卷积神经网络进行特征提取，根据所提取特征对每一回合比赛片段进一步细分并得到球员骨架；用于视频检测和切割的卷积神经网络为以Openpose作为特征提取模块，加入双向长短期记忆网络、长短期记忆网络、全连接层和Softmax分类层，实现对时序视频数据的分类功能；S3：击球检测，即对所述的比赛进行阶段的击球声音进行检测，计算击球数量及击球时刻。本发明的方法，自动对乒乓球比赛视频进行回合的检测和切割，检测得到的数据的准确率高。</t>
  </si>
  <si>
    <t>一种乒乓球比赛视频的智能数据采集方法</t>
  </si>
  <si>
    <t>CN305853358S</t>
  </si>
  <si>
    <t>1.本外观设计产品的名称：排球比赛技术统计图形用户界面显示屏幕面板。
 2.本外观设计产品的用途：记录比赛中球员个人发球、拦网、扣球、防守、接发球、传球等技术统计，并为球员所属球队数据提供计算依据，可以用于手机及平板电脑进行数据便携处理。
 3.本外观设计产品的设计要点：在于图案。
 4.最能表明设计要点的图片或照片：主视图。
 5.图形用户界面的用途：屏幕中的图形用户界面是用于排球比赛电子记录人机交互界面。
 主视图是排球比赛技术统计的主界面，点击其中的按键可以进入下一级操作界面；点击主视图上方的“设置”图标可以得到界面变化图1，点击下方的“连接”按键可以连接正式比赛服务器，点击“断开连接”与服务器断开，点击“练习”按键可以进入练习模式，选择完直接点击左上角返回按键，进入界面选择队伍，练习操纵纪录；点击界面变化图1中的“获取所有数据”得到界面变化图2，可以选择所要记录的球队，选择完毕进入主界面。
 点击主视图下方的命令输入栏，可以切换到如界面变化图3所示的语音排球技术统计系统界面。
 点击主视图上方的“数据分析”图标可以得到界面变化图4。
 点击主视图上方的“线路图”图标可以得到界面变化图5，竖屏可以看到球员发球、扣球的路线。</t>
  </si>
  <si>
    <t>排球比赛技术统计图形用户界面显示屏幕面板</t>
  </si>
  <si>
    <t>CN305879355S</t>
  </si>
  <si>
    <t>1.本外观设计产品的名称：排球比赛电子记录图形用户界面显示屏幕面板。
 2.本外观设计产品的用途：通过平板电脑操作本软件，实现排球比赛的电子计分、轮次记录、事件记录和报表输出，可以用于手机和平板电脑进行数据便携处理。
 3.本外观设计产品的设计要点：在于图案。
 4.最能表明设计要点的图片或照片：主视图。
 5.图形用户界面的用途：屏幕中的图形用户界面是用于排球比赛电子记录人机交互界面。
 主视图是排球比赛电子记录的登陆操作界面，点击其中的按键可以进入下一级操作界面；点击主视图中的“球队”按键，可以得到界面变化图1进入球队介绍及设置界面；点击主视图中的“开始比赛”按键，进入界面变化图2，可以新建比赛；界面变化图2中选择新建比赛并点击“下一步”按键得到进入界面变化图3，选择对应的赛事，点击确定载入比赛信息进入界面变化图4可以进行赛事信息设置；设置完毕，点击确定进入界面变化图5。
 点击界面变化图5中的“球队”进入界面变化图6设置队长，自由人，两只队伍设置完毕进入界面变化图7，点击界面变化图7的生成按键，进入界面变化图8即比赛待开始界面。
 点击界面变化图8上的选择上场队员按键，进入界面变化图9，进行首发名单设置，点击完成进入界面变化图10，点击开始比赛，进入界面变化图11设置比赛时间，点击确定进入界面变化图12开始比赛。
 点击界面变化图12各球队下方的”暂停“按键，可以进入如界面变化图13所示的暂停界面；点击界面变化图12下方的”伤病“图标进入如界面变化图14所示的人员受伤记录界面；点击界面变化图12下方的”判罚“图标进入如界面变化图15所示的判罚情况记录界面；点击界面变化图12各球队下方的”换人“图标，进入如图界面变化图16所示的场上球员替换界面，选择完毕，单击”替换“按键进入如图界面变化图17所示的球员上下场替换确认界面；点击界面变化图12球员一侧的”队长“图标进入界面变化图18所示的场上临时队长指认界面；点击界面变化图12球队下方的”自由人“图标“进入如界面变化图19所示的设置场上自由人提醒界面；点击界面变化图12球队下方的”替换自由人“图标“，进入如界面变化图20比赛时间到，系统会弹出如界面变化图21所示的比赛结束界面。</t>
  </si>
  <si>
    <t>排球比赛电子记录图形用户界面显示屏幕面板</t>
  </si>
  <si>
    <t>CN305878256S</t>
  </si>
  <si>
    <t>1.本外观设计产品的名称：手球电子记录图形用户界面显示屏幕面板。
 2.本外观设计产品的用途：用于记录手球比赛进程、球员数据、球队数据、人员更换和其他事件，进行数据便携处理，该显示屏幕面板用于手机和平板电脑。
 3.本外观设计产品的设计要点：在于图案。
 4.最能表明设计要点的图片或照片：界面变化状态图1。
 5.图形用户界面的用途：屏幕中的图形用户界面是用于手球比赛电子记录人机交互界面。
 主视图是手球比赛电子记录的登陆界面，点击其中的“开始比赛”按键，可以进入如界面变化状态图1所示的手球运动操作主界面；点击界面变化状态图1中间的小三角下拉图标可以分别得到界面变化状态图2和界面变化状态图3，得到手球运动队员选择弹窗和手球比赛事件选择弹窗。
 点击界面变化状态图1下方的“time”图标可以得到如界面变化状态图4所示的手球运动时间选择弹窗。
 点击界面变化状态图1球员序号中间下方的方形序号换人图标可以得到如界面变化状态图5所示的手球运动人员上下场操作界面。</t>
  </si>
  <si>
    <t>手球电子记录图形用户界面显示屏幕面板</t>
  </si>
  <si>
    <t>US11113539B2</t>
  </si>
  <si>
    <t>CN110989839B</t>
  </si>
  <si>
    <t>本公开的实施例公开了人机对战的系统和方法。该系统的一具体实施方式包括：至少一套智能穿戴设备，被配置成通过传感技术和肌电技术探测穿戴者和球拍的运动信息；位于智能穿戴设备上的发送模块，被配置成将运动信息编码后发送给位于机器人上的通信模块；位于机器人上的接收模块，被配置成接收发送模块发送的信息并解码得到运动信息；至少一个机器人，被配置成根据运动信息和预设的运动模式生成相应的指令并执行。该实施方式实现了两个用户在不同场地的远程对战，并由深度学习训练模型输出战术方面的建议。用户也可以设置机器人为独立模式，使机器人模拟特定运动员的比赛风格，与用户进行对打。</t>
  </si>
  <si>
    <t>人机对战的系统和方法</t>
  </si>
  <si>
    <t>CN110992985A</t>
  </si>
  <si>
    <t>一种跑步机异音识别模型的确定方法、跑步机异音的识别方法及识别系统，基于声信号的短时平稳特性，对采集的振动信号进行时频特征提取。对于单一特征不能完全表征故障特性的缺点，采用梅尔倒谱系数、梅尔倒谱以及频谱色度作为异音检测的融合特征。并且通过对抗神经网络和音频数据扩增的手段，增加训练数据量和提升算法鲁棒性。利用多层卷积神经网络(CNN)具有局部感知、权值共享、池化降维等特性，提取振动信号的高阶特征，聚焦融合特征的局部信息，最后采用支持向量机(SVM)作为卷积网络的输出层，提高CNN网络在故障诊断方面的识别效果。</t>
  </si>
  <si>
    <t>识别跑步机异音的识别模型确定方法、识别方法、系统</t>
  </si>
  <si>
    <t>JP6848036B1</t>
  </si>
  <si>
    <t>本发明提供一种信息提供装置等,能够向访问比赛场地的用户的终端提供关于比赛对象的有用信息。 
  获取单元(210)从用户终端获取用户终端拍摄的赛马的拍摄图像。 识别单元230基于所获取的拍摄图像识别赛马。 分析单元250分析包括所识别赛马的官方围场图像的输入数据,并得出赛马的得分值。 然后,提供单元260将导出的分数值提供给用户终端,并将该分数值叠加在显示捕获图像的用户终端的显示单元上。 
  【选图】图3</t>
  </si>
  <si>
    <t>信息提供装置、信息提供方法和程序</t>
  </si>
  <si>
    <t>IN201911049476A</t>
  </si>
  <si>
    <t>物联网启用的蜂鸣器系统决定了问答比赛的获胜者。 本发明由'N'个定制问答蜂鸣器、本地服务器、Wi-Fi和结果显示单元的组合组成。这些定制问答蜂鸣器通过Wi-Fi连接到本地服务器。 本地服务器识别第一个触发蜂鸣器的人。 最先触发蜂鸣器的人的姓名等必要信息会打印在结果显示屏上。 该系统可以实时监控信息,以决定谁先按下蜂鸣器。</t>
  </si>
  <si>
    <t>使用物联网的问答游戏蜂鸣器系统</t>
  </si>
  <si>
    <t>US62942156P0</t>
  </si>
  <si>
    <t>基于人工智能的计时、成像和跟踪系统,利用人脸识别技术面向参与性体育赛事市场</t>
  </si>
  <si>
    <t>CN305707367S</t>
  </si>
  <si>
    <t>1.本外观设计产品的名称：用于显示屏幕面板的用于地图的图形用户界面。
 2.本外观设计产品的用途：显示屏幕面板用于显示图形用户界面和/或运行程序和/或通讯。
 3.本外观设计产品的设计要点：在于图形用户界面。
 4.最能表明设计要点的图片或照片：主视图。
 5.图形用户界面的用途：用于在选择了兴趣点、例如咖啡店时，显示关于兴趣点的信息；更一般地而言，图形用户界面用于人机交互和实现显示屏幕面板的功能，并且可以用于在地图上定位、导航、查看、定向位置或兴趣点以及/或者显示位置或兴趣点的信息，或在环境中定位、导航、查看、定向物体以及/或者显示物体的信息。
 6.图形用户界面的人机交互方式：图形用户界面可以通过轻击、点击图形用户界面和/或拖动用户的手指划过图形用户界面来载入后续的图形用户界面或运行应用程序。
 7.显示屏幕面板和图形用户界面可以应用于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所述显示装置包括用于交通工具的显示装置；显示屏幕面板为惯常设计，故省略其他视图。</t>
  </si>
  <si>
    <t>用于显示屏幕面板的用于地图的图形用户界面</t>
  </si>
  <si>
    <t>CN305758930S</t>
  </si>
  <si>
    <t>1.本外观设计产品的名称：用于显示屏幕面板的显示照片的图形用户界面。
 2.本外观设计产品的用途：显示屏幕面板用于显示图形用户界面和/或运行程序和/或通讯。
 3.本外观设计产品的设计要点：在于图形用户界面。
 4.最能表明设计要点的图片或照片：设计1主视图。
 5.指定设计1为基本设计。
 6.图形用户界面的用途：用于人机交互和实现显示屏幕面板的功能，并且可以用于显示、整理、组织照片等。
 7.图形用户界面的人机交互方式：图形用户界面可以通过轻击图形用户界面或图形用户界面中的图标来交互，以载入另一个图形用户界面或运行应用。
 8.显示屏幕面板和图形用户界面可以应用于具有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该显示装置包括用于交通工具的显示装置；显示屏幕面板为惯常设计，故省略其他视图。</t>
  </si>
  <si>
    <t>用于显示屏幕面板的显示照片的图形用户界面</t>
  </si>
  <si>
    <t>CN211154108U</t>
  </si>
  <si>
    <t>本实用新型提供了一种应用于健身苑所的多功能智能手环，包括电子腕带以及内置于电子腕带的智能手环芯片系统，所述电子腕带上设有显示屏，所述智能手环芯片系统包括中央处理器、心率传感器、RFID芯片、天线模块、蓝牙模块及电池，所述显示屏、所述心率传感器、所述RFID芯片、所述天线模块、所述蓝牙模块及所述电池均与所述中央处理器电连接；其便于用户佩戴，结合了物联网及无线通讯技术，集成了门禁认证、储物柜开锁、运动设备数据上传等功能，使用户可获得更为便捷的使用体验。</t>
  </si>
  <si>
    <t>一种应用于健身苑所的多功能智能手环</t>
  </si>
  <si>
    <t>CN306033391S</t>
  </si>
  <si>
    <t>1.本外观设计产品的名称：用于显示屏幕面板的应用于地图的图形用户界面。
 2.本外观设计产品的用途：显示屏幕面板用于显示图形用户界面。
 3.本外观设计产品的设计要点：在于图形用户界面。
 4.最能表明设计要点的图片或照片：主视图。
 5.图形用户界面的用途：在窗口中示出沿着用户选择的期望方向或方位看到的选择区域的高分辨率视图；更一般地，图形用户界面可以用于人机交互和实现显示屏幕面板的功能，并且可以用于在地图上定位、导航、查看和/或定向位置或兴趣点或在地图上显示信息，或者用于在环境中定位、导航、查看和/或定向物体。
 6.图形用户界面的人机交互方式：图形用户界面可以通过轻击、点击图形用户界面或拖动用户的手指划过图形用户界面来交互，以载入后续的图形用户界面或运行应用。
 7.图形用户界面的变化状态说明：根据用户选择的期望的方向，图形用户界面在主视图和界面变化状态图1‑3之间而变化。
 8.显示屏幕面板和图形用户界面可以应用于计算机、笔记本电脑、平板电脑、手机、智能手机、智能手环、智能眼镜、手表、智能手表、健身监视器、头戴式耳机、智能音箱、电视、机顶盒、游戏机、用于汽车的显示装置、GPS装置、导航仪；显示屏幕面板为惯常设计，故省略其他视图。</t>
  </si>
  <si>
    <t>用于显示屏幕面板的应用于地图的图形用户界面</t>
  </si>
  <si>
    <t>CN306040264S</t>
  </si>
  <si>
    <t>1.本外观设计产品的名称：用于显示屏幕面板的应用于地图的图形用户界面。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在沿着道路导航时在地图上显示视野内的兴趣点；更一般地而言，图形用户界面用于人机交互和实现显示屏幕面板的功能，并且可以用于在地图上定位、导航、查看、定向位置或兴趣点以及/或者显示位置或兴趣点的信息，或在环境中定位、导航、查看、定向物体以及/或者显示物体的信息；显示的信息，例如道路地址、建筑物和兴趣点，是可变化的。
 7.图形用户界面的人机交互方式：图形用户界面可以通过轻击、点击图形用户界面和/或拖动用户的手指划过图形用户界面来载入后续的图形用户界面或运行应用程序。
 8.显示屏幕面板和图形用户界面可以应用于计算机、笔记本电脑、用于汽车的显示装置、GPS装置、导航仪、平板电脑、手机、智能手机、智能手环、智能眼镜、手表、智能手表、健身监视器、头戴式耳机、智能音箱、电视、机顶盒、游戏机；显示屏幕面板为惯常设计，故省略其他视图。</t>
  </si>
  <si>
    <t>CN306071781S</t>
  </si>
  <si>
    <t>1.本外观设计产品的名称：显示屏幕面板的直播间送礼动态图形用户界面。
 2.本外观设计产品的用途：用于显示信息。
 3.本外观设计产品的设计要点：在于屏幕中的图形用户界面。
 4.最能表明设计要点的图片或照片：设计1主视图。
 5.指定设计1为基本设计。
 6.图形用户界面的用途：用于展示直播间送礼交互动画。
 7.图形用户界面的人机交互方式：在设计1至设计2中，当主视图界面中的送礼倒计时只剩3s时，动物按钮隐藏，窗口中部的相关信息透明度下降，倒计时控件下方提示比赛即将开始，呈现出主视图至界面变化状态图1的动态效果。
 当界面中的倒计时结束后，倒计时控件消失，界面窗口中的动物开始奔跑，当动物相应跑到终点后，获得第一名的动物位置会有彩带显示，并在此动物跑道上显示奖杯图标，呈现出界面变化状态图1至界面变化状态图3的动态效果。
 当比赛结束后，窗口上方弹出胜负详情弹窗，用户可点击弹窗右上角的“skip”控件关闭弹窗，呈现出界面变化状态图3至界面变化状态图4的动态效果。
 各设计界面上半部分空白区域以及圆形空白区域为内容画面，例如用户头像、直播内容、图片内容等。
 各设计界面中的叉号代表文字和/或数字。
 8.该显示屏幕面板可用于手机，计算机，平板电脑，车载导航仪。</t>
  </si>
  <si>
    <t>显示屏幕面板的直播间送礼动态图形用户界面</t>
  </si>
  <si>
    <t>CN306078884S</t>
  </si>
  <si>
    <t>1.本外观设计产品的名称：用于显示屏幕面板的操作键盘的图形用户界面。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5.图形用户界面的用途：用于人机交互和实现显示屏幕面板的功能，并且图形用户界面可以用于与键盘交互并且/或者用于操作键盘。
 6.图形用户界面的人机交互方式：图形用户界面可以通过轻击、触摸、滚动或滑动显示屏幕面板上的图形用户界面来交互，以载入后续的图形用户界面或运行应用。
 7.图形用户界面的变化状态说明：通过将手指从主视图中的一个字母、数字或其它键依次滑动到界面变化状态图1‑3中的键而不从图形用户界面移开手指，图形用户界面的外观依次在主视图和界面变化状态图1‑3之间变化。
 8.显示屏幕面板和图形用户界面可以应用于计算机、笔记本电脑、平板电脑、手机、智能手环、智能眼镜、手表、健身监视器、头戴式耳机、个人数字助理、智能音箱、电视、机顶盒、游戏机；显示屏幕面板为惯常设计，故省略其他视图。</t>
  </si>
  <si>
    <t>用于显示屏幕面板的操作键盘的图形用户界面</t>
  </si>
  <si>
    <t>CN211611573U</t>
  </si>
  <si>
    <t>本实用新型涉及智能监测装置技术领域，且公开了一种便于安装的乒乓球用人工智能监测装置，包括乒乓球台和两个智能监测机，乒乓球台的底部四角处均固定连接有支撑腿，智能监测机连接有安装机构，安装机构包括螺纹杆、滑杆、两个螺纹孔、两个滑孔和两块固定板，两块固定板分别固定连接在对应的智能监测机底部，且两块固定板分别位于乒乓球台的两侧设置，两个螺纹孔分别开设在对应的固定板上，螺纹杆穿过螺纹孔并与螺纹孔螺纹连接，螺纹杆为对称螺纹设置，且螺纹杆位于乒乓球台的上方设置。本实用新型可以将智能监测装置快速的安装在乒乓球台的遮挡网位置，不用额外的占用乒乓球台面，选手视线不会被遮挡，不会阻挡乒乓球的正常前进路线。</t>
  </si>
  <si>
    <t>CN306098397S</t>
  </si>
  <si>
    <t>1.本外观设计产品的名称：用于显示屏幕面板的显示声音信息的图形用户界面。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5.图形用户界面的用途：用于人机交互和实现显示屏幕面板的功能，并且图形用户界面可以用于显示和选择声音信息和选项，例如音量。
 6.图形用户界面的人机交互方式：图形用户界面可以通过操作具有该显示屏幕面板的电子装置来交互。
 7.图形用户界面的变化状态说明：图形用户界面的外观从主视图依次变化到界面变化状态图2以降低音量，并且从界面变化状态图2依次变化到界面变化状态图4以增大音量。
 8.显示屏幕面板和图形用户界面可以应用于计算机、笔记本电脑、平板电脑、手机、智能手环、智能眼镜、手表、健身监视器、头戴式耳机、个人数字助理、智能音箱、电视、机顶盒、游戏机；显示屏幕面板为惯常设计，故省略其他视图。</t>
  </si>
  <si>
    <t>用于显示屏幕面板的显示声音信息的图形用户界面</t>
  </si>
  <si>
    <t>CN306210510S</t>
  </si>
  <si>
    <t>1.本外观设计产品的名称：显示屏幕面板的显示声音信息的动态图形用户界面。
 2.本外观设计产品的用途：显示屏幕面板用于显示图形用户界面。
 3.本外观设计产品的设计要点：在于动态图形用户界面。
 4.最能表明设计要点的图片或照片：主视图。
 5.图形用户界面的用途：用于人机交互和实现显示屏幕面板的功能，并且图形用户界面可以用于显示和选择声音信息和选项，例如音量。
 6.图形用户界面的人机交互方式：图形用户界面可以通过操作具有该显示屏幕面板的电子装置或通过轻击或触摸显示屏幕面板来交互。
 通过该交互，动态图形用户界面的外观依次从主视图变化到界面变化状态图1‑4。
 7.显示屏幕面板和动态图形用户界面可以应用于计算机、笔记本电脑、平板电脑、手机、智能手环、智能眼镜、手表、健身监视器、头戴式耳机、个人数字助理、智能音箱、电视、机顶盒、游戏机；显示屏幕面板为惯常设计，故省略其他视图。</t>
  </si>
  <si>
    <t>显示屏幕面板的显示声音信息的动态图形用户界面</t>
  </si>
  <si>
    <t>CN112870678A</t>
  </si>
  <si>
    <t>本发明涉及智能监测装置技术领域，且公开了一种便于安装的乒乓球用人工智能监测装置，包括乒乓球台和两个智能监测机，乒乓球台的底部四角处均固定连接有支撑腿，智能监测机连接有安装机构，安装机构包括螺纹杆、滑杆、两个螺纹孔、两个滑孔和两块固定板，两块固定板分别固定连接在对应的智能监测机底部，且两块固定板分别位于乒乓球台的两侧设置，两个螺纹孔分别开设在对应的固定板上，螺纹杆穿过螺纹孔并与螺纹孔螺纹连接，螺纹杆为对称螺纹设置，且螺纹杆位于乒乓球台的上方设置。本发明可以将智能监测装置快速的安装在乒乓球台的遮挡网位置，不用额外的占用乒乓球台面，选手视线不会被遮挡，不会阻挡乒乓球的正常前进路线。</t>
  </si>
  <si>
    <t>KR102305335B1</t>
  </si>
  <si>
    <t>本发明涉及一种基于物联网的迷你高尔夫系统及其方法。 
  根据本发明,在使用基于物联网的迷你高尔夫球系统的迷你高尔夫球比赛方法中,迷你高尔夫球服务器从用户接收用户ID并从具有第一通信模块的高尔夫球接收识别号码,用户将ID与高尔夫球的标识号匹配,当用户将高尔夫球放在球场上时,通过第一通信模块接收通过附着在高尔夫球上的冲击传感器感测到的推杆信息;接收高尔夫球之间的联系信息与障碍物通过安装在障碍物上的第二通信模块,在迷你高尔夫比赛中,当用户推杆击中场地内的障碍物时;如果确定已经进入球洞,则接收来自阅读器的信息接收到对应洞的结束信息时,根据推杆信息和障碍物接触信息计算用户得分。 
  如上所述,根据本发明,可以在狭窄的室内空间享受高尔夫,并且与传统高尔夫不同,可以使用诸如障碍物的元素来提供不同类型的享受。</t>
  </si>
  <si>
    <t>基于物联网的迷你高尔夫系统及其方法</t>
  </si>
  <si>
    <t>IN201911049040A</t>
  </si>
  <si>
    <t>一个智能系统,可根据羽毛球运动员当前的球拍动作提出改进建议,帮助他们识别和纠正动作。 该系统有一个可拆卸的夹子,可以安装在任何羽毛球拍上。 玩家可以从配套的移动应用程序或设备本身开始教练课程并开始比赛。 在整个训练过程中,球拍上的运动都会被记录下来。 玩家完成游戏后,设备会使用专门为此任务训练的基于机器学习的模型来处理记录的动作数据,并建议玩家可以在动作中进行的更改/更正以提高他们的表现。 该设备还考虑了其​​他因素,例如球员的体格、他们的饮食习惯和以前的训练历史。 该设备由微型锂电池供电,可以选择更换/充电。</t>
  </si>
  <si>
    <t>人工智能驱动的羽毛球教练推荐技巧以提高球员的技能</t>
  </si>
  <si>
    <t>CN111027427B</t>
  </si>
  <si>
    <t>一种用于小型无人机竞速比赛的目标门检测方法，属于基于视觉的目标检测技术领域。通过对目标门拐角处关键点的检测，进而定位出目标门的位置。本发明利用了目标门的边缘信息，避免了目标门内部背景信息的影响。此外本发明设计的神经网络具有结构轻量化的特点，能够在小型无人机机载计算机上达到实时检测的效果。</t>
  </si>
  <si>
    <t>一种用于小型无人机竞速比赛的目标门检测方法</t>
  </si>
  <si>
    <t>CN210377785U</t>
  </si>
  <si>
    <t>本实用新型公开了一种游泳池防溺水智能识别与定位装置，它涉及预警设备领域，它包括泳帽、定位装置、工业相机、视觉控制器，所述的定位装置嵌入装配于泳帽的内部一侧，所述的工业相机设于游泳池的四周，且均与视觉控制器连接，上述组件中相互间通过特定的装配连接关系，构成一种游泳池防溺水智能识别与定位装置的整体。与现有的防溺水技术相比，防溺水智能识别与定位装置将人工智能技术引入防溺水辅助设备，实现了对游泳者的智能监控和危险判定。</t>
  </si>
  <si>
    <t>一种游泳池防溺水智能识别与定位装置</t>
  </si>
  <si>
    <t>CN306093015S</t>
  </si>
  <si>
    <t>1.本外观设计产品的名称：显示屏幕面板的操作系统图形用户界面。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6.图形用户界面的用途：用于人机交互和实现显示屏幕面板的功能，并且可以用于显示信息，例如用于载入应用的图标等。
 7.图形用户界面的人机交互方式：图形用户界面可以通过轻击或滚动图形用户界面而交互，以载入后续的图形用户界面或运行应用。
 8.显示屏幕面板和图形用户界面可以应用于计算机、笔记本电脑、平板电脑、手机、智能手环、智能眼镜、手表、健身监视器、头戴式耳机、个人数字助理、智能音箱、电视、机顶盒、游戏机；显示屏幕面板为惯常设计，故省略其他视图。</t>
  </si>
  <si>
    <t>显示屏幕面板的操作系统图形用户界面</t>
  </si>
  <si>
    <t>WO2021040147A1</t>
  </si>
  <si>
    <t>本发明提供一种乒乓球物品推荐系统,用于推荐乒乓球物品,包括乒乓球拍和安装在乒乓球拍柄上的可附着于乒乓球拍的一个或两个表面的橡胶中的至少一个。球拍,以及乒乓球拍的挥拍轨迹 重复检测加速度、角速度和对传感单元的冲击量的传感单元,与传感单元电连接,并交替重复多个橡胶或多个组合的乒乓球拍,通过感测单元和斥力测量单元感测的加速度和角速度,使用击球量测量每一个的排斥力,根据用户的个人信息对排斥力信息进行分类,并将其存储在数据库中并连接到数据库和与用户信息输入相对应的数据库它包括一个服务器,该服务器为多个橡胶或多个乒乓球拍的每个组合提供制造商和产品名称乒乓球文章中存储着斥力信息。</t>
  </si>
  <si>
    <t>乒乓球器材推荐系统</t>
  </si>
  <si>
    <t>CN112865822A</t>
  </si>
  <si>
    <t>本发明公开了一种用于模数混合调幅广播接收机的抗音频干扰方法，其具体操作步骤为，在接收机对模数混合接收信号利用频谱分布差异初步滤除模拟音频信号后，该方法首先利用削波器对MPPSK数字调制信号的残余音频干扰进行有效限幅后，采用自适应滤波技术进一步滤除残余音频干扰，并进行中值滤波处理，然后将自适应滤波后的信号乘以相干载波并低通滤波，最后结合相应位同步算法进行支持向量机（SVM）判决。本发明极大消除了数字接收信号中的音频干扰，数字解调性能相对传统解调方法有了较大提高，且大幅降低了位同步要求，同时本发明的信号处理易于实现，可大大降低对硬件的需求。</t>
  </si>
  <si>
    <t>一种用于模数混合调幅广播接收机的抗音频干扰方法</t>
  </si>
  <si>
    <t>GB2589568A</t>
  </si>
  <si>
    <t>传感器设备10包括传感器模块101和被布置成通过双向线路11发送和接收数据的输入-输出接口105。缓冲器103被布置成存储时间序列传感器数据。 可编程且可擦除的非易失性存储器109接收并存储传感器设备10的标识符。传感器模块101使用传感器数据生成推断,例如,传感器数据。 健身活动识别。 可以使用机器学习模型生成推理。 传感器设备10被布置成在通过双向线路11发送由传感器模块101感测的数据和生成的推断之间切换。 传感器数据可以在传输之前被压缩。 传感器装置10是单线传感器装置。 输入输出接口105是单线输入输出接口。 传感器模块101是运动、电势、电阻抗、化学或光学传感器模块。 在包括主设备的系统中提供传感器设备10。 传感器装置10或系统被结合到可穿戴物品中。</t>
  </si>
  <si>
    <t>传感器装置、系统和可穿戴物品</t>
  </si>
  <si>
    <t>CN111144217B</t>
  </si>
  <si>
    <t>本发明涉及一种基于人体三维关节点检测的动作评价方法，属于计算机视觉领域，包括步骤：S1：对视频分帧后的单帧图片进行人体三维关节点检测；S2：提取视频指定帧数的关键帧；S3：构建运动向量特征和关节动能特征，并提取特征值；S4：多特征融合构建关键帧动作相似度对比模型：融合步骤S3中的子特征，针对不同类型动作，构建个性化模型；基于余弦相似度构造运动向量特征相似度函数，基于加权函数构造关节动能相似度函数；基于两相似度函数得到关键帧动作相似度对比模型，将待检测动作与标准动作的关键帧集合进行比较，最终得到运动视频的动作相似度。本方法更准确和科学，可用于体育健身动作纠正与教学。</t>
  </si>
  <si>
    <t>一种基于人体三维关节点检测的动作评价方法</t>
  </si>
  <si>
    <t>CN305808771S</t>
  </si>
  <si>
    <t>1.本外观设计产品的名称：显示屏幕面板的显示时间动态图形用户界面。
 2.本外观设计产品的用途：屏幕面板用于显示图形用户界面和/或运行程序和/或通讯。
 3.本外观设计产品的设计要点：在于动态图形用户界面。
 4.最能表明设计要点的图片或照片：主视图。
 5.图形用户界面的用途：用于人机交互和实现屏幕面板的功能，并且可以用于显示时间和其它信息，例如天气和太阳/日光的位置和/或运动。
 6.图形用户界面的人机交互方式：图形用户界面可以通过按压、滑动或轻击屏幕面板来交互以访问后续的图形用户界面或应用，并且/或者可以通过操作屏幕面板所应用的电子装置来交互。
 7.图形用户界面的变化状态说明：动态图形用户界面的外观依次在主视图和界面变化状态图1之间变化。
 8.屏幕面板和图形用户界面可以应用于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该显示装置包括用于交通工具的显示装置；屏幕面板为惯常设计，故省略其他视图。</t>
  </si>
  <si>
    <t>显示屏幕面板的显示时间动态图形用户界面</t>
  </si>
  <si>
    <t>CN305808772S</t>
  </si>
  <si>
    <t>1.本外观设计产品的名称：用于显示屏幕面板的显示时间的图形用户界面。
 2.本外观设计产品的用途：显示屏幕面板用于显示图形用户界面和/或运行程序和/或通讯。
 3.本外观设计产品的设计要点：在于图形用户界面。
 4.最能表明设计要点的图片或照片：设计1主视图。
 5.指定设计1为基本设计。
 6.图形用户界面的用途：用于人机交互和实现显示屏幕面板的功能，并且可以用于显示时间。
 7.图形用户界面的人机交互方式：图形用户界面可以通过触摸图形用户界面一段时间来定制图形用户界面，或者通过向左或向右滑动来载入另一个图形用户界面。
 8.显示屏幕面板和图形用户界面可以应用于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该显示装置包括用于交通工具的显示装置；显示屏幕面板为惯常设计，故省略其他视图。</t>
  </si>
  <si>
    <t>用于显示屏幕面板的显示时间的图形用户界面</t>
  </si>
  <si>
    <t>CN305828452S</t>
  </si>
  <si>
    <t>1.本外观设计产品的名称：用于显示屏幕面板的显示时间的图形用户界面。
 2.本外观设计产品的用途：显示屏幕面板用于显示图形用户界面和/或运行程序和/或通讯。
 3.本外观设计产品的设计要点：在于图形用户界面。
 4.最能表明设计要点的图片或照片：设计1主视图。
 5.指定设计1为基本设计。
 6.图形用户界面的用途：用于人机交互和实现显示屏幕面板的功能，并且可以用于显示时间。
 7.图形用户界面的人机交互方式：图形用户界面可以通过触摸图形用户界面一段时间来定制图形用户界面，或通过向左或向右滑动来交互，以载入另一个图形用户界面。
 8.显示屏幕面板和图形用户界面可以应用于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该显示装置包括用于交通工具的显示装置；显示屏幕面板为惯常设计，故省略其他视图。</t>
  </si>
  <si>
    <t>CN306011722S</t>
  </si>
  <si>
    <t>1.本外观设计产品的名称：用于显示屏幕面板的显示时间的图形用户界面。
 2.本外观设计产品的用途：显示屏幕面板用于显示图形用户界面。
 3.本外观设计产品的设计要点：在于图形用户界面。
 4.最能表明设计要点的图片或照片：设计1主视图。
 5.指定设计1为基本设计。
 6.图形用户界面的用途：用于人机交互和实现显示屏幕面板的功能，并且可以用于显示时间和其它信息，例如天气和太阳/日光的位置和/或运动。
 7.图形用户界面的人机交互方式：图形用户界面可以通过按压、滑动或轻击显示屏幕面板来交互以访问后续的图形用户界面或应用，并且/或者可以通过操作显示屏幕面板所应用的电子装置来交互。
 8.显示屏幕面板和图形用户界面可以应用于计算机、笔记本电脑、便携式通讯设备、便携式多媒体设备、平板电脑、手机、智能手机、智能手环、智能眼镜、手表、智能手表、健身监视器、头戴式耳机、个人数字助理、智能音箱、电视、机顶盒、游戏机、用于交通工具的显示装置。
 显示屏幕面板为惯常设计，故省略其他视图。</t>
  </si>
  <si>
    <t>CN306106110S</t>
  </si>
  <si>
    <t>1.本外观设计产品的名称：显示屏幕面板的显示键盘选项动态图形用户界面。
 2.本外观设计产品的用途：显示屏幕面板用于显示图形用户界面。
 3.本外观设计产品的设计要点：在于动态图形用户界面。
 4.最能表明设计要点的图片或照片：主视图。
 5.图形用户界面的用途：用于人机交互和实现显示屏幕面板的功能，并且图形用户界面可以用于显示选项和/或选择选项，例如键盘选项。
 6.图形用户界面的人机交互方式：图形用户界面可以通过轻击、触摸、滚动或滑动显示屏幕面板上的图形用户界面来交互，以载入后续的图形用户界面或运行应用。
 7.图形用户界面的变化状态说明：动态图形用户界面的外观依次在主视图和界面变化状态1‑2之间变化。
 8.屏幕面板和动态图形用户界面可以应用于具有显示屏的各种电子装置，例如计算机、笔记本电脑、显示装置、通讯设备、多媒体设备、信息终端、便携式通讯设备、便携式多媒体设备、便携式信息终端、平板电脑、手机、智能手机、可穿戴设备、手表、智能手表、健身监视器、头戴式耳机、个人数字助理、智能音箱、电视、机顶盒、游戏系统，该显示装置包括用于交通工具的显示装置。</t>
  </si>
  <si>
    <t>显示屏幕面板的显示键盘选项动态图形用户界面</t>
  </si>
  <si>
    <t>KR102324690B1</t>
  </si>
  <si>
    <t>根据本发明的实施例,应用了深度学习的乒乓球机器人系统能够使用深度学习和视觉系统与用户进行互动拉力,并且所提出的方法的乒乓球机器人检测复杂的数学计算和乒乓球的运动轨迹,区别于现有机器人,可以根据用户的运动能力来提升自己的表现,另外,只需一台立体摄像头即可操作,方便用户取用财务和深度学习。使用的乒乓球机器人可以为未来老年人、患者和残疾人的康复问题做出很大贡献。</t>
  </si>
  <si>
    <t>使用深度学习的乒乓球机器人系统</t>
  </si>
  <si>
    <t>CN110947165A</t>
  </si>
  <si>
    <t>本发明提供一种基于物联网的健身过程数据处理系统，对健身过程的数据进行采集并监控，基于预设协议及预设通信时间校准方式，进行数据通信，解析客户端传输的数据，并对数据进行处理，及储存，提供查询端口及数据操作端口。本发明定义参数信息的报警级别，根据不同个级别分别进行显示提示。系统提供多个通信通道进行数据通信，满足多个场景使用，多用户使用，用户与用户之间不干扰，通过图表形式向用户展示系统的综合诊断信息，包括健身设备的状态信息，环境装置的状态信息，向用户显示每个参数是否在阈值范围之内；为用户提供健身的日报告数据，月报告数据；用户可以按条件查询某一日期的健身历史信息，形成健身报告。</t>
  </si>
  <si>
    <t>一种基于物联网的健身过程数据处理系统</t>
  </si>
  <si>
    <t>CN111274861A</t>
  </si>
  <si>
    <t>本发明涉及图片处理领域，算法领域，机器学习领域，尤其涉及一种通过计算面容扭曲度预测健身效果的方法。通过采集海量的用户训练结果数据以及训练时的表情图，经过google提供的tensorflow训练出循环神经网络模型，对后期产生的健身时的表情扭曲度图进行预测，给出对应的效果数据。</t>
  </si>
  <si>
    <t>一种健身效果的预测方法</t>
  </si>
  <si>
    <t>CN306141382S</t>
  </si>
  <si>
    <t>1.本外观设计产品的名称：用于显示屏幕面板的用于地图的图形用户界面。
 2.本外观设计产品的用途：显示屏幕面板用于显示图形用户界面。
 3.本外观设计产品的设计要点：在于图形用户界面。
 4.最能表明设计要点的图片或照片：主视图。
 5.图形用户界面的用途：用于人机交互和实现显示屏幕面板的功能，并且可以用于显示信息，包括地图/导航、媒体/娱乐、日历/约会和通讯信息。
 6.图形用户界面的人机交互方式：图形用户界面可以通过触摸、轻击、滚动、滑动和/或按压显示屏幕面板来交互，并且/或者可以通过操作具有显示屏幕面板的电子装置来交互。
 7.显示屏幕面板和图形用户界面可以应用于计算机、笔记本电脑、用于汽车的显示装置、GPS装置、导航仪、平板电脑、手机、智能手机、智能手环、智能眼镜、手表、智能手表、健身监视器、头戴式耳机、个人数字助理、智能音箱、电视、机顶盒、游戏机；显示屏幕面板为惯常设计，故省略其他视图。</t>
  </si>
  <si>
    <t>CN110828654B</t>
  </si>
  <si>
    <t>本发明公开了一种复合压电薄膜及其制备方法，本发明是利用纯天然植物纳米纤维素纤维、Mxene和聚偏氟乙烯为原材料，通过机械混合、干燥成膜和高压极化等工艺制备出具有较强压电性能的纳米纤维素/PVDF复合膜。生产成本较低、工艺较为简单；产品柔韧性较好、灵敏度较高，既适合于批量生产，也适合于连续生产，该产品压电常数较高、环境适应性较强，在医疗保健、体育休闲、人机交互及交通运输等领域具有较大的应用潜能。</t>
  </si>
  <si>
    <t>一种复合压电薄膜及其制备方法</t>
  </si>
  <si>
    <t>EP3660725A1</t>
  </si>
  <si>
    <t>本发明涉及一种估计与体育用品的区域相关联的物理特性的方法,包括以下步骤: (a.)确定该区域内的多个结构特征; (b.) 为每个结构特征确定一个特征值; (c.)将每个特征值映射到物理属性,其中该映射基于来自有限多个样本的机器学习算法,并且其中每个样本将特征值与​​物理属性的值相关联; (d.) 使用映射来估计该区域的物理特性。</t>
  </si>
  <si>
    <t>体育文章中基于体积的物理特性预测</t>
  </si>
  <si>
    <t>JP2021078928A</t>
  </si>
  <si>
    <t>本发明提供一种喷射浴控制系统,即使入浴者在浴缸内的坐姿发生变化,也能照射加压喷射水来持续刺激。 
  SOLUTION:当沐浴者改变坐姿,如伸腿坐姿、盘腿坐姿、盘腿坐姿时,深度学习装置211判断沐浴者出现水泡的大小和出现情况水或水面上。它输出关节角度和平移矢量,适用于指示位置和数字的水泡图案。 姿态变换单元205根据输出的关节角度和平移向量,利用刚度变换矩阵204M变换调整为适合入浴者体形的人体模型201N,得到坐姿的人体模型。 经过上述处理后,纹理贴图单元207将经络贴图附加到变形后的人体体型模型上,使喷头111h至115h喷出的射流方向跟随穴位位置的变化。沐浴者的姿势。可以制作 
  【选型图】图3</t>
  </si>
  <si>
    <t>喷射浴控制系统</t>
  </si>
  <si>
    <t>KR1020210062403A</t>
  </si>
  <si>
    <t>本发明涉及一种通过图像分析和大数据分析的网络游戏游戏倾向分析和辅导系统,其使用用户界面(UI,User Interface),其中玩家与玩家计算机上的相应网络游戏进行交互以获得特定球员的图像。配置为对录制的视频进行记录和分析,通过人工智能学习分析和提供包括球员的方法、策略、战术、部署等在内的元数据。为每个球员提供统计数据和图像数据。字符,包括客户端应用程序100、视频记录单元200、元数据分析单元300、数据存储单元400和客户端网络500的主要组件被提供。</t>
  </si>
  <si>
    <t>通过视频分析和大数据分析的在线游戏游戏趋势分析和教练系统</t>
  </si>
  <si>
    <t>GB2589843B</t>
  </si>
  <si>
    <t>从图像数据中导出三维(3D)数据包括从至少一个照相机接收表示环境的图像数据,从图像数据中检测环境内的至少一个对象。 通过神经网络对物体进行分类并确定物体的2D骨架,并通过将2D骨架映射到3D来确定3D骨架。 可以对表示人的部分的多个相关联的子对象404a-c进行分类。 将 2D 骨架映射到 3D 可以使用神经网络、统计或概率方法,并且可以应用人体解剖学完整约束。 图像数据可以包括从多个摄像机中的每一个收集的按时间排序的帧序列,并且可以在每个帧中对对象进行分类并且跨帧序列进行跟踪。 可以构建环境的 3D 模型,同时进行定位和映射以估计每个相机的位置和方向,并且可以通过将 3D 骨架与对象的 3D 模型集成来构建 3D 化身。 这些对象可以是真实世界运动环境中的运动员和运动器材,例如足球、网球或橄榄球比赛。</t>
  </si>
  <si>
    <t>用于生成真实世界环境的 4d 时空模型的实时系统</t>
  </si>
  <si>
    <t>CN110755856A</t>
  </si>
  <si>
    <t>本发明公开了一种无人机体育比赛对抗装置，包括：无人机，所述无人机具有抓取装置；和比赛小球，所述比赛小球能够被无人机的抓取装置抓取和放下；无人机受到外力冲撞作用下，被抓取装置抓取的比赛小球能够掉落。本发明的无人机体育比赛对抗装置可以进行类似于篮球对抗赛等的项目，同时能够减缓比赛或工作中受到的碰撞冲击力，从而可以使无人机持续工作，为无人机研发以及人工智能开发人员提供一个良好的检验、交流平台，同时加大无人机爱好者的兴趣。</t>
  </si>
  <si>
    <t>一种无人机体育比赛对抗装置</t>
  </si>
  <si>
    <t>CN211676282U</t>
  </si>
  <si>
    <t>本实用新型公开了一种无人机体育比赛对抗装置，包括：无人机，所述无人机具有抓取装置；和比赛小球，所述比赛小球能够被无人机的抓取装置抓取和放下；无人机受到外力冲撞作用下，被抓取装置抓取的比赛小球能够掉落。本实用新型的无人机体育比赛对抗装置可以进行类似于篮球对抗赛等的项目，同时能够减缓比赛或工作中受到的碰撞冲击力，从而可以使无人机持续工作，为无人机研发以及人工智能开发人员提供一个良好的检验、交流平台，同时加大无人机爱好者的兴趣。</t>
  </si>
  <si>
    <t>CN112820168A</t>
  </si>
  <si>
    <t>本发明提供一种智能教练车，所述智能教练车包括：传感模块，用于感测所述智能教练车的周边环境信息；处理模块，与所述传感模块和采集模块分别通信相连，用于获取所述智能教练车的当前状态信息，并根据所述智能教练车的周边环境信息和当前状态信息对学员的驾驶操作提供实时指导；交互模块，与所述处理模块通信相连，用于实现学员与所述智能教练车的人机交互。本发明可以对学员学车进行智能教学，无需教练陪同指导。所述智能教练车不但可以对学员学车进行随时随地的教学，实现了学员的自主学车。</t>
  </si>
  <si>
    <t>智能教练车</t>
  </si>
  <si>
    <t>US11321894B2</t>
  </si>
  <si>
    <t>描述了基于人工智能的运动控制技术。 根据本发明的一个方面,基于用户参照指导者执行的动作执行的动作来提供指令。 关于用户运动的各种参数被分析、导出并与存储的参数进行比较。 根据用户的运动参数呈现基于用户或代表用户的化身的动画。 设计了各种技术或算法以提供用户和教练的运动的不同透视图,并比较用户和教练的运动或姿势。</t>
  </si>
  <si>
    <t>通过衣服进行运动控制</t>
  </si>
  <si>
    <t>KR1020210059214A</t>
  </si>
  <si>
    <t>本发明涉及一种通过基于人工智能的皮肤诊断提供客户定制的皮肤外用制剂的方法,其中本发明(A)在原料信息数据库中积累各种原料和皮肤外用制剂及其评估信息。 , (B) 顾客输入皮肤意见信息、皮肤测量信息、皮肤图像信息,通过网络将上述信息积累在皮肤信息数据库中,通过基于人工智能(AI)的机器学习生成皮肤诊断信息,(C )通过深度跑步提供针对特定顾客的皮肤特性和当时的皮肤状况优化的原材料信息和外用皮肤制剂信息,以及(D)相应地提供顾客定制的外用皮肤制剂,根据本发明,通过在特定时间点提供针对特定客户优化的皮肤诊断信息和天然生理活性原料信息,提供针对每个客户优化的解决方案和皮肤护理,以及特定客户的皮肤类型和相应的时间点。通过在皮肤中选择适合皮肤状况的原料,特别是合适的天然生理活性原料,提供优化设计的客户定制皮肤外用制剂。</t>
  </si>
  <si>
    <t>基于人工智能的皮肤诊断提供定制皮肤外用剂的方法</t>
  </si>
  <si>
    <t>US11763144B2</t>
  </si>
  <si>
    <t>描述了估计与运动物品的区域相关的物理特性的方法。 该方法包括确定该区域内的多个结构特征,针对每个结构特征确定特征值,将每个特征值映射到物理属性,其中该映射基于来自有限多个样本的机器学习算法, 并且其中每个样本将特征值与​​物理属性的值相关联,并且使用映射来估计该区域的物理属性。</t>
  </si>
  <si>
    <t>CN210963773U</t>
  </si>
  <si>
    <t>本实用新型涉及康复医疗和运动健身器技术领域，且公开了一种集卧坐、站立一体化智能双下肢康复评估训练设备，包括底座，所述底座的顶部固定连接有屏幕支架，所述屏幕支架顶部固定连接有屏幕，该集卧坐、站立一体化智能双下肢康复评估训练设备，通过屏幕的人工智能系统辅助病人做下肢康复训练，然后病人通过人工智能系统辅助带动下肢康复器向上运动带动转轮向上转动，同时再通过转杆一带动下肢康复器向左上转动运动，从而达到锻炼下肢的目的，同时增加了病人通过人工智能系统辅助达到病人康复的训练的效果，同时减少人员精力上的损失，也减少因病人的体质不同造成的病人康复训练过度的现象出现。</t>
  </si>
  <si>
    <t>一种集卧坐、站立一体化智能双下肢康复评估训练设备</t>
  </si>
  <si>
    <t>BR102019023974A2</t>
  </si>
  <si>
    <t>乘客运输的方法、系统和应用程序,在有或没有司机选择和/或产品/文件/货物运输的情况下立即或系统出发,与虚拟商店集成,用于购买促销/包裹/产品/服务/重复性比赛的包裹,并与它自己的社交网络,带有奖励和优势俱乐部。 有一些应用程序、网站和系统可以运输乘客、服务、购买、优势和奖励、社交网络,他们独立工作。 我们的应用系统允许乘客运输立即开始,使用驾驶员识别码和比赛偏好设置,可以安排和重复,允许创建包裹。 只要有可用的奖励积分余额,用户就会在系统提供的范围内应用折扣。 它还拥有一个集成的社交网络,可以访问使用我们平台的人的专业和业务资料。 允许购买食品、产品、包裹、承包服务、运送乘客、货物、产品、文件。 具有用于运输和购买产品和/或服务的调度和其他选项。 调度服务,可选择运输、产品销售、设备、服务提供、工程。 预订住宿和服务。 这一切都使用人工智能进行有效管理。</t>
  </si>
  <si>
    <t>用于在有或没有司机选择的情况下立即或系统出发的乘客运输和/或产品/文件/货物的运输的方法和系统以及与用于购买促销/套餐/产品/服务/经常性套餐的虚拟商店集成的应用程序游乐设施和自己的社交网络以及奖励和优势俱乐部</t>
  </si>
  <si>
    <t>US10776616B2</t>
  </si>
  <si>
    <t>CN111177396B</t>
  </si>
  <si>
    <t>本发明公开了一种结合知识图谱的篮球赛事投篮事件自动分析和可视化方法，通过对赛事激烈程度的自动分析、将投篮事件可视化形式呈现并与投篮动作视频有机结合、将知识图谱数据作为篮球可视化背景信息的载入补充与知识拓展，提升用户对篮球赛事的理解。该方法包括，由数据分析网站获取篮球比赛统计数据和投篮事件数据，通过识别比分板变化状态识别投篮命中事件；构建真实篮球赛场与二维坐标系的映射，完成投篮事件可视化并和视频摘要建立对应关系；确定投篮事件可视化实体，并基于实体查询知识图谱数据库的信息；使用文本处理技术处理知识图谱数据，并将数据导入可视化组件中完成可视化渲染。</t>
  </si>
  <si>
    <t>结合知识图谱的篮球赛事投篮事件自动分析和可视化方法</t>
  </si>
  <si>
    <t>CN110793539A</t>
  </si>
  <si>
    <t>本发明公开一种基于运动分量阈值和机器学习的溺水检测方法和系统，使用九轴传感器，采集人体游泳运动数据，对数据进行滤波、归一化以及FFT处理，提取特征值，对特征值进行模式匹配，当模式匹配不成功，则对运动数据进行分量分解，在计算水平位移之前，进行零速矫正。设置水平方向位移阈值作为判断可能溺水的条件。当模式匹配不成功，且非溺水预警状态时，采用机器学习方法提取特征数据并分类存入模式库，模式库持续更新，可以不断提升检测算法准确度。</t>
  </si>
  <si>
    <t>基于运动分量阈值和机器学习的溺水检测方法和系统</t>
  </si>
  <si>
    <t>JP2020095699A</t>
  </si>
  <si>
    <t>本发明提供一种视障人士信息呈现系统,可以呈现信息,使视障人士能够享受具有真实感的体育比赛。 
  解决方案:视障人士的信息呈现系统 1 用摄像机 2 捕捉足球场 F,并从图像中,处理设备 3 确定场地外边缘的位置和形状,这是一个固定的物体,通过图像识别得到两队所有球员的位置和足球这个固定物体的位置,并将固定物体、球员、动态物体映射成信息呈现以任意比例与比赛场地F相似的场地生成信息呈现地图,并将该信息呈现地图再现到针显示器4上,视觉障碍者可以触摸以掌握二维空间中的信息。 
  【选型图】图1</t>
  </si>
  <si>
    <t>视障人士资讯呈现系统</t>
  </si>
  <si>
    <t>CN111491193B</t>
  </si>
  <si>
    <t>本发明涉及图像识别，具体涉及一种电竞赛事直播画面信息自动呈现方法，在PC2上打开H5操作界面，并与OB电竞比赛的OB机连接，当PC2上的画面出现有效数据或信息更新时，在操作界面点击相关按钮触发截图操作，PC2根据S1中按下的相关按钮判断识别图像信息还是识别文字信息，PC2判断识别图像信息后，对截图进行二值化、灰度化处理，并计算阈值，由于识别的图像信息总是分布在截图的固定位置，因此可根据提前设定的坐标对S3中处理后的截图进行分割，PC2根据S1中按下的相关按钮选取S4中对应坐标内的分割图片，将选取的分割图片与数据库内的图片模板进行RGB值比对；本发明所提供的技术方案有效克服无法根据直播画面自动更新字幕、图像信息识别速度较慢的缺陷。</t>
  </si>
  <si>
    <t>一种电竞赛事直播画面信息自动呈现方法</t>
  </si>
  <si>
    <t>CN110681134A</t>
  </si>
  <si>
    <t>本发明涉及一种翻转式乒乓球捡拾装置，包括可移动车体、储球容器、转臂和临时储球器。临时储球器两端开口的套筒结构，临时储球器外壁面与转臂连接，临时储球器的一个开口面上设有多根平行的弹性丝，通过转臂的旋转可将临时储球器设有弹性丝的开口面压于乒乓球上，使得乒乓球由相邻弹性丝间挤入临时储球器中，通过转臂的旋转可将临时储球器中的乒乓球由未设弹性丝的开口面倒入储球容器中。与现有技术相比，本发明捡球装置的体积大为缩小可以灵活进入乒乓球桌下方活动支架内的狭小空间内进行捡球作业；降低了捡球作业时的噪音；通过定位传感器和图像识别功能实现目标乒乓球位置的具体确定，显著的提升了乒乓球捡拾过程的精准度。</t>
  </si>
  <si>
    <t>一种翻转式乒乓球捡拾装置</t>
  </si>
  <si>
    <t>CN110728837A</t>
  </si>
  <si>
    <t>本发明涉及音箱控制领域，公开了一种基于无线方式的篮球式智能音箱控制系统，包括控制终端和篮球式智能音箱，控制终端上安装有音箱控制APP，控制终端包括主控制器、麦克风、第一触控屏、存储器、语音识别模块和第一无线通信模块，篮球式智能音箱包括微处理器、第二无线通信模块、第二触控屏、音频处理电路和扬声器；音频处理电路包括电压输入端、第一电位器、第一电容、第二电位器、第二电容、第一三极管、第三电阻、第三电容、第四电位器、第二二极管、第一二极管、第六电位器、第二三极管、第七电阻、第五电阻、第三三极管、第四三极管、第四电容和蓄电池。本发明控制方式较为灵活、电路的安全性和可靠性较高、实现安全供电。</t>
  </si>
  <si>
    <t>基于无线方式的篮球式智能音箱控制系统</t>
  </si>
  <si>
    <t>CN110826491A</t>
  </si>
  <si>
    <t>一种手工特征与深度特征相结合的视频关键帧检测方法用于体育视频内容分析领域。基于深度特征的方法因为网络结构复杂，导致效率不高。广播视频还包括很多其他类型的镜头如中场休息、渐变镜头等。检测结果包含大量无关帧。针对这一问题，提出了一种手工特征与深度特征相结合的视频关键帧检测方法。首先基于颜色直方图特征进行镜头边界检测获取最后一帧。进一步基于直方图相似性提出一种类似聚类的方法得到候选关键帧。最后，基于深度神经网络对候选关键帧进行分类，得到真正的关键帧。在冰壶比赛视频和篮球比赛视频上的对比实验结果表明，相对于传统的背景差分法、光流法等，该方法能够快速、可靠地提取关键帧。</t>
  </si>
  <si>
    <t>级联手工特征与深度特征的视频关键帧检测方法</t>
  </si>
  <si>
    <t>CN110929596A</t>
  </si>
  <si>
    <t>本发明公开了一种基于智能手机和人工智能的投篮训练系统与方法，该系统包括球场定位系统、篮筐检测系统、球员身份识别系统、球员动作分析系统、篮球轨迹记录系统、进球检测系统和可视化回放系统。训练时，球场定位系统对球场界线、中线、罚球线、限制区和罚球区的边线进行位置检测；篮筐检测系统进行篮筐位置检测，并基于目标跟踪进行跟踪和实时检测；球员身份识别系统对球员位置和身份确认；球员动作分析系统获取球员身体关节点位置信息；篮球轨迹记录系统对球的位置以及目标大小进行记录；进球检测系统判别是否有球进入篮筐；可视化回放系统将获得的信息以及视频的帧存储并回放。本发明方便了篮球训练者的投篮训练，改善了现有投篮训练系统的不足。</t>
  </si>
  <si>
    <t>一种基于智能手机和人工智能的投篮训练系统与方法</t>
  </si>
  <si>
    <t>CN110929594A</t>
  </si>
  <si>
    <t>本发明公开了一种基于人工智能的篮球投篮手型视频分析系统及方法，该系统包括手检测系统、手势关键点检测系统和手型分析系统；手检测系统记录训练状态的视频的每一帧图像中检测和定位到训练者手的检测框；手势关键点检测系统将手检测系统检测到的手位置检测框内的图像处理，得到手的关节点；手型分析系统根据手势关键点检测系统获得的手势关键点进行动作分析，并与预先设定的标准手势的手势关键点信息进行对比分析。分析方法包括进行视频采集、手检测系统运行、手势关键点检测系统运行和手型分析系统运行。本发明使使用者在投篮训练时不需额外人工即可提供投篮手型标准与否的反馈，并指出错误手型与正确手型的差距，使投篮者在没有教练的情况下依然获得投篮手型的教学反馈。</t>
  </si>
  <si>
    <t>一种基于人工智能的篮球投篮手型视频分析系统及方法</t>
  </si>
  <si>
    <t>EP3663994A1</t>
  </si>
  <si>
    <t>使用来自本地传感器和人工智能算法的数据来选择和呈现内容,特别是动态个性化广告的方法,其特征在于,在第一步中,从本地传感器(C)流出的数据(D)被读取,即关于环境条件的信息,优选地 例如:移动的位置和速度、天气状况、交通、潜在接收者的数量、性别、年龄,然后,在第二步中,对获取的(WPD)数据(D)进行初步处理,然后 将采集的数据 (D) 和初步数据分析 (WA) 的结果导入本地运行的智能分析算法 (A1),优选在移动控制单元内容 (1) 的存储器 (P) 中,在第三步中, 智能分析 (AI) 由算法 - 优选人工智能算法 (S) 和/或决策树和/或决策表和/或自学习机制 (MS) 进行,优选通过神经网络 - 自学习 在第四步中,人工智能 (S) 和/或自学习机制 (MS) 将呈现的内容 - 广告 (R) 与内容/环境的接收者 (O) 匹配,然后将其显示在 广告内容载体(N)。 一种利用内容控制单元和显示选择和呈现内容特别是动态个性化广告的移动系统,其特征在于,该系统由:移动内容控制单元(1)、显示模块(2)、广告内容管理模块(3)组成 ,而移动内容控制单元(1)具有存储器(P)并有线和/或无线连接到:显示模块(2)作为广告内容的载体(N)和传感器(C),其中 移动内容控制单元(1)与CMS广告内容管理模块(3)无线连接,优选使用GSM或Wi-Fi或蓝牙;而移动内容控制单元(1)和显示模块(2)置于 移动跑步平台(RP),最好是半挂车或卡车或公共汽车或有轨电车。</t>
  </si>
  <si>
    <t>选择和呈现内容特别是动态个性化广告的移动系统和方法</t>
  </si>
  <si>
    <t>US11663521B2</t>
  </si>
  <si>
    <t>本文描述的是用于保护隐私的无监督学习的系统和技术。 所公开的系统和方法可以使由不同实体操作的不同计算机能够基于它们各自的数据池联合执行无监督学习,同时保护隐私。 该系统提高了效率和可扩展性,同时保护隐私并避免泄露集群标识。 该系统可以基于 1-out-of-N 不经意传输 (OT),通过来自计算机的相应数据值 x 和 y 的隐私保护乘法,共同计算安全距离。 在各种实施例中,N可以是2、4或一些其他数量的份额。 第一台计算机可以用 base-N 表示其数据值 x。 第二台计算机可以形成一个 ×N矩阵包含 随机数 m i,0 和其余元素 m i,j =(yjN i -m i,0 ) 模式 . 第一台计算机可以接收来自 OT 的输出向量,其分量为 m i =(yx i 否 i -m i,0 ) 模式 .</t>
  </si>
  <si>
    <t>CN110675877A</t>
  </si>
  <si>
    <t>本发明涉及智能识别技术领域，具体是一种智能玩具系统中的语音识别传感器及语音控制系统，包括：音频采样辨别模块，用于采集语音数据；存储器，与所述音频采样辨别模块连接，用于存储音频采样辨别模块传输过来的语音数据，并对语音数据进行存储；读取模块，用于调用存储器内存储的语音数据，并将语音数据进行整合；判断模块，用于接收读取模块整合后的语音数据，并对接收到的语音数据进行执行性判断，以实现不同的模式切换。本发明设计新颖，设置的判断模块可针对不同的语音命令进行执行性判断，从而实现不同的模式切换，可以由使用者并根据场地环境噪音、干扰大小开创性的设计高精度比赛模式、娱乐模式、标准模式共三种模式。</t>
  </si>
  <si>
    <t>一种智能玩具系统中的语音识别传感器及语音控制系统</t>
  </si>
  <si>
    <t>CN211024995U</t>
  </si>
  <si>
    <t>本实用新型属于训练器材技术领域，具体为一种具有物联网功能的肌肉训练器材，包括底板，所述底板的底端四角均固定连接有减震装置，所述底板的上端设有凹槽与横板，所述凹槽内固定连接有两个滑杆，两个所述滑杆上滑动设有滑块，所述滑块的上端设有置物槽，所述滑块的底端与凹槽内底端之间设有移动装置，所述滑块的一侧与凹槽内侧壁之间固定连接有弹簧，所述底板的一侧固定连接有控制器。本实用新型方便对运动员腿部进行特殊状态的训练，且结构简单方便使用，可以满足不同运动员的使用，同时具有物联网效果，方便运动员查看训练的数据，能合理的安排训练计划。</t>
  </si>
  <si>
    <t>一种具有物联网功能的肌肉训练器材</t>
  </si>
  <si>
    <t>CN211479673U</t>
  </si>
  <si>
    <t>本实用新型涉及智能识别技术领域，具体是一种智能玩具系统中的语音识别传感器及语音控制系统，包括：音频采样辨别模块，用于采集语音数据；存储器，与所述音频采样辨别模块连接，用于存储音频采样辨别模块传输过来的语音数据，并对语音数据进行存储；读取模块，用于调用存储器内存储的语音数据，并将语音数据进行整合；判断模块，用于接收读取模块整合后的语音数据，并对接收到的语音数据进行执行性判断，以实现不同的模式切换。本实用新型设计新颖，设置的判断模块可针对不同的语音命令进行执行性判断，从而实现不同的模式切换，可以由使用者并根据场地环境噪音、干扰大小开创性的设计高精度比赛模式、娱乐模式、标准模式共三种模式。</t>
  </si>
  <si>
    <t>CN111104851B</t>
  </si>
  <si>
    <t>本发明提供了一种篮球进球时刻防守区域自动生成方法，采用图像分割算法，算法输入篮球员投篮时刻对应的视频帧，所述视频帧的信息包括投篮球员脚部位置和防守球员脚部位置和视频帧中篮球场的左右半场信息；训练篮球禁区分割算法，利用禁区分割算法获取到所述视频帧的禁区区域；通过所述禁区区域、投篮球员脚部位置和防守球员脚部位置构建防守区域；将所述防守区域显示在所述视频帧上。本发明利用深度学习算法，自动分析投篮时刻以投篮球员为中心的防守队的防守区域，并将该防守区域画在视频中，提高视频片段的观赏性。</t>
  </si>
  <si>
    <t>一种篮球进球时刻防守区域自动生成方法及系统</t>
  </si>
  <si>
    <t>CN110837793A</t>
  </si>
  <si>
    <t>本发明公开了一种智能识别手写数学公式批阅系统，包括如下步骤：(1)识别；(2)预处理；(3)字符识别；(4)生产正答率。本发明采用卷积神经网络模型，无需提取字符特征值，图像识别精度高。本发明采用国际数学公式识别比赛数据集作为训练样本，与实际输入相似。本发明完全取代阅卷人手工阅卷的操作，降低人力成本。本发明为阅卷者或教师提供一份作答者对该试卷各题的正答率报表，使后续教学更具针对性，提高教学质量。</t>
  </si>
  <si>
    <t>一种智能识别手写数学公式批阅系统</t>
  </si>
  <si>
    <t>FR3102876B1</t>
  </si>
  <si>
    <t>本发明的主题尤其是一种改进的盆地管理系统。 在已经从至少一个源接收到数据之后,该源包括代表盆地及其环境的至少一个图像源,处理所接收的数据,处理后的数据包括图像源的至少一个图像,该处理是在经过训练以识别签名的人工智能模块中进行。 识别的签名在专家系统中被处理以确定游泳池的至少一个参数的修改。</t>
  </si>
  <si>
    <t>用于改进游泳池控制的方法和装置</t>
  </si>
  <si>
    <t>KR102296178B1</t>
  </si>
  <si>
    <t>本实施例涉及一种用于辅助健身的健身辅助系统。显示单元,使用健身辅助系统向目标对象提供与健身相关的健身内容,以及检测目标对象的运动以收集目标对象的运动信息的显示单元。目标物体 提供一种健身辅助系统,包括物体识别单元和处理器,根据目标物体的运动信息,根据目标物体的运动检测运动特征,与标准物体进行比较,控制模式在显示单元上提供健身内容。</t>
  </si>
  <si>
    <t>基于游戏的人工智能健身辅助系统及方法</t>
  </si>
  <si>
    <t>CN305836127S</t>
  </si>
  <si>
    <t>1.本外观设计产品的名称：用于显示屏的图形用户界面。
 2.本外观设计产品的用途：用于运行程序、显示信息和/或通信。
 3.本外观设计产品的设计要点：在于显示的图形用户界面。
 4.最能表明设计要点的图片或照片：主视图。
 5.产品的其他视图不具有设计要点，且为现有设计，省略立体图、后视图、左视图、右视图、俯视图和仰视图。
 6.图形用户界面的用途：本外观设计产品的界面为应用软件客户端的界面，图形用户界面用于人机交互和实现产品或者软件客户端的功能。
 图中的移动终端中的图形用户界面用于表示不同模式的具体操作界面，显示屏用于如下至少一种：手机、平板电脑、台式电脑、带屏遥控器。
 界面呈现出主视图至变化状态图所示的动态变化效果：主视图中点击蓝色方块后出现变化状态图的界面。
 主视图至变化状态图为上述视觉效果的关键帧，并非全部帧。</t>
  </si>
  <si>
    <t>用于显示屏的图形用户界面</t>
  </si>
  <si>
    <t>CN305965259S</t>
  </si>
  <si>
    <t>1.本外观设计产品的名称：显示屏幕面板。
 2.本外观设计产品的用途：用于运行程序、显示信息和/或通信。
 3.本外观设计产品的设计要点：在于显示的图形用户界面。
 4.最能表明设计要点的图片或照片：设计1主视图。
 5.产品的其他视图不具有设计要点，且为现有设计，省略设计1‑9的立体图、后视图、左视图、右视图、俯视图和仰视图。
 6.指定设计1为基本设计。
 7.图形用户界面的用途：本外观设计产品的界面为应用软件客户端的界面，图形用户界面用于人机交互和实现产品或者软件客户端的功能。
 设计1‑设计9的显示屏幕面板中的图形用户界面用于表示不同模式的具体操作界面，显示屏幕面板用于如下至少一种：手机、平板电脑、台式电脑、带屏遥控器。
 例如，设计1‑9分别用于表示添加图片素材、添加视频素材、显示当前播放视频、画质调节、音乐添加前、添加并选中音乐、添加音乐、拖动音乐、截取音乐。</t>
  </si>
  <si>
    <t>显示屏幕面板</t>
  </si>
  <si>
    <t>CN305981474S</t>
  </si>
  <si>
    <t>1.本外观设计产品的名称：带有飞行设置图形用户界面的显示屏幕面板。
 2.本外观设计产品的用途：带有飞行设置图形用户界面的显示屏幕面板用于运行程序、显示信息和/或通信。
 显示屏幕面板应用在手机或平板电脑中。
 3.本外观设计产品的设计要点：在于显示屏幕面板中显示的图形用户界面。
 4.最能表明设计要点的图片或照片：设计1主视图。
 5.设计1‑6的后视图、俯视图、仰视图、左视图、右视图、立体图为现有设计，故省略。
 6.指定设计1为基本设计。
 7.图形用户界面的用途：本外观设计产品的界面为应用软件客户端的界面，图形用户界面用于人机交互和实现产品或者软件客户端的功能。
 设计1至设计6中显示屏幕面板中显示的图形用户界面用于表示对无人机、云台车或手持云台的不同工作模式的具体操作界面。
 通设计1主视图显示对无人机、云台车或手持云台进行操作的操作界面。
 设计1主视图上的操作界面中显示多个功能菜单，点击不同的功能菜单对无人机、云台车或手持云台的不同功能进行设置。
 例如，设计1使用状态参考图中，显示有无人机、云台车或手持云台的拍摄画面及设置菜单、拍摄模式选择菜单、飞行模式选择菜单、飞行控制按钮等功能菜单。
 再例如，设计2‑6主视图及设计2‑6使用状态参考图所示，通过设计2‑6主视图及设计2‑6使用状态参考图上不同的功能菜单对设备的不同功能进行设置。</t>
  </si>
  <si>
    <t>带有飞行设置图形用户界面的显示屏幕面板</t>
  </si>
  <si>
    <t>CN306026810S</t>
  </si>
  <si>
    <t>1.本外观设计产品的名称：带有飞行设置图形用户界面的显示屏幕面板。
 2.本外观设计产品的用途：运行程序、显示信息和/或通信。
 3.本外观设计产品的设计要点：在于显示屏幕面板中显示的图形用户界面。
 4.最能表明设计要点的图片或照片：设计1主视图。
 5.设计1‑4的后视图、俯视图、仰视图、左视图、右视图、立体图为现有设计，故省略，省略设计1‑4的后视图、俯视图、仰视图、左视图、右视图、立体图。
 6.指定设计1为基本设计。
 7.图形用户界面的用途：本外观设计产品的界面为应用软件客户端的界面，图形用户界面用于人机交互和实现产品或者软件客户端的功能。
 设计1至设计4中显示屏幕面板中显示的飞行设置图形用户界面用于表示对无人机不同工作模式的具体操作界面。
 显示屏幕面板应用在手机或平板电脑中。
 设计1‑4主视图显示对无人机进行操作的操作界面。
 例如，设计1主视图上的操作界面中显示多个功能菜单，点击不同的功能菜单对无人机的不同功能进行设置。
 例如，设计1使用状态参考图中，显示有无人机的拍摄画面及设置菜单、拍摄模式选择菜单、飞行模式选择菜单、飞行控制按钮等功能菜单。
 再例如，设计2‑4主视图及设计2‑4使用状态参考图所示，通过设计2‑4主视图及设计2‑4使用状态参考图上不同的功能菜单对无人机的不同功能进行设置。</t>
  </si>
  <si>
    <t>CN306078876S</t>
  </si>
  <si>
    <t>1.本外观设计产品的名称：用于显示屏幕面板的飞行操作控制图形用户界面。
 2.本外观设计产品的用途：用于显示屏幕面板的飞行操作控制图形用户界面用于运行程序、显示信息和/或通信。
 操作控制图形用户界面应用在显示设备中，所述显示设备包括平板电脑、手机。
 3.本外观设计产品的设计要点：在于显示屏幕面板中显示的飞行操作控制图形用户界面。
 4.最能表明设计要点的图片或照片：设计1主视图。
 5.设计1‑3的后视图、俯视图、仰视图、左视图、右视图、立体图为现有设计，故省略，省略设计1‑3的后视图、俯视图、仰视图、左视图、右视图、立体图。
 6.指定设计1为基本设计。
 7.图形用户界面的用途：本外观设计产品的飞行操作控制图形用户界面为应用软件客户端的界面，飞行操作控制图形用户界面用于人机交互和实现产品或者软件客户端的功能。
 设计1至设计3的显示设备中显示的图形用户界面用于表示不同模式的具体操作界面。
 通过显示设备的显示屏幕显示图形用户界面。
 例如，设计1主视图显示对设备进行操作的操作界面。
 设计1主视图上的操作界面中显示多个功能菜单，点击不同的功能菜单对设备的不同功能进行设置。
 例如，设计1使用状态参考图1‑8中，显示有设备的拍摄画面及设置菜单、拍摄模式选择菜单、飞行模式选择菜单、飞行控制按钮等功能菜单。
 再例如，设计2‑3主视图及设计2‑3使用状态参考图所示，通过设计2‑3主视图及设计2‑3使用状态参考图上不同的功能菜单对设备的不同功能进行设置。</t>
  </si>
  <si>
    <t>用于显示屏幕面板的飞行操作控制图形用户界面</t>
  </si>
  <si>
    <t>CN306118699S</t>
  </si>
  <si>
    <t>1.本外观设计产品的名称：用于显示屏幕面板的图形用户界面。
 2.本外观设计产品的用途：用于运行程序、显示信息和/或通信。
 3.本外观设计产品的设计要点：在于显示的图形用户界面。
 4.最能表明设计要点的图片或照片：设计1主视图。
 5.产品的其他视图不具有设计要点，且为现有设计，省略设计1‑3的立体图、后视图、左视图、右视图、俯视图和仰视图。
 6.指定设计1为基本设计。
 7.图形用户界面的用途：本外观设计产品的界面为应用软件客户端的界面，图形用户界面用于人机交互和实现产品或者软件客户端的功能。
 设计1‑设计3的显示屏幕面板中的图形用户界面用于表示不同模式的具体操作界面，显示屏幕面板用于如下至少一种：手机、平板电脑、台式电脑、带屏遥控器。</t>
  </si>
  <si>
    <t>用于显示屏幕面板的图形用户界面</t>
  </si>
  <si>
    <t>CN306032419S</t>
  </si>
  <si>
    <t>1.本外观设计产品的名称：带表盘控制的用户界面的智能手表。
 2.本外观设计产品的用途：用于运行程序、显示信息和通信。
 3.本外观设计产品的设计要点：在于屏幕中的图形用户界面。
 4.最能表明设计要点的图片或照片：设计1主视图。
 5.硬件产品为惯常设计，省略后视图;硬件产品为惯常设计，省略左视图;硬件产品为惯常设计，省略右视图;硬件产品为惯常设计，省略俯视图;硬件产品为惯常设计，省略仰视图。
 6.指定设计1为基本设计。
 7.图形用户界面的用途：用于可穿戴设备的屏幕显示界面，例如手表、手环，界面用于人机交互。
 8.图形用户界面在产品中的区域：屏幕中的界面。
 9.图形用户界面的人机交互方式：在设计1和设计4主视图中，表盘界面中部呈环形显示日期、时间、天气、电量和步数。
 当手表感应到用户在行走时，圆环内部显示燃烧的图标，且步数逐渐增加。
 在设计2和设计5主视图中，表盘界面中部呈环形显示日期、时间、天气、电量和卡路里。
 当手表感应到用户在跑步时，圆环内部显示运动的图标，且卡路里消耗逐渐增加。
 在设计3和设计6主视图中，表盘界面中部呈环形显示日期、时间、天气、步数和卡路里。
 当手表正在充电时，圆环内部显示闪电的图标，且同时显示当前步数与当前卡路里信息。
 10.请求保护本外观设计1至设计6的图形用户界面包含色彩。</t>
  </si>
  <si>
    <t>带表盘控制的用户界面的智能手表</t>
  </si>
  <si>
    <t>CN110796085B</t>
  </si>
  <si>
    <t>本发明涉及物体检测技术领域，具体地说，涉及一种基于深度学习物体检测算法的篮球进球片段AB队自动区分的方法。其包括如下步骤：默认比赛开始时为上半场，且进攻左半场的球队为A球队，进攻右半场的球队为B球队；训练篮球架底座的检测算法，利用检测算法输出结果判断该片段的左右半场信息；利用进球时间间隔判断上下半场；利用检测算法的输出结果判断出左右半场信息。该基于深度学习物体检测算法的篮球进球片段AB队自动区分的方法中，利用基于深度学习的图像检测算法，检测获取篮球进球视频片段中篮球架底座的位置信息，通过篮球架的位置判断左右半场信息，获得AB队信息，通过进球时间间隔自动判断上下半场信息，实现AB队进攻信息的自动转换。</t>
  </si>
  <si>
    <t>一种基于深度学习物体检测算法的篮球进球片段AB队自动区分的方法</t>
  </si>
  <si>
    <t>CA3060268A1</t>
  </si>
  <si>
    <t>一种方法和系统,用于推荐、强制和激励花时间在办公桌后改变姿势的人。 更具体地说,推荐基于来自用户设置偏好的数据或来自人工智能引擎的数据,该数据基于用户提供的信息,并与基于年龄、工作类型、健康问题和需求的类似用户的数据进行比较。 该方法向用户提出关于何时在坐姿或站姿中使用工作区健身设备或坐立式办公桌以及使用多长时间的建议。 如果用户选择该选项,建议将升级为强制执行。 更具体地说,对于本专利申请,一种控制用户设备直到满足条件的软件。</t>
  </si>
  <si>
    <t>在控制设备直到满足条件时提醒用户的方法和系统</t>
  </si>
  <si>
    <t>CN305932775S</t>
  </si>
  <si>
    <t>1.本外观设计产品的名称：用于手表表盘的数据展示图形用户界面。
 2.本外观设计产品的用途：用于运行程序、显示信息和通信。
 3.本外观设计产品的设计要点：在于屏幕中的图形用户界面。
 4.最能表明设计要点的图片或照片：设计1主视图。
 5.硬件产品为惯常设计，省略后视图;硬件产品为惯常设计，省略左视图;硬件产品为惯常设计，省略右视图;硬件产品为惯常设计，省略俯视图;硬件产品为惯常设计，省略仰视图。
 6.指定设计1为基本设计。
 7.图形用户界面的用途：本外观设计为用于手表表盘的数据展示图形用户界面，界面用于展示数据信息并提供相关交互操作等。
 8.图形用户界面在产品中的区域：屏幕中的界面。
 9.图形用户界面的人机交互方式：设计1至设计3中，主视图界面上部显示日期及相关天气情况，界面中部为相关数据列表，用户可点击列表中的数据查看具体详情。
 界面底部为控件图标，用户可点击图标进行进一步操作，例如查看骑行数据、跑步数据或者心率数据等。
 当用户点击主视图界面列表中的任一数据信息时，界面跳转显示该数据信息详情，呈现出主视图至界面变化状态图的效果。</t>
  </si>
  <si>
    <t>用于手表表盘的数据展示图形用户界面</t>
  </si>
  <si>
    <t>CN112726535A</t>
  </si>
  <si>
    <t>一种基于物联网操控的城市内河智能清理机器人，包括机体、机仓、机手、机脚，机手和机脚可以作蛙泳动作，机体内置有机仓，机仓为真空，可以产生浮力，机手、机脚，机头上置有触摸传感器，机头上置有摄像头，机头上固定有天线，天线应露出水面，天线发送的信号与手机联网，通过手机可以控制机器人动作，机器人头部安装管道，管道下面连接垃圾箱，垃圾箱安装在机体内，垃圾箱内置有旋转刀，机手前部置有收集臂，收集臂顶端置有抓手，抓手上安装锯齿和刀片，机头内置有控制器，控制器通过天线与物联网无线连接实现信号传输。本装置能模仿人游泳的动作，在水里用抓手抓取漂浮的垃圾，送进管道，被垃圾箱内置有的旋转刀粉碎。</t>
  </si>
  <si>
    <t>一种基于物联网操控的城市内河智能清理机器人</t>
  </si>
  <si>
    <t>CN110736066A</t>
  </si>
  <si>
    <t>本发明公开了一种多功能物联网路灯，涉及路灯照明技术领域。本发明包括底座、路灯杆和路灯，底座上固定连接有路灯杆，路灯杆顶端固定连接有灯杆，灯杆的一端固定连接有路灯；底座内部设有发电机、控制器和蓄电池，发电机机轴上转动连接一从动轮，底座外部固定连接一脚蹬车支架，脚蹬车支架上转动连接一主动轮，主动轮通过链条传动连接从动轮。本发明通过在底座内部设有发电机、蓄电池和控制器，主动轮通过链条传动连接从动轮，从动轮转动连接在发电机机轴上，解决了现有路灯结构功能单一问题，实现了将健身时产生的能量储存起来，用于路灯照明，在一定程度上起到节能环保的功能。</t>
  </si>
  <si>
    <t>一种多功能物联网路灯</t>
  </si>
  <si>
    <t>CN110910261A</t>
  </si>
  <si>
    <t>一种基于多目标优化的网络社团检测对抗增强方法，包括以下步骤：S1：加载网络；S2:社团检测获取社团结构；S3：定义候选重连边规则；S4：利用遗传算法寻找最优的网络重连策略，具体操作步骤如下：4.1)种群初始化；4.2)轮盘赌方式进行选择操作；4.3)固定交叉率进行交叉操作；4.4)固定变异率进行变异操作；4.5)精英保留；4.6)判断终止条件；S5：从最后一代种群中获取最优个体，重连网络得到增强后的网络对进行社团检测获得新的社团划分本发明利用了遗传算法优良的全局搜索能力和鲁棒性，可以在整个网络上寻找到最优的网络重连策略，兼顾最大的模块度提升与最佳的检测分辨率，极大地提升了社团检测算法的性能。</t>
  </si>
  <si>
    <t>一种基于多目标优化的网络社团检测对抗增强方法</t>
  </si>
  <si>
    <t>US11052311B2</t>
  </si>
  <si>
    <t>训练有素的机器学习模型用于确定在视频游戏服务中注册的用户帐户的分数(例如信任分数),并且这些分数用于在多人视频游戏设置中将玩家匹配在一起。 例如,从客户端机器接收的传感器数据可以作为输入提供给经过训练的机器学习模型,并且经过训练的机器学习模型生成分数作为输出,这些分数与游戏控制数据从客户端机器接收到的概率有关 客户端机器是由手持设备生成的,而不是使用软件合成和/或修改的。 以这种方式,可以至少部分基于为那些登录用户账户确定的分数将执行视频游戏的登录用户账户的子集分配给不同的比赛(例如,通过将非人类玩家与人类玩家隔离) , 并且视频游戏在每个登录用户帐户的指定比赛中执行。</t>
  </si>
  <si>
    <t>CN211025070U</t>
  </si>
  <si>
    <t>本实用新型公开的基于物联网技术的群体跑步管理装置，包括固定外壳，所述固定外壳的前表面固定安装有管理显示屏，所述固定外壳的前表面位于管理显示屏的下方位置活动安装有多个控制按钮，所述固定外壳的前表面位于控制按钮的下方位置固定安装有声音模块，所述固定外壳的外表面边缘位置固定安装有四个防护角垫，所述防护角垫的内侧开设有缓冲镂空槽，所述固定外壳的后表面固定安装有绑带固定座。本实用新型所述的基于物联网技术的群体跑步管理装置，能够将装置固定在手臂位置，从而方便操作者在跑步时对装置进行固定，为装置的携带带来了便利，能够在装置跌落时，对装置四角进行防跌落保护，防止了装置跌落造成损坏。</t>
  </si>
  <si>
    <t>基于物联网技术的群体跑步管理装置</t>
  </si>
  <si>
    <t>CN110765254A</t>
  </si>
  <si>
    <t>一种融合多视角答案重排序的多文档问答系统模型，属于计算机自然语言处理领域。具体操作步骤包含：①预处理文档数据并得出文档先验概率；②将问题文档对输入答案预测模型中得到候选答案及内在置信度；③训练分类器对候选答案计算外在置信度；④融合内在置信度、外在置信度以及文档先验概率三个视角对候选答案进行排序。本发明提出的融合多视角答案重排序的多文档问答系统模型与已有技术模型相比较，添加了从多视角进行答案重排序的模块，有效解决了传统管道式模型过度依赖文档检索从而容易产生错误累积的问题。实验表明，本发明提出的方法在文本召回率ROUGE‑L和精确率BLEU‑4的评测指标上有显著提升。</t>
  </si>
  <si>
    <t>一种融合多视角答案重排序的多文档问答系统模型</t>
  </si>
  <si>
    <t>CN111259716A</t>
  </si>
  <si>
    <t>基于计算机视觉的人体跑步姿势识别分析方法，通过摄像机将跑步机上的测试人员的数据进行摄像采集并进行数据分类，采用卷积神经网络方法得到姿势识别模型；再对测试对象进行跑步姿势拍摄，将其与标准姿势运动轨迹图进行对比运算，并输出姿势规范程度评分以及改正意见。纠正测试对象的具体错误位置及不规范类型，减少其造成运动损伤的概率，达到更好的健身效果。</t>
  </si>
  <si>
    <t>基于计算机视觉的人体跑步姿势识别分析方法及装置</t>
  </si>
  <si>
    <t>CN110610173A</t>
  </si>
  <si>
    <t>本发明公开了一种基于Mobilenet的羽毛球动作分析系统及方法。本发明通过常见标准动作和常见错误动作的数据库，系统在大量截图图片生成数据库的基础上，额外建模生成标准动作和常见错误动作加以规范化。并通过多个角度同时采集羽毛球球员图片以增加识别概率，系统使用五个摄像头，同一时刻采集五个角度的羽毛球球员图片。本发明通过机器学习手段实现了对羽毛球动作频率与规范性的分析。</t>
  </si>
  <si>
    <t>基于Mobilenet的羽毛球动作分析系统及方法</t>
  </si>
  <si>
    <t>US10748376B2</t>
  </si>
  <si>
    <t>公开了使用移动计算设备实时跟踪多人球类比赛的方法和系统。 该方法和系统被配置为接收在与n个玩家相关联的游戏区域中使用移动计算设备上的相机捕获的多人球类游戏的输入视频,其中n是整数且n≥2; 通过对输入视频的多个帧中的每一帧执行计算机视觉算法来检测多个玩家姿势; 从多个玩家姿势中的每一个中提取关联的玩家特征; 基于关联的球员特征,将多个球员姿势中的每一个分配给至少n个姿势组中的一个,其中每个球员由至少n个姿势组中的一个表示; 并根据玩家的姿势组确定每个玩家的玩家位置。</t>
  </si>
  <si>
    <t>使用人工智能的移动设备进行实时游戏跟踪</t>
  </si>
  <si>
    <t>CN212166483U</t>
  </si>
  <si>
    <t>本实用新型公开了一种多用途计数器，主要包括感应器等，机身正面顶部设置电子屏，电子屏下方设置感应灯和感应器，机身正面底端设置清零按钮、计数按钮，机身一侧设置开关和敏感仪，机身反面顶部设置播报器，播报器下方设置卡槽，机身反面底部设置电池，卡槽与卡盘配合，卡盘安装在折弯板上，折弯板两端连接磁铁从而构成可打开的封闭圆环。本实用新型可以搭配不同的健身器材进行计数，用来测量力量、个数与消耗等数据；设有显示屏和播报器，人机交互方便；设有磁铁式折弯板，安装固定方便快捷；解决了人们对于健身训练量认识的不足，达到充足的健身效果；可应用于举重锻炼机、划船机、拉力机等多种健身器材。</t>
  </si>
  <si>
    <t>一种多用途计数器</t>
  </si>
  <si>
    <t>CN110544409A</t>
  </si>
  <si>
    <t>本发明利用物联网传感器、图像处理技术、人工智能技术提供一种个性化驾驶员培训系统及其教学方法。通过赋予驾驶员标签，根据标签分配教案，培训过程中个性化驾驶员培训系统内边缘计算模块内传感器及图像处理模块对驾驶员进行手、眼等位置捕捉，对不合理的动作进行提醒及引导纠正，利用云端计算模块将驾驶员训练记录和训练轨迹上传至云端分析出合适、高效的教案并对基准教案进行优化，驾驶员可从学员手机端查看自己的训练信息，教练和从教练手机端查看驾驶员的训练记录，考试成绩，可以对每次训练进行点评，查看驾驶员错误统计等。本发明可以提高驾驶员培训中的学习效率，有利于提升考试通过率，并有利于缩短教学时间。</t>
  </si>
  <si>
    <t>一种个性化驾驶员培训系统及其教学方法</t>
  </si>
  <si>
    <t>WO2020096209A1</t>
  </si>
  <si>
    <t>本发明涉及一种提高图像识别率的装置和方法,本发明的提高图像识别率的装置包括: 图像预处理单元,执行图像预处理以去除图像中包含的噪声; 车牌检测单元,用于从预处理后的图像中检测车牌; 车牌图像提取单元,仅提取检测到的车牌图像; 图像恢复单元,利用SRGAN算法将提取的车牌图像恢复为分辨率大于或等于设定分辨率的图像; 文本区域检测单元,用于检测恢复到高于设定分辨率的车牌图像中的数字、符号和文本区域中的至少一个区域; 字符读取单元,使用光学字符读取装置进行读取,该光学字符读取装置检测检测到的数字、符号和字符区域中的至少一个; 以及用于控制整体操作的控制单元。</t>
  </si>
  <si>
    <t>提高图像识别率的装置和方法</t>
  </si>
  <si>
    <t>CN210925022U</t>
  </si>
  <si>
    <t>本实用新型利用物联网传感器、图像处理技术、人工智能技术提供一种个性化驾驶员培训系统。通过赋予驾驶员标签，根据标签分配教案，培训过程中个性化驾驶员培训系统内边缘计算模块内传感器及图像处理模块对驾驶员进行手、眼等位置捕捉，对不合理的动作进行提醒及引导纠正，利用云端计算模块将驾驶员训练记录和训练轨迹上传至云端分析出合适、高效的教案并对基准教案进行优化，驾驶员可从学员手机端查看自己的训练信息，教练和从教练手机端查看驾驶员的训练记录，考试成绩，可以对每次训练进行点评，查看驾驶员错误统计等。本实用新型可以提高驾驶员培训中的学习效率，有利于提升考试通过率，并有利于缩短教学时间。</t>
  </si>
  <si>
    <t>一种个性化驾驶员培训系统</t>
  </si>
  <si>
    <t>US11163965B2</t>
  </si>
  <si>
    <t>本文介绍的方法能够提供实时物联网 (IoT) 反馈以优化小组讨论。 更具体地,代表用户之间讨论的一组数据被捕获和分析以生成包括用户参与的讨论简档。 将该简档与参考简档进行比较,并且基于比较,为用户生成一组讨论参与改进策略。 基于对一组 IoT 设备的可用性的识别,从一组讨论参与改进策略中选择一个策略,以交付该策略。 然后响应于捕获的用户之间的讨论,将指令传送到可用的 IoT 设备,以在讨论期间通过可用的 IoT 设备的输出用户界面将选择的讨论参与改进策略传递给用户。</t>
  </si>
  <si>
    <t>物联网小组讨论教练</t>
  </si>
  <si>
    <t>CN110781777A</t>
  </si>
  <si>
    <t>本发明公开了一种体育训练中人体动作的判定方法、系统和存储介质。该方法包括：根据机器学习的动作模型得到不同时刻图象中人体的特定部位和器具的特定部件所对应的第一轮廓信息，其中，该图象是图片或视频截图；比较同一时刻中该人体的特定部位所对应的第一轮廓信息和该器具的特定部件所对应的第一轮廓信息的关系得到第二轮廓信息，其中，该人体特定部位与该器具特定部件相对应；比较不同时刻中该第二轮廓信息的变化得到第三轮廓信息；将该第三轮廓信息与预设标准信息进行对比得到动作判定结果。通过本发明解决了现有技术存在的识别判定方法容易被训练人员作弊导致的判定精确度不高的问题。</t>
  </si>
  <si>
    <t>体育训练中人体动作的判定方法、系统和存储介质</t>
  </si>
  <si>
    <t>CN110784522A</t>
  </si>
  <si>
    <t>本发明涉及餐饮排油烟设施安全服务信息化综合平台，包括前端的探测设备、中间的数据通讯及存储分析部件和后端的应用平台，该平台的应用软件体系包括服务鉴权、监控、负载均衡、服务注册与调用和熔断机制；所述数据通讯及存储分析部件主要以中国电信5G NB‑IoT专网及天翼云空间作为技术支撑；所述应用平台整体操作功能由首页模块、实时监控模块、用户设备管理模块和系统设置模块四大模块组成。该平台采用物联网新技术，实时采集油烟管道数据，超过系统设置的油烟管道温度时候实时提醒；采集及分析油烟管道油垢层数据，超过警戒值自动提醒，为油烟管道清理提供有力依据，督促对其进行定期清洗。</t>
  </si>
  <si>
    <t>餐饮排油烟设施安全服务信息化综合平台</t>
  </si>
  <si>
    <t>CN212067656U</t>
  </si>
  <si>
    <t>本实用新型公开了一种基于人工智能的乒乓球台，包括球台、支撑体和分界网，所述球台共两组，且两组所述球台拼接在一起，所述分界网设置在两组所述球台拼接处的位置上，所述支撑体固定在所述球台的底部上，所述球台的两侧均开设有第一凹槽，且所述球台远离所述分界网的一端开设有第二凹槽，所述第一凹槽内部设置有驱动装置，所述驱动装置上设置有在所述第一凹槽内部滑动的移动块，此基于人工智能的乒乓球台，通过在球面上设置可以通过天气预报接受装置和控制装置来自动控制驱动装置、翻转装置和收布装置，从而将遮挡布遮挡在球台的表面，防止雨水的侵蚀。</t>
  </si>
  <si>
    <t>一种基于人工智能的乒乓球台</t>
  </si>
  <si>
    <t>KR102184379B1</t>
  </si>
  <si>
    <t>公开了一种使用机器学习技术的体育转播系统和使用该系统自动产生体育转播的方法。 [0001] 本发明涉及至少两个动作捕捉单元,其被设置为连续地拍摄棒球比赛中投手的投球动作作为分段动作,以及动作捕捉所捕捉的分段动作中的投手的手臂、腿和关节的动作捕捉测量单元,用于测量坐标值的测量单元,以及至少两个或多个跟踪单元,用于跟踪投手投出的棒球,并在棒球到达多个预设区域时测量棒球的坐标值。 stadium;一个存储单元,将测量单元和跟踪单元测量的坐标值进行累加存储,并将累加存储在存储单元中的投手手臂、腿、关节的坐标值进行比较,以比较坐标投手的手臂、腿和关节的值。当投球运动经过具有这些特定坐标值的点时,通过与棒球的坐标值进行比较来预测棒球将前进的坐标值的预测器累加存储在存储单元中;棒球场内至少设置两个比赛拍摄单元,根据棒球行进的坐标值确定每个拍摄方向,并将棒球比赛录像记录在确定射击方向,以及比赛拍摄单元拍摄的比赛图像 视频编辑单元,收集和编辑比赛视频以配合棒球转播,并根据需要在编辑的比赛视频中插入字幕、计算机图形、数据图像和广告制作棒球转播影像,该影像的特征在于,具备发送部,用于将由编辑部制作的棒球转播影像发送到外部。 
  本发明基于机器学习技术,根据棒球比赛中投手的投球动作,自动驱动场馆内的拍摄单元,并根据驱动的拍摄单元拍摄的图像,制作体育转播视频。其目的在于提供一种利用机器学习技术的体育转播系统及其自动制作体育转播的方法。</t>
  </si>
  <si>
    <t>使用机器学习技术的体育转播系统以及使用该系统的体育转播的自动制作方法</t>
  </si>
  <si>
    <t>KR102184383B1</t>
  </si>
  <si>
    <t>公开了一种采用机器学习技术的低成本无人体育接力系统及其无人体育接力制造方法。 本发明涉及至少两个第一无人拍摄单元,其被设置为连续拍摄运动员的特定动作作为体育比赛中的分段动作,以及第一无人拍摄单元捕获的分段动作中的运动员的手臂和腿部。以及测量单元,用于测量关节的坐标值,以及至少两个设备,用于跟踪玩家使用的装置,并在装置到达多个预设区域时测量装置的坐标值场馆内一个无人照相单元,一个存储单元,用于累加存储测量单元和第二无人照相单元测量到的坐标值,以及球员手臂、腿部、关节的坐标值通过比较存储单元中累积存储的仪器坐标值,当运动员的手臂、腿部和关节经过具有特定坐标值的点时,存储单元中累积存储的设备预测单元对应地预测设备将前进的坐标值,预测单元根据设备将前进的坐标值确定每个拍摄方向,以及在确定的拍摄方向上拍摄体育比赛画面,提供至少两个或两个以上的第三无人摄影单元,采集第三无人摄影单元拍摄的体育比赛画面,对比赛画面进行编辑以匹配体育转播,以及编辑后的比赛图像根据需要添加。其特征在于,它包括用于通过插入字幕、计算机图形、数据视频和广告来制作体育转播视频的无人视频编辑单元,以及用于传输视频的传输单元。由无人视频编辑单元制作的体育赛事向外界转播。 
  本发明基于机器技术,在体育比赛中根据运动员的动作自动驱动场馆内的无人拍摄单元,根据被驱动的无人拍摄单元拍摄的图像制作体育转播画面。目的是提供一种低成本的利用机器学习技术的无人体育接力系统及其制造无人体育接力的方法。</t>
  </si>
  <si>
    <t>低成本无人运动接力系统及使用该系统的无人运动接力生产方法</t>
  </si>
  <si>
    <t>US20200030662A1</t>
  </si>
  <si>
    <t>一种数据处理方法、装置及健身机器人,涉及人工智能领域,该数据处理方法包括:根据用户的运动数据,计算用户在预设时间间隔内的第一能量消耗,得到第一体重变化。 用户在预设时间段内的能量消耗,根据第一能量消耗和第一体重变化,预测用户在未来预设时间段内的第二能量消耗和第二体重变化,得到基于第一能量 消耗量、第一体重变化、第二能量消耗和第二体重变化,指示用户完成预期健身计划的能力的结果,以及校正用户的指定能量消耗和用户指定体重变化的结果 根据结果​​在预定的健身计划中的预设时间间隔内。</t>
  </si>
  <si>
    <t>数据处理方法、装置、健身机器人</t>
  </si>
  <si>
    <t>US20200058386A1</t>
  </si>
  <si>
    <t>一种人工智能胰岛素泵,可处理葡萄糖数据、健康数据、外部数据和端口信息,以确定向人体输送胰岛素的适当量和时间。 外部数据包括来自远离胰岛素泵和用户的来源的数据,例如社交媒体数据、GPS 位置数据、历史数据(包括之前访问过的位置的能量和食物摄入量)、来自第三方来源的数据。 这样的外部数据可以包括:用户注册了马拉松并在马拉松场地,用户的体力水平表明用户正在跑步已经开始跑马拉松。 然后人工智能引擎会适当地调整胰岛素。</t>
  </si>
  <si>
    <t>自适应人工智能胰岛素泵</t>
  </si>
  <si>
    <t>US10789480B2</t>
  </si>
  <si>
    <t>一种在计时体育赛事中识别和计时运动员的方法。 使用图像识别技术对运动员进行计时,其中在体育赛事期间由摄像机拍摄的运动员的一张或多张图像( 106 a, 106 b , 或者 106 c ) 带有时间戳,以便为运动员生成完成时间。 通过将在体育赛事期间拍摄的图像之一与运动员的个人资料图像进行比较来识别运动员。</t>
  </si>
  <si>
    <t>事件计时和摄影方法</t>
  </si>
  <si>
    <t>TH17639U</t>
  </si>
  <si>
    <t>------03/07/2020------(光学识别) 
  提高从人类活动中估计信号数据的准确性的过程包括对可穿戴电子设备测量的数据采取行动的步骤。 使信息准确,包括测量来自人类活动的信号。 虽然有不同的体育活动可用于估计或预测心率值。 这些信息将被输入到信号验证过程中。 通过安排仅过滤指定的信号数据 通过使用每个时间序列(滚动窗口)中分析数据集的相关性,通过回归分析(回归模型)改进信号数据。机器学习 
  -------------- 
  1 页中的 1 页 
  发明概要 
  一种提高人类活动信号数据估计准确性的过程。 
  它包括对来自可穿戴电子设备的测量数据采取行动的步骤。 这样信息就是 
  准确的,准确的,包括在不同的身体活动中测量来自人类活动的信号,以 
  用作估计或预测心率值的信息 这些信息将被导入 
  信号验证过程提供特定信号数据的过滤。 也改善信号信息。 
  回归分析(Regression Model)的过程,利用分析数据集的关系在每个 
  每个时间序列(滚动窗口),然后将增强的信号数据与 
  通过机器学习方法(机器学习)实现用户健康</t>
  </si>
  <si>
    <t>一种提高人类活动信号数据估计准确性的过程。</t>
  </si>
  <si>
    <t>CN110706777A</t>
  </si>
  <si>
    <t>本发明涉及运动和健康管理技术领域，具体为一种个性化运动量推荐系统及方法，该方法包括：获取用户信息，所述用户信息包括基本信息、运动习惯和健康信息；根据用户信息生成运动处方，所述运动处方包括运动时间段、运动时长和步频范围；获取用户运动信息，所述用户运动信息包括由若干单位时间段以及与单位时间段对应的用户步频构成的序列；根据用户步频以及运动时长计算用户运动量，得到用户的运动处方完成时长并判断用户是否完成运动量。本发明提供的一种个性化运动量推荐系统及方法，可以为用户制定科学的健身计划，同时可以精准的检测用户运动量，对用户的运动计划的执行情况进行准确的记录，确保健身计划的有效执行。</t>
  </si>
  <si>
    <t>一种个性化运动量推荐系统及方法</t>
  </si>
  <si>
    <t>US20200023262A1</t>
  </si>
  <si>
    <t>描述了计算机视觉和人工智能在篮球练习和比赛情况中的各种应用。</t>
  </si>
  <si>
    <t>计算机视觉和人工智能在篮球中的应用</t>
  </si>
  <si>
    <t>WO2020069500A1</t>
  </si>
  <si>
    <t>专家系统使用经过验证和可靠的人体健康数据以及用户和用户家庭的健康信息以及其他信息,例如食物偏好、习惯和宗教信仰,作为健康分析和推荐的基准。 专家系统利用人工智能技术跟踪记录所有膳食、身体活动以及用户的生物特征、健康信息和病历,并分析这些信息,识别出众多因素之间的关系,从而建立用户和用户家庭的个人最优 每个用户的营养需求、体育活动的数量和强度、生活方式和环境因素。 利用基线和个性化健康参数,专家系统可以为用户和用户家庭提供可定制的、完全个性化的膳食、体育活动、生活方式和环境建议和指导,以帮助用户实现终身最佳健康和预防感染疾病 和障碍。</t>
  </si>
  <si>
    <t>智慧健康专家和管理者</t>
  </si>
  <si>
    <t>CN110633694A</t>
  </si>
  <si>
    <t>本发明涉及视频片段分类技术领域，具体地说，涉及一种基于深度学习的足球视频片段分类方法。其包括准备视频数据步骤、标注信息步骤、建立分类模型步骤和视频处理步骤。该基于深度学习的足球视频片段分类方法中，基于深度学习的视频分类算法对场景的适应能力非常好，从而对任何场景、任何角度的足球片段进行分类，实时自动处理任意场景、任意角度的视频流和视频片段，判断视频流和视频片段中的所有进球，以及每个进球的进球类别，从而极大的降低人工判断的时间成本。</t>
  </si>
  <si>
    <t>一种基于深度学习的足球视频片段分类方法</t>
  </si>
  <si>
    <t>CN110674769A</t>
  </si>
  <si>
    <t>本发明涉及足球视频片段分类技术领域，具体地说，涉及一种基于深度学习算法的足球视频片段未进球、普通进球、定位球分类方法。其步骤如下：准备大量的足球比赛视频片段；通过人工的方式对上述视频片段进行标注；利用上述视频片段及标注数据，训练基于卷积神经网络算法的足球视频片段3分类模型；利用训练好的足球视频片段3分类模型对足球视频片段进行处理。该基于深度学习算法的足球视频片段未进球、普通进球、定位球分类方法中，基于深度学习的视频分类算法可以自动对图片中的各种特征信息进行自动学习编码，不需要人工设计特征的介入，从而避免了人工设计特征引起的泛化能力差、准确性低的问题。</t>
  </si>
  <si>
    <t>一种基于深度学习算法的足球视频片段未进球、普通进球、定位球分类方法</t>
  </si>
  <si>
    <t>CN305758554S</t>
  </si>
  <si>
    <t>1.本外观设计产品的名称：用于车载多媒体设备的图形用户界面。
 2.本外观设计产品的用途：本外观设计产品用于运行程序及显示信息。
 3.本外观设计产品的设计要点：在于屏幕中的图形用户交互界面，其余部分为惯常设计。
 4.最能表明设计要点的图片或照片：主视图。
 5.产品的其他视图无设计要点，省略其他视图。
 6.图形用户界面的用途：用于实时显示车辆的相关信息及进行功能切换，便捷车主操控；主视图中的图形用户界面显示车辆导航信息、车辆油耗信息及续航里程信息等，右上角显示车辆导航记录，车主可以通过唤醒智能机器人进行功能切换；车主在主视图中通过唤醒智能机器人进入变化状态图，变化状态图中的图形用户界面（车辆详细信息页面）左边二级菜单显示汽车仪表、车况信息、车内空调、视频播放及图库照片等，可通过点击进行具体操作，右边显示车辆的基本连接状况，可进行无线网络设置、热点设置、蓝牙设置及无线充电设置等，左侧功能图标（个人账户信息、收藏、车况、音乐）用于进行功能切换。
 其中，界面所示导航信息、连接状况及其他具体参数仅为示例，不属于设计要素。</t>
  </si>
  <si>
    <t>用于车载多媒体设备的图形用户界面</t>
  </si>
  <si>
    <t>CN110674767B</t>
  </si>
  <si>
    <t>本发明涉及人工智能技术领域，具体地说，涉及一种基于人工智能的篮球进球片段AB队自动区分的方法。其方法包括利用检测算法检测出一场比赛中第一个进球视频片段中的所有球员、裁判和球；利用检测结果中球衣的颜色信息对比赛片段中的所有球员进行聚类分析；获取到每个进球片段的投篮球员，计算投篮球员的颜色特征，依据颜色信息和第二步保存的两个颜色特征进行比对。该基于人工智能的篮球进球片段AB队自动区分的方法中，利用基于深度学习的图像检测算法自动检测到球员、裁判、和球的位置和大小信息，利用颜色直方图、聚类算法，获取第一个进球片段中颜色特征信息，通过计算第二个进球开始之后的所有进球片段中投篮球员的颜色特征区分球队信息。</t>
  </si>
  <si>
    <t>一种基于人工智能的篮球进球片段AB队自动区分的方法</t>
  </si>
  <si>
    <t>CN110622831A</t>
  </si>
  <si>
    <t>本发明公开了基于物联网技术的天然草足球场草坪智能养护系统，包括：网关控制器和手机操作终端，所述的网关控制器同时通过LoRa无线网络连接土壤温湿度传感器、土壤PH值传感器、土壤水分传感器、喷灌装置，所述的网关控制器还通过GPRS无线网络连接云端服务器，所述的手机操作终端通过网络连接云端服务器，所述的土壤温湿度传感器、土壤PH值传感器、土壤水分传感器埋设于草坪地下。本发明同时公开了一种天然草足球场草坪智能养护的方法。本发明结基于物联网技术实现对天然草足球场草坪的智能养护和远程监控，所有设备通过无线连接的方式进行通信，实现对草坪生长状态的实时监控，全面提升了天然足球场草坪智能化管理水平，减少了传统的生产成本和人力成本。</t>
  </si>
  <si>
    <t>基于物联网技术的天然草足球场草坪智能养护系统</t>
  </si>
  <si>
    <t>US20210097443A1</t>
  </si>
  <si>
    <t>用于训练机器学习模型的方法、系统和设备,包括在计算机存储介质上编码的计算机程序。 一种方法包括:维持多个训练课程; 向一名或多名工人中的每个工人分配多个培训课程中的相应培训课程; 重复执行操作直到满足一个或多个终止标准,该操作包括:从一个或多个工人中的相应工人接收更新的培训课程,选择第二培训课程,基于比较更新的培训课程和第二培训来选择 使用健身评估功能的会话,更新的培训课程或第二个培训课程作为父培训课程,从选定的父培训课程生成子培训课程,并将子培训课程分配给可用的工人,并选择候选人 模型成为机器学习模型的训练模型。</t>
  </si>
  <si>
    <t>机器学习模型的基于人群的训练</t>
  </si>
  <si>
    <t>CN110689132A</t>
  </si>
  <si>
    <t>本发明提供一种非线性模糊逻辑决策算法，涉及家居厨房领域。该非线性模糊逻辑决策算法，包括以下步骤：S1:采集移动数据，记录对应时间下的相关参数，统计出关于时间的特征值；S2:将统计的特征值进行分段处理，以时间参数为节点，设置对应的特征区间；S3:将精确量转换为标准论域上的模糊单点集，精确量经对应关系转换为标准论域上的基本元素。通过建立非线性模糊化模型，训练非线性模糊化算法，使得运动模糊决策中能够有相关的有效算法计算出运动员非线性的模糊加速度变化，对模糊值进行推理，决策出精确值之后，得到最终精准量输出，在一定程度上让运动过程分析更加真实有效。</t>
  </si>
  <si>
    <t>一种非线性模糊逻辑决策算法</t>
  </si>
  <si>
    <t>CN305734810S</t>
  </si>
  <si>
    <t>1.本外观设计产品的名称：用于手机的图形用户界面。
 2.本外观设计产品的用途：用于运行程序、显示信息和通信。
 3.本外观设计产品的设计要点：在于屏幕中的图形用户界面。
 4.最能表明设计要点的图片或照片：设计1主视图。
 5.手机为惯常设计，省略后视图;手机为惯常设计，省略左视图;手机为惯常设计，省略右视图;手机为惯常设计，省略俯视图;手机为惯常设计，省略仰视图。
 6.指定设计1为基本设计。
 7.图形用户界面的用途：本图形用户界面为应用软件猜歌比赛的主界面，界面用于人机交互。
 8.图形用户界面在产品中的区域：屏幕中的界面。
 9.图形用户界面的人机交互方式：在设计1至设计5主视图中，界面头部是用户头像、名称以及钻石数量；界面中部是猜歌排行榜；界面底部是“个人闯关赛”、“PK赛”、“多人竞技赛”三个模块，用户可以点击任意模块进入比赛。
 在设计1中，当用户点击主视图中部的“PK赛”模块时，界面跳转至歌曲模块选择的界面，歌曲模块为“中华小曲库”、“流行新曲榜”和“怀旧金曲榜”，呈现出主视图至界面变化状态图1的动态变化效果。
 当用户选择进入任意模块后，界面跳转至匹配界面，呈现出界面变化状态图1至界面变化状态图2的动态变化效果。
 当匹配成功进入比赛后，界面左侧为用户的头像以及分数条，右侧为对手的头像以及分数条，中部为转动碟片播放音乐，其下方是歌曲名称选项，界面底部是“快捷”控件，呈现出界面变化状态图2至界面变化状态图3的动态变化效果。
 在设计2中，当用户点击主视图中部的“PK赛”模块时，界面跳转至歌曲模块选择的界面，歌曲模块为“中华小曲库”、“流行新曲榜”和“怀旧金曲榜”，呈现出主视图至界面变化状态图1的动态变化效果。
 当用户选择进入任意模块后，界面跳转至匹配界面，呈现出界面变化状态图1至界面变化状态图2的动态变化效果。
 当匹配成功进入比赛后，界面左侧为用户的头像以及分数条，右侧为对手的头像以及分数条，中部为转动碟片播放音乐，其下方是歌曲名称选项，界面底部是“快捷”控件，呈现出界面变化状态图2至界面变化状态图3的动态变化效果。
 当用户点击“快捷”控件后，界面底部向上弹出快捷语浮层，呈现出界面变化状态图3至界面变化状态图4的动态变化效果。
 当用户点击任意快捷语后，用户头像上方出现快捷语，呈现出界面变化状态图4至界面变化状态图5的动态变化效果。
 在设计3中，当用户点击主视图中部的“PK赛”模块时，界面跳转至歌曲模块选择的界面，歌曲模块为“中华小曲库”、“流行新曲榜”和“怀旧金曲榜”，呈现出主视图至界面变化状态图1的动态变化效果。
 当用户选择进入任意模块后，界面跳转至匹配界面，呈现出界面变化状态图1至界面变化状态图2的动态变化效果。
 当匹配成功进入比赛后，界面左侧为用户的头像以及分数条，右侧为对手的头像以及分数条，中部为转动碟片播放音乐，其下方是歌曲名称选项，界面底部是“快捷”控件，呈现出界面变化状态图2至界面变化状态图3的动态变化效果。
 当用户和对手点击选择歌曲名称答错题目时，选中的歌曲名称变为红色，呈现出界面变化状态图3至界面变化状态图4的动态变化效果。
 在设计4中，当用户点击主视图中部的“PK赛”模块时，界面跳转至歌曲模块选择的界面，歌曲模块为“中华小曲库”、“流行新曲榜”和“怀旧金曲榜”，呈现出主视图至界面变化状态图1的动态变化效果。
 当用户选择进入任意模块后，界面跳转至匹配界面，呈现出界面变化状态图1至界面变化状态图2的动态变化效果。
 当匹配成功进入比赛后，界面左侧为用户的头像以及分数条，右侧为对手的头像以及分数条，中部为转动碟片播放音乐，其下方是歌曲名称选项，界面底部是“快捷”控件，呈现出界面变化状态图2至界面变化状态图3的动态变化效果。
 当用户和对手点击选择歌曲名称答对题目时，选中的歌曲名称变为绿色，呈现出界面变化状态图3至界面变化状态图4的动态变化效果。
 在设计5中，当用户点击主视图中部的“PK赛”模块时，界面跳转至歌曲模块选择的界面，歌曲模块为“中华小曲库”、“流行新曲榜”和“怀旧金曲榜”，呈现出主视图至界面变化状态图1的动态变化效果。
 当用户选择进入任意模块后，界面跳转至匹配界面，呈现出界面变化状态图1至界面变化状态图2的动态变化效果。
 当匹配成功进入比赛后，界面左侧为用户的头像以及分数条，右侧为对手的头像以及分数条，中部为转动碟片播放音乐，其下方是歌曲名称选项，界面底部是“快捷”控件，呈现出界面变化状态图2至界面变化状态图3的动态变化效果。
 当用户点击选择歌曲名称答对题目，对手点击选择歌曲名称答错题目时，用户选中的歌曲名称变为绿色，对手选中的歌曲名称变为红色，呈现出界面变化状态图3至界面变化状态图4的动态变化效果。</t>
  </si>
  <si>
    <t>用于手机的图形用户界面</t>
  </si>
  <si>
    <t>CN305828078S</t>
  </si>
  <si>
    <t>1.本外观设计产品的名称：用于电脑的图形用户界面。
 2.本外观设计产品的用途：用于人机交互及显示。
 3.本外观设计产品的设计要点：在于显示信息的图形用户界面的界面内容。
 4.最能表明设计要点的图片或照片：变化图3。
 5.因其不具有设计要点，省略俯视图、仰视图、左视图、右视图、后视图。
 6.图形用户界面的用途：产品的图形用户界面为控制机器人配送的图形用户界面。
 主视图显示机器人当前无任务的提示状态，当机器人接收到任务指令，进入变化图1；变化图1显示机器人的配送任务，点击“已确认”按钮进入变化图2或变化图3；变化图2显示机器人自检后的问题显示界面；变化图3显示准备出发界面，包括起点信息、终点信息、配送类型信息以及箱体操作提示信息，点击“查看操作教程”按钮进入变化图4；变化图4显示具体箱体操作教程；按照变化图3中的提示信息或按照变化图4中的操作教程对机器人进行操作，进入变化图5；变化图5显示机器人箱体到位提示状态，箱门锁定出现异常后进入变化图6；变化图6显示箱门锁定异常的提示信息，点击“手动锁定”按钮进入变化图7；变化图7显示箱门正在锁定中的提示信息，箱门锁定完成后进入变化图8；变化图8显示箱门锁定正常完成的提示信息，点击“开始配送”按钮进入变化图9；变化图9显示机器人即将出发的提示信息，机器人开始出发后进入变化图10；变化图10显示机器人正在配送的提示信息，机器人到达目的地后进入变化图11；变化图11显示机器人到达目的地的提示信息，点击“直接返回”按钮进入变化图12，点击“取车”进入变化图14；变化图12显示直接的返回确定界面；变化图13刷卡提示界面，根据提示信息进行刷卡操作后进入变化图14或变化图15；变化图14显示刷卡验证通过界面，变化图15显示刷卡验证失败界面，预设时间后进入变化图16；变化图16显示箱门打开提示信息，箱门打开后进入变化图17或变化图18；变化图17显示箱门打开失败提示信息，点击“手动释放”后顺序进入变化图19和变化图20；变化图18显示箱门打开成功提示信息；变化图19显示配送完成提示信息，点击“回收箱体”按钮进入变化图20；变化图20显示箱体移动提示信息，按照箱体移动提示信息对机器人进行操作进入变化图21；变化图21显示箱体检测到位提示信息，箱体锁定后进入变化图22或变化图23；变化图22显示箱体锁定成功提示信息，点击“回收出发”按钮进入变化图24；变化图23显示箱体锁定失败提示信息，点击“重新”回收按钮可对箱体进行重新回收操作；变化图24显示机器人返回提示信息，机器人到达终点后进入变化图25；变化图25显示机器人到达终点的提示信息，点击“机器人”后方的按钮进入变化图26；变化图26显示机器人的基本情况，点击“设置”按钮进入变化图27；变化图27显示机器人信息的可设置状态；在任意时刻对机器人进行制动操作进入变化图28；变化图28显示机器人已紧急制动的提示信息，对机器人进行恢复操作后进入变化图29；变化图29显示机器人已成功恢复的提示信息。
 各视图均有对应的参考图。</t>
  </si>
  <si>
    <t>用于电脑的图形用户界面</t>
  </si>
  <si>
    <t>CN305904820S</t>
  </si>
  <si>
    <t>1.本外观设计产品的名称：用于手机的猜歌比赛图形用户界面。
 2.本外观设计产品的用途：用于运行程序、显示信息和通信。
 3.本外观设计产品的设计要点：在于屏幕中的图形用户界面。
 4.最能表明设计要点的图片或照片：设计1主视图。
 5.指定设计1为基本设计。
 6.图形用户界面的用途、人机交互方式：本图形用户界面为应用软件猜歌比赛的主界面，界面用于人机交互。
 在设计1中，当用户点击主视图中部的“多人竞技赛”模块时，界面跳转至界面变化状态图1。
 随后匹配成功进入比赛，呈现出界面变化状态图1至界面变化状态图2的界面变化。
 在设计2中，当用户点击主视图中部的“多人竞技赛”模块时，界面跳转至界面变化状态图1。
 随后匹配成功进入比赛，呈现出界面变化状态图1至界面变化状态图2的界面变化。
 在界面变化状态图2中，当用户点击界面底部的“快捷”控件后，界面底部向上弹出快捷语浮层，呈现出界面变化状态图2至界面变化状态图3的界面变化。
 在设计3中，当用户点击主视图中部的“多人竞技赛”模块时，界面跳转至界面变化状态图1。
 随后匹配成功进入比赛，呈现出界面变化状态图1至界面变化状态图2的界面变化。
 在设计4中，当用户点击主视图中部的“多人竞技赛”模块时，界面跳转至界面变化状态图1。
 随后匹配成功进入比赛，呈现出界面变化状态图1至界面变化状态图2的界面变化。
 当用户点击选择歌曲名称答对题目时，选中的歌曲名称发生变化，呈现出界面变化状态图2至界面变化状态图3的界面变化。
 在设计5中，当用户点击主视图中部的“多人竞技赛”模块时，界面跳转至界面变化状态图1。
 随后匹配成功进入比赛，呈现出界面变化状态图1至界面变化状态图2的界面变化。
 当用户点击“快捷”控件后，界面底部向上弹出快捷语浮层，呈现出界面变化状态图2至界面变化状态图3的界面变化。
 在设计6中，当用户点击主视图中部的“多人竞技赛”模块时，界面跳转至界面变化状态图1。
 随后匹配成功进入比赛，呈现出界面变化状态图1至界面变化状态图2的界面变化。
 当用户点击选择歌曲名称答错题目且其他用户答题完成时，选中的歌曲名称以及用户头像发生变化，呈现出界面变化状态图2至界面变化状态图3的界面变化。
 各设计中的灰色区域为内容画面，例如：图片、用户头像等。
 7.手机为惯常设计，省略后视图、左视图、右视图、俯视图、仰视图。</t>
  </si>
  <si>
    <t>用于手机的猜歌比赛图形用户界面</t>
  </si>
  <si>
    <t>KR102173553B1</t>
  </si>
  <si>
    <t>根据本发明的使用深度学习技术的主动定制锻炼系统提供了一种功能,该功能可以轻松推荐和管理适合任何使用深度学习技术的锻炼方法,以及一种通过基于 AI 的聊天机器人与用户交互以有效锻炼的服务。健身需求,为在健身俱乐部锻炼的顾客提供替代私人健身教练的廉价服务,并使用可轻松扩展到家庭训练的深度学习技术。基于AI聊天机器人的深度学习健身服务平台提供了一个以用户熟悉的形式通过自然对话交换用户的运动计划管理、运动方法和反馈的服务,并利用深度学习技术,任何人都可以随时随地轻松使用智能手机推荐适合您和自己的运动方法通过AI聊天机器人实现运动进度、反馈等管理。</t>
  </si>
  <si>
    <t>使用深度学习技术的主动定制锻炼系统</t>
  </si>
  <si>
    <t>CN110755814B</t>
  </si>
  <si>
    <t>本发明公开了一种用于仰卧起坐的智能辅助健身器材，包括弧形支撑架，所述弧形支撑架上设有支撑机构，所述支撑机构设有固定柱、弹性软垫、坐架、弹簧垫、固定板、固定轴承一、连接轴、支撑板、防护外壳、连接带、圆孔、弹簧挂钩、透气软垫，所述弧形支撑架上设有辅助省力机构，所述辅助省力机构设有延伸板、固定架、固定杆、挡块、定滑轮、调速电机、联轴器、固定台、固定轴承二、驱动轴、驱动轮、韧线，所述弧形支撑架上设有辅助加力机构，所述弧形支撑架上设有智能控制机构，所述智能控制机构设有控制器、电容显示屏、家用电器插销、扬声器、PLC系统、信号接收器、语音识别器、压力传感器。本发明的有益效果是，结构简单，实用性强。</t>
  </si>
  <si>
    <t>用于仰卧起坐的智能辅助健身器材</t>
  </si>
  <si>
    <t>CN110575663B</t>
  </si>
  <si>
    <t>本发明公开了一种基于人工智能的体育辅助训练方法，根据训练者的个人档案数据和训练策略数据构建用户模型，并通过协同过滤推荐算法建立推荐模型，为后续的训练人员提供训练策略的推荐，训练过程中，采集训练者的运动时长、图像数据、运动视频数据、交互数据，分析运动训练过程中的视频数据和图像数据，并根据锻炼结果评估训练者的体能与运动强度，将运动训练过程中的视频数据和图像数据得到的结果和训练过程中的其它数据作为运动记录加入到个人档案中，更新用户模型提高推荐算法的质量和精度，解决了运动训练过程中的动作分析和动作质量评估问题。</t>
  </si>
  <si>
    <t>一种基于人工智能的体育辅助训练方法</t>
  </si>
  <si>
    <t>CN305670570S</t>
  </si>
  <si>
    <t>1.本外观设计产品的名称：用于手机的图形用户界面。
 2.本外观设计产品的用途：用在手机上的人机交互界面。
 3.本外观设计产品的设计要点：在于界面设计。
 4.最能表明设计要点的图片或照片：主视图。
 5.图形用户界面的用途：主视图为打开程序显示的界面，该界面下用户可以与当前房间的用户一起运动，中间显示路径地图以及用户在路径地图上是定位点，可以通过左上角滑块滑动至“动态”查看用户的参与状态；可以通过右侧的按钮调整运动设置（图例中为运动房间选择、运动模式选择以及运动目标设定）；点击下方“开始”按钮控制健身器材的启动；路径地图的形状可以根据设定进行改变。
 6.图形用户界面的变化状态说明：界面变化状态图1为滑动“主视图”左上角的滑块至“电台”后显示的界面，该界面下用户可与主持人进行互动交流。
 界面变化状态图2为点击“主视图”下方的“开始”按钮后显示的界面，该界面下用户可以查看自身的运动参与状况，在路径地图上突出显示用户自身的定位点到终点的路径，下方显示用户的运动数据和状态；可以通过调整右侧的按钮调整健身器材设置（图例中为跑步机的速度）；点击“暂停”按钮控制健身器材的停止；上方进度条显示目标完成度。</t>
  </si>
  <si>
    <t>CN305836549S</t>
  </si>
  <si>
    <t>1.本外观设计产品的名称：用于显示屏幕面板的图形用户界面。
 2.本外观设计产品的用途：人机交互界面。
 3.本外观设计产品的设计要点：在于界面设计。
 4.最能表明设计要点的图片或照片：主视图。
 5.图形用户界面的用途：主视图为程序显示界面；界面变化状态图为点击主视图中的音乐列表图标后显示的界面，该界面下用户可以选择播放的音乐。
 6.本申请的图形用户界面可以用于手机、平板电脑、计算机、电视机、电视盒子、健身器显示器。</t>
  </si>
  <si>
    <t>CN210757761U</t>
  </si>
  <si>
    <t>本实用新型属于智能机器人技术领域，尤其为一种机器人投篮设备，包括底座，所述底座的左端滑动连接有移动板，所述底座的左端上方通过移动板固定有机器人，所述底座的顶端固定安装有篮球机，将底座设置为可伸缩调节的结构，从而可以调节机器人投篮的远近距离，机器人通过对指定点上的篮球进行夹取，并向指定位置进行精准投篮，且能够在不同距离投篮，提高了观赏性，增加了观看机器人投篮的趣味性，另外，为便于抓取，在篮球机的篮球框一侧开设有一个向外的出球通道，将通道的宽度设为只能容一个篮球的宽度，从而避免了多个篮球同时堆积到漏球框内，影响机器人抓取的情况，能快速方便地夹取球，提高篮球机的投球速度。</t>
  </si>
  <si>
    <t>一种机器人投篮设备</t>
  </si>
  <si>
    <t>IN201911038056A</t>
  </si>
  <si>
    <t>在当前情况下,城市面临着在空气污染之前提供空气质量警报的糟糕策略。 空气质量管理效率低下,数据收集和显示不准确是导致空气警报不当的主要原因。 环境污染物监测为10m以下污染物浓度,代表所有源贡献。 因此,概括一个地区的空气污染,有时会高估它。 应该在不同的地点设置多台监测仪,可以显示城市所有区域的空气质量。 环境站应在适当维护的情况下在一段时间内持续运行。 需要不时校准和机器质量检查以获得准确的数据。 本研究侧重于通过人工神经网络预测 Criteria 空气污染物浓度。 这对于生成城市数据的空间趋势以及昼夜和季节表示至关重要。 由在 Shreenathpuram 体育场建立的 CAAQMS 生成的数据可在 CPCB 网站上获取,该数据用于对人工监测站预测产生的结果进行科学验证,以便可以在任何地方进行分析而不会出现差异。 CAAQMS对污染物的预测已将气象参数作为影响因素。 如今,国家空气质量指数(National Air Quality Index)实际上是一个数值来展示各个地点的实时空气质量。 它由显示污染程度的四个颜色带组成。查看和验证所有标准的所有标准污染物数据确实不是一个可行的选择,而且手动和机器错误是监测结果缺失值的主要缺点。要规范 只对受影响的区域进行预警,我们需要开发一个具有内置功能的系统。关于瞬时空气质量数据的知识已成为社会的需要。其背后的研究动机是关于瞬时空气质量数据的知识已成为 社会的需要。根据最近的报告,由于颗粒物 (PM10) 浓度高,哥打属于未达标地区。颗粒物对健康的影响因颗粒物的大小而异。二氧化硫和 氮氧化物对健康的不良影响也被考虑在内。选择了监督学习技术,即人工神经网络(ANN) n 在这项工作中获得更通用的数据并减少原始数据与模型预测的数据之间的误差。 在这项技术中,污染物的非线性行为将使用人工神经网络工作进行建模。 ANN 是最常见的统计学习方法,基于机器学习和泛化理论。 本研究的目的是在哥打市使用人工神经网络生成空气质量回归模型。 监测和模拟城市环境中有害颗粒的水平和传播。 这项研究已经完成。 颗粒物对健康的影响因颗粒物的大小而异。 二氧化硫、二氧化氮、一氧化碳和臭氧的影响也被考虑在内,因为它们对健康有不良影响。 本研究选择人工神经网络技术来获得更通用的数据,并减少原始数据与模型预测数据之间的误差。 在这项技术中,污染物和气象数据的非线性行为将使用回归模式下的人工神经网络进行建模。 污染物浓度与气象变量之间的相关性分析是利用从位于哥打市 Shreenathpuram 体育场的连续空气质量监测站收集的原始数据进行的。 有一些不可避免的限制。 尽管建立了连续空气质量监测站(CAAQMS),但污染物的监测并不连续,缺失的数据被删除或随机替换为前一天或前一小时的数据。 实时每小时和每日数据集用于开发预测模型。 从 2017 年 11 月至 2018 年 6 月期间从连续空气质量监测站捕获的特定持续时间的数据集。交通数据的不可用导致忽略可能影响污染物浓度的大多数异质数据。</t>
  </si>
  <si>
    <t>人工神经网络在哥打市局部尺度环境空气质量标准污染物预测中的应用</t>
  </si>
  <si>
    <t>US20210086052A1</t>
  </si>
  <si>
    <t>一种由模制橡胶制成的篮球投篮训练装置,适用于无需额外紧固件即可固定在篮球框上,并适用于减小球门区域的尺寸。 该设备配备红外接近传感器和蓝牙,篮球投篮训练设备连接到物联网,并通过移动应用程序提供反馈和训练动力。</t>
  </si>
  <si>
    <t>篮球投篮训练器</t>
  </si>
  <si>
    <t>JP2021047719A</t>
  </si>
  <si>
    <t>提供了一种能够根据诸如体育比赛的事件的状态来计算要与事件信息一起分发的广告信息的价值的信息处理设备、方法和程序。 
  信息处理系统1的信息处理设备100作为其功能包括获取用户的属性信息的属性信息获取单元131和收集随时间变化的事件状况信息的事件信息。基于收集单元132 、学习单元133,根据事件状态信息进行机器学习,生成事件预测模型信息,以及实时监测事件得到的动态数据和事件预测模型信息,包括预测情况的预测单元134事件的情况、计算单元135和广告信息分发单元136,计算单元135计算在事件的情况下向用户分发广告信息时的广告信息的价值。 
  【选型图】图1</t>
  </si>
  <si>
    <t>CN110600125B</t>
  </si>
  <si>
    <t>本发明涉及计算机身联网技术以及人工智能领域，具体提供了一种基于人工智能的体态分析助手系统及传输方法。与现有技术相比，本发明由智能配件、人工智能子系统和云服务器组成，智能配件用于身体各部位穿戴，将收集用户运动信息、体态特征、身体脂肪含量以及心率并将收集的数据上传至人工智能子系统；人工智能子系统通过CNN卷积神经网络来提取特征，形成特征向量表征人体体态来进行人体建模分析,以及设计个性化运动计划神经网络,输入健身计划，通过神经网络模拟生成体态采集数据，来进行定制个性化运动计划，并上传至云服务器中；云服务器用于储存人工智能系统上传的数据，可供用户随时用客户端进行观察。运用智能配件、人工智能和云服务器通过网络连接的，即时传输的特点，在帮助人们健康生活方面具有良好的推广价值。</t>
  </si>
  <si>
    <t>一种基于人工智能的体态分析助手系统及传输方法</t>
  </si>
  <si>
    <t>CN111167112A</t>
  </si>
  <si>
    <t>本发明涉及一种娱乐装置，特别是一种智能麻将机，其特征在于：包括：麻将桌；麻将牌，麻将牌内设置有与牌面信息相对应的感应标签卡；洗牌装置，设置于麻将桌内，用于对麻将牌进行洗牌，并形成牌堆；读写器，用于识别感应标签卡，以读取相应麻将牌的牌面信息；图像识别装置，设置于麻将桌上方，用于识别麻将桌上牌面朝上的麻将牌的牌面信息，以及用于识别牌堆麻将牌的位置顺序信息；控制器，分别与读写器和图像识别装置通讯连接，并接收读写器与图像识别装置所传送的信息。本发明的智能麻将机，能够快速高效的识别玩家打出的麻将牌信息，不会存在识别错误的问题，同时，还提升了比赛记录和统计计分的准确性，并且，还可以有效的防止作弊现象发生。</t>
  </si>
  <si>
    <t>一种智能麻将机</t>
  </si>
  <si>
    <t>CN110660411B</t>
  </si>
  <si>
    <t>本申请公开了一种基于语音识别的健身安全提示方法、装置、设备及介质，属于语音识别领域。所述方法包括：获取第一健身器材产生的声音信号；对所述声音信号进行识别，得到唤醒词概率，所述唤醒词概率是指所述声音信号识别为唤醒词的概率，所述唤醒词用于指示所述第一健身器材被非安全使用；根据所述唤醒词概率，输出健身安全提示信息，所述健身安全提示信息用于对所述第一健身器材的使用安全性进行提示。本申请对用户使用第一健身器材的安全性进行自动提示，可以减少健身安全事故的发生。</t>
  </si>
  <si>
    <t>基于语音识别的健身安全提示方法、装置、设备及介质</t>
  </si>
  <si>
    <t>CN210698723U</t>
  </si>
  <si>
    <t>本实用新型提供了一种基于物联网的智能健身系统，包括智能衣，具备若干电极片，还包括EMS控制器、APP移动端及云平台，其中EMS控制器与智能衣中电极片连接，并通过无线通讯方式与APP移动端连接，APP移动端与云平台无线连接，以移动端APP无线操控EMS控制器控制智能衣中电极片的输出模式，包括输出电脉冲强度、电脉冲频率、电脉冲宽度以及电流包络周期等，并通过无线通讯方式与云平台大服务器连接，云平台通过与APP及EMS控制器进行通讯交互，对EMS控制进行启停操作，本系统中设备的连接和控制采用无线方式，训练更自由、范围更大，便于及时调整，实现短时高效的健身效果，便于大范围推广。</t>
  </si>
  <si>
    <t>一种基于物联网的智能健身系统</t>
  </si>
  <si>
    <t>CN110559632A</t>
  </si>
  <si>
    <t>本发明公开了一种智慧滑雪健身仿真模拟器及其控制方法，包括：滑雪视景装置、机械运动装置和控制装置，控制装置包括控制器以及与控制器电性连接的通信装置和数据采集装置，数据采集装置包括空间定位装置和人机交互设备，控制器通过通信装置与上位计算机系统通信连接；滑雪视景装置用于模拟滑雪场景，机械运动装置用于用户执行滑雪动作，控制器分别与滑雪视景装置、机械运动装置电性连接。本发明提供的智慧滑雪健身仿真模拟器及其控制方法，使用简单方便，在球幕显示屏上实现仿真滑雪动态与雪地景象相配合，并能根据使用情况反馈给使用者相应的信息，有针对性的进行健身，提高用户科学健身运动体验感和交互性。</t>
  </si>
  <si>
    <t>一种智慧滑雪健身仿真模拟器及其控制方法</t>
  </si>
  <si>
    <t>CN210583568U</t>
  </si>
  <si>
    <t>本实用新型公开了一种智慧滑雪健身仿真模拟器，包括：滑雪视景装置、机械运动装置和控制装置，控制装置包括控制器以及与控制器电性连接的通信装置和数据采集装置，数据采集装置包括空间定位装置和人机交互设备，控制器通过通信装置与上位计算机系统通信连接；滑雪视景装置用于模拟滑雪场景，机械运动装置用于用户执行滑雪动作，控制器分别与滑雪视景装置、机械运动装置电性连接。本实用新型提供的智慧滑雪健身仿真模拟器，使用简单方便，在球幕显示屏上实现仿真滑雪动态与雪地景象相配合，并能根据使用情况反馈给使用者相应的信息，有针对性的进行健身，提高用户科学健身运动体验感和交互性。</t>
  </si>
  <si>
    <t>一种智慧滑雪健身仿真模拟器</t>
  </si>
  <si>
    <t>IN201911036566A</t>
  </si>
  <si>
    <t>健身运动对个人的健康和体质非常有益; 但是,如果用户执行不正确,它们也可能无效并具有潜在危险。 当用户没有使用正确的形式或姿势时,就会出现锻炼错误。 在我们的工作中,我们介绍了 A.I. 私人教练,一个检测用户的运动姿势并提供个性化的应用程序,详细说明用户如何提高他们的表现。人工智能私人教练使用最先进的姿势估计技术来检测用户的姿势,然后评估关键点 通过练习来提供有用的反馈。 我们记录一个数据集,其中包含关键点的坐标和捕获帧的时间(存储为 OI 之间的比率值)。 根据个人训练指南,对每一帧的数据集进行标记以指示其性能(好或坏),并构建机器学习算法进行评估。 人工智能 私人教练适用于四种常见练习,并支持带有 GPU 的 Windows。 我们的项目基于 A.I. 我们创造了一个人工智能。 私人教练将指导人类进行锻炼的正确姿势是什么。 它会实时指示它的正确或错误姿势。在这个我们使用实时人体检测,它是 3 维的,可以一次检测到多个人,所有的动作都是通过摄像头捕捉的。它使用自己的 语音辅助后台支持和实时反馈给用户通过面部和眼睛扫描给现场教练的感觉和安全感。不像输入密码或用户ID。它可以检查和验证做运动的人的情绪,比如对面部表情是否满意或 对教练的实时反馈感到悲伤或愤怒或沮丧。</t>
  </si>
  <si>
    <t>基于人工智能的健身教练和健身房的新颖系统。 a.i. 私人健身教练(在 a.i 健身房的口袋里锻炼一个教练)</t>
  </si>
  <si>
    <t>CN110478890A</t>
  </si>
  <si>
    <t>US20200006984A1</t>
  </si>
  <si>
    <t>公开了一种具有水箱的显示装置,一个或多个游泳机器人位于水箱中。 该装置包括用于与游泳机器人或移动终端进行通信的通信器、用于显示视频的显示器、一个或多个传感器、位于水箱内壁上并且包括多个布置的发射器的无线电力发射器 线圈和控制器。 因此,可以提供具有人工智能并且执行5G通信的显示设备和游泳机器人。 结果,可以提高充电效率,并且可以进一步提高用户的便利性。</t>
  </si>
  <si>
    <t>游泳机器人及其充电显示装置</t>
  </si>
  <si>
    <t>CN110648362B</t>
  </si>
  <si>
    <t>本发明公开了一种双目立体视觉的羽毛球定位识别与姿态计算方法，包括，采集羽毛球的不同姿态的图像作为样本数据集；构建基于Faster‑RCNN算法的深度神经网络；基于样本数据集对所述所述深度神经网络进行训练，得到Faster‑RCNN的训练模型；利用Faster‑RCNN训练模型识别羽毛球并确定羽毛球在图像中的位置；利用双目立体视觉对识别出的羽毛球进行三维重建，确定羽毛球的空间位置；采用Canny算子对羽毛球图像进行二值化、滤波处理，提取清晰边缘，计算羽毛球实时姿态角，具有定位精确，特征点匹配精确，姿态角计算准确的特点。</t>
  </si>
  <si>
    <t>一种双目立体视觉的羽毛球定位识别与姿态计算方法</t>
  </si>
  <si>
    <t>CN305921010S</t>
  </si>
  <si>
    <t>1.本外观设计产品的名称：用于显示屏幕面板的图形用户界面。
 2.本外观设计产品的用途：用于运行程序、显示信息和/或通信。
 3.本外观设计产品的设计要点：在于显示的图形用户界面。
 4.最能表明设计要点的图片或照片：设计1主视图。
 5.产品的其他视图不具有设计要点，且为现有设计，省略设计1‑3的立体图、后视图、左视图、右视图、俯视图和仰视图。
 6.指定设计1为基本设计。
 7.图形用户界面的用途：本外观设计产品的界面为应用软件客户端的界面，图形用户界面用于人机交互和实现产品或者软件客户端的功能。
 设计1‑设计3中显示屏幕面板中的图形用户界面用于表示不同模式的具体操作界面。
 显示屏幕面板用于如下至少一种：手机、平板电脑、台式电脑、带屏遥控器。</t>
  </si>
  <si>
    <t>CN211261978U</t>
  </si>
  <si>
    <t>本实用新型公开了一种人工智能空中悬挂移动式自动报靶装置，包括自动报靶本体、空中悬挂移动本体、连接结构、电源、控制电脑；所述自动报靶本体设有环板、保护架和连接结构；所述环板与所述保护架固定形成靶面，且所述保护架上与所述靶面相对应的一面设有压力传感器；所述压力传感器固定在所述保护架上且所述压力传感器的触碰面分散在所述环板上与所述靶面相对应的一面上；所述传感器分别与报数机构和控制装置电连接；所述连接结构一端与所述靶面固定连接，另一端固定于空中悬挂移动本体；该装置报靶精度准确，可靠性高，工作稳定，适用于公安、武警、部队或人武部门的战术射击训练及比赛靶场。</t>
  </si>
  <si>
    <t>一种人工智能空中悬挂移动式自动报靶装置</t>
  </si>
  <si>
    <t>CN305671863S</t>
  </si>
  <si>
    <t>1.本外观设计产品的名称：用于健身器材显示装置面板的图形用户界面。
 2.本外观设计产品的用途：用在健身器材上的人机交互界面。
 3.本外观设计产品的设计要点：在于界面设计。
 4.最能表明设计要点的图片或照片：主视图。
 5.图形用户界面的用途：用户可以在该界面查看当前和未来的直播课，也可在该界面直接进入正在进行的直播课；该界面展示运营的课程专题、一周运动时长、运动排名、账号积分余额和用户运动时间轴以及预约课程的记录。</t>
  </si>
  <si>
    <t>用于健身器材显示装置面板的图形用户界面</t>
  </si>
  <si>
    <t>CN305934104S</t>
  </si>
  <si>
    <t>1.本外观设计产品的名称：用于健身器材的图形用户界面。
 2.本外观设计产品的用途：用在健身器材上的人机交互界面。
 3.本外观设计产品的设计要点：在于界面设计。
 4.最能表明设计要点的图片或照片：主视图。
 5.图形用户界面的用途：用户可以在该界面下跟随教练一起运动，并可以通过左侧排行榜查看其他用户运动状态；通过下方数据清楚了解当前运动数据和状态；可以发送弹幕与教练和其他用户互动；可以通过调整右侧的按钮调整健身器材设置（图例中跑步机则为坡度和速度）；点击开始/暂停按钮控制健身器材的启动；上方进度条可以显示每段课程的进行程度。</t>
  </si>
  <si>
    <t>用于健身器材的图形用户界面</t>
  </si>
  <si>
    <t>CN211752472U</t>
  </si>
  <si>
    <t>本实用新型涉及机器人技术领域，且公开了一种人工智能机器人小车，包括车架，车架的底部活动卡接有连接板，连接板的底部活动安装有活动轴，活动轴的底部固定连接有底盘，底盘的顶部固定连接有缓冲弹簧，缓冲弹簧的顶部与车架的底部活动连接，底盘的顶部固定连接有安装盒，安装盒的外侧面固定连接有高功率马达，高功率马达的输出端延伸至安装盒的内部且固定连接有第一转轴。该人工智能机器人小车，通过外设底盘使得该小车在进行比赛的过程中对方的小车光感如果探到了外设底盘，就有可能误执行触碰到比赛场地外围所执行的程序，导致出现失误，通过防碰撞传感器可以防止别的小车在即将造成碰撞时能够进行快速反应。</t>
  </si>
  <si>
    <t>一种人工智能机器人小车</t>
  </si>
  <si>
    <t>WO2020051517A1</t>
  </si>
  <si>
    <t>训练有素的机器学习模型用于确定在视频游戏服务中注册的用户帐户的分数(例如信任分数),并且这些分数用于在多人视频游戏设置中将玩家匹配在一起。 在示例过程中,计算系统可以访问与注册用户帐户相关联的数据,将数据作为输入提供给经过训练的机器学习模型,并且经过训练的机器学习模型生成分数作为输出,这些分数与 在多人模式下玩视频游戏时,玩家根据特定行为表现或不表现的概率。 此后,执行视频游戏的登录用户帐户的子集可以至少部分地基于为那些登录用户帐户确定的分数被分配给不同的比赛,并且在为每个登录的用户帐户分配的比赛中执行视频游戏。 在用户帐户中。</t>
  </si>
  <si>
    <t>JP2021040735A</t>
  </si>
  <si>
    <t>提供一种高尔夫课程管理系统,无论教练的不同,都能统一课程的内容和质量,提高学员的技能。 
  解决方案:运动图像存储器存储多个运动图像的高尔夫课程,包括一个运动图像,其中高尔夫挥杆显示模型预先记录,以及运动图像识别信息,用于识别每个高尔夫课程的多个运动图像。教练终端装置操作教练员从多个高尔夫课程视频中选择的与一个成员的课程内容相对应的高尔夫课程视频。用于从视频存储装置中读取与选择标识信息对应的高尔夫课程视频,并将其传输到教练终端设备,以便教练员可以视觉识别; 管理服务器,具有 
  【选型图】图14</t>
  </si>
  <si>
    <t>高尔夫课程管理系统</t>
  </si>
  <si>
    <t>CN112805076A</t>
  </si>
  <si>
    <t>受训练的机器学习模型用于确定在视频游戏服务中注册的用户帐户的得分(例如信任度得分)，并且该得分用于在多玩家视频游戏设置中将玩家匹配在一起。在示例过程中，计算系统可以访问与注册的用户帐户相关联的数据，将数据作为输入提供给受训练的机器学习模型，并且该受训练的机器学习模型生成所述得分作为输出，该得分与在多玩家模式下玩视频游戏时玩家根据特定行为表现或不根据特定行为表现的概率相关。此后，至少部分地基于为那些登录用户帐户确定的得分，可以将执行视频游戏的登录用户帐户的子集分配给不同的比赛，并在每个登录用户账户的分配的比赛中执行视频游戏。</t>
  </si>
  <si>
    <t>用于玩家安排比赛的机器学习的信任度评分</t>
  </si>
  <si>
    <t>KR1020210053969A</t>
  </si>
  <si>
    <t>训练的机器学习模型用于确定向视频游戏服务注册的用户帐户的分数(例如,信任分数),这些分数用于在多人视频游戏设置中将玩家匹配在一起。 在示例过程中,计算系统可以访问与注册用户帐户相关联的数据,并将该数据作为输入提供给经过训练的机器学习模型,其中经过训练的机器学习模型使玩家能够玩多人游戏。在某种模式下玩视频游戏时,它会产生一个分数作为输出,该分数与根据特定动作采取或不采取行动的概率有关。 此后,运行视频游戏的登录用户账户子集可以至少部分地基于为登录用户账户确定的分数被分配给不同的比赛,其中视频游戏被分配给每个登录用户账户. 在游戏中运行。</t>
  </si>
  <si>
    <t>用于玩家配对的机器学习置信度评分</t>
  </si>
  <si>
    <t>JP2021536324A</t>
  </si>
  <si>
    <t>经过训练的机器学习模型用于确定在视频游戏服务中注册的用户帐户的分数,这些分数确定了多人视频游戏环境中玩家的对手。 在示例性过程中,计算系统访问与注册用户帐户相关联的数据,并将该数据作为输入提供给经过训练的机器学习模型,这允许玩家生成一个分数,该分数与沿着一个动作或不动作的概率有关。在播放器模式下玩视频游戏时的特定行为。 运行视频游戏的登录用户帐户的子集然后可以至少部分地基于为登录用户帐户确定的分数分配不同的比赛,并分配给每个登录用户帐户。比赛期间出场。 
  【选型图】图1</t>
  </si>
  <si>
    <t>基于机器学习的玩家匹配卡决策置信度评分</t>
  </si>
  <si>
    <t>EP3837029A4</t>
  </si>
  <si>
    <t>CN110448880A</t>
  </si>
  <si>
    <t>本发明公开了一种人工智能VR装置，包括模拟舱、第一伺服电机、电动玻璃门、跑步机、环境模拟单元和VR触感衣；跑步机：所述跑步机安装在模拟舱的内侧底部；第一伺服电机：所述第一伺服电机通过螺丝安装在模拟舱的顶部，第一伺服电机的输出轴通过传动机构连接有滑动机构，所述滑动机构的底部安装有升降机构，升降机构的端部安装有角度调节机构；环境模拟单元：所述环境模拟单元包括调速风机和加热器，加热器装配在调速风机的出风口位置，所述调速风机安装在角度调节机构的端部；VR触感衣：所述VR触感衣上对应人体的手腕和脚腕部位设有感应套，其环境模拟能力强，环境模拟的真实度高，模拟效果好，提高了使用者的体验感觉。</t>
  </si>
  <si>
    <t>一种人工智能VR装置</t>
  </si>
  <si>
    <t>CN110752003A</t>
  </si>
  <si>
    <t>本发明涉及人工智能技术领域，具体为基于人工智能技术模式识别的应用于健康预防的识别技术，包括如下步骤：S1：运动类型信息采集：对生物运动类型信息进行采集，获取相关数据，建立预留模版，组建运动类型数据库；S2：运动类型信息比对：对生物运动类型信息进行测量，获取相关数据，然后统计样本与预留模版数据一致程度，经比对阈值的误差达到分析判别的目的；S3：运动类型信息完善：开放运动类型识别标记口，引入用户共同标记，增强视频识别自我学习和完善能力，进而降低“拒识率”和“误识率”。该基于人工智能技术模式识别的应用于健康预防的识别技术适用性广，该专利技术不仅可应用于健康行业，亦可应用于竞技行业、体育行业等。</t>
  </si>
  <si>
    <t>基于人工智能技术模式识别的应用于健康预防的识别技术</t>
  </si>
  <si>
    <t>CN110624220B</t>
  </si>
  <si>
    <t>本发明提供最优立定跳远技术模板的获取方法，包括采集一运动员立定跳远全过程的运动学、动力学数据；依据所述数据中对应起跳全程的数据建立起跳正向动力学方程，并结合立定跳远时足‑支撑面之间的压力分布获取起跳技术方程；依据所述数据中对应腾空时的数据，建立下肢的目标函数，并结合人体空中相对运动规律获取腾空技术方程；依据运动员的足踝部的高分辨率断层影像建立足骨几何模型和有限元模型，计算得到最佳落地动作；建立最优立定跳远技术模板。本发明能为立定跳远技术(关节运动学)人工智能诊断提供匹配模板，为运动辅具优化设计提供理论依据。</t>
  </si>
  <si>
    <t>最优立定跳远技术模板的获取方法</t>
  </si>
  <si>
    <t>CN110420442A</t>
  </si>
  <si>
    <t>本发明公开了智能收集陪练网球机器人，属于智能机器人技术领域。智能收集陪练网球机器人，包括底盘和固定架，底盘的两侧前端固定安装有行进履带，后端固定安装有全向轮，底盘的前端固定连接有固定架，固定架上安装有前臂装置；固定架的下端固定连接有安装架，安装架之间安装有收球装置；底盘上还固定连接有固定板，固定板之间连接有网球运输装置，网球运输装置与收球装置相匹配，固定板的顶端还倾斜安装有储球板，储球板远离网球运输装置一端设置有弹射装置，弹射装置安装在底盘上；本发明有效解决了现有设计结构复杂，造价昂贵，使用成本较高以及现有设计在进行捡球陪练工作时无法实现网球储存工作的问题。</t>
  </si>
  <si>
    <t>智能收集陪练网球机器人</t>
  </si>
  <si>
    <t>CN210963807U</t>
  </si>
  <si>
    <t>本实用新型公开了智能收集陪练网球机器人，属于智能机器人技术领域。智能收集陪练网球机器人，包括底盘和固定架，底盘的两侧前端固定安装有行进履带，后端固定安装有全向轮，底盘的前端固定连接有固定架，固定架上安装有前臂装置；固定架的下端固定连接有安装架，安装架之间安装有收球装置；底盘上还固定连接有固定板，固定板之间连接有网球运输装置，网球运输装置与收球装置相匹配，固定板的顶端还倾斜安装有储球板，储球板远离网球运输装置一端设置有弹射装置，弹射装置安装在底盘上；本实用新型有效解决了现有设计结构复杂，造价昂贵，使用成本较高以及现有设计在进行捡球陪练工作时无法实现网球储存工作的问题。</t>
  </si>
  <si>
    <t>CN112259191A</t>
  </si>
  <si>
    <t>本申请提供了一种人工智能(artificial intelligence，AI)领域中的辅助健身的方法，其特征在于，包括：电子设备获取用户动作；所述电子设备从所述用户动作中确定所述用户动作中第一肢体的运动轨迹满足第一预设条件的备选动作；所述电子设备确定第二肢体在所述备选动作中的动作变化幅度；所述电子设备根据所述动作变化幅度，确定输出指导信息。通过确定肢体动作轨迹满足第一预设条件的备选动作，根据备选动作中的肢体动作变化幅度，可以准确确定用户进行健身动作。在确定用户进行健身动作的情况下输出指导信息，能够提高输出指导信息的准确性，提升用户体验。</t>
  </si>
  <si>
    <t>CN112447273A</t>
  </si>
  <si>
    <t>CN112447272A</t>
  </si>
  <si>
    <t>本申请提供了一种用于健身训练的提示方法和电子设备，涉及人工智能(artificial intelligence，AI)领域。该方法包括：获取训练所需空间，所述训练所需空间用于完成一个或多个训练动作；根据用户所处的训练场景和所述训练所需空间确定为用户推荐的训练位置；基于所述为用户推荐的训练位置采集所述用户的训练动作。上述技术方案通过根据用户所处的训练场景和训练所需空间为用户推荐合适的训练位置，能够实现在运动空间受限的场景下例如存在遮挡、场地不足时，用户也能够正常开展训练。</t>
  </si>
  <si>
    <t>CN112449088A</t>
  </si>
  <si>
    <t>本申请提供一种摄像头控制的方法、装置和终端设备，能够使得用户感知摄像头是否开启，从而有效对用户的隐私进行保护。该摄像头控制的方法包括：终端设备获取用户输入的第一指令，其中，所述第一指令用于播放所述终端设备中的第一应用程序中的动作教程；响应于所述第一指令，所述终端设备控制所述摄像头开启并弹出所述终端设备，并在弹出所述终端设备之后获取包含用户动作的图像，其中，所述用户动作是所述用户模仿所述动作教程做出的动作。本申请实施例的方法、装置和终端设备可以应用于人工智能(artificial intelligence，AI)领域，更具体的可以应用于智能健身领域。</t>
  </si>
  <si>
    <t>CN112446899A</t>
  </si>
  <si>
    <t>CN112439180B</t>
  </si>
  <si>
    <t>本申请实施例提供一种智能语音播放方法及设备，涉及电子技术领域，可以应用于人工智能(artificial intelligence，AI)健身场景，能够实时针对用户当前的训练状态和训练动作播放不同的语音，从而给用户以实时的语音反馈及动作改善的实时引导，且语音内容丰富多变，用户体验较好。具体方案为：电子设备显示第一应用程序的界面，第一应用程序用于用户进行运动训练；采集用户训练动作的图像；播放标准动作的动画，并显示用户训练动作的图像；确定用户训练动作中的第一动作单元触发的多条待选语音，第一动作单元为一次训练动作或者为一次训练动作的一部分；从待选语音中选择一条语音进行播放。本申请实施例用于播放语音。</t>
  </si>
  <si>
    <t>CN112308880B</t>
  </si>
  <si>
    <t>CN114432683A</t>
  </si>
  <si>
    <t>US10600334B1</t>
  </si>
  <si>
    <t>公开了使用移动设备进行虚拟指导和表现训练的方法和系统。 该方法和系统执行以下步骤:使用移动设备上的摄像头捕捉运动员的训练视频; 在从第一时刻开始的提示周期内,用视觉提示增强训练视频; 通过分析玩家在第一时刻和第二时刻之间的身体姿势流,确定玩家在提示周期内的第二时刻是否对视觉提示做出反应,其中身体姿势流是从训练中提取的 通过对训练视频的一个或多个帧执行计算机视觉算法来制作视频; 并且响应于确定玩家已经响应了视觉提示,向玩家生成反馈。</t>
  </si>
  <si>
    <t>用于促进身体-眼睛协调和反应时间的交互式训练的方法和系统</t>
  </si>
  <si>
    <t>CN110935157A</t>
  </si>
  <si>
    <t>本发明属于高尔夫球场管理信息化技术领域，尤其涉及一种基于物联网的高尔夫球场管理智能终端，包括壳体及设置在壳体内的：登录模块、显示模块、内置SIM卡、物联网NB‑IoT芯片、配置统计模块、成绩统计模块、排序模块和环境检测模块；登录模块记录登录人员的姓名、地址、使用车辆以及备注信息数据，显示模块安装所述的内置SIM卡，配置统计模块对高尔夫球场的球洞编号、标准杆和码数进行数据统计，环境检测模块用于检测高尔夫球场内的温度、风向、风速和土壤情况，成绩统计模块对打球人员每洞的成绩进行实时统计。本发明能够对高尔夫球场环境进行实时管理，并且能够使比赛人员能够随时调取自身打球成绩和所获荣誉。</t>
  </si>
  <si>
    <t>一种基于物联网的高尔夫球场管理智能终端</t>
  </si>
  <si>
    <t>US10722172B1</t>
  </si>
  <si>
    <t>本发明针对可以基于诸如肺氧容积(pmVO2)的单一因素来确定用户的健康的系统和方法。 用户进行系统健身应用指定的体能测试后,对用户进行心率测量。 心率测量值会转换为 pmVO2 值,并与其他人的 pmVO2 值进行比较。 系统根据比较结果为用户分配健身等级。 该系统还包括帮助用户从一个等级移动到更高等级的人工智能系统。</t>
  </si>
  <si>
    <t>WO2020258498A1</t>
  </si>
  <si>
    <t>一种基于深度学习的足球比赛行为识别方法，包括：获取待识别的足球比赛视频（S101），将所述足球比赛视频划分为N个视频段，并从各个视频段中分别抽取一帧图像作为输入图像（S102），N为大于1的整数，使用预设的深度学习网络模型对所述输入图像进行处理，得到与所述足球比赛视频对应的行为识别结果（S103）。该方法使用Inception网络模型学习所述输入图像每一帧中的像素点之间的关系，使用三维ResNet网络模型学习所述输入图像各帧之间的关系，大大简化了行为识别的过程，减少了现有技术中多个复杂步骤叠加造成的精度损失，在减少耗费时长的同时，也提高了识别结果的精度。</t>
  </si>
  <si>
    <t>基于深度学习的足球比赛行为识别方法、装置及终端设备</t>
  </si>
  <si>
    <t>CN210297915U</t>
  </si>
  <si>
    <t>本实用新型实施例公开一种泳池防溺水监控装置，包括第一拍摄装置，所述第一拍摄装置包括第一拍摄机和悬浮气球，所述悬浮气球上固定安装支架，所述第一拍摄机设置在泳池的上方，且所述第一拍摄机通过所述支架与所述悬浮气球连接；所述悬浮气球的上方设置第一螺旋桨，所述第一螺旋桨通过所述支架与所述悬浮气球连接。这样，在使用时，通过悬浮气球和第一螺旋桨的带动，可以使得第一拍摄机能够在泳池上方进行移动，进而方便监控位于泳池内游泳者的情况，便于计算机对视频处理，可以通过分类学习，利用聚类等机器学习的算法，识别、判断游泳者是否溺水，也可人为远程监控。</t>
  </si>
  <si>
    <t>一种泳池防溺水监控装置</t>
  </si>
  <si>
    <t>KR1020190106876A</t>
  </si>
  <si>
    <t>公开了一种具有水箱的显示装置,一个或多个游泳机器人位于水箱中。 该装置包括与游泳机器人或移动终端通信的通信单元、显示图像的显示器、一个或多个传感单元、无线电力传输单元,无线电力传输单元包括位于水箱内壁并布置的多个发射线圈。多个,以及一个控制模块。 因此,可以提供配备有人工智能的显示装置和游泳机器人,并且可以提供执行5G通信的显示装置和游泳机器人。 因此,可以提高充电效率,并且可以进一步提高用户便利性。</t>
  </si>
  <si>
    <t>一种漂浮机器人及机器人充电显示装置</t>
  </si>
  <si>
    <t>CN110538439B</t>
  </si>
  <si>
    <t>本发明公开了一种冰壶机器人的投掷方法，属于人工智能与控制技术领域。本方法包括：确定大本营内外双方冰壶的数量和位置：获取冰壶比赛场地图像，进行图像校正，并进行冰壶识别、分割与定位，确定大本营内外双方冰壶的数量和位置；设计冰壶比赛己方得分函数St：设冰壶半径为rc，将双方冰壶中心到大本营中心点的距离与大本营半径r做比较，确定大本营内已方冰壶数量为K，对方冰壶数量为H，以及得分St；确定投掷方法：根据当前时刻得分情况St、不同位置双方冰壶的数量，设计冰壶投掷过程中的评价函数，再根据评价函数确定投掷方法。本发明大大降低了冰壶机器人的投掷策略算法的复杂性，为冰壶机器人进一步开展决策与控制提供了依据。</t>
  </si>
  <si>
    <t>一种冰壶机器人的投掷方法</t>
  </si>
  <si>
    <t>US11057318B1</t>
  </si>
  <si>
    <t>分布式机器学习系统和其他分布式计算系统通过嵌入直接耦合到网络交换机的扩展模块中的计算逻辑得到改进。 计算逻辑对梯度或系统节点处理的其他计算数据执行集体操作,例如归约操作。 归约运算可以包括例如求和、平均、逐位运算等。 以这种方式,扩展模块可以在集合阶段接管分布式系统的部分或全部处理。 该模块的内联版本位于交换机和网络之间。 承载计算数据的数据单元使用计算逻辑进行拦截和处理,而其他数据单元透明地通过模块进出交换机。 多个模块可以连接到交换机,每个模块都耦合到不同的节点组,并共享中间结果。 还描述了边车版本。</t>
  </si>
  <si>
    <t>网络交换机的分布式人工智能扩展模块</t>
  </si>
  <si>
    <t>CN305920706S</t>
  </si>
  <si>
    <t>1.本外观设计产品的名称：用于跑步机显示屏的中控系统图形用户界面。
 2.本外观设计产品的用途：主要用于跑步机中控显示屏的程序运行、操作交互及信息显示。
 3.本外观设计产品的设计要点：在于交互界面。
 4.最能表明设计要点的图片或照片：主视图。
 5.图形用户界面的用途：主视图界面作为智能跑步机产品的中控系统主页。
 6.图形用户界面的人机交互方式：供用户启动跑步机开始运动，可以选择健身课程同步训练，在运动计划中选择或设置需要的跑步计划进行运动。</t>
  </si>
  <si>
    <t>用于跑步机显示屏的中控系统图形用户界面</t>
  </si>
  <si>
    <t>CN110867099A</t>
  </si>
  <si>
    <t>本发明公开一种运动健身姿态评分及教学的装置及方法，本装置用于实现本方法。本装置包括底座、支撑架、智能教学系统、显示屏、显屏连接件和电源，支撑架的一端与底座固定连接，其另一端与显屏连接件的一端连接，显屏连接件的另一端与显示屏固定连接，智能教学系统分别与电源、显示屏电连接，其中智能教学系统包括视频采集装置和树莓派系统，树莓派系统与视频采集装置，所述树莓派系统编辑有具有深度学习能力且已训练完成的卷积神经网络和具有三维重建功能的神经网络模型。本发明为爱好运动的人提供了智能评分及教学，提升用户体验。</t>
  </si>
  <si>
    <t>一种运动健身姿态评分及教学的装置及方法</t>
  </si>
  <si>
    <t>CN210495156U</t>
  </si>
  <si>
    <t>本实用新型公开了一种基于物联网的用于篮球训练的计数显示器，通过低压差线性稳压芯片AMS1117‑3.3的稳压、GP2Y0A02YK型红外距离传感器的精确识别以及STM32F103CBT6型微控制器低功耗、高可靠的精准处理，得到准确的投篮信息，并使用IEEE802.11协议无线通信，使得显示端与检测端分离，用户可将显示端放在场馆任意合适的位置，获取投篮信息。</t>
  </si>
  <si>
    <t>一种基于物联网的用于篮球训练的计数显示器</t>
  </si>
  <si>
    <t>CN305821614S</t>
  </si>
  <si>
    <t>1.本外观设计产品的名称：带有中控系统图形用户界面的云智能跑步机显示屏。
 2.本外观设计产品的用途：主要用于跑步机中控显示屏的程序运行、操作交互及信息显示。
 3.本外观设计产品的设计要点：在于交互界面。
 4.最能表明设计要点的图片或照片：主视图。
 5.图形用户界面的用途：主视图界面作为智能跑步机产品的中控系统主页。
 6.图形用户界面的人机交互方式：供用户启动跑步机开始运动，可以选择健身课程同步训练，在运动计划中选择或设置需要的跑步计划进行运动。</t>
  </si>
  <si>
    <t>带有中控系统图形用户界面的云智能跑步机显示屏</t>
  </si>
  <si>
    <t>CN211742287U</t>
  </si>
  <si>
    <t>本实用新型公开一种运动健身姿态评分及教学的装置。本装置包括底座、支撑架、智能教学系统、显示屏、显屏连接件和电源，支撑架的一端与底座固定连接，其另一端与显屏连接件的一端连接，显屏连接件的另一端与显示屏固定连接，智能教学系统分别与电源、显示屏电连接，其中智能教学系统包括视频采集装置和树莓派系统，树莓派系统与视频采集装置，所述树莓派系统编辑有具有深度学习能力且已训练完成的卷积神经网络和具有三维重建功能的神经网络模型。本实用新型为爱好运动的人提供了智能评分及教学，提升用户体验。</t>
  </si>
  <si>
    <t>一种运动健身姿态评分及教学的装置</t>
  </si>
  <si>
    <t>CN110478883B</t>
  </si>
  <si>
    <t>本发明涉及一种健身动作教学及矫正系统，包括服务器、摄像头、显示屏和音响，所述服务器用于构建与训练人体行为识别与循环神经网络模型，为系统提供计算能力，所述服务器与摄像头连接来获取使用者的健身动作视频，所述服务器和显示屏连接来将健身动作用虚拟人物的形式显示出来，以便使用者提高健身动作的正确性，所述服务器和音响连接来语音提醒系统连接状况，以及系统发生错误时的报警。本发明能够提供标准的健身动作，通过对比自身动作给予错误指出与修改的意见，用虚拟人物直观的体现自身动作与标准动作的差距，及时的规范自身动作，避免因错误健身造成的身体伤害，提高健身的效率。</t>
  </si>
  <si>
    <t>一种健身动作教学及矫正系统及方法</t>
  </si>
  <si>
    <t>KR102303272B1</t>
  </si>
  <si>
    <t>本发明的一个实施例提供一种记录装置,用于记录用户的种族、年龄、遗传信息和家族史信息、身体测量信息、生活方式信息等,包括用户的体重指数和腰围的身体测量信息,以及用户 将用户的咖啡、钙、番茄红素和鱼类摄入量、吸烟习惯、饮酒习惯、包括体育活动在内的生活方式信息、家族史信息作为教师数据,输入为身体信息和生活方式信息,输入信息改变模型生成用于通过机器学习生成判断模型的装置,其输出是根据用户前列腺癌风险的变化程度,以及用户的种族、年龄、遗传信息和家族史信息、身体测量信息和生活方式信息。第一用户被注册,输出根据身体测量信息和生活方式信息估计的前列腺癌风险变化程度,使用登记装置输入到登记装置 公开了一种用于预测前列腺风险变化程度的系统癌症有输出手段。</t>
  </si>
  <si>
    <t>前列腺癌风险变化预测系统</t>
  </si>
  <si>
    <t>US62888630P0</t>
  </si>
  <si>
    <t>专业体育特许经营前厅名册管理和运动员价值的实时人工智能应用</t>
  </si>
  <si>
    <t>CN110472868A</t>
  </si>
  <si>
    <t>本发明公开了一种赛事管理平台，包括：人机交互模块，通过所述人机交互模块输入办赛方信息、赛制模式、赛事规则和参赛要求；赛事创建模块，用于根据输入的办赛方信息、赛制模式、赛事规则和参赛要求完成赛事创建，生成赛事流程表和报名流程表；参赛报名模块，用于获取所述报名流程表，对参赛队员的参赛资格进行预审核；参赛队员认证模块，用于对参赛队员进行认证；赛事审核模块，用于得到赛事审核结果；赛事抽签编排模块，用于到赛事对阵结果，通过一键抽签算法得到赛程安排；检录模块，包括运动员端和工作人员端，运动员端用于接收检录时间提醒和赛程提醒；工作人员端用于查询当前场地的待比赛的运动员的信息，还用于根据赛程对运动员进行检录。</t>
  </si>
  <si>
    <t>一种赛事管理平台及系统及方法</t>
  </si>
  <si>
    <t>WO2020034559A1</t>
  </si>
  <si>
    <t>一种体育宫产品、方法及智能系统，包括：体育宫顶、体育宫顶柱支承、体育宫跑道及场地、体育宫护栏面、物联网智能系统、连接廊及分廊，其中优选的蓝天白云色彩透光板体育宫顶面A，体育宫色彩警示软包防撞柱支承B、彩色塑胶沥青混凝土防撞标志警示廊道C；特别是涉及一种晴天和雨雪天能够用来遮阳防雨雪、采光、防暴晒、与环境协调、运动心情好在体育运动跑道及场地上进行田径运动及各类文体活动的体育宫产品、方法及智能系统。</t>
  </si>
  <si>
    <t>体育宫产品、方法及智能系统</t>
  </si>
  <si>
    <t>CN110458235B</t>
  </si>
  <si>
    <t>本发明属于计算机视觉领域，为视频中运动姿势相似度比对方法，包括步骤：数据提取，并生成含有多个人体节点的骨架关键节点图；数据预处理，生成节点时序状态图；去除节点时序状态图中无变化部分，只保留节点在不同时间下的变化状态，生成节点时序变化特征图；根据节点时序变化特征图，通过差异算法计算得到差异值，综合每个节点在不同时间段的差异值组成全部节点的差异矩阵；根据差异矩阵通过相似度算法，计算出两个动作在动作姿势、动作幅度、动作速度三个维度的相似度。通过本发明所提供的相似度比对技术可高效快速准确的比对出运动姿势包括动作姿势、动作速度、动作幅度三个维度的相似度，可以应用在体育运动、健身纠错等领域。</t>
  </si>
  <si>
    <t>一种视频中运动姿势相似度比对方法</t>
  </si>
  <si>
    <t>CN110433471A</t>
  </si>
  <si>
    <t>本发明公开了一种羽毛球运动轨迹监测分析系统及方法，采用图像检测技术、图像识别技术、无线传输技术、数据分析技术，能够实现在羽毛球运动比赛或训练过程中，对羽毛球的运动轨迹、运动速度、球类运动过程旋转变化轨迹和运动员运动过程中连续动作姿态等信息进行实时监测。能够对球类运动轨迹和运动员动作姿态进行实时视频监测和识别，方便教练员进行球类运动科学分析，制定针对性训练计划，提高运动训练效果。</t>
  </si>
  <si>
    <t>一种羽毛球运动轨迹监测分析系统及方法</t>
  </si>
  <si>
    <t>CN110472562A</t>
  </si>
  <si>
    <t>本发明公开了一种定位球视频片段检测方法，该方法包括：使用预先构建的足球检测模型检测出足球进球视频片段的每一帧画面中足球的位置信息；足球检测模型为通过将足球比赛图片训练集合中的每一张图片作为输入以及将对应的图片中已标注的足球作为目标，对基于卷积神经网络的目标检测算法进行训练所得到；根据检测出的足球的位置信息判断任意连续N帧画面中足球的位置是否发生变化；响应于判断结果为任意连续N帧画面中足球的位置没有发生变化，将足球进球视频片段确定为定位球视频片段。采用本发明提供的技术方案能够提高定位球视频片段检测的智能化程度与准确性；同时本发明还提供定位球视频片段检测装置、系统及存储介质。</t>
  </si>
  <si>
    <t>定位球视频片段检测方法、装置、系统及存储介质</t>
  </si>
  <si>
    <t>CN110490112A</t>
  </si>
  <si>
    <t>本发明公开了一种足球视频片段检测方法，包括：判断待检测的足球视频片段是否为进球视频片段；响应于确定待检测的足球视频片段为进球视频片段，将待检测的足球视频片段输入至预先构建的进球视频片段四分类模型，得到进球视频片段四分类模型输出的第一识别结果；进球视频片段四分类模型为通过将足球进球视频片段训练集合中的每一个视频片段作为输入，以及将对应的进球视频片段的第一标注内容作为输出，对基于卷积神经网络的第一分类模型进行训练所生成；第一标注内容用于指示对应的视频片段的进球类型。本发明提供的技术方案能够提高足球视频片段检测的智能化程度与准确性；同时本发明还提供足球视频片段检测装置、系统及存储介质。</t>
  </si>
  <si>
    <t>足球视频片段检测方法、装置、系统及存储介质</t>
  </si>
  <si>
    <t>JP2019197592A</t>
  </si>
  <si>
    <t>Kind Code: A1 更有效地学习人工智能代理使用多个对象玩电子游戏。 
  玩家日志收集部(52)获取玩家日志,该玩家日志是表示玩家关于该游戏的游戏进展历史的数据。 表情学习部54根据玩家日志DB 36中存储的玩家日志进行表情学习,学习表示各角色的特征的特征向量。 基于存储在玩家日志 DB 36 中的玩家日志,监督学习单元 56 使 AI 代理 42 在使用由表达学习单元 54 学习的每个角色的特征向量的同时学习使用每个角色的策略。 AI对战处理单元58让训练好的AI代理42在本场比赛中进行对战,AI日志收集单元62获取AI日志。 统计数据生成器64基于AI日志生成关于字符使用结果的统计数据44a。 
  【选型图】图5</t>
  </si>
  <si>
    <t>信息处理装置和信息处理程序</t>
  </si>
  <si>
    <t>TWM588839U</t>
  </si>
  <si>
    <t>一种健身器材之视频课程推荐系统,具有相互连结之一登入模组、一视频资料库及一分析推荐模组,供使用者登入视频课程推荐系统后,可透过分析推荐模组自动撷取其帐户 资讯中之产品序号,以判断出使用者实际所拥有的健身器材类别,并进一步透过分析推荐模组自动搜寻出该视频资料库中符合其健身器材类别之视频档案,再根据筛选出来的视频档案 之总点击数与档案创建时间予以评分后,即可依照其评分结果的高低进行优先推荐顺序之排列,而完成视频档案的推荐排序。</t>
  </si>
  <si>
    <t>健身器材之视频课程推荐系统</t>
  </si>
  <si>
    <t>CN111597601A</t>
  </si>
  <si>
    <t>体育宫建筑产品、方法及智能系统</t>
  </si>
  <si>
    <t>CN112395458A</t>
  </si>
  <si>
    <t>本发明公开了一种健身器材的视频课程推荐系统，具有相互连结的一登入模组、一视频资料库及一分析推荐模组，供使用者登入视频课程推荐系统后，可透过分析推荐模组自动撷取其帐户资讯中的产品序号，以判断出使用者实际所拥有的健身器材类别，并进一步透过分析推荐模组自动搜寻出该视频资料库中符合其健身器材类别的视频档案，再根据筛选出来的视频档案的总点击数与档案创建时间予以评分后，即可依照其评分结果的高低进行优先推荐顺序的排列，而完成视频档案的推荐排序。本发明具有可主动推荐符合使用者实际所拥有的健身器材且最新视频课程的功效。</t>
  </si>
  <si>
    <t>健身器材的视频课程推荐系统及其视频课程推荐方法</t>
  </si>
  <si>
    <t>TW202107368A</t>
  </si>
  <si>
    <t>健身器材之视频课程推荐系统及其视频课程推荐方法</t>
  </si>
  <si>
    <t>CN110472561B</t>
  </si>
  <si>
    <t>本发明公开了一种足球进球类型识别方法，该方法包括：判断足球进球视频片段是否为定位球视频片段；响应于确定所述足球进球视频片段为定位球视频片段，使用预先构建的定位球三分类模型识别出定位球视频片段的定位球类型；其中，所述定位球三分类模型为通过将定位球视频片段训练集合中的每一个视频片段作为输入，以及将对应的视频片段的标注内容作为输出，对基于卷积神经网络的分类模型进行训练所生成；所述标注内容用于指示对应的视频片段的定位球类型。采用本发明提供的技术方案能够提高足球进球类型识别的智能化程度与准确性；同时本发明还提供足球进球类型识别装置、系统及存储介质。</t>
  </si>
  <si>
    <t>足球进球类型识别方法、装置、系统及存储介质</t>
  </si>
  <si>
    <t>CN113869230A</t>
  </si>
  <si>
    <t>本发明公开了一种足球进球类型识别方法，包括：判断足球进球视频片段是否为定位球视频片段；响应于确定足球进球视频片段为定位球视频片段，使用预先构建的定位球三分类模型识别出定位球视频片段的定位球类型；响应于确定足球进球视频片段不为定位球视频片段，将足球进球视频片段的进球类型确定为普通进球；定位球三分类模型为通过将定位球视频片段训练集合中的每一个视频片段作为输入，将对应的视频片段的标注内容作为输出，对基于卷积神经网络的分类模型进行训练所生成；标注内容用于指示对应的视频片段的定位球类型。采用本发明提供的技术方案能够提高足球进球类型识别的智能化程度与准确性。</t>
  </si>
  <si>
    <t>CN305981342S</t>
  </si>
  <si>
    <t>1.本外观设计产品的名称：用于手机的定段比赛图形用户界面。
 2.本外观设计产品的用途：用于运行程序、显示信息和通信。
 3.本外观设计产品的设计要点：在于屏幕中的图形用户界面。
 4.最能表明设计要点的图片或照片：主视图。
 5.硬件产品为惯常设计，省略后视图;硬件产品为惯常设计，省略左视图;硬件产品为惯常设计，省略右视图;硬件产品为惯常设计，省略俯视图;硬件产品为惯常设计，省略仰视图。
 6.图形用户界面的用途：音乐软件客户端界面，界面用于人机交互。
 7.图形用户界面在产品中的区域：屏幕中的界面。
 8.图形用户界面的人机交互方式：在主视图中，界面中部为“匹配K歌”控件，用户可点击进入到K歌界面。
 界面中下方显示不同榜单所对应的段位排名和我的相应段位排名信息，用户可点击不同榜单进行切换查看排名，也可选择查看在全国或城市以及好友范围的段位排名，也可选择邀请好友进行K歌。
 界面最下方显示操作控件，用户可点击不同控件切换显示内容。</t>
  </si>
  <si>
    <t>用于手机的定段比赛图形用户界面</t>
  </si>
  <si>
    <t>CN110427478B</t>
  </si>
  <si>
    <t>本发明公开了一种基于知识图谱的问答搜索方法及系统，方法包括从QA语料库中每条语料中抽取对应的实体、谓词和值；以三元组形式导入图形数据库，形成乒乓球领域的知识图谱；选取QA语料库中的问题表示为问题模板，形成问题模板知识库；根据问题模板知识库中的每个问题模板所对应的实体和值，查找连接实体和值的直接谓词，将问题模板映射到此谓词构建谓词模板知识库；对用户提出的问题抽取实体，在谓词模板知识库中查找出该实体所对应的谓词，得到对应的实体‑谓词对；根据实体‑谓词对在知识图谱中进行查询，得到对应的值即为答案。本发明使用问题模板进行问题表示，相比于之前基于关键字、规则、同义词的问题表示方法更加准确方便。</t>
  </si>
  <si>
    <t>一种基于知识图谱的问答搜索方法及系统</t>
  </si>
  <si>
    <t>TR201912164A2</t>
  </si>
  <si>
    <t>本发明涉及一种为教练及其助手开发的足球模拟应用程序,旨在利用人工智能在足球比赛中以最少的失误赢得比赛。</t>
  </si>
  <si>
    <t>足球模拟应用程序</t>
  </si>
  <si>
    <t>IN201911032063A</t>
  </si>
  <si>
    <t>实时教练管理系统是基于物联网的应用程序。 该系统由两个阶段组成。 第一阶段提供从源到目的地的不同地铁站上乘客数量的分布和计算。 安装在枢纽站的机器必须向智能卡持有人询问他们的目的地地铁站,以便计算乘客的实时计数。 第二阶段,城市地铁的规定容量为每辆客车约300人。 所以4节车厢1200,6节车厢1800节车厢,8节车厢2400节车厢。 以便有效地处理乘客。 拟议系统的主要好处是: 它负责处理资源的不足和过度使用。 湾。 可以避免发动机的额外负载以及由于灯光和交流电而导致的功耗。</t>
  </si>
  <si>
    <t>基于物联网的实时铁路客车管理系统</t>
  </si>
  <si>
    <t>CN110584599A</t>
  </si>
  <si>
    <t>本发明公开了一种基于心脏功能动态监测与分析的小波变换数据处理系统及方法，所述装置包括所述数据预处理装置、小波变换装置，对来自于传感器的心脏功能信号进行连续小波变换处理。本发明小波变换数据处理技术应用于便携式心脏智能贴片系统，以可穿戴设备的形式佩戴于人体胸壁，对心脏机械振动进行体外监测，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监测，对照手术后康复监测，居家养老人群，体育运动人群的日常监护的意义重大。</t>
  </si>
  <si>
    <t>一种基于心脏功能动态监控的小波变换数据处理系统及方法</t>
  </si>
  <si>
    <t>CN110598549A</t>
  </si>
  <si>
    <t>本发明公开了一种基于心脏功能动态监控的卷积神经网络信息处理系统及方法，信息处理系统包括一个14层高效卷积神经网络。卷积神经网络信息处理技术应用于便携式心脏智能贴片系统，以可穿戴设备的形式佩戴于人体胸壁，对心脏机械振动进行体外监测，连续地、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与及时医护的目的。对严重心律失常、心绞痛、急性心肌梗死的早期预警监测，对照手术后康复监测，居家养老人群，体育运动人群的日常监护意义重大。</t>
  </si>
  <si>
    <t>一种基于心脏功能监控的卷积神经网络信息处理系统及训练方法</t>
  </si>
  <si>
    <t>CN110598424B</t>
  </si>
  <si>
    <t>本发明公开了一种基于心脏功能动态监测与分析的数据加密‑解密系统及方法，包括特征ID装置、逻辑电路加密装置、识别解密装置，所述解密装置用于接受密文和心脏智能贴片ID后，通过数据库查找出ID对应的密钥，进行解密。本发明采用便携式智能可穿戴设备对心脏机械振动进行体外监测，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与及时医护的目的。对严重心律失常、心绞痛、急性心肌梗死的早期预警监测，对照手术后康复监测，居家养老人群，体育运动人群的日常监护意义重大。</t>
  </si>
  <si>
    <t>一种基于心脏功能动态监测与分析的数据加密—解密系统及方法</t>
  </si>
  <si>
    <t>CN110604547B</t>
  </si>
  <si>
    <t>本发明公开了一种基于心脏功能动态监测与分析的数据压缩系统及方法，所述数据压缩系统，包括所述的数据采集装置、数据压缩装置和压缩域数据处理装置。本发明数据压缩技术应用于便携式心脏智能贴片系统，以可穿戴设备的形式佩戴于人体胸壁，对心脏机械振动进行体外监测，连续地、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与及时医护的目的。对严重心律失常、心绞痛、急性心肌梗死的早期预警监测，对照手术后康复监测，居家养老人群，体育运动人群的日常监护意义重大。</t>
  </si>
  <si>
    <t>一种基于心脏功能动态监测与分析的数据压缩系统及方法</t>
  </si>
  <si>
    <t>CN110427900B</t>
  </si>
  <si>
    <t>本申请公开了一种智能指导健身的方法、装置和设备，包括：获取待指导健身视频；对待指导健身视频进行分帧处理，得到待指导健身视频连续时刻的帧图像；识别帧图像的目标健身区域；对目标健身区域进行骨架关节点特征提取，得到骨架序列的第一姿态特征表示；将第一姿态特征表示与标准健身视频的骨架序列的第二姿态特征表示进行比对，得到比对结果；根据比对结果为待指导健身视频的健身者提供健身指导。实现了健身指导的高效智能化。</t>
  </si>
  <si>
    <t>一种智能指导健身的方法、装置和设备</t>
  </si>
  <si>
    <t>CN110477864B</t>
  </si>
  <si>
    <t>本发明公开了一种基于心脏功能动态监测与分析的健康管理服务系统及方法，所述系统包括有心脏健康服务云平台，其连接的心脏功能智能监测预警装置、智能移动终端、与医养服务机构信息平台连接的管理子系统。本发明采用便携式智能可穿戴设备对心脏机械振动进行体外监测，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与及时医护的目的。对严重心律失常、心绞痛、急性心肌梗死的早期预警监测，对照手术后康复监测，居家养老人群，体育运动人群的日常监护有着重大意义。</t>
  </si>
  <si>
    <t>一种基于心脏功能动态监测与分析的管理服务系统及方法</t>
  </si>
  <si>
    <t>CN110477863B</t>
  </si>
  <si>
    <t>本发明公开了一种基于心脏功能动态监测与分析的人工智能算法系统及方法，所述人工智能算法装置，包括数据采集装置、压缩感知装置、压缩域计算装置、预处理装置和卷积神经网络装置。本发明基于人工智能算法模型系统，将其用于便携式心脏智能贴片系统，以可穿戴设备的形式佩戴于人体胸壁，对心脏机械振动进行体外监测，连续地、实时非侵入地获取心脏的振动信息，结合数字处理、机器学习和人工智能技术模式识别和智能诊断，早期发现心脏物理结构和搏动节律异常，如瓣膜病变、心脏壁的运动异常、心脏射血分数改变、心律失常等。实现心脏疾病早预警与及时医护的目的。对心脏功能早期预警监测，对照手术后康复监测，居家养老及体育运动人群的日常监护有现实意义。</t>
  </si>
  <si>
    <t>一种基于心脏功能动态监控的人工智能算法模型系统及方法</t>
  </si>
  <si>
    <t>CN110491500B</t>
  </si>
  <si>
    <t>本发明公开了一种基于心脏功能动态监测与分析的身份识别系统及方法，所述身份识别包括数据库建立、特征谱提取、特征查询、比对和身份判别装置及方法。本发明身份识别技术应用于便携式心脏智能贴片系统，以可穿戴设备的形式佩戴于人体胸部正中位置，对心脏机械振动进行体外监测，实时非侵入地获取心脏的振动信息，结合数字处理、机器学习和人工智能技术模式识别和智能诊断，早期发现心脏物理结构和搏动节律异常，如瓣膜病变、心脏壁的运动异常、心脏射血分数改变、心律失常等。结合预警报告系统，实现心脏疾病早预警与及时医护的目的。对严重心律失常、心绞痛、急性心肌梗死的早期预警监测，对照手术后康复监测，居家养老人群，体育运动人群的监护。</t>
  </si>
  <si>
    <t>一种基于心脏功能动态监测与分析的身份识别系统及方法</t>
  </si>
  <si>
    <t>CN210933581U</t>
  </si>
  <si>
    <t>本实用新型涉及呼啦圈技术领域，且公开了一种物联网手工编织呼啦圈，包括母圈和蓝牙接收装置，所述母圈的内部开设有第一放置槽，所述第一放置槽的内部固定安装有加速度传感器。该物联网手工编织呼啦圈，通过在母圈安装有加速度传感器来计量运动者的运动量，利用加速度传感器、蓝牙装置、蓝牙接收装置和微处理器之间的相互配合，可以将使用者消耗的卡路里通过微处理器对加速度传感器检测到的数据进行处理，然后通过将处理好的数据传输到蓝牙装置上，蓝牙装置将数据传输到蓝牙接收装置进行运动量的记录，便于人们设定运动目标，能让使用者更好的监测自己的健身减肥效果，达到理想的体型，大大提高了该呼啦圈的实用性和智能性。</t>
  </si>
  <si>
    <t>一种物联网手工编织呼啦圈</t>
  </si>
  <si>
    <t>CN210873982U</t>
  </si>
  <si>
    <t>本实用新型公开了一种基于心率数据的运动强度智能调控设备，包括运动强度控制器、力量训练器接口、功率自行车接口、赛艇测功仪接口、划船机接口、跑步机接口、路由器、心率表、人机交互终端、使用者模块、力量训练器、功率自行车模块、赛艇测功仪、划船机模块和跑步机模块。运动强度控制器实现了健身训练智能调控的全覆盖，包含目前进行健身训练的主流器材，确保用户可以根据自身需求将运动强度控制器通过数据线与运动器材数显表头进行连接，并在平板、手机、电脑等人机交互终端选择相应的训练器材与合适的训练方案，进行训练，人机交互终端设立APP方便用户根据自身需要选择不同的健身方案，且提供心率安全值和门槛值的设定功能。</t>
  </si>
  <si>
    <t>一种基于心率数据的运动强度智能调控设备</t>
  </si>
  <si>
    <t>CN110598539A</t>
  </si>
  <si>
    <t>本发明提供了一种基于计算机视觉识别的体育用品分类装置及方法，涉及体育器械技术领域，能够对体育用球进行智能化的分类归纳，节省人工和时间；采用直径、纹理和颜色三种分类方法相结合，分类准确度高；该装置包括抓取装置，用于从集球框中抓取待分类的球放置在传送装置上；传送装置，用于将球沿轨迹传动；特征采集装置，用于对球进行图像采集并传输给控制计算装置；控制计算装置，用于对图像进行分析计算和分类，并控制分类装置对球进行分类；分类装置，用于根据分类结果对球进行归置；所述分类方法采用尺寸和纹理相结合判断是否为篮球，在根据颜色取值范围判断其为足球或排球。本发明提供的技术方案适用于大球分类的过程中。</t>
  </si>
  <si>
    <t>基于计算机视觉识别的体育用品分类装置及方法</t>
  </si>
  <si>
    <t>KR1020200063965A</t>
  </si>
  <si>
    <t>本发明包括生成用于评估实际运动与从输入图像识别的感兴趣运动之间的一致程度的混淆矩阵; 基于混淆矩阵提取感兴趣运动的错误识别率; 根据误识别率提取与事件识别相关的阈值; 根据待识别为感兴趣运动的运动的持续时间确定滑动窗口的大小; 基于滑动窗口将输入图像分成帧; 从每一帧的分割图像中提取感兴趣的运动的数量; 当感兴趣的运动的数量超过阈值时,将其识别为事件。</t>
  </si>
  <si>
    <t>基于运动识别概率的足球事件识别方法及装置</t>
  </si>
  <si>
    <t>CN305859961S</t>
  </si>
  <si>
    <t>1.本外观设计产品的名称：带极搜功能的图形用户界面的电脑。
 2.本外观设计产品的用途：用于运行程序。
 3.本外观设计产品的设计要点：在于屏幕中的图形用户界面的界面内容。
 4.最能表明设计要点的图片或照片：主视图。
 5.不涉及设计要点，省略后视图、左视图、右视图、俯视图、仰视图。
 6.图形用户界面的用途：公安应用软件的个人主页界面，用于展示极搜以及其他信息。
 7.图形用户界面在产品中的区域：主视图左上角为logo和名称，右上角为窗体操作及其他用户操作图标，中间为导航信息，logo下方全部为内容区，内容区左上角为极搜的查询入口，左侧中间为该软件对应模块的信息展示，左下方为用户常用应用；右上侧为用户信息，右下方为公告区域。
 8.图形用户界面的人机交互方式：主视图为初始状态，点击主视图极搜搜索框右侧的图搜图标，出现图片搜索面板，如主视图变化状态图1所示，点击图片搜索面板左上方的标签页可切换人脸、人员和车辆的图搜功能，导入相应的图片点击查询按钮，跳转到相应的查询结果页面，见界面变化状态图2、3、4，查询结果页面上方显示相应的图搜查询条件，下方显示筛选条件和查询结果；点击极搜左侧的下拉选择框，可切换为人员和车辆，在搜索框中输入关键词，点击极搜按钮，跳转到相应的查询结果页面，见界面变化状态图5、6，查询结果上方显示相应的关键词搜索查询条件，下方显示筛选条件和查询结果；在界面变化状态图6中，点击列表右上方的列表和缩略图切换按钮，切换到缩略图展示形式，见界面变化状态图7；点击下方筛选条件和查询结果左上角的标签页，可切换到车辆档案页面，见界面变化状态图8。
 9.图形用户界面的变化状态说明：主视图及其状态变化图设计1~8在实际使用过程中，其所显示的界面内容可以对应的参考各变化状态图的参考图。</t>
  </si>
  <si>
    <t>带极搜功能的图形用户界面的电脑</t>
  </si>
  <si>
    <t>CN110458281B</t>
  </si>
  <si>
    <t>本申请提供了一种乒乓球机器人的深度强化学习旋转速度预测方法及系统，预测方法包括将等时间间隔的乒乓球来球位置序列归一化；将归一化序列输入到深度LSTM网络中；将得到的LSTM的状态向量输入到入射旋转估计深度神经网络中，得到入射旋转速度；计算深度强化学习的奖励反馈；将当前次击球过程的乒乓球来球位置序列、乒乓球入射旋转速度和奖励反馈组合成一次击球记忆，存入记忆库中；从记忆库中随机选取至少一条记忆，将LSTM的状态向量和乒乓球入射旋转速度输入到奖励反馈估计深度神经网络中，输出奖励反馈估计，并对入射旋转估计深度神经网络和奖励反馈估计深度神经网络进行反向传播和参数更新。本申请应对旋转球时能够准确回球。</t>
  </si>
  <si>
    <t>乒乓球机器人的深度强化学习旋转速度预测方法及系统</t>
  </si>
  <si>
    <t>US20210034784A1</t>
  </si>
  <si>
    <t>使用机器逻辑(例如机器学习、人工智能、认知计算)来确定一篇文章(即文本,有时伴有图片、视频和/或音频)是否与发生在现实世界中的现实世界事件相关,或者与虚拟世界中发生的事件相关 发生在虚拟世界中的世界事件(例如,梦幻体育联盟)。 使用机器逻辑(例如机器学习、人工智能、认知计算)来确定文章的各个部分是与现实世界事件相关,还是逐部分与虚拟世界事件相关。</t>
  </si>
  <si>
    <t>解开一组文章的虚拟世界和现实世界部分</t>
  </si>
  <si>
    <t>US20200090469A1</t>
  </si>
  <si>
    <t>一种计算机实现的人工智能,红利计算器,通过从预定义的数据库中选择要投注的彩池,显示所选彩池的统计分析,并使用红利计算器,用户可以从其中输入任何合理的组合,从而促进在线投注跟踪。 池以获得实时的分红结果。</t>
  </si>
  <si>
    <t>体育彩池投注红利计算器</t>
  </si>
  <si>
    <t>CN110314356A</t>
  </si>
  <si>
    <t>本发明公开了一种足球射门电子墙幕，包括足球、人机交互终端、数据线、主机、足球门框、抓钩、足球墙幕、外部柔性材料、LED灯带、薄膜开关和感应元件。本发明的有益效果是：能够通过内置控制系统来控制内设的LED灯进行提示与指定射门区域，并能准确判断出足球的落点位置是否在指定射门区域内，由此检测出射门精度，可以量化左、右脚的射门反应时间、射门成功率、不同区域的命中率等射门要素，并将信息同步反馈给训练者，来提高训练者的训练效果。</t>
  </si>
  <si>
    <t>一种足球射门电子墙幕</t>
  </si>
  <si>
    <t>CN305734720S</t>
  </si>
  <si>
    <t>1.本外观设计产品的名称：用于手机的运动听歌图形用户界面。
 2.本外观设计产品的用途：用于运行程序和通信。
 3.本外观设计产品的设计要点：在于屏幕中的图形用户界面。
 4.最能表明设计要点的图片或照片：设计1主视图。
 5.惯常设计，省略后视图;惯常设计，省略左视图;惯常设计，省略右视图;惯常设计，省略俯视图;惯常设计，省略仰视图。
 6.指定设计1为基本设计。
 7.图形用户界面的用途：应用软件客户端界面,用于跑步和听歌。
 8.图形用户界面在产品中的区域：屏幕中的界面。
 9.图形用户界面的人机交互方式：设计1至设计3主视图为跑步听歌的主界面，界面上部为用户的跑步总公里数，用户可以点击数字查看跑步历史记录。
 界面中部为户外跑和跑步机两种模式的切换窗口，用户点击界面切换跑步模式。
 界面下部为开始跑步和设置音乐的控件，用户可以点击控件开始跑步或者设置跑步音乐。
 在设计1中，当用户点击主视图界面下部的开始跑步图标时，界面跳转至跑步中的界面，呈现主视图至界面变化状态图的动态变化效果。
 在界面变化状态图中，界面上部为歌曲信息区域，界面中部为跑步数据、跑步选择控制区域，界面下部为歌词和歌曲控制区域，用户可以点击界面变化状态图进行停止跑步，打开地图，切换歌单或控制音乐播放等操作。
 在设计2中，当用户点击主视图界面下部的开始跑步图标时，界面跳转至跑步中的界面，呈现主视图至界面变化状态图1的动态变化效果。
 在界面变化状态图1中，界面上部为歌曲信息区域，界面中部为跑步数据、跑步选择控制区域，界面下部为歌词和歌曲控制区域，用户可以点击界面变化状态图进行停止跑步，打开地图，切换歌单或控制音乐播放等操作。
 当用户进一步点击界面变化状态图1中的“停止跑步”控件，“停止跑步”控件变为2个圆形控件，用户可以进一步点击2个圆形控件继续跑步或终止跑步。
 在设计3中，当用户点击主视图界面下部的开始跑步图标时，界面跳转至跑步中的界面，呈现出主视图至界面变化状态图1的动态变化效果。
 在界面变化状态图1中，界面上部为歌曲信息区域，界面中部为跑步数据、跑步选择控制区域，界面下部为歌词和歌曲控制区域，用户可以点击界面停止跑步，打开地图，切换歌单或控制音乐播放。
 当用户点击界面变化状态图1左上角的返回，跑步界面退至系统后台运行，变为浮窗移动至屏幕底部。
 呈现出界面变化状态图1至界面变化状态图2的动态变化效果。
 在界面变化状态图2中，用户可以浏览手机其他内容，也可以点击浮窗重新回到跑步中的页面。</t>
  </si>
  <si>
    <t>用于手机的运动听歌图形用户界面</t>
  </si>
  <si>
    <t>CN110378499B</t>
  </si>
  <si>
    <t>本发明涉及物联网管理技术领域，具体涉及基于物联网的体育场馆预订系统及方法，所述系统包括：预订请求模块，用于用户输入预订请求信息和对手需求，所述预订请求信息包括预订场馆、预订时段和预订人数；对手匹配模块，用于选取有对手需求的待配对用户，选相同且有对手需求的目标用户，选取习惯灯光亮度、习惯空调温度与待配对用户相同的可选用户；判断可选用户中是否存在匹配用户，若是，则将匹配用户作为待配对用户的对手用户；若否，则根据预存的各个场馆位置信息从可选用户中选取优选用户，将优选用户作为待配对用户的对手用户。本发明能更好的帮助提升匹配为对手的双方用户的运动体验感。</t>
  </si>
  <si>
    <t>基于物联网的体育场馆预订系统及方法</t>
  </si>
  <si>
    <t>CN110400333B</t>
  </si>
  <si>
    <t>本发明涉及一种教练式双目立体视觉装置及高精度立体视觉图像获取方法，属于立体视觉技术领域，解决了现有立体视觉装置无法同时满足高精和低成本的问题。装置包括：双目立体视觉单元，离线采集视场范围内的双目样本图像及在线采集被测范围的双目实时图像，处理得到双目可见光非立体图像、匹配代价图及双目立体视觉图像；教练单元获取同一视场范围内的精确立体视觉图像；智能学习单元根据基于双目样本图像得到的双目可见光非立体图像中的一幅、匹配代价图、双目立体视觉图像及精确立体视觉图像，训练存储在智能学习单元中的深度卷积神经网络，直至收敛；还在收敛后，基于处理双目实时图像得到的相应图像，得到被测范围的高精度的立体视觉图像。</t>
  </si>
  <si>
    <t>教练式双目立体视觉装置及高精度立体视觉图像获取方法</t>
  </si>
  <si>
    <t>WO2020023746A3</t>
  </si>
  <si>
    <t>公开了一种向车辆(100)的驾驶员(30)实时提供建议的驾驶调整(216a)的方法(400)。 该方法包括从车辆控制系统(110)接收一个或多个直接驾驶员输入(111)和从车辆传感器系统(120)接收传感器数据(122、122a、122b)。 该方法包括基于直接驾驶员输入和传感器数据确定预测的驾驶员行为(215)。 此外,该方法包括基于直接驾驶员输入和传感器数据确定理想驾驶员行为(213)以及确定预测驾驶员行为与理想驾驶员行为之间的行为差​​异(219)。 该方法还包括基于行为差异确定建议的驾驶调整。 此外,该方法包括发送指令(217、217a、217b)以通知驾驶员建议的驾驶调整以提高车辆效率和/或性能。</t>
  </si>
  <si>
    <t>使用人工智能的驾驶员行为学习和驾驶教练策略</t>
  </si>
  <si>
    <t>DE112019003755T5</t>
  </si>
  <si>
    <t>公开了一种用于向车辆(100)的驾驶员(30)实时提供推荐驾驶调整(216a)的方法(400)。 该方法包括从车辆控制系统(110)接收一个或多个直接驾驶员输入(111)和从车辆传感器系统(120)接收传感器数据(122、122a、122b)。 该方法包括基于直接驾驶员输入和传感器数据确定预测的驾驶员行为(215)。 此外,该方法包括基于直接驾驶员输入和传感器数据确定理想驾驶员行为(213)以及确定预测驾驶员行为与理想驾驶员行为之间的行为差​​异(219)。 该方法还包括基于行为差异来确定推荐的驾驶调整。 此外,该方法包括发送指令(217、217a、217b)以通知驾驶员推荐的驾驶调整以提高车辆效率和/或性能。</t>
  </si>
  <si>
    <t>使用人工智能学习驾驶员行为和驾驶教练策略</t>
  </si>
  <si>
    <t>CN113165665A</t>
  </si>
  <si>
    <t>公开了一种向车辆（100）的驾驶员（30）实时提供建议的驾驶调整（216a）的方法（400）。所述方法包括从车辆控制系统（110）接收一个或多个直接驾驶员输入（111），以及从车辆传感器系统（120）接收传感器数据（122、122a、122b）。所述方法包括基于直接驾驶员输入和传感器数据确定预测的驾驶员行为（215）。另外，所述方法包括基于直接驾驶员输入和传感器数据确定理想驾驶员行为（213），以及确定预测的驾驶员行为和理想驾驶员行为之间的行为差异（219）。所述方法还包括基于行为差异确定所建议的驾驶调整。另外，所述方法包括发送指令（217、217a、217b）以通知驾驶员所建议的驾驶调整，以提高车辆效率和/或性能。</t>
  </si>
  <si>
    <t>CN110543587A</t>
  </si>
  <si>
    <t>本发明涉及健身交流技术领域，尤其是一种基于物联网的体育健身交流平台，包括处理器，处理器还电性连接有会员模块、存储模块和交流单元，交流单元包括微型芯片，微型芯片电性连接有信息输入模块，微型芯片电性连接有存储器，微型芯片电性连接有显示模块，微型芯片电性连接有信息处理单元，信息处理单元包括第三微型处理器，第三微型处理器电性连接有信息接收模块，信息接收模块电性连接微型芯片，第三微型处理器电性连接有整合模块，整合模块电性连接有排序模块，排序模块电性连接有识别模块，识别模块电性连接有答复模块，答复模块电性连接有回执模块。本发明结构简单，值得推广。</t>
  </si>
  <si>
    <t>US20200031371A1</t>
  </si>
  <si>
    <t>公开了一种向车辆驾驶员实时提供建议驾驶调整的方法。 该方法包括从车辆控制系统接收一个或多个直接驾驶员输入和从车辆传感器系统接收传感器数据。 该方法包括基于直接驾驶员输入和传感器数据确定预测的驾驶员行为。 此外,该方法包括基于直接驾驶员输入和传感器数据确定理想驾驶员行为以及确定预测驾驶员行为与理想驾驶员行为之间的行为差​​异。 该方法还包括基于行为差异确定建议的驾驶调整。 此外,该方法包括发送指令以通知驾驶员建议的驾驶调整以提高车辆效率和/或性能。</t>
  </si>
  <si>
    <t>KR1020210011247A</t>
  </si>
  <si>
    <t>清扫地毯时,我惊讶地看到了细粉状的灰尘,于是我的思绪似乎停止了。 我心想,如果这些灰尘进到我嘴里或呼吸里,那可就麻烦大了,我把吸尘器的集尘袋装在一个黑色塑料袋里,坐在一楼的草坪上,把细细的粉尘倒在泥土上。想了好久,想了好久,在复兴会上,马东天主教会卡洛神父在问答比赛中问了10个问题,得到了all, all, all right(分数)神父的question =&gt; 你有专利吗? 是的! 据说是加入了人工智能的语音命令识别,去除水槽和灰尘,当着500名天主教会教友的面宣布。李瑞贤专利介绍盗窃,窃取名誉盗窃金额,开发。 我希望我不再成为小偷,成为一个富裕健康的企业集团,与家人一起度过幸福的时光。</t>
  </si>
  <si>
    <t>银河智能水箱除尘器</t>
  </si>
  <si>
    <t>KR102224798B1</t>
  </si>
  <si>
    <t>本发明涉及一种体育比赛图像提供系统,所要解决的技术问题是通过使用人工智能技术从体育比赛图像中提取用户期望的运动员的技能而有选择地且更容易地识别个体图像。 
  例如,基于机器学习算法,从体育比赛接力图像中提取每个选手的赛事底图,并根据预设位置组合赛事底图中包括至少两名选手之间的赛事的赛事底图。玩家之间的关系。事件图像生成单元,生成并存储一个单独的事件图像; 以及事件图像提供单元,其可选择性地为每个单独的事件图像提供由一个项目组成的列表以用于对应玩家的组合,并为从列表中选择的项目提供单独的事件图像。</t>
  </si>
  <si>
    <t>体育比赛视频提供系统</t>
  </si>
  <si>
    <t>CN110957018A</t>
  </si>
  <si>
    <t>本发明公开了一种便携式综合智能交互健身系统，包括：便携式综合智能健身器械、数据采集传感模块、移动终端、app程序、外置音视频设备和无线通讯模块。本发明还公开了一种便携式综合智能交互健身方法。本发明便于进行携带，可通过套件组合搭配实现多种沉浸式健身方式，通过移动终端的app程序、无线通讯模块、数据采集传感模块和外置音视频设备组成的数据生态链，可在用户运动的过程中实时采集和显示用户的运动数据，使用户可实时了解运动时的运动数据，同时可在健身时播放教学视频进行音频交互健身，通过AI算法修正模块可修正用户的健身动作，将健身方式与物联网技术结合起来，帮助用户进行更专业、更高效的健身训练，实现科学健身。</t>
  </si>
  <si>
    <t>一种便携式综合智能交互健身系统及方法</t>
  </si>
  <si>
    <t>CN210467339U</t>
  </si>
  <si>
    <t>本实用新型公开了一种便携式综合智能交互健身系统，其特征在于，包括：便携式综合智能健身器械及至少一个移动终端、外置音视频设备；所述的便携式综合智能健身器械包括成套组件，及在该成套组件内置的数据采集传感模块和无线通讯模块，该成套组件用于相互搭配模拟多种健身器械，并与移动终端、外置音视频设备配合为用户构建多种沉浸式健身场景。本实用新型便于进行携带，可通过套件组合搭配实现多种健身方式，使用户可实时了解运动时的运动数据，同时可在健身时播放教学视频进行音频交互健身，通过AI算法修正模块可修正用户的健身动作，将健身方式与物联网技术结合起来，主动引导用户进行更专业、更高效的健身训练，实现科学健身。</t>
  </si>
  <si>
    <t>一种便携式综合智能交互健身系统</t>
  </si>
  <si>
    <t>CN210992785U</t>
  </si>
  <si>
    <t>本实用新型公开了一种人工智能多功能医疗康复器械，包括跑步机、固定板和外壳，所述跑步机上端设置有护栏，所述护栏上设置有所述固定板，所述固定板上成型有固定槽，所述固定槽内设置有腕带，所述腕带上设置有所述外壳，所述外壳内设置有低功耗蓝牙芯片，所述低功耗蓝牙芯片一侧设置有加速度传感器，所述加速度传感器一侧设置有振动器，所述振动器一侧设置有三轴传感器。有益效果在于：本实用新型通过设置外壳、腕带、加速度传感器和三轴传感器，使康复器械可对使用者的运动状态和睡眠状态等康复指标进行监测，从而帮助使用者进行康复训练，提高了医疗器械的实用性。</t>
  </si>
  <si>
    <t>一种人工智能多功能医疗康复器械</t>
  </si>
  <si>
    <t>CN110490064A</t>
  </si>
  <si>
    <t>本申请公开了一种体育视频数据的处理方法、装置及计算机存储介质，涉及数据处理技术领域，可以对体育视频数据进行更全面的分析，提高体育视频数据的处理的精度。所述方法包括：获取体育视频样本数据，所述体育视频样本数据中包含携带有技术动作标签的体育视频图片；将所述体育视频样本数据中携带有技术动作标签的体育视频图片输入至深度学习模型中进行训练，构建动作识别模型；当接收到体育视频数据的处理请求时，将待处理体育视频数据中的体育视频图片输入至所述动作识别模型，得到体育视频图片中的技术动作；基于所述处理请求中携带的请求信息，对每个体育视频图片中的技术动作进行统计，得到体育视频数据的处理结果。</t>
  </si>
  <si>
    <t>体育视频数据的处理方法、装置、计算机设备及计算机存储介质</t>
  </si>
  <si>
    <t>CN110473603B</t>
  </si>
  <si>
    <t>本发明一种基于肌电信号的健身辅助方法属于模式识别与人工智能技术领域,涉及一种基于肌电信号的健身辅助方法。该方法通过电极片对人体表面肌电信号进行采集，并通过多种采集电路对人体表面肌电信号进行处理，将处理后的肌电信号传至上位机，对信号进行特征值提取。通过机器学习的SVM支持向量机作为判定动作是否标准的分类器模型，分别使用线性核与不同λ参数的高斯核，分别进行SVM模型训练，选择训练效果最好的模型健身动作标准判定。通过三层BP神经网络作为对动作进行分类的分类器模型，以提取到的特征值作为神经网络的输入神经元。使用RELU函数作为激活函数，实现输入信息的非线性映射，训练后得到分类器模型实现动作识别,有很高的准别率。</t>
  </si>
  <si>
    <t>一种基于肌电信号的健身辅助方法</t>
  </si>
  <si>
    <t>KR1020210006212A</t>
  </si>
  <si>
    <t>本发明的人工智能健身机系统的操作方法包括:用户选择使用语言的步骤;用户使用人工智能健身机确定自己的体型和特征的步骤。保存步骤,人工智能通过保存的锻炼方法识别用户想要锻炼的锻炼类型,根据锻炼类型的用户锻炼方法数据,以及使用先前评估的错误的用户锻炼为用户提供改进方法数据 用人工智能评估方法错误和改进方法,并将错误和改进方法传达给用户并存储。</t>
  </si>
  <si>
    <t>人工智能个人健康机系统</t>
  </si>
  <si>
    <t>IDS000004222B</t>
  </si>
  <si>
    <t>常规轮椅用于提高残疾人的行动能力,例如:肢体残疾人(尤其是腿残疾者)、不允许进行大量体育活动的住院病人、老年人(老人)和残疾人. 独自行走仍需要他人帮助使用时,受伤的风险很高,因此需要对轮椅技术进行创新,使其无需他人帮助即可移动,对使用者来说是安全的。 在本发明中,该电动轮椅由电池(13)供电,并配有心率和血氧传感器(2),并配有跌倒检测器(14)和GPS(14)来确定位置的轮椅。 从测试结果证明,这款电动轮椅增加了轮椅的使用效率,对使用者来说是安全的,因为它配备了医疗传感器(2)、事故探测器(14),并且可以知道椅子的位置。</t>
  </si>
  <si>
    <t>使用脑电波的电动轮椅配备基于物联网的医疗传感器,适用于残疾人</t>
  </si>
  <si>
    <t>CN210543186U</t>
  </si>
  <si>
    <t>本实用新型涉及一种物联网泳帽，包括泳帽本体，所述泳帽本体底部设置有拉手带，且所述拉手带均匀分布在泳帽本体外侧，所述泳帽本体内侧设置有软垫，且所述软垫设置于泳帽本体底部，所述泳帽本体外侧设置有经线以及纬线，所述经线以及纬线交织成防滑纹，所述泳帽本体前侧设置有物联网标签，且所述物联网标签设置于泳帽本体夹层内，结构简单，设计合理，能够更及时的对溺水的游泳者进行救助，提高游泳馆的管理水平，以及佩戴时能够更加的稳定，能够调节泳帽本体的松紧性，并且对于佩戴的泳镜，通过固定带对泳镜后侧的弹性绳进行固定，从而防止暂时脱下泳镜，而使泳镜意外脱离，并具有一定的发光提醒效果。</t>
  </si>
  <si>
    <t>一种物联网泳帽</t>
  </si>
  <si>
    <t>US10482319B2</t>
  </si>
  <si>
    <t>使用两个或多个相机跟踪接近运动员的物体的路径和/或方向。 使用至少两个具有不同位置的不同相机获得对象的至少两组图像。 识别图像内的运动区域,并在运动区域内识别对象的 2D 空间中的候选位置。 基于此,针对物体正在接近的多个瞬间中的每一个,识别可识别部分在3D空间中的可能位置。 对象的至少可识别部分的分段 3D 轨迹是从对象的 3D 空间中对象接近运动员的多个瞬间的可能位置来近似的。 对象的 3D 轨迹的图形表示被并入至少一组图像中。</t>
  </si>
  <si>
    <t>CN210302325U</t>
  </si>
  <si>
    <t>本实用新型公开的属于体育用具技术领域，具体为一种排球垫球运动计数测试仪，其包括：支架、中部摄像机、顶部摄像机、无线传输模块、系统一体机、视频处理模块和视频存储模块，所述支架顶部固定安装有立柱，所述立柱底部设置有第一托板，所述立柱顶部设置有第二托板，所述支架上设置有水平仪，所述第一托板顶部设置中部摄像机，所述第二托板顶部设置顶部摄像机，所述中部摄像机与顶部摄像机均电性输出连接无线传输模块，应用成本低，采用计算机视觉原理，追踪排球运动的轨迹，测量准确，本实用新型能够在测量的同时采集测试者的视频资料，当有争议时可以回看并人工判罚测量结果，视频可追溯。</t>
  </si>
  <si>
    <t>一种排球垫球运动计数测试仪</t>
  </si>
  <si>
    <t>CN305920858S</t>
  </si>
  <si>
    <t>1.本外观设计产品的名称：用于运行程序的手机图形用户界面。
 2.本外观设计产品的用途：用于运行程序以及通讯。
 3.本外观设计产品的设计要点：在于手机屏幕所显示的用户界面内容。
 4.最能表明设计要点的图片或照片：界面变化状态图2。
 5.不涉及设计要点，省略后视图、左视图、右视图、俯视图和仰视图。
 6.图形用户界面的用途：用于互动指尖办公平台的交互界面。
 7.图形用户界面在产品中的区域：手机屏幕。
 8.图形用户界面的人机交互方式：点击、滑动。
 9.图形用户界面的变化状态说明：主视图所示的界面为互动指尖办公平台的开心数钞票应用的首页；界面变化状态图1为由主视图所示的界面点击“比赛模式”按钮后显示的界面；界面变化状态图2为由界面变化状态图1所示的界面向上滑动屏幕所显示的界面；界面变化状态图3为由界面变化状态图2所示的界面点击“开始比赛”按钮后显示的界面；界面变化状态图4为由界面变化状态图3所示的界面点击“确定”按钮后显示的倒计时其中过程界面，界面变化状态图5为倒计时完成后进入比赛后的页面，图中的钞票金额仅为示例；界面变化状态图6为由界面变化状态图5所示的界面向上滑动屏幕所显示的界面，图中的钞票金额仅为示例；界面变化状态图7为由界面变化状态图6所示的界面向上滑动屏幕所显示的界面，图中的钞票金额仅为示例；界面变化状态图5、界面变化状态图6、界面变化状态图7共同用于展示通过手指滑动屏幕进行数钞票的过程；界面变化状态图8为由主视图所示的界面点击“平台大比拼”按钮后显示的界面；界面变化状态图9为由界面变化状态图8所示的界面向上滑动屏幕所显示的界面；界面变化状态图10为由界面变化状态图9所示的界面点击“开始游戏”按钮后进入比赛后的页面，图中的钞票金额仅为示例；界面变化状态图11为由界面变化状态图10所示的界面向上滑动屏幕所显示的界面，图中的钞票金额仅为示例；界面变化状态图12为由界面变化状态图11所示的界面向上滑动屏幕所显示的界面，图中的钞票金额仅为示例；界面变化状态图13为由界面变化状态图12所示的界面向上滑动屏幕所显示的界面，图中的钞票金额仅为示例；界面变化状态图10、界面变化状态图11、界面变化状态图12、界面变化状态图13共同用于展示通过手指滑动屏幕进行数钞票的过程。</t>
  </si>
  <si>
    <t>用于运行程序的手机图形用户界面</t>
  </si>
  <si>
    <t>CN110370295B</t>
  </si>
  <si>
    <t>本发明公开了一种基于深度强化学习的小型足球机器人主动控制吸球方法，包括步骤：S1：为小型足球机器人主动控制吸球任务定义深度强化学习框架；S2：机器人在实际或者仿真的条件下，不断与环境交互，把与环境交互获得的数据存放在经验池中；S3：每次采样经验池中的一小批样本，使用深度强化学习的方法对深度神经网络进行学习训练；S4：据训练好的深度神经网络模型，使小型足球机器人完成主动控制吸球任务。本发明使用深度强化学习来对小型足球机器人吸球过程进行控制，从而使机器人能够通过与环境交互来自主调节，不断提高吸球的效果。本发明可以提高机器人吸球的稳定性与成功率，同时防止因为电机输出力矩过大而造成电机过热损坏。</t>
  </si>
  <si>
    <t>基于深度强化学习的小型足球机器人主动控制吸球方法</t>
  </si>
  <si>
    <t>JP7307612B2</t>
  </si>
  <si>
    <t>本发明的一个目的是自动切换和显示每个玩家的图像。 
  解决方案:在自动切换模式下,玩家识别单元103将满足预定显示条件的玩家的图像识别为当满足预定切换条件时要显示的玩家。 例如,选手确定部103判定在比赛中的名次满足规定的名次条件的选手满足显示条件。 通过分配指定的视频,视频分配单元105在满足预定切换条件时将显示在显示装置30的显示表面351上的视频转换为满足预定显示条件的玩家的视频。 具体而言,影像分配部105将显示装置30所显示的影像作为满足规定显示条件的选手的影像,切换为排名满足规定的排名条件的选手的影像。 
  【选型图】图5</t>
  </si>
  <si>
    <t>信息处理设备</t>
  </si>
  <si>
    <t>CN305595666S</t>
  </si>
  <si>
    <t>1.本外观设计产品的名称：用于车载中控屏的图形用户界面。
 2.本外观设计产品的用途：运行程序。
 3.本外观设计产品的设计要点：在于屏幕中的图形用户界面内容。
 4.最能表明设计要点的图片或照片：主视图。
 5.车载中控屏为现有设计，其他视图无设计要点，省略其他视图。
 6.图形用户界面的用途：本外观设计产品是用于车机播报新闻和查看新闻简介的图形用户界面。
 7.图形用户界面的人机交互方式：主视图界面为软件启动后服务器加载成功显示的推荐新闻界面；服务器加载过程中显示界面如界面变化状态图1；若由于网络不给力导致加载失败，则显示如界面变化状态图2；若由于资源异常加载失败则显示如界面变化状态图3；主视图左上角为资源提供方的logo，依次是新闻的分类推荐、要闻、热点、头条、体育、财经等，点击相应条目可切换分类新闻，也可以在下方新闻列表内容上左右滑动以切换内容；下方列表卡片为内容配图、标题显示、提供方还有更新时间，右侧为播放/暂停按钮。
 点击主视图界面中任一新闻列表右侧的播放按钮，网络加载慢的话则显示界面变化状态图4；若加载完毕后开始播放，显示如界面变化状态图5，点击暂停按钮可暂停播放；下拉界面变化状态图5中的列表会出现正在加载的状态，即显示界面变化状态图6；若加载失败则显示界面变化状态图7，提示三秒后消失显示当前缓存内容；在界面变化状态图5中上拉加载当前页面有个加载的过程，即显示界面变化状态图8；若加载失败则显示界面变化状态图9，提示三秒后消失显示当前缓存内容；界面变化状态图10为如果是加载慢的情况，内容配图先用占位图显示；点击主视图界面中除图标以外的列表条，会跳转到界面变化状态图11；若加载成功则显示对应新闻详情，如界面变化状态图12，点击左上角图标可返回列表页面，点击底部左右按钮可显示上一条或下一条新闻，当前新闻为第一条或最后一条新闻时，对应左右按钮为灰色不可点击状态；若因为网络原因加载失败则显示界面变化状态图13；界面变化状态图14则是播放到最后一条的显示界面，且下一条按钮置灰不可点击；点击界面变化状态图12下方的播放/暂停按钮有一个加载过程，如界面变化状态图15；加载成功开始播放即显示界面变化状态图16。</t>
  </si>
  <si>
    <t>用于车载中控屏的图形用户界面</t>
  </si>
  <si>
    <t>CN112149472A</t>
  </si>
  <si>
    <t>本发明提供了一种基于人工智能的肢体动作识别比对方法，包括以下步骤：S1，采集标准肢体动作数据，训练出标准动作模型；S2，采集待比对肢体动作数据；S3，将待比对肢体动作数据输入标准动作模型，分别提取标准肢体动作数据和待比对肢体动作数据中的肢体关键点数据；S4，根据标准肢体动作数据和待比对肢体动作数据中的肢体关键点数据计算待比对肢体动作与标准肢体动作之间的偏差，并对待比对肢体动作进行打分。本发明进行肢体动作识别比对的成本较低、方便性较高、效率较高，可应用于AI健身等场景。</t>
  </si>
  <si>
    <t>一种基于人工智能的肢体动作识别比对方法</t>
  </si>
  <si>
    <t>US10939203B2</t>
  </si>
  <si>
    <t>在将要播出的体育比赛之前,通过机器学习调整(或训练)的音频预测算法。 然后,音频预测算法用于在体育比赛期间持续定位一组移动麦克风。 在一些实施例中,在音频预测算法中使用频带预测算法。 在一些实施例中,在音频预测算法中使用基于群的相关算法。</t>
  </si>
  <si>
    <t>预测现场表演中的声音以确定麦克风位置</t>
  </si>
  <si>
    <t>CN110309320B</t>
  </si>
  <si>
    <t>本发明公开了一种结合NBA赛事知识图谱的NBA篮球新闻自动生成方法，包括：对网络爬取的NBA文字直播文本数据预处理，去除爬虫网页标签，并且去除文字文本中的停用词，然后以五元组进行表示；根据提出的分段算法，对预处理后的文字直播数据进行数据分段，获得比赛发展趋势；根据提出的篮球赛事特殊事件的定义，进行特殊事件提取；定义篮球新闻描述模板；将数据分段结果、特殊事件提取结果和对应的新闻描述模板结合，生成新闻初稿；结合知识图谱，生成比赛背景信息，得到新闻终稿；由此，实现了NBA赛事新闻的自动生成，提高了生成的NBA赛事新闻的质量，并且能更好地对生成的新闻内容进行把控。</t>
  </si>
  <si>
    <t>结合NBA赛事知识图谱的NBA篮球新闻自动生成方法</t>
  </si>
  <si>
    <t>KR102239134B1</t>
  </si>
  <si>
    <t>本发明涉及一种广播系统,该系统提供使用连接到无人机的 VR 摄像机拍摄的运动比赛视频。 根据本发明,一种基于双图像传感器设计并能够记录和再现图像的用于拍摄的VR摄像机,将安装的VR摄像机捕获的图像传输到广播服务器,并传输无人机所需的控制信号。从广播服务器飞行。无人机在运动场上空飞行,响应需要接收和拍摄的位置和角度,并将接收到的图像输入到预先构建的神经网络模型中进行学习,并通过学习的神经网络控制无人机网络模型和广播服务器生成控制信号并将接收到的图像发送到用户终端。 根据本发明实施例的用于提供运动赛事视频的广播系统可以基于VR摄像机捕获的视频和用户操纵无人机时产生的无人机控制信号来控制无人机的自主飞行。利用神经网络和递归神经网络推导信号,可以减少无人机控制信号的生成过程,提供一种能够精确、准确控制无人机的无人机控制信号。</t>
  </si>
  <si>
    <t>一种广播系统,使用连接到无人机的 VR 摄像机提供体育赛事拍摄的视频</t>
  </si>
  <si>
    <t>CN110324728B</t>
  </si>
  <si>
    <t>本发明公开了一种基于深度强化学习的体育赛事全场回顾短视频生成方法，包括：输入体育赛事原始视频，通过数据预处理、镜头分割和特征提取对原始视频进行数据处理，并以结构化的数据格式存储，得到原始视频的结构化数据；构建深度摘要网络，在编码器‑解码器深度学习网络结构的基础上，通过强化学习的方式，以多样性和代表性为目标奖励函数，训练和优化模型；输入待预测的原始视频的结构化数据，根据相应的结果数据合成并输出相应的短视频媒体文件。本发明方法在短视频生成过程中，解决了体育赛事视频由于数据自身的复杂性而导致处理困难的问题，同时融合了全场回顾新闻要素的性质要求，生成出符合体育赛事新闻需求的短视频。</t>
  </si>
  <si>
    <t>基于深度强化学习的体育赛事全场回顾短视频生成方法</t>
  </si>
  <si>
    <t>CN110237486B</t>
  </si>
  <si>
    <t>本发明涉及一种可个性化定制的健身系统，其特征在于，包括便携式监测单元、伺服单元、卷绕机构、传力介质、操作单元、人机交互单元及云端。本发明提供的健身系统适合不同身高、不同臂长的不同人群，实现个性化健身定制，具有以下优点和积极效果：不同于传统自重或配重式的健身项目，主动和被动健身运动都可以通过设置相应的力矩使健身者感受阻力，既安全又可以增加健身效果和健身体验感。针对不同的人群，健身系统可以记忆该人某一健身项目的最佳起止操作位置，从而使同一台健身系统适用不同的人群进行人性化定制健身，经济实用。让普通民众在无健身教练协助下，正确安全的健身成为可能。</t>
  </si>
  <si>
    <t>一种可个性化定制的健身系统</t>
  </si>
  <si>
    <t>CN110378245B</t>
  </si>
  <si>
    <t>本发明属于计算机技术领域，尤其涉及一种基于深度学习的足球比赛行为识别方法、装置、计算机可读存储介质及终端设备。所述方法首先获取待识别的足球比赛视频，然后将所述足球比赛视频划分为N个视频段，并从各个视频段中分别抽取一帧图像作为输入图像，N为大于1的整数，最后使用预设的深度学习网络模型对所述输入图像进行处理，得到与所述足球比赛视频对应的行为识别结果。通过本发明实施例，使用Inception网络模型学习所述输入图像每一帧中的像素点之间的关系，使用三维ResNet网络模型学习所述输入图像各帧之间的关系，大大简化了行为识别的过程，减少了现有技术中多个复杂步骤叠加造成的精度损失，在减少耗费时长的同时，也提高了最终识别结果的精度。</t>
  </si>
  <si>
    <t>CN110213611A</t>
  </si>
  <si>
    <t>本发明公开了一种基于人工智能视觉识别技术的球类赛场摄像实现方法，所述方法包括以下步骤：S1、后台服务器设定比赛球为跟踪摄像目标且后台服务器在镜头的摄像范围a内设定预移动区域b，预移动区域b内包含有固定监控区域c；S2、摄像头对比赛球所在区域的影像进行采集并通过后台服务器视觉识别模块判断比赛球所处的摄像区域；S3、摄像头将采集到的影像上传到后台服务器，后台服务器将接收到的影像通过互联网以直播的方式发布给需要的观众；S4、后台服务器将影像进行自动精彩影像剪辑并将精彩影像保存在存储器中以供后期查看；能够实时将比赛球所在的区域始终处在镜头下方，有效防止比赛球飞出摄像画面，提高摄像的录像效果，以及直播效果。</t>
  </si>
  <si>
    <t>一种基于人工智能视觉识别技术的球类赛场摄像实现方法</t>
  </si>
  <si>
    <t>CN110152276A</t>
  </si>
  <si>
    <t>本发明公开了一种人工智能跑步成绩测试装置，其技术方案要点包括启动系统，被启动系统启动的处理系统，以及感应装置；启动系统包括有与处理系统电连接的微动开关，以及驱动微动开关的踏板；踏板包括上底座以及与上底座铰接的下底座；微动开关设置于下底座内；下底座下表面设置有转动件；转动件包括前转动件、后转动件；后转动件包括设置于下底座的后侧的一个圆柱通孔；圆柱通孔内设置有支撑圆柱；支撑圆柱以及圆柱通孔间隙配合；支撑圆柱与圆柱通孔相对的一端向下设置有弹簧置容孔；弹簧置容孔内部设置有弹簧；下底座后侧设置有调节螺母；本发明具有计时准确，能够准确的判断运动员的起跑时间的效果。</t>
  </si>
  <si>
    <t>一种人工智能跑步成绩测试装置</t>
  </si>
  <si>
    <t>CN210251125U</t>
  </si>
  <si>
    <t>本实用新型公开了一种人工智能跑步成绩测试装置，其技术方案要点包括启动系统，被启动系统启动的处理系统，以及感应装置；启动系统包括有与处理系统电连接的微动开关，以及驱动微动开关的踏板；踏板包括上底座以及与上底座铰接的下底座；微动开关设置于下底座内；下底座下表面设置有转动件；转动件包括前转动件、后转动件；后转动件包括设置于下底座的后侧的一个圆柱通孔；圆柱通孔内设置有支撑圆柱；支撑圆柱以及圆柱通孔间隙配合；支撑圆柱与圆柱通孔相对的一端向下设置有弹簧置容孔；弹簧置容孔内部设置有弹簧；下底座后侧设置有调节螺母；本实用新型具有计时准确，能够准确的判断运动员的起跑时间的效果。</t>
  </si>
  <si>
    <t>IN201921024660A</t>
  </si>
  <si>
    <t>公开了一种利用人工智能技术监测和维持超重个体体重的系统和方法。 带有 AI 的软件应用程序由设置 BMI 和其他健康相关标准的私人教练使用。 私人教练使用此应用程序为每个客户设定目标,AI 会不时提醒客户达到目标,以便控制体重。 该系统的主要关键特征是使用电子健康记录中的信息并提供个人目标设定、体重变化监测和身体活动组合反馈、通过使用个性化教育材料增加知识、个人减肥目标设定、自我监测 体重和身体活动,与临床医生互动的在线社交支持。</t>
  </si>
  <si>
    <t>使用人工智能的个性化医疗保健管理系统</t>
  </si>
  <si>
    <t>CN110334617B</t>
  </si>
  <si>
    <t>本发明公开了一种台球碰撞库边的判断方法以及台球比赛计分系统，该方法包括以下步骤：在一次击球范围内，根据获取的比赛图像识别出台球、库边与库边位置；获取至少一帧比赛过程图像，识别每帧比赛过程图像中的运动台球信息，根据运动台球的图像/帧间数据，推测出运动台球与库边发生关系的推测位置；根据每一运动台球的推测位置与该库边位置的关系，判断当前击球对应的运动台球的库边碰撞信息。本发明的方法与系统，台球碰撞库边的判断更加合理和准确。</t>
  </si>
  <si>
    <t>一种台球碰撞库边的判断方法及台球比赛计分系统</t>
  </si>
  <si>
    <t>US11062618B2</t>
  </si>
  <si>
    <t>CN110287848A</t>
  </si>
  <si>
    <t>本申请公开了一种视频的生成方法及装置。其中，该方法包括：获取原视频的帧图像，其中，帧图像为包括第一人体所做的多种动作的图像；将帧图像按预设顺序输入至深度学习模型进行预测，得到目标图像，目标图像为将多种动作由第一人体迁移至第二人体后的图像；将目标图像逐帧合成目标视频。本申请解决了由于现有的健身课程通常采用常规的摄像机录制的方式生成造成的制课程的过程繁琐，且录制时间过长，录制成本较高的技术问题。</t>
  </si>
  <si>
    <t>视频的生成方法及装置</t>
  </si>
  <si>
    <t>WO2019244153A1</t>
  </si>
  <si>
    <t>计算机视觉、目标跟踪和图像分析的设备、系统和方法; 特别适合或配置用于分析网球的图像或视频。 一种设备包括两个相邻且位于同一位置的摄像机,它们彼此之间的角度为 20 到 120 度,可捕获至少覆盖整个网球场 75% 的组合视野。 处理器使用计算机视觉算法分析捕获的图像或视频,并检测球反弹事件及其属性。 对一名或多名参与玩家的表现产生洞察力。</t>
  </si>
  <si>
    <t>计算机视觉、目标跟踪、图像分析和轨迹估计的设备、系统和方法</t>
  </si>
  <si>
    <t>US20210264141A1</t>
  </si>
  <si>
    <t>计算机视觉、目标跟踪和图像分析的设备、系统和方法; 特别适合或配置用于分析网球的图像或视频。 一种设备包括两个相邻且位于同一位置的摄像机,它们彼此之间的角度为 20 到 120 度,可捕获至少覆盖整个网球场 75% 的组合视野。 处理器使用计算机视觉算法分析捕获的图像或视频,并检测球反弹事件及其属性。 对一名或多名参与玩家的表现产生见解。</t>
  </si>
  <si>
    <t>CN111643861B</t>
  </si>
  <si>
    <t>本发明涉及健身器材领域，提出了一种智能跳绳的控制系统及智能跳绳，所述控制系统包括人机交互单元、计算单元和驱动单元，其中所述人机交互单元包括显示装置，所述显示装置显示一输入界面，用于收集用户输入的至少一人体参数；所述计算单元对所述输入的人体参数进行计算，得到与该人体参数对应的绳子长度，并计算出当前所需的绳子调节长度；所述驱动单元根据所述绳子调节长度驱动所述第一自动收线机构和/或所述第二自动收线机构进行收线或放线，使所述绳子的长度对应当前用户输入的人体参数。本发明可以根据用户自身参数自动计算的跳绳长度并进行记录，当不同用户使用时，能够依据记录的每个客户的数据自动调整绳子长度，提升用户体验。</t>
  </si>
  <si>
    <t>一种智能跳绳的控制系统和智能跳绳</t>
  </si>
  <si>
    <t>CN110263994A</t>
  </si>
  <si>
    <t>一种基于特征选择和参数优化的冰球赛况预测方法，其特征是首先利用L1范数特征保留规则去除冰球数据集中稀疏分数较大且相关性较小的特征，实现特征选择；接着，针对基于支持向量机的冰球赛况预测模型中的惩罚因子C和核函数参数g其泛化能力影响较大以及参数难以调节的问题，采用混合GAPSO参数优化算法对支持向量机的惩罚因子C和核函数参数g进行优化；最后，采用支持向量机的K折交叉验证方法，实现冰球赛况的预测。本发明通过特征选择算法提升冰球比赛预测模型的运行速度与效率，并提升了冰球赛况预测的准确性。</t>
  </si>
  <si>
    <t>一种基于特征选择和参数优化的冰球赛况预测方法</t>
  </si>
  <si>
    <t>CN110298566A</t>
  </si>
  <si>
    <t>本发明提供一种基于物联网的科学运动健身房的智能化管理系统，其特征在于：健身云服务器内具有健身云服务器系统运行软件、管理软件、数据库软件、数据接口软件；健身云服务器通过数据接口软件以互联网络分别连接健康云服务器、健身房管理端电脑、健身房门店智能门禁、健身房门店内的智能健身器材、微信云服务器；微信云服务器以互联网络连接本系统企业会员手机上的微信公众号软件。本发明还提供一种基于物联网的科学运动健身房的智能化管理方法。本发明可以减少健身房管理人员，降低运营成本，提升会员运动效果。</t>
  </si>
  <si>
    <t>一种基于物联网的科学运动健身房的智能化管理系统及方法</t>
  </si>
  <si>
    <t>CN110379471A</t>
  </si>
  <si>
    <t>本发明公开了一种国民健康数据采集的方法，具体涉及个人健康健身领域，包括健康数据采集系统，所述健康数据采集系统包括数据分析客户端，所述数据分析客户端连接端设有用户登陆端和数据输入面板，所述数据分析客户端通过以太网连接有信息采集端。本发明通过设有数据分析客户端和数据反馈端，数据分析客户端根据用户信息通过服务器连通数据库，根据大数据通过分类、回归分析算法、聚类、关联规则、神经网络方法、web数据挖掘构建用户个人的健身数据模型，并户制定单独的锻炼教程，随后通过数据反馈端反馈至用户，可以每天发送锻炼项目至用户手机，同时也可以对用户的锻炼日程进行提醒，确保用户能够及时进行锻炼。</t>
  </si>
  <si>
    <t>一种国民健康数据采集的方法</t>
  </si>
  <si>
    <t>US20220395359A9</t>
  </si>
  <si>
    <t>本文公开的一般领域涉及一种或多种健康相关监测或维护设备的设计。 这些设备可能包括但不限于监视和/或维护用户健康的设备或监视和/或维护资产健康的设备。 这些设备包括用于维护和监测用户口腔健康的口腔清洁设备、用于监测用户健康和健身的衣服以及可以监测健康或正在充电的资产的充电垫。 传感器可以集成在这些设备中,包括但不限于 IMU、热电偶或口腔清洁设备、鞋子或腕带等衣物中的 IMU,或者磁性表面中的计时器或充电传感器,这些传感器可能会导致一个或多个物体和/或其他磁性表面 实现所需功能时浮动。</t>
  </si>
  <si>
    <t>先进的深度学习健康相关传感器集成和数据采集装置、方法和系统</t>
  </si>
  <si>
    <t>CN110236483B</t>
  </si>
  <si>
    <t>本发明公开了一种基于深度残差网络的糖尿病性视网膜病变检测的方法。本发明步骤如下：步骤1：数据集的筛选；步骤2：眼底图像的预处理，步骤3：数据集扩充，将部分样本较少的类中的图像做图像扩充处理，具体操作包括将图像镜像和旋转；步骤4：数据集标签的制作；步骤5：训练集和测试集的构建；步骤6：卷积神经网络的搭建；步骤7：网络训练；步骤8：网络测试。本发明能够获得更高的检测病变的准确性，同时进行检测的时间也可以大大缩短。</t>
  </si>
  <si>
    <t>一种基于深度残差网络的糖尿病性视网膜病变检测的方法</t>
  </si>
  <si>
    <t>CN110251913A</t>
  </si>
  <si>
    <t>本发明公开了基于电子皮肤和人工智能的球的大数据分析方法，涉及计算机技术人工智能、大数据、电子皮肤、体育用品领域。一具体实施包括：通过获取球的第一数据，第一数据包括球的运动轨迹和球的惯性传感器数据，进而基于获取到的第一数据建立球的数字孪生模型。在一些实施方式中第一数据还包括球的电子皮肤数据，此时基于获取到的惯性传感器数据和电子皮肤数据识别球是否处于球员控球状态,也可以基于电子皮肤的接触面积和惯性传感器数据以及相应的时间分析球对应的球员的控球技术特征。本申请实施例提供的基于电子皮肤和人工智能的球的大数据分析方法和装置，通过以上方法提高了球的数据分析的智能程度、精确度和效率，从而使分析结果更加精确。</t>
  </si>
  <si>
    <t>基于电子皮肤和人工智能的球的大数据分析方法</t>
  </si>
  <si>
    <t>CN110251914A</t>
  </si>
  <si>
    <t>本发明公开了基于电子皮肤和人工智能的球的大数据分析装置，涉及计算机技术人工智能、大数据、电子皮肤、体育用品领域。一具体实施包括：通过获取球的第一数据，第一数据包括球的运动轨迹和球的惯性传感器数据，进而基于获取到的第一数据建立球的数字孪生模型。在一些实施方式中第一数据还包括球的电子皮肤数据，此时基于获取到的惯性传感器数据和电子皮肤数据识别球是否处于球员控球状态,也可以基于电子皮肤的接触面积和惯性传感器数据以及相应的时间分析球对应的球员的控球技术特征。本申请实施例提供的基于电子皮肤和人工智能的球的大数据分析方法和装置，通过以上方法提高了球的数据分析的智能程度、精确度和效率，从而使分析结果更加精确。</t>
  </si>
  <si>
    <t>基于电子皮肤和人工智能的球的大数据分析装置</t>
  </si>
  <si>
    <t>CN110292761A</t>
  </si>
  <si>
    <t>本发明涉及一种摩擦式智能发球机，属于足球发球机技术领域。本发明包括机架和储球机构，储球机构具有重力送球滑道，重力送球滑道的末端为发球工作位，发球工作位的周向布置有三个摩擦轮，当足球进入发球工作位时，三个摩擦轮的工作面均能与足球的外表面相接触；每个摩擦轮均配设有轮毂电机，轮毂电机通过第一转轴、第一轴承及第一轴承座安装于机架上。此外，本发明对机架还设置有俯仰调节机构，底座设置有360度转向机构，同时还设置有图像识别跟踪系统和运算控制云台。本发明结构简单，容易实施，可以更好的控制足球发射角度和力量，并且可以提供更多种不同飞行轨迹的发球，更全面地训练球员。</t>
  </si>
  <si>
    <t>摩擦式智能发球机</t>
  </si>
  <si>
    <t>CN305523456S</t>
  </si>
  <si>
    <t>1.本外观设计产品的名称：手机的龙舟训练监控图形用户界面。
 2.本外观设计产品的用途：用于教练员的龙舟训练的安排及监控，实现与教练员的交互操作。
 3.本外观设计产品的设计要点：在于手机显示的图形用户界面。
 4.最能表明设计要点的图片或照片：主视图。
 5.无设计要点，省略后视图;无设计要点，省略左视图;无设计要点，省略右视图;无设计要点，省略俯视图;无设计要点，省略仰视图;无设计要点，省略立体图。
 6.图形用户界面的用途：用于教练员的龙舟训练的安排及监控，实现与教练员的交互操作。
 7.图形用户界面在产品中的区域：手机屏幕。
 8.图形用户界面的人机交互方式：触摸式交互。
 9.图形用户界面的变化状态说明：主视图为龙舟训练监控小程序的主界面，主要作为龙舟训练监控小程序的功能引导，包含了团队信息管理、团队训练安排、实时心率监控3个功能按钮；变化状态图1为点击主界面中的团队信息管理按钮后的跳转界面，包含了队伍信息、队伍下的队员信息、查找功能和主界面按钮；变化状态图2为点击变化状态图1中的队员信息按钮后的队员详细信息页，包含队员的姓名、桨位、身高、体重等信息以及训练历史等；变化状态图3为点击主视图中的团队训练安排按钮后的跳转界面，包含了以队伍为分类，按时间记录的训练安排以及主视图按钮；变化状态图4为点击主视图中的实时心率监控按钮后的跳转界面，用于显示队员训练时的实时心率、心率百分比以及主界面按钮。</t>
  </si>
  <si>
    <t>手机的龙舟训练监控图形用户界面</t>
  </si>
  <si>
    <t>CN210448043U</t>
  </si>
  <si>
    <t>本实用新型涉及一种摩擦式智能发球机，属于足球发球机技术领域。本实用新型包括机架和储球机构，储球机构具有重力送球滑道，重力送球滑道的末端为发球工作位，发球工作位的周向布置有三个摩擦轮，当足球进入发球工作位时，三个摩擦轮的工作面均能与足球的外表面相接触；每个摩擦轮均配设有轮毂电机，轮毂电机通过第一转轴、第一轴承及第一轴承座安装于机架上。此外，本实用新型对机架还设置有俯仰调节机构，底座设置有360度转向机构，同时还设置有图像识别跟踪系统和运算控制云台。本实用新型结构简单，容易实施，可以更好的控制足球发射角度和力量，并且可以提供更多种不同飞行轨迹的发球，更全面地训练球员。</t>
  </si>
  <si>
    <t>CN305758697S</t>
  </si>
  <si>
    <t>1.本外观设计产品的名称：带有龙舟训练节奏器图形用户界面的手机。
 2.本外观设计产品的用途：用于智能通讯设备。
 3.本外观设计产品的设计要点：在于手机显示的图形用户界面。
 4.最能表明设计要点的图片或照片：主视图。
 5.无设计要点，省略其他视图。
 6.图形用户界面的用途：用于教练员龙舟训练时的内容安排和管理，实现与教练员的交互操作。
 7.图形用户界面在产品中的区域：手机屏幕。
 8.图形用户界面的人机交互方式：触摸式交互。
 9.图形用户界面的变化状态说明：主视图为龙舟训练管理小程序的主界面，界面上部为该小程序中新建、存档、执行三大功能界面的切换按钮，主界面主要作为龙舟训练内容的新建，其中包含热身、休息、训练、放松四项内容的编辑添加，界面下部为训练内容的图示部分并包含了命名以及撤销、存档、执行的按键；变化状态图1为点击主界面上存档按钮后的跳转界面，主要用于显示已存档的训练内容以及总时长；变化状态图2为点击主界面上部执行按钮后的跳转界面，主要作为训练内容执行进度的查看界面，包含了设置、编辑、上一内容、执行、下一内容的按键。</t>
  </si>
  <si>
    <t>带有龙舟训练节奏器图形用户界面的手机</t>
  </si>
  <si>
    <t>GB2584727A</t>
  </si>
  <si>
    <t>优化强化学习包括:使用接收到的标记数据集作为训练数据集生成模型参数以形成初始强化学习模型; 使用初始模型(代理 120)在接收到的未标记数据集中查找目标的匹配项; 对比赛进行排名; 展示排名最高的比赛和相应的目标; 接收指示所呈现的匹配不正确的反馈(110); 将描述错误匹配和对应目标的信息添加到标记数据集以形成新的训练集。 使用新的训练数据集更新初始强化学习模型的模型参数以形成更新的强化学习模型 (120)。 更新参数包括找到通过马氏距离定义的最大化奖励 R。 本发明涉及卷积神经网络 (CNN) 和具有人在环 (HITL) 的深度强化主动学习 (DRAL),例如 注释器 110 提供弱二进制反馈,并应用于人员重新识别 (Re-ID)。 还声称边缘优化的分布式强化模型通过多模型对齐和累积通过知识集成和蒸馏共享来自应用目标域的全局知识。 这是通过合并在不同节点使用第一/第二标记和未标记数据集训练的强化学习模型的第一/第二参数来实现的。</t>
  </si>
  <si>
    <t>CN110164052A</t>
  </si>
  <si>
    <t>本发明实施例涉及视频监控技术领域，具体而言，涉及一种设备监控系统及方法，该设备监控系统包括：健身舱、摄像头、移动终端和主控计算机，摄像头设置于所述健身舱内，健身舱安置有固定器械、哑铃和杠铃，健身舱包括有具有二维码扫描装置的舱门，主控计算机分别与二维码扫描装置、舱门、摄像头和移动终端通信连接，主控计算机预存有训练完毕的深度卷积神经网络，主控计算机用于接收摄像头拍摄的健身舱内的实时影像，生成初始费用账单，并采用深度卷积神经网络对实时影像进行识别，根据识别结果生成第一最终费用账单并发送至移动终端。采用该设备监控系统及方法能够降低健身舱的管理和维护成本。</t>
  </si>
  <si>
    <t>一种设备监控系统及方法</t>
  </si>
  <si>
    <t>CN110223748A</t>
  </si>
  <si>
    <t>本发明实施例涉及智能健身技术领域，具体而言，涉及一种物联网数据的处理方法、装置及物联网系统。该方法包括：根据掌纹信息和指纹信息确定训练者身份，提取各摄像头采集的该训练者在预设时段内的训练影像，获取加速度信息、位置信息和语音信息，根据训练影像和加速度信息生成肌肉收缩质量报告，根据训练影像和位置信息生成运动轨迹报告，根据语音信息生成情绪反应报告，将肌肉收缩质量报告、运动轨迹报告和情绪反应报告进行融合，生成运动评价结果，将运动评价结果进行存储。采用该方法能够对训练者的训练进行较为全面的分析和指导。</t>
  </si>
  <si>
    <t>一种物联网数据的处理方法、装置及物联网系统</t>
  </si>
  <si>
    <t>CN305498917S</t>
  </si>
  <si>
    <t>1.本外观设计产品的名称：用于手机的图形用户界面。
 2.本外观设计产品的用途：运行软件。
 3.本外观设计产品的设计要点：在于屏幕中显示的软件图形用户界面。
 4.最能表明设计要点的图片或照片：主视图。
 5.手机为惯常设计，其他视图无设计要点，省略其他视图。
 6.图形用户界面的用途：本外观设计产品用于用户在软件中快速开始特定主题的跑步课程。
 7.图形用户界面的人机交互方式：主视图界面是运动主题跑的主界面，分别点击主视图界面下方的“燃脂跑”、“长里程跑”、“音乐跑”、“剧情跑”，可依次显示界面变化状态图1‑4；界面变化状态图1‑4下方分别有四个课程内容页，点击任意一个即可查看课程详情；例如界面变化状态图5是用户点击界面变化状态图1中第一项25分钟课程内容后的显示界面，点击界面变化状态图5最下方的开始第1次课程，即可开始跑步课程训练流程。</t>
  </si>
  <si>
    <t>US10825303B2</t>
  </si>
  <si>
    <t>本发明是一种系统、过程和方法,允许玩家以易于理解、简单和快节奏的方式从他们的移动设备对体育赛事或电子竞技赛事进行投注。 通过使用人工智能,它允许运营商仅向系统的某些注册成员提供投注,而不是向广大公众提供投注,从而通过动态提供自动平衡他们的账簿。 它还允许运营商有效和自动生成更多投注,并自动遵守世界上任何司法管辖区的税收、法律和法规。</t>
  </si>
  <si>
    <t>使用人工智能创建实时、移动、投注系统的系统和方法,提供对体育和电子竞技赛事的子结果的时间敏感、策划和玩家限制的投注</t>
  </si>
  <si>
    <t>CN110209282A</t>
  </si>
  <si>
    <t>本公开提供了一种基于虚拟现实的疏散环境中烟雾交互方法，将硬件设备、自动控制设备与VR场景软件系统进行连接，并建立模型；根据VR场景软件系统显示的使用者与烟雾粒子系统的距离，控制自动控制设备输出烟雾的输出热量，以实现基于虚拟现实的疏散环境中烟雾的交互操作。该方法将气味播放器接入虚拟地铁站火灾实验场景，能用于HTC VIVE和KAT跑步机，实现虚拟场景中烟雾在现实物理环境中的自动化控制，提供基于嗅觉通道的人机交互，可用于进行火灾疏散行为实验，搜集行为实验数据，具有感知的真实性与实时性。本公开还提供了一种基于虚拟现实的疏散环境中烟雾交互装置。</t>
  </si>
  <si>
    <t>基于虚拟现实的疏散环境中烟雾交互方法和装置</t>
  </si>
  <si>
    <t>SG10201905295PA</t>
  </si>
  <si>
    <t>本发明公开了一种基于能源管理的方法及系统 
  物联网。 该能源管理方法包括:获取运行参数 
  设备的运行参数包括电量、水量 
  能耗、燃气量、集中冷却能耗、集中 
  热水供应量; 获取设备所属的建筑类型,其中 
  建筑类型包括办公楼、图书馆、体育场、音乐厅、教学楼、 
  实验楼、酒店、医院、食堂、公寓; 确定是否 
  设备的工作参数大于对应的指定阈值 
  设备所属的建筑类型; 如果是,则触发警报以提醒经理 
  装置; 若否,则重新获取设备的工作参数。 根据能量 
  本发明的管理方法或系统、建筑设备的运行成本 
  可以减少,避免能源浪费,节能减排 
  已完成。 
  图。1。</t>
  </si>
  <si>
    <t>基于物联网的能源管理方法及系统</t>
  </si>
  <si>
    <t>KR102154828B1</t>
  </si>
  <si>
    <t>公开了一种比赛结果预测方法和装置。 比赛预测方法包括以下步骤:根据所选择的游戏角色组合为与比赛相关的第一队和第二队的各队收集选择的组合信息,对选择的组合信息进行数据预处理,以及数据预处理。通过将选定的组合信息输入到游戏获胜预测模型的嵌入模型中,为每支队伍获取选定的游戏角色组合的特征值,并将特征值输入到该组的人工神经网络中游戏获胜预测模型确定游戏获胜可能包括获取预测信息。</t>
  </si>
  <si>
    <t>游戏胜负预测方法及装置</t>
  </si>
  <si>
    <t>IN201947022544A</t>
  </si>
  <si>
    <t>本发明涉及男女不同尺寸的个性化定制可穿戴技术,包括耦合在一起的电极导电轨道和用于药物的密封罐以及包含GSM(全球移动系统)和GPS(全球定位系统)的微型心电图(ECG)设备 ) 调制解调器或蓝牙系统,使用无线个人区域网络 (PAN 或 WPAN) 规范。 当用户按下按钮时开始获取电信号。 本发明属于医疗娱乐和/或体育应用领域,旨在监测具有高心血管风险的患者,并有可能尽早诊断,以期缩短急性冠状动脉综合征(ACS)患者的最终治疗时间 急性心肌梗塞 (AMI) 急性心房颤动 (AAF) 心律失常和其他类型的心律失常或其他心脏疾病,可通过心电图追踪大数据分析和深度学习以及人工智能的使用以及适当的管理 装在密封罐中的药物。</t>
  </si>
  <si>
    <t>可穿戴式心电图(ECG)监测技术,带密封药罐和集成医疗监测系统</t>
  </si>
  <si>
    <t>CN112043952A</t>
  </si>
  <si>
    <t>本发明提供了一种基于数字化精准肤色分析的白癜风智能给药系统，能够智能分析患者正常区域皮肤颜色及患处的肤色，并根据分析结果对白癜风修复遮盖液组合智能配色并喷涂于患者患处，保证对患者患处进行完美肤色遮盖。具体操作步骤为，先通过AI图像识别镜头，获取患者正常的皮肤与患处的皮肤图像，并输送到肤色采集模块，提取相应的色彩特征向量，再通过智能分析系统，计算出两者间的色彩差值，并将数据输送到智能调色控制模块，再由智能调色控制模块根据以上所计算出的色彩差值，计算出白癜风修复遮盖液组合最佳配比，最后抽取相应比例的白癜风修复遮盖液组合，对患者的患处进行喷涂，从而达到对患者患处的肤色进行完美遮盖。</t>
  </si>
  <si>
    <t>基于数字化精准肤色分析的白癜风智能给药系统</t>
  </si>
  <si>
    <t>KR1020200072387A</t>
  </si>
  <si>
    <t>本发明涉及一种响应式AI闭路电视摄像机,其包括可调节亮度的灯、用于控制灯的亮度的灯控制单元、用于接收图像的摄像机、用于从中提取对象特征的图像处理单元。从相机接收到的图像,用于接收语音的麦克风,识别麦克风接收到的语音并提取命令的语音处理单元,输出适合情况的指导信息的扬声器,检测周围环境的传感器单元,并通过网络与外部服务器进行通信。它包括一个通信单元,一个数据存储单元,存储一个适合于从扬声器输出的每种情况的指南消息 DB,以及一个控制每个组件的整体操作的控制单元,以及外部服务器包括闭路电视管理服务器、派出所服务器、综合控制中心服务器、公共卫生中心服务器、灾害通报服务器、地图服务器、消防部门服务器、信息提取服务器中的至少一个其中,控制单元请求将从图像处理单元提取的对象的特征与特定对象的数据进行比较。连同对象特征比较请求一起通过通信单元发送到外部服务器以控制扬声器或通信单元基于从外部服务器接收到的对象特征比较结果,并根据从语音处理单元提取的语音命令。可以通过从通信单元或传感器单元提取信息并处理提取的信息来控制扬声器。</t>
  </si>
  <si>
    <t>响应式人工智能闭路电视摄像机</t>
  </si>
  <si>
    <t>US20200387817A1</t>
  </si>
  <si>
    <t>使用人工智能来预测已经在进行中的体育比赛的策略、场景和/或比赛计划的计算机系统。 在一些实施例中,使用反馈回路使得人工智能在它们发生时考虑在游戏中和/或周围发生的事件以提供更新的预测。</t>
  </si>
  <si>
    <t>人工智能辅助运动策略预测器</t>
  </si>
  <si>
    <t>BR102019011510A2</t>
  </si>
  <si>
    <t>抽象的主动式座椅系统 主动式座椅系统,由插入扶手椅和椅子座椅的系统组成,用于刺激背部、臀部、肌腱等肌肉。 长时间保持在同一个位置。 这种机制不会取代体育锻炼、伸展运动或按摩。 应注明受过训练的专业人员,例如医生等。 在椅子或扶手椅上或靠近惯性的不良姿势会导致背部疼痛、腿部和臀部脂肪增加、疲劳、表现不佳和抑郁。 该系统将由一个板组成,该板由嵌有结节的微细丝形成,插入扶手椅的座位内,这些点的顺序激活可以是,就像你在湖中扔石头时径向运动一样,也可以是随机的。 人工智能板将由软件和电池供电。 专业人员将说明是否以及将进行哪些运动,其周期和间隔,因为他们将干预短期、中期和长期的健康,如果管理不善,则会产生严重的后遗症。 板必须用能保护人和座椅免受恶劣天气(如冲击和火灾)的材料包裹。 该系统也可以应用于背面。</t>
  </si>
  <si>
    <t>活动座椅系统</t>
  </si>
  <si>
    <t>CN110012348B</t>
  </si>
  <si>
    <t>本发明公开了一种赛事节目自动集锦系统及方法，涉及体育赛事制作技术领域，本发明包括用于汇聚由赛事数据提供商以及互联网提供的赛事数据的数据汇聚模块；智能分析模块基于所构建的知识图谱利用智能算法对赛事数据的事件标签进行提取，基于事件标签和知识图谱进行统计分析，生成特征标签，基于特征标签和评分规则得到评分结果；自动集锦模块按照评分结果由高到低对事件片段进行截取，直至达到预设的集锦时间长度和事件数目，完成自动集锦，本发明利用多种智能技术，对赛事数据进行识别、提炼和分析，生成比赛进程时间线和特征标签，进一步定位和标记事件关键帧，从而实现赛事精彩瞬间的自动集锦，极大地提升节目制作的效率。</t>
  </si>
  <si>
    <t>一种赛事节目自动集锦系统及方法</t>
  </si>
  <si>
    <t>CN305581264S</t>
  </si>
  <si>
    <t>1.本外观设计产品的名称：手机的人体参数扫描系统界面。
 2.本外观设计产品的用途：用于运行程序及通讯。
 3.本外观设计产品的设计要点：在于屏幕中的图形用户界面。
 4.最能表明设计要点的图片或照片：界面变化状态图1。
 5.图形用户界面的用途：用于记录、显示及分析人体各项身体数据，并给出改进意见。
 6.图形用户界面的人机交互方式：界面变化状态图1显示的为人体整体模型，包含左臂、右臂、腰围、胸围、臀围、左腿、右腿等多项数据，点击其中一项即在屏幕左上侧显示出相应数值，并显示与上次数据相比的变化情况（例如：胸围为98.4cm，比上次增加了2.2cm），在屏幕左下侧显示有人体重量。
 点击界面变化状态图1中胸围的数值“98.4cm”，即进入界面变化状态图2，界面变化状态图2详细的显示了胸围数值随时间的变化情况（可按日或按月查看），“胸围”所在的白色方框处，左滑或右滑可切换其他项的详细显示情况（例如，向左滑动，可查看腰围数值随时间的变化情况），点击界面左上角的返回键，可返回至界面变化状态图1。
 点击界面变化状态图1中的“数据”，进入界面变化状态图3，界面变化状态图3中显示有多项健身指标，例如：体重、脂肪率、肌肉率、水分率、BMI、腰臀比，并给出标准值范围进行对比。
 点击界面变化状态图3中的“水分率”，进入界面变化状态图4，界面变化状态图4详细的显示了水分率数值随时间的变化情况（可按日或按月查看），“水分率”所在的白色方框处，左滑或右滑可切换其他项的详细显示情况（例如，向左滑动，可查看BMI数值随时间的变化情况），点击界面左上角的返回键，可返回至界面变化状态图3。
 点击界面变化状态图3中的“身体围度”，进入界面变化状态图5，界面变化状态图5中显示有脖围、胸围、腰围、臀围、左大臂、右大臂等数据，并显示与上次数据的变化情况。
 点击界面变化状态图5中的“体态”，进入界面变化状态图6，界面变化状态图6中对人体体态进行分析，具体包括头部侧倾、颈椎侧弯、高低肩、脊柱侧弯和腿形问题等几项，在屏幕右下角可选择背侧视图和侧面视图两种方向。
 点击界面变化状态图6中的“我的”，进入界面变化状态图7，界面变化状态图7中显示有与个人账号相关的信息，包括教练中心、账户管理以及关于ArcScan。</t>
  </si>
  <si>
    <t>手机的人体参数扫描系统界面</t>
  </si>
  <si>
    <t>KR1020200139596A</t>
  </si>
  <si>
    <t>自供电AI跑步机 本发明涉及一种自供电AI跑步机,涉及一种采用压电元件的自供电跑步机。 
  即,在本发明的跑步机中,压电元件部分具有形成为用户可以踩在其上的搁脚板,并且多个压电元件用于将用户提供的机械能转换为跑步机的跑步机上的电能,以及利用压电元件转换的电能驱动跑步机的电源,可以使用步长和计划的运动检查动量的人工智能传感器,以及提供适合跑步机的运动图像的显示单元用户品味 同时配置为智能手机等移动终端的无线充电座。 
  因此,本发明具有增加运动动力的效果,因为通过跑步机可以在运动的同时产生电能。</t>
  </si>
  <si>
    <t>自供电人工智能跑步机</t>
  </si>
  <si>
    <t>CN110188241B</t>
  </si>
  <si>
    <t>本发明公开了一种赛事智能制作系统及制作方法，涉及体育赛事制作技术领域，本发明包括用于汇聚由赛事数据提供商以及互联网提供的赛事数据的数据汇聚模块；智能分析模块基于所构建的知识图谱利用智能算法对赛事数据的事件标签进行提取，基于事件标签和知识图谱进行统计分析，生成特征标签；挑选编辑模块在赛事制作工具中展示统计分析的结果，分类分节呈现事件片段，编辑人员依据统计分析的结果以及特征标签挑选事件片段相对应的时间片段，并将该时间片段拖拽到时间线上完成赛事编辑，本发明利用多种智能技术，对赛事数据进行识别、提炼和分析，生成比赛进程时间线和特征标签，让编辑人员迅速了解赛事过程，极大地提升节目制作的效率。</t>
  </si>
  <si>
    <t>一种赛事智能制作系统及制作方法</t>
  </si>
  <si>
    <t>CN110222977A</t>
  </si>
  <si>
    <t>一种基于计算机视觉的动作体育评分方法与装置，所属体育评分信息系统技术领域。本发明采用3D录像重构以及深度学习算法对动作体育进行评分，克服了人类裁判员评分往往存在的疏忽或者不公正，可以做到透明的公平公正，而且节省裁判人力资源，实现体育裁判自动化、智能化。</t>
  </si>
  <si>
    <t>一种基于计算机视觉的动作体育评分方法与装置</t>
  </si>
  <si>
    <t>CN112035600A</t>
  </si>
  <si>
    <t>基于语音识别的篮球比赛数据自动记录方法。本发明涉及利用语音识别技术来自动记录篮球比赛数据。属体育互联网+应用技术领域。本发明中数据录入员通过手机App语音播报篮球比赛场上球员的比赛事件（包括得分、篮板、暂停等），App利用语音识别技术将语音转化成文字事件，最后通过规则匹配引擎将事件转化为具体的篮球比赛数据自动录入到数据库中。通过该方法不但可以将篮球比赛数据电子化，同时还能将数据录入员从繁杂的手动录入工作中解脱出来，实现比赛数据语音自动录入，对体育智能化的发展具有重要的实际意义。</t>
  </si>
  <si>
    <t>基于语音识别的篮球比赛数据自动记录方法</t>
  </si>
  <si>
    <t>CN110152275A</t>
  </si>
  <si>
    <t>一种智能化体操训练系统，包括：体操训练器械，通过通信连接的终端和服务器，终端包括传感器、体感采集设备、运动摄像机、智能化决策模块、通信模块；传感器用于采集用户运动数据；体感采集设备感应用户体征数据，终端将用于体征数据发送给服务器；运动摄像机用于录制或拍照用户在训练过程中训练图像信息，终端将训练图像信息发送给服务器；智能化决策模块用于执行用户运动数据及体征数据聚合并通过算法计算用户运动量及身体指标，通过人工智能算法推算用户健康指标及健康建议：通信模块用于与云端服务器进行数据通信，上传所采集的用户数据。让儿童的基础体操教育实现数字化、信息化、智能化，方便学校管理学生信息和成绩等。</t>
  </si>
  <si>
    <t>一种智能化体操训练系统</t>
  </si>
  <si>
    <t>CN210229095U</t>
  </si>
  <si>
    <t>CN110163372B</t>
  </si>
  <si>
    <t>本公开涉及一种运算方法、装置及相关产品。所述产品可以包括以下一个或多个组件：处理组件，存储器，电源组件，多媒体组件，输入/输出的接口，以及通信组件。处理组件控制整体操作。处理组件可以包括一个或多个处理器来执行指令，以完成上述的运算方法的全部或部分步骤。本公开可以提高相关产品在进行神经网络模型的运算时的运算效率。</t>
  </si>
  <si>
    <t>运算方法、装置及相关产品</t>
  </si>
  <si>
    <t>CN110210383B</t>
  </si>
  <si>
    <t>一种融合运动模式和关键视觉信息的篮球视频语义事件识别方法属于视频语义事件识别领域。为实现篮球视频中的语义事件自动识别，首先基于相机镜头变化的固有属性，将混叠运动分解为全局运动和局部运动。然后基于这两种模态的数据，应用双流3D卷积神经网络网络，实现篮球视频中的群体活动的识别。随后，应用卷积神经网络对篮框区域的表观特征变化进行表达，实现事件成功失败的判别。最后，融合这两部分的预测结果，实现篮球视频中的语义事件识别。此发明对篮球视频数据智能化管理、篮球技战术分析和自动转播等应用奠定了基础。</t>
  </si>
  <si>
    <t>一种融合运动模式和关键视觉信息的篮球视频语义事件识别方法</t>
  </si>
  <si>
    <t>CN110189374B</t>
  </si>
  <si>
    <t>本发明公开一种射箭姿态即时反馈系统，包括第一图像采集模块、第二图像采集模块、第三图像采集模块、人机交互模块、图像采集触发模块、数据处理模块、结果显示模块；人机交互模块给第一、第三图像采集模块发拍摄信号，第一图像采集模块采集运动员射箭过程身体姿态，触发模块在箭矢脱离响片时给第二图像采集模块发拍摄指令；第二图像采集模块拍摄箭矢离弓瞬间运动姿态；第三图像采集模块采集箭靶成绩图像；数据处理模块将第一图像采集模块的图像转换为慢动作视频；利用第二图像采集模块的图像计算箭矢运动参数；保存第三图像采集模块的箭靶成绩图像，并将上述结果发给结果显示模块进行显示，本发明能够自动分析、即时反馈箭矢运动参数。</t>
  </si>
  <si>
    <t>一种射箭姿态即时反馈系统</t>
  </si>
  <si>
    <t>WO2019229748A1</t>
  </si>
  <si>
    <t>公开了一种用于高尔夫比赛的视频分析的系统和方法。 在一个实施例中,摄像机从高尔夫球手的挥杆和/或击球的不同角度捕捉视频; 系统网络包括:处理模块,用于接收视频,对挥杆/击球的轨迹进行3D建模,并对高尔夫球手进行3D建模; 一个机器学习模块,用于接收职业高尔夫球手的挥杆/击球的 3D 挥杆轨迹和高尔夫球手模型,并根据职业高尔夫球手的挥杆/击球的聚合计算一个或多个参考挥杆的 3D 模型; 存储参考摆动/罢工的数据库; 分析模块被配置为接收高尔夫球手的3D挥杆/击球轨迹模型和3D高尔夫球手模型,将3D轨迹模型与参考挥杆进行比较,并根据比较计算对高尔夫球手的推荐; 显示模块,被配置为向高尔夫球手显示推荐。</t>
  </si>
  <si>
    <t>WO2019228977A1</t>
  </si>
  <si>
    <t>描述了一种用于基于显示人的锻炼活动的图像帧序列来监视进行体育锻炼的人的方法。 该方法包括以下步骤:基于图像帧序列,使用神经网络为每个图像帧提取一组身体关键点,该组身体关键点指示图像帧中的人的姿势,以及推导 ,基于每个图像帧中的身体关键点的子集,至少一个特征参数指示人的运动的进展。 该方法还包括通过评估特征参数中的至少一个的时间进展来检测开始循环条件,所述开始循环条件指示在进行体育锻炼时从人的开始姿势到人的运动的转变。</t>
  </si>
  <si>
    <t>CN210186452U</t>
  </si>
  <si>
    <t>本实用新型公开了一种辅助训练的可调角度起跑器，基座板，所述基座板内部均布有若干螺纹孔，基座板上侧左部和上侧右部分别设置有左脚蹬和右脚蹬，左脚蹬和右脚蹬均与基座板通过螺钉可拆卸连接，左脚蹬包括脚蹬板、支撑板、底板和侧板，脚蹬板和支撑板通过铰链转动连接，脚蹬板与底板通过铰链转动连接，脚蹬板内部设置有测量装置，测量装置包括三维测力传感器、倾角传感器、电子计时器、第一无线模块、蓄电池、扬声器和主控芯片，测量装置通过无线信号连接有人机交互装置；本实用新型具有能够调节脚蹬的角度、左脚蹬和右脚蹬之间左右垂直距离和前后垂直距离、操作方便快捷、稳定性高、能够测量水平向前推动力和运动员起跑时爆发时间的优点。</t>
  </si>
  <si>
    <t>一种辅助训练的可调角度起跑器</t>
  </si>
  <si>
    <t>CN110211102B</t>
  </si>
  <si>
    <t>本发明公开了一种无人网络租售机之羽毛球拍断线检测方法。它具体包括如下步骤：采集拟租售的各种羽毛球球拍的图像训练循环神经网络并优化确定网络参数；在无人网络租售机的摄像头下采集拟出租的羽毛球球拍的标准图像；对拟返还的羽毛球球拍采集其图像识别出哪一种球拍以及对应的标准图像；以标准图像为参考图像，对采集出的图像配准；将图像转换为灰度图像做带阻滤波；对滤波后图像做二值分割，对二值分割出的前景部分进行区域连通；对图像做直线探测；将检测出的直线与标准图像已经标注好的直线做比照获得结果。本发明的有益效果是：采集对应的羽毛球球拍就可以实现自动检测羽毛球球拍上是否存在网线断裂的情况，确保该羽毛球能够被再次租售。</t>
  </si>
  <si>
    <t>一种无人网络租售机之羽毛球拍断线检测方法</t>
  </si>
  <si>
    <t>CN110302524A</t>
  </si>
  <si>
    <t>本发明实施例提供一种肢体训练方法、装置、设备和存储介质，该方法包括：获取用户的训练项目，获取训练项目对应的人工智能AI虚拟教练，AI虚拟教练用于对用户的肢体动作进行指导，根据终端设备上的摄像头，获取用户的肢体动作，根据AI虚拟教练以及用户的肢体动作，对用户进行肢体动作训练。因此，本发明实施例提供的肢体训练方法应用于肢体动作的教学和训练场景，大大降低了成本。</t>
  </si>
  <si>
    <t>肢体训练方法、装置、设备和存储介质</t>
  </si>
  <si>
    <t>US10542914B2</t>
  </si>
  <si>
    <t>一个人的跌倒风险可以基于机器学习算法来确定。 跌倒风险信息可用于通知个人和/或第三方监测人员(例如医生、物理治疗师、私人教练等)个人的跌倒风险。 此信息可用于监测和跟踪可能受健康状况、生活方式行为或医疗变化影响的跌倒风险变化。 此外,跌倒风险分类可以帮助个人在跌倒风险更高的日子里更加小心。 可以使用机器学习算法来估计坠落风险,该算法通过计算基本和高级间断平衡模型 (PEM) 稳定性指标来处理来自负载传感器的数据。</t>
  </si>
  <si>
    <t>CN305744131S</t>
  </si>
  <si>
    <t>1.本外观设计产品的名称：用于手机的学习比赛结果显示图形用户界面。
 2.本外观设计产品的用途：用于人机交互及显示。
 3.本外观设计产品的设计要点：在于显示信息的图形用户界面的界面内容。
 4.最能表明设计要点的图片或照片：设计1主视图。
 5.因其不具有设计要点，省略设计1至设计2的俯视图、仰视图、左视图、右视图、后视图。
 6.指定设计1为基本设计。
 7.图形用户界面的用途：产品的图形用户界面为显示学习比赛结果的图形用户界面。
 设计1主视图显示用户本人获胜的结果界面，右下角显示用户未学习的课程，点击“再看一遍”按钮可重新学习本课程，点击“开通会员学习下一课”按钮可继续学习下一课；设计2主视图显示用户本人没有成功的结果界面，右下角显示用户未学习的课程；各视图均有对应的使用状态参考图，其中设计2参考图1标识用户本人失败的结果界面，设计2参考图2标识平局的结果界面。</t>
  </si>
  <si>
    <t>用于手机的学习比赛结果显示图形用户界面</t>
  </si>
  <si>
    <t>CN110132295A</t>
  </si>
  <si>
    <t>本发明公开一种基于窄带物联网和云平台的自行车运动辅助方法，在自行车上安装由NB‑IoT通信模组、转速传感器、GPS模块、LED灯和电池组成的NB‑IoT终端；由应用服务器向云平台提供自行车运动员的个人生理特征和不同的自行车行驶路线；NB‑IoT终端负责将收集到的自行车转速、骑行者踏频和GPS数据通过通信模组以固定的时间间隔Tn上传到云平台，终端与云平台的通信使用CoAP协议；云平台将CoAP报文解码，记录骑行者的行驶轨迹、速度和踏频信息，并将GPS中经纬度信息转换为易于使用的空间三维坐标，通过对坐标的分析及时向偏离行驶路线的自行车发送提醒信号。采用本发明能减少网络带宽的消耗，增加了传输效面对业务激增的场景提供了更加稳定的性能。</t>
  </si>
  <si>
    <t>一种基于窄带物联网和云平台的自行车运动辅助方法</t>
  </si>
  <si>
    <t>KR1020200134087A</t>
  </si>
  <si>
    <t>公开了一种用于在在线游戏环境中生成人工智能代理的方法。 生成方法包括从游戏服务器采集普通玩家的游戏日志数据和目标玩家的游戏日志数据; 将收集到的一般玩家的游戏日志数据分类为一般玩家的倾向数据和技能数据,将收集到的目标玩家的游戏日志数据分类为目标玩家的倾向数据和技能数据; 以及使用一般玩家的分类倾向数据和技能数据以及目标玩家的分类倾向数据和技能数据进行机器学习,并且基于机器学习的结果,人工智能根据个人玩家的比赛要求定制。智能代理;包括。</t>
  </si>
  <si>
    <t>用于在在线游戏环境中生成具有游戏玩家倾向和能力的人工智能代理的装置和方法</t>
  </si>
  <si>
    <t>CN210009591U</t>
  </si>
  <si>
    <t>本申请公开了一种具有启闭智能控制功能的篮球架，包括篮圈、篮板以及篮球支架，其特征在于：所述篮球架还包括有驱动机构、通信模块和控制模块，所述控制模块接收通信模块的指令，通过控制驱动机构，来实现对篮筐的开启和关闭，所述通信模块，将接收到的指令传输至通信模块。本实用新型的篮球架运用机电控制、物联网技术，通过篮球架为公共球场的智能管理提供有效的硬件支撑。本实用新型使篮筐具有启闭功能，通过篮筐的开启和关闭，配合计时系统和身份识别系统，实现球场的智能控制和管理。</t>
  </si>
  <si>
    <t>一种具有启闭智能控制功能的篮球架</t>
  </si>
  <si>
    <t>WO2020213784A1</t>
  </si>
  <si>
    <t>本发明涉及一种用于诱导锻炼的体育互动内容执行系统,其中与体育相关的互动内容被投影到墙壁等大屏幕上,玩家将球等投掷物扔到墙上进行互动。内容和诱导锻炼效果是关于系统的。 通过使用机器学习从内容的视频中准确识别玩家和/或投掷,在多人游戏中投掷超出投掷基线或投掷其他玩家的投掷可以被视为犯规。</t>
  </si>
  <si>
    <t>运动诱导运动互动内容执行系统</t>
  </si>
  <si>
    <t>WO2020213783A1</t>
  </si>
  <si>
    <t>本发明涉及一种用户界面,该用户界面为使用墙壁表面或地板表面作为屏幕的虚拟交互内容提供技术。 更具体地,本发明涉及一种用户界面,该用户界面提供使用诸如足球的虚拟鼠标对象来播放投射在墙壁或地板上的虚拟交互内容的技术。 从数码相机捕捉到的正在播放内容的情况的图像中识别出移动的物体,并通过跟踪物体的移动路径,在物体接触到墙壁的那一刻产生与鼠标点击对应的事件。 为了清楚地识别物体,可以通过机器学习提前学习物体的特征模式。</t>
  </si>
  <si>
    <t>一种用于提供虚拟交互内容的用户界面的系统和方法,以及存储用于其的计算机程序的记录介质</t>
  </si>
  <si>
    <t>CN111957024A</t>
  </si>
  <si>
    <t>本发明公开了一种基于云平台的可穿戴式太极运动步态评测与训练系统，包括步态参数采集模块、步态参数处理模块、步态运动功能评估与训练模块、云平台模块；采用姿态传感器、足底压力传感器和表面肌电传感器实时采集人体太极运动中的步态数据，基于云平台数据融合算法，实现用户太极运动步态训练的横向与纵向对比；同时采用大数据深度挖掘算法，实现从肌电信号到步态规范的逆向分析；基于多用户的人机交互功能，可为太极授课提供清晰的数字可视化指导，也可为竞技太极比赛评委打分提供客观量化参考；通过对各器件的封装集成化设计，使该系统便携且可穿戴，易用可靠，具有良好的市场价值。</t>
  </si>
  <si>
    <t>一种基于云平台的可穿戴式太极运动步态评测与训练系统</t>
  </si>
  <si>
    <t>KR102041279B1</t>
  </si>
  <si>
    <t>KR102054148B1</t>
  </si>
  <si>
    <t>本发明涉及一种运动诱导运动交互内容执行系统,通过玩家投掷弹丸的方式,将运动相关的交互内容投射到墙壁等大屏幕上,并在与内容交互的同时产生运动效果。比如墙上的球。这是关于系统的。 通过使用机器学习从内容图像中准确识别玩家和/或投掷物,在多人游戏中投掷超出投掷基线或投掷其他玩家的投掷物可被视为犯规。</t>
  </si>
  <si>
    <t>用于运动诱导的体育互动内容执行系统</t>
  </si>
  <si>
    <t>CN305706905S</t>
  </si>
  <si>
    <t>1.本外观设计产品的名称：用于电脑的图形用户界面。
 2.本外观设计产品的用途：本外观设计产品用于运行程序及显示。
 3.本外观设计产品的设计要点：在于屏幕中图形用户界面的界面内容。
 4.最能表明本外观设计设计要点的图片或照片：设计1主视图。
 5.省略视图：设计1‑10其他视图无设计要点，故省略。
 6.指定基本设计：设计1。
 7.界面用途：设计1‑10的产品界面为展现企业物联网平台数据的交互界面；用于选取呈现最符合用户的使用场景，展示数据统计与分析，让用户轻松完成运维管理；界面共有13个版块，分别为界面中顶端的标题版块，左、下、右部的11个图表版块及界面中部的大屏类型版块；各版块用户均可依据使用场景来个性选取配置；设计1产品界面为展现校园建筑(1)场景数据的交互界面；鼠标悬停在楼宇上时，该楼宇高亮并显示楼宇的设备汇总信息，适用于中小学的学校场景；设计2产品界面为展现校园建筑(2)场景数据的交互界面；适用于中小学的学校场景；设计3产品界面为展现校园建筑(3)场景数据的交互界面；适用于中小学的学校场景；设计4产品界面为展现医疗建筑场景数据的交互界面；适用于医院或美容机构等医疗行业；设计5产品界面为展现政府建筑场景数据的交互界面；适用于政府机关单位；设计6产品界面为展现展馆建筑场景数据的交互界面；适用于体育馆、活动中心等；设计7产品界面为展现机房机柜场景数据的交互界面；适用于独立机房或办公大楼内的机房；设计8产品界面为校园建筑(1)场景中空间出现异常告警时的交互界面；空间所属建筑会变成警示闪烁状态(例如：警示闪烁颜色为红色)并延伸出告警信息框，此时如果一并触发联动策略也会显示策略信息；设计9产品界面为校园建筑(1)场景中空间在执行巡检任务时的交互界面；触发巡检的建筑会出现扫光效果并延伸出巡检信息和巡检进度，在巡检完成后显示巡检结果；设计10产品界面为企业物联网平台的初始界面；各版块用户均可依据使用场景来个性选取配置；本产品为相似外观设计。</t>
  </si>
  <si>
    <t>CN110109937A</t>
  </si>
  <si>
    <t>本发明实施例提供的科普知识显示与测评方法，涉及科普知识学习技术领域，科普知识显示与测评方法，将该一组或多组测试内容发送至触控式综合显示屏进行显示，根据答案，对本次测评结果进行打分，得到打分结果，根据打分结果，计算本次测评结果排名并将打分结果及测评结果排名在触控式综合显示屏显示，接收用户提出的问题，利用训练过的机器学习模型识别该问题并根据文本相似度算法分别计算该问题与数据库中各个科普内容之间的相似度，根据该相似度获取该问题对应的答案并输出该答案，增强了科普知识比赛竞答的趣味性和互动性，提升了用户使用体验，提高了科普知识学习的效果。同时，本发明实施例还提供了一种科普知识显示与测评系统及设备。</t>
  </si>
  <si>
    <t>一种科普知识测评与学习方法、系统及设备</t>
  </si>
  <si>
    <t>WO2019222397A1</t>
  </si>
  <si>
    <t>从嵌入在视频流中的卡片图像中提取视频流精彩片段的元数据。 精彩片段可以是一个或多个用户特别感兴趣的视频流的片段,例如体育赛事的广播。 识别并处理嵌入在视频流的视频帧中的卡片图像以提取文本。 可以通过应用使用从嵌入体育电视节目内容中的卡片图像中提取的一组字符训练的机器学习模型来识别文本字符。 可以对字符向量的训练集进行预处理以最大化训练集成员之间的度量距离。 可以解释文本以获得元数据。 元数据可以与视频流的一部分相关联地存储。 元数据可以提供关于精彩片段的信息,并且可以与精彩片段的回放同时呈现。</t>
  </si>
  <si>
    <t>CA3100787A1</t>
  </si>
  <si>
    <t>AU2019268359A1</t>
  </si>
  <si>
    <t>CN112753226A</t>
  </si>
  <si>
    <t>从嵌入在视频流中的卡图像中提取所述视频流的精彩片段的元数据。所述精彩片段可以是一个或多个用户特别感兴趣的视频流的片段，例如体育事件的广播。标识并处理嵌入在所述视频流的视频帧中的卡图像以提取文本。可以通过应用利用嵌入在体育运动电视节目内容中的卡图像提取的一组字符训练的机器学习模型来识别文本字符。可以预处理字符向量的训练集以最大化所述训练集成员之间的度量距离。可以解译所述文本以获得所述元数据。所述元数据可以与所述视频流的所述部分相关联地存储。所述元数据可以提供关于所述精彩片段的信息，并且可以与所述精彩片段的回放同时呈现。</t>
  </si>
  <si>
    <t>用于识别和解译嵌入式信息卡内容的机器学习</t>
  </si>
  <si>
    <t>JP2021524686A</t>
  </si>
  <si>
    <t>视频流亮点元数据是从嵌入在视频流中的卡片图像中提取的。 精彩片段可以是一个或多个用户特别感兴趣的视频流的片段,例如体育赛事的广播。 识别并处理嵌入在视频流的视频帧中的卡片图像以提取文本。 可以通过应用机器学习模型来识别文本字符,该模型对从嵌入体育电视节目内容的卡片图像中提取的一组字符进行训练。 可以对字符向量的训练集进行预处理,以最大化训练集成员之间的度量距离。 您可以解析文本并获取元数据。 元数据可以与视频流的一部分相关联地存储。 元数据可以提供关于精彩片段的信息并且可以与精彩片段的回放同时呈现。 
  【选图】图4</t>
  </si>
  <si>
    <t>EP3811628A4</t>
  </si>
  <si>
    <t>CN110222723B</t>
  </si>
  <si>
    <t>本发明公开了一种基于混合模型的足球比赛首发预测方法，包括步骤：收集球员比赛数据，对数据进行预处理；构建球员各项比赛数据的统计特征；分别构建并训练逻辑回归模型、Xgboost模型、朴素贝叶斯模型，输入球队内所有球员的比赛数据，得到每个球员未来一场比赛首发上场的概率；对所述三个模型赋予不同权重，根据三种模型得到的概率，采用加权投票法对球员获得首发上场的情况进行投票，取得票最多的前11个球员，为最终预测未来一场比赛首发上场的球员。本发明采用机器学习中的混合模型，可以全面而有效地通过球员的历史比赛数据对其未来首发上场情况做出预测，能够很好地帮助教练和球队进行分析和备战。</t>
  </si>
  <si>
    <t>一种基于混合模型的足球比赛首发预测方法</t>
  </si>
  <si>
    <t>US11373404B2</t>
  </si>
  <si>
    <t>视频流的亮点元数据是从嵌入在视频流中的卡片图像中提取的。 亮点可以是一个或多个用户特别感兴趣的视频流片段,例如体育赛事的广播。 嵌入在视频流的视频帧中的卡片图像被识别和处理以提取文本。 可以通过应用机器学习模型来识别文本字符,该模型使用从嵌入在体育电视节目内容中的卡片图像中提取的一组字符进行训练。 特征向量的训练集可以被预处理以最大化训练集成员之间的度量距离。 可以解释文本以获得元数据。 元数据可以与视频流的一部分相关联地存储。 元数据可以提供关于精彩片段的信息,并且可以与精彩片段的回放同时呈现。</t>
  </si>
  <si>
    <t>CN110097485A</t>
  </si>
  <si>
    <t>本发明公开了一种基于物联网的云家校系统，包括处理器、消息推送模块、心理健康感知模块、活动轨迹感知模块、课堂表现感知模块、体育运动感知模块、学业质量感知模块、体质健康感知模块、疾病预防感知模块和在校考勤感知模块，引入物联网技术提升家校沟通的数据质量与用户体验，基于物联网设备，通过子模块从多个方面自动生成、自动过滤、自动分析与自动汇总学生在校表现数据，通过互联网进行反馈和沟通，教师工作量减少，数据准确度高，学校通过应用物联网，总体上提升了校园信息化程度，构建智能化的云家校系统，为人工智能校园的建设打好了大数据的基础，有利于学生的学习和成长。</t>
  </si>
  <si>
    <t>一种基于物联网的云家校系统</t>
  </si>
  <si>
    <t>CN110176290A</t>
  </si>
  <si>
    <t>本发明涉及一种基于物联网的间歇式训练计划管理系统及方法，其中包括跑步机、摄像头、显示器和云端服务器，跑步机内部设置有计时器和控制器，摄像头和显示器设置于跑步机的前方，且摄像头和显示器分别与控制器相连接；摄像头用于采集用户的上半身图像，并将用户的上半身图像发送至控制器；显示器用于采集用户制定的间歇式训练计划，并将间歇式训练计划发送至控制器，间歇式训练计划包括一个训练周期内训练阶段的次数和每个训练阶段的跑步速度。通过采用本发明，可以由用户预先设定训练阶段的次数和每个训练阶段的跑步速度，并且通过统计用户在三个月内的平均数据来指定每个训练阶段的目标训练时间，实现了训练计划的个性化定制和严格准确的执行。</t>
  </si>
  <si>
    <t>一种基于物联网的间歇式训练计划管理系统及方法</t>
  </si>
  <si>
    <t>CN110102026B</t>
  </si>
  <si>
    <t>本发明涉及一种基于物联网智能定制瘦身计划的系统及方法，其中包括训练者终端、教练终端、显示屏、控制器和云端服务器，所述显示屏和控制器均设置于健身场所，且所述控制器与所述显示屏相连接，所述云端服务器分别与所述控制器、所述训练者终端和所述教练终端进行通信，所述训练者终端与训练者ID绑定，所述教练终端与教练ID绑定，所述显示屏为触控显示屏。通过采用本发明，可以根据训练者的基本信息和训练需求智能分配教练，并且可以根据训练者的分类匹配适合训练者的瘦身训练计划，瘦身训练计划可以由分配的教练进行修正，从而更加贴合每个不同训练者的需求，实现瘦身训练计划的智能定制和管理，提高了瘦身训练计划制定的效率。</t>
  </si>
  <si>
    <t>一种基于物联网智能定制瘦身计划的系统及方法</t>
  </si>
  <si>
    <t>CN110155274B</t>
  </si>
  <si>
    <t>本发明公开了一种游泳池水下智能救生系统，包括水下摄像机、智能救生系统、工作站和手持现场显示终端等组成；在游泳池布置水下摄像机，采集游泳池中所有游泳人群的图像和数据等信息，通过计算机人工智能技术、视觉识别技术、行为识别技术、深度学习技术，在8秒任意时间内，识别和发现水下出现的溺水者，同时发出报警信息，帮助救生员在最短的时间内救助溺水者，保证游泳者的生命安全。本发明采用人工智能技术与游泳运动深度融合，突破现有溺水救生方式的缺陷，在游泳池建立智能化的防溺水预警、报警系统，实现了溺水救生的主动预防、预警和及时发现。</t>
  </si>
  <si>
    <t>一种游泳池水下智能救生系统</t>
  </si>
  <si>
    <t>CN110084223A</t>
  </si>
  <si>
    <t>本发明公开了一种用于游泳池的监控方法及系统，通过对游泳者面部表情和肢体动作的识别分析来实现监控。其技术方案要点是在游泳池设置一种监控系统实施安全监控，所述监控系统包括视频采集单元、预处理单元、特征提取单元、训练单元、识别单元和报警单元，溺水识别模型训练完成后，视频采集单元采集游泳者的实时游泳视频，预处理和特征提取后输入到溺水识别模型，识别到溺水特征时，则触发报警单元进行报警。本公开采用游泳池监控方法及系统通过深度神经网络训练的溺水识别模型，对溺水有很好的预防作用。</t>
  </si>
  <si>
    <t>一种用于游泳池的监控方法及系统</t>
  </si>
  <si>
    <t>CN110147524A</t>
  </si>
  <si>
    <t>本发明涉及一种基于机器学习的比赛结果预测方法、设备及系统，包括：确定目标比赛的参赛对象；基于所述参赛对象的历史比赛数据确定所述参赛对象的特征数据；获取所述参赛对象的比赛结果干扰数据；基于第一比赛结果预测模型对所述特征数据和比赛结果干扰数据进行比赛结果预测，得到所述目标比赛的第一比赛结果数据，通过比赛结果预测模型对参赛对象的特征数据和比赛结果干扰数据的学习，提高了比赛结果预测的准确率。</t>
  </si>
  <si>
    <t>一种基于机器学习的比赛结果预测方法、装置及设备</t>
  </si>
  <si>
    <t>TR201907087A2</t>
  </si>
  <si>
    <t>本发明涉及一种具有人工智能的支撑元件,用于排球、篮球、足球和类似的体育比赛或国家和国际体育联合会的体育比赛中。 本发明开发于电子裁判手环(4),通过服务器与运动场(1)相连,通过分析视频裁判应用程序的图像来分析位置,并将分析结果发送给视频裁判应用程序(var系统)和附在裁判手腕上的电子裁判腕带(4)。)在屏幕(5)上,它可以评估位置并使其更容易执行。</t>
  </si>
  <si>
    <t>体育比赛中使用的具有人工智能的支持元件</t>
  </si>
  <si>
    <t>US10931588B1</t>
  </si>
  <si>
    <t>分布式机器学习系统和其他分布式计算系统通过在网络交换机级别嵌入计算逻辑来改进,以对系统节点处理的梯度或其他数据执行集体操作,例如归约操作。 交换机被配置为识别携带与需要由分布式系统执行的集体动作相关联的数据的数据单元,这里称为“计算数据”,并使用交换机内的计算子系统处理该数据。 计算子系统包括计算引擎,该计算引擎被配置为对计算数据执行各种操作,例如“归约”操作,并将结果转发回计算节点。 归约运算可以包括例如求和、平均、逐位运算等。 以这种方式,网络交换机可以在集合阶段接管分布式系统的部分或全部处理。</t>
  </si>
  <si>
    <t>具有集成计算子系统的网络交换机,用于分布式人工智能和其他应用</t>
  </si>
  <si>
    <t>US10931602B1</t>
  </si>
  <si>
    <t>分布式机器学习系统和其他分布式计算系统通过在网络交换机级别嵌入计算逻辑来改进,以对系统节点处理的梯度或其他数据执行集体操作,例如归约操作。 交换机被配置为识别携带与需要由分布式系统执行的集体动作相关联的数据的数据单元,这里称为“计算数据”,并使用交换机内的计算子系统处理该数据。 计算子系统包括计算引擎,该计算引擎被配置为对计算数据执行各种操作,例如“归约”操作,并将结果转发回计算节点。 归约运算可以包括例如求和、平均、按位运算等。 以这种方式,网络交换机可以在集合阶段接管分布式系统的部分或全部处理。</t>
  </si>
  <si>
    <t>分布式人工智能和其他应用中网络交换机的基于出口的计算架构</t>
  </si>
  <si>
    <t>CN110314361B</t>
  </si>
  <si>
    <t>本发明一种基于卷积神经网络的篮球进球得分判断方法，包括以下步骤：获取比赛视频片段及其标注数据，标注数据包括进球数据和得分数据；利用比赛视频片段及其进球数据训练获得进球分类模型，利用比赛视频片段及其得分数据训练获得得分分类模型；获取待判定视频片段，将待判定视频片段输入进球分类模型，获得进球分类结果，根据进球分类结果获取进球片段；将进球片段输入得分分类模型，获得相应的得分。本发明能够获取待判定视频片段进球分类结果，输出相应得分。</t>
  </si>
  <si>
    <t>一种基于卷积神经网络的篮球进球得分判断方法及系统</t>
  </si>
  <si>
    <t>US11099902B1</t>
  </si>
  <si>
    <t>分布式人工智能和其他应用中网络交换机的并行入口计算架构</t>
  </si>
  <si>
    <t>US11328222B1</t>
  </si>
  <si>
    <t>通过在网络交换机级别嵌入计算逻辑来改进分布式机器学习系统和其他分布式计算系统,以对系统节点处理的梯度或其他数据执行集体操作,例如缩减操作。 交换机被配置为识别携带与需要由分布式系统执行的集体动作相关联的数据的数据单元,在本文中称为“计算数据”,并使用交换机内的计算子系统处理该数据。 计算子系统包括一个计算引擎,该引擎被配置为对计算数据执行各种操作,例如“归约”操作,并将结果转发回计算节点。 归约运算可以包括例如求和、平均、按位运算等。 以这种方式,网络交换机可以在集合阶段接管分布式系统的部分或全部处理。</t>
  </si>
  <si>
    <t>用于分布式机器学习的具有集成梯度聚合的网络交换机</t>
  </si>
  <si>
    <t>CN110210323B</t>
  </si>
  <si>
    <t>本发明公开了一种基于机器视觉的溺水行为在线识别方法。包括：采集图像；预处理；图像传输：将预处理后的图像将通过无线网络传输至云服务器；离线训练OpenPose：云服务器基于轻量级加速OpenPose，离线训练适用于提取水中人体关键点的模型；离线训练分类器：提取的人体关键点后，再训练基于神经网络的二分类器，用于判断人员是否溺水；服务器在线监测：云服务器在线运行改进的轻量级加速OpenPose用于提取图像中人体关键点，并对关键点进行溺水判断、计算危险程度、输出报警信息。本发明能够被使用在水上小型机器人、水上固定摄像机或者水下固定摄像机上，用于识别游泳者的实时姿态，对溺水可疑姿态进行甄别和预警，在泳池和海边等处辅助救生员识别溺水的作用。</t>
  </si>
  <si>
    <t>一种基于机器视觉的溺水行为在线识别方法</t>
  </si>
  <si>
    <t>KR1020200129327A</t>
  </si>
  <si>
    <t>根据本发明实施例的提供个人训练服务的方法包括:向用户终端提供所选训练者动作的第一动作图像; 获取用户终端中用户动作的第二运动图像; 比较第一动态影像与第二动态影像以评估使用者的运动状态。 根据运动状态设置用户的运动方向,其中通过深度学习从第一运动图像中提取教练运动,从第二运动图像中提取用户运动,并提取教练运动。通过将运动与用户运动进行比较来评估状态。</t>
  </si>
  <si>
    <t>个人培训服务提供方法及系统</t>
  </si>
  <si>
    <t>KR102186949B1</t>
  </si>
  <si>
    <t>公开了一种游戏预测方法和装置。 使用神经网络的比赛预测方法包括以下步骤:收集过去进行的比赛的比赛数据,对比赛数据进行数据预处理,以及使用已经进行数据预处理的游戏数据学习比赛预测模型。使用学习到的匹配预测模型获得匹配结果的预测值。</t>
  </si>
  <si>
    <t>游戏预测方法及装置</t>
  </si>
  <si>
    <t>US10960266B2</t>
  </si>
  <si>
    <t>本公开的主题教导了一种人工智能驱动的高级锻炼设施系统及其工作方法。 本实施例的人工智能驱动的高级锻炼设施系统通过提供锻炼者的启用网络的用户设备(例如智能手机、笔记本电脑或任何可穿戴智能设备)的高级耦合,消除了设施内锻炼机器上永久连接显示器的需要 接收并显示实时运动数据。 此外,该系统为所述用户设备提供支撑平台以在用户锻炼时安全地支撑设备。 此外,运动设施内的所有机器设备以及系统设施墙等周边环境都嵌入了智能芯片,实时监控和传输运动者的运动数据,如运动者的日常活动、运动者的形式和姿势、 使用健身设施的局域网将重复次数和自重计数等发送到中央人工智能引擎。 人工智能引擎根据过去的运动数据、运动方案、健康数据和专家建议,为每个锻炼者准备当天的最佳锻炼程序和锻炼计划。</t>
  </si>
  <si>
    <t>人工智能 (AI) 驱动的无线健身房系统</t>
  </si>
  <si>
    <t>US62843279P0</t>
  </si>
  <si>
    <t>historytracker:最小化棒球比赛注释中的人机交互</t>
  </si>
  <si>
    <t>CN305774964S</t>
  </si>
  <si>
    <t>1.本外观设计产品的名称：手机的信息显示图形用户界面。
 2.本外观设计产品的用途：用于运行程序和移动通信。
 3.本外观设计产品的设计要点：在于在手机的显示屏幕上显示的图形用户界面。
 4.最能表明设计要点的图片或照片：设计1主视图。
 5.指定设计1为基本设计。
 6.图形用户界面的用途：设计1至设计6的主视图的界面各自示出了两个或三个显示区域。
 显示区域可用于显示各种信息，例如，设计1、设计2、设计4和设计5中的垒球运动员（Baseball player）的内容画面可用于提醒用户打垒球，防尘耐水性（Water and dust resistance）的内容画面可以以直观地形式向用户提供关于手机的防尘耐水性的信息，“Coffee time”的内容画面可用于提醒用户喝咖啡，设计3和设计6中的垒球运动员（Baseball player）的内容画面可用于提醒用户打垒球，“Coffee time”的内容画面可用于提醒用户喝咖啡，并且用户可通过操作各个显示区域来执行人机交互。
 7.本外观设计产品涉及图形用户界面，其设计要点在于图形用户界面，故省略各个设计中相应的后视图、左视图、右视图、俯视图及仰视图。</t>
  </si>
  <si>
    <t>手机的信息显示图形用户界面</t>
  </si>
  <si>
    <t>CN111860061A</t>
  </si>
  <si>
    <t>本发明公开了一种羽毛球击球动作的识别方法、装置和可穿戴设备。其中，该方法包括：采集羽毛球运动中手腕的运动轨迹数据；根据运动轨迹数据生成特征数据；将特征数据输入识别模型，由识别模型识别特征数据对应的羽毛球击球动作，其中，识别模型为使用多组数据通过机器学习训练得出的，多组数据中的每组数据均包括：特征数据和与该特征数据对应的羽毛球击球动作。本发明解决了相关技术中不能识别羽毛球击球动作的技术问题。</t>
  </si>
  <si>
    <t>羽毛球击球动作的识别方法、装置和可穿戴设备</t>
  </si>
  <si>
    <t>WO2020222321A1</t>
  </si>
  <si>
    <t>公开了一种具有水箱的显示装置,一个或多个游泳机器人位于该水箱中。 该设备包括与游泳机器人或移动终端通信的通信单元、其上显示图像的显示器、一个或多个感测单元、包括位于水的内壁上的多个发射线圈的无线电力发射单元水箱并排列成多个,还有一个控制模块。 因此,可以提供配备有人工智能的显示装置和游泳机器人,并且可以提供执行5G通信的显示装置和游泳机器人。 因此,可以提高充电效率,并且可以进一步提高用户便利性。</t>
  </si>
  <si>
    <t>US11161011B2</t>
  </si>
  <si>
    <t>一种用于充满活力的体质指导的人工智能健身专业支持网络的系统包括诊断引擎,该诊断引擎至少在服务器上运行并配置为接收训练数据和至少来自用户的生物提取物并生成诊断输出。 该系统包括咨询模块,其被配置为接收针对咨询输入的请求并至少生成咨询输出。 该系统包括健身模块,其被配置为选择至少一个通知顾问客户端设备并将至少一个建议输出传输到至少一个通知顾问客户端设备。</t>
  </si>
  <si>
    <t>用于充满活力的体质指导的人工智能健身专业支持网络的方法和系统</t>
  </si>
  <si>
    <t>US20200241525A1</t>
  </si>
  <si>
    <t>一种基于计算机的设备系统,用于评估、预测、纠正、恢复和降低因操作员的情境意识 (SA) 不足而引起的风险。 该系统通过计算机设备和利用神经源性-心理生理学-神经认知-人工智能过程的方法来识别操作员的情境意识。 该系统被配置为通过神经源性传感器接收来自操作员的心理生理数据,并被配置为加载与操作员的基线 SA 能力相对应的数据和/或拥有 AI 算法以学习和校准操作员的基线 SA 能力并发出声音 如果超过了 SA 缺陷阈值,则发出警告作为响应。 可选地,自动驾驶仪/自动驾驶仪/自动操作员/自动工作人员/学生警报/球员和教练警报界面被配置为激活自动驾驶仪/自动驾驶仪/自动驾驶仪/自动操作员/自动工作人员命令以响应 SA 不足阈值 已经超过。</t>
  </si>
  <si>
    <t>基于计算机的设备系统,用于评估、预测、纠正、恢复和降低因操作员缺乏态势感知而引起的风险</t>
  </si>
  <si>
    <t>CN110119355B</t>
  </si>
  <si>
    <t>本发明公开了一种基于知识图谱向量化推理通用软件缺陷模型建立方法，步骤1、数据获取与预处理，具体操作为：从数据源获得所有关于缺陷的数据，该缺陷数据至少包括缺陷ID、缺陷描述、不同缺陷之间的关系以及缺陷造成的结果，对不同缺陷之间的关系和描述信息进行预处理；步骤2、学习基于描述的表示，构建基于描述的表示hd；步骤3、学习基于结构的表示，构建基于描述的表示Es；步骤4、通过基于结构的表示Es和基于描述的表示Ed，构建最终的软件缺陷模型TransCat模型步骤5、进行TransCat模型优化处理。与现有技术相比，本发明实现的TransCat模型可以捕获关于常见软件弱点的文本和结构性知识，从而有效地支持软件弱点上的各种推理任务。</t>
  </si>
  <si>
    <t>一种基于知识图谱向量化推理通用软件缺陷建模方法</t>
  </si>
  <si>
    <t>WO2019212807A1</t>
  </si>
  <si>
    <t>描述了一种部署在特定区域以获得鱼类图像的鱼类监测系统。 可以实施神经网络和机器学习技术来定期训练鱼类监测系统并生成监测模式,以根据确定区域的条件捕捉高质量的鱼类图像。 当检测到与监控模式匹配的条件时,可以根据监控模式指定的设置(例如,位置、视角)来配置摄像机系统。 每个监测模式可以与一个或多个鱼的活动相关联,例如睡觉、进食、独自游泳,以及一个或多个参数,例如时间、位置和鱼的类型。</t>
  </si>
  <si>
    <t>CA3087370A1</t>
  </si>
  <si>
    <t>描述了一种部署在特定区域以获取鱼类图像的鱼类监测系统。 可以实施神经网络和机器学习技术来定期训练鱼类监测系统并生成监测模式,以根据确定区域的条件捕捉高质量的鱼类图像。 当检测到与监控模式匹配的条件时,可以根据监控模式指定的设置(例如,位置、视角)来配置摄像机系统。 每个监测模式可以与一个或多个鱼的活动相关联,例如睡觉、进食、独自游泳,以及一个或多个参数,例如时间、位置和鱼的类型。</t>
  </si>
  <si>
    <t>EP3707728A1</t>
  </si>
  <si>
    <t>CN110197120B</t>
  </si>
  <si>
    <t>一种用于无人值守传感器系统的人员目标识别方法，其步骤包括：步骤S1：数据预处理；将无人值守地面传感器设备获取的原始数据转换成两种形式的数据：时间序列数据和功率谱密度频谱数据；步骤S2：循环神经网络训练；将步骤S1得到的两类数据分别作为训练样本，分别输入到两个不同的循环神经网络中训练；步骤S3：并联循环神经网络识别信号；将步骤S2得到的训练生成的两个模型并联，一个模型判断有无人走路，一个模型判断有无人跑步，两个模型的结果作或运算，最后判断是否有人。本发明具有原理简单、可以实时对人员进行检测、并能够显著提高识别准确率等优点。</t>
  </si>
  <si>
    <t>用于无人值守传感器系统的人员目标识别方法</t>
  </si>
  <si>
    <t>JP7108033B2</t>
  </si>
  <si>
    <t>描述了一种鱼监测系统,该系统部署在特定区域内以获取鱼图像。 可以实施神经网络和机器学习技术来定期训练鱼类监测系统并生成监测模式,以根据确定区域内的条件捕捉高质量的鱼类图像。 当检测到与监控模式匹配的条件时,可以根据监控模式指定的设置,例如位置、视角来配置摄像系统。 每种监测模式可以与一种或多种鱼类活动相关联,例如睡眠、喂食、独自游泳,以及一种或多种参数,例如时间、位置和鱼类类型。 
  【选型图】图1</t>
  </si>
  <si>
    <t>鱼类测量站管理</t>
  </si>
  <si>
    <t>CA3183782A1</t>
  </si>
  <si>
    <t>CA3183757C</t>
  </si>
  <si>
    <t>描述了部署在特定区域以获得鱼类图像的鱼类监测系统。 可以实施神经网络和机器学习技术来定期训练鱼类监测系统并生成监测模式以基于确定区域中的条件捕获鱼类的高质量图像。 当检测到与监视模式匹配的条件时,可以根据监视模式指定的设置(例如,位置、视角)来配置相机系统。 每种监测模式可以与一种或多种鱼类活动(例如睡眠、进食、单独游泳)以及一种或多种参数(例如时间、位置和鱼类类型)相关联。</t>
  </si>
  <si>
    <t>鱼类测量站维护</t>
  </si>
  <si>
    <t>CN111821667A</t>
  </si>
  <si>
    <t>本发明属于网球及器材领域，尤其涉及一种网球拾取机器人，包括底座、支撑柱、承载板、气缸、连接结构、上模、减震装置和下模，底座的顶部两端固定安装有支撑柱，支撑柱远离底座的一端固定安装有承载板，承载板的顶部固定安装有气缸，气缸的输出端通过滑动件固定安装有连接结构。本发明通过括识别装置、位置检测装置、传感器三者的相互配合，使得识别装置实现数字图像识别技术，而位置检测装置和传感器的相互配合可以得出识别目标(网球)的坐标与距离，能让机器全自主行动，完成收集网球的一系列动作，初步的机器学习与路径规划，创新的滚筒收集网球装置，无线通信技术，超声波精确三点定位。</t>
  </si>
  <si>
    <t>一种网球拾取机器人</t>
  </si>
  <si>
    <t>CN110070036B</t>
  </si>
  <si>
    <t>本申请涉及计算机视觉领域，公开了一种辅助运动动作训练的方法、装置及电子设备，其中，辅助运动动作训练的方法包括：对获取到的运动人员针对任一运动动作的第一视频进行解析，得到第一视频的拍摄角度；接着获取满足拍摄角度的针对任一运动动作的模板的第二视频；接着确定第一视频中任一运动动作的第一起始动作的第一起始动作帧、以及第二视频中任一运动动作的第二起始动作的第二起始动作帧；接着确定第一起始动作帧的第一骨架图相对于第二起始动作帧的第二骨架图的角度偏差，以辅助运动人员根据角度偏差对任一运动动作进行训练。本申请实施例的方法，使得运动人员在没有人工教练的情况下，也能够对运动动作进行训练，提高技术水平。</t>
  </si>
  <si>
    <t>辅助运动动作训练的方法、装置及电子设备</t>
  </si>
  <si>
    <t>IN201941006706A</t>
  </si>
  <si>
    <t>一种用于确定球员表现统计数据的系统和方法,此类球员表现是通过传感器和摄像头捕获的,捕获的数据通过机器学习算法进一步处理,以生成球员属性,例如反应时间、预想投篮、投篮选择、击球准确度 什么,击球选择,一致性,击球质量和击球手球的长度区域,球线的 3D 可视化和从球释放到三柱门的长度,长度准确性,每个球的交付速度,分别比较投球手的可操作见解。 本系统可用于训练运动员和运动员以提高协调性和/或技能。 图3描述了本发明的系统。</t>
  </si>
  <si>
    <t>通过分析和反馈提高球员表现的动态情境学习</t>
  </si>
  <si>
    <t>CN109902669A</t>
  </si>
  <si>
    <t>本发明提供了一种基于图像识别的人工智能防溺水预警设备，包括穿戴式游泳设备，在穿戴式游泳设备设有图像识别区域，该图像识别区域设有图像识别特征。本发明还提供了基于图像识别的人工智能防溺水预警系统，该防溺水预警系统图像采集设备安装在水上设施附近，用于对水上设施内泳客状态进行图像采集；系统主机的输入端连接图像采集设备，系统主机的输出端连接预警装置；还包括用于图像识别的穿戴式游泳设备，泳客通过该用于图像识别的穿戴式游泳设备与图像采集设备视觉连接。本发明还提供了该基于图像识别的人工智能系统的防溺水预警方法。本发明可提高水上设施溺水事故识别率，协助救生员完成救生工作，提高水上设施的安全性。</t>
  </si>
  <si>
    <t>基于图像识别的人工智能防溺水预警系统、设备及方法</t>
  </si>
  <si>
    <t>CN210091190U</t>
  </si>
  <si>
    <t>本实用新型提供了一种基于图像识别的人工智能防溺水预警设备，包括穿戴式游泳设备，在穿戴式游泳设备外部设有图像识别区域，该图像识别区域设有图像识别特征。本实用新型还提供了一种基于图像识别的人工智能防溺水预警系统，该防溺水预警系统图像采集摄像头安装在水上设施附近，用于对水上设施内泳客状态进行图像采集；系统主机的输入端连接图像采集摄像头，系统主机的输出端连接预警装置；还包括用于图像识别的穿戴式游泳设备，泳客通过该用于图像识别的穿戴式游泳设备与图像采集摄像头视觉连接。本实用新型可提高水上设施溺水事故识别率，协助救生员完成救生工作，提高水上设施的安全性。</t>
  </si>
  <si>
    <t>一种基于图像识别的人工智能防溺水预警设备及系统</t>
  </si>
  <si>
    <t>KR102086444B1</t>
  </si>
  <si>
    <t>本发明涉及用于家庭健身和虚拟现实运动(使用板的运动游戏,例如冲浪、滑冰和单板滑雪)体验的模拟板和设备,其自动识别用户的姿势并创建虚拟现实(VR)内容。虚拟现实模拟板100与安装在底板10上的运动上板20通过使用者双脚施加的力进行倾斜和瞬时扭转运动的模拟板和装置相互配合,形成模拟板100。 传感器信号采集模块,安装在模拟板100上,接收来自检测板行为的传感器30的检测信号,用于检测模拟板100的倾斜、加速度和扭转,并将检测信号传送给运动模拟单元120. (110) 和; 运动模拟单元120,其基于传感器信号获取单元110的信号识别和识别用户和板的行为,并将内容图像中存在的梯度和扭曲信息实现在模拟板100上;驱动单元控制模块130响应于运动模拟单元120的命令控制模拟板100的驱动单元40实现运动上面板20上的内容图像的倾斜、扭曲和抖动行为。 图像表达单元140包括VR眼镜或显示设备,其从运动模拟单元120接收运动内容图像(冲浪板、滑板、滑雪板)并可视化地显示角色图像和内容图像。它涉及家庭健身和虚拟现实运动(冲浪、滑冰、单板滑雪等运动游戏(使用板)体验结合的模拟板和装置,其特征在于配置。</t>
  </si>
  <si>
    <t>具有物联网数据采集功能的家庭健身和虚拟现实运动体验模拟装置</t>
  </si>
  <si>
    <t>CN305499416S</t>
  </si>
  <si>
    <t>1.本外观设计产品的名称：场地组件。
 2.本外观设计产品的用途：用于智能车、智能机器人等设备进行教学、比赛等时的场地。
 3.本外观设计产品的设计要点：在于形状。
 4.最能表明设计要点的图片或照片：组合状态图1。</t>
  </si>
  <si>
    <t>场地组件</t>
  </si>
  <si>
    <t>US11179600B2</t>
  </si>
  <si>
    <t>一种用于计算运动场上被称为目标的运动员位置的方法,包括使用基于无线电的定位系统估计目标的大致位置,该系统包括连接到运动场上的几个运动员的跟踪传感器和 安装在运动场周围的天线,定义大致位置周围的搜索空间,使用基于光学的定位系统检测搜索空间中的运动员,该系统包括安装在运动场上方和/或周围的摄像机和图像识别设备,确定 检测到的运动员的准确位置,将准确位置归因于目标。</t>
  </si>
  <si>
    <t>运动场上运动员位置的计算方法</t>
  </si>
  <si>
    <t>CN210348676U</t>
  </si>
  <si>
    <t>本实用新型公开了一种体育器材智能管理系统，包括信息识别电路、处理器、通信模块、存储电路、电源模块和人机交互模块，所述信息识别电路、所述通信模块、所述存储电路和所述人机交互模块分别与处理器相连，所述电源模块为系统提供工作电源；还包括检测电路和费用支付模块，所述检测电路和所述费用支付模块分别与处理器相连，系统通过检测电路对归还的体育器材的损坏程度进行检测。本实用新型可避免冒名借用情况的出现，同时提高了体育器材的安全性；采用在线费用支付租借费用的方式，具有便捷的特点，同时减少了人工劳动力。</t>
  </si>
  <si>
    <t>一种体育器材智能管理系统</t>
  </si>
  <si>
    <t>BR102019007792A2</t>
  </si>
  <si>
    <t>首次推出能够应对数字环境中呈指数级传播的虚假新闻、谣言和不准确信息的信息检查系统。 我们的发明从发现问题开始:虽然假新闻呈指数级传播,但对抗它的解决方案的尝试仍然仅限于人工检查,并且无法跟上其扩散速度。 我们的系统是创新的:结合了三个验证级别的混合体:(1) 由板球机器人制造的指数级和概率级,它有可能创建由人工智能验证的信息的指数级传播,并连接到中期,全球数百万用户的移动设备; (2) 一个自动化系统,通过软件接收待验证信息的输入,查询已经检查过的信息数据库(通过板球和由专门的人工工作制作的检查机构),对公共数据执行已经自动查询并不断生成与喂养蟋蟀相关的一揽子检查信息和(3)第三级专业人工检查,由具有公认专业知识的合格专业人员进行验证。</t>
  </si>
  <si>
    <t>信息核对系统</t>
  </si>
  <si>
    <t>IN367299B</t>
  </si>
  <si>
    <t>本发明提供了一种用于监测、分析、改进和给出关于个体运动表现的即时反馈的方法和系统。 实施例提供了一种系统和方法来创建体育动作的视觉表示而不使用任何视觉数据捕获机制。 该系统包括游戏监控设备(102)、通信网络(104)、远程服务器(106)和计算设备(116)。 远程服务器包括过滤和信号处理模块(108)、分析模块(110)、数据库(112)和人工智能模块(114)。 该计算设备包括若干模块和用户界面(118)。 游戏监控设备检测来自玩家的多个数据点并将其传输到远程服务器。 远程服务器过滤和处理信号以分析每个击球和玩家的游戏。 分析可视化并显示在用户计算设备上。</t>
  </si>
  <si>
    <t>一种使用监控设备分析和改善运动表现的系统和方法</t>
  </si>
  <si>
    <t>CN210645033U</t>
  </si>
  <si>
    <t>本实用新型公开了一种基于人工智能技术的健身设备,包括支撑板和支撑梁，两根支撑梁上相同的一端之间均共同安设有转动辊，转动辊上固定安设有若干齿轮盘，两个转动辊上相对应的齿轮盘之间安设有第一传动链条，第一传动链条的外环面共同套设有橡胶带，橡胶带上分布有若干爬扣块，支撑梁下端的外表面均通过第一支撑轴安设有静支撑杆，静支撑杆的下端固定连接至支撑板前侧的上表面，支撑梁中端的外表面通过第二支撑轴安设有动支撑杆，支撑板上表面的后侧通过安装座安装有液压伸缩杆。本实用新型体形较小，可安设放置在健身房内，进而有利于城市生活的人群在健身房内进行攀爬健身。</t>
  </si>
  <si>
    <t>一种基于人工智能技术的健身设备</t>
  </si>
  <si>
    <t>CN110051983A</t>
  </si>
  <si>
    <t>本发明涉及智能健身设备技术领域，具体涉及一种智能太极揉推系统及太极揉推装置的智能控制方法。该系统包括：支撑架、转动盘、图像采集装置、人机交互装置和主控装置，采用了图像采集及处理技术，一方面，主控装置根据图像采集装置获取的图像控制人机交互装置的运行状态，节约能耗，延长装置的使用寿命，另一方面，主控装置根据图像采集装置获取的图像得到用户的运动状态信息，并根据用户的运动状态信息通过人机交互装置实时与用户交互运动指导信息，解决了现有的太极揉推装置只提供锻炼的问题，使用户能够实时监测自己的运动情况并根据运动指导信息调整自己的运动状态，利于用户的身体健康。</t>
  </si>
  <si>
    <t>智能太极揉推系统及太极揉推装置的智能控制方法</t>
  </si>
  <si>
    <t>CN210057296U</t>
  </si>
  <si>
    <t>本实用新型涉及智能健身设备技术领域，具体涉及一种智能太极揉推系统。其包括支撑架、转动盘、图像采集装置、人机交互装置和主控装置，图像采集装置和人机交互装置设置在支撑架上且转动盘位于图像采集装置的视野范围内，主控装置与图像采集装置以及人机交互装置通讯连接；主控装置根据图像采集装置获取的图像控制人机交互装置的运行状态，同时获取用户的运动状态信息，并根据用户的运动状态信息通过人机交互装置实时与用户交互运动指导信息，解决了现有的太极揉推装置只提供锻炼的问题，使用户能够实时监测自己的运动情况并根据运动指导信息调整自己的运动状态，利于用户的身体健康。</t>
  </si>
  <si>
    <t>一种智能太极揉推系统</t>
  </si>
  <si>
    <t>CN110102025A</t>
  </si>
  <si>
    <t>本发明公开了一种基于运动手环与网络云平台的体育教学智能系统，涉及物联网信息处理领域，包括手环端、云平台、Web端，所述手环端和所述云平台采用窄带物联网(Narrow Band Internet of Things，NB‑IOT)技术连接，所述Web端和所述云平台通过因特网网络连接。本发明利用现代生物医学传感技术与现代信息、通讯技术，把运动手环和网络云平台结合，建立了一套基于靶心率(Target Heart Rate,THR)的分析和评价体育课教学效果的体育教学智能系统，利用个体化的评价标准，简便、准确地评估运动者的运动状况，实现对运动个体和群体的监督、分析和评价，并实现对运动危险情境的科学预警。</t>
  </si>
  <si>
    <t>一种基于运动手环与网络云平台的体育教学智能系统</t>
  </si>
  <si>
    <t>CN110163086B</t>
  </si>
  <si>
    <t>本发明公开了一种基于神经网络的健身动作识别方法、装置、设备及介质，该方法包括将至少一个切分特征数据按照时间顺序依次输入到训练好的健身动作识别模型中，获取每一切分特征数据对应的动作类型；基于动作类型获取对应的标准特征组数据，通过标准特征组数据从待识别特征数据中选取特定特征数据组进行标准性判断，获取特征识别结果；以确定特定特征数据组是否为标准特征，统计所有特定特征数据组对应的特征识别结果，当所有特定特征数据组对应的特征识别结果均为特征标准，则确定待识别动作序列数据对应的健身识别结果为动作标准，保证对待识别动作序列数据的准确率，同时，可以避免使用高成本的传感器，节约方案成本。</t>
  </si>
  <si>
    <t>基于神经网络的健身动作识别方法、装置、设备及介质</t>
  </si>
  <si>
    <t>JP7284247B2</t>
  </si>
  <si>
    <t>一种用于身份验证的方法和系统为乘客颁发分散的标识符,护照签发使用该标识符对护照数据进行数字签名,包括增强的生物特征数据,包括持有人的图像。当局使用。 向持有人提供一份签名数据的副本。 在旅行之前,持有人将 APIS 数据和他/她的去中心化标识符提交给到达目的地的当局。 这些数据将经过预先验证,并授权持有人在移民局使用预先批准部分。 到达后,会捕获承载者的图像并将其与预先授权的乘客记录进行匹配。 如果比赛获得批准,持有人将被允许通过自动边境控制门。 在匹配过程中,机器学习可用于根据预计到达移民局的时间来减少匹配中使用的预授权乘客数量。</t>
  </si>
  <si>
    <t>身份验证</t>
  </si>
  <si>
    <t>CN109876417B</t>
  </si>
  <si>
    <t>本发明提出了一种基于计算机视觉检测技术的羽毛球发球助理裁判系统，本发明所述系统包括图像采集平台、数据处理平台和显示终端。其中相机或摄像机为图像采集平台，电脑和软件为数据处理平台，软件包括图像处理软件和依据本方法设计的相应计算公式，显示终端可以是外接显示设备或者数据处理平台自带显示设备。本发明所述系统首先对相机进行标定，通过对视频的预处理学习，采用目标检测跟踪算法实现对目标的实时检测、跟踪和定位。通过图像中羽毛球水平运动方向（x轴）数值变化尺度的阈值设置锁定击球瞬间画面帧为关键帧，依据射影几何原理计算关键帧羽毛球高度，辅助相机定位，修正计算结果并实时显示。本发明实现了判定的实时性，判定精度达到厘米级。</t>
  </si>
  <si>
    <t>基于计算机视觉检测技术的羽毛球发球助理裁判系统</t>
  </si>
  <si>
    <t>CN109920426A</t>
  </si>
  <si>
    <t>本发明涉及人工智能和自动控制技术领域，提供一种基于智能语音的设备操作流程控制方法及系统，基于智能语音的设备操作流程控制方法包括：根据当前的设备操作场景启动相应的设备操作流程；根据当前所处的设备操作流程的节点通过语音播报相应的操作方法；当当前所处的节点为需要设备操作人员选择流程走向的节点时，通过语音播报相应的选择项，并根据设备操作人员的选择完成流程走向选择；以及在进入下一节点前记录设备操作人员在当前节点进行的具体操作。本发明通过语音交互让工程师等设备操作人员解放了双手，而且是边维修边记录，极大地方便了工程师等设备操作人员将维修过程知识转换为数据，以便二次利用。</t>
  </si>
  <si>
    <t>基于智能语音的设备操作流程控制方法及系统</t>
  </si>
  <si>
    <t>US11134186B2</t>
  </si>
  <si>
    <t>提出了一种用于控制机器人摄像机捕捉比赛场地的一部分的方法。 在比赛场地的参考图像中确定感兴趣的图像区域。 感兴趣的图像区域由人工智能确定。 感兴趣的图像区域与比赛场地上的物理感兴趣区域相关联。 从感兴趣的物理区域中扣除机器人摄像机的控制参数,以便机器人摄像机捕捉比赛场地上的感兴趣的物理区域。 因此,机器人摄像机可以自动捕捉比赛场地上最有趣的场景。 此外,提出了一种实现该方法的照相机系统。</t>
  </si>
  <si>
    <t>用于控制机器人照相机和照相机系统的方法</t>
  </si>
  <si>
    <t>CN110135617A</t>
  </si>
  <si>
    <t>本发明公开了一种气象因素影响下基于负荷特性的改进短期负荷的预测方法，具体涉及短期负荷预测技术领域，其具体操作步骤如下：步骤1：从SCADA实时数据库和气象数据库导入原始的用户负荷数据并预处理；步骤2：依据负荷特性细分为典型五类负荷；步骤3：使用聚类算法结合相关影响因素分别对每一类典型负荷进行相似日细分。本发明通过采用负荷物理特性与属性聚类算法相结合的方法完成负荷二次细分，使用精度较高的优化改进粒子群优化径向基神经网络和最小二乘支持向量机回归模型等算法建立负荷短期改进预测模型，既能得到准确的负荷预测结果，又方便需求侧用户就地进行各类负荷针对性调控。</t>
  </si>
  <si>
    <t>一种气象因素影响下基于负荷特性的改进短期负荷的预测方法</t>
  </si>
  <si>
    <t>CN109947257A</t>
  </si>
  <si>
    <t>本发明公开了一种手势图像识别方法，包含以下步骤：A、图像提取并保存；B、图像有效性识别；C、根据步骤B识别的图像结果判断是否为手势动作；D、对判断结果是手势动作的图像进行识别处理；对判断结果不是手势动作的图像自动过滤并删除；E、手势动作信息对比；判断手势动作信息的具体含义，F、输出具体操作指令，本发明手势图像识别方法利用摄像头采集人体手势信息，并且进行两级判断，第一级判断手势的有效性，第二级判断手势的具体功能，第一级判断无效不会进入第二级判断，这样可以降低手势操作的失误率，增加手势控制的精度的速度，给人们更好的体验。</t>
  </si>
  <si>
    <t>一种手势图像识别方法</t>
  </si>
  <si>
    <t>CN109876369A</t>
  </si>
  <si>
    <t>本发明公开了一种VR人机交互全能运动与万向跑步机，这是一种让人类使用者可实现在物理空间中原地万向跑步与多种肢体运动，与计算机、VR眼镜及VR外设(如VR手柄手套)等设备配套使用后可实现在虚拟空间中自由行走、全能运动和各种操作的智能化VR人机交互装置。包括五大子系统：回转式跑台、步态自适应跑步机、人体运动定位悬臂、襁褓护甲、控制系统(含算法)。以及其他不属于本项发明，但是紧密关联的还有VR眼镜与计算机系统。本发明天生具有将健身运动和VR游戏高度融合的基因，为爱玩游戏不爱运动的人群提供了一个根本性改善身体健康和生活品质的两全其美路径。从而为社会解决一大群隐患问题。</t>
  </si>
  <si>
    <t>一种VR人机交互全能运动与万向跑步机</t>
  </si>
  <si>
    <t>CN109993677A</t>
  </si>
  <si>
    <t>本发明公开了物联网直播技术领域中一种基于物联网的电竞竞猜互动系统，包括系统应用程序、登陆模块、选择模块、互动模块和回馈模块，用户成功登陆系统应用程序后，通过选择模块在系统应用程序中选择电竞游戏进行观看，通过首层电竞游戏分类选择和次层直播标题选择可精准的找到自己喜欢的电竞游戏进行观看，在观看电竞直播前可以通过互动模块对比赛结果进行预判，在观看电竞直播的过程中通过发送弹幕、送礼物等方式支持自己预判胜利的一方，由此增加观看电竞比赛的趣味性，观看直播结束后，通过回馈模块工作，为竞猜正确用户派发礼物，此环节进一步增加用于在观看电竞比赛中的趣味性及互动性，并且可吸引用户至观看电竞比赛结束。</t>
  </si>
  <si>
    <t>一种基于物联网的电竞竞猜互动系统</t>
  </si>
  <si>
    <t>CN210583486U</t>
  </si>
  <si>
    <t>本实用新型公开了一种VR人机交互全能运动与万向跑步机，包括底座，所述底座内侧设置有圆弧导轨和圆形随动防护网，且圆形随动防护网位于圆弧导轨外侧，所述圆弧导轨上端滑动安装有导轨滑块，所述导轨滑块上端固定安装有承重转盘，所述承重转盘下端表面设置有回转驱动机构和导电滑环，且导电滑环位于承重转盘中心点。本实用新型天生具有将健身运动和VR游戏高度融合的基因，为爱玩游戏不爱运动的人群提供了一个根本性改善身体健康和生活品质的两全其美路径。从而为社会解决一大群隐患问题。</t>
  </si>
  <si>
    <t>CN109999409A</t>
  </si>
  <si>
    <t>一种基于VR技术的实时交互跑步机，包括跑步机本体、VR设备和控制系统，跑步机本体与VR设备之间通过控制系统相连，控制系统由控制器和分别与控制器相连的速度设定模块、无线传输模块、语音采集模块、语音识别模块、交互控制器和风速湿度模块组成，速度设定模块用于设定跑步机本体的运行速度，控制器通过无线传输模块与VR设备之间进行信息传递，语音采集模块通过语音识别模块与控制器相连，交互控制器和风速湿度模块均与控制器电性连接，跑步机本体由架体、跑带、驱动电机、显示器、数个减震装置、保护装置和移动机构组成。本发明结构设计合理，使用方便，移动轮能够自动复位，便于移动。</t>
  </si>
  <si>
    <t>一种基于VR技术的实时交互跑步机</t>
  </si>
  <si>
    <t>US11630998B2</t>
  </si>
  <si>
    <t>一种自动训练神经网络的方法,包括在具有第一通信装置和感知记录器的训练器处,持续记录第一对象附近的环境; 在教练处从与教练附近的物体相关联的通信设备接收消息,该消息包括关于物体的位置和类型的信息; 识别对应于从对象接收消息的时间的记录; 将接收到的关于第二对象的位置信息与记录中的对应位置相关联以识别记录中的对象; 根据在来自对象的消息中接收到的信息类型对识别的对象进行分类; 并使用分类记录来训练神经网络。</t>
  </si>
  <si>
    <t>用于自动训练神经网络的系统和方法</t>
  </si>
  <si>
    <t>CN209679423U</t>
  </si>
  <si>
    <t>本实用新型属于健身器材技术领域，具体涉及一种基于物联网的多功能引体向上健身器械，包括底座，底座设有T型通槽，T型通槽滑动连接有两个滑板，滑板一侧设有凸条，凸条下侧设有螺纹短杆，螺纹短杆转动连接有橡胶垫，滑板另一侧焊接有两个限位块，底座设有与限位块相匹配的挡块，底座对称设有两个长杆，长杆上侧设有螺纹长孔，长杆通过螺纹长孔连接有调节杆，调节杆包括与螺纹长孔相匹配的螺杆，螺杆上侧设有支撑杆，支撑杆上侧转动连接有连接件，连接件螺栓连接有横杆，横杆两侧设有支架，支架上侧设有装配槽，左侧装配槽装有红外线发射器，右侧装配槽装有红外线接收装置。</t>
  </si>
  <si>
    <t>一种基于物联网的多功能引体向上健身器械</t>
  </si>
  <si>
    <t>CN109876368A</t>
  </si>
  <si>
    <t>本发明公开了一种VR人机交互人体运动定位悬臂，包括回转式跑台、升降立柱底座、升降立柱、升降式悬臂基座和升降驱动电机，所述回转式跑台上方一侧固定连接有升降立柱底座，所述升降立柱底座上方连接有升降立柱，所述升降立柱上方设置有升降式悬臂基座，所述升降式悬臂基座一侧设置有降驱动电机，所述升降式悬臂基座另一侧连接有俯仰轴角度传感器，所述俯仰轴角度传感器内部设置有俯仰轴。本发明结构简单，设计新颖，首要功能是在对人体的重心进行定位和约束，使人体运动时人体重心在水平面上始终保持在原点位置，从而提供人体前后行进与左右转向的核心基本功能，并通过跑步机与回转复位装置获得水平运动原地复位功能。</t>
  </si>
  <si>
    <t>一种VR人机交互人体运动定位悬臂</t>
  </si>
  <si>
    <t>US20200298134A1</t>
  </si>
  <si>
    <t>一种磁性智能组合玩具,包括主体和磁性组装到主体的多个外部组件。 用户可以通过智能移动设备控制玩具的动作,与他人进行近距离或远距离击球或比赛游戏。 在游戏过程中,如果玩具主体上的任何一个外部组件因碰撞而脱落,玩具将能够改变动作模式,并通过智能移动设备将信息上传到云平台,因此 第三方的智能移动设备可以显示玩具的状态,从而产生远距离互动游戏或竞赛的效果。</t>
  </si>
  <si>
    <t>物联网互动磁性智能模块化玩具</t>
  </si>
  <si>
    <t>KR1020200112381A</t>
  </si>
  <si>
    <t>本发明使用智能手机应用程序,仅通过拍摄的照片通过深度学习算法通知食物的卡路里值,通过应用程序传输可以消耗卡路里的各种信息,并提供离线网络。这是一种提供服务的商业模式在健身俱乐部锻炼。更具体地说,它使用大数据的深度学习算法找到顾客想要吃的相同类型和数量的食物并提前输入。通过显示一卡路里的价值,它告知所吃食物的卡路里,计算消耗的卡路里和消耗的卡路里,如果超过平均体重指数,则提供警告信息和各种可以消耗卡路里的信息,即提供运动的视频和文件数据和程序作为应用程序,如果你想离线锻炼,你想要的信息是通过你的智能手机的 GPS 提供到离你当前位置最近的体育中心和健身房,位置,价格等。如果你想锻炼或接受私人训练在健身俱乐部,通过合同提前注册服务,并将提供健身俱乐部服务的地点连接到离您当前位置最近的地点,以进行预约和锻炼。提供信息的卡路里管理系统,以便你可以做到这一点。</t>
  </si>
  <si>
    <t>使用基于照片的物体识别技术进行卡路里测量和消耗的在线到离线卡路里管理系统</t>
  </si>
  <si>
    <t>CN109718523A</t>
  </si>
  <si>
    <t>本发明公开了一种跑步节奏训练设备，包括主机、数据线、灯带、电池、使用者、人机交互终端、服务器、心率表，LED灯和柔性导线。本发明的有益效果是：该跑步节奏训练设备设计合理，灯带上的LED灯采用自使用者跑步前进方向，自前向后流动式的亮灯效果，灯带上的LED灯连接成串，以亮灯的流动速度和点亮次序引导与训练使用者的跑步节奏，在整个跑步过程中，通过控制灯带的亮灯次序、方向、间隔时间，引导使用者追逐亮灯，以此练习跑步节奏，LED灯的发光颜色可以跟随使用者所设定的方案进行变化，灯带上LED灯的发光颜色可变化，以增强训练的趣味性，LED灯亮灯流动速度跟随心率表监测使用者心率的高低进行自动调节。</t>
  </si>
  <si>
    <t>一种跑步节奏训练设备</t>
  </si>
  <si>
    <t>CN209952168U</t>
  </si>
  <si>
    <t>本实用新型公开了一种跑步节奏训练设备，包括主机、数据线、灯带、电池、使用者、人机交互终端、服务器、心率表，LED灯和柔性导线。本实用新型的有益效果是：该跑步节奏训练设备设计合理，灯带上的LED灯采用自使用者跑步前进方向，自前向后流动式的亮灯效果，灯带上的LED灯连接成串，以亮灯的流动速度和点亮次序引导与训练使用者的跑步节奏，在整个跑步过程中，通过控制灯带的亮灯次序、方向、间隔时间，引导使用者追逐亮灯，以此练习跑步节奏，LED灯的发光颜色可以跟随使用者所设定的方案进行变化，灯带上LED灯的发光颜色可变化，以增强训练的趣味性，LED灯亮灯流动速度跟随心率表监测使用者心率的高低进行自动调节。</t>
  </si>
  <si>
    <t>CN305391693S</t>
  </si>
  <si>
    <t>1．本外观设计产品的名称：柜体操作平台。
 2．本外观设计产品的用途：本外观设计产品用于作为人机交互设备，对档案远程申请相关的证件、材料等的验证和识别，并根据用户输入的信息进行反馈。
 3．本外观设计产品的设计要点：在于产品的形状。
 4．最能表明本外观设计设计要点的图片或照片：立体图。</t>
  </si>
  <si>
    <t>柜体操作平台</t>
  </si>
  <si>
    <t>CN109954254B</t>
  </si>
  <si>
    <t>本发明涉及智能机器人领域，提供一种基于全向来福轮的羽毛球场智能捡球机器人，包括羽毛球拾取结构、全向来福轮底盘结构、羽毛球收集桶和电控系统，所述全向来福轮底盘结构包括四个来福轮、底盘，四个来福轮与底盘相连，连接处安装有步进电机，所述底盘上布置有羽毛球拾取结构、摄像头和羽毛球收集桶，所述红外巡线传感器通过支架连接在底盘下方。本发明通过红外识别和摄像头实现路径规划和对羽毛球的识别功能，利用全向来福轮实现指定路径的行走任务，解决了羽毛球场地散乱羽毛球的收集问题，极大的提高了羽毛球拾取的效率。</t>
  </si>
  <si>
    <t>基于全向来福轮的羽毛球场智能捡球机器人</t>
  </si>
  <si>
    <t>CN109758750A</t>
  </si>
  <si>
    <t>本发明公开了一种健美操柔韧训练辅助控制系统，涉及体育训练器材技术领域，主要解决现有的健美操柔韧训练辅助装置的安全性能不高，不够智能化的问题，包括信息采集模块、控制模块、模拟系统、响应模块及语音模拟系统,所述信息采集模块分别与A/D转换模块、人机交互模块相连，所述A/D转换模块与控制模块相连，其特征在于，所述控制模块分别与D/A转换模块及人机交互模块相连；还公开了包括健美操柔韧训练辅助控制系统的健美操柔韧训练辅助装置，本发明智能化程度高，安全性能高，能够在训练者受伤的第一时间反馈至后台管理处，并存储训练者训练视频，供训练者进行回放，可以适应不同身高的训练者，调节方便。</t>
  </si>
  <si>
    <t>一种健美操柔韧训练辅助装置</t>
  </si>
  <si>
    <t>JP2020150987A</t>
  </si>
  <si>
    <t>本发明的目的在于提供一种室内有氧运动装置,具有数据分析功能,在室内运动时不会因换景而枯燥乏味,有望改善体态。 
  一种传感器(100)、拍摄装置(20)、用于输入用户自评数据的输入装置(9)、用于对运动数据、外貌数据和自评数据进行机器学习的学习单元、外部再现视频,和/或备选地,提供控制缩放的显示控制单元和执行各种处理的识别单元,并且至少使用练习数据作为教师数据,并且通过机器学习教师数据得到的数值模型是当前run,是用户跑步的结果,外部视频的播放与外部视频的播放速度和用户的跑步速度是同步的,这是根据用户GPS数据分析的外部视频的拍摄速度外部视频。它的特点是可以缩放。 
  【选型图】图1</t>
  </si>
  <si>
    <t>室内有氧运动器材、运动系统</t>
  </si>
  <si>
    <t>US20200289938A1</t>
  </si>
  <si>
    <t>TR201903888A2</t>
  </si>
  <si>
    <t>在电脑游戏中,它是使游戏用户在同一环境中相遇和互动的系统,其特点是; 用户界面,允许球队输入他们的信息来识别自己和他们的球员,游戏用户和球队官员输入他们想要参加训练比赛的日期和时间,游戏用户和球队官员可以看到训练时间并安排比赛随时需要的团队 (40) 移动客户端 (10)、Web 客户端 (20) 和/或桌面客户端 (30)、数据库 (50) 记录通过用户界面 (40) 输入的数据的数据库、遇到、成功、匹配和跟踪数据库 (50) 它包含一个机器学习和人工智能单元 (60),能够根据数据从用户界面 (40) 提出团队和球员建议。</t>
  </si>
  <si>
    <t>在电脑游戏中将游戏用户聚集在同一环境中的系统和方法</t>
  </si>
  <si>
    <t>IN201921009935A</t>
  </si>
  <si>
    <t>IOT-ITPC-SYSTEM 为车主提供保护和解决方案,当发动机启动时,该系统自动启动并检查轮胎是否打孔,如果轮胎打孔,它将保持恒定的压力,以便驾驶员可以管理 没有修理轮胎就到了目的地。 它还包含一个按钮,允许驾驶员向最近的服务中心发送通知,告知您轮胎的完整状况,需要修理或完全更换。 当驾驶员开始驾驶时,它会测量所有 2 轮胎(适用于 2-W)、4 轮胎(适用于 4-W)、6 轮胎等的压力,并根据其速度分配空气以获得最大抓地力。 车辆高速行驶,许多驾驶员无法以这种速度有效地驾驶汽车,这会导致事故,因此经验丰富的驾驶员无法充分利用轮胎的气压,从而使轮胎保持一点充气状态,从而增加对道路的抓地力 这导致更好的处理。 因此,本发明将根据汽车的速度实时向轮胎泵送空气。 如果轮胎在途中打孔,它会发出有关轮胎状况的指示灯,并有助于保持轮胎压力,直到您到达目的地。 它还包含一个帮助按钮,如果必须修理或完全更换轮胎,该按钮会向最近的服务中心提醒轮胎的状况。 此外,本发明是您是一位经验丰富的驾驶员,并且想要手动调整轮胎的压力,您可以通过汽车仪表板上的显示屏来完成。 该系统使用氮气来保持轮胎的温度,并且由于重量轻,因此可以增加行驶里程。 它还可以作为常规泵来泵送其他车辆的轮胎或足球等正常物品。</t>
  </si>
  <si>
    <t>iot-itpc-system:采用物联网技术的智能胎压控制系统。</t>
  </si>
  <si>
    <t>CN109999468A</t>
  </si>
  <si>
    <t>本发明涉及一种用于身体训练的触觉反馈式训练系统，包含：多个触觉反馈器，设于受训者的训练服上，用于向受训者发出振动或者电子刺激信号；第二通讯模块，与所述触觉反馈器连接；中心控制器，与第二通讯模块连接，用于发送触觉反馈控制信号；第一通讯模块，与中心控制器连接；远程控制终端，与第一通讯模块连接，用于通过第一通讯模块向触觉反馈器发出控制信号、以及接收触觉反馈器发出的传感器数据；人工智能软件，与中心控制器连接，用于向触觉反馈器发出控制信号、接收并处理触觉反馈器发出的传感器数据。本发明用以实现远程课程或训练中对受训者进行触觉提示，即可通过互联网进行远程教学，也可以通过人工智能软件实现无教练的智能训练。</t>
  </si>
  <si>
    <t>一种用于身体训练的触觉反馈式训练系统</t>
  </si>
  <si>
    <t>WO2019177364A1</t>
  </si>
  <si>
    <t>在本发明中,当运动员在屏幕网球系统等虚拟网球模拟方法中打网球时,即使图像上的虚拟对手运动员通过人工智能等在各种情况和条件下击打虚拟球,虚拟通过通过安装在屏幕背面的发球机,使球的运动与球的发射相对应,将视频与真实情况相结合的虚拟网球比赛实现为像真实网球一样的动态和逼真的比赛提供一种虚拟网球模拟系统及其控制方法,可以提高玩家对虚拟网球比赛的专注度和兴趣。</t>
  </si>
  <si>
    <t>虚拟网球仿真系统及其控制方法</t>
  </si>
  <si>
    <t>WO2019177363A1</t>
  </si>
  <si>
    <t>本发明是通过使玩家能够以各种方式练习网球或打网球,实现了由上述传统的屏幕网球系统难以实现的高级虚拟对手的人工智能,以及逼真的拉力赛等。本发明的目的在于提供一种可以实现的虚拟网球仿真网球人工智能实现方法,以及使用该方法的虚拟网球仿真系统和方法。</t>
  </si>
  <si>
    <t>一种用于虚拟网球模拟的网球人工智能实现方法、使用该方法的虚拟网球模拟系统和方法、以及记录该方法的计算设备可读取的记录介质</t>
  </si>
  <si>
    <t>CN210044802U</t>
  </si>
  <si>
    <t>本实用新型涉及一种基于STM32和树莓派的智能网球拾取机器人，该移动机器人机身形式为钣金组合成型，采用的驱动方式是三轮独立驱动，三个空心杯直流伺服电机分别控制三个全向轮。该机器人分为底盘运动控制部分、视觉处理部分和网球收集部分。底盘控制部分位于机器人的最下层，包括伺服驱动器、电池、主控板、蓝牙模块、两个超声波避障传感器和三个空心杯直流伺服电机。视觉处理部分由树莓派和摄像头组成。网球收集部分包括网球收集结构和容纳箱。该机器人呈正六边形且三个全向轮分别夹角120度安装，STM32控制器通过CAN总线与伺服驱动器进行数据交互，从而使机器人实现全向移动且转动半径为零，同时通过树莓派基于Haar级联分类器的图像识别程序和摄像头，可以精准识别网球目标位置，整个专利设计精巧科学，解决了人工网球拾取费时费力的问题。</t>
  </si>
  <si>
    <t>一种基于STM32和树莓派的智能网球拾取机器人</t>
  </si>
  <si>
    <t>CN110008847B</t>
  </si>
  <si>
    <t>本发明公开了一种基于卷积神经网络的泳姿识别方法,包括：将九轴传感器安装在手腕处，记录人体游泳时手腕部的加速度和角速度信号；取出一个单位长度的待测信号进行识别分割；对分割得到的信号进行预处理，设计卷积神经网络模型结构；对卷积神经网络模型参数进行训练，将预处理后的信号输入到训练后的卷积神经网络模型中进行分类，确定信号分类结果；根据信号分类结果，确定待测信号中所要取出的单位长度的信号片段的区间，重复上述步骤。本发明通过对卷积神经网络结构进行修改，降低了其对计算资源的需求，使其能在智能可穿戴设备上对泳姿进行高效、准确的识别。</t>
  </si>
  <si>
    <t>一种基于卷积神经网络的泳姿识别方法</t>
  </si>
  <si>
    <t>JP7070874B2</t>
  </si>
  <si>
    <t>本发明实现了上述传统屏幕网球系统难以实现的虚拟对手的高级人工智能,并允许玩家在各种情况下练习网球或打网球。一种实现网球人工智能虚拟网球模拟的方法及使用该方法的虚拟网球模拟系统及方法,可以实现逼真的拉力赛等。 
  【选型图】图1</t>
  </si>
  <si>
    <t>用于虚拟网球模拟的网球人工智能实现方法、虚拟网球模拟系统及使用其的方法</t>
  </si>
  <si>
    <t>CN305973377S</t>
  </si>
  <si>
    <t>1.本外观设计产品的名称：用于智能手表的图形用户界面。
 2.本外观设计产品的用途：智能手表用于通讯和/或运行程序。
 3.本外观设计产品的设计要点：在于图形用户界面。
 4.最能表明设计要点的图片或照片：设计1界面放大图。
 5.指定设计1为基本设计。
 6.图形用户界面的用途：设计1：显示日历/约会信息设计2：显示和追踪活动/健身信息设计3：显示和追踪心脏/健康信息设计4：显示世界时间/时钟信息设计5：显示娱乐/音乐/媒体信息设计6：显示和追踪天气信息。
 7.图形用户界面的人机交互方式：通过接触（包括触摸、轻击或点击）智能手表的显示屏、通过操作智能手表（包括移动或抬起智能手表、或按下智能手表上的冠或按钮）、激活智能手表中的传感器（包括声控传感器、光学传感器、脸识别传感器）、和/或其它影响智能手表的手势来操作。
 8.智能手表为常规设计，故省略了其他视图。</t>
  </si>
  <si>
    <t>用于智能手表的图形用户界面</t>
  </si>
  <si>
    <t>CN305973375S</t>
  </si>
  <si>
    <t>1.本外观设计产品的名称：智能手表图形用户界面。
 2.本外观设计产品的用途：通讯、运行程序。
 3.本外观设计产品的设计要点：在于图形用户界面。
 4.最能表明设计要点的图片或照片：设计1界面放大图。
 5.指定设计1为基本设计。
 6.图形用户界面的用途：显示追踪监控日历/约会（设计1、设计2、设计5、设计7）、天气（如紫外线指数、空气质量指数、气温、日出日落）（设计1‑设计8）、时间/世界时钟/计时器/闹钟（设计1‑设计5、设计7‑设计8）、太阳日（设计1、设计4、设计8）、天文（设计1、设计4、设计7、设计8）、活动（设计1、设计6‑设计8）、月相（设计2、设计4、设计7）、电量（设计2）、联系人（设计3、设计8）、心/健康、健身、娱乐/音乐/媒体、专注/呼吸（设计6）。
 7.图形用户界面的人机交互方式：接触（含触、击或点）屏、操作手表（含移或抬、按表冠或按钮）、激活传感器（含声控、光学、识脸传感器）、和/或其它影响智能手表的手势。
 8.智能手表为常规设计，省略其他视图。</t>
  </si>
  <si>
    <t>智能手表图形用户界面</t>
  </si>
  <si>
    <t>CN305981335S</t>
  </si>
  <si>
    <t>1.本外观设计产品的名称：用于智能手表的图形用户界面。
 2.本外观设计产品的用途：智能手表用于通讯和/或运行程序。
 3.本外观设计产品的设计要点：在于图形用户界面。
 4.最能表明设计要点的图片或照片：设计1界面放大图。
 5.指定设计1为基本设计。
 6.图形用户界面的用途：设计1：显示和追踪天气（包括紫外线指数、气温）、活动/健身、计时信息；设计2：电池电量、计时，日历/约会，天气/天文信息（包括月相）；设计3：天气（包括紫外线指数、气温），时间和计时信息（包括计时器、世界时间/时钟）。
 7.图形用户界面的人机交互方式：通过接触（包括触摸、轻击或点击）智能手表的显示屏、通过操作智能手表（包括移动或抬起智能手表、或按下智能手表上的冠或按钮）、激活智能手表中的传感器（包括声控传感器、光学传感器、脸识别传感器）、和/或其它影响智能手表的手势来操作。
 8.智能手表为常规设计，省略智能手表的其他视图。</t>
  </si>
  <si>
    <t>CN306010168S</t>
  </si>
  <si>
    <t>1.本外观设计产品的名称：用于智能手表的图形用户界面。
 2.本外观设计产品的用途：用于通讯和/或运行程序。
 3.本外观设计产品的设计要点：在于图形用户界面。
 4.最能表明设计要点的图片或照片：设计1界面放大图。
 5.指定设计1为基本设计。
 6.图形用户界面的用途：设计1：显示追踪天气（如气温）设计2：显示追踪天气（如紫外线指数）设计3：显示追踪天气（如空气质量指数）设计4：显示导航/定位（如罗盘）设计5：显示信号强度设计6：显示追踪电池电量设计7：显示追踪计时设计8：显示日历设计9：显示追踪健身。
 7.图形用户界面的人机交互方式：通过接触（包括触摸、轻击或点击）显示屏、操作智能手表（包括移动或抬起，或按下冠或按钮）、激活传感器（包括声控传感器、光学传感器、脸识别传感器）和/或其它影响手势来操作。</t>
  </si>
  <si>
    <t>CN109745685A</t>
  </si>
  <si>
    <t>本发明涉及一种游泳训练设备，包括处理器、人机交互机构、驱动机构、减速机构和牵引机构；驱动机构和人机交互机构分别与处理器相连；牵引机构和驱动机构分别与减速机构相连；用户通过人机交互机构设置训练信息；处理器根据训练信息控制驱动机构运行；驱动机构通过减速机构带动牵引机构运转，以便牵引机构带动运动员进行游泳训练。采用本技术方案，可以通过牵引机构施加与运动员游泳方向相反的拉力为运动员增加阻力，从而锻炼运动员的力量，也可以通过牵引机构施加与运动员游泳方向相同的拉力拖动运动员向前游，从而提高运动员对速度的感知，并且本技术方案对运动员进行训练时是在水中进行的，能够锻炼到游泳时所用到的全部肌肉群。</t>
  </si>
  <si>
    <t>游泳训练设备</t>
  </si>
  <si>
    <t>CN209771270U</t>
  </si>
  <si>
    <t>本实用新型涉及一种游泳训练设备，包括处理器、人机交互机构、驱动机构、减速机构和牵引机构；驱动机构和人机交互机构分别与处理器相连；牵引机构和驱动机构分别与减速机构相连；用户通过人机交互机构设置训练信息；处理器根据训练信息控制驱动机构运行；驱动机构通过减速机构带动牵引机构运转，以便牵引机构带动运动员进行游泳训练。采用本技术方案，可以通过牵引机构施加与运动员游泳方向相反的拉力为运动员增加阻力，从而锻炼运动员的力量，也可以通过牵引机构施加与运动员游泳方向相同的拉力拖动运动员向前游，从而提高运动员对速度的感知，并且本技术方案对运动员进行训练时是在水中进行的，能够锻炼到游泳时所用到的全部肌肉群。</t>
  </si>
  <si>
    <t>KR102125328B1</t>
  </si>
  <si>
    <t>一种配备仪表盘集成投光器的物联网移动多通道健康游戏动感单车。 在IoT(物联网)移动式多入口健康游戏动感单车(100)中,仪表板集成了光束投射器,在运动时用于握住和支撑用户双手的车把(110)); 仪表盘支架120固定在车把杆110的中央,并朝向用户设置; 可拆卸地安装在仪表台支架120上,控制用户的运动强度,显示调整后的运动强度和用户的运动信息,并将运动强度和运动信息应用于物联网移动多接入健康游戏。集成光束投影仪130,用于实时传输至移动设备200,以便其被配置为接收图像并将其输出到前端或者从移动设备200接收物联网移动多接入健康游戏图像并将其输出到前端正面。 根据上述配置,将动感单车安装在没有单独电视或仪表盘集成光束投影仪显示器的地方,即可享受大屏幕健身游戏,无需安装单独的电视或显示器。</t>
  </si>
  <si>
    <t>配备仪表板集成光束投影仪的物联网移动多接入健康游戏动感单车</t>
  </si>
  <si>
    <t>CN109920510A</t>
  </si>
  <si>
    <t>本发明公开一种基于知识图谱的科学健身指导系统和方法。其中，所述系统包括传感器模块，健身信息资源获取模块，知识图谱模块，健身知识库，智能分析模块，健身指导模块，用户交互模块。所述方法包括：一种科学健身指导系统构建方法和一种用户获取科学健身指导建议的方法。本发明提供的科学健身指导系统和方法采用多种方式获取健身信息资源，并采用知识图谱技术构建健身知识库，提高健身指导的准确性和资源的有效利用率，同时采用多种人工智能算法提高健身数据分析的准确性。</t>
  </si>
  <si>
    <t>一种基于知识图谱的科学健身指导系统和方法</t>
  </si>
  <si>
    <t>CN109821202A</t>
  </si>
  <si>
    <t>本发明公开了一种基于人工智能的体育训练动作辅助指导系统，其运动状态采集模块通过水胶体敷料层黏贴设置在大臂和/或小臂和/或手腕和/或手背和/或手指和/或脚腕和/或大腿和/或腰部的姿态采集贴采集人体在训练时的运动状态数据，通过无线通讯模块发送到监控终端；其监控终端内设有运动状态数据显示模块、动作标准判断模块、动作指导建议输出模块、数据处理模块、人机操作模块和中央处理器。本发明实现了体育训练动作的自动判定和指导，基于自制的姿态采集贴，可进行身体各肢体所在位置数据的实时采集，方便训练者对各个动作的针对性调整，提高了训练效率，使得动作更加规范，同时也减轻了教练的工作量。</t>
  </si>
  <si>
    <t>一种基于人工智能的体育训练动作辅助指导系统</t>
  </si>
  <si>
    <t>CN109758756B</t>
  </si>
  <si>
    <t>本发明涉及一种用于辅助体操训练的视频分析方法及系统。其目的是为了提供一种能够提高人体关键关节点的检测精确度、实现数据智能化自动化处理的体操视频分析方法及分析系统。本发明基于3D相机的体操视频分析系统包括3D相机、分析模块和显示模块。分析方法是首先进行行人检测，根据行人检测的候选框估计人体关键关节点；而后运用卷积神经网络预测人体的关键关节点，从而获得精确的关节点坐标估计，保证在不同视角、光照、距离变化下，都可以获得比较好的结果；再将图像的彩色信息和深度信息结合，得到人体关键关节点3D信息；最终根据人体关键关节点在3D空间的轨迹及关键关节点角度信息，构建形成体操的辅助训练系统。</t>
  </si>
  <si>
    <t>基于3D相机的体操视频分析方法及系统</t>
  </si>
  <si>
    <t>CN109692454A</t>
  </si>
  <si>
    <t>本发明描述了一种基于物联网的共享乒乓球桌，它主要包括主控模块、传感模块、通信模块、执行模块四大模块；所述的主控模块包括STM32F103RBT6控制器、按键模块、定位模块；所述的传感模块包括光强传感器、温湿度传感器、粉尘传感器、气体传感器、A/D转换器；所述的通信模块包括NB‑IoT模块；所述的执行模块包括语音模块、点阵显示屏、摄像头、LED照明灯。本发明可使用户远距离获取乒乓球桌附近的温湿度、空气质量和光照强度，并具有音乐播放、比分记录、夜间照明的功能，用户还可通过手机观看到摄像头拍摄的乒乓球比赛视频，增强了乒乓球运动的趣味性，满足了广大用户的需求。</t>
  </si>
  <si>
    <t>基于物联网的共享乒乓球桌</t>
  </si>
  <si>
    <t>US10832734B2</t>
  </si>
  <si>
    <t>用于填充视听剪辑(例如,体育赛事的视听剪辑)的技术,目的是使剪辑具有预定的持续时间,以便可以通过机器学习 (ML) 算法评估填充剪辑的观众兴趣。 未填充的剪辑填充有视听片段,这将导致填充的剪辑具有如果未填充的剪辑更长的话观众感兴趣的水平。 在一些实施例中,填充片段是由生成对抗网络生成的合成图像,使得合成图像将具有相同水平的观看者兴趣(如由 ML 算法判断),就好像未填充剪辑已被拍摄得更长一样。</t>
  </si>
  <si>
    <t>CN109948459B</t>
  </si>
  <si>
    <t>本发明公开了一种基于深度学习的足球动作评估方法，包括以下步骤：S1：制定各种足球动作的类别标准动作的标准模板；S2：利用摄像头采集足球训练、比赛的运动视频；S3：处理运动视频中的视频数据，得到足球动作类别；S4：用S3得到的足球动作类别匹配标准模板中该足球动作类别的标准动作，并输出与标准动作的差异。本发明提出一种人体姿态估计模型减少了基于深度学习的人体姿态估计模型冗余，加快了人体姿态估计模型对视频帧的人体骨骼关键点提取的运算速度，减少了运算时间，采用骨骼点图结构来构造具有时空信息的骨骼数据，对于足球中局部肢体动作的动作具有很好的表征，识别率提高。</t>
  </si>
  <si>
    <t>一种基于深度学习的足球动作评估方法与系统</t>
  </si>
  <si>
    <t>CN305268915S</t>
  </si>
  <si>
    <t>1．本外观设计产品的名称：带有图形用户界面的手表。
 2．本外观设计产品的用途：本外观设计产品用于通讯、执行程序、与手机连接进行信息交互等。
 3．本外观设计产品的设计要点：屏幕上显示的图形用户界面。
 4．最能表明本外观设计设计要点的图片或照片：主视图。
 5．省略视图：手表的表体为现有设计，并无设计要点，因此主视图之外的其他视图均省略。
 6．界面用途：通过触摸、滑动或点击等来实现用户的诸如游泳的运动过程中的人机交互。
 7．其他说明：点击变化状态图1 的“室内游泳”进入变化状态图2，变化状态图2 中进行选择后点击图标“√”进入变化状态图3，在变化状态图3 中进行上下滑动，将分别进入变化状态图4‑7（其中4‑7 的顺序不作限制，目的在于设置运动目标），点击变化状态图3 的三角箭头图标（不进行运动目标的设置），则进入变化状态图8（倒计时界面，例如进行321 的倒计时等），倒计时结束后，如果变化状态图3 的三角箭头图标被点击的情况例如是设备使用过程中首次被点击的情况，则可以进入变化状态图9（用于在游泳过程中将触摸屏锁定，需要通过设备的按钮来进行触摸屏解锁后再通过触摸屏进行操作），点击变化状态图9 的图标“√”，则进入变化状态图10（可以进行滑动，以连续显示参考图1 中的内容，当选择“确定”时，则游泳过程中将触摸屏锁定，如果选择“不再显示”，则变化状态图9 及10 在之后的设备使用过程中不再显示），下一步进入变化状态图11，当选择了变化状态图10 的“不再显示”或者设备非首次使用时，变化状态图3 的三角箭头图标被点击时，则可以直接进入变化状态图11，并且通过控制可以从变化状态图11 进入变化状态图12（如果触摸屏被锁定，变化状态图11 及变化状态图12 的切换则通过设备按钮对触摸屏进行解锁后通过屏幕的上下滑动来进行，其中变化状态图11 及12 可以显示时间、里程、趟数、配速、千卡等信息，可根据运动类型来进行设定，上述信息并未全部在变化状态图11 及12 中示出，也可以根据实际情况增加类似的变化状态图），通过对变化状态图11及变化状态图12 进行左右滑动（如果触摸屏被锁定，则需要通过设备按钮来对触摸屏进行解锁后进行左右滑动），则进入变化状态图13，点击变化状态图13 的暂停图标后则进入诸如变化状态图11 及变化状态图12，如果在11 及变化状态图12 进行左右滑动，则进入变化状态图14，当长按变化状态图13 或14 的结束图标后，如果运动时间过短，则进入变化状态图15，如果点击变化状态图15 的图标“√”，则回到变化状态图1，如果点击变化状态图15 的图标“×”，则进入变化状态图11 或12 或13 或14（根据实际情况设定），如果运动时间有效，则进入变化状态图16 以显示运动记录（并且在v16 进行上下滑动，则可以连续显示参考图2 所示的运动记录信息）。
 当变化状态图 4‑7 中的三角箭头图标被点击时，除了与变化状态图11 及变化状态图12 分别对应的变化状态图17 及变化状态图18 之外，其余界面与操作等可以与变化状态图3 的三角箭头图标被点击的情况相同，区别在于使用变化状态图17 代替变化状态图11 以及使用变化状态图18 代替变化状态图12（需要注意的是，在变化状态图17 及变化状态图18 中示出了变化状态图7 的三角箭头图标被点击时的相关界面，因此在变化状态图17 及变化状态图18 中显示****千卡，而当变化状态图4、5 及6 的三角箭头图标被点击时，在“****千卡”的位置可以分别显示“****米”、“****分”及“**趟”，其中*仅为示例性目的）。
 此外，参考图3‑4为参考图2分开示出的放大图。</t>
  </si>
  <si>
    <t>带有图形用户界面的手表</t>
  </si>
  <si>
    <t>CN305380283S</t>
  </si>
  <si>
    <t>1．本外观设计产品的名称：带有图形用户界面的手表。
 2．本外观设计产品的用途：本外观设计产品用于通讯、执行程序、与手机连接进行信息交互等。
 3．本外观设计产品的设计要点：屏幕上显示的图形用户界面。
 4．最能表明本外观设计设计要点的图片或照片：设计1 主视图。
 5．省略视图：手表的表体为现有设计，并无设计要点，因此主视图之外的其他视图均省略。
 6．指定基本设计：设计1。
 7．界面用途：实现用户运动状态等的人机交互。
 8．其他说明：设计1“户外跑步”。
 设计1界面状态变化图1左滑可以进入设计1界面状态变化图2或3以显示运动历史（其中设计1界面状态变化图2为存在运动历史的情况，设计1界面状态变化图3为不存在运动历史的情况），其中在设计1界面状态变化图2上下滑动可以显示如设计1参考图1所示的内容，并且设计1参考图2和3为设计1参考图1分开示出的放大图。
 在设计1界面状态变化图2或3左滑可以进入设计1界面状态变化图4以进行设置，通过在设计1界面状态变化图4上下滑动，来显示如设计1参考图4的内容。
 点击设计1界面状态变化图1中的“户外跑步”，则可以进入运动目标设置相关界面。
 在运动目标目标设置相关界面，首先进入设计1界面状态变化图5（立即运动），在设计1界面状态变化图5下滑依次进入设计1界面状态变化图6、7、8以设置目标时间、目标里程、目标热量。
 在设计1界面状态变化图5、6、7、8左滑则可以进入设计1界面状态变化图9，当长按设计1界面状态变化图9的停止按钮，则返回设计1界面状态变化图1。
 当点击设计1界面状态变化图5、6、7、8的箭头图标，则进入设计1界面状态变化图10（在该视图中，可以自动进行321倒计时显示）。
 当从设计1界面状态变化图5进入设计1界面状态变化图10时，当设计1界面状态变化图10的倒计时完毕后，则自动进入设计1界面状态变化图11，在设计1界面状态变化图11上下滑动，可以进入设计1界面状态变化图12或13，在设计1界面状态变化图11、12、13中，视图中部附近显示运动时间而下半部分显示不同的运动数据。
 当从设计1界面状态变化图7、8进入设计1界面状态变化图10时，当设计1界面状态变化图10的倒计时完毕后，则自动进入设计1界面状态变化图14或15或16（其中设计1界面状态变化图14示出了在设计1界面状态变化图8中设置了热量的运动目标后的结果界面，而设计1界面状态变化图15、16示出了在设计1界面状态变化图7中设置了目标里程的运动目标后的结果界面，设计1界面状态变化图15、16的区别在于以中文或英文示出了单位，在这些视图中，中央位置示出了与运动目标相关的目前运动情况，并且下半部分显示不同的运动数据，并且可以进行滑动，以显示不同的运动数据，类似于设计1界面状态变化图11、12、13）。
 当从设计1界面状态变化图6（目标时间）进入时，可以进入至设计1界面状态变化图11以显示时间运动数据。
 设计1界面状态变化图14、15、16的边缘显示当前完成的情况。
 当检测到用户不处于运动状态，则会进入自动暂停界面，在自动暂停界面，首先显示设计1界面状态变化图17，点击“自动暂停”则进入设计1界面状态变化图18，点击设计1界面状态变化图18中的“我知道了”则返回设计1界面状态变化图17，点击设计1界面状态变化图18中的“禁用自动暂停”则进入设计1界面状态变化图19，设计1界面状态变化图19中的“1后恢复”是指X后恢复，X可以为3、2、1，这里只展示了X为1的时候，当恢复后则返回设计1界面状态变化图11、14、15或16。
 在设计1界面状态变化图11‑16，右滑则进入设计1界面状态变化图20以显示运动路径。
 在设计1界面状态变化图11‑16，左滑则进入设计1界面状态变化图21以进行结束或暂停操作，当设计1界面状态变化图21的暂停按钮被点击后，则返回设计1界面状态变化图11、14、15或16，在返回的设计1界面状态变化图11、14、15或16左滑，则进入设计1界面状态变化图22。
 点击设计1界面状态变化图22中的箭头按钮，则返回设计1界面状态变化图11、14、15或16。
 当长按设计1界面状态变化图21或设计1界面状态变化图22中的结束按钮时，如果运动时间太短则进入设计1界面状态变化图23，如果点击设计1界面状态变化图23中的图标“√”，则返回设计1界面状态变化图1，如果点击“×”，则返回设计1界面状态变化图11、14、15或16；如果运动时间足够长，则进入显示运动历史的界面，如进入设计1界面状态变化图24（设置了运动目标的情况）或设计1界面状态变化图25（未设置运动目标的情况），通过在设计1界面状态变化图24、25上下滑动，显示运动历史的各种记录等（例如总参考图1、2所示，总参考图1、2仅为示例作用，文字及运动历史的项目根据实际运动类型调整）。
 设计2“户外步行”。
 设计2界面状态变化图1左滑可以进入设计2界面状态变化图2或3以显示运动历史（其中设计2界面状态变化图2为存在运动历史的情况，设计2界面状态变化图3为不存在运动历史的情况），其中在设计2界面状态变化图2上下滑动可以显示如设计2参考图1所示的内容，并且设计2参考图2和3为设计2参考图1分开示出的放大图。
 在设计2界面状态变化图2或3左滑可以进入设计2界面状态变化图4以进行设置，通过在设计2界面状态变化图4上下滑动，来显示如设计2参考图4的内容。
 点击设计2界面状态变化图1中的“我要步行”，则可以进入运动目标设置相关界面。
 在运动目标目标设置相关界面，首先进入设计2界面状态变化图5（立即运动），在设计2界面状态变化图5下滑依次进入设计2界面状态变化图6、7、8、9以设置目标时间、目标里程、目标热量、目标步数。
 在设计2界面状态变化图5、6、7、8、9左滑则可以进入设计2界面状态变化图10，当长按设计2界面状态变化图10的停止按钮，则返回设计2界面状态变化图1。
 当点击设计2界面状态变化图5、6、7、8、9的箭头图标，则进入设计2界面状态变化图11（在该视图中，可以自动进行321倒计时显示）。
 当从设计2界面状态变化图5进入设计2界面状态变化图11时，当设计2界面状态变化图11的倒计时完毕后，则自动进入设计2界面状态变化图12，在设计2界面状态变化图12上下滑动，可以进入设计2界面状态变化图13或14，在设计2界面状态变化图12、13、14中，视图中部附近显示运动时间而下半部分显示不同的运动数据。
 当从设计2界面状态变化图7、8进入设计2界面状态变化图11时，当设计2界面状态变化图11的倒计时完毕后，则自动进入设计2界面状态变化图15或16或17（其中设计2界面状态变化图15示出了在设计2界面状态变化图8中设置了热量的运动目标后的结果界面，而设计2界面状态变化图16、17示出了在设计2界面状态变化图7中设置了里程的运动目标后的结果界面，设计2界面状态变化图16、17的区别在于以中文或英文示出了单位，在这些视图中，中央位置示出了与运动目标相关的目前运动情况，并且下半部分显示不同的运动数据，并且可以进行滑动，以显示不同的运动数据，类似于设计2界面状态变化图12、13、14）。
 当从设计2界面状态变化图6（目标时间）进入时，可以进入至设计2界面状态变化图12以显示时间运动数据。
 设计2界面状态变化图15、16、17的边缘显示当前完成的情况。
 虽然未示出，但是应当理解，当从设计2界面状态变化图9进入时，可以类似地显示如设计2界面状态变化图12、15、16、17类似的视图，但是目前运动状态数据为步数。
 当检测到用户不处于运动状态，则会进入自动暂停界面，在自动暂停界面，首先显示设计2界面状态变化图18，点击“自动暂停”则进入设计2界面状态变化图19，点击设计2界面状态变化图19中的“我知道了”则返回设计2界面状态变化图18，点击设计2界面状态变化图19中的“禁用自动暂停”则进入设计2界面状态变化图20，设计2界面状态变化图20中的“1后恢复”是指X后恢复，X可以为3、2、1，这里只展示了X为1的时候，当恢复后则返回设计2界面状态变化图12、15、16或17。
 在设计2界面状态变化图12‑17，右滑则进入设计2界面状态变化图21以显示运动路径。
 在设计2界面状态变化图12‑17，左滑则进入设计2界面状态变化图22以进行结束或暂停操作，当设计2界面状态变化图22的暂停按钮被点击后，则返回设计2界面状态变化图12、15、16或17，在返回的设计2界面状态变化图12、15、16或17左滑，则进入设计2界面状态变化图23。
 点击设计2界面状态变化图23中的箭头按钮，则返回设计2界面状态变化图12、15、16或17。
 当长按设计2界面状态变化图22或设计2界面状态变化图23中的结束按钮时，如果运动时间太短则进入设计2界面状态变化图24，如果点击设计2界面状态变化图24中的图标“√”，则返回设计2界面状态变化图1，如果点击“×”，则返回设计2界面状态变化图12、15、16或17；如果运动时间足够长，则进入显示运动历史的界面，如进入设计2界面状态变化图25（设置了运动目标的情况）或设计2界面状态变化图26（未设置运动目标的情况），通过在设计2界面状态变化图25、26上下滑动，显示运动历史的各种记录等（例如总参考图1、2所示，总参考图1、2仅为示例作用，文字及运动历史的项目根据实际运动类型调整）。
 设计3“自由训练”。
 设计3界面状态变化图1左滑可以进入设计3界面状态变化图2或3以显示运动历史（其中设计3界面状态变化图2为存在运动历史的情况，设计3界面状态变化图3为不存在运动历史的情况），其中在设计3界面状态变化图2上下滑动可以显示如设计3参考图1所示的内容，并且设计3参考图2和3为设计3参考图1分开示出的放大图。
 在设计3界面状态变化图2或3左滑可以进入设计3界面状态变化图4以进行设置，通过在设计3界面状态变化图4上下滑动，来显示如设计3参考图4的内容。
 点击设计3界面状态变化图1中的“自由训练”，则可以进入运动目标设置相关界面。
 在运动目标目标设置相关界面，首先进入设计3界面状态变化图5（立即运动），在设计3界面状态变化图5下滑依次进入设计3界面状态变化图6、7以设置目标时间、目标组数。
 在设计3界面状态变化图5、6、7左滑则可以进入设计3界面状态变化图8，当长按设计3界面状态变化图8的停止按钮，则返回设计3界面状态变化图1。
 当点击设计3界面状态变化图5、6的箭头图标，则进入设计3界面状态变化图9（进行第一组训练），当点击设计3界面状态变化图9的图标“▶▏”，则进入设计3界面状态变化图10（第一组训练后的休息），当点击设计3界面状态变化图10的图标“▶▏”，则进入设计3界面状态变化图11（第二组训练），当点击设计3界面状态变化图11的图标“▶▏”，则进入设计3界面状态变化图12（第二组训练后的休息），如此反复。
 当在设计3界面状态变化图7设置了目标组数，点击设计3界面状态变化图7的箭头图标，则进入设计3界面状态变化图13（进行第一组训练），当点击设计3界面状态变化图13的图标“▶▏”，则进入设计3界面状态变化图14（第一组训练后的休息），当点击设计3界面状态变化图14的图标“▶▏”，则进入设计3界面状态变化图15（第二组训练），当点击设计3界面状态变化图15的图标“▶▏”，则进入设计3界面状态变化图16（第二组训练后的休息），如此反复直至目标组数完成。
 在设计3界面状态变化图9‑16中任一个，左滑则进入设计3界面状态变化图21以进行结束或暂停操作，当设计3界面状态变化图17的暂停按钮被点击后，则返回设计3界面状态变化图9‑16中一个，在返回的设计3界面状态变化图9‑16中任一个左滑，则进入设计3界面状态变化图18。
 点击设计3界面状态变化图22中的箭头按钮，则返回设计3界面状态变化图9‑16中任一个。
 当长按设计3界面状态变化图17或设计3界面状态变化图18中的结束按钮时，如果未进行训练记录则进入设计3界面状态变化图19，如果点击设计3界面状态变化图19中的图标“√”，则返回设计3界面状态变化图1，如果点击“×”，则返回设计3界面状态变化图9‑16中任一个；如果已经进行训练记录，则进入显示运动历史的界面，如进入设计3界面状态变化图20（设置了运动目标的情况）或设计3界面状态变化图21（未设置运动目标的情况），通过在设计3界面状态变化图20、21上下滑动，显示运动历史的各种记录等（例如总参考图1、2所示，总参考图1、2仅为示例作用，文字及运动历史的项目根据实际运动类型调整）。
 设计4“户外骑行”。
 设计4界面状态变化图1左滑可以进入设计4界面状态变化图2或3以显示运动历史（其中设计4界面状态变化图2为存在运动历史的情况，设计4界面状态变化图3为不存在运动历史的情况），其中在设计4界面状态变化图2上下滑动可以显示如设计4参考图1所示的内容，并且设计4参考图2和3为设计4参考图1分开示出的放大图。
 在设计4界面状态变化图2或3左滑可以进入设计4界面状态变化图4以进行设置，通过在设计4界面状态变化图4上下滑动，来显示如设计4参考图4的内容。
 点击设计4界面状态变化图1中的“我要骑行”，则可以进入运动目标设置相关界面。
 在运动目标目标设置相关界面，首先进入设计4界面状态变化图5（立即运动），在设计4界面状态变化图5下滑依次进入设计4界面状态变化图6、7、8以设置目标时间、目标里程、目标热量。
 在设计4界面状态变化图5、6、7、8左滑则可以进入设计4界面状态变化图9，当长按设计4界面状态变化图9的停止按钮，则返回设计4界面状态变化图1。
 当点击设计4界面状态变化图5、6、7、8的箭头图标，则进入设计4界面状态变化图10（在该视图中，可以自动进行321倒计时显示）。
 当从设计4界面状态变化图5进入设计4界面状态变化图10时，当设计4界面状态变化图10的倒计时完毕后，则自动进入设计4界面状态变化图11，在设计4界面状态变化图11上下滑动，可以进入设计4界面状态变化图12或13，在设计4界面状态变化图11、12、13中，视图中部附近显示运动时间而下半部分显示不同的运动数据。
 当从设计4界面状态变化图7、8进入设计4界面状态变化图10时，当设计4界面状态变化图10的倒计时完毕后，则自动进入设计4界面状态变化图14或15或16（其中设计4界面状态变化图14示出了在设计4界面状态变化图8中设置了热量的运动目标后的结果界面，而设计4界面状态变化图15、16示出了在设计4界面状态变化图7中设置了目标里程的运动目标后的结果界面，设计4界面状态变化图15、16的区别在于以中文或英文示出了单位，在这些视图中，中央位置示出了与运动目标相关的目前运动情况，并且下半部分显示不同的运动数据，并且可以进行滑动，以显示不同的运动数据，类似于设计4界面状态变化图11、12、13）。
 当从设计4界面状态变化图6（目标时间）进入时，可以进入至设计4界面状态变化图11以显示时间运动数据。
 设计4界面状态变化图14、15、16的边缘显示当前完成的情况。
 当检测到用户不处于运动状态，则会进入自动暂停界面，在自动暂停界面，首先显示设计4界面状态变化图17，点击“自动暂停”则进入设计4界面状态变化图18，点击设计4界面状态变化图18中的“我知道了”则返回设计4界面状态变化图17，点击设计4界面状态变化图18中的“禁用自动暂停”则进入设计4界面状态变化图19，设计4界面状态变化图19中的“1后恢复”是指X后恢复，X可以为3、2、1，这里只展示了X为1的时候，当恢复后则返回设计4界面状态变化图11、14、15或16。
 在设计4界面状态变化图11‑16，右滑则进入设计4界面状态变化图20以显示运动路径。
 在设计4界面状态变化图11‑16，左滑则进入设计4界面状态变化图21以进行结束或暂停操作，当设计4界面状态变化图21的暂停按钮被点击后，则返回设计4界面状态变化图11、14、15或16，在返回的设计4界面状态变化图11、14、15或16左滑，则进入设计4界面状态变化图22。
 点击设计4界面状态变化图22中的箭头按钮，则返回设计4界面状态变化图11、14、15或16。
 当长按设计4界面状态变化图21或设计4界面状态变化图22中的结束按钮时，如果运动时间太短则进入设计4界面状态变化图23，如果点击设计4界面状态变化图23中的图标“√”，则返回设计4界面状态变化图1，如果点击“×”，则返回设计4界面状态变化图11、14、15或16；如果运动时间足够长，则进入显示运动历史的界面，如进入设计4界面状态变化图24（设置了运动目标的情况）或设计4界面状态变化图25（未设置运动目标的情况），通过在设计4界面状态变化图24、25上下滑动，显示运动历史的各种记录等（例如总参考图1、2所示，总参考图1、2仅为示例作用，文字及运动历史的项目根据实际运动类型调整）。
 设计5“室内跑步”。
 设计5界面状态变化图1左滑可以进入设计5界面状态变化图2或3以显示运动历史（其中设计5界面状态变化图2为存在运动历史的情况，设计5界面状态变化图3为不存在运动历史的情况），其中在设计5界面状态变化图2上下滑动可以显示如设计5参考图1所示的内容，并且设计5参考图2和3为设计5参考图1分开示出的放大图。
 在设计5界面状态变化图2或3左滑可以进入设计5界面状态变化图4以进行设置，通过在设计5界面状态变化图4上下滑动，来显示如设计5参考图4的内容。
 点击设计5界面状态变化图1中的“室内跑步”，则可以进入运动目标设置相关界面。
 在运动目标目标设置相关界面，首先进入设计5界面状态变化图5（立即运动），在设计5界面状态变化图5下滑依次进入设计5界面状态变化图6、7、8以设置目标时间、目标里程、目标热量。
 在设计5界面状态变化图5、6、7、8左滑则可以进入设计5界面状态变化图9，当长按设计5界面状态变化图9的停止按钮，则返回设计5界面状态变化图1。
 当点击设计5界面状态变化图5、6、7、8的箭头图标，则进入设计5界面状态变化图10（在该视图中，可以自动进行321倒计时显示）。
 当从设计5界面状态变化图5进入设计5界面状态变化图10时，当设计5界面状态变化图10的倒计时完毕后，则自动进入设计5界面状态变化图11，在设计5界面状态变化图11上下滑动，可以进入设计5界面状态变化图12或13，在设计5界面状态变化图11、12、13中，视图中部附近显示运动时间而下半部分显示不同的运动数据。
 当从设计5界面状态变化图7、8进入设计5界面状态变化图10时，当设计5界面状态变化图10的倒计时完毕后，则自动进入设计5界面状态变化图14或15或16（其中设计5界面状态变化图14示出了在设计5界面状态变化图8中设置了热量的运动目标后的结果界面，而设计5界面状态变化图15、16示出了在设计5界面状态变化图7中设置了目标里程的运动目标后的结果界面，设计5界面状态变化图15、16的区别在于以中文或英文示出了单位，在这些视图中，中央位置示出了与运动目标相关的目前运动情况，并且下半部分显示不同的运动数据，并且可以进行滑动，以显示不同的运动数据，类似于设计5界面状态变化图11、12、13）。
 当从设计5界面状态变化图6（目标时间）进入时，可以进入至设计5界面状态变化图11以显示时间运动数据。
 设计5界面状态变化图14、15、16的边缘显示当前完成的情况。
 当检测到用户不处于运动状态，则会进入自动暂停界面，在自动暂停界面，首先显示设计5界面状态变化图17，点击“自动暂停”则进入设计5界面状态变化图18，点击设计5界面状态变化图18中的“我知道了”则返回设计5界面状态变化图17，点击设计5界面状态变化图18中的“禁用自动暂停”则进入设计5界面状态变化图19，设计5界面状态变化图19中的“1后恢复”是指X后恢复，X可以为3、2、1，这里只展示了X为1的时候，当恢复后则返回设计5界面状态变化图11、14、15或16。
 在设计5界面状态变化图11‑16，左滑则进入设计5界面状态变化图20以进行结束或暂停操作，当设计5界面状态变化图20的暂停按钮被点击后，则返回设计5界面状态变化图11、14、15或16，在返回的设计5界面状态变化图11、14、15或16左滑，则进入设计5界面状态变化图21。
 点击设计5界面状态变化图21中的箭头按钮，则返回设计5界面状态变化图11、14、15或16。
 当长按设计5界面状态变化图20或设计5界面状态变化图21中的结束按钮时，如果运动时间太短则进入设计5界面状态变化图22，如果点击设计5界面状态变化图22中的图标“√”，则返回设计5界面状态变化图1，如果点击“×”，则返回设计5界面状态变化图11、14、15或16；如果运动时间足够长，则进入显示运动历史的界面，如进入设计5界面状态变化图23（设置了运动目标的情况）或设计5界面状态变化图24（未设置运动目标的情况），通过在设计5界面状态变化图23、24上下滑动，显示运动历史的各种记录等（例如总参考图1、2所示，总参考图1、2仅为示例作用，文字及运动历史的项目根据实际运动类型调整）。
 此外，可以在设计1‑5中的界面状态变化图1中通过上下滑动来切换至设计1‑5的其他界面状态变化图1。
 而且，设计1‑5中的参考图2及3为参考图1的分开示出的放大图。</t>
  </si>
  <si>
    <t>CN305800034S</t>
  </si>
  <si>
    <t>1.本外观设计产品的名称：用于智能手表的图形用户界面。
 2.本外观设计产品的用途：智能手表可以用于运行程序和/或通讯，图形用户界面用户人机交互和实现智能手表的功能。
 3.本外观设计产品的设计要点：在于图案。
 4.最能表明设计要点的图片或照片：主视图。
 5.图形用户界面的用途：用于显示菜单栏中子菜单列表展开界面。
 6.图形用户界面的人机交互方式：触控操作交互。
 7.图形用户界面的变化状态说明：点击主视界面放大图中的户外跑步图标之后，界面中的当前层级菜单的图标均渐隐，与户外跑步对应的子菜单逐渐呈现，体现于视图上为：在点击主视界面放大图底部的户外跑步图标之后，界面按照界面变化状态图1‑界面变化状态图2‑界面变化状态图3‑界面变化状态图4‑界面变化状态图5‑界面变化状态图6‑界面变化状态图7‑界面变化状态图8‑界面变化状态图9的顺序自动的进行变化。</t>
  </si>
  <si>
    <t>KR102196344B1</t>
  </si>
  <si>
    <t>本发明涉及一种基于物联网的健身房会员管理系统,用于管理健身房的会员,会员管理服务器管理在健身房注册的会员的会员信息,与会员管理服务器链接,注册会员拥有,A具有可与会员管理服务器联动的会员管理应用程序的智能手机,固定在健身房内并向智能手机提供距离信号的通讯装置,以及健身房内提供的多个健身器材,该健身器材包括:占用状态当会员占用健身器材时,与智能手机通信生成设备占用信息并提供给会员管理服务器的单元,其中会员管理服务器将设备占用信息发送至多个会员拥有的智能手机。提供单元,位置信息计算单元,从智能手机接收距离信号并计算智能手机的位置,存储根据多个锻炼设备中的每一个的位置确定的设备的坐标,并存储位置信息坐标处理单元,根据计算单元计算出的智能手机的位置生成位置坐标,并将其与机械坐标进行比较,从坐标处理单元接收机械坐标和位置坐标,并使用会员通过会员管理应用,包括路径引导单元,创建到运动器械对应的器械坐标的路径,并提供给智能手机。 具有上述配置的本发明具有能够实时确定成员的位置以执行到运动设备的路线、运动设备的占用、预订等的优点,并且通过存储成员的信息易于管理。运动细节。</t>
  </si>
  <si>
    <t>基于物联网的健身房会员管理系统</t>
  </si>
  <si>
    <t>JP2020136825A</t>
  </si>
  <si>
    <t>种类代码:A1 一种设备,用于至少根据每个运动员在某项运动中当时的位置,生成指示特定时间点情况特征的数据。 
  本发明的一个实施方式的数据生成装置具备状况数据生成部。 情境数据生成器将位置关系数据和特征数据输入到基于神经网络的数据生成模型中,以生成情境数据。 位置关系数据表示每个运动员在运动中的位置关系。 特征数据表示每个玩家的特征。 方面数据指示运动方面的特征。 
  【选型图】图1</t>
  </si>
  <si>
    <t>数据生成装置、数据处理装置、数据生成模型、数据生成方法及程序</t>
  </si>
  <si>
    <t>US10568570B1</t>
  </si>
  <si>
    <t>公开了用于提供使用的优选健身状态的系统和方法。 该系统包括至少一个检测用户的至少一个生物参数的传感器和一个使用机器学习和至少一个生物参数生成当前用户健身状态的健身状态分类模块。 提供用户的优选健身状态的方法包括至少检测用户的生物参数、通过健身状态分类模块确定当前用户健身状态以及通过健身状态分类模块确定用户特定推荐。</t>
  </si>
  <si>
    <t>KR102211723B1</t>
  </si>
  <si>
    <t>本实施例基于物联网技术,将安装在泳池中的各种摄像头和传感器以及用户佩戴的可穿戴设备与泳池系统进行联动,用户可以通过云端等网络从终端接收信息. 通过这样做,它涉及到一个智能管理系统,该系统不仅可以为使用游泳池的人提供更智能的服务,还可以为管理游泳池的管理者提供更智能的服务。</t>
  </si>
  <si>
    <t>智能管理系统</t>
  </si>
  <si>
    <t>CN109871794A</t>
  </si>
  <si>
    <t>本发明公开了一种基于深度学习的网球发球机发球方法，1)网球训练前，运动员在摄像头的正前方拍照,图像采集装置获得人脸图像信息并储存在其内部；2)运动员开始训练，摄像头首先在视野范围内进行图像采集及人脸捕捉，找到与预先拍摄图像匹配的人脸图像，进行锁定；3)随着运动员的走动，图像采集装置会从摄像头的视频流中提取一系列图像帧，对图像帧进行预处理，并用于神经网络的深度学习建模，实现运动员的实时动态跟踪，然后根据人脸特征点位置转动发射口；4)网球发球机发出提醒信号，从发球口弹射出适应运动员位置的网球。本发明通过该发球方法能够实现对运动员进行定位，并能射出适应运动员位置的网球，提高了发球的精度。</t>
  </si>
  <si>
    <t>一种基于深度学习的网球发球机发球方法</t>
  </si>
  <si>
    <t>CN109919034A</t>
  </si>
  <si>
    <t>本发明涉及一种肢体动作识别与纠正辅助训练系统及方法，其利用仿真产生的大数据集训练深度神经网络，再使用真实采集的数据进行迁移学习，进而建立准确的动作姿势分析神经网络模型；同时，本发明仅利用单一的惯性传感器获取训练者的双脚传感器数据或双手传感器数据，并将该双脚或双手传感器数据的时间序列作为跑步识别模型的输入，从而分析出训练者在运动过程中存在的姿势不规范的问题并给出纠正建议，能够在一定程度上帮助训练者预防、减轻运动损伤，帮助训练者培养良好的运动姿势。</t>
  </si>
  <si>
    <t>一种肢体动作识别与纠正辅助训练系统及方法</t>
  </si>
  <si>
    <t>WO2019152665A3</t>
  </si>
  <si>
    <t>提供了用于提供网络连接以及游泳池/水疗中心设备的远程监控、优化和控制的系统和方法。 以灵活且经济高效的方式为泳池和水疗设备提供“物联网”(IoT) 功能。 游泳池和水疗设备的网络连接和远程监控/控制由各种组件提供,例如安装在游泳池/水疗设备中的网络通信和本地控制子系统,以及其他组件。 还公开了各种控制过程(“池逻辑”),其可以体现为安装在本公开的各种实施例中的任何一个中的软件代码。</t>
  </si>
  <si>
    <t>用于提供网络连接和远程监控、优化和控制池/水疗设备的系统和方法</t>
  </si>
  <si>
    <t>AU2019215036A1</t>
  </si>
  <si>
    <t>提供了用于提供网络连接以及游泳池/水疗设备的远程监控、优化和控制的系统和方法。 以灵活且经济高效的方式为泳池和水疗设备提供“物联网”(IoT) 功能。 水池和水疗设备的网络连接和远程监控/控制由各种组件提供,例如安装在水池/水疗设备中的网络通信和本地控制子系统,以及其他组件。 还公开了各种控制过程(“池逻辑”),其可以体现为安装在本公开的各种实施例中的任何一个中的软件代码。</t>
  </si>
  <si>
    <t>EP3746849A4</t>
  </si>
  <si>
    <t>CN109817302B</t>
  </si>
  <si>
    <t>本发明涉及健身领域，具体公开了一种健身用专家系统，包括：用户端，用于获取用户的运动目标和初始身体数据；服务器，用于存储用户的运动目标和初始身体数据；处理模块，基于服务器中的运动目标和初始身体数据为用户构建运动方案；将运动方案存储至服务器；教练端，用于从服务器获取运动方案，对运动方案进行调整，并覆盖服务器中的原运动方案；其中，用户端还用于向用户推送从服务器获取的调整后的运动方案；处理模块还用于获取调整后的运动方案，基于调整前的运动方案和调整后的运动方案，通过机器学习模型重新训练运动方案的构建。采用本发明的技术方案能根据用户身体情况生成运动方案。</t>
  </si>
  <si>
    <t>一种健身用专家系统</t>
  </si>
  <si>
    <t>CN209328184U</t>
  </si>
  <si>
    <t>本实用新型公开了一种基于图像识别技术的泳池防溺水人工智能预警装置，其结构包括固定座、防水框、防水电缆、固定头、摄像头、防水罩、防反光薄膜、电路板、中央处理器和无线模块，本实用新型的一种基于图像识别技术的泳池防溺水人工智能预警装置，其优点为，该装置能够自主的判断溺水情况，并且进行预警，其中图像识别采用，引入人工智能的图像识别OpenCV库和Python程序语言，通过对视频一定频率的抽帧得到多张图片并进行HSV格式处理，利用霍夫圆函数识别泳池中游泳者的头像，通过连续计算头像的状态函数，判断游泳者是否存在溺水情况，并且最终对可能的溺水事件进行预警，可以减少误判，提高对溺水的识别精度，从而及时地预警，防患溺水事件的发生。</t>
  </si>
  <si>
    <t>一种基于图像识别技术的泳池防溺水人工智能预警装置</t>
  </si>
  <si>
    <t>CN109545326B</t>
  </si>
  <si>
    <t>本发明提供一种基于运动监测分析的体育设施器材，将体育设施器材与健康监测系统进行耦合，通过传感器组采集人体的各项运动数据、生命体征和健康数据，将采集到的数据与数据库中预存的健康参考数据进行对比，形成对生理信号进行监控的网络，对人体是否处在正常生理状态做出综合判断、给出准确结论，主要目的是提供方便、快捷的自我健康监测方式。同时，一旦出现异常情况，将及时通过管理端的显示模块和提醒装置进行提示。真正实现物联网体育设施器材的即时性、高效性、精确性、实用性、稳定性及安全性，值得推广。</t>
  </si>
  <si>
    <t>一种基于运动监测分析的体育设施器材</t>
  </si>
  <si>
    <t>US11413500B2</t>
  </si>
  <si>
    <t>一种用于产生对应于用户运动的运动变量的健身追踪系统包括监控装置、个人电子装置和远程处理服务器。 监测设备被配置为由用户佩戴或携带,并且包括被配置为收集运动数据的运动传感器。 个人电子设备可操作地连接到监控设备。 个人电子设备和监控设备中的至少一个被配置为通过将一组规则应用于移动数据来计算特征数据,以从移动数据的子集中计算与用户的速度相对应的原始速度数据,以及 从移动数据的子集计算与用户移动的距离相对应的原始距离数据。 远程处理服务器包括用于至少处理特征数据的机器学习模型。</t>
  </si>
  <si>
    <t>用于估计运动变量的系统和方法</t>
  </si>
  <si>
    <t>CN109821243A</t>
  </si>
  <si>
    <t>本发明公开了一种模拟重现投篮过程的方法，涉及人机交互技术领域，其中包括：采用数据采集设备持续记录投篮者投篮过程中的手腕以及肩膀的节点数据，还包括：步骤S1，根据节点数据判断得到投篮者的第一姿势，并将此时的手腕位置记录；步骤S2，根据节点数据判断得到投篮者的第二姿势，并将此时的手腕位置记录；步骤S3，根据节点数据判断得到投篮者的第三姿势，并将此时的手腕位置记录；步骤S4，根据记录的位置和肩膀位置处理得到篮球的方向数据和运动数据；步骤S5，根据运动数据和方向数据模拟投篮过程。上述技术方案的有益效果是：模拟重现出投篮者包括投篮角度、投篮力度以及判断是否在投篮的整个投篮过程。</t>
  </si>
  <si>
    <t>一种模拟重现投篮过程的方法</t>
  </si>
  <si>
    <t>CN109903312B</t>
  </si>
  <si>
    <t>一种基于视频多目标跟踪的足球球员跑动距离统计方法属于体育数据统计领域。场上运动员的跑动距离是一项重要的统计数据。随着计算机视觉技术的发展，本文提出了一种基于足球比赛视频的球员跑动距离统计方案。首先，本方法通过分析足球比赛视频可以获得视频中的多目标跟踪数据。然后汇总各个跟踪轨迹，经过轨迹平滑以及顶视图映射操作，最后计算得到球员的跑动轨迹、跑动距离，输出可视化结果。该方法是实现统计球员跑动轨迹、跑动距离的一套完整解决方案，旨在减少人工标注的成本，并通过测试验证了方法可行性，具有重要应用价值。</t>
  </si>
  <si>
    <t>一种基于视频多目标跟踪的足球球员跑动距离统计方法</t>
  </si>
  <si>
    <t>CN109637086A</t>
  </si>
  <si>
    <t>本发明提供了一种报警方法及系统，涉及模式识别技术领域，包括视频输入，通过监控设备获取视频流；标定目标：通过目标标定算法，得到所述视频流中需要跟踪的目标，并对所述目标进行跟踪；行为分析，对每个所述目标进行行为判断，得到所述目标的行为判定结果；报警步骤，如果任意一个所述目标的行为判定结果满足报警的条件，则启动报警装置。该方法通过部署在游泳池外的相机、运算模块以及报警器，通过已训练完成的神经网络模型，可实现对游泳池中婴幼儿进行溺水分析。该方法运算速度快，准确性高，可以解决当前婴幼儿溺水检测报警技术中存在的识别效果低，适用性差的问题。</t>
  </si>
  <si>
    <t>报警方法及系统</t>
  </si>
  <si>
    <t>CN305291849S</t>
  </si>
  <si>
    <t>1．本外观设计产品的名称：用于手机的图形用户界面。
 2．本外观设计产品的用途：本外观设计产品用于运行程序、显示信息和通信。
 3．本外观设计产品的设计要点：在于屏幕中的图形用户界面。
 4．最能表明本外观设计设计要点的图片或照片：设计1主视图。
 5．省略视图：硬件产品为惯常设计，省略其他视图。
 6．指定基本设计：设计1为基本设计。
 7．本外观设计产品的界面用途：本图形用户界面为应用软件客户端的界面，界面用于展示信息及实现人机交互。
 例如，展示分类栏目信息，活动、体育运动或其他赛事的赛季信息、相关进度等。
 在设计1至设计10中，界面底部区域排布的行星为赛季信息的分类图标，用户可点击图标查看不同分类下的赛季信息。
 界面右上方的圆形图标及陨石图标为当前赛季的进行进度。
 各设计界面中的空白区域为内容画面，例如背景、图片、文字介绍等。</t>
  </si>
  <si>
    <t>CN305291847S</t>
  </si>
  <si>
    <t>1．本外观设计产品的名称：用于手机的图形用户界面。
 2．本外观设计产品的用途：本外观设计产品用于运行程序、显示信息和通信。
 3．本外观设计产品的设计要点：在于屏幕中的图形用户界面。
 4．最能表明本外观设计设计要点的图片或照片：设计1主视图。
 5．省略视图：硬件产品为惯常设计，省略其他视图。
 6．指定基本设计：设计1为基本设计。
 7．本外观设计产品的界面用途：本图形用户界面为应用软件客户端的界面，界面用于展示信息及实现人机交互。
 例如，展示分类栏目信息，活动、体育运动或其它赛事的赛季信息、相关进度等。
 在设计1至设计10中，界面中部区域排布的行星为赛季信息的分类图标，用户可点击图标进入当前赛季查看更多信息。
 界面上部的圆形图标及陨石图标为当前赛季的进行进度。
 各设计界面中的空白区域为内容画面，例如背景、图片、文字介绍等。</t>
  </si>
  <si>
    <t>CN109949935A</t>
  </si>
  <si>
    <t>本发明属于人工智能管理系统的领域，特别是基于人工智能的校园健康管理平台，其特征在于，包括获取每个个体的健康信息，并分为心理健康、体育健康、体质健康三个方面分别建立健康模型，依据上述健康模型加入依时间进行的信息记录建立人工智能动态数据模型，分为心理健康、体育健康和体质健康三个模型，三个分开的动态数据人工智能接入人工智能校园健康平台进行大数据分析、标注、评测、统计，依据平台管理进行多维度的数据分析、建模、输出、链接，平台动态产生的健康应用数据输出到两个终端，一是给管理者提供的动态的将康管理数据，一是给学生、教师、家长个人提供的健康管理数据，通过终端的APP，将用于个人和管理者的。</t>
  </si>
  <si>
    <t>一种基于人工智能的个性化终端服务校园健康平台</t>
  </si>
  <si>
    <t>CN110010223A</t>
  </si>
  <si>
    <t>本发明属于人工智能运动健康管理系统的领域，特别涉及一种基于人工智能的运动健康数据采集管理处方、终端服务系统。本发明通过数据采集模块采集用户对象的环境、运动和体质三方面的参数，后台数据分析模块将采集到的用户三方面的参数数据进行自动分析，通过运动方案生产模块生成个性化运动处方；运动处方管理AI将个性化运动处方实时推送至个人终端。解决了个性化运动处方参考条件单一、数据不全面、无法有效地指导用户健身的问题，并且能提供个性化终端服务。能根据各个不同体测人员的更多因素分析量化，生成更加真实有效的个性化的科学运动处方，通过人工智能技术对系统进行优化、分析和信息反馈，增加用户与系统的交互体验。</t>
  </si>
  <si>
    <t>一种基于人工智能的运动健康数据采集管理处方、终端服务系统</t>
  </si>
  <si>
    <t>CN209575717U</t>
  </si>
  <si>
    <t>本实用新型公开了一种计算游泳速度的提醒装置，包括感应踏板、三色灯带、光耦电压转换板、光耦转换板电源、数据采集卡和人机交互设备，所述感应踏板分别设置在泳道跳台、泳道前壁和泳道后壁上，所述感应踏板内设置有压力传感器，所述三色灯带分别设置在泳道上方和泳道底壁，所述压力传感器与数据采集卡的输入端相连接，所述数据采集卡设置在人机交互设备内部，所述数据采集卡的输出端与光耦电压转换板相连接，所述光耦电压转换板与三色灯带相连接，所述光耦电压转换板与光耦转换板电源相连接，本实用新型可以实时了解当前运动情况，节约了人工，提高了测量精度。</t>
  </si>
  <si>
    <t>一种计算游泳速度的提醒装置</t>
  </si>
  <si>
    <t>CN109731302A</t>
  </si>
  <si>
    <t>本发明提供了一种运动姿态识别方法、装置及电子设备，涉及智能体育器材技术领域，该运动姿态识别方法包括获取姿态传感器当前采集的手持运动器械的第一动作数据；该姿态传感器设置于该手持运动器械上；基于上述第一动作数据与预设时间段之前采集的第二动作数据，利用差分值算法，确定有效动作数据；对该有效动作数据进行去量纲处理，得到标准动作数据；将该标准动作数据输入至预先训练的卷积神经网络中进行动作分类，得到当前手持运动器械的运动姿态类型。该方式可以更精确的识别出手持运动器械的运动姿态类型，无需众多的外设设备，有效降低了成本，拓宽了应用范围，促进了产品的推广使用。</t>
  </si>
  <si>
    <t>运动姿态识别方法、装置及电子设备</t>
  </si>
  <si>
    <t>WO2019144146A1</t>
  </si>
  <si>
    <t>本文公开了一种为体育赛事生成结果的方法。 计算系统从数据存储中检索跟踪数据。 计算系统使用深度神经网络生成预测模型。 深度神经网络的一个或多个神经网络基于跟踪数据生成一个或多个嵌入,该嵌入包括团队特定信息和代理特定信息。 计算系统从跟踪数据中选择与体育赛事的当前上下文相关的一个或多个特征。 计算系统通过深度神经网络学习一项或多项体育赛事的一项或多项可能结果。 计算系统接收体育赛事的赛前阵容。 计算系统基于主队的每个代理、客队的每个代理和球队特定特征的历史信息,通过预测模型生成体育赛事的可能结果。</t>
  </si>
  <si>
    <t>团队运动中交互式、可解释和改进的比赛和球员表现预测的方法和系统</t>
  </si>
  <si>
    <t>WO2019144143A1</t>
  </si>
  <si>
    <t>本文公开了一种生成体育赛事结果的方法。 计算系统从数据存储中检索跟踪数据。 计算系统使用深度神经网络生成预测模型。 深度神经网络的一个或多个神经网络基于跟踪数据生成一个或多个嵌入,该嵌入包括特定于团队的信息和特定于代理的信息。 计算系统从跟踪数据中选择与体育赛事的当前背景相关的一个或多个特征。 计算系统通过深度神经网络学习一项或多项体育赛事的一项或多项可能结果。 计算系统接收体育赛事的赛前阵容。 计算系统基于主队每个代理人、客队每个代理人的历史信息和团队特定特征,通过预​​测模型生成体育赛事的可能结果。</t>
  </si>
  <si>
    <t>用于团队运动中交互式、可解释和改进的比赛和球员表现预测的方法和系统</t>
  </si>
  <si>
    <t>CN111936212A</t>
  </si>
  <si>
    <t>本文公开了一种对定位进攻中的防守队形和进攻队形进行标识的方法。计算系统接收一个或更多个跟踪数据流。该计算系统识别所述一个或更多个跟踪数据流中包含的定位进攻。该计算系统识别第一球队的防守队形和第二球队的进攻队形。该计算系统通过将定位进攻传递通过卷积神经网络，经由该卷积神经网络提取与由第一球队实现的防守队形的类型相对应的一个或更多个特征。该计算系统经由机器学习算法对定位进攻进行扫描，以识别指示由第二球队实现的进攻队形的类型的一个或更多个特征。该计算系统推导由第一球队实现的防守队形的类型。</t>
  </si>
  <si>
    <t>使用卷积神经网络对体育运动中的赛事进行检测的方法</t>
  </si>
  <si>
    <t>CN111954564A</t>
  </si>
  <si>
    <t>本文公开了一种生成体育赛事的结果的方法。计算系统从数据存储部检索跟踪数据。该计算系统使用深度神经网络生成预测模型。该深度神经网络中的一个或更多个神经网络基于跟踪数据生成包括球队特定信息和队员特定信息的一个或更多个嵌入。该计算系统从跟踪数据中选择与体育赛事的当前背景有关的一个或更多个特征。该计算系统通过深度神经网络学习一个或更多个体育赛事的一个或更多个可能结果。该计算系统接收体育赛事的赛前阵容。该计算系统经由预测模型，基于主队的各个队员的历史信息、客队的各个队员的历史信息以及球队特定特征，生成体育赛事的可能结果。</t>
  </si>
  <si>
    <t>在球队运动中进行交互的、可说明的且改进的比赛和球员表现预测的方法和系统</t>
  </si>
  <si>
    <t>CN112272581A</t>
  </si>
  <si>
    <t>本文公开了一种生成体育赛事的结果的方法。计算系统从数据存储部取回跟踪数据。该计算系统使用深度神经网络生成预测模型。该深度神经网络中的一个或更多个神经网络基于跟踪数据生成包括球队特定信息和队员特定信息的一个或更多个嵌入。该计算系统从跟踪数据中选择与体育赛事的当前背景有关的一个或更多个特征。该计算系统通过深度神经网络学习一个或更多个体育赛事的一个或更多个可能结果。该计算系统接收体育赛事的赛前阵容。该计算系统经由预测模型，基于主队的各个队员的历史信息、客队的各个队员的历史信息以及球队特定特征，生成体育赛事的可能结果。</t>
  </si>
  <si>
    <t>EP3740293A4</t>
  </si>
  <si>
    <t>EP3740296A4</t>
  </si>
  <si>
    <t>US11577145B2</t>
  </si>
  <si>
    <t>US11660521B2</t>
  </si>
  <si>
    <t>KR1020200094824A</t>
  </si>
  <si>
    <t>本发明涉及一种基于网络的个人特征定制化专业竞赛推荐系统,在竞赛项目生成单元策划的竞赛发生时启用输入,适用于竞赛适宜性评判的会员和注册会员。根据会员和比赛适合性评委确定的适合性,选择比赛并将适合会员的比赛交付给会员,因为招募比赛的信息不充分而未激活参加比赛通过推荐竞赛通知单元这是为了解决由于现有竞赛招募信息不足导致无法激活参与竞赛的问题,即本发明是在计划竞赛时输入赛事参与招募系统赛事事件生成单元,用于通过机构账户创建并注册赛事,通过会员信息和赛事信息,根据评分模型进行赛事量化转换,确定适合注册会员的赛事。向会员信息中注册的电话号码发送短信,包括包含比赛信息的 URL,以便根据会员和比赛适合性判断的适合性,以及会员和比赛适合性判断,将适当的比赛发送给会员竞赛通知部分,成员和招募事件生成部分,配置为生成竞赛参与招募,以便想参加的学生可以申请参加,批准和拒绝要求的参加人数它由一个招募活动支持批准单元组成,该批准单元通过显示申请参赛名单,并增加参赛人数拒绝认可的接口。因此,本发明旨在通过会员和竞赛适宜性判断单元输入、确定适合注册会员的竞赛,并通过推荐大赛通知单位 以及现有的竞聘信息,让会员根据竞聘适宜性判断单元判定的适宜度,接收到合适的竞聘,解决因竞聘信息不足而无法激活参与竞聘的问题. 具有解决因成绩不佳导致参赛未激活的效果。</t>
  </si>
  <si>
    <t>基于Web的个性化竞赛推荐系统</t>
  </si>
  <si>
    <t>KR102386688B1</t>
  </si>
  <si>
    <t>本发明涉及一种阅读辅导系统,更具体地,基于客观分析的数据,针对学生,尤其是在青春期和青春期,可以通过阅读促进最佳智力成长的时期,针对他们的阅读能力量身定制。除了能够呈现阅读程序之外,使用基于人工智能的大数据分析的阅读辅导系统,可以通过专业阅读教练的辅导过程,正确阅读习惯,提高写作能力,并获得各种背景知识。最后,本发明根据阅读辅导对象的国籍、年龄、性别、学历、爱好、居住地、阅读水平中的至少一个辅导对象信息,提供个人推荐书包和推荐书包的阅读。读取辅导管理服务器,自动生成调度信息; 区域加盟店终端,用于将辅导目标信息发送至阅读辅导管理服务器,接收阅读调度信息; 教练终端,在加盟店终端中被批准为阅读教练,可以根据阅读调度信息对目标阅读教练进行教育。</t>
  </si>
  <si>
    <t>使用基于人工智能的大数据分析的阅读辅导系统</t>
  </si>
  <si>
    <t>CN209752029U</t>
  </si>
  <si>
    <t>本实用新型提供一种基于物联网的消防设施设备维护服务装置，包括电动机以及消防设施设备维护服务装置本体，所述消防设施设备维护服务装置本体左右两端对称安装两个安装板，两个所述安装板之间固定底板，所述消防设施设备维护服务装置本体后端设有壳体，所述壳体内部通过轴承安装丝杆，所述丝杆下端设有电动机，所述底板上端固定透明板，与现有技术相比，本实用新型具有如下的有益效果：可通过透明板进行实时观察，安装板和透明板也进行保护，增加功能性，提高安全性，同时也利用电动机与丝杆，将消防设施设备维护服务装置本体向上移动到合适位置，方便对消防设施设备维护服务装置本体操作。</t>
  </si>
  <si>
    <t>一种基于物联网的消防设施设备维护服务装置</t>
  </si>
  <si>
    <t>CN109794054B</t>
  </si>
  <si>
    <t>一种基于物联网的综合体育训练检测装置，包括盒体，盒体的左侧、顶侧分别开口，盒体顶侧的左前角与左后角固定安装前后对称的支撑板，支撑板之间设有条形板，条形板的前侧开设条形通孔，条形通孔内活动安装条形块，条形块能够沿条形通孔左右移动，条形块的左侧与条形通孔的左侧通过数个弹簧固定连接，条形块的两端分别固定安装异形齿轮。本发明结构简单，体积小巧，便于携带，运输成本低，使用操作便捷，通过眼镜显示器显示远红外摄像头的成像，有利于使用者的隐私保护，同时能够将远红外摄像头、眼镜显示器收入盒体内，对远红外摄像头眼镜显示器形成保护，并能够对眼镜显示器镜片的外侧清理，能够满足市场需求，适合推广。</t>
  </si>
  <si>
    <t>一种基于物联网的综合体育训练检测装置</t>
  </si>
  <si>
    <t>KR102117238B1</t>
  </si>
  <si>
    <t>本发明在棒球、台球、足球、篮球、排球、网球、羽毛球、冰壶、击剑、跆拳道等运动转播中利用图像处理算法和人工智能,准确量化本发明涉及体育转播中的视频内容制作设备,通过检测记录的数据,然后将其与实际捕获的图像信息混合,提供各种增强现实 (AR/MR) 视频内容。 根据本发明的用于使用人工智能和增强现实在体育转播中制作视频内容的设备包括图像接收单元,用于接收从至少一个用于拍摄体育转播的摄像机提供的实时图像; 物体检测单元,基于从图像接收单元获得的视频信息,通过图像处理和人工智能识别的游戏流程,通过捕捉图像和检测运动来检测量化的物体数据; 存储单元,用于存储图像接收单元接收到的拍摄图像和物体检测单元检测到的物体数据; 混合图像生成单元检测存储在存储单元中的捕获图像和对象数据,并通过混合实际捕获图像信息和对象数据来提供增强现实视频内容。</t>
  </si>
  <si>
    <t>使用人工智能和增强现实的体育转播中的视频内容制作设备</t>
  </si>
  <si>
    <t>BR102019000969A2</t>
  </si>
  <si>
    <t>计算机视觉系统和方法以及通过摄像机图像识别产品。 本专利申请涉及发明一种计算机视觉系统和方法以及通过摄像机的图像识别产品,特别是一种通过分析摄像机捕获的图像的算法来识别产品的解决方案,以便识别图像、尺寸、体积和条形码,存储此类数据,从而允许任何类型的商业机构使用此类应用程序,仅对已识别的项目进行税务登记和收集。 本发明包括带有内置摄像机(1b),特别是 120 fps 摄像机的拱门/塔(1),以及用于通过图形界面(2)打开和关闭跑步机的开关板,此外还有一个 cpu( 3) 带有速度加速卡、视频(4)和计算机视觉算法(5); 图形界面软件 (2) 与商业自动化软件进行交互,这是税务登记和收据所必需的。</t>
  </si>
  <si>
    <t>计算机视觉系统和方法以及通过摄像机图像识别产品</t>
  </si>
  <si>
    <t>CN109513189A</t>
  </si>
  <si>
    <t>本发明公开了一种可以提高娱乐性的人工智能球网，包括底板和球网，球网的两侧均固定连接有竖板，底板顶部的两侧均固定连接有第一电动伸缩杆，第一电动伸缩杆的顶端固定连接有固定板，固定板的顶部固定连接有固定框，固定板的顶部且位于固定框的两侧均固定连接有连接杆，本发明涉及体育设备技术领域。该可以提高娱乐性的人工智能球网，在球网使用完毕后，能非常方便的将球网收起，避免了球网在不使用时受到不必要的损坏，能非常方便的对球网设备进行移动，从而可以将球网设备移动到使用者所需的指定位置，提高了球网设备的娱乐性，方便了使用者的使用，在球擦网时，对球进行了很好抓拍，很好的避免了发生误判。</t>
  </si>
  <si>
    <t>一种可以提高娱乐性的人工智能球网</t>
  </si>
  <si>
    <t>CN109513190A</t>
  </si>
  <si>
    <t>本发明描述了一种基于物联网的共享篮球架，它主要包括主控模块、传感模块、通信模块、执行模块四大模块；所述的主控模块包括STM32F767IGT6控制器、液晶触摸屏、定位模块；所述的传感模块包括温湿度传感器、PM2.5粉尘传感器、气体传感器、光强传感器、A/D转换器；所述的通信模块包括NB‑IoT模块；所述的执行模块包括语音模块、点阵显示屏、摄像头、LED照明灯、继电器、电磁锁。本发明可使用户远距离获取篮球架附近的温湿度、空气质量和光照强度，并具有音乐播放、比分记录、时间显示、夜间照明的功能，用户可通过手机观看到摄像头拍摄的篮球比赛视频，增强了篮球运动的趣味性，满足了篮球爱好者的需求。</t>
  </si>
  <si>
    <t>基于物联网的共享篮球架</t>
  </si>
  <si>
    <t>CN109654996A</t>
  </si>
  <si>
    <t>本发明提供一种比赛用测量测绘装置，在使用过程中通过三维滑台使得待测工件与该影像测头及该空间坐标测头彼此定位，获取该待测工件的形状、位置公差及其他几何参数；同样该三维滑台与该影像测头彼此定位可获取该待测工件的二维坐标值，该偏摆检查仪可以对带有中心孔的轴类零件、盘类零件进行跳动类项目检测，设置在该底座上的装置适用于操作难度较大的高职测绘测量等赛项；该子测绘平台设置有该花岗岩检验平台、该第二偏摆检查仪、该子工具箱及该人机交互单元，可以实现操作难度稍低的测量及测绘，适用于中职类测量测绘等赛项。该比赛用测量测绘装置集成了适用于操作难度不同的两组测量测绘装置，结构合理、使用方便可提高比赛质量和效率。</t>
  </si>
  <si>
    <t>一种比赛用测量测绘装置</t>
  </si>
  <si>
    <t>CN209559124U</t>
  </si>
  <si>
    <t>本实用新型提供一种比赛用测量测绘装置，在使用过程中通过三维滑台使得待测工件与该影像测头及该空间坐标测头彼此定位，获取该待测工件的形状、位置公差及其他几何参数；同样该三维滑台与该影像测头彼此定位可获取该待测工件的二维坐标值，该偏摆检查仪可以对带有中心孔的轴类零件、盘类零件进行跳动类项目检测，设置在该底座上的装置适用于操作难度较大的高职测绘测量等赛项；该子测绘平台设置有该花岗岩检验平台、该第二偏摆检查仪、该子工具箱及该人机交互单元，可以实现操作难度稍低的测量及测绘，适用于中职类测量测绘等赛项。该比赛用测量测绘装置集成了适用于操作难度不同的两组测量测绘装置，结构合理、使用方便可提高比赛质量和效率。</t>
  </si>
  <si>
    <t>CN305433726S</t>
  </si>
  <si>
    <t>1.本外观设计产品的名称：带有图形用户界面的翻译机。
 2.本外观设计产品的用途：用于运行程序。
 3.本外观设计产品的设计要点：在于翻译机屏幕中的图形用户界面的界面内容。
 4.最能表明设计要点的图片或照片：主视图。
 5.无设计要点，故省略，省略后视图、左视图、右视图、俯视图、仰视图、立体图。
 6.图形用户界面的用途：产品的图形用户界面为翻译机进行人机交互时的图形用户界面。
 7.图形用户界面在产品中的区域：主视图靠左位置，分别有翻译、对讲、流量分享、导游、上网、我的以及设置模快。
 右侧则为时间显示，以及消息显示。
 8.图形用户界面的人机交互方式：用户通过点击主屏幕界面的翻译图标，就可以进行人机交互界面与翻译机交流，进行具体操作。
 9.图形用户界面的变化状态说明：从主视图向右滑动界面，则显示另一界面图。</t>
  </si>
  <si>
    <t>带有图形用户界面的翻译机</t>
  </si>
  <si>
    <t>CN109830278B</t>
  </si>
  <si>
    <t>本发明涉及一种无氧运动健身推荐方法、装置、无氧运动设备及存储介质。该方法包括：获取用户使用无氧运动设备健身时无氧运动设备两侧的运动轨迹；将无氧运动设备两侧的运动轨迹输入到预设的神经网络模型中，得到人体两侧的动作姿势，预设的神经网络模型中包括人体两侧的运动轨迹和人体两侧的动作姿势之间的对应关系；根据人体两侧的动作姿势，计算人体两侧的动作姿势的相对误差，并将相对误差与对应的相对误差阈值进行比较；若相对误差大于相对误差阈值，则输出提示消息，提示消息用于提示用户矫正当前的错误动作姿势。利用该方法，可以及时让用户得知自己当前的动作姿势是否正确，提升了用户和无氧运动设备之间交互体验。</t>
  </si>
  <si>
    <t>无氧运动健身推荐方法、装置、无氧运动设备及存储介质</t>
  </si>
  <si>
    <t>CN109701261A</t>
  </si>
  <si>
    <t>本发明提供一种射击比赛管理方法、系统、设备及存储介质，该方法包括：获取每个参赛人员射击比赛对应的射击视频；提取所述射击视频中关于所述参赛人员所对应靶位图像；识别所述参赛人员在所述靶位图像中的弹孔位置与环数，计算相应参赛人员的比赛成绩并存储。通过采集参赛人员的射击视频，提取参赛人员射击视频所对应的靶位图像，实现自动识别参赛人员的比赛成绩，全程无需工作人员参与，避免了人为参与的管理和统计，提高了射击比赛管理效率与能力，方便回溯追查。</t>
  </si>
  <si>
    <t>射击比赛管理方法、系统、设备及存储介质</t>
  </si>
  <si>
    <t>CN109850092A</t>
  </si>
  <si>
    <t>本发明公开了一种无人救生艇自动返航系统，包括处理器、射频收发模块、存储模块、供电模块、驱动模块、测速模块、GPS导航模块、雷达模块、图像识别模块和摄像模块，所述射频收发模块与所述处理器电性连接，所述存储模块与所述处理器电性连接，所述供电模块与所述处理器电性连接，所述驱动模块与所述处理器电性连接，所述测速模块与所述处理器电性连接，所述GPS导航模块与所述处理器电性连接。有益效果：能够使用雷达系统和图像识别技术及时的发现无人救生艇前进方向上的船只、游泳的人等GPS技术无法发现的不固定障碍物，并且控制无人救生艇实时动态的规划路径，合理的规避船只以及人员等障碍物，达到安全救援的目的，避免发生二次事故。</t>
  </si>
  <si>
    <t>一种无人救生艇自动返航系统</t>
  </si>
  <si>
    <t>CN111420346A</t>
  </si>
  <si>
    <t>本发明记载了虚拟现实跑步机，包括跑步机主体，且跑步机主体设置有虚拟现实与人机交互系统，智能减震系统，红外光幕安全系统，辅助空气净化循环系统。由于采用了上述技术，本发明通过将虚拟现实技术与跑步机相互结合，不仅扩大了虚拟现实的使用场景和交互方式，还为传统跑步机带来了新的体验与尝试，从而提高了使用者的使用趣味性。同时通过合理布置智能减震系统、红外光幕安全系统以及辅助空气净化循环系统，从而有效解决了传统跑步机存在的减震效果差、控制交互不友好、供氧不足以及安全性不良等问题。最终在确保使用者的使用安全、体验愉悦的前提下，达到了强身健体的最终目的。</t>
  </si>
  <si>
    <t>虚拟现实跑步机</t>
  </si>
  <si>
    <t>KR102236720B1</t>
  </si>
  <si>
    <t>[0001] 本发明涉及使用机器学习提供面试准备服务的方法、系统和计算机可读介质,更具体地,通过使用机器学习的评估模型和图像的教练评估向应试者提供面试技巧一种使用机器学习提供面试准备服务的方法、系统和计算机可读介质,其提供可以改进的反馈并且允许考生更直观和详细地掌握可以改进他或她的面试的反馈技能。这是关于</t>
  </si>
  <si>
    <t>使用机器学习提供面试准备服务的方法、系统和计算机可读介质</t>
  </si>
  <si>
    <t>CN209463970U</t>
  </si>
  <si>
    <t>本实用新型涉及一种新型跑步训练监测管理系统，包括智能手环，智能手环上设置有心率传感装置、定位装置和无线通信装置，还包括数据热点采集终端和管理平台，训练场划分为多个训练区域，每个训练区域设置有一个数据热点采集终端，数据热点采集终端通过无线网络与智能手环相连，数据热点采集终端通过网络与管理平台相连。本实用新型在多个训练区域分别设置有数据热点采集终端，能分别采集学员身上的智能手环的信息，其与管理平台、智能手环建立一个用于训练的物联网，结构简单，使用方便。</t>
  </si>
  <si>
    <t>一种新型跑步训练监测管理系统</t>
  </si>
  <si>
    <t>CN111407152A</t>
  </si>
  <si>
    <t>本发明公开了一种物联网炒菜系统及其控制方法，物联网炒菜系统包括云平台，控制端，移动客户端，炒菜机以及服务单元，控制方法包括以下步骤：云平台将菜谱信息中的菜谱名称和菜谱图片发送给移动客户端进行显示；移动客户端显示云平台存储的菜谱名称和菜谱图片，用户从显示的菜谱名称和菜谱图片中进行选择，并设置用餐时间；炒菜机接收控制指令，根据控制指令启动炒菜机，根据菜谱信息中的烹饪步骤以及烹饪步骤对应的烹饪温度和烹饪时间对食材包中的主料、辅料及配料进行烹饪。本发明中云平台，控制端，炒菜机和服务单元作为后台服务，进行具体操作，用户只需选择菜谱名称、预设用餐时间，便可在相应时间内享受炒菜机烹饪出的美食。</t>
  </si>
  <si>
    <t>一种物联网炒菜系统及其控制方法</t>
  </si>
  <si>
    <t>US20190133880A1</t>
  </si>
  <si>
    <t>用于提供网络连接以及泳池/水疗设备的远程监控、优化和控制的系统和方法</t>
  </si>
  <si>
    <t>CN109674469A</t>
  </si>
  <si>
    <t>基于CNN模型的癫痫发作预警算法，是一种基于深度学习的早期癫痫发作预警方法。该发明提出了一种基于CNN模型的癫痫发作预警算法,旨在实现一种癫痫发作预警系统。该算法首先对在IEEG监测下的癫痫患者颅内脑电图(EEG)数据进行预处理，然后基于CNN模型并通过Softmax,Minmax,和Median来标准化预测原始结果，分析基于CNN模型提取癫痫患者EGG数据的ROC曲线和灵敏度特异性分析曲线，得到基于CNN模型的原始预测AUC值。该算法的原始预测AUC值为0.790，也就是说该算法的CNN模型已经学到了预测癫痫的关键信息，能够准确预测基于脑电数据集的癫痫发作时或癫痫发作前状态变化。该算法可用于控制癫痫发作，并可提醒患者何时需要注意驾驶或游泳等潜在危险的活动。</t>
  </si>
  <si>
    <t>基于CNN模型的癫痫发作预警算法</t>
  </si>
  <si>
    <t>CN109741347B</t>
  </si>
  <si>
    <t>本发明公开了一种基于卷积神经网络的迭代学习的图像分割方法，基于U‑Net模型，针对病理图像语义分割模型训练过程，提出新的损失计算方式和迭代训练的方法。该方法通过改进模型中损失函数的计算方式，调整求解的目标函数。提出利用模型预测区域与标注区域相补的思想，通过迭代训练，进一步修补不完全、不确切监督区域，得到标注更加精细的样本，从而完成更高精度的语义分割。这种针对不完全、不确切监督问题提出的新的模型学习方法，具有较强的鲁棒性，因而能更好的分割病变区域。在相同训练模型、相同数据集的情况下，采用本方法，相比原始模型能提升0.4‑0.8左右的精度，在比赛、科研的领域中，具有显著的作用。</t>
  </si>
  <si>
    <t>一种基于卷积神经网络的迭代学习的图像分割方法</t>
  </si>
  <si>
    <t>CN109701208A</t>
  </si>
  <si>
    <t>本发明公开了一种基于划船动作的智能化老年人肌肉训练设备及方法，包括心电检测模块、血压测量模块、肌肉和脂肪测量模块、控制处理模块、磁阻调节模块、人机交互模块、电源模块、划船器主体和云端数据库。发明中的训练设备根据老年健身者的下肢机能参数信息，结合历史训练方案和训练记录，智能生成合理的和有效的肌肉训练方案。在训练过程中，本发明实时监测老年健身者的心率，通过调整训练强度而达到对心率的调整，并实时监测老年健身者的动态心电和动态血压，对可能发生的运动风险进行预测。结束训练后，会对该次训练进行打分评价，并对可能造成训练未完成的原因进行分析，并结合云端数据库中的历史训练结果进行只能分析，实时调整训练方案，使得训练更加有效和科学性。</t>
  </si>
  <si>
    <t>一种基于划船动作的智能化老年人肌肉训练设备及方法</t>
  </si>
  <si>
    <t>CN109876413A</t>
  </si>
  <si>
    <t>本发明公开了一种基于物联网技术的运动检测设备，属于运动设备技术领域，包括检测腰带主体和接收设备，所述检测腰带主体的左侧设置有粘扣带B，且所述检测腰带主体的右侧设置有粘扣带A，所述检测腰带主体的内部中间位置设置有中央处理器，所述中央处理器的左侧设置有通讯模块，且所述通讯模块的左侧设置有检测模块。通过采用物联网技术作为基础，通过传感器和物联网信息之间进行信息交互，且对运动数据进行分析和判断，以及对运动员的身体进行检测，提高了运动员在比赛中得到的数据的准确性，同时对运动员在运动过程身体状况有保障，智能化程度高，数据分析，精确传输信号，且数据具有时效性，提高运动检测设备的智能性。</t>
  </si>
  <si>
    <t>一种基于物联网技术的运动检测设备</t>
  </si>
  <si>
    <t>CN109708275B</t>
  </si>
  <si>
    <t>本发明提供一种大跨度体育建筑室内温度智能调控系统，包括：多个红外温度监测仪，用于对室内的大尺度空间进行实时的温度监测，并获得第一温度数据；多个地面温度传感器，用于监测地面的温度，并获得第二温度数据；多个空调出风口，分别设置于大跨度体育建筑的各个区域；多个空调出风口控制装置，分别设置在每个空调出风口上，用于控制空调出风口的关闭和打开；以及人工智能数据处理中心，用于接收两组温度数据并生成实时操作指令，而后通过电路发送至每个空调出风口控制装置，从而控制多个空调出风口的关闭和打开，并根据实时操作指令实施后监测到的温度数据对该实时操控指令自我学习和调整，使得室内达到最为理想的舒适环境。</t>
  </si>
  <si>
    <t>大跨度体育建筑室内温度智能调控系统</t>
  </si>
  <si>
    <t>CN109712234B</t>
  </si>
  <si>
    <t>本发明实施例公开了一种三维人体模型的生成方法、装置、设备和存储介质，其中该方法包括：获取二维人体图像；将二维人体图像输入至三维人体参数模型中，得到与二维人体图像对应的三维人体参数；根据三维人体参数调整三维柔性可变形模型，调整后的三维柔性可变形模型作为二维人体图像对应的三维人体模型。本发明实施例采用机器学习的方法，使用标注的二维人体图像和对应的三维人体模型为样本训练了一个三维人体参数的神经网络，从而能够实现仅需单张图像的基础上快速获取重建的三维人体模型，大大降低了计算复杂度和计算量，可以广泛应用于运动健身领域。</t>
  </si>
  <si>
    <t>三维人体模型的生成方法、装置、设备和存储介质</t>
  </si>
  <si>
    <t>CN109586374A</t>
  </si>
  <si>
    <t>本发明公开的属于充电装置技术领域，具体为一种遥控器充电装置和遥控器充电方法，包括装置本体和放置板，所述装置本体顶部中央位置开设有收纳槽，所述收纳槽内腔底部中央位置螺接有压力传感器，所述安装腔内腔顶部从左到右依次安装有继电器模块、单片机和语音识别模块，所述装置本体安装有送电线圈，一种遥控器充电装置的遥控器充电方法，具体操作步骤如下：S1)将受电线圈安装在遥控器内部；S2）将遥控器放置进收纳槽内，触发压力传感器；S3）说出指令，单片机控制继电器模块接通充电接口与无线充电电路板之间的电源，开始对遥控器进行充电，本方案无需插接线缆，简化充电步骤，方便使用，同时丰富充电装置的功能。</t>
  </si>
  <si>
    <t>一种遥控器充电装置和遥控器充电方法</t>
  </si>
  <si>
    <t>CN109718514A</t>
  </si>
  <si>
    <t>本发明属于智能机器人技术领域，具体涉及一种智能捡球机器人，包括移动载体、安装在移动载体上的用于驱动机架运动的行走机构、设置在机架上的捡球装置、设置在移动载体上用于识别篮球的识别模块；无本发明通过识别模块识别篮球并进行定位，行走机构驱动移动载体靠近篮球，再通过捡球装置将篮球捡起，可自动识别篮球并执行捡球操作，实现对散落的篮球进行定位、抓取的操作，节约捡球时间，无需人力捡球，提高训练时的流畅性，尤其对于职业球员，在训练时，可减少负责捡球的人员配备，减少训练时的成本输出。</t>
  </si>
  <si>
    <t>智能捡球机器人</t>
  </si>
  <si>
    <t>CN109459052B</t>
  </si>
  <si>
    <t>本发明涉及一种扫地机全覆盖路径规划方法。本方法的具体操作步骤为：1）地图构建，2）多角度扫线分割，3）贪婪初始化，和4）自适应遗传算法处理。本发明寻找扫地机转弯次数最少的分割角度，使扫地机具有更高的清扫效率。本发明优化了各子区域间的遍历路线，缩短了清扫时间，从而进一步提高其清扫效率。</t>
  </si>
  <si>
    <t>一种扫地机全覆盖路径规划方法</t>
  </si>
  <si>
    <t>CN305291830S</t>
  </si>
  <si>
    <t>1．本外观设计产品的名称：用于手机的图形用户界面。
 2．本外观设计产品的用途：本外观设计产品用于运行程序、显示信息和通信。
 3．本外观设计产品的设计要点：在于屏幕中的图形用户界面。
 4．最能表明本外观设计设计要点的图片或照片：设计1主视图。
 5．省略视图：硬件产品为惯常设计，省略其他视图。
 6．指定基本设计：设计1为基本设计。
 7．本外观设计产品的界面用途：本图形用户界面为应用软件客户端的对局支持界面，界面用于人机交互。
 在设计1至设计10的界面中，用户可以查看比赛选手的比分、战绩等信息，也可以查看其他用户对比赛选手的投票支持情况。
 用户可以点击界面底部的控件选择一方比赛选手进行投票支持。</t>
  </si>
  <si>
    <t>CN109567798A</t>
  </si>
  <si>
    <t>本发明公开了一种基于肌电小波相干性和支持向量机的日常行为识别方法，本发明通过肌电信号采集仪采集人体相关肌肉的肌电信号，获取两路肌电信号的样本数据，使用一种改进小波阈值降噪方法进行预处理。计算两路肌电信号的小波相干系数。将所求得的小波相干系数作为特征向量输入支持向量机进行分类识别，成功识别了不同的日常行为，具有较高的识别率。本发明将小波相干性的肌电特征与支持向量机结合的方法，对人体日常行为识别具有较高的识别率和可靠性。实验结果表明，本发明方法对上楼、下楼、站立、行走、跑步、跌倒的平均灵敏度达96.17，平均特异度达92.29，高于一般传统的方法。</t>
  </si>
  <si>
    <t>基于肌电小波相干性和支持向量机的日常行为识别方法</t>
  </si>
  <si>
    <t>TR201820615A2</t>
  </si>
  <si>
    <t>本发明涉及一种智能的心理健康助手,记录和分析用户的心理状态,并提供多种治疗方法。 人工智能集成 (1) 将测试引导至在线客户,旨在检测用户的心理状态,一个交互式支持系统,在评估用户状态期间通过系统为医生、心理学家、生活教练和其他专家提供支持(2)、定期在线监控用户状态,由主动监控系统(3)组成,旨在跟进。</t>
  </si>
  <si>
    <t>智能心理健康助手</t>
  </si>
  <si>
    <t>KR102107055B1</t>
  </si>
  <si>
    <t>一种基于机器学习的体育接力视频推荐方法,包括以下步骤:接收多个摄像机拍摄的多个图像数据,将接收到的多个视频数据,进行初步的机器学习,计算特征值与预设的运动特征信息相关;2用于利用初级机器学习的结果提取多个图像数据之一作为用户偏好的运动图像数据;可以包括进行汽车机器学习并对提取的用户偏好的运动进行推荐图像数据。</t>
  </si>
  <si>
    <t>基于机器学习的体育转播视频推荐方法及装置</t>
  </si>
  <si>
    <t>CN209612087U</t>
  </si>
  <si>
    <t>本实用新型公开了健身器材技术领域的一种基于物联网的家用健身器材，包括椅座和安装在椅座后端的支撑板，椅座的前端安装有监测主机和控制面板，椅座的两侧壁通过数据线均匀连接有肌肉检测器，控制面板包括PLC控制器，监测主机的外壁上分别安装有通讯模块、显示器、摄像头、蜂鸣器、存储器和电源，肌肉检测器和摄像头通过数据处理模块电性输出连接PLC控制器，PLC控制器通过通讯模块电性输出连接应用服务器，应用服务器电性输出连接数据服务器，设计新颖，通过肌肉检测器和摄像头对锻炼者的锻炼时的肌肉硬度和姿势进行实时监测，及时对锻炼者进行提醒，保证锻炼者锻炼姿势的正确性和时间适度，从而提高了锻炼者的锻炼效果。</t>
  </si>
  <si>
    <t>一种基于物联网的家用健身器材</t>
  </si>
  <si>
    <t>CN109754002A</t>
  </si>
  <si>
    <t>本发明涉及一种基于深度学习的隐写分析混合集成方法，具体操作步骤如下：划分数据集，通过高通滤波器得到残差图像，构建卷积神经网络，训练网络模型，保存最优的若干个模型，分别加载模型，将池化层的输出作为特征保存下来；改变高通滤波器，产生不同的残差图像，得到差异特征，进行特征融合后得到高维特征；将高维特征输入到PCA中进行降维；将降维后的特征输入到xgboost分类器，SVM分类器，KNN分类器中进行分类；将得到的分类结果进行集成学习，通过加权投票得到最终的分类结果。本发明可以有效地提高分类器的分类准确度。</t>
  </si>
  <si>
    <t>一种基于深度学习的隐写分析混合集成方法</t>
  </si>
  <si>
    <t>WO2019120275A1</t>
  </si>
  <si>
    <t>基于物联网的便携式智能健身设备（100）、运动系统及其应用方法。所述便携式智能健身设备（100）包括可拆卸连接的主体设备（1）和多个分体设备（2），用于对不同的机械/人体运动参数、姿势、动作以及环境参数进行测量。所述运动系统包括相互通信连接的便携式智能健身设备（100）、智能移动设备（4）和后台服务器（3），所述健身设备（100）的运动相关数据通过通信网络发送给所述智能移动设备（4）或者上传至后台服务器（3），通过后台服务器（3）构建游戏平台，通过移动智能设备（100）上的app模拟并显示虚拟场景，使用户在健身的过程中享受游戏的乐趣，增加健身的娱乐性；上述健身设备体积小，便于携带，可随时随地做健身运动。</t>
  </si>
  <si>
    <t>基于物联网的便携式智能健身设备、运动系统及其应用方法</t>
  </si>
  <si>
    <t>KR102128043B1</t>
  </si>
  <si>
    <t>根据本发明实施例的个性化生活运动推荐平台系统,包括用户终端,提供包括用户信息、身体信息和兴趣信息的个人数据; 并收集个人数据,从链接服务器中抓取多个公共数据,通过基于个人数据和公共数据预先设定的机器学习和推荐算法,个性化定制生活体育赛事和社区生活体育设施它包括:向用户终端提供信息的信息提供服务器。</t>
  </si>
  <si>
    <t>个性化生活运动推荐平台系统</t>
  </si>
  <si>
    <t>CN209495096U</t>
  </si>
  <si>
    <t>本实用新型公开了一种基于TYPE‑C接口的带智能语音识别电脑座，包括底壳以及盖装于底壳上的面壳，所述底壳的内部安装有PCB电路板，该PCB电路板的板边依次安装有USB 3.0 AF接口、音频/声道接口、RJ接口、VGA接口、HDMI接口、USB‑C接口和DC接口。本基于TYPE‑C接口的带智能语音识别电脑座，通过在PCB电路板上集成多种数据传输接口，从而满足会场对各种多媒体操作的需求，通过2.0HUB芯片连接CC协议芯片，做USB信号通信，经由音频/声道接口连接麦克风，以此来实现语音识别、智能控制等功能；因此，可适用于各种类型的会议需求，使得人们在使用时更加方便。</t>
  </si>
  <si>
    <t>一种基于TYPE-C接口的带智能语音识别电脑座</t>
  </si>
  <si>
    <t>CN109670644B</t>
  </si>
  <si>
    <t>本发明公开基于神经网络的预测系统，包括信息录入模块、神经网络构建模块、神经网络预测模块、比较模块和显示模块；信息录入模块包括信息采集单元、信息预处理单元、信息存储单元及信息输出单元；神经网络构建模块根据信息输出单元传输的数据进行BP神经网络模型群的构建；神经网络预测模块根据BP神经网络模型群对信息输出单元传输的数据进行篮球运动员控球位置的预测；比较模块对神经网络预测模块输出的预测结果进行比较，得出预测结果的最大值及最大值对应的控球位置；显示模块对信息录入模块所需输入数据及比较模块的输出数据进行显示。本发明还公开基于神经网络的预测方法。本发明可减少选拔过程中人为因素，提高了选拔过程的科学性及客观性。</t>
  </si>
  <si>
    <t>基于神经网络的预测系统及方法</t>
  </si>
  <si>
    <t>CN109766773A</t>
  </si>
  <si>
    <t>本申请涉及人工智能中的生物识别，特别涉及微表情识别中的情绪识别，也即涉及一种比赛监控方法、装置、计算机设备和存储介质。方法包括：接收待监控视频，并获取第一提取时间段，查询待监控视频中包含的人脸图像的第一目标情绪信息；获取与第一目标情绪信息对应的第一目标情绪得分；获取第二提取时间段，查询待监控视频中包含的人脸图像的第二目标情绪信息；获取与第二目标情绪信息对应的第二目标情绪得分；计算第一目标情绪得分与第二目标情绪得分的差值，当差值超过阈值时，则查询动作信息；当动作信息存在可疑动作信息时，则查询与可疑动作信息对应的第一身份信息，并将第一身份信息输出。采用本方法能够提高监控效率。</t>
  </si>
  <si>
    <t>比赛监控方法、装置、计算机设备和存储介质</t>
  </si>
  <si>
    <t>CN109766768A</t>
  </si>
  <si>
    <t>本发明公开了一种基于深度学习的球员识别方法，该方法步骤：(1)下载高清篮球比赛的视频，并将视频抽成一帧一帧的图片；(2)在图片上对运动员进行截取，得到210张球衣号码较为清晰的运动员图片；(3)根据球员的球衣号码，对210张图片使用Bounding Box标记出号码的位置，并给出标签完成分类；(4)对YOLOv3算法进行修改后对数据集进行训练，训练完成后保存训练好的权重；(5)对测试图片进行测试，直接回归出目标的边界框及分类类别，实现球衣号码的定位以及号码识别，从而实现球员的识别，本发明能够利用对球衣号码的定位以及识别实现对运动员的自动识别，测试结果具有很好的准确性和鲁棒性，大大减少了以往普遍采用的人工查找方式的工作量。</t>
  </si>
  <si>
    <t>一种基于深度学习的球员识别方法</t>
  </si>
  <si>
    <t>CN209575627U</t>
  </si>
  <si>
    <t>本实用新型公开了物联网技术领域的一种基于物联网的电动跑步机智能适配器，包括壳体，壳体的内部安装有PCB主板，PCB主板上分别安装有MCU处理器、数据采集模块、电源管理模块，壳体的外壁上分别安装有无线收发器、通讯接口和电力线，数据采集模块电性输出连接MCU处理器，数据采集模块通过电力线电性输入连接电动跑步机MCU处理器，MCU处理器分别电性双向连接电源管理模块、无线收发器和通讯接口，无线收发器信号连接于外部用户的移动终端，通过移动终端获取跑步机信息和电源信息，移动终端通过智能适配器可对电动跑步机进行无线操控，即可以实现电源的接通和断开，又可以对电动跑步机的工作状态进行操控，大大提高了用户的体验，使用方便。</t>
  </si>
  <si>
    <t>一种基于物联网的电动跑步机智能适配器</t>
  </si>
  <si>
    <t>CN209575622U</t>
  </si>
  <si>
    <t>本实用新型公开了一种基于物联网技术的具有实时在线互动功能的健身器材，包括健身器材本体以及设置在健身器材本体上的在线互动系统，健身器材本体包括固定底座、支架以及杠铃片，支架上开设有滑槽，支架上安装有支撑板，支撑板左侧连接有升降丝杆，升降丝杆底端连接有驱动电机，杠铃片中部穿设有杠铃杆，杠铃杆两端连接有限位螺母，杠铃杆上安装在滑槽内，杠铃杆与支撑板之间设有缓冲弹簧，在线互动系统包括依次连接的位移传感器、无线数据发射器、无线数据接收器、服务主机以及移动终端，本实用新型结构设计合理，本实用新型能够适用于不同身高的人群，并且能够在举重过程中避免了杠铃突然下降而对用户造成伤害，具有一定的保护功能。</t>
  </si>
  <si>
    <t>一种基于物联网技术的具有实时在线互动功能的健身器材</t>
  </si>
  <si>
    <t>CN109741481A</t>
  </si>
  <si>
    <t>本发明实施例提供了基于人脸识别的健身时长计算方法、装置及健身设备，该方法包括：采集待识别人脸图像，待识别人脸图像为健身者的人脸图像；识别待识别人脸图像，得到待识别人脸图像的特征向量；将待识别人脸图像的特征向量与数据库中的多个人脸图像样本的特征向量进行匹配，得到匹配结果；根据所述匹配结果，判断健身者是否具有健身设备的使用权限，若有，激活健身设备，并开始计时；检测是否接收到用于指示停止计时的指令，若接收到指令，则停止计时；根据开始计时的时刻和停止计时的时刻计算健身设备的使用时长。本发明实施例提供的技术方案能够解决现有技术中人工统计健身时长效率低的问题。</t>
  </si>
  <si>
    <t>基于人脸识别的健身时长计算方法、装置及健身设备</t>
  </si>
  <si>
    <t>CN109841221A</t>
  </si>
  <si>
    <t>本发明实施例提供了基于语音识别的参数调节方法、装置及健身设备，该方法包括：获取健身者的语音信号；使用预设的深度学习语音识别模型识别语音信号，得到语音文本；提取语音文本中的关键词，得到目标关键词，并将目标关键词与预设的语音指令集中的每个语音指令进行关键词匹配，得到目标语音指令，语音指令集中的每个语音指令至少与一个关键词相对应；响应于目标语音指令，检测健身者的实时心率；判断健身者的实时心率是否在预设心率范围之内；如果健身者的实时心率不在预设心率范围之内，根据目标语音指令调节健身设备的参数。本发明实施例提供的技术方案能够解决现有技术中健身设备不能自动调整参数以满足用户的健身需求的问题。</t>
  </si>
  <si>
    <t>基于语音识别的参数调节方法、装置及健身设备</t>
  </si>
  <si>
    <t>CN109646903B</t>
  </si>
  <si>
    <t>本发明提供了一种运动训练效果评价方法、装置及系统，涉及人机交互的技术领域，包括：采集所训练肌群各个肌肉的肌音信息，并同步采集训练的动作视频；对所述肌音信息进行滤波和特征提取，得到特征信息；对所述动作视频进行动作提取，得到动作图像；根据所述特征信息和所述动作图像进行运动训练效果的评价。本发明通过将肌音信息与动作视频相结合的方式，能够及时评价运动训练效果，具有时效性强、准确性高、可操作性强的特点，适用于体育工作者，且能够实现产业化。</t>
  </si>
  <si>
    <t>运动训练效果评价方法、装置及系统</t>
  </si>
  <si>
    <t>KR102008630B1</t>
  </si>
  <si>
    <t>本发明涉及一种提高图像识别率的装置和方法,本发明的提高车牌识别率的装置包括: 图像预处理单元,用于进行图像预处理以去除图像中包含的噪声; 车牌检测单元,用于从预处理后的图像中检测车牌; 车牌图像提取单元,仅提取检测到的车牌图像; 图像恢复单元,利用SRGAN算法将提取的车牌图像恢复为分辨率大于或等于设定分辨率的图像; 文本区域检测单元,用于检测恢复到高于设定分辨率的车牌图像中的数字、符号和文本区域中的至少一个区域; 字符读取单元,使用光学字符读取装置进行读取,该光学字符读取装置检测检测到的数字、符号和字符区域中的至少一个; 以及用于控制整体操作的控制单元。</t>
  </si>
  <si>
    <t>CN209828172U</t>
  </si>
  <si>
    <t>本实用新型公开了一种基于物联网的篮球投篮训练用设备，包括篮架机构、阻隔导向网和支撑架，阻隔导向网安装于篮架机构与支撑架之间，篮架机构包括篮球底架，篮球底架的顶部设置有活动架，活动架的顶部前侧设置有篮板，篮板的顶部等间距设置有上撑网架，篮板的底部中心处设置有下撑网架，篮板的左右两侧壁底部对称设置有侧壁撑下网架，篮板的左右两侧壁顶部对称设置有侧壁撑上网架，上撑网架、下撑网架、侧壁撑下网架和侧壁撑上网架的表面均设置有螺纹孔，本实用新型结构设计合理，降低投篮训练的操作难度，降低培训的人工成本，且可以对投篮训练人员的投篮训练时的影像进行拍摄，便于投篮人员后期对自己的投篮姿势进行观察和了解。</t>
  </si>
  <si>
    <t>KR1020200070677A</t>
  </si>
  <si>
    <t>公开了一种用于在游戏环境中创建代理的代理创建方法。 生成方法可以包括:代理生成装置根据游戏玩家的共同行为特征模式生成基础代理,并将基础代理发送给游戏服务器; 代理生成装置从游戏服务器接收基础代理与游戏玩家个人角色匹配得到的匹配结果数据; 代理生成设备使用比赛结果数据执行机器学习,并根据机器学习的结果生成为个人游戏玩家的比赛定制的进化代理。</t>
  </si>
  <si>
    <t>游戏环境下的代理生成装置及方法</t>
  </si>
  <si>
    <t>CN109684943B</t>
  </si>
  <si>
    <t>本发明公开了一种运动员辅助训练数据获取方法、装置及电子设备，通过获得分别与N个不同的角度对应的N个图像序列，每组图像序列包括K个时刻对应的K张运动员的训练图像；基于训练图像中的时间戳，对N组图像序列中的每张训练图像进行匹配分组，获得K组图像组；获取每张训练图像中的骨骼轮廓，并针对每组图像组，基于每张训练图像中的骨骼轮廓和与每个骨骼轮廓对应的标准轮廓，构建联合输入向量；针对每组图像组，基于训练后的神经网络和联合输入向量，获得N个图像序列中的每张训练图像中的运动员的动作比对数据。解决了现有技术中存在的不能获得人体的动作细节的比对数据的技术问题，达到了可以获得人体的动作细节的比对数据的技术效果。</t>
  </si>
  <si>
    <t>一种运动员辅助训练数据获取方法、装置及电子设备</t>
  </si>
  <si>
    <t>CN305790885S</t>
  </si>
  <si>
    <t>1.本外观设计产品的名称：带图形用户界面的电脑。
 2.本外观设计产品的用途：显示图像、运行软件或进行通信，图形用户界面用于人机交互。
 3.本外观设计产品的设计要点：在于图案与色彩的结合。
 4.最能表明设计要点的图片或照片：设计1主视图。
 5.请求保护的外观设计包含色彩。
 6.指定设计1为基本设计。
 7.图形用户界面的用途：设计1主视图是选择单个箱体的显示界面，设计1界面变化状态放大图1是单个箱体旋转的显示界面，设计1界面变化状态放大图2是单个箱体旋转的另一显示界面，设计1界面变化状态放大图3是单个箱体旋转的另一显示界面，在设计1主视图中，绿色区域为旋转点，中心为黑点的绿色区域为旋转中心。
 鼠标左键在旋转点区域内按下，然后拖动鼠标，箱体跟随鼠标的移动进行旋转，拖动鼠标时旋转点跟随鼠标移动，如设计1界面变化状态放大图1、设计1界面变化状态放大图2所示，鼠标左键松开弹起后旋转杆恢复初始长度，如设计1界面变化状态放大图3所示；设计1界面变化状态放大图4是选择多个箱体的显示界面，设计1界面变化状态放大图5是多个箱体旋转的显示界面，在设计1界面变化状态放大图4中，选中多个箱体后，所有选中箱体的旋转杆可见；鼠标左键在旋转点区域内按下，然后拖动鼠标，箱体跟随鼠标的移动进行旋转，拖动鼠标时旋转点跟随鼠标移动，可旋转选中的任一箱体，或者所有选中的都一起旋转，如设计1界面变化状态放大图5所示；设计1界面变化状态放大图6是箱体组合的显示界面，设计1界面变化状态放大图7是箱体组合旋转的显示界面，多个箱体可组合，组合后可以进行整体操作。
 多个箱体组合后，组合内所有箱体的旋转中心与组合旋转中心位置一致。
 鼠标左键单击组合内的任一箱体，选中组合，组合选中后会显示组合的旋转杆，箱体各自的旋转杆不显示，如设计1界面变化状态放大图6所示，拖动鼠标，箱体跟随鼠标的移动进行旋转，拖动鼠标时旋转点跟随鼠标移动，旋转分组，组合内所有箱体都以组合的旋转中心和旋转角度进行旋转，如设计1界面变化状态放大图7。</t>
  </si>
  <si>
    <t>带图形用户界面的电脑</t>
  </si>
  <si>
    <t>IT201800010848A1</t>
  </si>
  <si>
    <t>一种使用与人工智能平台连接的虚拟现实平台的方法,用于外骨骼的应用,用三维打印机构建,作为人的支持,在游戏、工业、教育、体育、医疗领域</t>
  </si>
  <si>
    <t>CN305511424S</t>
  </si>
  <si>
    <t>1.本外观设计产品的名称：血压测量装置的显示界面。
 2.本外观设计产品的用途：本外观设计产品涉及一种血压测量装置的显示界面，所述血压测量装置属于医疗器械，用于测量用户的血压。
 3.本外观设计产品的设计要点：在于界面的图案。
 4.最能表明设计要点的图片或照片：主视图图形用户界面放大图。
 5.图形用户界面的用途：本外观设计产品图形界面为血压测量装置工作时的显示界面；用于用户查看数据、显示测量进度和进行设置系统。
 6.图形用户界面在产品中的区域：血压测量装置工作时的显示界面。
 7.图形用户界面的人机交互方式：所述主视图的显示界面以及各所述界面变化状态图均可通过操作所述主视图中血压测量装置上的实体按键分别选择进入，具体操作方法包括但不限于点击不同的按键进入、使用不同的点击次数进入；也可通过触碰所述主视图中血压测量装置上的显示屏选择进入，具体操作方法包括但不限于触碰所述主视图中主界面内的不同触控区域分别选择进入、逐次触碰各界面图中一指定触控区域选择进入。
 8.图形用户界面的变化状态说明：主视图的显示界面为测量页面，主要用于显示此时血压测量装置臂带气囊中的压力值（中部大字区域），血压测量完成进度（右下部图片和数字区域），及血压测量过程情况（左下部小图区域）；界面变化状态图1为开始测量血压前的页面，用于显示装置准备加压前血压测量装置臂带气囊中的压力值（中部大字区域）；界面变化状态图2为测量结束时结果显示页面，主要用于显示血压测量结果（中部两行大字区域）及心率测量结果（下部小字区域）；界面变化状态图3为记忆页面，主要用于显示历史血压测量结果（中部大字区域）和历史心率测量结果（下部小字区域）。
 9.本外观设计产品的血压测量装置仅作为载体，并不作为本案的设计要点；各视图上的“文字”、“数字”仅用于指明文字内容、数字内容的设置区域，具体的文字信息和数字信息并非本案的设计要点。</t>
  </si>
  <si>
    <t>血压测量装置的显示界面</t>
  </si>
  <si>
    <t>CN109568941A</t>
  </si>
  <si>
    <t>本发明提出了一种物联网智能游戏赛车控制系统和方法，通过设置Zigbee收发单元、NB‑lot收发单元、蓝牙收发单元、WiFi收发单元和2.4G收发单元，移动平台可以联接多种通信方式的通信终端，增加系统的兼容性；通过在赛车上设置中心控制器、加速计和陀螺仪，可以根据赛车的运行状态控制赛车的运行参数，选手可以通过移动平台与玩具赛车进行交互，提高了玩具赛车比赛的过程中选手的参与程度；整个系统可以通过Zigbee、NB‑lot、蓝牙、WiFi和2.4G通信方式与赛车进行通信，增加系统的兼容性，选手通过移动平台控制赛车的运行状态，提高选手参与比赛的参与程度。</t>
  </si>
  <si>
    <t>一种物联网智能游戏赛车控制系统和方法</t>
  </si>
  <si>
    <t>US20190105226A1</t>
  </si>
  <si>
    <t>CN305453182S</t>
  </si>
  <si>
    <t>1.本外观设计产品的名称：用于智能手表的图形用户界面。
 2.本外观设计产品的用途：智能手表可以用于通讯和/或运行程序。
 3.本外观设计产品的设计要点：在于如图所示的图形用户界面。
 4.最能表明设计要点的图片或照片：设计1界面放大图。
 5.指定设计1为基本设计。
 6.图形用户界面的用途：图形用户界面可以用于显示运动信息，例如运动水平、比赛点数等。
 7.图形用户界面的人机交互方式：图形用户界面可以通过与智能手表的显示屏接触或者通过对智能手表的操纵来交互。
 8.请求保护的外观设计的设计1包含有色彩。
 9.智能手表为常规设计，省略智能手表的其它侧的视图；覆盖在奖章区域上的半透明遮罩用于显示内容画面，不构成请求保护的外观设计的一部分。</t>
  </si>
  <si>
    <t>CN109635925A</t>
  </si>
  <si>
    <t>本发明公开了一种运动员辅助训练数据获取方法、装置及电子设备，所述方法包括：获取运动员的运动图像，通过卷积神经网络从运动图像中提取运动员的骨架矩阵，根据骨架矩阵构建出运动员的三维人体模型，从预先建立的数据库中获取与所述三维人体模型对应的标准人体运动数据，根据三维人体模型和标准人体运动数据，获得运动员的辅助训练数据。解决了现有技术中存在的不能快速地获得、准确、有效的运动员的运动信息的技术问题，达到了可以快速地获得、准确、有效的运动员的运动信息的技术效果。</t>
  </si>
  <si>
    <t>CN111260678A</t>
  </si>
  <si>
    <t>本发明提出一种体操辅助学习的方法、装置、存储介质和终端设备，其中，所述方法包括：确定体操运动者选择的体操运动类型和运动强度；获取所述体操运动者进行体操运动的运动图像；以及根据所述运动图像、以及所述体操运动者选择的体操运动类型和运动强度，指导所述体操运动者进行体操运动。采用本发明，可以通过图像识别的方式，指导体操运动者进行体操运动，无需教练实地教导，方便且适用性强。</t>
  </si>
  <si>
    <t>体操辅助学习的方法、装置、存储介质和终端设备</t>
  </si>
  <si>
    <t>US62773207P0</t>
  </si>
  <si>
    <t>人工智能生活教练聊天机器人</t>
  </si>
  <si>
    <t>CN109364455B</t>
  </si>
  <si>
    <t>本发明涉及一种基于物联网的间歇性训练安全远程控制系统及方法，其中包括云端服务器、智能音箱、穿戴式设备和控制终端；其中，所述穿戴式设备采集训练者的心率数据和体表体温，且所述穿戴式设备与所述智能音箱进行通信，所述云端服务器对控制终端的身份进行验证，并且允许验证成功的控制终端对智能音箱进行远程控制。通过采用本发明，教练可以通过与智能音箱建立连接，通过向智能音箱发送控制指令来对训练者的间歇性训练进行指导，智能音箱会通过语音播报训练指令，由此教练可以由控制终端同时指导多个训练者的训练，并且可以实时获取训练者的检测指标，方便教练参考和安排训练项目。</t>
  </si>
  <si>
    <t>一种基于物联网的间歇性训练安全远程控制系统及方法</t>
  </si>
  <si>
    <t>CN109583170B</t>
  </si>
  <si>
    <t>本发明涉及一种智能终端的瘦身云数据加密存储系统及方法，其中包括图像采集模块，用于从摄像头获取拍摄的视频；图像识别模块；瘦身数据采集模块；健身状态判断模块；健身视频判断模块；密钥生成模块，用于每隔预设周期生成公钥和私钥，将公钥发送至云服务器，以及判断有新的健身视频时，生成随机密钥，存储随机密钥和视频的ID；第一加密模块，用于采用随机密钥对健身视频加密，得到加密后的健身视频；第二加密模块；数据发送模块。本发明将健身数据和视频关联起来，通过时间和用户身份判断录制的视频是否是健身视频，实现健身视频分类管理以及与健身数据的关联管理。</t>
  </si>
  <si>
    <t>一种智能终端的瘦身云数据加密存储系统及方法</t>
  </si>
  <si>
    <t>CN305237374S</t>
  </si>
  <si>
    <t>1．本外观设计产品的名称：带图形用户界面的跑步机显示盘。
 2．本外观设计产品的用途：本外观设计产品用于跑步机的运行程序。
 3．本外观设计的设计要点：在于屏幕中图形界面内容。
 4．最能表明设计要点的图片或者照片：使用状态图。
 5．本操作系统图形界面人机交互的方式及界面动态变化状态：本产品为跑步机显示盘的用户运行程序显示界面。
 该界面主要分两个部分内容：一为文字显示界面，二为图形显示界面。
 其中，文字显示界面分布在显示盘的上、下两方，具体为：左上方TIME及图为时间显示界面；右上方DIST及图为距离显示界面；左下方pace及图为步幅显示界面；左下方偏右的cal及图为卡路里的显示界面；右下方偏左的steps及图为步数显示界面；右下方的pulse及图为脉搏的显示界面。
 图形显示界面分布在显示盘的中心位置，可分为三个部分：左部坡度扬升系统的显示界面，右边速度系统的显示界面，中部速度与坡度显示界面。
 其中，中部速度与坡度显示界面由若干个条块状图案组成，上面的横长条块是速度图形显示界面，下面的横长条块是坡度图形显示界面。
 通过操作跑步机仪表盘上的操作键，可以设定不同速度与坡度信息，完成显示盘上界面间的变换。
 变化状态一：【界面变化状态图1】为本图形界面未通电状态。
 变化状态二：通电后即进入跑步机显示盘的操作系统图形界面，图形界面主界面默认为【界面变化状态图2】，即首页。
 按动显示盘上的开始键，图形界面在所有数据为0的基础上，开始通电运行【界面变化状态图3、4、5】。
 变化状态三：在跑步机显示盘进行速度设定。
 首先，在显示盘上设定速度为1，扬升坡度分为0、1、7、12、15时，图形界面的主界面显示状态【界面变化状态图6~10】；其次，在显示盘上设定速度为10，扬升坡度分为0、1、7、12、15时，图形界面的主界面显示状态【界面变化状态图11~15】；再次，在显示盘上设定速度为22，扬升坡度分为0、1、7、12、15时，图形界面的主界面显示状态【界面变化状态图16~20】；变化状态四：在跑步机显示盘进行扬升坡度设定。
 首先，在显示盘上设定扬升坡度为0，速度分为1、10、22时，图形界面的主界面显示状态【界面变化状态图21~23】；其次，在显示盘上设定扬升坡度为1，速度分为1、10、22时，图形界面的主界面显示状态【界面变化状态图24~26】；再次，在显示盘上设定扬升坡度为7，速度分为1、10、22时，图形界面的主界面显示状态【界面变化状态图27~29】；第四步，在显示盘上设定扬升坡度为12，速度分为1、10、22时，图形界面的主界面显示状态【界面变化状态图30~32】；第五步，在显示盘上设定扬升坡度为15，速度分为1、10、22时，图形界面的主界面显示状态【界面变化状态图33~35】；变化状态五：结束时，跑步机显示盘的操作系统图形界面显示状态【界面变化状态图36~39】，其中【界面变化状态图39】为关机状态。</t>
  </si>
  <si>
    <t>带图形用户界面的跑步机显示盘</t>
  </si>
  <si>
    <t>CN109583366B</t>
  </si>
  <si>
    <t>本发明提出了一种基于视频图像和WiFi定位的体育建筑疏散人群轨迹生成方法，属于建筑安全与疏散技术领域。所述方法首先在体育建筑中布设多个视频拍摄设备和WiFi定位AP接入点，通过采集视频数据和WiFi定位数据形成相应数据库；其次获得基于视频的疏散轨迹数据和基于WiFi的疏散轨迹数据；然后通过SIFT算法对两个疏散轨迹数据进行匹配识别，使用基于WiFi的疏散轨迹数据对基于视频的疏散轨迹数据进行尺寸和形状的校准，然后通过神经网络算法进行数据融合，获得优化的疏散轨迹数据；最后，建立疏散区域三维模型，将优化的疏散轨迹数据导入所述疏散区域三维模型中，结合可视化编程工具进行疏散性能评价。</t>
  </si>
  <si>
    <t>一种基于视频图像和WiFi定位的体育建筑疏散人群轨迹生成方法</t>
  </si>
  <si>
    <t>DE102018220367A1</t>
  </si>
  <si>
    <t>本发明涉及一种用于估计与运动物品的一部分相关联的物理特性的方法,包括以下步骤: (a.)确定该部分内的多个结构特征; (b.) 确定每个结构特征的特征值; (c.)将每个特征值映射到物理属性,该映射基于来自有限多个样本的机器学习算法,每个样本将特征值与​​物理属性值相关联; (d.) 使用图像估计该区域的物理特性。</t>
  </si>
  <si>
    <t>基于体积的体育用品物理特性预测</t>
  </si>
  <si>
    <t>CN209265738U</t>
  </si>
  <si>
    <t>本实用新型公开仿真电梯的教学控制箱，包括壳体、设于壳体上端的可朝上掀开的控制显示面板、设于控制显示面板内部并可供老师设置考题的故障台、设于壳体下端的集成控制柜、设于控制显示面板与集成控制柜之间的操作平台、设于壳体顶部的比赛控制灯、设于壳体底部的便于移动的移动轮；控制显示面板包括若干机房控制按钮、外呼按键、显示楼层数的显示板、可调试参数以达到最佳运行效果的遥控面板、设于控制显示面板下端并可掀开控制显示面板的把手开关、可通过网络连接管控中心从而形成物联网的平板电脑；故障台上排布有若干故障旋钮开关；集成控制柜内部设有若干集成电路板，集成电路板包括有可控制教学控制箱工作的微机电路板。</t>
  </si>
  <si>
    <t>仿真电梯的教学控制箱</t>
  </si>
  <si>
    <t>CN111223344A</t>
  </si>
  <si>
    <t>本发明公开仿真电梯的教学控制箱，包括壳体、设于壳体上端的可朝上掀开的控制显示面板、设于控制显示面板内部并可供老师设置考题的故障台、设于壳体下端的集成控制柜、设于控制显示面板与集成控制柜之间的操作平台、设于壳体顶部的比赛控制灯、设于壳体底部的便于移动的移动轮；控制显示面板包括若干机房控制按钮、外呼按键、显示楼层数的显示板、可调试参数以达到最佳运行效果的遥控面板、设于控制显示面板下端并可掀开控制显示面板的把手开关、可通过网络连接管控中心从而形成物联网的平板电脑；故障台上排布有若干故障旋钮开关；集成控制柜内部设有若干集成电路板，集成电路板包括有可控制教学控制箱工作的微机电路板。</t>
  </si>
  <si>
    <t>CN109558824B</t>
  </si>
  <si>
    <t>本发明公开一种基于人员图像识别的健身动作监测与分析系统，包括机体检测终端、特征提取模块、图像定位划分模块、健身数据库、管理分析服务器、显示终端、若干压力检测模块和若干图像获取模块，管理分析服务器分别与机体检测终端、图像定位划分模块、特征提取模块、显示终端、若干压力检测模块和若干图像获取模块连接，图像获取模块与特征提取模块连接。本发明通过压力检测模块、图像获取模块、特征获取模块并结合管理分析服务器能够有效地对健身人员在健身过程中的动作进行监测、分析，为后期健身动作标准化起指导性和促进性作用，且提高了健身过程中的安全性，便于健身人员合理有效地健身。</t>
  </si>
  <si>
    <t>一种基于人员图像识别的健身动作监测与分析系统</t>
  </si>
  <si>
    <t>CN109568881A</t>
  </si>
  <si>
    <t>本发明涉及一种跑步机，包括跑步机本体、电磁装置和永磁铁装置，电磁装置与永磁铁装置能够产生相互吸引的磁场，永磁铁装置固定在用户脚部，电磁装置固定在跑步机本体内，电磁装置与跑步机本体电连接，用户穿上永磁铁装置后，可通过跑步机本体上的人机交互装置控制电磁装置的开启，电磁装置开启后与永磁铁装置产生相互吸引的磁场，永磁铁装置可对用户腿部产生向下拉力，从而代替了原有的沙袋与铅块，实现了跑步机自带负重跑的功能。</t>
  </si>
  <si>
    <t>CN109173156A</t>
  </si>
  <si>
    <t>本发明公开了一种基于物联网的带广告视频功能的共享运动健身器材，包括车架、显示器和主体，车架一侧的顶端设有U形把手，U形把手的中部设有二维码张贴牌，U形把手的一侧设有显示器，显示器的顶部设有显示屏，显示器的内部设有处理器，处理器的一侧设有信号收发器，显示器的一端设有储存卡，储存卡的一侧设有电源开关，本发明一种基于物联网的带广告视频功能的共享运动健身器材，将运动健身器材的使用与物联网进行连接，人们共享运动健身器材，使人们更加方便快捷的使用运动健身器材，提高了运动健身器材的使用效率，便于人们使用和进行推广，同时具有进行广告宣传的功能，具有提高公司竞争力和经济效益的作用。</t>
  </si>
  <si>
    <t>一种基于物联网的带广告视频功能的共享运动健身器材</t>
  </si>
  <si>
    <t>CN109470346A</t>
  </si>
  <si>
    <t>本发明一种基于物联网的中药方剂智能电子秤，所述智能电子秤包括处方识别单元、提示互动单元、称重单元、通讯单元和控制单元。工作人员实际使用中只需要根据提示信息完成正确的取药和增减药品重量，就能完成中药方剂的称重配制工作，操作简单明确易于执行。因为每味药品的秤重都单独提示和测量，如果不能满足要求就不能进行下一步操作，这样将整个处方的药品信息交给机器来存储工作人员只需核对就行，所以就能有效避免药品的遗漏和称重不准的情况发生。由于调配单和具体工作人员的识别信息进行了绑定并通过通讯单元进行了上传，所以能够实现工作流程中对具体工作人员的具体操作的实时监管。</t>
  </si>
  <si>
    <t>一种基于物联网的中药方剂智能电子秤</t>
  </si>
  <si>
    <t>CN209392668U</t>
  </si>
  <si>
    <t>本实用新型公开了一种基于物联网的带广告视频功能的共享运动健身器材，包括车架、显示器和主体，车架一侧的顶端设有U形把手，U形把手的中部设有二维码张贴牌，U形把手的一侧设有显示器，显示器的顶部设有显示屏，显示器的内部设有处理器，处理器的一侧设有信号收发器，显示器的一端设有储存卡，储存卡的一侧设有电源开关，本实用新型一种基于物联网的带广告视频功能的共享运动健身器材，将运动健身器材的使用与物联网进行连接，人们共享运动健身器材，使人们更加方便快捷的使用运动健身器材，提高了运动健身器材的使用效率，便于人们使用和进行推广，同时具有进行广告宣传的功能，具有提高公司竞争力和经济效益的作用。</t>
  </si>
  <si>
    <t>US20190349561A1</t>
  </si>
  <si>
    <t>本发明包括一种设备,该设备能够从与另一组稍有不同的角度拍摄两组视频或图片,并使用软件将这两组媒体操纵成一个可以与其他人共享的三维图像。 本发明的一个实施例需要一个带有把手的托盘,该托盘可以容纳两部手机,并且可以将它们调整到大约瞳孔间距,从而用户可以使用该设备拍照并让消息的接收者查看 用户或用户在三维视图中指向设备的异议。 该软件还具有图像识别能力,可以通过单面抓图构建三维环境,然后从图像识别数据库中拉取数据,完成物体的三维表示。 开发并成功测试了用于快门控制的具有近距离检测的双蓝牙。</t>
  </si>
  <si>
    <t>多摄像机场景表示,包括用于 VR 显示的立体视频</t>
  </si>
  <si>
    <t>KR102143906B1</t>
  </si>
  <si>
    <t>本发明涉及一种基于人工智能的环境自适应比赛策略执行方法和一种基于人工智能的比赛分析系统,a)为每一种运动提供虚拟环境,提取考虑到实际环境的不确定环境因素针对虚拟环境中的每种运动,然后针对每个不确定的环境因素生成一个不完整的模型; b) 当在虚拟环境中针对每种运动类型进行比赛时,不完整模型会产生环境变化,提取因随时间变化的环境变化而获得的时序环境适应特征,并与时序环境适应特征融合执行提取当前状态特征; c) 利用时序环境适应特征和当前状态特征建立目标策略,并利用深度网络建立环境适应策略,在真实环境中执行既定的目标策略; d) 通过顺序检测环境适应策略执行中的性能错误,并为检测到的顺序执行错误设计误差函数和权重,提供环境适应框架,用于对环境适应策略进行强化学习。 e)采集真实环境中的游戏进程信息,通过将采集到的游戏进程信息反映在环境自适应框架中,预测当前环境信息,使环境适应性地响应预测的当前环境信息。实时政策。</t>
  </si>
  <si>
    <t>基于人工智能的环境自适应匹配策略执行方法及基于人工智能的匹配分析系统</t>
  </si>
  <si>
    <t>CN209124413U</t>
  </si>
  <si>
    <t>一种羽毛球质量分拣机，包括风筒及设置在风筒下方的风力系统以及图像识别系统，图像识别系统包括摄像头及计算主机，所述的摄像头设置在风筒上方并连接计算主机，所述的风力系统包括风道及风机，风道内部设置有整流组件。风道包括风机部分及整流组件的风流通道。所述的风机为轴流风机，所述的整流组件为蜂巢板，蜂巢板的上端面上方设有过滤网。本实用新型的羽毛球质量分拣机采用羽毛球在风洞中会旋转的特点，设置垂直设置的风筒，并在风筒下端设置风机的结构，同时采用整流组件使风向一致向上，将待检测的羽毛球吹起并使其旋转，通过摄像头抓拍多张羽毛球的图像，并通过图像分析系统判断羽毛球旋转的稳定性，判断羽毛球的质量，具有自动化程度高，判断准确，可显著提高生产速度的优点。</t>
  </si>
  <si>
    <t>一种羽毛球质量分拣机</t>
  </si>
  <si>
    <t>CN305433933S</t>
  </si>
  <si>
    <t>1.本外观设计产品的名称：带图形用户界面的手机。
 2.本外观设计产品的用途：本外观设计产品用于一种智能电动拖拉机的管理控制及运行程序。
 3.本外观设计产品的设计要点：在于屏幕中的图形用户界面的界面内容，手机为现有设计。
 4.最能表明设计要点的图片或照片：界面变化状态图6。
 5.图形用户界面的用途：自动驾驶：用户可采用地点搜索的方式，智能生成路线，并可规划在具体位置进行的工作内容，开启自动驾驶模式；远程遥控：本APP的遥控功能能自由切换以第三人称视角观察，方便查看车辆周围的状况；状态查看和管理：用户可切换地图模式和实景模式来查看拖拉机的状态信息，地图模式帮助了解拖拉机的目前位置，实景模式帮助了解拖拉机的附近情况。
 另外也能在警报信息发出时及时对拖拉机进行操作管理。
 6.图形用户界面的人机交互方式：具体操作分为四个部分：一、载入页：打开APP，自动载入，进入“界面变化状态图1”。
 二、状态查看和管理：在“界面变化状态图1”中输入信息，按“连接FISON”.APP与产品进行匹配，匹配成功后进入“界面变化状态图2”。
 在“界面变化状态图 2”中长按中间圆形按钮，经过“界面变化状态图 3、4”的动效变化后，进入“界面变化状态图 5”，此页显示拖拉机的各项数据信息。
 当拖拉机开始运行后，“界面变化状态图 5”中的信息发生变化，效果参考“界面变化状态图 6”。
 在“界面变化状态图 6”中，向左滑动实景图像，进入“界面变化状态图 7”。
 点击“界面变化状态图 7”底栏左侧的“FISON”图标，进入“界面变化状态图 8”，此页可查看拖拉机数据和进行相关管理操作。
 点击“界面变化状态图 8”底栏右侧的“服务”图标，进入“界面变化状态图 9”,此页可进行“管家服务”和“在线咨询”的相关操作。
 点击“界面变化状态图 9”顶栏左侧图标，进入“界面变化状态图 10”的账号信息设置页面。
 点击“界面变化状态图 9”顶栏右侧图标，进入“界面变化状态图 11”的消息中心。
 三、自动驾驶：点击“界面变化状态图 6”中的“AUTO”按钮，进入“界面变化状态图 12”，进行自动驾驶的去程设置页面。
 点击“界面变化状态图 12”中的“农务1”按钮，进入“界面变化状态图 13”进行农务的相关设置。
 点击“界面变化状态图 13”中的“返回”按钮，进入“界面变化状态图 14”，进行回程的相关设置。
 点击“界面变化状态图 14”中的“总览”按钮，进入“界面变化状态图 15”，进行对整个路线的相关设置。
 点击“界面变化状态图 15”中的“AUTO”按钮，拖拉机开始自动驾驶，APP跳转到“界面变化状态图 16”，实时显示拖拉机的工作进程。
 四、远程控制：点击“界面变化状态图6”的遥控图标，进入“界面变化状态图17”遥控页面，默认为滑块的转向控制方式和安全速度模式（0‑15km/h）。
 将“界面变化状态图17”中的“安全”按钮右滑，进入“界面变化状态图18”的标准速度模式（0‑35km/h）。
 将“界面变化状态图18”中的“标准”按钮右滑，进入“界面变化状态图19”的倒车模式。
 点击“界面变化状态图17”左侧中间“灯光”图标，弹出“界面变化状态图20”灯光设置页，可设置LED大灯、指示灯、双闪灯。
 点击“界面变化状态图17”地图旁的设置按钮，进入“界面变化状态图21”进行方向盘设置。
 点击“界面变化状态图21”“方向盘模式”图标，进入“界面变化状态图22”方向盘的转向模式。
 23：点击“界面变化状态图22”页框外区域，关闭设置页框，进入“界面变化状态图23”的完整的“方向盘”模式效果。
 24：点击“界面变化状态图23”上方“眼睛”图标，进入“界面变化状态图24”视角切换窗，可切换第一人称、第三人称（近）、第三人称（远）的视角，包括对应视角下的前后左右和俯视视角。
 25：点击“界面变化状态图23”的“小地图”，进入“界面变化状态图25”的地图导航设置页，可查看地图信息，和设置导航。</t>
  </si>
  <si>
    <t>带图形用户界面的手机</t>
  </si>
  <si>
    <t>CN109482514B</t>
  </si>
  <si>
    <t>一种羽毛球质量自动分拣机，包括风力组件、转动盘、及转动盘上设置的多个风筒、及图像识别系统；所述的风力组件包括轴流风机及蜂巢整流板，所述的风力组件对应设置在其中一个风筒的下方，图像识别系统包括计算主机及摄像头，所述的摄像头设置在风力组件中轴线的上方，所述的转动盘上设有至少五个的呈圆形分布的风筒，所述的转动盘连接一转动机构，转动机构驱动转动盘间歇转动。本发明采用转盘形式的多工位结构，利用羽毛球在直流风筒中会旋转并悬浮的特点，采用风筒结构，并在风筒下方设置可产生直流风的风力组件，配置相应的自动送球组件及出球槽，将球逐个自动送入风筒中，并判断羽毛球的等级，连续转动进行连续检测，同时将前步骤的球通过特定出球槽送出，具有自动化程度高，可提高生产质量的优点。</t>
  </si>
  <si>
    <t>一种羽毛球质量自动分拣机</t>
  </si>
  <si>
    <t>AU2018264126A1</t>
  </si>
  <si>
    <t>律师案卷号:09945-0362AU1;DP118AU1 摘要 一种移动清洁机器人包括配置为清洁环境中的地板表面的清洁头,以及至少一个具有在地板表面上方延伸的视野的摄像机。 至少一个照相机被配置为捕捉包括地板表面上方的环境部分的图像。 机器人包括识别模块,其被配置为基于由至少一个摄像机捕获的图像来识别环境中的对象,其中至少部分地使用由至少一个摄像机捕获的图像来训练识别模块。 机器人包括存储设备,用于存储环境地图。 该机器人包括控制模块,该控制模块被配置为控制移动清洁机器人使用地图在环境中导航,并考虑到识别模块所识别的物体操作清洁头来执行清洁任务。 12274136.docx</t>
  </si>
  <si>
    <t>EP3508937B1</t>
  </si>
  <si>
    <t>FR3088757A1</t>
  </si>
  <si>
    <t>本发明由一种视觉观察装置组成,该装置集成了旨在放置在游泳池的一个或多个地方的摄像机。 这些相机连接到计算机设备,特别是包括图像识别算法,从而可以检测人的接近。 该检测装置可以区分用户类型(成人、儿童)并分析他是否配备了安全装置(臂章、腰带等)。 该检测装置可以检测游泳池的接近,并在出现危险情况时启动警报。 详细介绍了可根据游泳池类型组合的 3 种技术解决方案: - 位于游泳池附近柱子上的观察装置 - 集成在游泳池边缘的观察装置。 - 观察装置集成在用于密封在游泳池边缘、浸没或露出的部件中。</t>
  </si>
  <si>
    <t>游泳池报警系统,集成视觉传感器系统,集成在游泳池或其边缘</t>
  </si>
  <si>
    <t>CN109684919B</t>
  </si>
  <si>
    <t>针对羽毛球赛场发球过程中发球过手、过腰违例判别主观性过大的问题，本发明提供了一种利用计算机开源视觉库(OpenCV)作为识别手段的用于判断羽毛球发球过程中发球违例的方法，涉及图像处理、人工智能等领域。其中方法包括：采集运动员发球时的视频图像帧序列，通过运动检测预处理，达到提高系统效率的目的；通过建立羽毛球图像数据集并提取LBP数字图像特征进行分类器训练，确定出发球时羽毛球的位置；利用OpenCV计算出发球时球拍的相对角度的正负来判断是否发球过手；建立羽毛球顶部图像点与垂足图像点之间的关系方程，计算出发球点的离地高度用以判断是否发球过腰。本发明主要将图像处理技术应用到了羽毛球赛场中，具有检测简单和实用的特点。</t>
  </si>
  <si>
    <t>一种基于机器视觉的羽毛球发球违例判别方法</t>
  </si>
  <si>
    <t>KR1020200056233A</t>
  </si>
  <si>
    <t>[0001] 本发明涉及一种基于单摄像头的人工智能姿态分析技术的动作精度判定系统,更具体地说,涉及一种基于单摄像头的人工智能姿态分析技术的动作精度判定系统,其判定运动动作锻炼活动的用户。用于拍照并提供所拍摄运动的图像数据的单个相机; 骨骼数据提取器,用于从单个相机拍摄并提供的锻炼动作的图像数据中提取锻炼事件用户的骨骼数据; 运动姿态测量单元接收来自骨骼数据提取器的骨骼数据,并将骨骼数据与预设的参考运动数据进行比较以测量运动精度; 判断处理控制单元根据运动姿势测量单元测量的运动精度确定体育赛事用户的运动精度并提供确定结果。 本发明提出的基于单摄像头的人工智能姿态分析技术的动作精度判定系统,可以通过测量健身、举重、跆拳道等体育项目的用户动作,自动判定动作姿态的动作精度。 . 通过配置它,可以防止在运动过程中由于不正确的运动姿势而可能发生的伤害,以及用于举重比赛或跆拳道品势推广。 另外,本发明提出的基于单摄像头的人工智能姿态分析技术的运动精度判定系统,自动判定运动姿态的精度,但运动精度用概率表示,从而提供举重或跆拳道等比赛或晋级评比时,可以进行公正的评判,如运动会,尽量减少不必要纠纷的发生。</t>
  </si>
  <si>
    <t>基于单摄像头人工智能姿态分析技术的运动精度判定系统</t>
  </si>
  <si>
    <t>KR1020180127272A</t>
  </si>
  <si>
    <t>为了给使用者提供工作空间,在箱体的下侧设置了一个箱体,箱体包括形成前后左右两侧的侧壁以及密封上侧的上壁,以便使用者可以采取步行或跑步动作的步行辅助装置,用于执行步行的步行辅助装置,用于显示虚拟现实图像的一个或多个显示器,用于通过分析在一个或多个显示器上显示的虚拟现实图像来确定与虚拟现实图像相对应的环境的控制器本发明公开了一种用户体验装置,该用户体验装置包括用于调节箱内环境的内部环境控制装置。</t>
  </si>
  <si>
    <t>使用人工智能的用户体验设备</t>
  </si>
  <si>
    <t>CN109589580B</t>
  </si>
  <si>
    <t>本发明公开了基于视觉识别和全向移动的智能网球训练机器人及训练方法，属于光机电一体化设备和智能机器人技术领域。由全向移动底盘、发射机构云台、视觉识别系统和球仓机构四部分组成。主控芯片根据训练模式输出对应的命令状态，相应的执行元件发出对应的动作，测量元件把测量的数据反馈给主控芯片，并做出相应的调节动作。训练模式分为定点肌肉记忆模式、体能训练模式、高级技巧模式、随机球模式四种。全向移动可以快速精确的移动到指定位置，采用6字形供弹机构，实现了高频发球和变频发球；加入了Roll轴电机使得机器人具备发射多角度旋球的能力；采用视觉识别系统，从而实现智能化的训练目的。</t>
  </si>
  <si>
    <t>基于视觉识别和全向移动的智能网球训练机器人及训练方法</t>
  </si>
  <si>
    <t>CN109409324B</t>
  </si>
  <si>
    <t>本发明公开了一种跑步机运行参数测量方法以及跑步机运行参数测量装置，其中，该参数测量方法包括：步骤S1，控制照明光源发出光束照射跑步机的皮带底面，在皮带底面上形成光斑；步骤S2，控制摄像装置拍摄光斑，得到多帧连续的光斑图像；步骤S3，对多帧连续的光斑图像进行图像识别处理，得到跑步机运行参数信息。本发明基于图像识别获取跑步机运行参数信息，因此，无需对跑步机进行改造，既致使该测量方法具备普遍适用性，也节省了改造成本。此外，多帧连续的光斑图像记录了跑步机皮带不同时刻的不同状态，从而对多帧连续的光斑图像进行图像识别处理，获得的跑步机运行参数信息准确性更高且信息种类也更多。</t>
  </si>
  <si>
    <t>跑步机运行参数测量方法以及跑步机运行参数测量装置</t>
  </si>
  <si>
    <t>US62757058P0</t>
  </si>
  <si>
    <t>计算机视觉和人工智能在篮球领域的应用</t>
  </si>
  <si>
    <t>KR102179435B1</t>
  </si>
  <si>
    <t>可识别污染车牌的图像识别装置</t>
  </si>
  <si>
    <t>US20200135050A1</t>
  </si>
  <si>
    <t>本文介绍的方法能够提供实时物联网 (IoT) 反馈,以优化公开演讲的表现。 更具体地,代表用户口语表现的一组数据被捕获和分析以生成用户的口语表现概况。 将该简档与参考口语表现简档进行比较,并且基于比较,为用户生成一组表现改进策略。 基于对一组 IoT 设备的可用性的识别,从一组性能改进策略中选择一个性能改进策略,以交付至少一个策略。 然后,响应于捕获的与用户相关联的说话表现,指令被传送到可用的物联网设备,以在说话表现期间通过可用的物联网设备的输出用户界面将选择的性能改进策略传递给用户。</t>
  </si>
  <si>
    <t>物联网演讲教练</t>
  </si>
  <si>
    <t>CN109472230B</t>
  </si>
  <si>
    <t>本发明公开了一种基于行人检测和互联网的运动员自动摄像推荐系统，包括用户图片管理云服务器、通信连接的摄像终端和用户终端。本发明还公开了一种基于行人检测和互联网的运动员自动摄像推荐方法，包括步骤：1）用户终端获取账号信息、号码牌图片和号码值并发送至图片管理云服务器；2）摄像终端获取对应账号用户的图片数据；3）图片管理云服务器接收所述用户终端的账号信息和所述摄像终端的图片数据自动推荐给对应账户的用户终端。本发明通过智能图像处理技术自动拍摄马拉松运动员的图片，将图片与马拉松运动员号码牌绑定，智能地将图片推荐给马拉松运动员，避免了繁琐和昂贵的人工拍摄方式，整个系统简单易用，实用性强，省时省力。</t>
  </si>
  <si>
    <t>基于行人检测和互联网的运动员自动摄像推荐系统及方法</t>
  </si>
  <si>
    <t>CN109509125A</t>
  </si>
  <si>
    <t>本发明提供了一种基于大数据云平台的智能体育教育管理方法及系统，能够利用穿戴式设备等智能物联网硬件终端，配合大数据云平台，全面收集学生的各种信息，并动态地对数据进行深度挖掘、分析，并把相关的分析结果提供给体育教学老师。</t>
  </si>
  <si>
    <t>一种基于大数据云平台的智能体育教育管理方法及系统</t>
  </si>
  <si>
    <t>CN109409294B</t>
  </si>
  <si>
    <t>本发明公开了基于对象运动轨迹的停球事件的分类方法和系统，其中方法包括：采用神经网络对训练视频进行检测分别得到球员和足球的预测框；记录同时检测到一个足球和一个球员的图像的帧数、球员的坐标以及足球的坐标，并将前后两帧图像的帧数相减，差值大于预设阈值时则确定停球事件；选取每个停球事件中预设定帧长的视频；将停球事件成功与否打上标签；将不同的停球事件进行向量化处理得到向量化的数据并投入到分类器中，通过交叉验证，给出停球时间成功或失败的二分类结果并输出分类准确率。本发明通过检测的结果划分事件，通过设置具体的分类器的属性，能对加载的停球事件的位置信息做出准确的分类，具有很好的稳定性以及鲁棒性。</t>
  </si>
  <si>
    <t>基于对象运动轨迹的停球事件的分类方法和系统</t>
  </si>
  <si>
    <t>CN109460724B</t>
  </si>
  <si>
    <t>本发明公开了基于对象检测的停球事件的分离方法和系统，其中方法包括：采用图像标注工具对原始训练集图像中的球员和足球进行标注，标注时将球员和足球用一个矩形框框出其在图像中的位置并输入相应的标签，得到标注后的训练集图像；根据训练集中的图像训练神经网络并输出图像中目标检测框的边界和目标的类别；采用训练好的神经网络对待检测的训练视频进行检测确定图像的帧数并输出球员和足球的坐标；将同时检测到足球和球员的前后两帧图像的帧数相减，差值大于预设阈值时则确定停球事件。本发明基于神经网络的检测的结果，对检测数据不断分析，找到停球事件的特点来对停球事件进行分离，具有很好的稳定性以及鲁棒性。</t>
  </si>
  <si>
    <t>基于对象检测的停球事件的分离方法和系统</t>
  </si>
  <si>
    <t>KR102585135B1</t>
  </si>
  <si>
    <t>本发明涉及一种虚拟体验安全教育系统,可以在虚拟现实或混合现实中体验求生游泳教育,通过真实的临场感和沉浸感,保证体验者的安全,增加教育效果。本发明涉及一种生存游泳模拟系统,本发明是一种生存游泳模拟系统,其配备有环境传感器,包括水垫、摄像头和图像识别模块,设计用于让体验者躺下感受检测身体运动的体动检测设备,佩戴在体验者头上并输出虚拟现实内容的体验输出设备,接收来自环境检测传感器和体动检测的数据值水垫装置和体验装置其特征在于,包括能够控制向输出装置输出虚拟现实内容的管理员终端。 根据本发明,可以使用能够安全且真实地提供救生游泳教育的救生游泳模拟系统。</t>
  </si>
  <si>
    <t>生存游泳模拟系统</t>
  </si>
  <si>
    <t>WO2019079818A1</t>
  </si>
  <si>
    <t>一种用于将运动员图像识别注册到体育赛事中的系统和方法。 运动员使用图像识别技术在体育赛事中注册。 当运动员越过起跑线时,由摄像机 (106) 拍摄的运动员的数字开始图像。 将数字开始图像与存储的运动员档案图像进行比较,以识别运动员并将他们输入到事件中,而无需运动员预先注册特定事件。 结合模式识别的增强识别技术可用于提高身份准确性。</t>
  </si>
  <si>
    <t>用于体育赛事中运动员图像识别注册的系统和方法</t>
  </si>
  <si>
    <t>DE112018004673T5</t>
  </si>
  <si>
    <t>用于在体育赛事中对运动员进行图像识别注册的系统和方法。 运动员使用图像识别技术注册参加体育赛事。 当运动员越过起跑线时,摄像机(106)捕捉运动员的数字起跑图像。 将数字开始图像与存储的运动员档案图像进行比较,以识别运动员并将其加入比赛,而无需运动员预先注册特定的比赛。 涉及模式识别的改进识别技术可用于提高身份准确性。</t>
  </si>
  <si>
    <t>运动员在体育赛事中的图像识别注册系统和程序</t>
  </si>
  <si>
    <t>AU2018350362B2</t>
  </si>
  <si>
    <t>NZ764621B</t>
  </si>
  <si>
    <t>US10991168B2</t>
  </si>
  <si>
    <t>一种用于将运动员图像识别注册到体育赛事中的系统和方法。 运动员使用图像识别技术在体育赛事中注册。 摄像机拍摄的运动员的数字开始图像( 106 ) 当运动员越过起跑线时。 将数字开始图像与存储的运动员档案图像进行比较,以识别运动员并将他们输入到事件中,而无需运动员预先注册特定事件。 结合模式识别的增强识别技术可用于提高身份准确性。</t>
  </si>
  <si>
    <t>CA3096658C</t>
  </si>
  <si>
    <t>GB2581746B</t>
  </si>
  <si>
    <t>一种体育赛事报名系统和方法</t>
  </si>
  <si>
    <t>US20190118066A1</t>
  </si>
  <si>
    <t>健身训练系统公开了一种能够使用一个或多个智能健身设备(“SFE”)提供交互式体育锻炼的过程或方法。 一方面,该过程能够接收来自用户通过认证器发起的SFE的认证请求。 在根据认证请求从用户简档存储中检索表示与用户相关的一组预定义信息的简档之后,基于简档和由一个或多个健身机器学习产生的一组预定义数据集生成交互式健身计划 使用大数据的模块。 在根据交互式健身计划激活一组能够监测用户的传感器时,传感器检测和/或感测与用户相关联的各种运动。 该过程被配置为在锻炼期间响应于检测到的运动向用户提供交互式反馈。</t>
  </si>
  <si>
    <t>用于通过基于云的网络提供交互式健身设备的方法和装置</t>
  </si>
  <si>
    <t>WO2019079776A1</t>
  </si>
  <si>
    <t>健身训练系统公开了一种能够使用一个或多个智能健身设备(SFE)提供交互式体育锻炼的过程或方法。 一方面,该过程能够接收来自用户通过认证器发起的SFE的认证请求。 在根据认证请求从用户简档存储中检索表示与用户相关的一组预定义信息的简档之后,基于简档和由一个或多个健身机器学习产生的一组预定义数据集生成交互式健身计划 使用大数据的模块。 在根据交互式健身计划激活一组能够监测用户的传感器时,传感器检测和/或感测与用户相关联的各种运动。 该过程被配置为在锻炼期间响应于检测到的运动向用户提供交互式反馈。</t>
  </si>
  <si>
    <t>US10346679B2</t>
  </si>
  <si>
    <t>使用两个或更多摄像机跟踪接近运动员的物体的路径和/或方向。 使用至少两个具有不同位置的不同相机获得对象的至少两组图像。 识别图像内的运动区域,并在运动区域内识别对象的二维空间中的候选位置。 基于此,可识别部分在3D空间中的可能位置被识别,用于对象接近期间的多个瞬间中的每一个。 对象的至少可识别部分的分段 3D 轨迹是从对象接近运动员的多个瞬间的 3D 空间中的可能位置近似的。 对象的 3D 轨迹的图形表示被合并到至少一组图像中。</t>
  </si>
  <si>
    <t>JP1638712S</t>
  </si>
  <si>
    <t>根据本申请的设计的物品是通过附接至机器人手臂的尖端而使用的附件,如显示附接至手臂的状态的参考图所示。 例如,在自动烹调器的手臂部分(自动烹调器示例的参考图中以红色显示的部分),用于使用 AI(人工智能)控制整体操作并自动烹调。 . 参考:在C-C线剖面图中红色圆圈所示的位置有一个关节,并如C-C线剖面图1和2所示弯曲,表示手臂的运动以执行抓取等操作并选择一个对象。</t>
  </si>
  <si>
    <t>机械臂附件</t>
  </si>
  <si>
    <t>JP6761841B2</t>
  </si>
  <si>
    <t>提供一种基于从运动员收集的身体状况信息推导运动员身体状况与潜在伤害之间的相关性的技术。解决方案:在伤害预防系统1中,基于机器学习的伤害预防模型生成器100 包括:信息采集单元,用于采集球员练习前身体状况的第一状态信息、练习后球员身体状态的第二状态信息、以及球员伤病信息的伤病信息。 参数计算单元,用于根据第一状态信息和第二状态信息计算反映玩家身体状况的参数; 模型生成单元,用于生成基于机器学习算法学习了参数与球员受伤信息之间的相关性的伤害预防模型。选择图:图1</t>
  </si>
  <si>
    <t>基于机器学习的伤害预防模型生成装置、伤害预防装置及其方法</t>
  </si>
  <si>
    <t>US10413238B1</t>
  </si>
  <si>
    <t>JP1627826S</t>
  </si>
  <si>
    <t>与本申请的设计相关的文章是机器人,它可以在顶板上携带例如装满饮料的玻璃杯、装有成品盘子的盘子、餐具、用过的餐具等,以及AI(人工智能)等。来控制整体操作。 可以通过杆的伸缩来调整高度,如从杆被折叠的平面方向的透视图和正视图所示,杆被折叠以变细成扁平的圆柱形。</t>
  </si>
  <si>
    <t>运输机器人</t>
  </si>
  <si>
    <t>JP1642116S</t>
  </si>
  <si>
    <t>本设计所涉及的物品是一种计划主要安装在餐厅、机场休息室、酒店聚会场所等商业设施中,目的是为服务顾客自动准备食物并控制整体操作的设备。 AI(人工智能)。 如图所示,参考透视图中的红色手臂部分通过沿箭头方向滑动并改变其形状来自动烹饪。 预先准备的各种附件,例如带有机械手功能(手功能)的附件和用于切割食材的带有刀功能的附件,可以安装到手臂部分的尖端,并且本产品会自动安装和更换它们。去的时候 申请本申请的外观设计注册的甜甜圈形状的部分作为主要供顾客用餐的桌子发挥作用,在所谓的机械臂进行烹调时也作为烹调台发挥作用。 如参考透视图所示,通过向周围的顾客展示坐在他们周围的椅子上,手臂如何沿着同一部分的内边缘自由移动,他们可以做饭。手臂,营造娱乐空间。</t>
  </si>
  <si>
    <t>自动烹调装置</t>
  </si>
  <si>
    <t>IN201821038840A</t>
  </si>
  <si>
    <t>本发明提供了一种用于自动标记板球元数据的系统和方法。 该系统和方法使用经过训练的人工智能机器/算法来识别板球镜头的不同方面以及用于对识别的内容进行编目的馈送。 输入的板球视频/流被分成帧。 从帧中提取记分卡并分析得分以提供关键数据,如击球手、非前锋、投球手、得分和球中的三柱门、临时演员等事件、重播开始和结束、逻辑球边界(开始和结束 一旦创建了逻辑球边界,逻辑球边界内的帧就会进行视觉识别、场景标记、声音分析等。场景被标记和存储以帮助创建板球亮点和其他自定义包。 [图。1]</t>
  </si>
  <si>
    <t>一种蟋蟀元数据自动标记的系统和方法</t>
  </si>
  <si>
    <t>KR102123738B1</t>
  </si>
  <si>
    <t>本发明涉及一种基于AI实力评估的足球内容提供系统。 本发明是一种人工智能,包括由多个大数据分析终端(100)组成的大数据分析终端集合(100a)、网络(200)、人工智能技术评估服务器(300)、在基于功率评估的足球内容提供系统1中,基于AI的技术评估服务器300被配置为根据来自构成大数据的每个基于大数据的分析终端100的时间线进行足球比赛基于分析终端机100a,在控制第一收发器310通过网络200接收球员的球员技术数据后,FBC(Football Big-data Code)针对输入的球员技术数据A足球的预设攻击类别之一对应大数据收集模块321,将其转换并存储在足球大数据代码DB 330a中; 对已经转换为攻击数据并存储在足球大数据代码DB(330a)中的FBC提取技术结果值后,分析其是否为有效攻击,以及提取的FBC技术结果值是否为有效攻击。为每一次攻击数据匹配的预设代码信息,进行比较,如果分析结果不是有效攻击,则在根据被分析球员技术数据的时间线通过请求接收到下一位球员的技术数据后足球大数据采集模块321,又是进攻数据分析模块322,分析是否是一次有效的进攻,反之,通过通知战术分析模块请求分析该战术是否对应于预设的战术类别之一323 如果分析结果是一个有效的攻击。); 当FBC不对应于预先存储在评估DB(330)的战术大数据DB(330b)中的预设战术类别之一的战术时,为FBC设置TAP(Total Attack Points)。之后,在足球大数据代码DB(330a)中,将两支球队中待分析球员的球队ID设置为第一元数据,将球员的球员ID作为时间线上的第二元数据。战术分析模块323分析球员的技术数据,指定相应的单元并将其存储在DB 330的战术大数据DB 330b中以供评估; 通过包括在内,可以为至少一场足球比赛提供系统和客观分析的数据。</t>
  </si>
  <si>
    <t>基于人工智能评估的足球内容提供系统、基于人工智能的技术评估服务器和足球数字内容提供服务器</t>
  </si>
  <si>
    <t>CN108992920A</t>
  </si>
  <si>
    <t>本发明涉及一种娱乐装置，特别是一种智能麻将机，其特征在于：包括：麻将桌；麻将牌，麻将牌内设置有记录牌面信息的感应标签卡；洗牌装置，设置于麻将桌内，用于对麻将牌进行洗牌，并形成牌堆；读写器，用于识别感应标签卡，以读取相应麻将牌的牌面信息；图像识别装置，设置于麻将桌上方，用于识别麻将桌上牌面朝上的麻将牌的牌面信息，以及用于识别牌堆麻将牌的位置顺序信息；控制器，分别与读写器和图像识别装置通讯连接，并接收读写器与图像识别装置所传送的信息。本发明的智能麻将机，能够快速高效的识别玩家打出的麻将牌信息，不会存在识别错误的问题，同时，还提升了比赛记录和统计计分的准确性，并且，还可以有效的防止作弊现象发生。</t>
  </si>
  <si>
    <t>WO2019075025A1</t>
  </si>
  <si>
    <t>用于提供关于传送数字内容的警报的系统和方法</t>
  </si>
  <si>
    <t>CN111201744A</t>
  </si>
  <si>
    <t>本发明披露了一种用于在传送数字内容时、诸如在感兴趣的数字内容即将到来时(例如，在橄榄球比赛期间进攻开始时)提供警报以将一个或多个观看者的注意力引向该数字内容的系统和方法。本发明进一步被配置为在引导观看者的注意力时与该警报一起嵌入商业广告消息。该系统适于手动或自动激活该警报。进一步地，该系统可选地利用人工智能(AI)系统来实施，该AI系统使用深度学习进行训练，以识别适当的时间来自动触发警报/商业广告消息序列。可以通过监视对警报激活的手动控制来训练该AI系统。</t>
  </si>
  <si>
    <t>BR112020006984B1</t>
  </si>
  <si>
    <t>本发明公开了一种用于在递送数字内容时提供警报的系统和方法,例如当有趣的数字内容迫在眉睫时,例如,在足球比赛期间开始播放,以引导一个或多个观众的注意力以观看数字内容内容。 本发明还被配置成将商业信息与警报结合起来以引导观众的注意力。 该系统适用于手动或自动激活警报。 此外,该系统可选地与人工智能 (AI) 系统一起实施,该系统使用深度学习进行训练,以识别自动触发商业警报/消息序列的适当时间。 人工智能系统可以通过监控警报激活手动控制进行训练。</t>
  </si>
  <si>
    <t>用于在递送数字内容时提供警报的系统和用于在递送嵌入系统中的数字内容时提供警报的方法</t>
  </si>
  <si>
    <t>EP3695558A4</t>
  </si>
  <si>
    <t>CN109621328A</t>
  </si>
  <si>
    <t>本发明提供了一种力量训练系统及其反馈控制方法，包括控制系统、驱动装置以及传动机构，所述控制系统与云端存储系统相连接，所述驱动装置通过传动机构将力量传递给使用者，在力的传送途径中设置检测装置，所述检测装置与控制系统连接，并将检测到的数据发送给控制系统，所述控制系统与驱动装置连接，进而调节驱动装置的输出数据，所述反馈控制方法包括阻力反馈控制法、加速度或角加速度反馈控制方法以及基于神经网络的PID反馈控制方法。本发明提供的力量训练系统及其反馈控制方法不仅适用于多种健身器材，实现精确控制，适应环境变化，而且有较强的稳定性，通用性强，进而保证整个控制系统的精确控制。</t>
  </si>
  <si>
    <t>一种力量训练系统及其反馈控制方法</t>
  </si>
  <si>
    <t>US10587933B2</t>
  </si>
  <si>
    <t>KR1020200038803A</t>
  </si>
  <si>
    <t>[0001] 本发明涉及一种人工智能教练系统及方法,更具体地说,基于台球比赛过程中的视频分析,可以自动对比赛参与者进行台球比赛指导,以方便提高他们的台球比赛技能。可以使用的台球比赛人工智能教练系统及方法。 
  为此,本发明包括用于拍摄台球桌上的台球的照相机装置; 游戏设置是指预先定义的,以便可以选择要在台球桌上玩的游戏规则; 图像分析装置,用于根据比赛设定装置设定的比赛规则,分析摄像机装置拍摄的台球和比赛参与者的姿势图像; 其特征在于它包括:图像显示装置,用于视觉地表达由图像分析装置分析的图像。</t>
  </si>
  <si>
    <t>台球游戏AI辅导系统及方法</t>
  </si>
  <si>
    <t>BR102018070395A2</t>
  </si>
  <si>
    <t>用于管理、收款和支付物业和房地产项目的移动技术数字系统,通过付款单和其他收款方式,固定或移动,例如信用卡或借记卡机 - POS、图腾、手机和其他移动通过 pi 系统发送和接收固定和可变信息的通信设备,在 3 种媒体中:印刷纸、互联网和手机,具有电子存储和跟踪信息,不断更新,包括通过旨在提高有效性的人工智能算法双方之间的关系,由于民用建筑公司提供更大的便利,无论是建筑商和/或开发商等(开发商),建造所有类别和用途,住宅,商业等(项目)的财产,个人或购买它们(买方)的私人或公共法人实体,支付 s 双方就以任何货币(包括加密货币(虚拟货币,例如 比特币、以太币)。 数据、文件、汇票、价值交易等的所有处理均由控制和管理中心 (CCG) 在 pi 的专用软件中通过多通道通信(全通道)、自动控制完成和监控发生的所有事件,以及有关买家以任何类型的货币向开发商支付款项的信息,这些货币在保密、同步、全面跟踪、无错误和实时的情况下进行财务操作,就好像它是“数字金融虚拟行政区 (af-d)" 每周 7 天、每天 24 小时运行。</t>
  </si>
  <si>
    <t>用于管理、收集和支付财产和房地产企业的数字移动技术系统,通过账单和其他健身或移动收集方式,例如信用卡或借记卡机 - POS、TOTENS、手机和其他移动通信设备</t>
  </si>
  <si>
    <t>ZAA201801529S</t>
  </si>
  <si>
    <t>科萨 Lite (Pty) Ltd 私人公司和商标注册号:2012/100436/07 - 2018/20789 私人公司和商标的权益:100% 状态:商业中。 商标:科萨精简版。 商标注册号:2011/20439 状态:已注册。 性质:普通。 商标股份:100% 版权申请号 2017/00037 电影:广播。 资本:R990 000 000 000 000 版权状态:已注册。 商品:服装、鞋类和头饰。 商标; 精简版。 商标注册号:2017/10433 状态:已注册。 性质:普通。 商标股份:100% 版权申请号 2017/00030 电影:电影胶片。 资本:R240 000 000 版权状态:已注册。 服务:电信。 货物描述:工业、科学和摄影以及农业、园艺和林业使用的第 1 类化学品的解释性说明的类别清单; 未加工的人造树脂、未加工的塑料; 灭火和防火组合物; 回火和焊接准备; 鞣制动物皮毛的物质; 工业用粘合剂; 油灰和其他糊状填料; 堆肥、粪肥、肥料; 用于工业和科学的生物制剂。 注释 第一类主要包括用于工业、科学和农业的化学产品,包括那些用于制造其他类别产品的产品。 此类包括,特别是: - 敏化纸; -轮胎修补组合物; - 用于保存的盐,食品除外; -用于食品工业的某些添加剂,例如果胶、卵磷脂、酶和化学防腐剂; - 用于制造化妆品和药品的某些成分,例如维生素、防腐剂和抗氧化剂; - 某些过滤材料,例如,矿物物质、植物物质和颗粒形式的陶瓷材料。 本类不包括,特别是: -未加工的天然树脂(第 2 类)、半加工树脂(第 17 类); ——医用或兽医用化学制剂(第五类); ——杀真菌剂、除草剂和杀虫剂(第五类); ——文具或家用粘合剂(第十六类); ——食品保存用盐(第三十类); -秸秆覆盖物(第 31 类)。 第 2 类油漆、清漆、清漆; 防腐剂防锈和防止木材变质; 着色剂、染料; 印刷、标记和雕刻油墨; 未加工的天然树脂; 用于绘画、装饰、印刷和艺术的箔和粉末形式的金属。 解释性说明 第 2 类主要包括用于防腐蚀的油漆、着色剂和制剂。 本类尤其包括: -工业、手工艺品和艺术用油漆、清漆和亮漆; -油漆、清漆和亮漆的稀释剂、增稠剂、固定剂和干燥剂; -木材和皮革的媒染剂; - 防锈油和木材防腐油; - 服装染料; -食品和饮料的着色剂。 本类尤其不包括: -未加工的人造树脂(第 1 类)、半加工树脂(第 17 类); ——金属媒染剂(第一类); -洗衣发蓝(第三类); -化妆品染料(第三类); -油漆盒(学校用物品)(第 16 类); ——文具用油墨(第十六类); -绝缘油漆和清漆(第 17 类)。 第三类非药用化妆品和盥洗用品; 非药用牙膏; 香水、精油; 洗衣用漂白剂和其他物质; 清洁、抛光、擦洗和研磨剂。 注释第 3 类主要包括非药物洗漱用品,以及用于家庭和其他环境的清洁用品。 本组特别包括: -用化妆水浸渍的纸巾; - 人用或动物用除臭剂; - 房间香氛制剂; - 美甲贴纸; -抛光蜡; -砂纸。 本类尤其不包括: -用于化妆品制造的成分,例如维生素、防腐剂和抗氧化剂(第一类); ——制造过程中使用的脱脂制剂(第一类); -化学烟囱清洁剂(第一类); ——除人类或动物以外的除臭剂(第五类); -药用洗发水、肥皂、乳液和牙膏(第五类); -金刚砂板、金刚砂锉、磨刀石和磨石(手动工具)(Cl.8); - 化妆品和清洁用具,例如化妆刷(第 21 类)、清洁用布、垫和抹布(第 21 类)。 第 4 类工业油脂、蜡; 润滑剂; 吸尘、润湿和粘合组合物; 燃料和照明剂; 用于照明的蜡烛和灯芯。 解释性说明 第 4 类主要包括工业油和油脂、燃料和照明剂。 本组尤其包括: -用于保护砖石或皮革的油; -原蜡、工业蜡; -电能; -汽车燃料、生物燃料; - 燃料用非化学添加剂; -用作燃料的木材。 本类特别不包括: -某些特殊工业油和油脂,例如,鞣革油(第 1 类)、木材防腐油、防锈油和油脂(第 2 类)、必需品 油类(第三类); ——美容按摩蜡烛(第三类)和药用按摩蜡烛(第五类); - 某些特殊蜡,例如树木接枝蜡(第 1 类)、裁缝蜡、抛光蜡、脱毛蜡(第 3 类)、牙科用蜡(第 5 类)、密封蜡(第 16 类)。 第 5 类药品、医用和兽医用制剂; 医用卫生制剂; 适用于医疗或兽医用途的营养食品和物质,婴儿食品; 人和动物的膳食补充剂; 膏药,敷料材料; 塞牙材料、牙蜡; 消毒剂; 消灭害虫的准备工作; 杀菌剂,除草剂。 注释 第 5 类主要包括药品和其他医用或兽医用制剂。 本组特别包括: -个人卫生用卫生用品,洗漱用品除外; - 婴儿尿布和失禁尿布; -除人类或动物以外的除臭剂; - 药用洗发水、肥皂、乳液和牙膏; -旨在补充正常饮食或对健康有益的膳食补充剂; -适用于医疗或兽医用途的代餐和营养食品和饮料。 本类不包括,特别是: -用于制药的成分,例如维生素、防腐剂和抗氧化剂(第 1 类); ——非药物洗漱用品(第三类); ——人用或动物用除臭剂(第三类); -支持性绷带(第 10 类); - 未指定用于医疗或兽医用途的代餐和营养食品和饮料,应归入适当的食品或饮料类别,例如低脂薯片(第 29 类)、高蛋白谷物棒( 第 30 类),等渗饮料(第 32 类)。 第六类普通金属及其合金、矿石; 建筑用金属材料; 可移动的金属建筑物; 普通金属非电力电缆和电线; 金属五金小件; 用于储存或运输的金属容器; 保险箱。 解释性说明 第 6 类主要包括未锻造和部分锻造的普通金属,包括矿石,以及某些由普通金属制成的商品。 该类别尤其包括: -用于进一步加工的箔或粉末形式的金属,例如用于 3D 打印机; -金属建筑材料,例如,用于铁路轨道的金属材料、金属管和金属管; -小件金属五金件,例如螺栓、螺丝、钉子、家具脚轮、窗户紧固件; - 可移动的金属建筑物或结构,例如预制房屋、游泳池、野生动物笼子、溜冰场; - 某些未按功能或用途分类的普通金属制成的商品,例如普通金属的通用盒子、雕像、半身像和普通金属艺术品。 本类不包括,特别是: - 因其化学性质在工业或科学研究中用作化学品的金属和矿石,例如铝土矿、汞、锑、碱金属和碱土金属(第 1 类); ——用于绘画、装饰、印刷和艺术的箔和粉末状金属(第二类); ——电缆(第 9 类)和非金属电缆和绳索(第 22 类); ——作为卫生设施部件的管道(第 11 类)、非金属柔性管道、管子和软管(第 17 类)和非金属刚性管道(第 19 类); ——家庭宠物笼(第 21 类); - 某些由普通金属制成并按其功能或用途分类的商品,例如,手动工具、手动(第 8 类)、回形针(第 16 类)、家具(第 20 类)、厨房用具(第 20 类) . 21),家用容器(第 21 类)。第 7 类机器、机床、电动工具; 马达和发动机,陆地车辆除外; 机器耦合和传动部件,陆地车辆除外; 农具,除手动工具外; 鸡蛋孵化器; 自动售货机。 注释 第 7 类主要包括机器和机床、马达和发动机。 本类尤其包括: ——各种电动机和发动机的零件,例如,电动机和发动机的起动机、消音器和气缸; -电动清洁和抛光设备,例如电动擦鞋机、电机和地毯清洗设备和吸尘器; -3D 打印机; -工业机器人; -某些非运输用途的特殊车辆,例如扫路机、筑路机、推土机、雪犁,以及作为这些车辆履带部件的橡胶履带。 此类不包括,特别是: -手动工具和器具,手动(第 8 类); -具有人工智能的人形机器人、实验室机器人、教学机器人、安全监控机器人(第 9 类)、手术机器人(第 10 类)、机器人汽车(第 12 类)、机器人鼓(第 15 类)、玩具机器人(第 15 类) . 28); ——陆地车辆用马达和发动机(第十二类); ——车辆和拖拉机踏板(第十二类); -某些特殊机器,例如自动柜员机(第九类)、人工呼吸呼吸器(第十类)、制冷设备和机器(第十一类)。 第 8 类手动工具和器具,手动的; 刀具; 副武器,枪支除外; 剃须刀。 解释性说明 第 8 类主要包括用于执行钻孔、整形、切割和穿孔等任务的手动工具和工具。 本类尤其包括: -手动农业、园艺和园林绿化工具; -木匠、艺术家和其他工匠的手动工具,例如锤子、凿子和雕刻机; - 用于手动工具的手柄,例如刀和镰刀; - 用于个人美容和人体艺术的电动和非电动手动工具,例如剃须刀、卷发工具、纹身工具、修指甲和修脚工具; -手动泵; -餐桌餐具,如刀、叉和勺子,包括贵金属制成的。 本类尤其不包括: ——电机驱动的机床和工具(第七类); -手术刀(第十类); - 自行车轮胎打气筒(第 12 类),特别适用于游戏用球的打气筒(第 28 类); ——作为枪支的副武器(第十三类); ——办公用切纸刀和碎纸机(第十六类); - 用于根据其功能或用途分为不同类别的物品的把手,例如手杖把手、雨伞把手(第 18 类)、扫帚把手(第 21 类); ——服务用具,例如糖钳、冰夹、馅饼机和服务勺,以及厨房用具,例如混合勺、杵和研钵、胡桃夹子和抹刀(第 21 类); - 击剑武器(第 28 类)。 第九类科学、航海、测量、摄影、电影、光学、称重、测量、信号、检查(监督)、救生和教学仪器仪表; 用于传导、切换、转换、累积​​、调节或控制电力的设备和仪器; 声音或图像的记录、传输或再现设备; 磁性数据载体、记录盘; 光盘、DVD 和其他数字记录媒体; 投币式设备的机制; 收银机、计算器、数据处理设备、计算机; 电脑软件; 灭火器。 解释性说明 本类尤其包括: ——实验室科学研究用仪器和仪器; - 控制船舶的仪器和仪器,例如测量和传送命令的仪器和仪器; -量角器; -打孔卡办公机; -所有计算机程序和软件,无论记录媒体或传播方式如何,即记录在磁性媒体上或从远程计算机网络下载的软件。 本类尤其不包括: -下列电气设备和仪器: 1. 厨房用机电设备(食品研磨机和搅拌机、水果压榨机、电动咖啡机等),以及某些其他驱动的设备和仪器 电动机,全部归于 Cl。 7; 2.泵送或分配燃料的装置(第七类); 3. 电动剃须刀、快船(手用器具)和扁铁(第八类); 4. 用于空间加热或液体加热、烹饪、通风等的电气设备(第 11 类); 五、电动牙刷及梳子(第二十一类); ——钟表及其他计时仪器(第十四类); -控制时钟(第 14 类); -适用于外部显示屏或监视器的娱乐和游戏设备(第 28 类)。 第 10 类外科、医疗、牙科和兽医器械和器械; 假肢、眼睛和牙齿; 骨科用品; 缝合材料; 适用于残疾人的治疗和辅助设备; 按摩器; 护理婴儿用器具、装置和用品; 性活动器具、装置和物品。 注释 第 10 类主要包括一般用于诊断、治疗或改善人和动物的功能或状况的外科、医疗、牙科和兽医设备、仪器和物品。 本类别尤其包括: - 医用绷带和特殊服装,例如,压缩衣、静脉曲张袜、紧身衣、矫形鞋; - 用于月经、避孕和分娩的用品、仪器和装置,例如月经杯、子宫托、避孕套、分娩床垫、产钳; - 由人工或合成材料组成的治疗和假肢制品和植入装置,例如由人工材料组成的外科植入物、人造乳房、脑起搏器、可生物降解的骨固定植入物; - 专为医疗用途制造的家具,例如,医疗或牙科用途的扶手椅、医疗用途的气垫、手术台。 本组尤其不包括: ——医用敷料和吸收性卫生用品,例如,敷料用的膏药、绷带和纱布、哺乳垫、婴儿餐巾和失禁餐巾、卫生棉条(第 5 类); -由活组织组成的外科植入物(第 5 类); ——医用无烟卷烟(第五类)和电子卷烟(第三十四类); ——轮椅和代步车(第十二类); -按摩床和病床(第 20 类)。 第 11 类照明、加热、蒸汽发生、烹饪、冷藏、干燥、通风、供水和卫生用途的设备。 解释性说明 本类尤其包括: -空调设备; - 暖床、热水瓶、暖锅,电动或非电动; - 电加热垫(垫)和毯子,非医疗用途; - 电热服装; -电水壶; - 电炊具。 本类尤其不包括: -蒸汽生产设备(机器零件)(第 7 类)。 第 12 类车辆; 陆、空或水上运动设备。 注释 第 12 类主要包括用于通过陆路、空运或水路运输人员或货物的车辆和设备。 本类尤其包括: - 陆地车辆用发动机和发动机; -陆地车辆用联轴器和传动部件; - 气垫车; -遥控车,玩具除外; - 车辆零件,例如,保险杠、挡风玻璃、方向盘、车轮用轮胎,以及车辆用胎面。 本组尤其不包括: ——金属铁路材料(第 6 类); ——除陆地车辆外的电动机、发动机、联轴器和传动部件(第七类); ——各种电动机和发动机的零件,例如电动机和发动机的起动机、消音器和气缸(第七类); - 橡胶履带是建筑、采矿、农业和其他重型机械的履带部件(第 7 类); ——玩具三轮车和滑板车(第二十八类); ——某些非运输用途的特殊车辆或轮式设备,例如,自行式扫路机(第 7 类)、消防车(第 9 类)、茶车(第 20 类); - 车辆的某些部件,例如,电动电池、里程记录器和车辆收音机(第九类)、汽车和自行车灯(第十一类)、汽车地毯(第二十七类)。 第 13 类枪支; 弹药和射弹; 炸药; 烟花。 注释 第 13 类主要包括火器和烟火制品。 此类不包括,特别是: -Matches(第 34 类)。第十四类贵金属及其合金; 珠宝、宝石和半宝石; 钟表和计时仪器。 注释 第十四类主要包括贵金属和某些由贵金属制成或镀有贵金属的商品,以及珠宝首饰、钟表及其零部件。 本类别尤其包括: -珠宝,包括仿制珠宝,例如粘贴珠宝; -袖扣、领带别针、领带夹; -钥匙圈、钥匙链及其吊饰; - 珠宝吊饰; - 首饰盒; - 珠宝、钟表和手表的零部件,例如,珠宝的扣环和珠子,钟表的机芯,时钟指针,手表弹簧,手表水晶。 此类不包括,特别是: -智能手表(第 9 类); ——饰品、钥匙圈或钥匙链以外的饰品(第二十六类); - 非贵金属制成或未镀有贵金属,但按其制作材料分类的艺术品,例如金属(第 6 类)、石头、混凝土或大理石(第 19 类)艺术品 ,木材、蜡、石膏或塑料(第 20 类),瓷器、陶瓷、陶器、陶土或玻璃(第 21 类); - 某些由贵金属制成或镀有贵金属并按其功能或用途分类的商品,例如用于绘画、装饰、印刷和艺术的金属箔和粉末状金属(第 2 类),牙科用金汞合金( 第 5 类),餐具(第 8 类),电触点(第 9 类),金笔尖(第 16 类),茶壶(第 21 类),金银刺绣(第 26 类),雪茄盒( 第 34 条)。 第 15 类乐器。 解释性说明 本类尤其包括: -机械钢琴及其配件; - 音乐盒; -电子和电子乐器。 本类尤其不包括: - 声音的记录、传输、放大和再现设备(第 9 类)。 第 16 类纸和纸板; 印刷品; 装订材料; 照片; 文具和办公用品,家具除外; 文具或家用粘合剂; 绘画材料和艺术家材料; 油画刷; 教学和教学材料; 用于包装和包装的塑料片材、薄膜和袋子; 打印机类型,打印块。 注释第 16 类主要包括纸张、纸板和某些由这些材料制成的商品,以及办公用品。 本类尤其包括: - 切纸刀和切纸刀; - 用于存放或固定纸张的箱子、封面和装置,例如文件档案、钱夹、支票簿夹、回形针、护照夹、剪贴簿; -某些办公机器,例如打字机、复印机、办公用邮戳机、卷笔刀; - 供艺术家和室内外画家使用的绘画用品,例如艺术家的水彩碟、画家的画架和调色板、油漆滚筒和托盘; -某些一次性纸制品,例如围兜、手帕和桌布纸; - 某些未按功能或用途分类的纸或纸板制成的商品,例如纸袋、信封和包装容器、雕像、小雕像和纸或纸板艺术品,例如带框或无框的纸浆小雕像 版画、绘画和水彩画。 此类不包括,特别是: -油漆(第 2 类); -艺术家的手工工具,例如,抹刀、雕刻家的凿子(第 8 类); -教学器械,例如视听教学器械、复苏人体模型(第九类)、玩具模型(第二十八类); - 某些按功能或用途分类的由纸或纸板制成的商品,例如,相纸(第 1 类)、砂纸(第 3 类)、百叶窗(第 20 类)、桌杯和盘子 纸(第 21 类)、纸床单(第 24 类)、纸制服装(第 25 类)、香烟纸(第 34 类)。 第 17 类未加工和半加工橡胶、古塔胶、树胶、石棉、云母和所有这些材料的替代品; 用于制造的挤出形式的塑料和树脂; 包装、停止和绝缘材料; 非金属软管、管子和软管。 解释性说明 第 17 类主要包括用于制造的片材、块材和棒材形式的电气、隔热和隔音材料和塑料,以及由橡胶、古塔胶、树胶、石棉、云母或其替代品制成的某些商品 .此类包括,特别是: -浮动防污染屏障; - 胶带,除文具外,不用于医疗或家庭用途; - 包装和包装以外的塑料薄膜,例如窗户的防眩薄膜; - 弹性线和橡胶或塑料线,不用于纺织; - 由未按功能或用途另行分类的此类材料制成的某些商品,例如,插花用泡沫支架、橡胶或塑料的填充物和填充材料、橡胶塞、橡胶的减震缓冲器、橡胶袋或信封 用于包装。 本级不包括,特别是: -消防水带(第 9 类); ——作为卫生设施部件的管道(第 11 类)和金属刚性管道(第 6 类)而非金属(第 19 类); ——建筑用中空玻璃(第十九类); - 由本类材料制成并按其功能或用途分类的某些商品,例如口香糖树脂(第 2 类)、牙科用橡胶(第 5 类)、消防员用石棉筛网(第 9 类) , 用于修复内胎的粘合橡胶补丁(第 12 类),橡胶橡皮擦(第 16 类)。 第 18 类皮革及仿皮; 动物皮和兽皮; 行李和手提袋; 雨伞和阳伞; 手杖; 鞭子、马具和鞍具; 项圈、皮带和动物服装。 注释 第 18 类主要包括皮革、皮革仿制品和某些由这些材料制成的商品。 本类尤其包括: - 行李和手提袋,例如手提箱、树干、旅行袋、婴儿背带袋、书包; -行李标签; - 名片盒和口袋钱包; -皮革或皮革板的盒子和箱子。 本类尤其不包括: -医疗用手杖或手杖(第 10 类); ——人用皮革制的服装、鞋类和头饰(第二十五类); -适用于它们打算包含的产品的包和箱子,例如,适用于笔记本电脑的包(第 9 类)、相机和摄影设备的包和箱子(第 9 类)、乐器箱(第 15 类) , 带或不带轮子的高尔夫球袋,专为滑雪板和冲浪板设计的袋子(第二十八类); - 某些按功能或用途分类的皮革制品、皮革仿制品、动物皮和生皮,例如,皮革吊带(第 8 类)、抛光皮革(第 21 类)、清洁用麂皮(第 21 类) . 21),服装用皮带(第 25 类)。 第 19 类建筑材料(非金属); 建筑用非金属刚性管; 沥青、沥青和沥青; 非金属可移动建筑物; 纪念碑,不是金属的。 注释第 19 类主要包括非金属建筑材料。 本类尤其包括: - 半加工木材(例如,横梁、木板、面板); -单板; -建筑玻璃(例如,楼板、玻璃砖); - 用于标记道路的玻璃颗粒; -砌体信箱。 本组尤其不包括: -水泥防腐剂和水泥防水制剂(第 1 类); - 防火制剂(第 1 类)。 第 20 类家具、镜子、相框; 非金属容器,用于储存或运输; 未加工或半加工的骨、角、鲸骨或珍珠母; 贝壳; 海泡石; 黄色琥珀。 注释 第 20 类主要包括家具及其零件,以及某些由木材、软木、芦苇、藤条、柳条、牛角、骨头、象牙、鲸骨、贝壳、琥珀、珍珠母、海泡石及其替代品制成的商品 所有这些材料,或塑料。 本类别尤其包括: -金属家具、露营家具、枪架、报纸展示架; - 室内百叶窗和窗帘; -床上用品,例如床垫、床架、枕头; -镜子、家具和卫生间镜子; -登记牌,不是金属的; - 小件非金属五金件,例如螺栓、螺钉、销钉、家具脚轮、用于固定管道的项圈; - 信箱,非金属或砖石。 本组尤其不包括: ——实验室(第九类)或医疗用(第十类)专用家具; ——金属(第 6 类)、非金属和非纺织(第 19 类)、纺织(第 22 类)的户外百叶窗; ——床单、鸭绒被和睡袋(第二十四类); - 某些特定用途的镜子,例如,用于光学产品的镜子(第 9 类)、用于外科或牙科的镜子(第 10 类)、后视镜(第 10 类)12),枪用瞄准镜(第 13 类); - 由木材、软木、芦苇、藤条、柳条、牛角、骨头、象牙、鲸骨、贝壳、琥珀、珍珠母、海泡石制成的某些商品,以及所有这些材料或塑料的替代品,根据分类 它们的功能或用途,例如,制作珠宝的珠子(第 14 类)、木地板(第 19 类)、家用篮子(第 21 类)、塑料杯(第 21 类)、芦苇垫(第 21 类)。 27)。 第 21 类家用或厨房用具和容器; 炊具和餐具,叉子、刀子和勺子除外; 梳子和海绵; 刷子,画笔除外; 制刷材料; 清洁用品; 未加工或半加工玻璃,建筑玻璃除外; 玻璃器皿、瓷器和陶器。 解释性说明 第 21 类主要包括家用和厨房用的小型手动器具和器具,以及化妆品和卫生间用具、玻璃器皿和某些由瓷器、陶瓷器、陶器、赤土陶器或玻璃制成的商品。 本类尤其包括: - 家庭和厨房用具,例如,苍蝇拍、衣夹、搅拌勺、涂抹勺和开瓶器,以及上菜用具,例如,糖钳、冰钳、馅饼服务器和上菜器 钢包; - 家用、厨房和烹饪容器,例如花瓶、瓶子、存钱罐、桶、鸡尾酒摇壶、烹饪锅和平底锅,以及非电水壶和压力锅; - 用于切碎、研磨、压榨或压碎的小型手动厨房设备,例如压蒜器、胡桃夹子、杵和研钵; - 餐具架和滗水器架; - 化妆品和厕所用具,例如电动和非电动梳子和牙刷、牙线、用于修脚的泡沫脚趾分离器、粉扑、合身化妆盒; -园艺用品,例如园艺手套、窗框、喷壶和浇水软管的喷嘴; -室内水族馆、玻璃容器和动物园。 本组尤其不包括: -清洁剂(第 3 类); ——金属(第 6 类)非金属(第 20 类)货物储存和运输的容器; ——电力驱动的小型切碎、研磨、压制或粉碎设备(第七类); -剃须刀和剃须刀、理发器和指甲刀、修指甲和修脚用电动和非电动工具,例如修指甲套装、金刚砂板、角质层钳(第 8 类); ——餐桌餐具(第8类)和厨房用手动切割工具,例如蔬菜切碎机、比萨刀、奶酪切片机(第8类); -虱子梳子、刮舌器(第十类); ——电炊具(第十一类); -厕所镜子(第 20 类); - 某些由玻璃、瓷器和陶器制成的商品,按其功能或用途分类,例如,假牙用瓷器(第 5 类)、眼镜镜片(第 9 类)、绝缘玻璃棉(第 17 类) , 瓷砖(第 19 类),建筑玻璃(第 19 类),纺织用玻璃纤维(第 22 类)。 第 22 类绳索和绳子; 网; 帐篷和防水油布; 纺织或合成材料的遮阳篷; 帆; 散装材料的运输和储存袋; 填充材料、缓冲材料和填充材料,纸、纸板、橡胶或塑料除外; 未加工的纤维纺织材料及其替代品。 注释 第 22 类主要包括帆布和其他用于制作帆的材料、绳索、衬垫、缓冲和填充材料以及未加工的纤维纺织材料。 本类尤其包括: -由天然或人造纺织纤维、纸或塑料制成的绳索和麻绳; -渔网、吊床、绳梯; -车罩,未安装; - 某些未按功能或用途分类的袋子和袋子,例如,洗袜袋、尸体袋、邮袋; - 纺织包装袋; -动物纤维和未加工的纺织纤维,例如,动物毛发、茧、黄麻、未加工或处理过的羊毛、生丝。 本类尤其不包括: -金属绳索(第 6 类); ——乐器用弦(第十五类)和运动球拍用弦(第二十八类); ——纸或纸板(第 16 类)、橡胶或塑料(第 17 类)的衬垫和填充材料; -根据其功能或用途分类的某些网和包,例如安全网(第 9 类)、车辆行李网(第 12 类)、旅行服装包(第 18 类)、发网(第 18 类) . 26)、高尔夫球袋(第 28 类)、运动网(第 28 类)28); - 非纺织包装袋,按其制造材料分类,例如,纸或塑料(第 16 类)、橡胶(第 17 类)、皮革(第 18 类)包装袋 )。 第 23 类纺织用纱线和线。 解释性说明第 24 类纺织品和纺织品的替代品; 家用亚麻布; 纺织品或塑料的窗帘。 注释 第 24 类主要包括家用织物和织物罩。 本类尤其包括: -家用亚麻布,例如床罩、枕套、毛巾; -纸床单; -睡袋、睡袋内衬; -蚊帐。 本类尤其不包括: - 医用电热毯(第 10 类)和非医用(第 11 类); ——桌布纸(第十六类); ——石棉安全窗帘(第十七类)、竹窗帘和装饰用珠帘(第二十类); -马毯(第十八类); - 某些特定用途的纺织品和织物,例如,装订用织物(第 16 类)、绝缘织物(第 17 类)、土工布(第 19 类)。 第 25 类服装、鞋类、头饰。 解释性说明 本类不包括,特别是: -某些特殊用途的服装和鞋类(请参阅按字母顺序排列的货物清单)。 第 26 类花边和刺绣、丝带和编织; 纽扣、钩子和眼睛、大头针和针; 人造花; 发饰; 假发。 注释 第 26 类主要包括裁缝用品、天然或合成头发供穿戴、发饰,以及用于装饰各种物品的小装饰品,不属别类。 此类特别包括: - 假发、假发和假胡须; -发夹和发带; -发网; - 带扣和拉链; -饰品,除珠宝、钥匙圈或钥匙链外。 此类不包括,特别是: -某些特殊类型的挂钩(请参阅按字母顺序排列的货物清单); -某些特殊类型的针(请参阅按字母顺序排列的商品清单); -假睫毛(第三类); -假发(第十类); -珠宝吊饰、钥匙圈或钥匙链吊饰(第十四类); ——纺织用纱线(第二十三类)。 第 27 类地毯、小垫子、垫子和垫子、油毡和其他用于覆盖现有地板的材料; 壁挂(非纺织品)。 解释性说明 第 27 类主要包括旨在作为家具添加到先前建造的地板和墙壁的产品。 本类别尤其不包括: -木地板(第 19 类)。 第 28 类游戏、玩具和玩具; 视频游戏设备; 体操和体育用品; 圣诞树的装饰品。 注释 第 28 类主要包括玩具、游戏机、运动器材、娱乐和新奇物品,以及某些圣诞树用物品。 该类别尤其包括: - 娱乐和游戏设备,包括其控制器; - 玩笑话和派对的新奇玩具,例如狂欢节面具、纸制派对帽、五彩纸屑、派对爆竹和圣诞饼干; - 狩猎和渔具,例如,钓鱼竿、垂钓者的着陆网、诱饵、狩猎游戏电话; -各种运动和游戏的设备。 本类尤其不包括: -圣诞树蜡烛(第四类)、圣诞树用电灯(第十一类)、圣诞树用糖果和巧克力装饰品(第三十类); -潜水装备(第九类); ——性玩具和爱娃娃(第十类); ——体操和运动服装(第二十五类); -某些体操和运动用品,例如,运动用防护头盔、护目镜和护齿(第 9 类)、运动枪支(第 13 类)、体育馆垫子(第 27 类),以及某些钓鱼和狩猎设备,用于 例如,根据其他功能或用途分类的猎刀、鱼叉(第 8 类)、猎枪(第 13 类)、渔网(第 22 类)。 第 29 类肉类、鱼类、家禽和野味; 肉类提取物; 腌制、冷冻、干燥和煮熟的水果和蔬菜; 果冻、果酱、蜜饯; 蛋; 牛奶和奶制品; 食品用油和脂肪。 注释 第 29 类主要包括动物源性食品以及准备食用或保存的蔬菜和其他园艺食用产品。 本类别尤其包括: - 牛奶饮料(以牛奶为主); - 为人类食用而准备的种子,不是调味料或调味品。本类尤其不包括: -某些植物源食品(请参阅按字母顺序排列的货物清单); -婴儿食品(第五类); ——适用于医疗用途的营养食品和物质(第五类); -膳食补充剂(第 5 类); ——用作调味品的加工种子(第三十类); ——沙拉酱(第三十类); ——孵化用受精卵(第 31 类); ——动物食品(第 31 类); ——活体动物(第 31 类); ——种植用种子(第 31 类)。 第 30 类咖啡、茶、可可和人造咖啡; 米; 木薯和西米; 用谷物制成的面粉和制品; 面包、糕点和糖果; 食用冰; 糖、蜂蜜、糖浆; 酵母,发酵粉; 盐; 芥末; 醋、酱汁(调味品); 香料; 冰(冷冻水)。 注释 第 30 类主要包括为食用或保存而准备的植物源食品以及旨在改善食品风味的助剂。 本类别尤其包括: - 咖啡、可可、巧克力或茶基饮料; - 供人类食用的谷物(例如,燕麦片和由其他谷物制成的谷物)。 本类尤其不包括: -某些植物源食品(请参阅按字母顺序排列的货物清单); ——食品以外的保存用盐(第一类); ——药用茶和营养食品及适用于医疗用途的物质(第五类); -婴儿食品(第五类); -膳食补充剂(第 5 类); - 药用酵母(第 5 类)、动物食用酵母(第 31 类); ——生谷物(第 31 类); - 动物食品(第 31 类)。 第 31 类未加工的农业、水产养殖、园艺和林业产品; 未加工和未加工的谷物和种子; 新鲜水果和蔬菜、新鲜香草; 天然植物和花卉; 种植用球茎、幼苗和种子; 活体动物; 动物食品和饮料; 麦芽。 注释 第 31 类主要包括未经任何形式的消费准备的陆海产品、活动物和植物以及动物食品。 此类包括,特别是: -未加工的谷物; - 新鲜水果和蔬菜,即使在清洗或打蜡后; -植物残渣; - 未加工的藻类; - 未锯材; - 用于孵化的受精卵; - 新鲜蘑菇和松露; - 动物用砂,例如芳香砂、宠物用砂纸。 本类尤其不包括: -用于医疗目的的微生物和水蛭培养物(第五类); ——动物膳食补充剂和药用动物饲料(第五类); -半加工木材(第 19 类); ——人工鱼饵(第二十八类); ——大米(第 30 类); -烟草(第 34 类)。 第 32 类啤酒; 矿泉水和充气水以及其他非酒精饮料; 水果饮料和果汁; 糖浆和其他制备饮料的准备工作。 注释 第 32 类主要包括非酒精饮料以及啤酒。 此类包括,特别是: -去酒精饮料。 本类不包括,特别是: - 医疗用途的饮料(第 5 类); -牛奶饮料(以牛奶为主)(第二十九类); - 含咖啡、可可、巧克力或茶基的饮料(第 30 类)。 第 33 类酒精饮料(啤酒除外)。 解释性说明 本类尤其不包括: -药用饮料(第五类); -去酒精饮料(第 32 类)。 第 34 类烟草; 吸烟者用品; 火柴。 解释性说明 本类特别包括: -烟草替代品(非医疗用途)。 本类不包括,特别是: - 医用无烟卷烟(第 5 类)。 服务描述:35 类广告; 商业管理; 商业管理; 办公功能。 解释性说明 第 35 类主要包括由个人或组织提供的服务,其主要目的是:帮助商业企业的运作或管理,或帮助管理工商企业的商业事务或商业职能,以及 作为主要从事向公众传播的广告机构提供的服务,以各种方式传播和关于各种商品或服务的声明或公告。此类特别包括: - 为他人的利益汇集各种商品(不包括其运输),使客户能够方便地查看和购买这些商品; 此类服务可能由零售店、批发店、自动售货机、邮购目录或电子媒体(例如,通过网站或电视购物节目)提供; - 由书面通信和登记的登记、转录、撰写、汇编或系统化以及数学或统计数据的汇编组成的服务; - 广告公司的服务和服务,例如直接或通过邮寄方式分发招股说明书,或分发样品。 此类可能指与其他服务相关的广告,例如有关银行贷款的广告或广播广告。 本类别尤其不包括: - 不直接涉及商业或工业企业的工作或事务管理的工程师评估和报告等服务(请参阅按字母顺序排列的服务列表)。 第 36 类保险; 财务; 货币事务; 房地产事务。 注释 第 36 类主要包括在金融和货币事务中提供的服务以及与各种保险合同有关的服务。 该类别尤其包括: - 与金融或货币事务有关的服务包括以下内容: 1. 所有银行机构或与其相关的机构的服务,例如交易所经纪人或清算服务; 2、合作信用社、个体金融公司、放款人等银行以外的信用机构的服务; 3. 控股公司的“投资信托”服务; 4. 买卖股票和财产的经纪人服务; 5. 受托人担保的与货币事务有关的服务; 6. 与签发旅行支票和信用证有关的服务; -雇用-或租赁-购买融资; - 建筑物的不动产管理人服务,即出租或估价或融资服务; - 涉及保险的服务,例如由从事保险的代理人或经纪人提供的服务、提供给被保险人的服务以及保险承保服务。 第 37 类建筑施工; 修理; 安装服务。 解释性说明 第 37 类主要包括承包商或分包商在建造或建造永久性建筑物时提供的服务,以及由从事将物体恢复到其原始状态或在不改变其物理或化学性质的情况下进行保存的个人或组织提供的服务 特性。 本类尤其包括: - 与建筑物、道路、桥梁、水坝或输电线路的建造有关的服务,以及专门从事建筑领域的企业的服务,例如油漆工、水管工、供暖安装工或屋顶工; - 施工服务的辅助服务,如施工计划检查; -造船服务; - 包括租用工具或建筑材料的服务; - 维修服务,即承诺在磨损、损坏、恶化或部分破坏后使任何物体恢复良好状态的服务(修复现有建筑物或其他已变得不完美并将恢复到原始状态的物体); - 电力、家具、仪器、工具等领域的各种维修服务; - 在不改变其任何特性的情况下保持物体原始状态的维修服务(关于此类与第 40 类之间的区别,请参见第 40 类的解释性说明)。 本类尤其不包括: ——由衣物或车辆等货物存储构成的服务(第 39 类); -与布料或衣服染色相关的服务(第四十类)。 第 38 类电信。 解释性说明 第 38 类主要包括允许至少一个人通过感官方式与另一个人交流的服务。 此类服务包括:允许一个人与另一个人交谈、将消息从一个人传递给另一个人,以及将一个人与另一个人进行口头或视觉交流(广播和电视)。 本类尤其包括: - 主要由广播或电视节目的传播组成的服务。此类不包括,特别是: -广播广告服务(第 35 类); -电话营销(电话营销)服务(第 35 类)。 第 39 类运输; 货物的包装和储存; 旅行安排。 注释 第 39 类主要包括人、动物或货物从一地到另一地的运输服务(铁路、公路、水路、空运或管道)以及与此类运输有必要联系的服务,以及与储存物品有关的服务 仓库或其他建筑物中用于保存或保护的货物。 本类别尤其包括: - 由运输公司使用的车站、桥梁、铁路渡轮等公司提供的服务; -与租用运输车辆有关的服务; - 与海上拖轮、卸货、港口和码头的运作以及失事船舶及其货物的打捞有关的服务; -发货前与货物包装和分包相关的服务; - 由经纪人和旅行社提供的关于旅程或货物运输的信息、与关税、时间表和运输方式有关的信息组成的服务; - 与运输前检查车辆或货物有关的服务。 本类尤其不包括: - 与广告运输业务有关的服务,例如分发招股说明书或在广播中投放广告(第 35 类); - 与经纪人或旅行社签发旅行支票或信用证有关的服务(第三十六类); - 与人员或货物运输过程中的保险(商业、火灾或人寿)有关的服务(第三十六类); ——车辆的维护和修理,以及与人员或货物运输有关的物体的维护或修理提供的服务(第三十七类); - 与旅行社或经纪人预订酒店客房有关的服务(第 43 类)。 第 40 类材料处理。 解释性说明 第 40 类主要包括未包括在其他类中的服务,通过机械或化学加工、物体或无机或有机物质的转化或生产,包括定制制造服务。 出于分类的目的,商品的生产或制造仅在为他人的订单和规格说明的情况下才被视为一项服务。 如果生产或制造不是为了履行满足客户特定需求、要求或规格的货物订单,那么它通常是制造商的主要商业活动或贸易货物的辅助。 如果物质或物体由加工、转化或生产它的人销售给第三方,那么这通常不会被视为服务。 此类特别包括: - 与物体或物质的转化以及涉及其基本特性改变的任何过程相关的服务(例如,染色服装); 因此,维护服务,虽然通常在 Cl。 37,如果需要进行此类更改(例如,机动车保险杠的镀铬),则包含在第 40 类中; - 在生产建筑物以外的任何物质或物体期间可能存在的材料处理服务; 例如,涉及切割、成型、磨损或金属涂层抛光的服务; -根据其他人的订单和规格定制制造商品(请注意某些办事处要求注明生产的商品),例如汽车的定制制造。 本类别尤其不包括: -维修服务(第 37 类); -某些定制服务,例如汽车定制喷漆(第 37 类)。 41类教育; 提供培训; 娱乐; 体育和文化活动。 解释性说明 第 41 类主要涵盖由个人或机构在人或动物的智力发展过程中提供的服务,以及旨在娱乐或吸引注意力的服务。 本类尤其包括: -由各种形式的人员教育或动物训练组成的服务; - 以人们的娱乐、娱乐或消遣为基本目的的服务; - 出于文化或教育目的向公众展示视觉艺术或文学作品。第四十二类 科学技术服务和与之相关的研究设计; 工业分析和研究服务; 计算机硬件和软件的设计和开发。 解释性说明 第 42 类主要包括个人或集体提供的与复杂活动领域的理论和实践方面有关的服务; 此类服务由化学家、物理学家、工程师、计算机程序员等专业人士提供。本课程特别包括: -在科学和技术领域进行评估、估计、研究和报告的工程师和科学家的服务 (包括技术咨询); - 用于保护计算机数据、个人和财务信息以及检测未经授权访问数据和信息的计算机和技术服务; -用于医疗目的的科学研究服务。 此类不包括,特别是: -商业研究和评估(第 35 类); -文字处理和计算机文件管理服务(第 35 类); -财务和财政评估(第三十六类); ——采矿和石油开采(第三十七类); -计算机(硬件)安装和维修服务(第三十七类); - 由医生、兽医、精神分析师等专业人士提供的服务(第 44 类); -医疗服务(第四十四类); -园林设计(第四十四类); -法律服务(第四十五类)。 第 43 类提供食物和饮料的服务; 临时住宿。 解释性说明 第 43 类主要包括由旨在为消费准备食物和饮料的个人或机构提供的服务,以及为在酒店、寄宿公寓或其他提供临时住宿的机构中获得床位和食宿而提供的服务。 此类特别包括: - 旅行者住宿的预订服务,特别是通过旅行社或经纪人; - 寄宿动物。 本类别尤其不包括: -永久使用的房屋、公寓等不动产租赁服务(第 36 类); ——旅行社安排旅行(第三十九类); ——食品和饮料的保存服务(第四十类); -迪斯科舞厅服务(第 41 类); -寄宿学校(第 41 类); -休息和疗养院(第四十四类)。 第 44 类医疗服务; 兽医服务; 人或动物的卫生和美容护理; 农业、园艺和林业服务。 注释 第 44 类主要包括由个人或机构对人类和动物提供的医疗、卫生和美容护理; 它还包括与农业、园艺和林业领域相关的服务。 本类尤其包括: -与人员治疗有关的医学分析服务(例如 X 射线检查和采集血样); -人工授精服务; -药房建议; -动物育种; - 园艺等植物种植相关服务; - 与花卉艺术相关的服务,例如花卉组合以及花园设计。 本类不包括,特别是: -消灭害虫(农业、水产养殖、园艺和林业除外)(第 37 类); -灌溉系统的安装和维修服务(第 37 类); ——救护车运输(第三十九类); -动物屠宰服务和动物标本剥制术(第 40 类); ——木材采伐和加工(第四十类); -动物训练服务(第四十一类); ——体育锻炼健身俱乐部(第四十一类); - 医学科学研究服务(第四十二类); -动物寄宿(第四十三类); -养老院(第四十三类)。 第 45 类法律服务; 有形财产和个人的实物保护安全服务; 他人为满足个人需求而提供的个人和社会服务。 解释性说明 本类尤其包括: - 律师、法律助理和个人辩护人向个人、个人团体、组织和企业提供的服务; - 与人身安全和有形财产安全有关的调查和监视服务; - 向个人提供的与社交活动有关的服务,例如社交陪护服务、婚姻中介、丧葬服务。 本类别尤其不包括: -直接帮助商业企业的运营或职能的专业服务(第 35 类); - 与金融或货币事务有关的服务以及与保险有关的服务(Cl.36); - 护送旅客(第三十九类); ——安全运输(第三十九类); - 由各种形式的人员教育组成的服务(第 41 类); ——歌手或舞者的表演(第四十一类); -用于保护软件的计算机编程服务(第 42 类); -计算机和互联网安全咨询和数据加密服务(第 42 类); ——他人为人类或动物提供医疗、卫生或美容护理的服务(第四十四类); -某些租赁服务(请参阅按字母顺序排列的服务列表和与服务分类有关的一般说明(B))。</t>
  </si>
  <si>
    <t>科萨精简版</t>
  </si>
  <si>
    <t>CN305240803S</t>
  </si>
  <si>
    <t>1．本外观设计产品的名称：用于移动通讯设备的图形用户界面。
 2．本外观设计产品的用途：该移动通讯设备可以用于运行程序和/或通讯。
 该图形用户界面用于在观看直播时对比赛结果进行竞猜，可以通过接触该移动通讯设备的显示屏或者操作该移动通讯设备来实现人机交互。
 点击主视图界面上的任一竞猜结果（例如“1：1.63”和“1：2.00”），进入界面变化状态图1。
 点击主视图界面上的“更多竞猜”，进入界面变化状态图2。
 3．本外观设计的设计要点：该移动通讯设备上显示的图形用户界面。
 4．最能表明设计要点的图片或者照片：主视界面放大图。</t>
  </si>
  <si>
    <t>用于移动通讯设备的图形用户界面</t>
  </si>
  <si>
    <t>CN305286453S</t>
  </si>
  <si>
    <t>1．本外观设计产品的名称：用于移动通讯设备的图形用户界面。
 2．本外观设计产品的用途：该移动通讯设备可以用于运行程序和/或通讯。
 该图形用户界面用于展示赛程和对比赛结果进行竞猜，可以通过接触该移动通讯设备的显示屏或者操作该移动通讯设备来实现人机交互。
 在主视图界面点击“更多赛程”，进入界面变化状态图。
 3．本外观设计的设计要点：该移动通讯设备上显示的图形用户界面。
 4．最能表明设计要点的图片或者照片：主视图界面放大图。</t>
  </si>
  <si>
    <t>CN305479026S</t>
  </si>
  <si>
    <t>1．本外观设计产品的名称：用于电脑的图形用户界面。
 2．本外观设计产品的用途：该电脑可以用于运行程序和/或通讯。
 该图形用户界面用于在观看直播时对比赛结果进行竞猜，可以通过接触该电脑的显示屏或者操作该电脑来实现人机交互。
 3．本外观设计的设计要点：该电脑上显示的图形用户界面。
 4．最能表明设计要点的图片或者照片：主视界面放大图。</t>
  </si>
  <si>
    <t>CN109758745B</t>
  </si>
  <si>
    <t>本发明提供了一种基于Python/Java的人工智能篮球训练系统，主要包括穿戴式的运动传感器和生理传感器，还包括手机和电脑等终端、系统自身深度学习软件、系统对用户训练指导软件和云中心。通过有监督学习来训练本系统，识别篮球运动动作和给出评价。通过无监督学习来分析篮球运动动作和给出评价，通过基于Python/Java程序设计来构建一个系统，达到人工智能篮球训练的目的。</t>
  </si>
  <si>
    <t>基于Python/Java的人工智能篮球训练系统</t>
  </si>
  <si>
    <t>CN109299741B</t>
  </si>
  <si>
    <t>本发明涉及一种基于多层检测的网络攻击类型识别方法，属于信息安全技术领域。具体操作步骤为：步骤一、获取原始训练数据，并做预处理。步骤二、构建集成分类模型。步骤三、训练集成分类模型。步骤四、对测试数据进行预处理。步骤五、对测试数据进行分类。本专利提出的一种基于多层检测的网络攻击类型识别方法与已有技术相比较，有如下有点：①采用smote算法对少数样本升采样，对多数样本降采样，解决数据集样本不平衡问题。②采用集成模型，提高了检测的精确率与召回率。③将果蝇优化算法FOA与支持向量机SVM结合，实现SVM中参数C和gamma的最优和自适应选择。</t>
  </si>
  <si>
    <t>一种基于多层检测的网络攻击类型识别方法</t>
  </si>
  <si>
    <t>CN109284844A</t>
  </si>
  <si>
    <t>本发明公开了一种基于物联网的羽毛球场馆智能管理方法，包括：根据目标用户的预约信息，为目标用户分配羽毛球场地；在目标用户到达羽毛球场地时，向目标用户发放与为目标用户分配的羽毛球场地一一关联的智能穿戴设备；在确定羽毛球场地被使用时，检测羽毛球场地的使用者是否为目标用户；在检测到羽毛球场地的使用者不为目标用户时，提醒目标用户羽毛球场地被蹭场。</t>
  </si>
  <si>
    <t>一种基于物联网的羽毛球场馆智能管理方法</t>
  </si>
  <si>
    <t>CN109464774A</t>
  </si>
  <si>
    <t>本发明提供一种智能健身器材，包括本体和智能系统。智能系统设置于本体，智能系统包括控制芯片、传感器模块和输出模块，传感器模块和输出模块均与控制芯片连接，智能系统通过传感器模块检测用户健身动作参数并由控制芯片控制输出模块以给用户反馈健身动作是否规范并输出标准健身动作指导信息。所述智能健身器材具备一套完整的人机交互功能系统，集合信息收集和引导性健身的优势，能更好地对健身进行科学性的检测和引导，并自动对用户健身情况进行统计，从而为下次健身提供科学参考，指定私人的科学健身计划。此外，所述智能健身器材是一种无需连接手机的引导式健身器材，信息灵敏度高，更具人性化、便捷化、智能化。</t>
  </si>
  <si>
    <t>智能健身器材</t>
  </si>
  <si>
    <t>KR102061829B1</t>
  </si>
  <si>
    <t>本发明是一种上表面敞开的容器; 分隔壁沿纵向竖直设置在容器内部以分隔空间; 水箱顶部开口,由前部、后部、左侧部、右侧部和底部组成,水箱上开有可以看到外面的透明窗。前部和后部,设置在由隔墙分隔的空间内。 机房用于净化和循环水箱中的游泳水,包括设置在由舱壁隔开的另一空间内的机房。</t>
  </si>
  <si>
    <t>使用物联网的水下模块化智能屏移动集装箱式游泳池</t>
  </si>
  <si>
    <t>CA3018353A1</t>
  </si>
  <si>
    <t>1 .一种连接两个设备的方法,包括: 第一设备,包括: NFC标签和蓝牙配对ID,其中第一设备包括: 打开其无线通信通道并启动其蓝牙通信配对过程; 第二设备包括:连接到远程服务器; 在预定时间内读取第一设备的 NFC 标签; 将 NFC 标签与蓝牙配对 ID 和密码匹配; 发起蓝牙连接以将第二设备连接到第一设备; 向第一设备发送蓝牙握手信号; 确定是否在预定时间量内执行了握手,如果是,则第一设备继续确认握手并终止蓝牙与第二设备的通信配对过程。 2-根据权利要求1的第一设备,其是来自 物联网设备、智能桌面控制器、工作区健身设备的组。 3.根据权利要求1所述的第二设备,其是来自智能手机、平板电脑或智能手表的组中的一个。 4.根据权利要求1所述的方法,其中,所述NFC标签是以下多个标签中的一个: 附接到所述第一设备并且未电连接到所述第一设备的无源NFC标签,或者电连接到所述第一设备的有源NFC标签5 5.根据权利要求4所述的方法,其中,所述NFC标签嵌入所述第一设备的嵌入的蓝牙证书。 5.根据权利要求1所述的方法,其中,所述蓝牙连接的发起由所述第一设备或所述第二设备执行。 7.根据权利要求1所述的方法,其中,将所述NFC标签与蓝牙配对ID和密码进行匹配还包括: 将所述第二设备连接到云服务数据库; 在数据库中搜索特定的 NFC 标签; 从云服务数据库接收多个中的至少一个:蓝牙配对ID、登录第一设备的密码。 8.根据权利要求1所述的NFC标签与蓝牙配对ID和密码的匹配,包括: 在第二设备处解码NFC标签并提取蓝牙配对ID数据,如果存在,则提取密码以登录到 第一个设备。 9.根据权利要求1所述的方法,其中,所述第二设备还包括: 存储来自Wi-Fi网络的数据凭证,其中所述数据凭证包括所述网络ID和所述网络密码; 识别当前活动的 wi-fi 连接; 将数据凭证从当前活动的 wi-fi 连接传输到第一台设备。 10.根据权利要求9所述的方法,其中,所述第一设备还包括: 从所述第二设备接收具有所述Wi-Fi网络ID和网络密码的数据凭证; 尝试连接到所述无线网络; 通过蓝牙连接向第二台设备发送消息,通知与 wi-fi 网络的连接是否成功。 11.根据权利要求10所述的方法,其中,如果到Wi-Fi网络的连接不成功: 在第二设备处:建立到第一设备的连接 访问第一设备的设置 使用触摸屏手动修改第一设备的设置 第二设备作为第一设备的输入机制。 12.根据权利要求10所述的方法,还包括: 当所述第二设备是坐立式办公桌时,使用智能手机上的触摸屏作为对所述第一设备的输入,手动修改所述第一设备和第二设备之间的通信参数和协议。 13- 一种包括指令的非暂时性计算机可读介质,所述指令在由处理器执行时执行方法,所述方法包括: 第一设备,包括:NFC标签或传感器,以及蓝牙配对ID,其中所述第一设备包括: 在第一台设备上打开其无线通信通道并启动其蓝牙通信配对过程; 将第二个设备连接到远程服务器; 在预定时间量内在第二设备读取第一设备的NFC标签; 将 NFC 标签与蓝牙配对 ID 和密码匹配; 发起蓝牙连接以将第二设备连接到第一设备; 向第一设备发送蓝牙握手信号; 判断是否在预定时间内进行了握手,如果是,则第一设备继续确认握手并终止蓝牙与第二设备的通信配对过程。14.根据权利要求13所述的非暂时性计算机可读介质,其中: 所述第一设备是以下多个设备之一:物联网设备、智能桌面控制器、工作空间健身设备,并且所述第二设备是以下设备之一 多个设备:智能手机、平板电脑或智能手表。 16.根据权利要求13所述的非暂时性计算机可读介质,其中,所述NFC标签是以下多个标签中的一个: 附接到所述第一设备并且未电连接到所述第一设备的无源NFC标签,或电连接的有源NFC标签 17.根据权利要求13所述的非暂时性计算机可读介质,其中所述蓝牙连接的发起由所述第一设备或所述第二设备执行。 18.根据权利要求13所述的非暂时性计算机可读介质,其中,将所述NFC标签与蓝牙配对ID和密码进行匹配还包括: 将所述第二设备连接到云服务数据库; 在数据库中搜索特定的 NFC 标签; 从云服务数据库接收多个中的至少一个:蓝牙配对ID、登录第一设备的密码。 19.根据权利要求13所述的非暂时性计算机可读介质,其中将所述NFC标签与蓝牙配对ID和密码匹配进一步包括: 在所述第二设备处解码所述NFC标签并提取所述蓝牙配对ID数据,并且如果存在, 登录第一台设备的密码。 20.根据权利要求13所述的非暂时性计算机可读介质,其中所述第二设备还包括: 存储来自Wi-Fi网络的数据凭证,其中所述数据凭证包括所述网络ID和所述网络密码; 识别当前活动的 wi-fi 连接; 将数据凭证从当前活动的 wi-fi 连接传输到第一台设备。 21.如权利要求20所述的非暂时性计算机可读介质,还包括: 在所述第一设备处: 从所述第二设备接收具有所述wi-Fi网络ID和网络密码的数据凭证; 尝试连接到所述无线网络; 一般而言,在一个方面,本发明涉及一种包括指令的非暂时性计算机可读介质,所述指令在由处理器执行时执行一种方法,该方法包括从物联网设备读取射频标签。 该方法包括通信配对过程的启动和终止,而不需要物联网设备上的键盘、鼠标、触摸输入或显示器。</t>
  </si>
  <si>
    <t>将移动设备无线连接到缺少输入或输出机制的物联网设备的方法</t>
  </si>
  <si>
    <t>CN109240931A</t>
  </si>
  <si>
    <t>本申请提出一种问题反馈信息处理方法和装置，其中，方法包括：获取用户针对使用应用程序的问题反馈信息，其中，问题反馈信息包括异常信息图像；根据预先训练的问题分类模型对异常信息图像进行分类，得到异常信息图像的问题类别，其中，问题分类模型是由已标注过的样本集对初始的深度学习模型进行训练而得到的，输入层为图像，输出层为问题分类结果；识别异常信息图像的具体操作路径，其中，具体操作路径用于指示从应用程序的首页到出现异常信息页面时的操作路径；根据异常信息图像的问题类别和具体操作路径，对问题反馈信息进行处理。该方法能够实现自动对异常信息图像进行分类和处理。</t>
  </si>
  <si>
    <t>问题反馈信息处理方法和装置</t>
  </si>
  <si>
    <t>CN109389054A</t>
  </si>
  <si>
    <t>本发明公开了一种基于自动图像识别和动作模型对比的智能镜子设计方法，属于图像识别技术领域。所述设计方法通过Kinect传感器采集人体图像；根据人体图像获取人体骨骼图像；根据人体骨骼图像进行人体骨骼点识别；根据骨骼点，计算骨骼角度，建立实际动作模型；将实际动作模型与初始化的标准动作比较，得到动作拟合百分比；通过显示屏显示实际动作与标准动作，并以语音、文字或图像形式进行提示。本发明可应用于健身房，帮助健身者纠正健身动作，起到规范动作的作用，本发明提供的智能镜子具有反馈及时准确的优点，并提供语音和图像等多种提示信息。</t>
  </si>
  <si>
    <t>基于自动图像识别和动作模型对比的智能镜子设计方法</t>
  </si>
  <si>
    <t>JP2020046163A</t>
  </si>
  <si>
    <t>[问题]提供一种技术,能够在通过语音输入到语音输入/输出设备操作的烹饪系统中进一步提高用户便利性。 
  SOLUTION: 一个加热烹饪系统包括一个加热炊具、一个语音输入/输出设备和一个语音识别部分。 当第一语音被输入时,语音输入/输出设备将第一语音的第一语音数据发送到语音识别部分。 语音识别单元从语音输入/输出设备接收第一语音数据,将第一语音数据转换为第一文本数据,从第一文本数据中提取两个或多个参考关键词,具体操作条件包括与相关联的两个或多个操作条件上述各参考关键字被传送至加热锅的加热控制单元。 炊具的加热控制单元从语音识别单元接收特定操作条件,并根据特定操作条件控制加热单元的操作。 
  【选型图】图5</t>
  </si>
  <si>
    <t>加热烹饪系统</t>
  </si>
  <si>
    <t>CN109345568A</t>
  </si>
  <si>
    <t>本发明公开了一种基于计算机视觉算法的运动场智能化实现方法及系统，系统包括：至少一台处理器，至少四台枪型摄像机和至少两台半球型摄像机，所述至少四台枪型摄像机和至少两台半球型摄像机与所述至少一台处理器通讯连接，方法包括：通过识别运动场标志线实现摄像机的标定；控制各摄像机同步采集整个运动场的视频图像；从视频图像中检测出球体目标并进行轨迹追踪以获得球体目标二维轨迹；通过三维重建提取球体目标的三维轨迹。本发明系统能够实现运动定位及轨迹追踪，精准地获取结构化的运动数据，并实现裁判和数据统计，同时可以作为大小型常规比赛和日常多种模式训练中的数据分析，具有精确度高、适用面广、效率高和造价低等特点。</t>
  </si>
  <si>
    <t>基于计算机视觉算法的运动场智能化实现方法及系统</t>
  </si>
  <si>
    <t>CN109165872B</t>
  </si>
  <si>
    <t>本发明公开了一种无人化智能球场管理系统、方法及球场，系统包括：服务器、设置在球场侧上方和/或四周的摄像机和照明灯，以及设置在球场周边或入口的智能门锁，摄像机、照明灯、智能门锁均与所述服务器通讯连接，由所述服务器控制实现对球场的智能化管理。服务器内置有订球场约教练系统、智能门禁系统、灯光照明系统、安全监控系统、球场数据分析系统、视频播放系统和人工智能算法系统。本发明提高了球场的综合利用率，有利于优化球场使用率，有利于提高用户的消费和运动体验。</t>
  </si>
  <si>
    <t>无人化智能球场管理系统、方法及球场</t>
  </si>
  <si>
    <t>IN201841035365A</t>
  </si>
  <si>
    <t>本发明公开了一种用户在体育锻炼中的身体健康状态监测方法及系统。 该系统在训练期间接收用户的第一组生理数据和第二组生理数据。 基于第一组和第二组生理数据计算多个生理参数。 该系统使用神经网络模型和通过用户设备输入的多个训练相关数据基于多个生理参数来估计用户的身体健康状态。 神经网络模型通过处理在预定时间内收集的第一组生理数据和第二组生理数据连同用户的相关精神状态来训练。 本发明向用户提供实时的身体健康状态反馈,指导用户进行更有利于身体的锻炼。 图1</t>
  </si>
  <si>
    <t>实时估计用户运动舒适度的方法和系统</t>
  </si>
  <si>
    <t>CN109407829A</t>
  </si>
  <si>
    <t>本发明涉及健身器材人机交互系统及方法，该人机交互系统还包括全息投影装置和运动姿态采集装置；所述运动姿态采集装置用于采集运动者在健身器材传送带跑步或者行走时的运动姿态；采集后的运动姿态通过全息投影装置进行三维投影显示。人机交互方法中健身器材对运动者的身份信息进行验证，获取运动者的生理数据，根据获取的生理数据设置运动场景，采集运动者的运动姿态呈现在全息投影装置上，并通过比对将不相符部位提醒运动者进行姿态纠正，本发明根据输入的生理数据设置不同的运动场景，并通过全息投影装置进行呈现，能够帮助运动者快速的进入锻炼状态，提升运动者的健身效果。能够有效地帮扶运动者进入最佳的运动状态，以便提升运动体验。</t>
  </si>
  <si>
    <t>一种应用于健身器材的人机交互系统及交互方法</t>
  </si>
  <si>
    <t>CN109045712A</t>
  </si>
  <si>
    <t>本发明公开了一种可前进的健身木马及健身木马的健身方法，包括弧形架、木马头部、手持杆以及活动脚机构，所述手持杆设于所述木马头部的两侧，所述木马头部上设有陀螺仪传感器和加速度传感器，所述手持杆上设有手环支撑架，所述手环支撑架上设有心率传感器和血压传感器，所述弧形架的内侧设有电源和PCB板，所述陀螺仪传感器、所述加速度传感器均与所述电源和PCB板电连接，所述心率传感器、所述血压传感器均与所述电源和所述PCB板电连接。本发明健身木马通过各个传感器采集人体健康数据和木马的运动数据，采用物联网技术与可前进的健身木马结合，达到了智能化健身的作用，在保持了童趣的同时，提高了用户的锻炼兴趣。</t>
  </si>
  <si>
    <t>一种可前进的健身木马及健身木马的健身方法</t>
  </si>
  <si>
    <t>KR1020200029916A</t>
  </si>
  <si>
    <t>一种操作计算设备的方法,包括: 获取包括多个用户对第一游戏的动作信息的日志数据; 基于从日志数据中提取的多个用户的动作信息,通过将多个用户的动作区分为第一游戏的剩余用户的动作和脱离的动作来学习多个用户的动作用户通过机器学习; 根据学习结果获取退出第一游戏的用户退出第一游戏的原因信息; 根据至少一个类别提供关于离开第一场比赛的原因的信息。</t>
  </si>
  <si>
    <t>一种在计算设备上为游戏处理用户数据的方法,以及该计算设备</t>
  </si>
  <si>
    <t>US11645534B2</t>
  </si>
  <si>
    <t>半导体封装装置的实施例可以包括将一个或多个触发操作嵌入到与神经网络的集体操作相关的一个或多个消息中,并将与集体操作相关的一个或多个消息发布到基于硬件的消息调度器的技术 以期望的执行顺序。 公开并要求保护其他实施例。</t>
  </si>
  <si>
    <t>触发操作以改善 allreduce 重叠</t>
  </si>
  <si>
    <t>KR102116968B1</t>
  </si>
  <si>
    <t>公开了一种基于人工智能的智能辅导方法。 一种由计算机实现的运动指导方法,包括:通过近距离通信模块与运动机建立通信会话;接收建立通信会话的运动机实时感知的运动信息;接收接收到的运动信息。运动信息,可以包括按照预先指定的项目进行分类存储,根据接收到的运动量信息和预先注册的用户特征信息,推荐用户定制的运动信息。</t>
  </si>
  <si>
    <t>基于人工智能的智能教练方法</t>
  </si>
  <si>
    <t>CN209014936U</t>
  </si>
  <si>
    <t>本实用新型公开了一种跑步测试仪，包括主控部、发射部、按键部、电源状态指示灯以及显示器，主控部分别与发射部和按键部连接，主控部包括主控芯片以及与主控芯片连接的电源电路、红外接收管和充电电路，充电电路包括充电管理芯片，当电源电路电压掉电时，充电管理芯片自动进入低功耗的睡眠模式并把电源状态信号发送至主控芯片，主控芯片驱动电源状态指示灯以提示充电；发射部包括红外发射管以及红外发射管驱动电路；本实用新型还公开基于物联网的跑步测试系统，本实用新型能够代替人工测试，测试结果更准确，并且可提示用户对该跑步测试仪进行及时充电以及能够将测试数据快速上传到物联网云平台。</t>
  </si>
  <si>
    <t>一种跑步测试仪及基于物联网的跑步测试系统</t>
  </si>
  <si>
    <t>US10632359B2</t>
  </si>
  <si>
    <t>US10905962B2</t>
  </si>
  <si>
    <t>训练有素的机器学习模型用于确定在视频游戏服务中注册的用户帐户的分数(例如信任分数),并且这些分数用于在多人视频游戏设置中将玩家匹配在一起。 在示例过程中,计算系统可以访问与注册用户帐户相关联的数据,将数据作为输入提供给经过训练的机器学习模型,并且经过训练的机器学习模型生成分数作为输出,这些分数与 在多人模式下玩视频游戏时,玩家根据特定行为表现或不表现的概率。 此后,执行视频游戏的登录用户帐户的子集可以至少部分地基于为那些登录用户帐户确定的分数分配给不同的比赛,并且在分配的比赛中为每个登录的用户帐户执行视频游戏。 在用户帐户中。</t>
  </si>
  <si>
    <t>KR1020200028154A</t>
  </si>
  <si>
    <t>本发明涉及一种使用基于位置的服务的基于人工智能的高尔夫教练匹配服务系统,其提供高尔夫教练匹配服务应用,以及用于通过高尔夫教练匹配提供高尔夫教练匹配服务的高尔夫教练和高尔夫球手档案信息服务应用。一种高尔夫教练匹配服务服务器(100),其接收高尔夫球手信息并将其提供给高尔夫教练终端,向高尔夫球手终端提供高尔夫教练信息,并向位于近距离的高尔夫教练终端提供高尔夫教练匹配服务和高尔夫球手终端。); 如果加载了高尔夫教练匹配服务应用程序并通过高尔夫教练匹配服务应用程序上传了高尔夫教练资料信息,并且在高尔夫教练匹配服务应用程序运行时存在与高尔夫教练资料信息匹配的高尔夫球手信息,则学员终端( 300)向高尔夫教练终端200发送高尔夫教练匹配服务请求消息; 以及高尔夫教练匹配服务应用程序,如果通过高尔夫教练匹配服务应用程序上传了高尔夫球手档案信息并且在高尔夫教练匹配服务应用程序正在运行时存在匹配高尔夫球手档案信息的高尔夫教练,则高尔夫教练终端(200)高尔夫球手终端300发送高尔夫教练匹配服务请求消息。 因此,具有识别高尔夫教练与高尔夫球手之间的距离,并且容易见面进行商谈的效果。</t>
  </si>
  <si>
    <t>使用定位服务的国内外高尔夫教练咨询匹配系统</t>
  </si>
  <si>
    <t>CN109091837B</t>
  </si>
  <si>
    <t>一种足球训练方法，涉及足球训练系统的技术领域。本发明通过物联网精准定位系统获取球员及足球的定位位置及运动信息，并传送至云服务器处理平台，云服务处理平台即时生成球场、球员及足球的定位系统位置分布图；云服务处理平台上设置智能传球指导软件，球员通过佩戴战术腕表单独接收球员位置分布小地图，或通过佩戴智能眼镜接收全面信息并根据自身需要选择视频直播模式或定位系统球员分布地图模式。本发明从球员位置判断、跑位控局意识提升、球场实时训练科技手段升级等方面入手，通过搭建物联网精准定位+智能眼镜、智能穿戴+AR增强现实技术+AI智能计算的上帝视角科技足球训练系统，提升球员位置及距离宏观浸入感、大局掌控入微感等控场水平。</t>
  </si>
  <si>
    <t>一种足球训练方法</t>
  </si>
  <si>
    <t>CN209137843U</t>
  </si>
  <si>
    <t>一种运动阻力控制系统，其当阻尼单元接收运动者的运动阻力形成阻力值，则感测单元的信号回传给微控制器，使微控制器将阻力值回传到数据链结单元回到控制中心，并相互结合云端服务器、可携电子装置及生物辨识装置，以生物辨识装置来辨识运动者的生物特征，确定运动者的身分后，使云端服务器得知运动者所形成的阻力值及运动者的身分，即运动者的生理状态对应运动设备的型号种类，主动评估运动者的消耗热量、最佳运动时间、那一个部位肌肉需强化，适用那些运动设备、运动曲线图等的评估资讯，以云端服务器及可携电子装置传送及接收评估资讯，提供运动者查询及设定，形成一人工智能的健身中心，让运动者达到最佳化的健身训练功效及保留完整训练信息。</t>
  </si>
  <si>
    <t>运动阻力控制系统</t>
  </si>
  <si>
    <t>VN66151A</t>
  </si>
  <si>
    <t>本发明提供一种基于机器学习创建伤害预防模型的装置和方法以及伤害预防装置和方法。 Injury Prevention Modeler由信息采集器组成,用于采集运动员训练前身体状况的第一状态信息、运动员身体状况的第二状态信息、运动员训练后的身体状况、运动员受伤信息,包括参数计算器被配置为根据第一状态信息和第二状态信息计算反映运动员身体状态的参数,并且包括建模器,该建模器被配置为基于机器学习算法创建关于参数和运动员受伤信息之间的相关性的已知伤害预防模型。</t>
  </si>
  <si>
    <t>基于机器学习的图像预防建模的设备和方法以及伤害预防的设备和方法</t>
  </si>
  <si>
    <t>CN109011359A</t>
  </si>
  <si>
    <t>本发明提供一种运动健身锻炼系统，包括跑步机、拉伸机；罩设在述跑步机或拉伸机上的透明舱；运动健身锻炼系统还包括控制器单元，与所述控制器单元相连的氧气浓度调节模块、数据管理模块、锻炼方案管理模块、人机交互模块，能够方便的模拟高原缺氧的条件运动锻炼，提高血液的输氧能力，也有助于耐力项目突破体能极限；能够根据不同用户的个体差异，提供合适的健康锻炼建议，结合身体素质，合理安排运动类型、运动强度、运动时间，提高健康运动的针对性；能够同步监测用户的运动情况，评估锻炼效果，降低锻炼成本，提升用户兴趣，提高运动健身的趣味性。</t>
  </si>
  <si>
    <t>一种运动健身锻炼系统及控制方法</t>
  </si>
  <si>
    <t>CN109146960A</t>
  </si>
  <si>
    <t>本发明公开了一种基于智能数据采集的实心球投掷姿势矫正方法，包括如下步骤：S1：采集一批中考体育投掷实心球项目达到满分的学生的身体模型参数以及对应的投掷姿势数据，并上传至云服务器作为标准投掷姿势数据，身体模型参数、投掷姿势数据构成影响因素矩阵X，其中，身体模型参数为环境变量，投掷姿势数据为决策变量；S2：采集用户对应投掷姿势的数据样本构成指标矩阵Y，利用Elman神经网络对指标矩阵Y进行学习、训练、检验，并针对用户的身体模型参数建立投掷姿势的Elman神经网络模型；S3：利用S2中建立的Elman神经网络模型对投掷姿势数据进行预测，得到推荐决策变量X*，并将推荐决策变量X*下发至用户终端，用户根据推荐决策变量X*对自己的投掷姿势进行矫正。</t>
  </si>
  <si>
    <t>一种基于智能数据采集的实心球投掷姿势矫正方法</t>
  </si>
  <si>
    <t>CN109289188A</t>
  </si>
  <si>
    <t>本发明公开了一种基于数据挖掘的实心球投掷姿势矫正方法，包括如下步骤：S1：采集一批中考体育投掷实心球项目达到满分的学生的身体模型参数以及对应的投掷姿势数据，并上传至云服务器作为标准投掷姿势数据，身体模型参数、投掷姿势数据构成影响因素矩阵X，身体模型参数为环境变量，投掷姿势数据为决策变量；S2：采集用户投掷姿势的数据样本构成指标矩阵Y，利用BP神经网络对指标矩阵Y进行学习、训练、检验，并针对用户的身体模型参数建立投掷姿势的BP神经网络模型；S3：利用BP神经网络模型对数据进行预测，得到推荐决策变量X*，并将推荐决策变量X*下发至用户终端，用户根据推荐决策变量X*对自己的投掷姿势进行矫正。</t>
  </si>
  <si>
    <t>一种基于数据挖掘的实心球投掷姿势矫正方法</t>
  </si>
  <si>
    <t>CN109045628A</t>
  </si>
  <si>
    <t>本发明涉及一种区域性健身互联系统，该系统包括健身器材监控端、健身人员监控端、公共设施监控端、健康监测设备，以及将这些设备接入到区域网的网络接入端，多个网络接入端互联组成了该区域网，再通过管理平台对网络内的设备以及健身人员的健身活动进行管理。该系统能够将健身场馆内的各种健身设施、健身人员的信息终端和公共设施进行网络互联，既能对健身人员的健身活动进行监控和记录，又可以为健身人员提供详实的健身计划方案，供健身人员在健身活动中实时查询、执行、修订，因此本系统具有健身大数据和人工智能的特点，能够提高当今时代人们健身的科学性、安全性和健身器材的利用率。</t>
  </si>
  <si>
    <t>一种区域性健身互联系统</t>
  </si>
  <si>
    <t>CN109273069A</t>
  </si>
  <si>
    <t>本申请公开了一种体测数据的处理方法、装置、系统、存储介质、处理器。该方法包括：获取在体质健康测试中，目标用户对应的第一体测数据；使用第一模型对第一体测数据进行分析，确定第一体测数据匹配的健身行为，其中，第一模型为使用多组数据通过机器学习训练出的，多组数据中的每组数据均包括：用户在第一时间点的体测数据、该用户在第二时间点的体测数据、以及该用户在第一时间点至第二时间点之间的健身行为；依据第一体测数据匹配的健身行为，向目标用户发送健身训练计划。通过本申请，解决了相关技术中体测覆盖范围不全面的问题，以及依据体测结果推荐给用户的健身课程的健身效果较差，无法达到用户预期的健身效果的技术问题。</t>
  </si>
  <si>
    <t>体测数据的处理方法、装置、系统、存储介质、处理器</t>
  </si>
  <si>
    <t>CN305385205S</t>
  </si>
  <si>
    <t>1.本外观设计产品的名称：带图形用户界面的显示装置。
 2.本外观设计产品的用途：本外观设计产品为健身房中用来显示用户身体各部位的位置状态、动作状态、以及动作指引等锻炼用信息的带图形用户界面的显示装置。
 3.本外观设计产品的设计要点：在于显示在该机器显示部上的各种状态的画面。
 4.最能表明设计要点的图片或照片：设计1主视图。
 5.无设计要点，省略设计1后视图;设计1左视图与设计1右视图对称，省略设计1左视图;设计1仰视图与设计1俯视图对称，省略设计1仰视图;无设计要点，省略设计2后视图;设计2左视图与设计2右视图对称，省略设计2左视图;设计2仰视图与设计2俯视图对称，省略设计2仰视图;无设计要点，省略设计3后视图;设计3左视图与设计3右视图对称，省略设计3左视图;设计3仰视图与设计3俯视图对称，省略设计3仰视图;无设计要点，省略设计4后视图;设计4左视图与设计4右视图对称，省略设计4左视图;设计4仰视图与设计4俯视图对称，省略设计4仰视图;无设计要点，省略设计5后视图;设计5左视图与设计5右视图对称，省略设计5左视图;设计5仰视图与设计5俯视图对称，省略设计5仰视图;无设计要点，省略设计6后视图;设计6左视图与设计6右视图对称，省略设计6左视图;设计6仰视图与设计6俯视图对称，省略设计6仰视图。
 6.指定设计1为基本设计。
 7.图形用户界面的用途：各设计主视图中所示的图显示了用户身体的每个部分的位置状态，动作状态以及动作指引的画面。
 8.图形用户界面在产品中的区域：本产品正面装备有镜像显示器，还具有用于检测用户姿态的姿势传感器。
 如使用状态参考图所示，显示器根据由镜面反射的用户身体的图像显示图像。
 9.图形用户界面的人机交互方式：图像根据用户身体的动作而改变，并且基于锻炼程序引导用户执行的动作。
 用户可以在视觉上掌握自己身体的每个部位的位置状态和动作状态，并根据引导显示进行运动来执行适当且有效的训练。</t>
  </si>
  <si>
    <t>带图形用户界面的显示装置</t>
  </si>
  <si>
    <t>CN109191588B</t>
  </si>
  <si>
    <t>本发明提供一种运动教学方法、装置、存储介质及电子设备。本发明提供的运动教学方法，包括：先获取用户第一肢体动作的现实视频，并通过预设的神经网络模型对现实视频进行动作特征提取，以获取第一肢体动作对应的动作特征，再根据动作特征以及预设标准动作模型库确定与第一肢体动作匹配的第一标准肢体动作，并根据第一标准肢体动作生成第一虚拟视频，最后将第一虚拟视频叠加显示在现实视频中。本发明提供的运动教学方法，通过增强现实的方式同时直观地展示用户自身的肢体动作以及对应的标准肢体动作，以使得用户能够自行根据二者的区别进行动作调整，此外，还可以满足用户随时进行动作练习的需求，无需受到教练时间以及水平差异的约束。</t>
  </si>
  <si>
    <t>运动教学方法、装置、存储介质及电子设备</t>
  </si>
  <si>
    <t>CN109173217B</t>
  </si>
  <si>
    <t>本发明公开了一种羽毛球击发球机器人，包括行走装置、升降装置、发球装置、击球装置、图像识别装置及控制系统，行走装置包括底板和底架，底架固定在底板上。升降装置有两个，对称设置在底架的两侧，升降装置包括固定架和升降架，升降架与固定架滑动配合，升降架的下端配置有驱动机构。发球装置设在其中一个升降架的顶部，击球装置设在另一个升降架的顶部。所述发球装置和击球装置均包括曲柄摇杆机构和球拍固定夹，球拍固定夹设在曲柄摇杆机构上，发球装置还包括落球机构。图像识别装置和控制系统设置在底架上，位于两个升降装置之间。本发明结构设计巧妙，自动化程度高，可实现发球和接球的动作，节省训练成本，提高羽毛球训练的效果。</t>
  </si>
  <si>
    <t>一种羽毛球击发球机器人</t>
  </si>
  <si>
    <t>CN109165686B</t>
  </si>
  <si>
    <t>本发明提供了一种通过机器学习构建球员带球关系的方法、装置及系统，涉及数据分析技术领域。通过超宽带定位系统获得足球和球员的位置坐标，并建立球员对应的数学模型，再采用机器学习算法对相关数学模型进行处理，使得对每个球员的带球关系可以通过模型进行分类，可以更加准确、真实的反映出球场上球员与足球的关系，为球员的数据统计提供更具有价值的数据参考。超宽带定位系统的定位精度高，数据采集效率更高。并且，在机器学习过程中，随着数据量的不断增大，数学模型输出的准确性也可以不断提升。</t>
  </si>
  <si>
    <t>通过机器学习构建球员带球关系的方法、装置及系统</t>
  </si>
  <si>
    <t>US11282298B2</t>
  </si>
  <si>
    <t>描述了一种基于显示人的锻炼活动的图像帧序列来监测进行体育锻炼的人的方法。 该方法包括以下步骤:基于图像帧的序列,使用神经网络为每个图像帧提取一组身体关键点,该组身体关键点指示图像帧中的人的姿势,以及导出 ,基于每个图像帧中身体关键点的子集,至少一个特征参数指示人的运动的进展。 该方法还包括通过评估特征参数中的至少一个的时间进程来检测开始循环条件,所述开始循环条件指示在进行体育锻炼时从人的开始姿势到人的运动的转变。</t>
  </si>
  <si>
    <t>US10489656B2</t>
  </si>
  <si>
    <t>公开了用于球出手检测和比赛分析生成的方法和系统。 该方法和系统执行步骤以接收球赛的输入视频,其中输入视频是使用固定摄像机捕获的,并且其中输入视频的帧包括目标; 通过对输入视频执行第一个计算机视觉算法来识别目标周围的感兴趣区域 (ROI); 在投篮尝试期间检测 ROI 内的球,并通过对输入视频执行第二计算机视觉算法来确定球的轨迹; 并根据球的轨迹识别与投篮尝试相关的球员。 在一些实施例中,计算机视觉算法包括卷积神经网络(CNN)。 本发明使用计算机视觉技术来使诸如智能手机之类的资源有限的移动设备能够有效地执行新过程。</t>
  </si>
  <si>
    <t>使用移动设备进行球赛分析的方法和系统</t>
  </si>
  <si>
    <t>KR1020200021622A</t>
  </si>
  <si>
    <t>本发明涉及一种积木车,其设置有积木支撑板,可让儿童玩积木。 
  更详细地说,涉及一种在儿童自行车、电动自行车、电动车、快板等儿童车上安装了积木游戏支撑板的可实际行驶的积木车。 
  并且,在某些情况下,它可能涉及将VR设备、人工智能或跑步机与配备积木游戏底板的儿童车辆相结合的积木游戏车辆。</t>
  </si>
  <si>
    <t>一种配备玩积木平台的玩积木车</t>
  </si>
  <si>
    <t>CN305109578S</t>
  </si>
  <si>
    <t>1．本外观设计产品的名称：带有图形用户界面的健身器械的用户终端。
 2．本外观设计产品的用途：本外观设计产品用于健身器械的用户终端的操作和显示。
 3．本外观设计产品的设计要点：设计要点在于该设备上显示的图形用户界面的内容。
 4．最能表明本外观设计设计要点的图片或照片：主视图。
 5．本图形用户界面人机交互的方式及界面动态变化状态：（1）在界面变化状态图1中，通过触摸点击“选择程序”按键，然后再通过触摸点击“固定重量训练”按键，跳转到界面变化状态图2；（2）在界面变化状态图2中，通过触摸点击“金字塔训练”按键，跳转到界面变化状态图3；（3）在界面变化状态图2或界面变化状态图3中，通过触摸点击“倒金字塔训练”按键，跳转到界面变化状态图4；（4）在界面变化状态图2或界面变化状态图3或界面变化状态图4中，通过触摸点击“自定义”按键，跳转到界面变化状态图5；（5）在界面变化状态图5中，通过触摸点击“+”按键，跳转到界面变化状态图6；（6）在界面变化状态图5中，通过触摸点击“校正行程”按键，跳转到界面变化状态图7；（7）在界面变化状态图5中，通过触摸点击“校正重量”按键，跳转到界面变化状态图8；（8）在界面变化状态图1中，通过触摸点击“私教计划”按键，跳转到界面变化状态图9或界面变化状态图10或界面变化状态图11；（9）在界面变化状态图1中，通过触摸点击WIFI标志按键，跳转到界面变化状态图12；（10）在界面变化状态图1中，通过触摸点击设置按键，跳转到界面变化状态图13；（11）在界面变化状态图13中，通过触摸点击“单双配重切换”按键，跳转到界面变化状态图14或界面变化状态图15；（12）在界面变化状态图14中，通过触摸点击“报告”按键，跳转到界面变化状态图16；（13）在界面变化状态图15中，通过触摸点击“报告”按键，跳转到界面变化状态图17；（14）在界面变化状态图13中，通过触摸点击“传感器校准”按键，跳转到界面变化状态图18。</t>
  </si>
  <si>
    <t>带有图形用户界面的健身器械的用户终端</t>
  </si>
  <si>
    <t>KR1020190029430A</t>
  </si>
  <si>
    <t>公开了一种基于人工智能的在线健身系统及个人训练方法。 本发明通过人体扫描输入包括全身3D建模数据、体成分、身高、体重、肌肉量、体水量在内的基本体形信息和目标体形信息,为每个个体创建个性化的体形管理程序,以及通过这个,会员的锻炼进度通过管理情况和饮食,可以更系统地进行个人训练,从而最大限度地提高个人训练的效果。 此外,通过会员终端感知健身中心外消耗的食物和运动量,并将其反映在体形管理程序中,可以更系统地进行会员的健康和体形管理。 此外,在会员不参加健身中心时,通过提供替代运动信息,不断告知会员因运动而变化的身体状况信息,激励会员稳定运动,通过个人训练进行体型管理和健康管理,影响</t>
  </si>
  <si>
    <t>基于AI的在线健身系统及私教方法</t>
  </si>
  <si>
    <t>CN109898895A</t>
  </si>
  <si>
    <t>一种体育宫产品、智能方法及智能系统，包括：体育宫顶、体育宫顶柱支承、体育宫跑道及场地、体育宫护栏面、物联网智能系统、连接廊及分廊、组合器械及设施；特别是涉及一种晴天和雨雪天能够用来遮阳防雨雪在体育运动跑道及场地上进行田径运动及各类文体活动的体育宫产品、智能方法及智能系统。</t>
  </si>
  <si>
    <t>体育宫产品、智能方法及智能系统</t>
  </si>
  <si>
    <t>CN109165253A</t>
  </si>
  <si>
    <t>本发明涉及体育比赛数据挖掘技术领域，具体包括机器学习领域、计算机视觉领域和数据可视化领域，特别是涉及一种篮球战术辅助的方法与装置，其可以根据球员比赛和练习过程进行评估和判断，方便对球队进行赛前规划和预测，或者在比赛中安排阵容和关键时刻的布防，方便教练对球员和球队进行管理、分析和评估，并制定针对性的训练计划，提升比赛的成功率；包括以下步骤：对球员比赛信息进行数据挖掘，并进行历年数据统计分析；根据球队历年比赛数据和视频进行分析和预测；运用数据可视化技术表示球员和球队历年和近期的赛季数据；对球员和球队每个时段的训练项目进行统计和安排。</t>
  </si>
  <si>
    <t>一种篮球战术辅助的方法与装置</t>
  </si>
  <si>
    <t>KR101975448B1</t>
  </si>
  <si>
    <t>本发明建立了房地产、股票产品、基金、债券、乐透、体育多多等常见系列产品的大数据,并利用人工智能算法在众多产品中推荐具有高投资价值的产品。用于评估命中率的系统,因子评估单元,计算每个产品的元素数据的评估值,对每个产品的每个元素数据施加权重,然后将各个元素数据求和以计算总分,以及总分包括:预期排名计算单元,用于按递增顺序设置产品的预期利润排名;命中率计算单元,使用每个产品的实际利润排名计算预期利润排名的命中率;预期利润排名。</t>
  </si>
  <si>
    <t>使用人工智能评估基于大数据的产品投资推荐算法的系统和方法</t>
  </si>
  <si>
    <t>KR102217886B1</t>
  </si>
  <si>
    <t>本发明通过对房地产、股票产品、基金、债券、乐透、体育多多等常见产品构建大数据,利用人工智能计算得出最高命中率的最优权重集,从而提供多种作为在产品中推荐投资价值高的产品的系统相关技术,计算每个产品的每个元素数据的评价值的因子评价单元,以及对每个元素的评价值施加权重后的得分总和每个产品的数据,并使用预期排名计算单元计算预期利润排名的命中率,该计算单元按组合得分最高的顺序设置产品的预期利润排名,以及每个产品的实际利润排名和预期利润排名, 并计算最优命中率 它包括一个权重计算单元,用于导出一组 的权重。</t>
  </si>
  <si>
    <t>一种利用人工智能探索基于大数据的产品投资推荐算法的最优权重的系统和方法</t>
  </si>
  <si>
    <t>CN305312099S</t>
  </si>
  <si>
    <t>1．本外观设计产品的名称：带有图形用户界面的手机。
 2．本外观设计产品的用途：用于快速预约出来打体育比赛，进入程序登录后会有一个列表浏览比赛信息，测滑会有导航链接和其他模块进行对接。
 3．本外观设计产品的设计要点：屏幕中的图形用户界面及交互动态图形用户界面内容。
 4．最能表明本外观设计设计要点的图片或照片：主视图。
 5.本图形用户界面人机交互的方式及界面动态变化状态：（1）图形用户界面放大图为界面登陆首页；（2）输入信息并点击“登陆”进入界面变化状态图1；（3）在界面变化状态图1点击“距离”进入界面变化状态图2；（4）在界面变化状态图1或2中点击“最火”进入界面变化状态图3；（5）在界面变化状态图1、2或3中点击“奖金”进入界面变化状态图4；（6）在界面变化状态图1‑4任一一幅中点击左上角的菜单键“三”进入界面变化状态图5，界面变化状态图5为在线监测分析图；（7）在界面变化状态图5中选中“活动列表”进入界面变化状态图6。</t>
  </si>
  <si>
    <t>带有图形用户界面的手机</t>
  </si>
  <si>
    <t>CN109224424A</t>
  </si>
  <si>
    <t>本发明公开了一种智慧家庭的健身推荐系统，包括用于进行身体体脂采集的体脂测量仪以及用于健身推荐的中央系统模块，所述中央系统模块连接液晶显示器，所述体脂测量仪通过导线与液晶显示器连接，并将数据传输至中央系统模块，所述中央系统模块通过无线网络与后台终端连接，所述后台终端连接储存模块，储存模块连接语音播报模块，所述中央系统模块连接用户登录模块，所述语音播报模块与液晶显示器连接，所述液晶显示器上连接有音箱。该智慧家庭的健身推荐系统，结构合理，具有用户体验高，使用方便等特点，可广泛使用。</t>
  </si>
  <si>
    <t>一种智慧家庭的健身推荐系统和方法</t>
  </si>
  <si>
    <t>KR102035232B1</t>
  </si>
  <si>
    <t>公开了一种基于语音识别的提供屏幕高尔夫服务的方法及其装置。 根据本发明实施例的屏幕高尔夫服务提供方法在屏幕高尔夫比赛期间接收玩家的语音命令,根据屏幕高尔夫语音识别功能优先级生成与该语音命令对应的语音识别结果,并执行语音识别A提供与结果对应的语音识别服务。</t>
  </si>
  <si>
    <t>一种基于语音识别的屏幕高尔夫服务提供方法及装置</t>
  </si>
  <si>
    <t>CN109011516B</t>
  </si>
  <si>
    <t>本发明提供了一种交互式虚拟漫游健身车，涉及计算机交互应用领域，本发明包含前轮转向浮动支撑平台、后轮动阻力支撑平台和运动控制硬件电路，外部数据采集部分分别安装在前轮转向浮动支撑平台和后轮动阻力支撑平台的数据采集位置，自行车仿真骑行时，前轮转向浮动支撑平台和后轮动阻力支撑平台分别采集数据，最终实现虚拟仿真。本发明使得虚拟场景的漫游显示效果得到优化，硬件控制电路和自行车运动平台的创新设计使设备复杂度降低的同时也提高了交互性和实用性，系统具有良好的人机交互界面，设备的软硬件也具有很好的扩展性，适合进行大规模的生产加工。</t>
  </si>
  <si>
    <t>交互式虚拟漫游健身车</t>
  </si>
  <si>
    <t>CN108771828A</t>
  </si>
  <si>
    <t>本发明公开了一种可调速无动力跑步机，包括跑步机本体和阻力系统，所述跑步机本体包括跑台、人机交互设备和把手，所述把手通过立柱与跑台相连接，所述人机交互设备设于把手上，所述阻力系统包括电磁阻尼器和阻力放大系统。其优点表现为：阻力系统可减小磁阻尼器的力矩需求，减小阻尼器体积，同时减小整机功耗，提高整机稳定性，降低成本；采用非接触式阻尼，在实现跑步机速度可以调整的基础上，提高稳定可靠性，并且降低跑步机噪音甚至实现无噪音效果；配置有人机交互设备，使健身者可以自主调节设备显示的场景，将跑步过程融入到场景中，健身与娱乐融合提高跑步的趣味性。</t>
  </si>
  <si>
    <t>一种可调速无动力跑步机及其速度控制系统</t>
  </si>
  <si>
    <t>CN208710921U</t>
  </si>
  <si>
    <t>本实用新型公开了一种可调速无动力跑步机，包括跑步机本体和阻力系统，所述跑步机本体包括跑台、人机交互设备和把手，所述把手通过立柱与跑台相连接，所述人机交互设备设于把手上，所述阻力系统包括电磁阻尼器和阻力放大系统。其优点表现为：阻力系统可减小磁阻尼器的力矩需求，减小阻尼器体积，同时减小整机功耗，提高整机稳定性，降低成本；采用非接触式阻尼，在实现跑步机速度可以调整的基础上，提高稳定可靠性，并且降低跑步机噪音甚至实现无噪音效果；配置有人机交互设备，使健身者可以自主调节设备显示的场景，将跑步过程融入到场景中，健身与娱乐融合提高跑步的趣味性。</t>
  </si>
  <si>
    <t>一种可调速无动力跑步机</t>
  </si>
  <si>
    <t>CN108981744B</t>
  </si>
  <si>
    <t>本发明公开了一种基于机器学习与低通滤波的步频实时计算方法，该方法给广大跑步爱好者提供了一种简单有效的途径知道跑步的实时步频，经过数据准备、模型训练、状态判定、实时计算四个阶段准确的计算步频。本发明极大的改善了目前步频计算不是实时以及容易误算步频的情况，使得步频计算达到实时可靠，由于采用了机器学习方法，故减少了错误统计步频的情况。同时，本发明实时显示步频，方便跑步者控制自己的跑步速度，且步频计算更加精确。</t>
  </si>
  <si>
    <t>一种基于机器学习与低通滤波的步频实时计算方法</t>
  </si>
  <si>
    <t>US11172818B1</t>
  </si>
  <si>
    <t>可能通过流数据从用户佩戴的一个或多个传感器收集大量人体运动数据。 数据可以与其他分类数据一起分析,以便为用户或其他感兴趣的人(例如,培训师、教练、团队成员、健康专业人员等)生成反馈。 该分析可以利用一种或多种机器学习 (ML) 算法,这些算法使用训练数据来创建一个或多个 ML 模型。 当收到反馈后评估用户时,可以评估反馈的准确性并将其反馈给 ML 模型以继续训练 ML 模型。</t>
  </si>
  <si>
    <t>人体运动数据的流式分析</t>
  </si>
  <si>
    <t>US11599789B2</t>
  </si>
  <si>
    <t>本发明公开了一种基于层次化高度异构分布式系统的深度学习应用优化框架,涉及计算科学方向的深度学习领域。 基于层次化高度异构分布式系统的深度学习应用优化框架包括运行准备阶段和运行阶段。 跑步准备阶段用于进行深度神经网络训练。 运行阶段对分布式系统中的各类设备进行任务分配,并使用数据加密模块对用户敏感数据进行隐私保护。 由于本发明系统任务的异构特性,在保证整体性能的前提下,降低系统响应时间,保证用户体验,基于神经网络的数据加密模块可以进行隐私保护, 用户敏感数据以较低的计算成本和存储成本,保证用户数据安全。</t>
  </si>
  <si>
    <t>基于分层高度异构分布式系统的深度学习应用优化框架</t>
  </si>
  <si>
    <t>CN108858238A</t>
  </si>
  <si>
    <t>本发明公开了一种激光射击对抗机器人系统,由机器人主控系统、多种传感器模块、运动控制模块、激光枪控制系统及目标靶控制系统组成，先将多种传感器模块与连接有激光枪控制系统与目标靶控制系统的机器人主控系统连接，机器人主控系统进行解析，发出行动指令，将信号发送给运动控制模块；比赛开始后，机器人主控系统向激光枪控制系统发出子弹发射指令；激光枪控制系统发出激光束至另一台目标靶控制系统的机器人，并将剩余子弹数量反馈给机器人主控系统；目标靶控制系统将剩余血量及被打击方向信号传送给机器人主控系统，该发明结构合理，解决现有的智能机器人比赛项目存在的对抗性差、博弈性不强等缺点，且观赏性、娱乐性体验更好。</t>
  </si>
  <si>
    <t>一种激光射击对抗机器人系统</t>
  </si>
  <si>
    <t>CN208606641U</t>
  </si>
  <si>
    <t>本实用新型公开了一种激光射击对抗机器人用激光枪，主板、激光发射器、复位按键及发光二极管均设置于外壳内部，激光发射器设置于外壳一端，激光发射器另一端与导线A一端相连，导线A另一端电连接于主板一端，发光二极管有若干个，发光二极管底端与主板相连，发光二极管顶端设置于外壳上表面外部，复位按键底端安装于主板上表面，复位按键一侧设置于外壳侧面，导线B一端与主板相连，导线B另一端设置于外壳外部，连接杆设置于外壳底部，该实用新型结构合理，解决现有的智能机器人比赛项目存在的对抗性差、博弈性不强等缺点，可座位武器用于激光射击对抗机器人上，增加了智能机器人比赛的抗性差、博弈性及观赏性。</t>
  </si>
  <si>
    <t>一种激光射击对抗机器人用激光枪</t>
  </si>
  <si>
    <t>CN208606646U</t>
  </si>
  <si>
    <t>本实用新型公开了一种激光射击对抗机器人用目标靶，壳体上表面与上盖相连，主板安装于壳体内，壳体内部还安装有若干激光束接收电路板，激光束接收电路板分别通过导线与主板下表面相连，主板表面均匀设置有若干显示信号发射器，主板上表面固定安装有复位按键，上盖表面开有圆孔，复位按键顶端穿过圆孔设置上盖外部，壳体下表面中心位置固定安装有连接杆，壳体下表面还开有小孔，数据传输线一端与主板下表面相连，数据传输线另一端穿过小孔设置于壳体外部，该实用新型结构合理，用于接收激光束，可判断被攻击方向，可显示“血量”，用在激光射击对抗机器人上，大大增加智能机器人比赛中的对抗性、博弈性及观赏性。</t>
  </si>
  <si>
    <t>一种激光射击对抗机器人用目标靶</t>
  </si>
  <si>
    <t>CN109011508A</t>
  </si>
  <si>
    <t>本发明公开了一种智能教练系统及方法，由训练教学模块、动作判断分析模块及运动采集模块组成，运动采集模块用于采集用户运动姿态信息及用户运动中的生命指标数据，发送给动作判断分析模块；动作判断分析模块，用于建立运动模型，根据运动模型对用户运动姿态信息及用户生命指标数据进行分析，得到分析结果，发送至训练教学模块；训练教学模块，用于展示训练教学内容，并将动作判断分析模块的分析结果实时的展示给用户。进一步动作判断分析模块根据分析结果生成用户动作的训练评价、建议及整体运动情况报告。动作判断分析模块，基于人工智能技术，可与云端服务器交互或者部署在云端服务器上，根据运动采集模块采集到的用户姿态信息进行姿态识别，然后建立用户的实时运动模型并实时地与标准姿态进行分析，再结合用户运动中的生命指标数据，得到分析结果。由于本发明实施例采集用户运动姿态信息以及用户运动中的生命特征指数数据，可以建立运动模型并实时比较分析，对用户运动进行训练评价及建议，从而在不需要人工参与的前提下，对用户运动进行实时的训练和指导。</t>
  </si>
  <si>
    <t>一种智能教练系统及方法</t>
  </si>
  <si>
    <t>KR1020190015121A</t>
  </si>
  <si>
    <t>为了给用户提供工作空间,在盒子的下侧设置了一个盒子,包括形成前后左右两侧的侧壁和密封上侧的上壁,以便用户可以采取步行或跑步动作的步行辅助装置,用于执行步行的步行辅助装置,用于显示虚拟现实图像的一个或多个显示器,用于通过分析在一个或多个显示器上显示的虚拟现实图像来确定与虚拟现实图像相对应的环境的控制器更多的显示器,并对应于控制器确定的环境公开了一种用户体验装置,包括用于调节箱内环境的内部环境控制装置。</t>
  </si>
  <si>
    <t>KR1020200013491A</t>
  </si>
  <si>
    <t>为了给使用者提供活动的空间,箱体包括形成前后左右两侧的侧壁和密封上侧的上壁,并设置在箱体的下侧,使得用户可以步行或跑步步行辅助装置,一个或多个显示器显示虚拟现实图像,一个控制器分析显示在一个或多个显示器上的虚拟现实图像并确定与虚拟现实图像对应的环境,并响应由控制器确定的环境 公开了一种用户体验装置,包括用于调节盒内环境的内部环境控制装置。</t>
  </si>
  <si>
    <t>IR97576B-该数据不支持导出</t>
  </si>
  <si>
    <t>ID201812107A</t>
  </si>
  <si>
    <t>一种预测用户最有意义的多媒体内容的系统和方法,包括响应于用户请求多媒体操作启用用户设备上的感测设备,响应于多媒体操作执行多媒体内容的多媒体操作,识别行为和 基本上在执行多媒体操作时用户与感测装置的交互线索,更新来自包括多媒体内容的一组多媒体内容的推荐</t>
  </si>
  <si>
    <t>CN208954388U</t>
  </si>
  <si>
    <t>本实用新型公开了一种基于物联网的虚拟真实驾驶教学系统，包括底座、操作箱和座椅，所述底座上设有座椅，所述座椅设有两个，所述座椅的底部开设有T型槽，所述T型槽内设有电动推杆，所述电动推杆的输出端固定连接T型限位板，所述T型限位板与T型槽滑动连接，所述电动推杆和T型限位板分别设有两个，所述座椅的底部设有震荡结构，所述震荡结构包括第一支撑板、第二支撑板、万向滚珠、衔接杆、第三支撑板、弹簧网、电机、椭圆滚轮、转杆、固定板和支撑台，此基于物联网的虚拟真实驾驶教学系统，不仅能够选择不同路况，感受到不同路况的颠簸情况，而且能够直接观察教练的操作，便于提高学习效率。</t>
  </si>
  <si>
    <t>一种基于物联网的虚拟真实驾驶教学系统</t>
  </si>
  <si>
    <t>CN109011428A</t>
  </si>
  <si>
    <t>一种青少年人工智能教育专用的潜水蝠鲼玩具，包括鱼体、头部、嘴唇、左眼、右眼、左鳃、右鳃、左翅、右翅、左尾翼、右尾翼、尾舵翼，其优特点在于：通过在潜水蝠鲼玩具体内设置的微型马达驱动机构、电子芯片与LED灯、播音器和电子语音芯片、锂电池，生动展示了潜水蝠鲼玩具在水中模仿蝠鲼自由游行所涉及到的仿生学、机械动力学、电子感应、电子芯片与LED灯技术，本发明采用环保软体硅胶制作，保护了儿童玩撒时肌肤柔嫩不易划伤，让儿童在使用潜水蝠鲼玩具中认知到蝠鲼不仅是游泳、运动健将，更是国际公约保护的濒危野生动物濒危物种，培养儿童从小保护蝠鲼、拒食蝠鲼的意识，对于推动青少年儿童科普教育的发展具有深远的意义。</t>
  </si>
  <si>
    <t>一种青少年人工智能教育专用的潜水蝠鲼玩具</t>
  </si>
  <si>
    <t>US62703254P0</t>
  </si>
  <si>
    <t>CN108957510B</t>
  </si>
  <si>
    <t>本发明公开了一种基于惯性/零速/GPS的行人无缝组合导航定位方法，首先分析行人跑步步态下的惯性传感器输出特性并进行捷联解算，建立基于行人跑步步态的零速检测模型提高了行人跑步状态下零速检测的稳定性与可靠性；同时提出了一种基于BP神经网络的GPS可用信号筛选方法，有效剔除误差较大的GPS干扰信号，提高了GPS信息的可靠性与精准性；在以上技术的基础上，研究了基于可变量测的卡尔曼滤波器实现了惯性/零速信息/GPS信息的有效融合，显著提高了行人跑步状态下的导航定位精度；本发明很好地解决纯惯性解算下速度位置的发散问题，提高行人跑步状态下的无缝组合导航定位的精度和可靠性。</t>
  </si>
  <si>
    <t>基于惯性/零速/GPS的行人无缝组合导航定位方法</t>
  </si>
  <si>
    <t>CN108985229A</t>
  </si>
  <si>
    <t>本发明揭示了一种基于深度神经网络的智能广告替换方法及系统，所述方法包括：S1，直播视频导入；S2，采用基于实例分割模型的识别网络对视频中的广告区域进行识别，所述实例分割模型包括Mask‑RCNN架构；S3，将预先准备好的广告内容覆盖在S2中识别出来的广告区域内；S4，导出经S3编辑后的视频文件，发送给用户。本发明将深度神经网络算法应用于视频广告识别中，完整地实现了体育赛事广告位的精确识别和替换。</t>
  </si>
  <si>
    <t>一种基于深度神经网络的智能广告替换方法及系统</t>
  </si>
  <si>
    <t>CN109061706A</t>
  </si>
  <si>
    <t>本发明提供了一种基于T‑Box和实时路况地图数据的车辆驾驶行为分析的方法。本方法的功能主要在于通过T‑Box回传的各项传感数据，基于人工智能算法进行深度分析，实现包括车辆行驶轨迹精确还原、司机驾驶习惯分类等功能，提取多种有用信息，为UBI（基于使用情况的车险）、车辆事故处理、司机驾驶习惯指导等高附加值的应用提供信息来源。司机驾驶行为主要包括：司机在车内的具体操作，如打灯，方向盘控制，油门和刹车控制，以及车辆行驶轨迹。</t>
  </si>
  <si>
    <t>一种基于T-Box和实时路况地图数据的车辆驾驶行为分析的方法</t>
  </si>
  <si>
    <t>CN109145733A</t>
  </si>
  <si>
    <t>本发明公开了一种篮球比赛的人工智能解说方法及系统，其特征在于，包括步骤一：对数据库中的数据进行预处理，得到球员、裁判员、篮球运动轨迹等比赛内容的基础数据；步骤二：对球场每个球员和裁判员进行锁定，并进行身份认证；步骤三：识别进攻方运动员动作，对持球人以及持球方球员进行动作识别；步骤四：识别防守方运动员动作，对防守方运动员进行动作识别；步骤五：识别篮球运动轨迹，对篮球进行识别并锁定，跟踪篮球运动轨迹；步骤六：识别裁判员哨声和手势；步骤七：实时文字及语音合成解说。该方法及系统能够实时智能的完成对篮球比赛的解说任务，无论是大众化的平民体育还是专业的竞技体育，都能进行专业的比赛解说，极大地提升全民体育的娱乐性。</t>
  </si>
  <si>
    <t>一种篮球比赛的人工智能解说方法及系统</t>
  </si>
  <si>
    <t>WO2019017681A1</t>
  </si>
  <si>
    <t>在本发明中,多个第一队的第一队信息、多个第一队进行的比赛的比赛结果信息、以及基于第一队信息和比赛结果信息计算的多条信息存储在存储器中。用于存储指示第一队之间排名的排名信息; 通信电路,包括用于多个二队参加体育比赛的二队信息; 和处理器电连接到存储器和通信电路,其中处理器使用通过机器学习由第一队执行的比赛的比赛结果信息和第一队信息计算的排名系统。 ,用于控制通信的电子设备电路来估计第二队的排名。</t>
  </si>
  <si>
    <t>一种产生体育比赛排名的方法、电子设备和计算机可读记录介质</t>
  </si>
  <si>
    <t>KR102020012B1</t>
  </si>
  <si>
    <t>根据本发明的一个实施例,一种基于大数据分析的人工智能实时体育文章自动编写系统,包括:数据输入单元,接收棒球比赛结果信息,结合棒球比赛信息记录介质; 文章编写单元,从棒球比赛结果信息中选择一个比赛结果观点关键字,并根据该比赛结果观点关键字撰写关于该比赛结果的文章; 文章编辑单元从数据库中提取与记录在书面文章中的词相关联的修饰语,并与词结合以编辑文章; 文章发送单元将编辑后的文章发送到预先注册的网络。</t>
  </si>
  <si>
    <t>基于大数据分析的人工智能实时体育文章自动撰写系统及方法</t>
  </si>
  <si>
    <t>KR1020200008700A</t>
  </si>
  <si>
    <t>[0001] 本发明涉及一种使用智能CRM系统进行实时综合管理的智能健康系统及其控制方法,更具体地说,涉及一种用于输入用户信息的会员卡、会员读卡器识别、管理会员进出入会,采用智能CRM(客户管理)服务器,将用户状态传送到中央服务器,并对传送过来的数据进行分析,同时利用中央服务器和健身器材传送信息进出健身器材和健康终端,与健身器材进行信息交互,实时管理,使用户进行系统锻炼,通过用户识别手段检测接入和接入,由中央服务器控制,接入信息和运动信息实时传输到信息中心和教练终端,高效锻炼会员。涉及一种实时复杂的管理智能健康系统,采用智能CRM系统,通过管理和降低人力成本,有效运营健身俱乐部。以及一种智能健康系统的控制方法。 本发明及门框; 安装在门框上的闸门; 它由安装在大门两侧相对的无人卫生门系统组成,无人卫生门系统包括门读卡器以识别进入者; 其特征在于包括闸门,闸门通过闸门的开闭来控制被闸机识别的会员的进出。 因此,本发明的实时复杂管理智能健康系统和使用智能CRM系统的智能健康系统控制方法提供了个人无法通过人工智能和物联网以及附近的健身俱乐部进行优化的锻炼系统。和教练员可以通过集成和轻松连接进行锻炼,锻炼信息在中央服务器存储和管理,并传输到每个教练员和健身俱乐部,大大降低人工成本,同时可以选择非一人进入健身俱乐部。通过控制未经授权的访问,可以很好地管理健身俱乐部。 此外,本发明通过在健身俱乐部和教练之间实时共享信息以进行个性化锻炼,即进行了锻炼的时间和量,进行了锻炼的哪一部分,锻炼了哪一部分,从而提供了系统的个人锻炼管理。由于可以管理运动,因此具有提供非常有效的运动系统的效果,并且具有通过向训练者提供运动数据来最大化个性化运动效果的效果。</t>
  </si>
  <si>
    <t>采用智能CRM系统的实时复杂管理智能健康系统及其智能健康系统控制方法</t>
  </si>
  <si>
    <t>CN109078320A</t>
  </si>
  <si>
    <t>本发明提供一种基于投影手机分层分级的物联网终端数据处理方法，所述方法包括(1)建立投影手机与运动体感系统连接；(2)运动体感系统采集运动体感数据通过分层分级进行数据处理；(3)通过投影手机进行呈现。本发明提出一种分层分级“运动体感+投影手机”的物联网终端数据处理方法，通过采集运动体感数据，投影手机的呈现，并通过分层分级数据处理的方法，实现低时延、随时随地运动健身的需求。</t>
  </si>
  <si>
    <t>一种基于投影手机分层分级的物联网终端数据处理方法</t>
  </si>
  <si>
    <t>CN208599106U</t>
  </si>
  <si>
    <t>本实用新型属于智能机器人创新设计技术领域，提供一种新型收集分类捡球机器人，新型收集分类捡球机器人包括动力总成、变幅总成、回转总成、拾取机构总成、支撑总成、分拣总成，其中分拣总成是实现不同球分类回收功能的核心。机器人通过摄像头传感器自主识别乒乓球、网球、羽毛球并判断位置，通过多机构配合将球捡起并分类回收。本实用新型采用自动化识别和分拣机构，管口大小辅助分辨不同球类，该机器人较常规单一捡球机器人识别球的种类增多，效率提高，所需扭矩和动力较小，所述的捡球机器人动作灵活，配置合理，能自动识别并捡起球场中的羽毛球，网球和乒乓球，并将三者分类放置，提高机器人的通用性，可极大地节约成本。</t>
  </si>
  <si>
    <t>一种新型收集分类捡球机器人</t>
  </si>
  <si>
    <t>CN108654023B</t>
  </si>
  <si>
    <t>本发明属于智能机器人创新设计技术领域，提供一种新型收集分类捡球机器人及其使用方法，新型收集分类捡球机器人包括动力总成、变幅总成、回转总成、拾取机构总成、支撑总成、分拣总成，其中分拣总成是实现不同球分类回收功能的核心。机器人通过摄像头传感器自主识别乒乓球、网球、羽毛球并判断位置，通过多机构配合将球捡起并分类回收。本发明采用自动化识别和分拣机构，管口大小辅助分辨不同球类，该机器人较常规单一捡球机器人识别球的种类增多，效率提高，所需扭矩和动力较小，所述的捡球机器人动作灵活，配置合理，能自动识别并捡起球场中的羽毛球，网球和乒乓球，并将三者分类放置，提高机器人的通用性，可极大地节约成本。</t>
  </si>
  <si>
    <t>一种新型收集分类捡球机器人及其使用方法</t>
  </si>
  <si>
    <t>CN108905169A</t>
  </si>
  <si>
    <t>本发明公开了一种智能化共享健身系统及相关手机运动App的系统，其特征在于：包括基于物联网传递信息的共享健身系统和手机运动App系统，所述共享健身系统包括商家客户端、产品部管理、运动设备，所述手机运动APP系统包括账号管理、功能面板、个人详情、设置管理。本发明可以克服个人健身运动的枯燥性，鼓励全民健身，提高健身器材的实用性，扩大使用群体，减少使用消费，提高使用的智能性，带来更好的体验感。</t>
  </si>
  <si>
    <t>一种智能化共享健身系统及相关手机运动App的系统</t>
  </si>
  <si>
    <t>US11100436B2</t>
  </si>
  <si>
    <t>提供了用于动态实体数据控制的系统。 在一些示例中,系统可以接收生成用于实体操作的第二区域或区域的推荐的请求和/或在第二区域或区域中操作期间接收第二实体容纳实体的请求。 该系统可以生成和传输对附加数据的请求。 对附加数据的请求可以包括对关于实体的数据的请求,以及对关于多个其他实体、其他区域或区域等的数据的请求。 系统可以接收响应数据,并且可以使用机器学习进行分析。 一旦生成了推荐,就可以生成一个或多个指令并将其传输到实体计算系统、第二或临时实体的计算系统等。 然后可以执行生成的指令以修改数据、显示附加的或新的数据等。</t>
  </si>
  <si>
    <t>智能动态实体数据控制系统</t>
  </si>
  <si>
    <t>AT1329753T</t>
  </si>
  <si>
    <t>一种可识别睡眠阶段的可穿戴装置,包括处理器、心电图传感器、加速度传感器和角加速度传感器。 处理器训练神经网络模块。 心电图传感器产生心电图信号。 处理器分析心电图信号以产生多个第一特征值。 加速度传感器产生加速度信号。 处理器分析加速度信号以产生多个第二特征值。 角加速度传感器产生角加速度信号。 处理器分析角加速度信号以产生多个第三特征值。 处理器利用经过训练的神经网络模块根据第一特征值、第二特征值和第三特征值进行睡眠阶段识别操作,得到睡眠阶段识别结果。</t>
  </si>
  <si>
    <t>可穿戴式体育场馆检测和检测结果的检测</t>
  </si>
  <si>
    <t>CN108579039A</t>
  </si>
  <si>
    <t>一种基于物联网的智能型球类网架，包括控制面板、活动支腿底座、固定支腿底座、固定支腿、球网，控制面板包括停止按钮、二维码、含有GPRS无线数据模块的电路板；其特征在于：还包括转轴、活动支腿悬臂梁、销子、U型卡子、丝杆、内螺纹筒、外螺纹驱动部件、延长杆、步进电机、电机座、电机支架、步进电机安装梁、活动支腿支架、活动支腿、平垫、开口销。优选设有护罩，护罩上设有开口、护罩安装孔。本发明的使用能够全面、实时监控羽毛球、网球、乒乓球等球类场地使用情况，及时收费，收费准确，解决球类场馆管理不便的问题，节省人工成本，实现球类场馆的自动化管理、无人管理。</t>
  </si>
  <si>
    <t>一种基于物联网的智能型球类网架</t>
  </si>
  <si>
    <t>CN208726672U</t>
  </si>
  <si>
    <t>一种基于物联网的智能型球类网架，包括控制面板、活动支腿底座、固定支腿底座、固定支腿、球网，控制面板包括停止按钮、二维码、含有GPRS无线数据模块的电路板；其特征在于：还包括转轴、活动支腿悬臂梁、销子、U型卡子、丝杆、内螺纹筒、外螺纹驱动部件、延长杆、步进电机、电机座、电机支架、步进电机安装梁、活动支腿支架、活动支腿、平垫、开口销。优选设有护罩，护罩上设有开口、护罩安装孔。本实用新型的使用能够全面、实时监控羽毛球、网球、乒乓球等球类场地使用情况，及时收费，收费准确，解决球类场馆管理不便的问题，节省人工成本，实现球类场馆的自动化管理、无人管理。</t>
  </si>
  <si>
    <t>CN108847081A</t>
  </si>
  <si>
    <t>本发明提供一种基于虚拟现实技术的消防模拟训练方法，包括：构建火灾现场虚拟场景模型库；结合地理信息、模型立体空间位置信息通过三维建模将构建的虚拟场景模型库加载到三维场景中；通过显示屏和人机交互，加载所述演练模拟场景并调取预先存储的救灾预案库；演练人员穿戴VR设备显示所述演练模拟场景并跟踪演练人员的视线轨迹显示相应角度的场景；开始采集演练人员的具体操作动作信息、实时状态信息、位置信息以及周围的环境信息并对采集信息进行处理后在所述演练模拟场景进行显示。本发明提供的基于虚拟现实技术的消防模拟训练方法有利于提高消防训练的针对性和有效性，体验感强。</t>
  </si>
  <si>
    <t>一种基于虚拟现实技术的消防模拟训练方法</t>
  </si>
  <si>
    <t>CN108648217A</t>
  </si>
  <si>
    <t>本发明公开了一种基于图像识别与增强现实技术无人机比赛裁判设备，采集系统通过深度摄像头捕捉参赛无人机直播画面，并将直播画面作为待识别图像；提取待识别图像的特征信息；并与预先建立的特征信息库特征信息进行比对；当特征信息库中的特征信息与获取的特征信息相同时，利用增强现实的方法进行渲染，绘制所述参赛无人机飞行轨迹，叠加至直播画面；同时通过深度摄像头测距，分析参赛无人机与参赛环境的位置关系；当参赛无人机驶出参赛环境，系统会立即警报并发送信息供现场裁判员决断，本发明可以清楚地识别肉眼无法识别的无人机高速运行状态，并进行打分，减少了对比赛结果判罚的争议，增加了观众观赏无人机飞行比赛的观感体验。</t>
  </si>
  <si>
    <t>一种基于图像识别与增强现实技术无人机比赛裁判设备</t>
  </si>
  <si>
    <t>CN109117982A</t>
  </si>
  <si>
    <t>本发明公开了一种基于深度学习与特征组合的房价预测方法，包括如下步骤：认识数据，分析数据，特征工程，深度学习，预测结果。本发明方法提出了一种特征组合的新思路，并基于深度学习模型结构进行逐层式训练网络结构，相比于传统手工提取特征和常见机器学习方法，能有效提取数据内在的非线性特征，更好的解决房价预测问题。本发明方法在DataCastle平台上的美国King County房价预测比赛中取得第四名的成绩，误差精度为0.14，充分证明本方法的有效性。</t>
  </si>
  <si>
    <t>一种基于深度学习与特征组合的房价预测方法</t>
  </si>
  <si>
    <t>CN208389327U</t>
  </si>
  <si>
    <t>本实用新型公开了一种交互式目标捕捉训练设备，包括橡胶护垫、控制台，所述橡胶护垫内设置有压力感应膜，所述橡胶护垫四周设置有液压支撑柱，所述液压支撑柱顶部设置有动作捕捉摄像头，所述动作捕捉摄像头后侧下方设置有倾角调节液压杆，所述橡胶护垫一侧设置有所述控制台，所述控制台下端设置有收纳柜，所述控制台上端设置有动作显示屏，所述动作显示屏一侧设置有状态指示灯，所述状态指示灯下方设置有语音提示器，运动员手腕和脚腕处设置有腕部感应器，运动员头部佩戴有头戴式耳麦。有益效果在于：通过人机交互控制，可以实时的检测人体运动情况并进行实时的反馈，快速修正运动员的锻炼姿势，缩短无用锻炼时间，提高锻炼效果。</t>
  </si>
  <si>
    <t>一种交互式目标捕捉训练设备</t>
  </si>
  <si>
    <t>CN208488766U</t>
  </si>
  <si>
    <t>本实用新型公开了一种基于图像识别与增强现实技术无人机比赛裁判设备，采集系统通过深度摄像头捕捉参赛无人机直播画面，并将直播画面作为待识别图像；提取待识别图像的特征信息；并与预先建立的特征信息库特征信息进行比对；当特征信息库中的特征信息与获取的特征信息相同时，利用增强现实的方法进行渲染，绘制所述参赛无人机飞行轨迹，叠加至直播画面；同时通过深度摄像头测距，分析参赛无人机与参赛环境的位置关系；当参赛无人机驶出参赛环境，系统会立即警报并发送信息供现场裁判员决断，本实用新型可以清楚地识别肉眼无法识别的无人机高速运行状态，并进行打分，减少了对比赛结果判罚的争议，增加了观众观赏无人机飞行比赛的观感体验。</t>
  </si>
  <si>
    <t>JP2020005766A</t>
  </si>
  <si>
    <t>[问题] 在传统的跑步数据测量系统中,只有一般的结果显示,例如用户的跑步速度、跑步的速度(用户每小时移动的距离)以及显示一个宽度的间距用户的步骤。有。 提供一种运动支持系统,除了显示结果外,还显示如何连接结果以提高跑步技能的观点。 
  【解决方案】将运动数据、自评数据、GPS数据作为输入数据,在学习单元中进行机器学习,形成数值模型,对评价进行预测计算,对因素贡献进行预测计算,预测的自我评价和预测的因素贡献显示在显示单元上。 
  【选型图】图2</t>
  </si>
  <si>
    <t>跑步支持系统</t>
  </si>
  <si>
    <t>DE102018116174A1</t>
  </si>
  <si>
    <t>可以节省成本和/或时间和/或用户获得额外技能的设备,可以更持久或更好地执行额外任务和/或任务,和/或更舒适和/或可以更轻松地完成任务。 该装置尤其可以是多个部分。 部分可以包括过程,特别是根据本发明具体呈现的技术,因为它们被使用。 该设备根据需要或根据用户的意愿使用,例如为了获得更好的性能、期望的舒适度或避免不适或疼痛等。用户等一词也缩写为用户。由用户等使用. 除了目前的提交之外,正在准备第二份独立的提交,其中包含关于补充主题的设备,这意味着目前的提交可以更短。本发明设备的一部分是座套,例如用于办公椅。 例如,许多人长时间坐在办公椅上工作,从长远来看,这会引发许多人的各种疼痛障碍。 例如,坐在办公椅上的个子较高的人处于一种众所周知的不舒服、不利的位置,这会促进疾病的发生。 高度可变的座垫,可根据一时的需求实现舒适的座高。 在所附的草图中,1 表示带或不带座椅的用户和/或患者,带有放置在座椅上的装置,例如座椅装置,尤其是可以调节的,特别是 U 形的高度可以调节,对于可以自由放置的设备,拥有可以放置的设备的人也可以随身携带,例如将其用作汽车和其他地方或机动车辆中的座垫一般在座位上,也可以附上这样的装置。 机动车辆的座椅通常非常柔软,如果没有座套,柔软的部件可能会被挤压得特别严重,而且许多人经常长时间驾驶。 一个特殊版本是集成到座套中的 RFID 或具有无线电功能的计算机,例如,如果您离开,它可以使用手机应用程序发出警告,或者使用基于卫星的记录位置 - 例如 通过 GPS - 如果需要,应用程序可以保存物体的大致位置,并指示应用程序通过无线电注册您离开设备的位置,例如座套。 例如,这对于患有痴呆症的人、忙碌的人等很有用,以免丢失设备部件。 通常,如果用户需要,设备会配备合适的人工智能 (AI) 软件。 座垫装置有多种版本,它可以固定在周围的织物 U 形微珠中,内部可选配电机和泵等,或者与座椅一起从外部远程控制调节,例如高度,调节可能可选地被编程,例如在计算机应用程序中,其可以在计算机上实现,例如移动电话、电子计算机手表等,其可以耦合到例如,以便可以进行调整和改变,例如通过WLAN、蓝牙等.. 例如,一把椅子可能比另一把椅子低,但有时两者都需要,因此改变支撑装置的高度可以补偿高度差异并根据瞬间高度要求的要求,例如,如果您换鞋或使用可变鞋高。 或者,U形装置可以由弹性材料制成,例如带有织物罩,从而可以实现不同的充气强度。 充气强度也可以可选地在装置中电子控制,例如通过小型的,例如嵌入式泵和马达,其中充气装置大部分嵌入例如U形部分装置中,在外部有一个开口或多个开口,空气可以从中泵入或从 U 形装置中排出,例如,以改变高度,尤其是。高于一定高度,因此在坐下时几乎不会注意到泵送装置的内部,并且泵送装置本身的内部可以被如此柔软的材料包围,即使没有空气进入,也可以坐在上面设备,然后仍然是统一的 U 形,几乎没有在坐下时注意到内部泵机构。 该充气装置也可以远程控制、编程等,如上文针对非充气版本所述。 编程可以例如使用语音识别软件等口头完成。如果您没有随身携带设备并且不想要它,您可以随身携带一些东西,例如两只手套,一件衣服或衣服或毯子或垫子,例如在臀部下方的右侧和左侧或 U 形,特别是放在大腿上部下方,但这可能会滑动,额外的 U 形装置的优点是经验表明坐着时,其各部分之间的距离几乎没有变化。 充气装置的优点是它在未充气时占用的空间很小,几乎可以带到任何地方,即使是行人。 可选地,例如可以是U形座套。 可选的泵送装置可以集成在相应的小版本中,它可以与集成电池一起使用,可以使用具有电磁辐射的设备从外部充电,和/或与集成能源(例如座椅)一起使用,并且可以从中提取能量这种运动装置与存储在电池中并可供使用,并且如果需要,该装置可以在没有电的情况下用手充气。 电源也可以集成到座椅中,正如所描述的那样,座椅又可以通过例如电缆或例如在旋转椅子中旋转时产生能量来为座椅提供能量,从升高或椅子的降低或其他调整选项,当椅子移动时,例如从椅子腿可以在地板上移动的滚轮的旋转,能量不仅可以用于为 U 形装置提供电力,而且,例如,根据要求按摩背部,或在转椅上,可以通过遥控器使用能量,以便根据需要进行调整或移动。 作为近似值,例如可以将颈枕放在座椅上作为临时装置。 代替 U 形装置,可以使用不同的形状,例如放置在臀部正下方的直形。 座椅上的装置尤其可以防止太紧或压伤软组织,此外,许多座椅对于高个子来说是不利的,因此可以将座椅抬高。 充气座垫装置在坐着做事时引起更多的代偿运动,特别是可以增强肌肉健康,非充气型可以使坐姿放松、安宁,可以主要使用。 U型的坐垫支撑装置可以轻松坐着,有时可以让臀部更靠后——放松后仰——有时更靠前,两个臀部只在前部,U型的平行部分,背部有时会靠在靠背上——只要感觉舒服——主要是不靠在靠背上,靠背可以锻炼等。例如,U 形座椅支撑装置是自行车鞍座的另一种版本。 有自行车车座由两个臀部分开的外壳组成,与普通的中段车座相比,其优点是中间区域没有压力,并且可以避免软组织的挤压。 两个臀部有两个独立外壳的马鞍的缺点是前中间部分的优点,即你不容易从马鞍上滑下来,因为中间部分 i.一般防止。 根据本发明的马鞍的特征在于它包含用于两个臀部的两个单独的壳,中间没有中间部分,因此例如可以想到的柔软部分不能被挤压,但另外还有一个更靠前的中间部分(向下连接更靠后的鞍座和/或更靠下的连接到自行车),并且向前的额外中间部分可以防止您轻易从鞍座上滑落。 另一个实施例是,代替两个外壳,具有类似于根据本发明的U形座套的U形马鞍形状。该装置的一部分,例如,对于夜间小腿抽筋,以下优选软装置,例如由织物制成,例如长约 50 厘米,宽约 15 厘米,高约 3 厘米,放置在脚或鞋的前部下方,例如在站立或坐着工作和/或放松时。 如果您的双脚每天都保持这种伸展姿势几分钟,尤其是在晚上,经验表明这足以防止剧烈疼痛的夜间小腿抽筋。 您可以站在上面或坐着时将脚放在上面,例如,只要您在工作时感觉健康,即可以节省时间。 备选地,在根据本发明的鞋类中或在常规鞋类下固定朝脚趾斜向上升的凸起,穿几分钟,尤其是在睡觉之前。这可以优选地具有可变形状,它可以替代地是背部比脚趾高,或一侧比另一侧高,这可以通过使用集成小型计算机的电机或通过程序或应用程序通过 WLAN 控制,例如在小腿两侧抽筋等 根据经验进行预防 根据本发明,可以向用户提供销售,例如在根据本发明的软设备中使用个人放松的图像图案或例如患有心脏区域疾病的心脏,这可以例如提醒患有痴呆症的人它们可以用于什么,或者例如根据用户的选择,部分带有字母,例如用户的姓名,或“放松”、“放松”、“运动者”或“运动员”等,尤其是术语患者或使用者可以穿着根据本发明的鞋类——具有一种鞋类——任选地具有局部可变的高度,例如,在由于一些原因引起的夜间小腿抽筋的情况下白天从脚趾下方抬高几分钟,尤其是在晚上,经验表明可以自动导致小腿不再抽筋,腿下部的横向抽筋也不会再通过抬高侧面,例如通过设备鞋底下有致动器或锁定螺钉,例如脚搁在上面,由坚固的前部组成,像坚固的鞋子一样保护脚趾,例如其他人可能踩到脚趾,这可能导致疾病,例如脚趾甲(内生指甲、发炎等),以及 休息的话,最好像凉鞋一样敞开,这样空气可以进入脚部,这样可以对脚趾疾病有更快的治愈效果,例如,可以防止汗水和湿气进入积累,这反过来又可以防止感染,例如脚趾等。</t>
  </si>
  <si>
    <t>特别适用于工作场所的设备</t>
  </si>
  <si>
    <t>GB2601402A</t>
  </si>
  <si>
    <t>识别服务器包括事件数据存储204; 场景数据存储206; 场景处理引擎202连接到事件数据存储和场景数据存储; 以及连接到事件数据存储和场景数据存储的预测事件生成器模块208。 场景处理引擎202被配置为接收传感器数据200并且根据传感器数据和存储在事件和场景数据存储中的数据确定一个或多个对象和场景。 预测事件生成器基于所确定的一个或多个对象和场景来确定可能的结果,并且响应于该确定将其传达给用户。 使用来自具有不同细节级别的多个传感器的不同数据的位置数据、历史数据和/或环境条件数据来评估事件数据。 传感器可以包括物联网设备、图像传感器、声音传感器、亮度传感器、气味传感器、温度传感器、湿度传感器和接近传感器、健身追踪器、PIR 运动检测器和移动(手机)电话。</t>
  </si>
  <si>
    <t>事件实体监控网络和方法</t>
  </si>
  <si>
    <t>CN208402026U</t>
  </si>
  <si>
    <t>本实用新型公开了一种用于教练车教学的语音识别系统，包括教练车本体、圆板和安装板，所述教练车本体内壁的顶部固定连接有监控摄像头，所述圆板的内表面固定连接有弹簧杆，且弹簧杆的一端固定连接有环形板，所述环形板的内表面开设有固定槽，所述固定槽的内壁固定连接有导向杆，所述导向杆的表面滑动连接有缓冲板，所述缓冲板的一侧固定连接有挤压杆，本实用新型涉及驾驶培训设备技术领域。该用于教练车教学的语音识别系统，可实现对监控摄像头的灰尘进行自动清理，同时也可对擦拭布进行方便拆卸和清洗，大大提高了监控摄像头监控画面的清晰度，为后续监控摄像头的正常使用创造了良好条件，也减轻了工作强度。</t>
  </si>
  <si>
    <t>一种用于教练车教学的语音识别系统</t>
  </si>
  <si>
    <t>KR101983038B1</t>
  </si>
  <si>
    <t>在本发明中,多个第一队的第一队信息、多个第一队进行的比赛的比赛结果信息、以及基于第一队信息和比赛结果信息计算出的多个信息存储在存储器中。用于存储指示第一队之间排名的排名信息、包括用于多个第二队参加体育比赛的第二队信息的通信电路、以及电连接到存储器和通信电路的处理器,处理器控制通信电路使用通过机器学习第一队所进行的比赛的比赛结果信息和第一队信息而计算的排名系统来估计第二队的排名,该比赛涉及电子设备。</t>
  </si>
  <si>
    <t>CN111282246A</t>
  </si>
  <si>
    <t>发明涉及一种训练方法。方法包括，穿戴泳衣的用户开始游泳；数据采集装置采集用户游泳过程中测量装置测量的游泳姿态数据、游泳运动数据和生理数据；数据分布单元对游泳姿态数据、游泳运动数据和生理数据处理形成数据分布表，数据分布表包括游泳速度与生理数据分布、游泳速度与游泳姿态数据分布、划水频率与游泳姿态数据分布和划水频率与生理数据分布；支持向量机对数据分布表进行特征提取，建立识别模型，基于数据分布表获得分布特征，基于分布特征进行聚类，将总量贡献占比超过预设阈值的数据作为目标数据，形成目标数据集；训练单元在识别模型中不断训练获得最佳的游泳姿势数据。</t>
  </si>
  <si>
    <t>训练方法</t>
  </si>
  <si>
    <t>CN108969980B</t>
  </si>
  <si>
    <t>本发明实施例公开了一种跑步机及其步数统计的方法、装置及存储介质，通过获取摄像头采集的图像信息和压力传感器检测到的压电曲线，所述图像信息包括用户腿部动作的连续图像，图像信息按照预设分组依次输入至训练好的第一卷积神经网络模型，得到第一识别参数，并计算压电曲线对应的第二识别参数，并根据第一识别参数和第二识别参数判断每组是否有有效跑步动作发生，最后累积计算有效跑步动作中步数的数量，在步数数量的统计过程中，一方面利用神经网络模型提取用户跑步动作的时间和空间上的特征，准确识别用户的跑步动作，另一方面还考虑到压电曲线在统计跑步数量时的作用，使得最终的跑步步数发生结果更具有准确性。</t>
  </si>
  <si>
    <t>一种跑步机及其步数统计的方法、装置及存储介质</t>
  </si>
  <si>
    <t>CN208521255U</t>
  </si>
  <si>
    <t>本实用新型公开了一种基于虚拟现实的人机交互系统，其包括中央处理器、分别与中央处理器通信连接的万向跑步机、体感控制器、以及虚拟头显设备，其中中央处理器用于生成虚拟环境并通过所述虚拟头显设备向用户展示，在虚拟环境中，中央处理器根据万向跑步机采集到的用户在真实环境中的运动状态和体感控制器捕捉到的用户手势变化生成用户在虚拟环境中的运动信息和手势信息，其中虚拟头显设备跟随用户被限制在万向跑步机的范围内移动，本实用新型提高了用户在体验过程中的沉浸感，改善了用户在体验过程中可能出现的眩晕感，增强了用户与虚拟环境进行交互体验的真实感。</t>
  </si>
  <si>
    <t>一种基于虚拟现实的人机交互系统</t>
  </si>
  <si>
    <t>CN108873697A</t>
  </si>
  <si>
    <t>本发明涉及仓储领域，涉及一种基于人工智能的仓储方法及系统。在本发明的实施例中，该智能仓储模型是通过先构建深度神经网络机器学习模型，再通过周期性地上传当前的仓储状态数据、仓储运维设备的设备状态数据以及对应的仓储运维设备的专家操作数据作为训练数据集来训练所建立的。通过收集仓储状态数据及设备状态数据，并将其输入智能仓储模型；并根据所述智能仓储模型，计算出所需调用的仓储运维设备及仓储运维设备的具体操作指令，根据计算结果，控制相应的仓储运维设备完成其所对应的具体操作指令。这样，就解决了现有的仓储运维方法效率较差、仓储成本高的问题。</t>
  </si>
  <si>
    <t>一种基于人工智能的仓储方法及系统</t>
  </si>
  <si>
    <t>CN108447542A</t>
  </si>
  <si>
    <t>本发明的目的是提供一种体育课教学系统及其使用方法。本发明的技术方案为：由校区、多个监测手环、多个信号接收转换装置、服务器、多个第一终端和多个第二终端组成。该整体系统是一种以智能穿戴设备为载体，增强了信号传输及数据传输的功能，利用先进的物联网技术、人工智能和大数据技术，对海量数据进行实时计算分析，全方位的为体育课的学生安全、体育课的效果评估、体育课的科学指导服务的一种体育课教学系统。该系统的覆盖面广，通过大数据的集合与分析，以多样的体育课实时体征数据为基础，建立成高效体育工作的样本库；增强了无线信号发送和接收，使得信号更加稳定，监测更加全面，预警及时，大大提高了校园体育课对学生健康状态的把控。</t>
  </si>
  <si>
    <t>一种体育课教学系统及其使用方法</t>
  </si>
  <si>
    <t>CN108960098B</t>
  </si>
  <si>
    <t>本发明公开了一种台球碰撞关系识别方法以及台球比赛计分系统，该方法包括以下步骤：根据比赛图像识别出台球，该台球包括母球以及若干目标球；获取至少两帧比赛过程图像，根据帧间差异，识别出运动中的台球的预测运动区域，确定该台球的预测运动区域的重叠或者接近信息；根据台球比赛规则，并基于该重叠或者接近信息确定碰撞目标球的信息。本发明的方法识别台球碰撞关系更准确，使得该计分系统更可靠。</t>
  </si>
  <si>
    <t>一种台球碰撞关系识别方法及台球比赛计分系统</t>
  </si>
  <si>
    <t>CN108739084A</t>
  </si>
  <si>
    <t>本发明涉及草坪养护技术领域，提供了一种草坪智能养护方法，包括：采用与控制系统通信连接的土壤温度和湿度检测器、土壤养分检测器、草坪高度检测器分别对土壤的温度、湿度、养分以及草坪高度进行检测；土壤温度和湿度检测器、土壤养分检测器以及草坪高度检测器将测得的信息发送至物联网控制系统，物联网控制系统将信息分析处理后发送至显示器；控制系统在信息分析处理中发现土壤温度高于预设值或土壤湿度低于预设值时控制与喷灌装置进行灌溉或停止灌溉。该养护方法使用方便，人力成本低。本发明还提供了一种足球场草坪智能养护方法，包括上述的草坪智能养护方法，故足球场草坪智能养护方法智能、方便、人力成本低。</t>
  </si>
  <si>
    <t>一种草坪智能养护方法及足球场草坪智能养护方法</t>
  </si>
  <si>
    <t>CN108965394A</t>
  </si>
  <si>
    <t>本发明提供了一种基于物联网的社区健身中心设施管理系统，本发明包括健身站本体、管理服务终端、智能平台、终端平台、会员卡；智能平台与终端平台之间通过无线网连接，会员卡用于储存会员的信息；本发明使用户在小区就能健身，保证用户可以按照自己的时间安排自由选择时段进行健身，不受健身会所营业时间、营业地点的困扰，所有的健身器材通过物联网连接，利用物联网技术不需要人工值守管理，减少了人力成本，24小时全天均可进入健身房健身锻炼。</t>
  </si>
  <si>
    <t>一种基于物联网的社区健身中心设施管理系统</t>
  </si>
  <si>
    <t>CN108897232A</t>
  </si>
  <si>
    <t>本发明公开一种基于物联网的能源管理方法及系统。所述能源管理方法包括：获取设备的运行参数，所述设备运行参数包括：电量、水耗量、燃气量、集中供冷耗冷量、集中热水供应量；获取设备所属的建筑类型，所述建筑类型包括：办公建筑、图书馆、体育馆、音乐厅、教学楼、实验大楼、酒店、医院、饭堂、公寓；判断所述设备的运行参数是否大于所属建筑类型对应的设定阈值，如果是，触发报警，以提醒所述设备的管理人员；如果否，重新获取设备的运行参数。采用本发明的能源管理方法或系统，可以降低建筑设备的运行成本，避免能源浪费，实现节能减排的目的。</t>
  </si>
  <si>
    <t>一种基于物联网的能源管理方法及系统</t>
  </si>
  <si>
    <t>US10746556B2</t>
  </si>
  <si>
    <t>计算机学习、评估和推荐系统,通过收集、评估和处理大量视觉和地理数据,生成关于人行道和步行路线的质量和程度的新信息,评分系统,基于规则的计算方法 并提供选定的数据表示。 用于人行道评估的微观和宏观数据、方法和系统生成路线的各种特征和质量,使用被确定为对步行性或步行体验重要的属性和类别来创建一般、位置和导航功能。 地图和其他可视化工具和应用程序中显示的计算分数和建议可供多个客户和部门组使用,包括导航、房地产、健身、旅游以及城乡发展规划。 本摘要符合要求提交摘要的规则,但不限制权利要求的范围、解释或完整含义。</t>
  </si>
  <si>
    <t>评估人行道和其他行人流动区域质量的推荐系统和方法,作为实施步行能力的一种手段</t>
  </si>
  <si>
    <t>PL236625B1</t>
  </si>
  <si>
    <t>一种用于接收和控制威胁水体中游泳者生命的信号的方法和设备,旨在支持救援服务,允许检测由佩戴在游泳者身上的协作个人设备发出的警报信号,监测他们的身体参数活动。 其特点是报警信号由超声波信号(ODU1)、(ODU2)……(ODUn)的接收器接收,然后转换成电信号,在转换器(A/C1)中转换成数字值, (A / C2 ), ... (A / Cn) 连接到计算机信号分析系统 (KAS),其中一个输出连接到个人浮标装置 (UOP1) 的图形显示电路 (W), (UOP2 ), ... (UOPm),第二个输出通过解码器 (ZDK) 连接到计算机 (K) 的消息分析电路 (KAK) 的输入,该计算机 (K) 还连接到人工智能模块。 个人设备 (UOP1)、(UOP2)、... (UOPm) 发送的消息分析系统 (KAK) 的输出与产生声音警报信号的系统和收据信息的显示 (W) 相连的警报信号,它与移动显示沿海救生员连接。</t>
  </si>
  <si>
    <t>用于接收和控制游泳者在水体中的生命危险信号的方法和装置</t>
  </si>
  <si>
    <t>CN305017810S</t>
  </si>
  <si>
    <t>1、本外观设计产品的名称：用于手机的图形用户界面。
 2、本外观设计产品的用途：用于人机交互及显示。
 3、本外观设计产品的设计要点：在于屏幕中图形用户界面的界面内容。
 4、最能表明本外观设计设计要点的图片或照片：主视图。
 5、省略视图：后视图、左视图、右视图、俯视图和仰视图无设计要点，故省略。
 6、界面用途：主视图用于展示点赞排行榜的首页面，通过点击“一键喝彩”按钮切换到变化状态图，在变化状态图中通过搜索或拖动滑块的方式找到自己喜欢的学校，并在选择后点击“一键喝彩”按钮对自己喜欢的学校进行加油，在页面底部展示往期比赛结果。
 使用状态参考图为变化状态图在使用状态下的参考图。</t>
  </si>
  <si>
    <t>EP3581956A1</t>
  </si>
  <si>
    <t>本发明涉及一种用于计算运动场上被称为目标的运动员位置的方法(MTH),包括: -使用基于无线电的定位系统估计(Est_ApPos)目标的近似位置(ApPos) ,所述系统包括连接到运动场上的几名运动员的跟踪传感器和安装在运动场周围的天线, -定义(Def_ScSpa)围绕所述近似位置(ApPos)的搜索空间(ScSpa), -检测(Dtc_Ath)在所述运动场中的运动员 使用基于光学的定位系统搜索空间,所述系统包括安装在运动场上方和/或周围的摄像机和图像识别装置, -确定(Dtm_AcPos)所述检测到的运动员的准确位置(AcPos), -归因(Atr_AcPos) 到目标的准确位置 (AcPos)。</t>
  </si>
  <si>
    <t>US11762635B2</t>
  </si>
  <si>
    <t>公开了一种具有AI引擎模块和多个学习代理的人工智能(“AI”)引擎。 AI 引擎模块包括讲师、学习者和预测器模块。 学习器模块被配置为并行训练多个AI模型,并且指导器模块被配置为与多个模拟器配合以分别训练AI模型。 学习代理被配置为处理来自教练的关于来自模拟器的数据的培训请求,以训练人工智能模型。 学习器模块还被配置为首先利用第一处理器在学习器模块的存储器中同步汇集的第一批相似数据上训练AI模型。 学习器模块还被配置为随后利用第一处理器在学习器模块的存储器中同步汇集的第二不同批次的相似数据上训练AI模型。</t>
  </si>
  <si>
    <t>具有增强计算硬件吞吐量的人工智能引擎</t>
  </si>
  <si>
    <t>CN208374891U</t>
  </si>
  <si>
    <t>本实用新型一种冰刀打弧机，属于冰雪运动器具加工设备领域，特别涉及到一种冰刀加工处理设备，包括基座台面、滑轨I、丝杠I、伺服电机I、运动机构、机构机架、滑轨II、丝杠II、伺服电机II、打弧机构、机构壳体、滑轨III、丝杠III、伺服电机III、打磨头、打磨头、电机、夹持装置、控制装置、PLC处理器、人机交互面板；本实用新型提供了冰刀打弧装置，可以更快速准确的给冰刀加工出不同的弧度，根据不同运动员的需求进行加工，提高运动员的训练成绩和比赛成绩。</t>
  </si>
  <si>
    <t>一种冰刀打弧机</t>
  </si>
  <si>
    <t>BR102018011833A2</t>
  </si>
  <si>
    <t>健身房健美训练监控系统本发明是指一种健身房健身训练监控系统,旨在提升用户在健身房的体验,实时采集更准确的用户在训练过程中的行为信息,优化训练。时间和健身房资源的使用。 该系统包括一个多功能设备(1),其空间可容纳智能手机、射频和图像识别机制,并支持连接到手、锻炼机器和设备; 在智能手机或其他类似设备上运行的软件应用程序 (2),具有触摸屏和互联网访问权限,用于执行机器和健身设备与设备 (1) 之间的配对; 在学生的智能手机上运行的软件应用程序 (3),用于记录和显示培训表和练习,以及启用学生监控; 是一个软件系统 (4),可从连接到互联网的任何设备访问,用于接收、存储和处理来自学院和学生的信息,并根据每个学生的个人训练和机器和锻炼设备的空缺情况进行指示,训练中要遵循的练习顺序,旨在优化学生的时间和健身房资源的使用。</t>
  </si>
  <si>
    <t>健身房和健美学院的训练监控系统</t>
  </si>
  <si>
    <t>IT201800006217A1</t>
  </si>
  <si>
    <t>一种在展览区检查多个待评估对象的方法,包括数字对象,使用机器人技术和人工智能方法,用于金融、经济、文化、体育、交流活动的管理,也包括情感、平面或三维地图</t>
  </si>
  <si>
    <t>CN208541762U</t>
  </si>
  <si>
    <t>本实用新型公开了一种人工智能感知管理系统，包括支撑底座和监测手环，支撑底座顶端四周均匀固定连接有支撑杆，支撑杆上端连接有显示仪，显示仪内设有触控屏，本实用新型通过在显示仪内设有触控屏，且显示仪通过蓝牙连接手环上的高精度心率传感器，当健身者进入健身馆后，抽拉出支撑底座后面的滑板，将手环放置槽内的监测手环取出套在自己的手腕处，当健身者在健身的时候，健身者手腕上监测手环内的高精度心率传感器会将健身者的心率通过蓝牙传送给显示仪显示出来，当教练看到某个健身者的心率长时间处于较高范围的时候，可以过去提醒该健身者需要进行适当的休息，合理进行健身，避免身体受损。</t>
  </si>
  <si>
    <t>一种人工智能感知管理系统</t>
  </si>
  <si>
    <t>CN110600037A</t>
  </si>
  <si>
    <t>本发明公开了健身器材语音识别系统，包括语音拾取单元、语音识别单元、串口传输控制单元、微型单片机控制器和语音播放单元，语音拾取单元拾取使用者的中英文语音指令信息，并将信息发送至语音识别单元；通过串口传输控制单元控制健身器材工作；语音识别单元将从所述语音拾取单元接收到的语音指令信息从时域转换到频域，为声学模型提供合适的特征向量；本系统能够识别不同人的语音，供不同的人使用，可中英文输入；此系统不依赖于网络，基于嵌入式离线识别算法，零流量实时响应，实现快速稳定的本地化语音服务；通过语音有效控制健身器材工作，人性化、智能化，方便快捷，不影响使用者的正常使用。</t>
  </si>
  <si>
    <t>健身器材语音识别系统</t>
  </si>
  <si>
    <t>CN108551711A</t>
  </si>
  <si>
    <t>本发明公开了一种基于窄带物联网的单灯控制方法，具体操作步骤如下：S1：划分控制区域，并将该控制区域内的所有单灯进行编号；S2：收集每个单灯的工况参数，并将工况参数与单灯的编号进行对应，同时通过窄带物联网将工况参数发送至控制中心；S3：控制中心根据工况参数生成对应的控制指令或设定对应的控制指令，将对比结果通过窄带物联网发送至单灯控制器，用于执行对应的操作。本发明将单灯进行区域划分，有利于对单灯进行统一管理，通过窄带物联网，可以让管理者可以清楚的了设定区域内每一盏单灯的状态信息；通过应用灵活的照明策略，可以对每一盏单灯的开关状态、照明亮度进行精准控制，真正实现按需照明，节能效率高。</t>
  </si>
  <si>
    <t>一种基于窄带物联网的单灯控制方法</t>
  </si>
  <si>
    <t>CN108673527A</t>
  </si>
  <si>
    <t>本发明涉及一种球场服务机器人，属于智能机器人领域。包括投球装置、机车行进装置、抓球机构、机器本体，投球装置设置在机器本体后端，机车行进装置设置在机器本体中部，抓球机构设置在机器本体前部；通过机电液协同控制，完成球场服务机器人自动行走、避障、收集、投射功能。本机器人整体结构简单，机构简洁，运行可靠，制造成本低、运维成本低，可实现对篮球等一类大球的收集和投射，可广范用于多种球类球场运动训练。</t>
  </si>
  <si>
    <t>一种球场服务机器人</t>
  </si>
  <si>
    <t>CN304946068S</t>
  </si>
  <si>
    <t>1．本外观设计产品的名称：用于手机的图形用户界面。
 2．本外观设计产品的用途：本外观设计产品用于运行程序、显示信息和通信。
 3．本外观设计产品的设计要点：在于屏幕中的图形用户界面。
 4．最能表明本外观设计设计要点的图片或照片：设计1主视图。
 5．指定基本设计：本外观设计为相似外观设计，包括4项设计，设计1为基本设计。
 6．本外观设计产品的界面用途：本外观设计的界面为社交软件客户端界面。
 用户根据界面的动态指引进行人机交互，进入指定界面。
 在设计1至设计4中，主视图界面左上角出现足球，足球滚动至“+”号按钮并与“+”号按钮重合，引导用户点击按钮，呈现出主视图至界面变化状态图2的动态效果；当用户点击按钮，足球下落至指定菜单栏位并停留，呈现出界面变化状态图2至界面变化状态图4的动态效果。
 当用户点击按钮，进入下一界面，足球下落至界面下方出现的按钮中。
 呈现出界面变化状态图4至界面变化状态图7的动态效果。</t>
  </si>
  <si>
    <t>CN208529105U</t>
  </si>
  <si>
    <t>本实用新型涉及一种球场服务机器人，属于智能机器人领域。包括投球装置、机车行进装置、抓球机构、机器本体，投球装置设置在机器本体后端，机车行进装置设置在机器本体中部，抓球机构设置在机器本体前部；通过机电液协同控制，完成球场服务机器人自动行走、避障、收集、投射功能。本机器人整体结构简单，机构简洁，运行可靠，制造成本低、运维成本低，可实现对篮球等一类大球的收集和投射，可广范用于多种球类球场运动训练。</t>
  </si>
  <si>
    <t>US11550998B2</t>
  </si>
  <si>
    <t>提供了一种基于人工智能的比赛解说生成方法、装置及存储介质。 该方法包括:获取解说员文字解说和历史赛事结构化数据; 根据获取的信息生成评论模型; 在比赛直播过程中,针对每次获取的结构化数据,根据解说模型确定对应的解说词。</t>
  </si>
  <si>
    <t>基于人工智能的比赛解说生成方法、装置及存储介质</t>
  </si>
  <si>
    <t>CN208274910U</t>
  </si>
  <si>
    <t>本实用新型公开了一种基于物联网的健身设备，包括底座、横柱、坐垫立柱、立柱、把手立柱，所述横柱两侧设置有所述底座，所述底座与所述横柱焊接，所述横柱上方设置有所述立柱，所述立柱与所述横柱焊接，所述立柱一侧设置有主动轮支撑柱，所述立柱另一侧设置有第一飞轮支撑柱，所述第一飞轮支撑柱和所述横柱焊接，所述立柱上方设置有支撑杆。有益效果在于：本实用新型采用多组立柱，可以使设备更加坚固稳定，采用丝杠螺母副的方式来调节坐垫的位置和把手的高度，可以提高坐垫和把手的调节精度，还能够根据使用者平时的使用情况，智能的调节坐垫的位置和把手的高度。</t>
  </si>
  <si>
    <t>一种基于物联网的健身设备</t>
  </si>
  <si>
    <t>US20210209468A1</t>
  </si>
  <si>
    <t>训练设备( 100 ) 使用神经网络进行训练。 训练条件获取器( 110 ) 的训练设备 ( 100 ) 获得指示培训先决条件的培训条件。 模型选择器 ( 150 ) 根据训练条件选择作为神经网络结构框架的学习模型。 一个学习模型尺度确定器( 160 ) 根据训练条件确定所选学习模型的神经网络规模。 教练员( 170 ) 通过将训练数据输入神经网络来执行训练,其中所选学习模型被配置为确定的规模。</t>
  </si>
  <si>
    <t>学习设备、推理设备、方法和程序</t>
  </si>
  <si>
    <t>CN108831042B</t>
  </si>
  <si>
    <t>本发明涉及一种基于物联网的体育用具管理系统，包括体育用具清洗机构、传送机构、体育用具放置机构、云信息管理系统、取体育用具输入系统；所述体育用具清洗机构包括自动清洗装置、升降系统、机械手，所述升降系统用于升降自动清洗装置，所述自动清洗装置内部设有定时器，所述机械手内部设有第一处理器，所述定时器与第一处理器电连接，所述体育用具表面皆设有条形码；所述传送机构包括第一传送带、第二传送带，所述体育用具放置盒包括挡板、传感器、条形码扫描器、第二处理器、信息存储器，所述第二处理器、传感器设于挡板内部，所述体育用具放置盒下方还设有自动出体育用具装置；所述体育用具放置机构还设有控制处理系统。</t>
  </si>
  <si>
    <t>一种基于物联网的体育用具管理系统</t>
  </si>
  <si>
    <t>CN108921032B</t>
  </si>
  <si>
    <t>本发明公开了一种新的基于深度学习模型的视频语义提取方法，包括步骤如下：基于视频物理结构，通过对视频帧序列组合与分割，得到语义结构化的视频数据；通过使用滑动窗口将语义结构化的视频数据处理成三维卷积神经网络的输入数据；创建三维卷积神经网络模型，使用滑动窗口的输出数据作为训练数据；基于三维卷积神经网络的输出结果作为连续时序分类算法的输入，通过反向传播算法完成三维卷积神经网络参数的训练；将训练好的三维卷积神经网络‑连续时序分类算法作为体育视频语义提取模型提取视频语义。本发明通过提出的视频语义结构化方法结合三维卷积神经网络和连续时序分类算法能较好地捕捉动作之间的联系，提高体育视频语义提取准确度。</t>
  </si>
  <si>
    <t>一种新的基于深度学习模型的视频语义提取方法</t>
  </si>
  <si>
    <t>CN109002753B</t>
  </si>
  <si>
    <t>本发明公开了一种基于卷积神经网络级联的大场景监控图像人脸检测方法，本方法的具体操作步骤如下：(1)、收集整理大场景监控图像数据并做详细标注；(2)、融合人脸区域及其语义信息，即脸部及其周围肩膀区域的级联卷积神经网络结构设计；(3)、融合人脸区域及其语义信息的级联卷积神经网络模型训练。本发明有效解决了大场景监控图像中由于人脸尺度小，尺度变化大，人脸细节模糊而造成的人脸检测效果差的问题，相比于已有的人脸检测算法，检测性能有极大提升。</t>
  </si>
  <si>
    <t>一种基于卷积神经网络级联的大场景监控图像人脸检测方法</t>
  </si>
  <si>
    <t>CN108831273A</t>
  </si>
  <si>
    <t>一种青少年儿童科普教育专用的智能仿生蝌蚪，包括蝌体、正级线、尾巴、电机、电机轴、嘴巴、钮扣电池、仿眼睛电灯、付级线地线、一号下档片、二号下档片、二号上档片、一号上档片，本发明结合了小学课本中《小蝌蚪找妈妈》故事，研发了一种智能仿生蝌蚪，通过向青少年儿童展示智能仿生蝌蚪的运动及对仿生力学的—些启示，拓展学生的科技思维，从智能仿生蝌蚪的爬行、跳跃、游泳的特点，设计、制造相应有不同特色和应用范围的智能机器人，如智能行走器、智能机器鱼、智能潜行器、智能爬行器、智能飞行器等，使之既可在地球上某些特殊环境下使用，又可以为到月球、火星等别的星体上探测、研究时使用，本发明为一款实用型智能化科普教具。</t>
  </si>
  <si>
    <t>一种青少年儿童科普教育专用的智能仿生蝌蚪</t>
  </si>
  <si>
    <t>WO2018226492A1</t>
  </si>
  <si>
    <t>CN109087328A</t>
  </si>
  <si>
    <t>本发明涉及基于计算机视觉的羽毛球落点位置预测方法，根据羽毛球比赛视频得到的视频帧图片，以场地中心为原点，计算出视频帧图片中羽毛球场地与模型场地之间的透视变换关系，确定羽毛球场地模型；然后由运动区域检测模块采用时间差分法区分出运动区域和背景部分；对差分图像进行二值化处理，图像分割，轮廓跟踪进而提取出羽毛球的特征信息；采用轨迹跟踪算法确定羽毛球的飞行轨迹；采用卡尔曼滤波算法对羽毛球的轨迹落点位置进行预测；根据轨迹落点位置，采用透视变换法转变到实际羽毛球场地的坐标，从而实现对羽毛球落点位置的预测。本方法能够适用于光照渐变、风速影响、气流影响或者羽毛球速度很快时的复杂场景下的羽毛球落点位置的预测。</t>
  </si>
  <si>
    <t>基于计算机视觉的羽毛球落点位置预测方法</t>
  </si>
  <si>
    <t>CN110892417A</t>
  </si>
  <si>
    <t>方法和计算机系统通过以下方式来改善经训练的基础深度神经网络，即通过在结构上改变所述基础深度神经网络以创建更新的深度神经网络，使得相对于所述基础深度神经网络，所述更新的深度神经网络在训练数据上未产生性能下降。所述更新的深度神经网络随后进行训练。同时，用于在机器学习系统中使用的异步代理包括第二机器学习系统ML2，其将被训练以执行某些机器学习任务。所述异步代理进一步包括学习教练LC和任选的数据选择器机器学习系统DS。所述数据选择机器学习系统DS的目的是使所述第二级机器学习系统ML2在其学习过程中效率更高(通过选择一组较小但足够的训练数据)和/或更有效(通过选择一组集中于某项重要任务的训练数据)。所述学习教练LC是协助所述DS和所述ML2学习的机器学习系统。多个异步代理也可以彼此通信，每个异步代理在其各自的学习教练的指导下进行异步训练和增长以执行不同的任务。</t>
  </si>
  <si>
    <t>具有学习教练的异步代理以及在不降低性能的情况下在结构上修改深度神经网络</t>
  </si>
  <si>
    <t>EP3635636A4</t>
  </si>
  <si>
    <t>US11295210B2</t>
  </si>
  <si>
    <t>方法和计算机系统通过在结构上改变基础深度神经网络以创建更新的深度神经网络来改进训练的基础深度神经网络,使得更新的深度神经网络相对于基础深度神经网络在训练数据上没有性能下降 . 更新后的深度神经网络随后进行训练。 此外,用于机器学习系统的异步代理包括第二机器学习系统ML2,其将被训练以执行一些机器学习任务。 异步代理还包括学习教练LC和可选的数据选择器机器学习系统DS。 数据选择机器学习系统 DS 的目的是使第二阶段机器学习系统 ML2 的学习效率更高(通过选择一组较小但足够的训练数据)和/或更有效(通过选择一组 专注于一项重要任务的训练数据)。 学习教练LC是一个辅助学习DS和ML2的机器学习系统。 多个异步智能体也可以相互通信,每个智能体都在各自学习教练的指导下异步训练和成长,以执行不同的任务。</t>
  </si>
  <si>
    <t>CN108471451A</t>
  </si>
  <si>
    <t>本发明公开了一种校园体育训练/比赛运动场/馆信息化物联网系统，包括感知层、网络层、平台层和应用层。通过人工智能、云计算、大数据、物联网等前沿技术来赋能服务校园体育。本发明是将传统的体育训练/比赛通过智能硬件（摄录、拾音、体检、可穿戴等）设备与新兴的人工智能、大数据、云计算等前沿技术相结合，用物联网技术将开展校园体育的运动场/馆与运动员链接在一起的新一代信息技术的集成应用，从而形成集数据的采集、数据分析和分享、教学管理、辅助教学、场馆安防、体育节目制作、互联网体育社交、电子竞技、用户体验等多种功能于一体的全方位的校园体育训练/比赛运动场/馆信息化物联网系统。</t>
  </si>
  <si>
    <t>一种校园体育训练/比赛运动场/馆信息化物联网系统</t>
  </si>
  <si>
    <t>CN108717536A</t>
  </si>
  <si>
    <t>本发明公开了一种驾驶教学与评分方法、设备及计算机可读存储介质，驾驶教学与评分方法：获取车辆的行驶信息作为神经网络的输入，获取车辆对应的控制信息作为神经网络的输出；根据输入和输出对神经网络进行训练，得到目标神经网络；获取车辆的实时行驶信息，将实时行驶信息作为目标神经网络的输入，目标神经网络输出对应的控制信息，根据控制信息进行驾驶教学或者评分。基于训练好的目标神经网络，以当前行驶状况及路况信息为输入，输出相应最优操作。实现了根据当前行驶信息实时指导驾驶员操作，并进行驾驶操作评分，无需教练专门指导，节省了人力培训成本，再者，保证了驾驶教学与评分的一致性与自动性。</t>
  </si>
  <si>
    <t>驾驶教学与评分方法、设备及计算机可读存储介质</t>
  </si>
  <si>
    <t>EP3574828B8</t>
  </si>
  <si>
    <t>CN108764499B</t>
  </si>
  <si>
    <t>本发明涉及一种基于物联网的体育用品回收管理系统，包括借出柜、机器人主体、云信息共享系统，所述借出柜设有第一指纹识别装置，所述机器人主体设有第二指纹识别装置、GPS导航系统、气压检测装置、清洗装置、二维码扫描装置、信息处理器、回收放置窗口，所述气压检测装置包括第一压力板、第二压力板、压力控制系统、机械臂，所述机器人主体还设有体育用品放置区，所述体育用品放置区包括待清洗放置区、无需清洗放置区、回收放置区，所述待清洗放置区内设有第一升降门，所述无需清洗放置区内设有第二升降门、所述回收放置区内设有第三升降门，所述第一升降门、第二升降门、第三升降门皆设有吸力控制装置。</t>
  </si>
  <si>
    <t>一种基于物联网的体育用品回收管理系统</t>
  </si>
  <si>
    <t>EP3753489B1</t>
  </si>
  <si>
    <t>EP3909504A3</t>
  </si>
  <si>
    <t>AT1459807T</t>
  </si>
  <si>
    <t>过度使用的控制权</t>
  </si>
  <si>
    <t>AT1320295T</t>
  </si>
  <si>
    <t>过度使用的限制</t>
  </si>
  <si>
    <t>GB2606878B</t>
  </si>
  <si>
    <t>一种通过检索所选用户的用户数据并使用用户数据和关于可用内容的内容信息来生成推荐来向用户提供一个或多个内容项推荐的方法。 用户数据表示与多个不同类型中的第一类型的内容相关的至少一个用户动作或偏好; 并且推荐是多种类型中的第二类型的至少一个内容项。 多种类型可以包括:视频内容、音频内容、计算机游戏、印刷内容或现场表演中的至少一些,例如电影、电视节目、音乐、播客、有声读物、计算机游戏、书籍、杂志、音乐会、 戏剧、喜剧表演或体育赛事。 推荐被提供给与所选用户相关联的设备。 另一个发明构思包括响应于在整理信息源(例如PVR)上接收到内容项的记录动作消息,整理来自信息源(例如EPG或VoD)的内容项的内容信息。 另一发明构思包括用于基于与关联于用户的存储的内容项相关联的内容项信息来提供一个或多个内容项推荐的另一种方法。</t>
  </si>
  <si>
    <t>内容推荐系统</t>
  </si>
  <si>
    <t>CN110531609A</t>
  </si>
  <si>
    <t>基于物联网技术的游泳池控制系统，属于物联网控制技术领域，是主要由触摸屏、AD转换器、模糊处理模块、PID控制器、DA转换器、加药泵和PH检测模块组成的，其特征在于：所述触摸屏与AD转换器连接，模糊处理模块和PID控制器与AD转换器相连接，DA转换器与加药泵连接，加药泵与PH检测模块连接，本发明可以保证池水水质稳定、水温控制平稳而且还能让药品消耗得到大幅度下降。</t>
  </si>
  <si>
    <t>基于物联网技术的游泳池控制系统</t>
  </si>
  <si>
    <t>CN208922510U</t>
  </si>
  <si>
    <t>本实用新型公开了一种教学用车载语言识别系统，包括服务器，远程终端、车载设备，所述服务器与远程终端无线连接，所述远程终端与车载设备无线连接；所述车载设备包括控制模块和所述控制模块连接的语音识别模块、录音模块、通信定位模块，所述语音输入模块、语音识别模块、语音输出模块依次连接，所述语音输入模块与录音模块相连。本实用新型专门针对驾培行业人工管理的缺陷，运用GPS技术、GPRS无线传输技术、互联网平台服务等信息技术实现了驾培行业管理的智能化、科学化、信息化，更好的解决了驾培行业在学员、教练监管方面的问题，保证驾培企业的培训质量，有利于维护正规驾培企业和学员之间的利益。</t>
  </si>
  <si>
    <t>一种教学用车载语言识别系统</t>
  </si>
  <si>
    <t>CN108647688A</t>
  </si>
  <si>
    <t>本发明提供足球机器人球场特征识别方法，包括：获取球场中的待测特征图像；构建与待测特征图像对应的图像空间金字塔，根据训练分类器对图像空间金字塔进行初步检测并得到待测特征位置标定框，对待测特征位置标定框进行HOG特征提取处理、第一PCA降维处理以及分类检测处理并得到初步检测特征图像；对初步检测特征图像对初步检测特征图像进行SIFT特征提取处理、二次筛选处理以及去除冗余图像处理并得到最终待测特征位置图像，对最终待测特征位置图像进行图像识别得到识别结果。本发明提供的足球机器人球场特征识别方法，通过运用不同的特征提取方法使自动识别不再受到应用场景的限制，同时也降低了漏检率和错误识别率。</t>
  </si>
  <si>
    <t>足球机器人球场特征识别方法、电子设备、存储介质</t>
  </si>
  <si>
    <t>CN108664942B</t>
  </si>
  <si>
    <t>本发明公开的小鼠视频多维特征值的提取方法，具体操作是：首先，选择实验组和对照组中第一个小鼠原始视频，提取视频帧图像并选择拍摄小鼠视频刚开始的空白场景，然后将空白场景图像进行标记做蒙版图像，读入一组小鼠视频，提取含有小鼠场景的视频帧并将小鼠视频每两帧保存为图片，然后，将小鼠视频帧图片与空白场景图像进行图像处理，计算小鼠质心，并判断提取到的小鼠质心在空白场景图像上的位置，最后，根据小鼠质心落在空白场景蒙版的位置确定小鼠的特征信息；本发明还公开了将上述视频分类的方法，利用卷积神经网络训练对视频进行分类，精度达到96.17％。本发明公开的提取方法提取的数据可靠性在95％以上，远高于人工统计的方式。</t>
  </si>
  <si>
    <t>小鼠视频多维特征值的提取方法及视频分类方法</t>
  </si>
  <si>
    <t>CN108681712B</t>
  </si>
  <si>
    <t>一种基于融合领域知识和深度多阶特征的篮球比赛语义事件识别方法，实现对篮球比赛中语义事件的自动识别。随着计算机视觉理论与深度神经网络的不断发展，基于内容的视频语义事件分析技术不断完善。该方案首先基于篮球领域先验知识对篮球语义事件划分为事件准备阶段，事件发生阶段和事件后续阶段。然后提取视频序列的全局和群体运动模式，随后通过分层网络对多阶段网络提取的特征进行融合，最后通过长短期记忆网络实现时域信息整合，实现篮球语义事件的识别。此发明对大规模篮球视频数据的智能化存储与检索以及篮球视频专业自动化战术分析奠定了基础。</t>
  </si>
  <si>
    <t>一种融合领域知识和多阶深度特征的篮球比赛语义事件识别方法</t>
  </si>
  <si>
    <t>US11284661B2</t>
  </si>
  <si>
    <t>本发明提出一种多功能微型相机。 摄像头的部件主要包括图像采集装置、多重激活装置、红外辐射装置、麦克风、多重蓝牙连接装置、识别芯片装置、无线充电装置、无线数据传输装置、图像处理装置 装置和位置确定装置。 该摄像头提供无线供电和数据传输、图像识别、一键通 (PTT) 功能、多种蓝牙通信等功能。这款多功能摄像头安装在不同的应用领域,如警察头盔、体育运动员、 消防员等。相机机身的设计使其很容易安装在头盔上。</t>
  </si>
  <si>
    <t>多功能微型相机</t>
  </si>
  <si>
    <t>CN108470489A</t>
  </si>
  <si>
    <t>本发明涉及一种铁路调车作业模拟培训系统，包括主控设备、通信教具、司机控制台、平调系统和投影仪，所述司机控制台具有车辆控制模拟操作台，可通过其上按键进行调车作业，所述司机控制台通过通信教具将调车作业操作画面实时传送至主控设备，主控设备将该画面通过投影仪进行投影，由教练对调车作业操作进行现场辅助考核；还提供了该系统的使用方法,该系统结合了物联网技术，通过计算机搭建虚拟调车作业环境，实现参培人员对调车作业标准的学习和考核，具有多岗位互动，多视觉呈现，违章作业实时警示等特点。使铁路调车作业标准化，提高了操作人员的技术，提高了调车作业的效率。</t>
  </si>
  <si>
    <t>一种铁路调车作业模拟培训系统及其使用方法</t>
  </si>
  <si>
    <t>CN208399913U</t>
  </si>
  <si>
    <t>本实用新型提供一种智能手表，通过地理位置定位电路、心率检测电路、及无线通讯电路与处理器电性相连，触控屏与处理器电性相连，心率检测电路组合透镜单元，以及表带设有透气孔，从而使本实用新型能够提高出汗后佩戴时的舒适感、以及心率测量的准确度，增强了无线通讯与人机交互功能，不仅能及时准确的检测佩戴者健康状况与定位信息，更便于学校、体育赛事等公共场所的管理者及时监控学生、运动员、及参赛者的健康状况与定位信息，能够及早避免运动过度或运动安排不适宜导致的猝死或伤害等意外发生，具有极高的推广价值。</t>
  </si>
  <si>
    <t>智能手表</t>
  </si>
  <si>
    <t>CN108763198B</t>
  </si>
  <si>
    <t>本发明一种生成式的学术论文中相关工作的自动产生方法，属于计算机自然语言处理技术领域。具体操作步骤包括：①基于英文学术论文中的相关工作以及相关工作中引用的参考文献的摘要，构建大规模语料集；②根据已经构造好的语料集训练基于残差注意力的分层编码‑解码器结构的神经网络，并根据句子中引用的参考文献编号的损失值和句子中单词的损失值进行多任务学习；③将多篇摘要输入到已经训练好的神经网络中，逐词、逐句的产生对应的相关工作；本发明提出的一种生成式的学术论文中相关工作的自动产生方法，与传统的抽取式方法相比，不仅能够准确地生成相关工作中的每个单词，而且能够对所生成的相关工作中的每个句子赋予若干个参考文献编号。</t>
  </si>
  <si>
    <t>一种生成式的学术论文中相关工作的自动产生方法</t>
  </si>
  <si>
    <t>CN109087545A</t>
  </si>
  <si>
    <t>该技术涉及虚拟现实（VR）技术，与深度学习算法和贪婪算法（最优算法），监督学习等算法的结合，是具有交叉学科和前沿研究领域的实际应用。该训练方法利用vr虚拟训练手段实现模拟训练，模拟对局，其中训练中的对手和操作训练根据实际名人或对手设立，该训练方法具有自学习功能，可以根据实际比赛中的名人，物体或动物，进行特征数据学习，并不断自学习完善学习到的特征值，在虚拟训练中进行虚拟实战。该训练方法具有普遍适用各种训练。</t>
  </si>
  <si>
    <t>基于虚拟现实和深度学习的训练方法</t>
  </si>
  <si>
    <t>CN108471499A</t>
  </si>
  <si>
    <t>本发明公开了一种基于人工智能的拍照和自动挑选照片的方法，包括如下具体操作步骤：S1：预先设置设备参数信息和拍摄时需记录信息的项目；S2：训练拍摄；S3：训练挑选照片；S4：工智能拍照设备自动拍照；S5：复制数据和算法到其它设备。本发明可以在拍照的时候就按照设定的最佳参数进行拍照，可以直接获得拍摄效果好的照片，拍完照之后人工智能拍照设备帮助用户挑选出更好的照片，解决人工拍照费时费力却拍不出优秀照片的痛点，提升用户体验。</t>
  </si>
  <si>
    <t>一种基于人工智能的拍照和自动挑选照片的方法</t>
  </si>
  <si>
    <t>WO2018204763A4</t>
  </si>
  <si>
    <t>本文介绍的是允许用户与人工智能聊天机器人交互以自动识别他们感兴趣的基因谱测试的系统和方法,以及至少基于为用户个性化的健康和健身产品和/或计划的推荐 部分基于用户的基因图谱测试结果(例如,存储在他/她/他们的基因图谱中)。 此类建议可能包括,例如,额外的诊断测试(例如,额外的基因图谱测试,例如,针对特定特征、性状、疾病和/或状况的测试)、购买营养补充剂的建议、关于特定计划的建议(例如, 适合用户的膳食计划、健身计划等)等。</t>
  </si>
  <si>
    <t>通过人工智能增强的聊天机器人进行基因图谱测试和相关购买建议</t>
  </si>
  <si>
    <t>US10534967B2</t>
  </si>
  <si>
    <t>KR102158014B1</t>
  </si>
  <si>
    <t>在根据本发明实施例的提供基于人工智能引擎的棒球比赛实时预测服务的方法中,(a)提供当前和未来棒球比赛的列表以及其中比赛未结束的问题信息到用户终端; ,从用户终端接收所选棒球比赛的比赛目标信息和问题信息; (b)基于与比赛目标信息对应的球队或球员的过去比赛数据和实时比赛数据中的至少一个,通过人工智能引擎估计与比赛目标信息和问题信息对应的结果值; (c)将结果值提供给用户终端;包括,但比赛目标信息为球队信息或选手信息,问题信息为预测参加或预定参加的棒球比赛的选手的表现,其中比赛未结束是关于球队比赛表现的信息和预测信息的问题,步骤(b)是推导玩家每回合击球的结果值并估计问题信息对应的结果值的方法基于此。</t>
  </si>
  <si>
    <t>基于人工神经网络的棒球比赛实时预测方法及装置</t>
  </si>
  <si>
    <t>CN108428269A</t>
  </si>
  <si>
    <t>本发明公开了一种基于图像识别与RFID的健身房进店系统，包括图像采集模块、RFID手环、门禁装置、射频模块、管理终端和控制模块，所述图像采集模块、所述射频模块和所述控制模块分别与所述管理终端连接，所述门禁装置与所述控制模块连接，所述RFID手环通过所述射频模块与所述管理终端实现信息交换。</t>
  </si>
  <si>
    <t>一种基于图像识别与RFID的健身房进店系统</t>
  </si>
  <si>
    <t>CN208126367U</t>
  </si>
  <si>
    <t>本实用新型公开了一种智能全息互动系统，包括智能便捷设备、主机工作站、智能处理器、时序电源控制器、墙屏、地屏、音响系统和灯光系统；所述智能便捷设备通过网络或蓝牙分别与主机工作站和智能处理器连接，主机工作站通过物理硬件数据传输接口分别与墙屏、地屏、音响系统和灯光系统连接，智能处理器和时序电源控制器连接，所述时序电源控制器通过物理接口分别与主机工作站、墙屏、地屏和音响系统连接。本实用新型属于健身房和体育运动的数字化技术领域，采用物联网技术和智能技术实现现有健身场馆的墙、地屏的智能全息互动系统，且对于健身教练和健身训练学员间的互动始终很好贯穿于整个系统。</t>
  </si>
  <si>
    <t>一种智能全息互动系统</t>
  </si>
  <si>
    <t>CN110404166A</t>
  </si>
  <si>
    <t>一种基于Android的Tensorflow人工智能多路电子针灸治疗仪，其目标市场为诊疗健身，它是人工智能、中医经络理论、电子针灸技术等相结合的新型医疗器械。该型多路电子针灸治疗仪，将深度学习技术与电子针灸技术结合，提供3/5路治疗脉冲输出，仪器所有操作均通过触摸屏实现。每一路治疗输出的计时各自独立，内置3/5路计时器。治疗仪在输出基于深度学习、优化、精准的治疗脉冲的同时，还具有数据通信功能，通过物联网通信，获取智能手环的测量数据，还可将使用数据发送到数据中心。该型多路电子针灸治疗仪使用Tensorflow的人工智能机器学习算法，通过测量与治疗，形成与个体密切相关的治疗方案，从而实现专门针对个体的精准医疗服务。</t>
  </si>
  <si>
    <t>一种基于Android的Tensorflow人工智能多路电子针灸治疗仪</t>
  </si>
  <si>
    <t>AU2018100543A4</t>
  </si>
  <si>
    <t>一种在移动设备上创建无人机事件报告(DIR)的方法、移动应用程序和业务方案。 该方法允许用户在事件发生时使用用户的移动设备捕获非法无人机或无人驾驶飞行器使用的证据,以创建和发送在线无人机事件报告,该报告通过电子邮件发送给用户和应用程序保管人。 事件报告可用于协助当局进行调查或采取紧急行动。 DIR 包含图像和视频、位置、时间、事件日期、无人机标识、距离和高度等详细信息。 该应用程序包括使用机器学习技术的地图,这些地图显示了禁飞区,例如机场、公用设施、监狱、体育场馆等。</t>
  </si>
  <si>
    <t>标题:无人机警报。 描述:世界首创的全球快速无人机报告在线应用程序,只需使用移动设备即可通过 4 个简单步骤完成。 它鼓励“无人机侦探”(任何人!)仅通过使用照片、视频和地理位置来报告不良或危险的无人机活动。 该系统然后将收集到的信息转化为有价值的报告,可以通过 将其提供给当局,以帮助他们调查无人机事件。 DroneALERT 有可能自我监管无人机行业,同时有助于改善无人机、航空和公共安全和教育。</t>
  </si>
  <si>
    <t>CN108568086B</t>
  </si>
  <si>
    <t>本发明公开了一种基于物联网的羽毛球比赛自动裁判平台，包括比赛地面上端安装有球网，球网一侧设置有主裁判椅，比赛地面一侧安装有轨道，轨道上端安装有移动装置，移动装置上端安装有摄像装置，比赛地面一侧安装有底板，底板通过支撑固定装置与液晶显示屏相连；本发明通过设置的羽毛球轨迹运动模块和判分处理模块，可以通过羽毛球的轨迹运动的最终位置是否出界或者掉在地面等情况，而对情况进行物联网预处理，对标识的羽毛球进行识别地理位置，通过视频信息的取证，最终通过判分处理模块对胜利方或者失败方进行自动判分，整体有序进行，通过物联网技术只需要在裁判的监督观察下便可进行，省去不要的人员麻烦。</t>
  </si>
  <si>
    <t>一种基于物联网的羽毛球比赛自动裁判平台及其使用方法</t>
  </si>
  <si>
    <t>US20180240472A1</t>
  </si>
  <si>
    <t>“运行范围归一化”方法包括计算对语音活动检测 (VAD) 有用的特征值范围的运行估计,并通过将特征映射到所需范围来对特征进行归一化。 运行范围归一化包括计算 VAD 特征的最小值和最大值的运行估计,并通过将原始范围映射到所需范围来归一化特征值。 可选地选择平滑系数以定向偏置最小值和最大值的运行估计中的至少一个的变化率。 归一化的 VAD 特征参数用于训练机器学习算法以检测语音活动,并使用训练的机器学习算法来隔离或增强音频数据的语音分量。</t>
  </si>
  <si>
    <t>使用跑步范围标准化的语音活动检测</t>
  </si>
  <si>
    <t>CN108573489B</t>
  </si>
  <si>
    <t>本发明涉及一种跨栏完整度检测平台，包括：手动控制开关，用于在比赛现场工作人员的操作下，确定是否启动跨栏完整度检测，以相应发出检测启动信号或检测关闭信号；状态显示灯组，包括一个检测状态灯和一个结果反馈灯，所述检测状态灯与所述手动控制开关连接，用于在接收到所述检测启动信号时，以红色光进行显示，还用于在接收到所述检测关闭信号时，以绿色光进行显示，所述结果反馈灯用于在接收到跨栏完整信号时，以绿色光进行显示，还用于在接收到跨栏缺陷信号时，以红色光进行显示。通过本发明，对图像识别到的每一个跨栏的设备完整度进行现场检测。</t>
  </si>
  <si>
    <t>跨栏完整度检测平台</t>
  </si>
  <si>
    <t>CN207773753U</t>
  </si>
  <si>
    <t>本实用新型公开了一种基于物联网技术的用于户外健身路径生产使用的自锁托盘，包括近地底盘、拼装组件、调高组件、垫板和悬空底盘。其中拼装组件包括拼装管、堆叠角铁和封堵，通过角铁部分的限位，实现托盘上层堆叠部分的稳定；其中调高组件包括锁紧部件、自锁压杆、压环、第一支撑角铁和第二支撑角铁，近地底盘给予托盘有力支撑，并借由拼装组件的堆叠角铁将悬空底盘固定在上方，调高组件通过压环上下滑至期望高度，螺栓预拧紧后将锁紧部件塞于自锁压杆和拼装管之间，因自锁锁死固定。本实用新型具有结构简单，适用范围广，空间利用率高的特点，能够满足户外健身路径生产中的半成品转运、仓储等基本需求。</t>
  </si>
  <si>
    <t>一种基于物联网技术的用于承载户外健身路径的自锁托盘</t>
  </si>
  <si>
    <t>CN207769153U</t>
  </si>
  <si>
    <t>本实用新型提供一种基于物联网技术的室外一心两用健身训练器材，包括中间部分组焊件、面板组件、手柄组件、标牌、压条。所述的中间部分焊件包过立柱、焊接边框、顶部弯管、耳片、横撑焊管；所述的面板组件包过亚克力面板、亚克力封板、筋板组，所述的亚克力面板上有滑动轨道。中间部分组焊件与面板组件通过防盗螺栓组件进行连接，两手柄组件分别内嵌在面板组件的滑动轨道中，两手柄组件通过面板上的不同轨道可同时进行滑行。该器材可使人左右手移动不同步，锻炼肩、肘、腕的活动范围，同时对左右脑进行协调训练。本实用新型结构简单，造型新颖美观，防盗性能好，安全性高，防腐性能强，适合室外使用且经济性好的特点。</t>
  </si>
  <si>
    <t>一种基于物联网技术的室外一心两用健身训练器</t>
  </si>
  <si>
    <t>CN208144222U</t>
  </si>
  <si>
    <t>本实用新型公开了一种农业育苗人工智能加水装置，该种加水器主体的顶部安装有通过螺栓连接的氧气泵，氧气泵的底部安装有通过法兰连接的通气管，通气管的底部套有氧气疏松滤网，氧气疏松滤网的上方固定安装有氧气浓度传感器，加水器主体操作起来极为方便，浊度检测仪检测到池内水过于浑浊时会控制一侧的加水泵将水通过导水管输送到池内已对水进行换新，两个逆流通道可防止鱼苗从排水口随浊水排出，光合作用酶促板卡在加水器主体底部能够为池内部提供鱼类所需的氧气，此种加水器主体无需人力看管，而且使用起来极为方便，为人们的生产带来了很大的便利。</t>
  </si>
  <si>
    <t>一种农业育苗人工智能加水装置</t>
  </si>
  <si>
    <t>CN208370626U</t>
  </si>
  <si>
    <t>本实用新型公开了一种农业人工智能养殖电子装置，该种养殖槽主体的顶部固定安装有驱动电机和水箱，养殖槽主体的一侧设有进料口，驱动电机的下方安装有通过轴连接的搅拌轴，水箱的底部安装有水泵，水泵的底部安装有通过法兰连接的导水管，养殖槽主体操控较为方便，温湿度传感器嵌在饲用槽的底部能实时的监测内部的温湿度以便进行控制，当检测到内部温湿度不适时可控制底部的加热器对饲料进行加热，同时控制导水管阀的开启对内部饲料进行加湿，搅拌完成后会控制启闭板将饲料通过下方的分料箱经多个独立送料斗送入底部的饲用槽中，此种养殖槽主体操控方便，而且无需人员查看可以自动控制，为工作人员带来了很大的便利。</t>
  </si>
  <si>
    <t>一种农业人工智能养殖电子装置</t>
  </si>
  <si>
    <t>CN108734104B</t>
  </si>
  <si>
    <t>本发明公开了一种基于深度学习图像识别的健身动作纠错方法，包括以下步骤：接收从健身视频中截取的每帧健身图像，记录每帧健身图像对应的时间，并对每帧健身图像进行预处理；将预处理后的健身图像输入到人体关节识别模型中，经所述人体关节识别模型计算，输出健身图像中包含的每个人体关节及其位置坐标；将各个关节根据坐标位置有序连线，得到人体骨架图；根据标准健身动作对所述人体骨架图进行比对分析，输出不标准健身图像以实现对健身动作的纠错。本发明还公开了一种基于深度学习图像识别的健身动作纠错系统。该系统和方法能够处理真实有效地解决就有无音乐节奏的健身动作之间的难以对比的问题。</t>
  </si>
  <si>
    <t>基于深度学习图像识别的健身动作纠错方法及系统</t>
  </si>
  <si>
    <t>US20180240322A1</t>
  </si>
  <si>
    <t>CN108663686A</t>
  </si>
  <si>
    <t>一种基于激光雷达的游泳池溺水监控装置及方法，包括多个多线激光雷达、上下俯仰机构、计算机系统、通讯及控制模块、溺水报警装置，其中计算机系统包括数据处理单元、数据存储单元、溺水识别模块、报警单元。多线激光雷达安装在上下俯仰机构内。本装置的工作步骤为：数据处理单元提取出游泳者点云数据；数据存储单元将提取出的游泳者溺水姿态的点簇存入到溺水姿态数据库中，并将游泳者姿态的点簇传送给姿态识别单元；溺水识别模块将待识别的姿态点簇数据输入到训练好的神经网络，完成游泳者姿态的识别；当识别到溺水姿态时，报警单元用来显示溺水者的坐标位置并向通讯及控制模块发出报警指令；通讯及控制模块控制溺水报警装置发出警报声。</t>
  </si>
  <si>
    <t>一种基于激光雷达的游泳池溺水监控装置及方法</t>
  </si>
  <si>
    <t>CN108540833A</t>
  </si>
  <si>
    <t>本发明公开一种基于镜头的电视广告识别方法，首先将连续的视频数据分解成镜头，然后使用卷积神经网络提取每个镜头的特征，并对特征向量进行降维处理，利用本发明训练好的分类模型将镜头分类为广告与非广告，分类出广告镜头之后，利用镜头中的图像和音频特征，识别出广告镜头的内容，也就是识别出该镜头是哪一家公司或产品的广告。本发明的目的是监测电视广播中播放的商业广告，能够在影视、综艺、新闻、体育等多种节目中以及不同节目之间识别出广告，并且能够降低计算成本，提高效率。</t>
  </si>
  <si>
    <t>一种基于镜头的电视广告识别方法</t>
  </si>
  <si>
    <t>WO2018194960A1</t>
  </si>
  <si>
    <t>多阶段机器学习和识别系统包括多个单独的机器学习系统,这些系统布置在多个阶段,其中数据从一个阶段的机器学习系统传递到结构的后续更高级别的一个或多个机器学习系统 根据机器学习系统的逻辑。 多阶段机器学习系统可以安排在最后阶段和一个或多个非最终阶段,其中一个或多个非最终阶段通常将数据引导到最终阶段内选定的一个或多个机器学习系统,但是 少于最后阶段的所有机器学习系统。 多阶段机器学习系统还可以包括一个单独的机器学习系统,指定为学习教练和数据管理系统,该系统被配置为通过观察机器学习系统的内部状态来控制数据在机器学习系统的多阶段结构中的分布。 结构。 学习教练和数据管理系统可以通过控制整个系统中任何机器学习系统的一个或多个超参数、重组多阶段结构或执行其他功能来额外优化整个系统的性能。</t>
  </si>
  <si>
    <t>多阶段机器学习和识别</t>
  </si>
  <si>
    <t>EP3612984A4</t>
  </si>
  <si>
    <t>多阶段机器学习与识别</t>
  </si>
  <si>
    <t>US11361758B2</t>
  </si>
  <si>
    <t>多阶段机器学习和识别系统包括布置在多个阶段的多个单独的机器学习系统,其中数据从一个阶段的机器学习系统传递到结构的后续更高级别的一个或多个机器学习系统 根据机器学习系统的逻辑。 多阶段机器学习系统可以布置在最终阶段和一个或多个非最终阶段中,其中一个或多个非最终阶段通常将数据导向最终阶段内选定的一个或多个机器学习系统,但是 少于最后阶段的所有机器学习系统。 多阶段机器学习系统还可以包括学习教练和数据管理系统,其被配置为通过观察结构的内部状态来控制数据在机器学习系统的多阶段结构中的分布。</t>
  </si>
  <si>
    <t>CN108543267A</t>
  </si>
  <si>
    <t>本发明涉及一种跑步机，尤其涉及一种用于VR设备的跑步机，包括底座、摄像头、延长杆、驱动装置、连接杆和安全环；所述连接杆下端连接底座，上端连接安全环，安全环设置在底座的正上方；所述底座呈方形，为中空结构，在底座内设置有多根滚动轴，在滚动轴的两端设置有轴承，轴承和底座连接，使滚动轴能沿着轴承转动；所述延长杆安装在连接杆的上端，在延长杆的上端设置有摄影头；所述摄像头内置小型计算机，小型计算机具有图像识别和动作识别技术；所述摄像头和驱动装置连接；所述驱动装置和连接杆连接，驱动装置通过内置的电机驱动齿轮转动带动连接杆伸长或者缩短；所述摄像头和驱动装置连接电源。</t>
  </si>
  <si>
    <t>一种用于VR设备的跑步机</t>
  </si>
  <si>
    <t>CN108563637A</t>
  </si>
  <si>
    <t>一种融合三元组知识库的句子实体补全方法，属于计算机自然语言处理领域。具体操作步骤包含：①构建供模型训练使用的数据集；②将实体、关系、句子模板用向量进行表示；③补全句子中的实体词。本发明提出的融合三元组知识库的句子实体补全方法与已有技术相比较，在针对句子中实体词进行补全时能够考虑待补充实体词与句子中其他实体词之间的关系，有效解决了常规句子补全方法中难以对实体词进行补全的问题。实验表明，本发明提出的方法在采用平均排序(MR)和前10命中率(H@10)的评测指标上有显著提升。</t>
  </si>
  <si>
    <t>一种融合三元组知识库的句子实体补全方法</t>
  </si>
  <si>
    <t>CN208229352U</t>
  </si>
  <si>
    <t>本实用新型公开了一种体育用排球发球装置其结构包括拦球杆、转轮、智能语音开关装置、排球框、底架、滚轮、转动杆、出球板、转轮保护壳，拦球杆下端与转轮保护壳上端相连接，转轮嵌入安装于转轮保护壳内部，智能语音开关装置与转动杆上端电连接，排球框与底架相焊接，底架下端与滚轮相连接，转动杆与排球框位于同一轴心，本实用新型一种体育用排球发球装置，其结构上设置了智能语音开关装置，当运动员或使用者想停止发球机继续发球时，只需对设备进行声音控制，装置内部语音识别器识别语音将信号传送给处理器，处理器使电磁铁通电吸附铁块使触电开关断开连接，发球机就停止工作，不会做出无用功，使其的使用更加方便。</t>
  </si>
  <si>
    <t>一种体育用排球发球装置</t>
  </si>
  <si>
    <t>CN108647575B</t>
  </si>
  <si>
    <t>本发明提供了一种基于光学视觉分析的溺水预警方法。首先通过中值滤波、直方图均衡化和同态滤波等方法对图像进行去噪、增强和去除光照不均的预处理，然后利用免疫遗传算法同时完成对游泳者的检测和跟踪，得到其位置和运动轨迹信息，最后利用LSTM网络提取游泳者具有时序信息的行为特征，并通过Softmax层对该特征进行分析，得到游泳者的溺水概率，给出是否溺水的判断。利用本发明方法可以实现对泳池中游泳者的智能视觉感知，通过理解和分析其运动行为，对溺水状态进行预警，并快速准确的给出溺水者的位置信息，辅助救生员的援救工作。</t>
  </si>
  <si>
    <t>基于光学视觉分析的溺水预警方法</t>
  </si>
  <si>
    <t>CN208356072U</t>
  </si>
  <si>
    <t>本实用新型公开了一种基于物联网的健身设备，包括底座，底座上设有支撑柱，支撑柱上设有一个倾斜设置的躺板，躺板上设有一个固定板，固定板上设有两根固定杆，固定杆的外周套设有缓冲套圈，缓冲套圈与固定杆之间设有压力传感器；底座上设有中控部件，中控部件包括壳体，壳体上设有扬声器，扬声器电连接有语音模块，语音模块包括语音电路，该基于物联网的健身设备中，通过压力传感器和壳体内部的PLC等部件，能够对健身者的动作进行计量；同时配合语音电路，能够进行可靠语音输出，提高了设备的实用性，本实用新型设计合理，适合推广使用。</t>
  </si>
  <si>
    <t>EP3550823A1</t>
  </si>
  <si>
    <t>提出了一种用于控制捕捉比赛场地(100)的一部分的机器人照相机(106)的方法。 在比赛场地的参考图像中确定感兴趣的图像区域。 感兴趣的图像区域由人工智能(111)确定。 感兴趣的图像区域与比赛场地上的物理感兴趣区域相关联。 从感兴趣的物理区域推导出机器人摄像机(106)的控制参数,使得机器人摄像机捕捉比赛场地上的感兴趣的物理区域。 因此,机器人摄像机可以自动捕捉比赛场地上最有趣的场景。 此外,提出了一种实现该方法的照相机系统。</t>
  </si>
  <si>
    <t>用于捕捉运动场一部分的机器人相机的自动控制</t>
  </si>
  <si>
    <t>KR1020190117852A</t>
  </si>
  <si>
    <t>本发明公开了一种用于物联网终端的低功率通信装置和方法。 即,本发明将信号中包含的预设哈希字段的哈希码与通过与发送方同步的RTC和哈希生成器生成的哈希码进行比较,当两个哈希码匹配时,对应的信号是正常的signal. signal. signal 在LoRa单接收操作模式的实现中,通过在MCU中对signal中包含的预设数据字段中包含的数据进行处理,确定后可以通过补充漏洞来提高接收端的整体操作效率接收时间,稳定保持功耗,在硬件层面提前决定是否接收数据。</t>
  </si>
  <si>
    <t>物联网终端的低功耗通信装置及方法</t>
  </si>
  <si>
    <t>CN108390687A</t>
  </si>
  <si>
    <t>一种便于交流的互动装置，包括感应开关、壳体、机架、弧形底座和盖板；所述感应开关设置在壳体侧面；所述机架设置在所述壳体和底座之间，所述盖板设置在壳体上方；所述机架上设置有电子显示模块、音频放大模块、音频输出模块、输入模块；所述壳体外侧设置有用于声音数据采集的声音传感器；所述壳体上侧设置有远程通讯模块，所述远程通信模块设置在盖板下方；所述盖板与壳体通过螺钉紧固；所述壳体内部设置有蓄电池、用于语音文字转换的语音识别芯片、中央处理器；所述弧形底座内侧设置有跑步台、传送带、齿轮、离合装置、发电机、电刷；所述齿轮通过离合装置与发电机啮合；所述传送带设置在跑步台上，所述发电机通过电刷与蓄电池相连。</t>
  </si>
  <si>
    <t>一种便于交流的互动装置</t>
  </si>
  <si>
    <t>CN208508913U</t>
  </si>
  <si>
    <t>HK1244872A1</t>
  </si>
  <si>
    <t>CN108520209A</t>
  </si>
  <si>
    <t>本发明涉及一种基于物联网的健身器材管理系统及方法，其中包括应用于健身场所，健身场所设置有一中央控制器和一智能机器人，智能机器人的上方设置有摄像头，智能机器人的内部设置有机器人控制器，智能机器人的外部设置有机械臂，健身场所中划分有多个健身区域，各个健身区域分别包括一器材摆放区，各个所述器材摆放区放置有多个不同种类的健身器材，各个所述健身器材上设置有UWB定位标签，各个所述健身区域还设置有至少一摄像头。本发明自动管理健身场所中的健身器材，自动统计各个位置的健身器材的种类和数量，根据人流量自动调整健身器材各个种类的数量，根据需要使用智能机器人进行自动调整，减少了人力和物力，调整更具有时效性。</t>
  </si>
  <si>
    <t>一种基于物联网的健身器材管理系统及方法</t>
  </si>
  <si>
    <t>IT202200040378T2</t>
  </si>
  <si>
    <t>一个实施例提供一种机器学习硬件加速器,包括计算单元,该计算单元具​​有在整数数据路径和浮点数据路径之间共享的加法器和乘法器,乘法器的输入操作数的高位在浮点期间被选通 手术。</t>
  </si>
  <si>
    <t>用于自动学习的整体操作和移动逗号操作的说明和逻辑。</t>
  </si>
  <si>
    <t>IT202200069129T2</t>
  </si>
  <si>
    <t>SG10201802403PB</t>
  </si>
  <si>
    <t>一种对账过程中异常情况的管理方法及系统 
  交易,其中因现有的可能不匹配而引发异常 
  正在比较的数据集之间。 协调包括执行第一 
  基于预定义的规则集和预设的协调来匹配两个集合 
  10 类型,其中第一个匹配引发异常。 此外,例外情况,如 
  批处理文件,通过对异常执行第二次匹配来处理 - 
  基于利用模糊逻辑的模式匹配机制的数据。 图案 
  提供与每个批次对应的图元文件的匹配机制 
  批处理文件的元素。 此外,仅检索可能的接近匹配 
  15 基于预定义的置信度分数阈值。 势均力敌的比赛 
  可以在用户界面上向用户提供相应的置信度分数 
  (UI) 进一步调查异常情况。</t>
  </si>
  <si>
    <t>交易对账期间异常管理的方法和系统</t>
  </si>
  <si>
    <t>CN110293553B</t>
  </si>
  <si>
    <t>本发明实施例提供了一种控制机械臂操作物体的方法及深度神经网络模型的训练方法，控制机械臂操作物体的方法包括：获取图像传感器当前时刻采集的目标图像；将目标图像输入预先训练完成的深度神经网络模型进行检测，得到目标图像对应的标签；判断目标图像对应的标签是否与预设的操作标签相同；如果否，控制末端工具按照目标标签对应的目标运动方向移动预设距离，并返回获取图像传感器当前时刻采集的目标图像的步骤；如果是，控制末端工具对待操作物体进行目标操作。由于深度神经网络模型是基于通过多个角度不同的图像传感器采集的图像样本训练得到的，可以消除摄像机的内参和外参的估计造成的误差，使机械臂对物体操作的准确率大大提高。</t>
  </si>
  <si>
    <t>控制机械臂操作物体的方法、装置及模型训练方法、装置</t>
  </si>
  <si>
    <t>US10939821B2</t>
  </si>
  <si>
    <t>移动设备通过应用程序进行编程,该应用程序使用移动设备的摄像头、加速度计和麦克风,使父母、教练或球员能够将其用作诊断脑震荡的工具。 该工具可以基于一个或多个被评分的因素来诊断脑震荡,例如玩家的平衡、眼球运动、对问题的语音响应、按钮按下响应时间以及关于撞击位置的其他信息。 移动设备可以配备有语音识别和语音提示,以使得能够由另一名球员或教练对受伤球员进行对球员的脑震荡检查,而无需受伤球员或助手的显着努力。 每项测试都可以单独评分,也可以针对受伤球员的一个或多个基线进行评分,以得出总体得分和脑震荡的可能性。 当教练认为有脑震荡时,他/她可以使用该应用程序帮助寻找医生。 当教练不确定测试结果时,他/她可以将机器学习注释数据发送给在线医生进行审核。</t>
  </si>
  <si>
    <t>用于诊断和分析脑震荡的系统和方法</t>
  </si>
  <si>
    <t>CN108211200A</t>
  </si>
  <si>
    <t>本发明基于物联网的智能教学体感健身瑜伽垫由智能瑜伽垫本体、内置教学系统的智能手机App和电视屏幕同步显示教学画面及使用者运动影像组成；智能瑜伽垫本体由四层结构和智能装置组成，通过无线信号与智能手机App、电视投影屏幕通信；智能装置内置于智能瑜伽垫本体前端中部，用于处理、转换智能瑜伽垫本体中采集的数据，发送到智能手机App；镂空体位线、红外感应装置、压力传感装置设在智能瑜伽垫本体中，监测、采集运动者的状态数据，将这些数据传送到智能装置，通过无线信号传送到智能手机App中，智能手机App与电视通信，影像在电视屏幕同步显示；智能装置中的蓄电池提供电能，蓄电池通过无线充电器、太阳能面板两种方式充电。</t>
  </si>
  <si>
    <t>基于物联网的智能教学体感健身瑜伽垫</t>
  </si>
  <si>
    <t>CN108447540A</t>
  </si>
  <si>
    <t>本发明公开了一种采集运动健康数据生成运动处方的方法，包括利用内置人工智能模型和算法的智能设备采集个人体测数据；将采集到的体测数据自动分析体质、自动分类、自动生成个性化运动处方；个性化运动处方输出前端及时展示给体测者，体测者根据运动处方在共享跑步机上运动；智能设备连接物联网，传输体测和运动数据到云端；云端利用大数据存储方式存储数据；体测数据自动打上设备生成的运动处方标记，后台管理员可以查看运动处方标记，检查判断设备生成的处方是否正确，若不正确可以手动调整运动处方标记，修正设备错误。本发明方法能根据各个不同体测人员的体质细微差别，分析量化，生成细微不同的个性化的科学运动处方。</t>
  </si>
  <si>
    <t>一种采集运动健康数据生成运动处方的方法</t>
  </si>
  <si>
    <t>CN108510163A</t>
  </si>
  <si>
    <t>本发明公开了一种基于健康物联网的体育人才创新创业共享经济平台，包括运动健康创业生态共享平台,运动健康创业生态共享平台供共享平台使用者通过共享创业方式、共享场景使用并数据共享，运动健康创业生态共享平台包括共享平台的核心技术和共享平台的生态资源，其中：共享平台的核心技术包括人体检测、评估、运动处方生成、处方执行、效果监测、运动处方再优化的健康物联网、大数据和人工智能闭环技术。</t>
  </si>
  <si>
    <t>一种基于健康物联网的体育人才创新创业共享经济平台</t>
  </si>
  <si>
    <t>US20180272190A1</t>
  </si>
  <si>
    <t>代理装置具有被配置为获取体能数据和训练指令数据的接口和被配置为通过分析体能数据和训练指令数据来提供人工教练的人工智能单元。</t>
  </si>
  <si>
    <t>代理装置及代理方法</t>
  </si>
  <si>
    <t>CN208176802U</t>
  </si>
  <si>
    <t>本实用新型基于物联网的智能教学体感健身瑜伽垫由智能瑜伽垫本体、内置教学系统的智能手机App和电视屏幕同步显示教学画面及使用者运动影像组成；智能瑜伽垫本体由四层结构和智能装置组成，通过无线信号与智能手机App、电视屏幕通信；智能装置内置于智能瑜伽垫本体前端中部，用于处理、转换智能瑜伽垫本体中采集的数据，发送到智能手机App；镂空体位线、红外感应装置、压力传感装置设在智能瑜伽垫本体中，监测、采集运动者的状态数据，将这些数据传送到智能装置，通过无线信号传送到智能手机App中，智能手机App与电视通信，影像在电视屏幕同步显示；智能装置中的蓄电池提供电能，蓄电池通过无线充电器、太阳能面板两种方式充电。</t>
  </si>
  <si>
    <t>CN110163038A</t>
  </si>
  <si>
    <t>本发明公开了一种基于深度卷积神经网络的人体运动计数方法，通过定义5种基本人体运动类型和每种运动类型的3个关键动作姿态序列，令不同人表演5种运动并且录制这5种运动以及其他类型运动的视频序列，以作为训练样本结合16个类别的分类器，进行基于深度卷积神经网络的动作识别训练过程，在训练完毕后输出分类模型；通过摄像头捕获人体运动的视频帧，输入到已训练好的分类模型进行分类运算，根据分类运算结果判断运动者所处的动作姿态、所进行的运动类型并且将所属的运动计数加一，已达到自动、高效的对5种运动进行识别与计数，让锻炼者能够心无旁骛的进行健身动作，以及对动作视频的识别过程进行标准校对、剔除不规范动作计数的问题。</t>
  </si>
  <si>
    <t>一种基于深度卷积神经网络的人体运动计数方法</t>
  </si>
  <si>
    <t>WO2018231302A1</t>
  </si>
  <si>
    <t>本文的实施例提供用于提供定制的锻炼相关推荐的系统、方法和计算机可读介质。 利用机器学习算法,可以使用一组用户的健身相关信息来训练分类模型。 分类模型可以被配置为输出输入数据的分类(例如,特定用户的健身相关信息)。 可以识别对应于分类的推荐并将其提供给特定用户。 可以跟踪用户对所提供的推荐的遵从性和用户进度,以确定推荐何时有效地带来期望的结果(例如,使用户朝着目标前进)。 系统可以确定分类何时被不准确地确定和/或预期进展数据何时没有提供用户可以朝着目标前进的现实路径。 因此,分类、推荐和进度路径的准确性/有效性可能会随着时间的推移而不断提高。</t>
  </si>
  <si>
    <t>提供定制的运动相关建议的技术</t>
  </si>
  <si>
    <t>KR102045449B1</t>
  </si>
  <si>
    <t>在本发明中,当玩家在虚拟网球模拟方法(例如屏幕网球系统)中打网球时,即使视频中的虚拟对手玩家在人工智能等人的各种情况和条件下击中了虚拟球,通过视频通过安装在屏幕背面的球机使球的运动与球的发射相对应,将视频中的情况与真实情况相结合的虚拟网球比赛将实现为动态提供一种虚拟网球模拟系统及其控制方法,以提高玩家在虚拟网球比赛中的注意力和兴趣。</t>
  </si>
  <si>
    <t>KR102045443B1</t>
  </si>
  <si>
    <t>CN110678932A</t>
  </si>
  <si>
    <t>本文的实施方案提供用于提供定制的锻炼相关推荐的系统、方法、和计算机可读介质。利用机器学习算法，可以以一组用户的健身相关信息来训练分类模型。分类模型可被配置为输出用于输入数据(例如，特定用户的健身相关信息)的分类。对应于分类的推荐可被标识并被提供给特定用户。可跟踪用户对所提供的推荐的遵从性和用户进度以确定推荐何时有效地带来所期望的结果(例如，使用户朝目标前进)。系统可确定分类何时已被不准确地确定和/或预期进度数据何时还没有提供用户可用以朝向目标前进的现实路径。因此，分类、推荐和进度路径准确性/有效性可随着时间而不断改进。</t>
  </si>
  <si>
    <t>用于提供定制的锻炼相关推荐的技术</t>
  </si>
  <si>
    <t>KR1020190109658A</t>
  </si>
  <si>
    <t>在本发明中,当用户使用智能设备捕获并识别特定对象或文本时,可以通过基于分布式深度学习的数据处理,通过暴露相关广告商的广告来诱导产品购买,并且还可以诱导产品购买。用户购买广告主的营销,涉及一种结合金融科技的基于深度学习的营销推广系统和方法,可以通过执行任务/推广来支付奖励金额(积分)。 
  也就是说,在本发明中,当用户使用智能设备捕获并识别特定对象或文本时,通过基于分布式深度学习的数据处理显示与识别对象相关的各种信息和广告商的广告,从而使用户的观点可以获得物体搜索信息,广告主可以通过广告诱导用户购买产品,从而同时满足用户获取物体识别信息和广告主的广告效果,旨在提供一种基于跑步的营销推广系统和方法。</t>
  </si>
  <si>
    <t>基于深度学习的结合金融科技的营销推广系统及方法</t>
  </si>
  <si>
    <t>CN108408958A</t>
  </si>
  <si>
    <t>本发明公开了一种基于物联网的游泳池水质在线监测及控制系统，包括云数据中心服务器和水质监控仪，水质监控仪由PLC中央处理器控制，且PLC中央处理器电性连接设置于游泳池内监测器。同时游泳池内设置有控制器，该控制器包括分别设置于游泳池的连接管路上的过滤器、投药泵和设置于游泳池内的加热器。过滤器、投药泵和电磁阀分别与PLC中央处理器电性连接控制，PLC处理器与云数据中心服务器连接，且该云数据中心服务器连接有交易平台终端、用户监控终端和职能部门监控终端并可查看游泳池水质数据。本发明可实现用户、管理者和职能部门对游泳池的水质情况进行实时监控，提高了游泳池的智能化管理水平，提高了游泳池的水质安全。</t>
  </si>
  <si>
    <t>CN207851055U</t>
  </si>
  <si>
    <t>本实用新型公开了一种基于物联网的游泳池水质在线监控系统，包括云数据中心服务器、PLC中央处理器和分别与PLC中央处理器连接并设置于游泳池内的尿素监测器、水温监测器、余氯监测器、浊度监测器和pH值监测器。PLC处理器与云数据中心服务器连接，游泳池的水质数据通过PLC处理器传送到云数据中心服务器，且该云数据中心服务器连接有交易平台终端、用户监控终端和职能部门监控终端并可查看游泳池水质数据。本实用新型通过交易平台终端、用户监控终端和职能部门监控终端查看云数据中心服务器中的游泳池水质数据，可实现用户、管理者和职能部门对游泳池的水质情况进行实时监控，提高了游泳池的智能化管理水平，提高了游泳池的水质安全。</t>
  </si>
  <si>
    <t>一种基于物联网的游泳池水质在线监控系统</t>
  </si>
  <si>
    <t>CN208949009U</t>
  </si>
  <si>
    <t>本实用新型公开了一种基于物联网的游泳池水质在线监测及控制系统，包括云数据中心服务器和水质监控仪，水质监控仪由PLC中央处理器控制，且PLC中央处理器电性连接设置于游泳池内监测器。同时游泳池内设置有控制器，该控制器包括分别设置于游泳池的连接管路上的过滤器、投药泵和设置于游泳池内的加热器。过滤器、投药泵和电磁阀分别与PLC中央处理器电性连接控制，PLC处理器与云数据中心服务器连接，且该云数据中心服务器连接有交易平台终端、用户监控终端和职能部门监控终端并可查看游泳池水质数据。本实用新型可实现用户、管理者和职能部门对游泳池的水质情况进行实时监控，提高了游泳池的智能化管理水平，提高了游泳池的水质安全。</t>
  </si>
  <si>
    <t>WO2018175098A1</t>
  </si>
  <si>
    <t>机器学习 (ML) 系统包括学生 ML 系统、学习教练 ML 系统和为学生 ML 系统生成训练数据的参考系统。 学习教练 ML 系统基于使用参考系统生成的训练数据对学生 ML 系统进行训练,学习对学生 ML 系统或其学习过程进行增强,例如更新超参数或网络结构变化。 该系统还可以包括学习实验系统,其与参考系统通信以对学生学习系统的学习进行实验。 此外,学习实验系统可以确定学习教练 ML 系统的成本函数。</t>
  </si>
  <si>
    <t>CN208260082U</t>
  </si>
  <si>
    <t>本实用新型公开了一种大学体育教育室内健身器，包括箱体、底板和防护壳，所述底板的底部安装有万向轮，所述底板的表面皆安装有固定台，所述加固支撑杆顶部的扶手杆一侧安装有控制台，所述扬声器一侧的控制台内部安装有语音识别模块，所述存储器一侧的控制台内部安装有处理器，所述底板的内部安装有箱体，所述箱体之间设置有跑步带，所述箱体的一侧安装有防护壳，所述防护壳的内部安装有配电盒，所述变压器一侧的防护壳内部安装有电动机，所述电动机一侧的防护壳内部安装有变速器。本实用新型通过设置有一系列的结构使本装置在使用过程中具备可移动性、安全性高以及可语音调速等优点，优化了使用过程。</t>
  </si>
  <si>
    <t>一种大学体育教育室内健身器</t>
  </si>
  <si>
    <t>WO2019171442A1</t>
  </si>
  <si>
    <t>在IoT(物联网)领域提供一种让用户想去体育场观看棒球比赛的设备。 击球结果预测系统是允许棒球比赛的观众预测棒球击球手的实际击球结果的系统。 显示装置在比赛中显示关于当前站在击球区中的击球手的击球手信息和关于当前站在投手丘上的投手的投手信息。 接受装置接受观众对击球手的击球结果的预测。 判断装置根据击球手的实际击球结果判断预测的正确与否。 基于确定结果,发行装置向预期正确答案的数量等于或大于预定值的最佳表现者发行可在体育场兑换奖品的兑换券。</t>
  </si>
  <si>
    <t>击球结果预测系统、击球结果预测方法及程序</t>
  </si>
  <si>
    <t>US20200311572A1</t>
  </si>
  <si>
    <t>机器学习 (ML) 系统包括学生 ML 系统、学习教练 ML 系统和为学生 ML 系统生成训练数据的参考系统。 学习教练 ML 系统基于使用参考系统生成的训练数据对学生 ML 系统的训练,学习对学生 ML 系统或其学习过程进行增强,例如更新的超参数或网络结构变化。 该系统还可以包括与参考系统通信以对学生学习系统的学习进行实验的学习实验系统。 此外,学习实验系统可以确定学习教练 ML 系统的成本函数。</t>
  </si>
  <si>
    <t>EP3602316A4</t>
  </si>
  <si>
    <t>IN201841007881A</t>
  </si>
  <si>
    <t>设计了一种如图1所示的“E-Heart健身带”的设计方法。 在下图 2 中,设计了 E-Heart 健身手环的后视图。 该手环由 5 种不同类型的传感器组成,可记录佩戴该手环的用户的健康参数。 这 5 个传感器记录的健康参数提供给移动应用程序。 这些传感器收集的数据存储在云端,并通过应用机器学习算法进行分析。 佩戴这款 E-Heart 健身手环的用户会在健康异常时收到通知和提醒。 与健身手环用户关联的医生和家庭成员也会收到通知。 用户可以通过按下手环设计的 SOS 按钮来提醒医生和家人。</t>
  </si>
  <si>
    <t>e-heart(健身乐队)</t>
  </si>
  <si>
    <t>CN108447001A</t>
  </si>
  <si>
    <t>本发明涉及大数据及赛鸽领域，提供一种赛鸽物联网智能管理系统，包括运行于云端服务器的云管理系统和运行于智能终端的智能终端系统，云端服务器和智能终端通过互联网进行连接，其中云管理系统包括用户管理模块、赛鸽档案管理模块和赛事管理模块；以及智能终端系统包括会员注册模块、赛鸽档案建立模块和实时赛事模块。本发明通过智能手机或个人电脑作为物联网的智能终端，使用手机中安装的软件平台通过网络与鸽舍的踏板的主板互联，将数据上传到云服务器中，从而确定了赛鸽归巢的实时时间及经纬度，避免出现监管空白区域，消除公众对赛鸽比赛结果的质疑。</t>
  </si>
  <si>
    <t>赛鸽物联网智能管理系统</t>
  </si>
  <si>
    <t>CN108416945A</t>
  </si>
  <si>
    <t>本申请提供了一种无人值守共享健身房管理系统，包括：自助门禁系统，用于控制健身房门禁闸机的开启和关闭；课程预约系统，用于线上预约健身课程，并辅助健身用户自助通过门禁闸机；物联网设备控制系统，用于根据课程预约需求，控制健身房内的物联网设备；VR课程播出系统，用于根据预约的健身课程对虚拟场景和直播信号进行合成并输出；课程交互系统，用于向所述物联网设备控制系统发出控制指令，对健身房内的物联网设备进行调节；后台管理系统，与所述自助门禁系统、课程预约系统、物联网设备控制系统、VR课程播出系统和课程交互系统分别通信连接，用于转接上述系统之间的调用指令并对上述系统进行初始化配置。</t>
  </si>
  <si>
    <t>无人值守共享健身房管理系统</t>
  </si>
  <si>
    <t>US10616624B2</t>
  </si>
  <si>
    <t>本公开涉及在网络和移动设备上运行的多角度视频平台,其允许用户以相同的体验同时播放多个视频。 结合实时视频技术、元数据分析和机器学习,本文公开的技术、系统和方法可以方便地同步多个事件的视频,如音乐节、集会、体育或音乐,让用户有机会不仅观看,而且 也参与视频体验,切换视频角度或音频源,或最终将自己的视频或音频输入添加到多角度体验中。 本文公开的系统和方法可以促进同步直播和/或非直播视频,以及直接贡献给移动或计算机托管应用的视频,以及发布在外部API上的视频。 多角度视频,无论是现场还是非现场,都可以在移动或计算机托管的应用程序或网站上播放。</t>
  </si>
  <si>
    <t>多角度视频同步和多角度视频接口</t>
  </si>
  <si>
    <t>US62634410P0</t>
  </si>
  <si>
    <t>人工智能算法和过程,模拟私人教练创建自定义锻炼</t>
  </si>
  <si>
    <t>WO2018148803A1</t>
  </si>
  <si>
    <t>一种语音信号识别运动计分系统包括现场设备,该现场设备包括音频输入,该音频输入使用无线发射器接收语音信号并将语音信号无线传输到包括的场外设备。 场外设备包括用于将特征的模式分类为来自信号命令字典的一个或多个语音信号的自动语音识别(ASR)解码器和被配置为根据所述一个计算和更新内存匹配分数的评分控制器。 或更多由 ASR 解码器和游戏进程决策树分类的语音信号。 游戏进程决策树内的当前节点位置可用于增强 ASR 解码器的分类准确度。</t>
  </si>
  <si>
    <t>一种语音信号识别体育比赛计分系统</t>
  </si>
  <si>
    <t>KR102045667B1</t>
  </si>
  <si>
    <t>无人机 控制信号的产生方法及控制装置技术领域本发明涉及无人机控制信号的产生方法及控制装置。 一种利用用户手势学习生成无人机控制信号的方法,包括:通过多个动作获取无人机飞行时拍摄的图像;识别用户观看拍摄图像的手势;对无人机的运动对应于无人机通过学习模型,当用户做出学习到的手势时,生成与该手势对应的无人机运动控制信号。 如上所述,根据本发明的一个实施例,不同于传统的用于控制无人机的集体操作,用户可以根据用户拥有的传感器的类型、身体状况和偏好来操作用于主动控制无人机的手势。 也就是说,使用本发明的实施例,即使在仅装备有能够检测身体的特定部位的运动的传感器的用户或在身体的一部分的运动方面有残疾的用户的情况下,创建用户自己独特的动作,您可以控制您的无人机。</t>
  </si>
  <si>
    <t>无人机控制信号产生方法及控制装置</t>
  </si>
  <si>
    <t>CN108288475A</t>
  </si>
  <si>
    <t>本发明公开了一种基于深度学习的体育视频集锦剪辑方法，所述方法包括：将待处理的视频源拆分为一系列视频块，并按顺序对每段视频块标记序号；针对每一个视频块，基于训练好的深度学习VGG16网络进行打分，该分数为0‑1的小数，其中，打分分数的高低与该段视频精彩程度成正比；打分完成后，以视频块序号为横轴，以视频块分数为纵轴建立坐标系，并将一系列视频块在坐标系中标出，并连接形成曲线；在坐标系中，获取曲线中所有波峰为1的波段并获取对应的视频块序号，组成视频块序号组；基于获取的视频块序号组，将视频块序号组中序号对应的视频块组成连续视频，生成视频精彩集锦；实现了自动对视频进行剪辑，剪辑效率较高的技术效果。</t>
  </si>
  <si>
    <t>一种基于深度学习的体育视频集锦剪辑方法</t>
  </si>
  <si>
    <t>CN207838172U</t>
  </si>
  <si>
    <t>本实用新型公开了一种基于机器视觉的羽毛球自动回收装置，属于智能机器人领域。该装置包括框架、一对翅型挡板、毛刷循环模块、半封闭漏斗和收集模块；框架上自带三个车轮，翅型挡板分别位于两个前车轮的前方两侧；毛刷循环模块在框架内部自动循环，翅型挡板搜集到的羽毛球被扫到毛刷循环模块上，经循环到最高处后，利用毛刷弹到半封闭漏斗上；半封闭漏斗位于框架的后侧上部，与毛刷循环模块相连的位置留有开口；半封闭漏斗正下方为收集装置，羽毛球经过半封闭漏斗垂直降落到收集装置中。本实用新型高度智能，操作简单，既提高了捡球效率，又保护羽毛球不会被轮子压到造成损坏，可有效降低人力成本。</t>
  </si>
  <si>
    <t>一种基于机器视觉的羽毛球自动回收装置</t>
  </si>
  <si>
    <t>CN108375341B</t>
  </si>
  <si>
    <t>一种基于图像识别的立定跳远距离测量方法，属于体育用品技术领域。其特征在于：包括跳毯(3)和测距机构(1)，在测距机构(1)内设置有控制器和由控制器控制的拍摄模块，还包括如下步骤：步骤1001，拍摄原始图片；步骤1002，对原始图片进行黑白化处理；步骤1003，对原始图片进行透视变换及像素化处理；步骤1004，测试开始；步骤1005，拍摄二次图像；步骤1006，对二次图片进行黑白化处理；步骤1007，对二次图片进行透视变换及像素化处理；步骤1008，进行像素比对；步骤1009，得出跳远距离。本基于图像识别的立定跳远距离测量方法，通过图像识别确认跳远成绩，测量精准同时避免了人员浪费且成本较低。</t>
  </si>
  <si>
    <t>一种基于图像识别的立定跳远距离测量方法</t>
  </si>
  <si>
    <t>CN207980369U</t>
  </si>
  <si>
    <t>本实用新型属于健身器材技术领域，具体涉及一种健身长跑助手。本实用新型所要解决的技术问题是提出一种健身长跑助手，解决健身者没有速度参照物的问题。为了解决上述技术问题，本实用新型提出这样一种健身长跑助手，包括车体和人机交互设备，所述车体包括控制模块、寻径模块、无线通信模块、运动机构、车身和车轮，控制模块和无线通信模块均分别安装在车身内部，寻径模块安装在车身正前方；控制模块分别与寻径模块和运动机构相连，并通过无线通信模块与人机交互设备进行通信。本实用新型具有帮助用户控制运动量和时间的效果。</t>
  </si>
  <si>
    <t>一种健身长跑助手</t>
  </si>
  <si>
    <t>CN108259921B</t>
  </si>
  <si>
    <t>本发明一种基于场景切换的多角度直播系统及切换方法属于计算机视觉与处理领域；该装置包括图像采集端、基站端和用户端；所述图像采集端、基站端和用户端之间无线连接；该方法包括获取多个图像采集设备对应多个目标的多个视角调整数据；根据切换指令调取对应的场景切换数据，切换指令包括位置切换指令和/或目标切换指令，切换指令携带视频帧时间信息、图像采集设备标识和/或目标标识；根据场景切换数据发送图像序列；本发明使用户能够在观看直播过程中快速锁定想要观看的目标，而不需要自己通过滑屏或者用户端的自身转动来查找观看目标，从不同角度观看比赛精彩瞬间，提高用户的体验感。</t>
  </si>
  <si>
    <t>一种基于场景切换的多角度直播系统及切换方法</t>
  </si>
  <si>
    <t>CN108322840A</t>
  </si>
  <si>
    <t>本发明公开了一种智能蓝牙耳机跑步姿势及步态分析的方法，所述方法包括如下步骤：在跑步状态下，实时检测状态获取跑步数据；该跑步数据包括：加速度值、着地时间、着地力量和步频；通过跑步数据计算得到触地平衡度，头部晃动力度；将该跑步数据以及触地平衡度，头部晃动力度组成输入数据，将该输入数据输入到机器学习算法中计算得到输出结果，依据该输出结果确定跑步姿势以及步态信息；依据该跑步姿势以及步态信息生成提示信息，将该提示信息播放。本发明提供的技术方案具有用户体验度高的优点。</t>
  </si>
  <si>
    <t>蓝牙耳机的跑步姿势及步态分析方法及设备</t>
  </si>
  <si>
    <t>CN108355322B</t>
  </si>
  <si>
    <t>本发明涉及一种智能定制用户健身方案的健身器材系统及使用方法，该系统设置于至少一个健身区域，其中，各个所述健身区域包括中心健身区、器材摆放区和休息准备区；所述器材摆放区摆放有多个健身器材和一控制装置，每个健身器材下方设置有一个移动设备，所述移动设备上设置有指令接收器和计时器，各个所述指令接收器和各个所述计时器分别与所述控制装置进行通信。本发明通过面目识别用户身份，为用户匹配预先设置的健身计划，并且在用户运动过程中，实时获取用户面部图像，采用神经网络识别用户表情类别，并且结合其他身体测量参数来判断用户的疲劳状态，根据用户疲劳状态实时调整运动计划，为用户提供更全面有效的健身指导服务。</t>
  </si>
  <si>
    <t>一种智能定制用户健身方案的健身器材系统及使用方法</t>
  </si>
  <si>
    <t>CN108227206B</t>
  </si>
  <si>
    <t>本发明涉及一种基于物联网的用于自行车骑行的智能眼镜，包括观察机构、中控机构和两个加固机构，所述观察机构包括第一驱动组件、第二驱动组件、支撑杆、驱动块、移动框、轴承座、转动轴、第一摄像头、投影仪和两个第二摄像头，所述加固机构包括第三驱动组件、第三齿轮、连接杆、固定杆、缓冲块、缓冲垫、压力传感器和两个弹簧，该基于物联网的用于自行车骑行的智能眼镜中，通过观察机构使运动员在骑行的过程中，可以将周边的画面投影到眼镜的镜片上，从而使运动员在骑行的过程中可以集中注意力，降低了运动员骑行过程中发生危险的几率，通过加固机构，可以提高眼镜佩戴的牢固度，从而降低了眼镜掉落的几率，提高了眼镜的实用性。</t>
  </si>
  <si>
    <t>一种基于物联网的用于自行车骑行的智能眼镜</t>
  </si>
  <si>
    <t>CN305014470S</t>
  </si>
  <si>
    <t>1．本外观设计产品的名称：用于移动终端的图形用户界面（挑战进度）。
 2．本外观设计产品的用途：本设计产品用于程序运行、人机交互。
 3．本外观设计产品的设计要点：在于屏幕中的图形用户界面内容。
 4．最能表明本外观设计设计要点的图片或照片：设计1主视图。
 5．本外观设计产品的界面用途：用于小视频比对、比赛、挑战进程的交互、展示。
 6．省略视图：后视图、左视图、右视图、俯视图、仰视图为惯常设计，故省略。
 7．指定基本设计：设计1。</t>
  </si>
  <si>
    <t>用于移动终端的图形用户界面（挑战进度）</t>
  </si>
  <si>
    <t>CN108379815A</t>
  </si>
  <si>
    <t>一种基于弹性智能传感器节点的带实时反馈的自动化训练系统，包括：身体传感器网络，用于采集用户身体运动数据；用户手机，接收所得数据，进行预处理；云端分析中心，接收用户手机传输的预处理后的数据，基于人工智能，对数据进行分析，得到运动分析结果以及训练反馈信息，并传输至用户手机；用户手机接收运动分析结果以及训练反馈信息，并反馈给用户；与现有技术相比，本发明优点在于：获取了精准的身体运动数据；采用人工智能处理专业领域的运动数据(例如健身)；采用AI助理推出虚拟教练的概念；整个系统便携度高、对光线无要求。</t>
  </si>
  <si>
    <t>基于弹性智能传感器节点的带实时反馈的自动化训练系统</t>
  </si>
  <si>
    <t>US20180174207A1</t>
  </si>
  <si>
    <t>US20180224822A1</t>
  </si>
  <si>
    <t>CN108229756A</t>
  </si>
  <si>
    <t>本发明公开了一种基于神经网络的篮球比分预测方法和系统，其中，方法包括：获取常规赛的比赛数据，所述比赛数据包括赛前2支篮球队的技术数据和赛后2支篮球队的实际比分；对技术数据进行预处理，得到输入向量，利用输入向量训练神经网络，得到输出向量，当输出向量为赛后2支篮球队的实际比分的概率大于等于阈值时，得到训练好的神经网络；将2支待预测篮球队的技术数据输入训练好的神经网络进行预测，得到2支篮球队的预测比分。相比于人为预测，本发明的结果更为客观，排除了人为因素对于预测结果的影响。</t>
  </si>
  <si>
    <t>一种基于神经网络的篮球比分预测方法和系统</t>
  </si>
  <si>
    <t>US10282668B2</t>
  </si>
  <si>
    <t>一种确认遵守规则的系统和方法。 机器学习模型在多个级别上进行训练,其中包含有关传感器基本解释的数据以及与规则应用领域相关的有趣模式的发现。 模型被下载到第二个处理器,该处理器使用下载后收集的传感器数据进一步训练模型。 额外的传感器数据以及来自服务器或其他来源的数据可以用作模型的输入,并且第二或另一个处理器利用输入评估模型以创建确定合规状态的输出。 具体应用包括确定是否遵守着装规范和确定交通停止情况下的清醒度。 其他典型应用包括遵守体育法规,例如在每个进球后检查长曲棍球杆头袋的特定几何形状。</t>
  </si>
  <si>
    <t>检测法规遵从性的装置和方法</t>
  </si>
  <si>
    <t>US20190236487A1</t>
  </si>
  <si>
    <t>可以通过超参数调整工具执行超参数调整技术。 在该技术中,可以接收一个或多个机器学习超参数中的每一个的计算机可读值。 可以使用值的不同组合来定义多个计算机可读的超参数值集。 响应启动请求,可以通过该工具执行整体超参数调整操作,整体操作包括针对每个超参数集的调整作业。 可以为超参数集生成参数调整操作的结果的计算机可读比较,该比较指示超参数集在调整作业中相互比较的有效性。</t>
  </si>
  <si>
    <t>机器学习超参数调优工具</t>
  </si>
  <si>
    <t>FR3077213A1</t>
  </si>
  <si>
    <t>用于学习网球的人工智能设备,使用球员佩戴的 R.A. 眼镜,为所述球员提供 R.A. 中的战术信息,由智能手机中的算法详细说明</t>
  </si>
  <si>
    <t>虚拟网球学习模块</t>
  </si>
  <si>
    <t>US20180247566A1</t>
  </si>
  <si>
    <t>所公开的实施例包括一种卡路里优化呼吸交换脂肪宏利用代谢系统,包括其上存储有计算机可执行指令的计算机可读存储介质; 处理器,用于执行计算机可执行指令,其中计算机可执行指令包括用于从用户接收用户简档数据的指令,其中用户简档数据包括年龄、性别、身高、体重、饮食、健身信息; 如果有的话,来自个人呼吸交换测试的五个特定代谢数据点; 否则,计算五个特定的代谢点与心率; 根据五个代谢点为用户生成个性化的代谢曲线; 为用户确定个性化的目标运动心率区,作为从代谢曲线中最大心率的百分比,并根据代谢曲线确定营养指南,测量用户依从性以促进机器学习进展和用户代谢曲线的修改,营养 指导方针和目标运动心率区。</t>
  </si>
  <si>
    <t>卡路里优化呼吸交换脂肪宏观利用代谢曲线和方法</t>
  </si>
  <si>
    <t>CN108171278B</t>
  </si>
  <si>
    <t>本发明提供一种基于运动训练数据的运动模式识别方法和系统，包括步骤：获得运动人员的三维位置信息；根据获得的三维坐标信息，计算运动人员的速度和加速度信息；收集训练样本数据；对训练样本数据中的速度和加速度时间序列进行预处理；利用二叉决策树支持向量机决策树算法、BP神经网络算法、RBF神经网络识别算法这三类识别算法对处理后的训练样本数据进行训练；利用上述三类训练好的识别算法对运动人员的运动模式进行识别，并通过加权融合方法获得最终的模式识别结果。本发明在信息采集方面系统结构较为简洁、方便，能够在复杂多变的训练和比赛场景下实现运动模式识别，改善了运动模式识别的精度和鲁棒性。</t>
  </si>
  <si>
    <t>一种基于运动训练数据的运动模式识别方法和系统</t>
  </si>
  <si>
    <t>CN108211318B</t>
  </si>
  <si>
    <t>本发明提供一种基于多方感知的竞走运动姿态分析方法，涉及竞技运动的比赛和日常训练领域；包括同时进行的人体整体姿态分析、人体脚底与地面接触状态分析；整体姿态分析方法通过训练好的神经网络对实时采集的三维人体表面模型进行识别，再将识别结果发送至统计模块；人体脚底与地面接触状态分析采用压力传感器进行人体脚底压力状况采集，再通过分析模块对人体脚底与地面接触状态进行分析，再将分析结果发送至统计模块；统计模块统计所有错误动作并记录，并将结果告知竞走者；本发明解决了现有的姿态估计方法只适合静态动作或节奏变化较慢的动作，缺乏定量对动作进行分析，导致目前无法对竞走者同时进行姿态分析与犯规检测的问题。</t>
  </si>
  <si>
    <t>基于多方感知的竞走运动姿态分析方法</t>
  </si>
  <si>
    <t>CN108363959B</t>
  </si>
  <si>
    <t>本发明公开了一种针对乒乓球或羽毛球运动动作识别方法，该方法通过加速度计和陀螺仪采集运动员的动作原始数据，利用动作的周期性实现动作分割，并对分割后的单个动作分别提取特征值生成动作的特征数据，这样提取到的若干种特征数据易于扩展且具有良好的泛化能力。选择三层BP神经网络作为识别器模型，其识别能力满足乒乓球和羽毛球动作识别的要求且结构简单易于实现。以提取到的特征数据作为神经网络的输入神经元，选择RELU函数和softmax函数分别作为输入层到隐含层，隐含层到输出层的激活函数，实现对动作特征等输入信息的非线性映射。训练1000次后得到识别器模型，将实施特征数据输入训练好的识别器模型中，实现动作识别。</t>
  </si>
  <si>
    <t>一种针对乒乓球或羽毛球运动动作识别方法</t>
  </si>
  <si>
    <t>CN108171333B</t>
  </si>
  <si>
    <t>本发明公开了低通信环境下的仿真智能体救援通信决策优化方法，在城市救援仿真比赛中针对通信不畅的环境下，智能体的通信与决策优化方法由两部分组成，模糊‑遗传算法与动态模糊决策树，模糊—遗传算法通过对智能体感知到信息进行分析与处理，调整不同信息占总信息的比例，从而将相对重要的信息传递出去，对上述重要信息数据进行离散化处理；根据实际情况对缺失数据进行补齐；动态模糊决策树分类属性选择；对决策树进行剪枝，从而获得最终决策树，提高了比赛成绩。</t>
  </si>
  <si>
    <t>低通信环境下的仿真智能体救援通信决策优化方法</t>
  </si>
  <si>
    <t>US62619894P0</t>
  </si>
  <si>
    <t>使用深度神经网络架构的基于阵容的嵌入的团队运动中交互式、可解释和改进的比赛和球员表现预测方法</t>
  </si>
  <si>
    <t>CN207913150U</t>
  </si>
  <si>
    <t>本实用新型公开了一种物联网应用的游泳帽，包括游泳帽本体，游泳帽本体上设置有物联网标签，游泳帽本体侧面设置有收纳袋，收纳袋左右两端和下端通过密封条与游泳帽本体连接，收纳袋上端呈开口结构，收纳袋上端设置有相互配合的盖垫，盖垫左右两端和上端也通过密封条与游泳帽本体连接，盖垫下端和收纳袋上端形成联通结构。本实用新型通过设置防水的收纳袋和盖垫将物联网标签设置在收纳袋里面，能有限防止物联网标签直接和水接触，防止物联网发出的信息不准确，提高信息采集准确度，从而保证信息的参考价值。</t>
  </si>
  <si>
    <t>一种物联网应用的游泳帽</t>
  </si>
  <si>
    <t>CN207745503U</t>
  </si>
  <si>
    <t>本实用新型涉及智能机器人技术领域，具体涉及一种机器人比赛场地，其包括：比赛平台，所述比赛平台上设有供比赛机器人通过比赛路径，所述比赛路径上设有用于引导比赛机器人进行动作的引导标识。本实用新型的机器人比赛场地在其比赛平台上设有比赛路径，并且在比赛路径上设有引导标识，使得比赛机器人能根据引导标识在比赛路径上移动并完成相应的动作；其将极大地降低了场地的生产费用，且比赛场内的比赛机器人的控制将不受信息传输状态的影响，有效地保证了比赛机器人进行动作的流畅度与精准度，极大地提高了比赛的观赏性。</t>
  </si>
  <si>
    <t>一种机器人比赛场地</t>
  </si>
  <si>
    <t>CN107958616A</t>
  </si>
  <si>
    <t>本发明公开了基于对抗神经网络的驾驶员训练测试系统，涉及计算机应用技术领域，采用机器学习中的神经网络系统代替了传统单一的训练系统和测试系统，目的是使用之前测试系统中测试合格人员的数据经过神经网络的训练转换成语音、提示音、文本信息等驾驶员有用信息，来代替教练员的部分教学任务。降低了人力成本、减少时间的浪费、从而提高了学员的学习效率。</t>
  </si>
  <si>
    <t>基于对抗神经网络的驾驶员训练测试系统</t>
  </si>
  <si>
    <t>CN207769117U</t>
  </si>
  <si>
    <t>一种智能机器人抓手，包括收集箱，收集箱两侧均设开口，收集箱一侧固定安装收集袋，收集袋与收集箱内部相通，收集箱另一侧下端固定安装铲口，收集箱另一侧上端铰接盖子，盖子与收集箱其中一侧开口相配合，盖子顶面固定连接第一竖杆，盖子与收集箱铰接处固定安装第一扭簧，收集箱顶面固定安装第二竖杆，第二竖杆上端固定安装把手，把手的下方设有闸柄。本实用新型结构简单，设计合理，操作方便，能够智能的去抓取收集羽毛球，并且能够避免拾球者大幅度弯腰去拾球，明显减轻拾球的劳动强度，减少拾球者体力消耗，节约时间，并且能够连贯性的对羽毛球进行收集。</t>
  </si>
  <si>
    <t>一种智能机器人抓手</t>
  </si>
  <si>
    <t>CN107980660A</t>
  </si>
  <si>
    <t>本申请公开了一种物联网智能鸡舍，其特征在于该智能鸡舍能够实现鸡舍管理系统全自动化运作，管理人员远程操作、监控，该智能鸡舍包括基于物联网下的控制模块和监控模块。鸡舍本体包括底座、鸡舍架、鸡舍壁、运动传输带、盛有发酵床的抽屉。每个鸡舍顶层设有注水软管和注食软管，靠近鸡舍壁的一侧设有饮水管和喂食槽，通过控制开关实现自动送水和自动喂食。兼具“跑步”功能和清粪功能的运动传输带，可以快速收集或清扫鸡粪，降低了鸡的生病率，也给了鸡适当的锻炼，从而养出健康、紧致肉质的鸡。该发明成本低，解放了劳动力并且效益高，具有非常好的前景和经济效益，同时该结构若小型化生产，也适用于饲养家庭宠物鸡。</t>
  </si>
  <si>
    <t>一种物联网智能鸡舍</t>
  </si>
  <si>
    <t>CN108718290A</t>
  </si>
  <si>
    <t>本发明涉及一种生成网络攻击数据的方法，属于信息安全技术领域。具体操作步骤为：步骤一、数据预处理，得到预处理后的训练数据。步骤二、构建生成对抗网络。步骤三、做对抗训练，得到训练好的生成神经网络G。步骤四、生成人工构造的网络攻击数据。本发明提出的一种生成网络攻击数据的方法与已有技术相比较，具有如下优点：①使用者不需要具备专业的网络安全知识，只要有足够多的基础数据就可以构造出网络攻击数据。②简化生成复杂型网络攻击数据的难度。</t>
  </si>
  <si>
    <t>一种生成网络攻击数据的方法</t>
  </si>
  <si>
    <t>CN107958550A</t>
  </si>
  <si>
    <t>本发明公开了一种基于物联网的共享健身房系统，它包括控制端、共享门禁模块、健身器材设备、体测仪、音响功放设备、照明设备、数据采集模块、空调和空气净化加湿器；控制端的输出端与照明设备和所述音响功放设备、空气净化加湿器和空调连接；健身器材设备、共享门禁模块和体测仪通过无线传输方式与控制端进行数据传输；数据采集模块的输出端与控制端的输入端连接。所有健身器材通过物联网连接，可实时传输健身数据；不需要人工值守管理，减少了人力成本，24小时全天皆可以进入健身房健身锻炼；健身房内可实时检测温湿度情况以及空气质量情况并进行调节处理，极大了提高了用户的体验感。</t>
  </si>
  <si>
    <t>一种基于物联网的共享健身房系统</t>
  </si>
  <si>
    <t>CN207764911U</t>
  </si>
  <si>
    <t>本实用新型公开了一种基于物联网的共享健身房系统，它包括控制端、共享门禁模块、健身器材设备、体测仪、音响功放设备、照明设备、数据采集模块、空调和空气净化加湿器；控制端的输出端与照明设备和所述音响功放设备、空气净化加湿器和空调连接；健身器材设备、共享门禁模块和体测仪通过无线传输方式与控制端进行数据传输；数据采集模块的输出端与控制端的输入端连接。所有健身器材通过物联网连接，可实时传输健身数据；不需要人工值守管理，减少了人力成本，24小时全天皆可以进入健身房健身锻炼；健身房内可实时检测温湿度情况以及空气质量情况并进行调节处理，极大了提高了用户的体验感。</t>
  </si>
  <si>
    <t>US10878294B2</t>
  </si>
  <si>
    <t>CN108230207A</t>
  </si>
  <si>
    <t>本发明涉及健康管理技术领域，具体涉及一种基于物联网的健康管理服务系统，包括大数据云端管理系统、健身管理平台、教练终端、用户终端、传输单元、存储单元与监测单元，移动监测装置包括第一传感器组件，第一传感器组件实时监测身体指标信息，室内监测单元均包括第二传感器组件，第二传感器组件实时监测室内环境信息，通过第一传感器组件与第二传感器组件实时监测身体指标信息与室内环境信息，然后存储在大数据云端管理，用户本身与教练均可以通过健身管理平台查询用户的健康信息以及用户所处的环境信息，便于医护人员与用户家属及时地了解用户的身体健康信息，大数据管理系统中的数据还可以用来作为研究数据，具有重要的研究价值。</t>
  </si>
  <si>
    <t>一种基于物联网的健康管理服务系统</t>
  </si>
  <si>
    <t>CN107930089A</t>
  </si>
  <si>
    <t>本发明涉及人工智能技术领域，公开了一种智能交互式竞技锻炼设备，包括云平台大数据处理中心、电源系统、中央处理系统、存储模块、通信模块、组合式壳体、人机交互系统、声光显示系统、移动接收控制终端。本发明的组装式外壳和声光显示系统根据系统型号配置不同有多个规格，具有多种输入交互形式，设备结构简单、易于实施、自动化程度高、具有智能化的特点，同时其电力来源为光伏发电技术与市电相结合，将光能转化的电能为各模块提供所需电能，缓解了能源压力，达到了节能环保的效果，各模块配合使用能够实现轻松锻炼、科学健身、知识学习、人工智能辅助健康管理的目的。</t>
  </si>
  <si>
    <t>一种智能交互式竞技锻炼设备</t>
  </si>
  <si>
    <t>CN207694221U</t>
  </si>
  <si>
    <t>本实用新型涉及人工智能技术领域，公开了一种智能交互式竞技锻炼设备，包括云平台大数据处理中心、电源系统、中央处理系统、存储模块、通信模块、组合式壳体、人机交互系统、声光显示系统、移动接收控制终端。本实用新型的组装式外壳和声光显示系统根据系统型号配置不同有多个规格，具有多种输入交互形式，设备结构简单、易于实施、自动化程度高、具有智能化的特点，同时其电力来源为光伏发电技术与市电相结合，将光能转化的电能为各模块提供所需电能，缓解了能源压力，达到了节能环保的效果，各模块配合使用能够实现轻松锻炼、科学健身、知识学习、人工智能辅助健康管理的目的。</t>
  </si>
  <si>
    <t>KR102068019B1</t>
  </si>
  <si>
    <t>已购买入场门票的观众所持有的物联网设备; 以及集成管理设备,用于映射和存储物联网设备的票信息和标识信息,但是集成管理设备,当从物联网设备接收到寻找座位的请求时,参考映射到标识信息的票信息公开了根据本发明实施例的一种体育场馆观众服务系统,其特征在于,确认号码并将IoT设备的位置与确认的座位位置之间的路线信息发送给物联网设备。</t>
  </si>
  <si>
    <t>使用物联网设备的体育场观众服务系统</t>
  </si>
  <si>
    <t>CN304908854S</t>
  </si>
  <si>
    <t>1．本外观设计产品的名称：物联网球型摄像机。
 2．本外观设计产品的用途：本外观设计产品用于物联网球型摄像机。
 3．本外观设计产品的设计要点：产品的整体形状。
 4．最能表明本外观设计设计要点的图片或照片：主视图。</t>
  </si>
  <si>
    <t>物联网球型摄像机</t>
  </si>
  <si>
    <t>US20190206048A1</t>
  </si>
  <si>
    <t>公开了一种用于分析住宅池条件以评估游泳设施的所有权质量的方法和/或系统。 在一个实施例中,一种方法通过图像识别算法自动评估住宅水池的设计。 该设计包括与当时可用的一组已定义的最先进技术相关的饰面、管道、安全标准、维护参数和/或机械特征。 该方法根据定义的一组当时可用的最新技术生成一个数字分数,以告知您所有权的相对质量。</t>
  </si>
  <si>
    <t>用于分析住宅游泳池条件以评估游泳设施所有权质量的方法和系统</t>
  </si>
  <si>
    <t>CN107960996A</t>
  </si>
  <si>
    <t>本发明提出一种体适能健身测评及健身系统。包括用户检测端、数据处理和控制端以及人机交互端；用户检测端用于获取人体数据；数据处理和控制端根据所述人体数据形成数据报告；人机交互端用于系统管理；所述人体数据包括人体体征数据，以及心肺功能数据和/或肌肉力量数据；用户通过人机交互端查看数据报告；数据报告包括人体成分数据、心肺功能数据、肌肉力量数据、膳食建议报告以及运动防护报告中的一种或几种。本发明通过不同的检测设备测量用户的不同的身体状况信息，然后对用户的数据进行整合分析形成一套全面而科学的用户指导报告，且能根据运动方案控制健身设备的工作模式，实现共享智能的健身。</t>
  </si>
  <si>
    <t>一种体适能健身测评及健身系统</t>
  </si>
  <si>
    <t>CN107998585A</t>
  </si>
  <si>
    <t>本发明涉及一种体育锻炼器材，具体的说涉及一种带有测量装置和电子控制器，使用电磁阻力，且具备等动训练功能的装置，其结构包括电子控制器模组（1）、阻力实施模组（2）、电源管理模组（3）、移动端应用程序（4）等。用户可通过移动端应用程序（4）或控制按钮（12）设置训练模式，包括等张、等长和等动三种主要模式，根据训练模式的不同，电子控制器模组（1）采取不同的实施方案。本发明在电子控制器模组（1）的控制下，使用励磁电机发电时的阻力作为阻力源，将其所发电量再利用，并使其物联网和智能化，用较低的成本实现了等动运动，提供了一种安全、高效、环保、智能且低成本的设备。</t>
  </si>
  <si>
    <t>一种应用于锻炼器材的多功能智能阻力装置</t>
  </si>
  <si>
    <t>CN108053353A</t>
  </si>
  <si>
    <t>本发明公开了基于游戏的机器人养老服务管理平台，属于人机交互领域，包括服务器以及分别与服务器信号连接的老人信息采集终端和交互终端；所述老人信息采集终端和交互终端彼此信号连接；老人信息采集终端，用来采集老人在玩游戏时针对游戏内容进行具体操作的游戏操作信息以及用来采集老人在玩游戏时表征其生理状态的状态信号；所述老人信息采集终端将游戏操作信息发送给交互终端；所述老人信息采集终端将状态信号发送给服务器。通过本发明能够弥补当前养老服务的不足，使养老服务管理平台除了能够提供日常生活服务，还能提供精神娱乐服务，使老人的精神需求得到满足。</t>
  </si>
  <si>
    <t>基于游戏的机器人养老服务管理平台</t>
  </si>
  <si>
    <t>CN108090917A</t>
  </si>
  <si>
    <t>本发明公开了一种面向智能机器人的目标物体追踪系统，包括：视频采集模块、目标人物获取模块、目标人物初始化模块和目标人物追踪模块，本发明能够准确对待跟踪的目标人物进行识别并持续进行跟踪拍摄，节省了人力物力，在影视作品拍摄中或者比赛直播过程中都具有应用价值。</t>
  </si>
  <si>
    <t>一种面向智能机器人的目标物体追踪系统</t>
  </si>
  <si>
    <t>WO2018122857A1</t>
  </si>
  <si>
    <t>本发明提供了一种用于全面监测、分析和维护游泳池中的水和设备的方法,所述方法由一个或多个处理器实现,该处理器可操作地耦合到非暂时性计算机可读存储设备,其上存储有指令代码模块, 当被执行时,使一个或多个处理器执行: - 累积和监控来自包括以下至少之一的元件的数据:游泳池附近和周围的传感器、致动器和断路器; - 在本地处理单元处从多个来源累积非感官数据; - 将所述数据传播到在线远程服务器, - 在在线远程服务器上应用机器学习或基于规则的算法,配置为合并所有获取的数据并通过提供建议、控制参数来获得池维护的最佳策略,以及 - 提供在线 访问至少以下之一的所述推荐/控制参数的界面:泳池所有者、泳池服务人员、泳池维护公司、泳池供应商和泳池零售经销商。</t>
  </si>
  <si>
    <t>WO2018122858A9</t>
  </si>
  <si>
    <t>本发明提供了一种用于全面监测、分析和维护游泳池中的水和设备的方法,所述方法由一个或多个可操作地耦合到非临时性存储设备的处理设备实施,在该非临时性存储设备上存储有指令代码模块,当执行时该指令代码模块 使一个或多个处理设备执行: - 从声学传感器获取连续数据; - 将所述数据传播到在线远程服务器, - 在配置为合并获取的数据并提供推荐和控制参数的在线远程服务器上应用机器学习算法,以及 - 提供在线界面以访问针对以下至少一项的所述推荐: 所有者、泳池服务人员、泳池维护公司、泳池供应商和泳池零售经销商,其中应用所述机器学习算法包括应用经过训练的声学模型来学习从所述声学传感器获取的所述数据的行为并识别设备故障中的至少一个 、故障的位置、故障的类型以及发生故障的设备/仪器与所述池系统中的其他设备/仪器之间的相互影响。</t>
  </si>
  <si>
    <t>一种用于游泳池设备声学监测、分析和维护的系统和方法</t>
  </si>
  <si>
    <t>CN108010273B</t>
  </si>
  <si>
    <t>本发明公开了一种基于云服务器和机器学习算法的溺水检测报警仪，涉及计算机应用技术领域，包括穿戴在使用者手部或脚部的可穿戴设备、服务器和监护人持有的客户端，可穿戴设备采集使用者的动作姿态数据和心率数据，服务器通过多方面因素综合分析这些数据，确定游泳者是否发生了溺水，真正的实现了溺水事件监测的功能，通过服务器端与客户端的数据相连，可以实时将报警信息准确发送至监护人或者游泳教练，具有准确、高效、实时、监测范围大的优点。</t>
  </si>
  <si>
    <t>一种基于云服务器和机器学习算法的溺水检测报警仪</t>
  </si>
  <si>
    <t>AU2017388639A1</t>
  </si>
  <si>
    <t>本发明提供了一种用于对游泳池中的水和设备进行综合监控、分析和维护的方法,所述方法由一个或多个处理设备实现,该处理设备可操作地耦合到非暂时性存储设备,在非暂时性存储设备上存储指令代码模块,当执行时 使一个或多个处理设备执行: - 从声学传感器获取连续数据; - 将所述数据传播到在线远程服务器, - 在在线远程服务器上应用机器学习算法,配置为合并获取的数据并提供建议和控制参数,以及 - 提供在线界面以访问以下至少一项的所述建议: 业主、泳池服务人员、泳池维护公司、泳池供应商和泳池零售商,其中应用所述机器学习算法包括应用经过训练的声学模型以学习从所述声学传感器获取的所述数据的行为并识别设备故障中的至少一个 ,故障位置,故障类型,以及发生故障的设备/仪器与所述池系统中的其他设备/仪器之间/之间的相互影响。</t>
  </si>
  <si>
    <t>一种游泳池设备声学监测、分析和维护的系统和方法</t>
  </si>
  <si>
    <t>IL267702A</t>
  </si>
  <si>
    <t>一种对游泳池水和设备进行综合监测、分析和维护的系统和方法</t>
  </si>
  <si>
    <t>IL267704A</t>
  </si>
  <si>
    <t>EP3562785A4</t>
  </si>
  <si>
    <t>EP3563018A4</t>
  </si>
  <si>
    <t>CN108066984B</t>
  </si>
  <si>
    <t>本发明公开了基于游戏机器人的引导式养老服务平台，属于人机交互领域，包括服务器以及分别与服务器信号连接的老人信息采集终端和交互终端；所述老人信息采集终端和交互终端彼此信号连接；老人信息采集终端，用来采集老人在玩游戏时针对游戏内容进行具体操作的输入操作信息以及用来采集老人在玩游戏时表征其生理状态的状态信号；所述老人信息采集终端将输入操作信息发送给交互终端；所述老人信息采集终端将状态信号发送给服务器。通过本发明能够弥补当前养老服务的不足，使养老服务管理平台除了能够提供日常生活服务，还能提供精神娱乐服务，使老人的精神需求得到满足。</t>
  </si>
  <si>
    <t>基于游戏机器人的引导式养老服务平台</t>
  </si>
  <si>
    <t>US20210130200A1</t>
  </si>
  <si>
    <t>本发明提供了一种用于全面监测、分析和维护游泳池中的水和设备的方法,所述方法由一个或多个可操作地耦合到非临时性存储设备的处理设备实现,在该非临时性存储设备上存储有指令代码模块,当执行时该指令代码模块 使一个或多个处理设备执行: — 从声学传感器获取连续数据; - 将所述数据传播到在线远程服务器, - 在配置为合并获取的数据并提供建议和控制参数的在线远程服务器上应用机器学习算法,以及 - 提供在线界面以访问以下至少一项的所述建议:池 所有者、泳池服务人员、泳池维护公司、泳池供应商和泳池零售经销商,其中应用所述机器学习算法包括应用经过训练以学习从所述声传感器获取的所述数据的行为并识别设备故障中的至少一个的声学模型 、故障位置、故障类型以及发生故障的设备/仪器与所述池系统中的其他设备/仪器之间的相互影响。</t>
  </si>
  <si>
    <t>US11286177B2</t>
  </si>
  <si>
    <t>本发明提供了一种用于对游泳池中的水和设备进行综合监测、分析和维护的方法,所述方法由一个或多个处理器实现,该处理器可操作地耦合到非暂时性计算机可读存储设备,在该非瞬态计算机可读存储设备上存储指令代码模块, 当执行时,使一个或多个处理器执行: - 收集和监控来自元素的数据,这些元素至少包括以下之一:游泳池附近和周围的传感器、执行器和断路器; ——在本地处理单元从多个来源积累非感官数据; — 将所述数据传播到在线远程服务器, — 在在线远程服务器上应用机器学习或基于规则的算法,配置为合并所有获取的数据并通过提供建议、控制参数和 — 提供在线服务来获得池维护的最佳策略 访问以下至少之一的所述推荐/控制参数的接口:泳池所有者、泳池服务人员、泳池维护公司、泳池供应商和泳池零售商。</t>
  </si>
  <si>
    <t>一种游泳池水和设备综合监测、分析和维护的系统及方法</t>
  </si>
  <si>
    <t>BR112019013504B1</t>
  </si>
  <si>
    <t>本发明提供一种用于全面监测、分析和维护游泳池中的水和设备的方法,其中所述方法由一个或多个处理器实现,该处理器可操作地耦合到其中存储指令代码的非瞬态计算机可读存储设备模块在执行时使一个或多个处理器: - 积累和监控来自元件的数据,包括以下至少之一: 池附近和周围的传感器、致动器和断路器; - 在本地处理单元中累积来自多个来源的非感官数据; - 将所述数据传播到远程在线服务器, - 在远程在线服务器上应用基于规则的或机器学习算法,配置为合并所有获取的数据,并通过提供建议、控制参数获得池维护的最佳策略,以及 - 提供访问至少以下之一的所述推荐/控制参数的在线界面:泳池所有者、泳池清洁工、泳池维护公司、泳池供应商和泳池零售经销商。</t>
  </si>
  <si>
    <t>AU2017388638B2</t>
  </si>
  <si>
    <t>本发明提供了一种用于对游泳池中的水和设备进行综合监测、分析和维护的方法,所述方法由可操作地耦合到非暂时性计算机可读存储设备的一个或多个处理器来实现,在非暂时性计算机可读存储设备上存储有指令代码模块, 当被执行时,导致一个或多个处理器执行: -累积和监视来自至少包括以下之一的元件的数据:游泳池附近及其周围的传感器、致动器和断路器; -在本地处理单元处积累来自多个源的非传感数据; - 将所述数据传播到在线远程服务器, - 在配置为合并所有获取的数据的在线远程服务器上应用机器学习或基于规则的算法,并通过提供建议、控制参数来获得池维护的最佳策略,以及 - 提供在线远程服务器 用于访问至少以下之一的所述推荐/控制参数的接口:泳池所有者、泳池维修人员、泳池维护公司、泳池供应商和泳池零售经销商。</t>
  </si>
  <si>
    <t>CN107930038A</t>
  </si>
  <si>
    <t>本发明公开了一种基于人工智能的乒乓球捡球机，本发明包括壳体、检测装置和控制系统，所述的检测装置包括红外检测传感器和超声波传感器，所述的红外检测传感器设置在壳体的顶部，超声波传感器设置在壳体的外侧面上，壳体的底部设置有滚轮，还包括捡球装置，所述的捡球装置包括设置在壳体下端的集球装置、设置在壳体上部内的集球仓和连接集球装置与集球仓的输送装置。本发明的捡球机能够自动实现捡球和将球转移到发球机的储球桶内，大大节省了人力，同时也节省了人工捡球耗费的大量时间。</t>
  </si>
  <si>
    <t>一种基于人工智能的乒乓球捡球机</t>
  </si>
  <si>
    <t>CN108043006A</t>
  </si>
  <si>
    <t>本发明公开了一种基于人工智能的乒乓球发球机，本发明包括若干压力传感器、成像装置、控制系统和发球装置，所述的压力传感器均布置在乒乓球台的台面上，所述的成像装置设置在乒乓球两侧，所述的所有压力传感器、成像装置和发球装置均与控制系统连接，还包括自动捡球机。本发明乒乓球台的台面上的压力传感器可以检测乒乓球的打击球面的力度，乒乓球台两侧的成像装置能够追踪乒乓球的运动轨迹，根据这些参数来对运动员进行综合的评价和指导训练，所述的自动捡球机能够在捡球区域内自动进行捡球，在发球装置的储球筒内的乒乓球剩余量不足时或者自动捡球机内的储球仓内的数量达到设定值时，自动捡球机就会将储球仓内的乒乓球转移到储球筒中。</t>
  </si>
  <si>
    <t>一种基于人工智能的乒乓球发球机</t>
  </si>
  <si>
    <t>CN108090742A</t>
  </si>
  <si>
    <t>本发明涉及健身管理技术领域，具体为一种运动健身计划管理系统。包括用户健康数据采集系统、用户运动数据采集系统、用户生活数据采集系统、通信模块和后台系统；用户健康数据采集系统用来获取用户健康数据，用户运动数据采集系统用来采集用户运动数据；用户生活数据采集系统用来采集用户饮食数据和用户作息数据；后台系统包括计划生成模块、神经网络模块和计划修正模块，计划生成模块通过人工智能算法根据用户的健康数据生成健身计划，神经网络模块根据用户健身效果对算法参数进行调整，计划修正模块根据用户计划执行情况实时调整计划方案，本发明能够解决由于体测数据不全面和教练专业度问题而无法建立合适科学的健身计划的问题。</t>
  </si>
  <si>
    <t>运动健身计划管理系统</t>
  </si>
  <si>
    <t>CN108187301A</t>
  </si>
  <si>
    <t>本发明提供了一种跑步机人机交互方法、装置及跑步机，涉及跑步机技术领域，该方法包括：获取目标场景的场景信息，其中，目标场景为目标用户在待模拟环境中以目标方式进行跑步时的场景，目标方式为目标用户当前在跑步机上跑步的方式；根据场景信息确定跑步机的显示内容，以使显示内容模拟目标场景。本发明使目标跑步者有在待模拟环境中进行跑步的较真实体验，缓解了传统跑步机使用户跑步体验性能较差的技术问题。</t>
  </si>
  <si>
    <t>跑步机人机交互方法、装置及跑步机</t>
  </si>
  <si>
    <t>CN107875598B</t>
  </si>
  <si>
    <t>本发明公开了一种基于人工智能的自动乒乓球捡球机，本发明包括壳体、控制系统、智能检测装置和行走系统，所述的智能检测装置包括设置在壳体顶端的红外扫描传感器和设置在壳体侧面上的超声波传感器，还包括捡球装置，所述的捡球装置包括集球装置、储球仓、输送装置和转出装置，所述的集球装置与储球仓通过输送装置连通，所述的壳体包括上半壳体和下半壳体，所述的储球仓设置在上半壳体内，所述的上半壳体上下滑动的设置在下半壳体内。本发明的捡球机能够自动实现捡球和将球转移到发球机的储球桶内，大大节省了人力，同时也节省了人工捡球耗费的大量时间。</t>
  </si>
  <si>
    <t>KR1020190078924A</t>
  </si>
  <si>
    <t>本发明涉及一种使用预测性维护指标的叉车维护时间预测系统和方法,以不仅提供叉车的整体操作信息,而且还提供能够预测根据叉车的主要易损件的预测性维护时间的预测性维护指标信息负载重量。它涉及一种用于提供驱动电源的电源装置; 输入单元,用于收集用于预测性维护检查的每个主要易损件的叉车预测性维护信息; 控制单元,用于接收输入单元收集的叉车预测性维护信息,生成并提供叉车更换时间信息; 包括用于响应于控制器的控制在屏幕上显示关于预知更换时间的信息的触摸屏的物联网设备可以安装在叉车上。 相应地,由于具有关于叉车主要部件的实际使用和压力的信息的预测维护指示器,以及基于单位提前预测预测维护点,可以更准确地预测预测维护点。 - 预测性维护指标的单位平均值。通过使预测成为可能,它具有提供更准确的预测性维护点信息的效果。</t>
  </si>
  <si>
    <t>使用预测性维修指标的叉车维修点预测系统和方法</t>
  </si>
  <si>
    <t>IN201711046797A</t>
  </si>
  <si>
    <t>一种人身安全设备,可以利用人工智能(AJ)对紧急情况进行实时推断和分析,也可以鸟瞰捕捉,并定量报告到最近的基地。 所提出的设备是一种先进的设置,它有一个移动摄像头,可以从更好的角度捕捉信息,还具有一个实时人工智能推理引擎。 本发明涉及一种安全手环,它可以将相机发射到3D空间并以鸟瞰视角捕捉情况。 安全手环是可穿戴设备,可以像手表或健身带一样绑在手上。 手镯是根据传感器激活的,传感器可以识别事故、抢劫、袭击、炸弹爆炸、谋杀、性侵犯和其他类型的痛苦等紧急情况。 该设备不仅可以传输图像和紧急警报,还可以告知紧急响应者用户所处的危险类型。这是由人工智能推理引擎完成的,该引擎实时处理视频以识别紧急情况并适当地标记它们并识别 周围的人和物体的数量。 这将有助于应急响应人员做好应对情况的准备。 图为代表图。</t>
  </si>
  <si>
    <t>宠物机器人/无人机:用于安全应用的可穿戴飞行设备</t>
  </si>
  <si>
    <t>CN108053133A</t>
  </si>
  <si>
    <t>本发明公开了一种家政管理软件营销用系统及方法，具体操作步骤如下：步骤一：家政人员数据采集、分析、整合、丰富，保证家政人员的整体素质；步骤二：完善丰富服务内容，提高内容阅读体验；步骤三：家政人员与客户的直接沟通成交。该一种家政管理软件营销用系统及方法，以大数据为基础，数据全面、透明、公开，运用人工智能分析，同时结合o2o模式。丰富服务内容，增加用户粘性，提高用户体验，显著提高了订单成交率。另外，大数据的运用能够确保家政人员信息的全面有效，提供一个非常有力的依据和监督的作用；同时还能非常有效的保证服务质量。</t>
  </si>
  <si>
    <t>一种家政管理软件营销用系统及方法</t>
  </si>
  <si>
    <t>CN207999401U</t>
  </si>
  <si>
    <t>本实用新型公开一种用于立体车库的升降油缸，包括多级油缸主体、底座、底板、油泵和控制盒，所述多级油缸主体和所述油泵分别设置在所述底座的上板面上，所述底座设置在所述底板上且与所述底板球铰连接，所述油泵的出油端与所述多级油缸主体的进油端流体导通连接；所述控制盒设置所述油泵壳体的外壁上且与所述油泵电连接，所述控制盒与总控箱无线通信连接。本实用新型即可减少大型里车库线缆铺设量又可以实现多个油缸同步升降操作，利用单个油泵对单个油缸供油并利用物联网对油缸进行控制，可以有效减少车库内的线缆铺设。</t>
  </si>
  <si>
    <t>用于立体车库的升降油缸</t>
  </si>
  <si>
    <t>CN107998661B</t>
  </si>
  <si>
    <t>本发明公开了一种在线对战游戏的辅助决策方法、装置及存储介质，该方法包括：将玩家的历史比赛数据作为训练样本输入至预先建立的机器学习模型中进行样本的训练；其中，历史比赛数据包括历史玩家比赛数据和历史比赛结果；当达到所需的精度要求时，停止样本的训练以得到最终的目标模型；获取玩家的当前比赛数据，并输入至目标模型以得到当前比赛的第一预测结果；在游戏开始之前将第一预测结果展示给当前比赛对应的玩家。本方法可以依据玩家的历史比赛数据对当前玩家的比赛结果进行预测，使得玩家在游戏开始之前能够预知本局游戏的结果，从而确定是否要加入游戏，提高了玩家的游戏体验感。</t>
  </si>
  <si>
    <t>一种在线对战游戏的辅助决策方法、装置及存储介质</t>
  </si>
  <si>
    <t>CN110214445A</t>
  </si>
  <si>
    <t>本发明的目的是使用户能够比过去具有更多乐趣。信息处理装置(10)对使用显示装置(20)摄像的图像执行图像识别。信息处理装置(10)指示显示装置(20)将根据图像识别结果变化的第一合成图像与拍摄图像合成，并且还在第一合成图像中的预定位置合成第二合成图像。例如，如果显示装置(20))拍摄了风景(图7中的(A))时，则根据风景显示表示跑步者的角色图像作为第一合成图像(G1)(图7中的(B))。在第一合成图像(G1)中，对应于人的头部的区域(G2)是空白的。当用户使用显示装置(20)拍摄其面部时(图7中的(C))，在第一合成图像的对应于头部的区域(G2)中将用户面部图像作为第二合成图像(G3)合成(图7中的(D))。</t>
  </si>
  <si>
    <t>信息处理系统及信息处理装置</t>
  </si>
  <si>
    <t>EP3557865A4</t>
  </si>
  <si>
    <t>所提供的技术使用户能够感受到比以往更多的乐趣。 信息处理装置(10)识别由显示装置(20)拍摄的图像。 信息处理装置(10)指示显示装置(20)将根据图像识别结果而变化的第一合成图像与拍摄图像合成,并在第一合成图像中的预定位置进一步合成第二合成图像。 例如,如果显示装置(20)捕捉到风景(图7(A)),则代表跑步者的人物图像被显示为根据风景的第一合成图像(G1)(图7(B))。 在第一合成图像(G1)中,与人的头部对应的区域(G2)是空白的,当用户使用显示装置(20)捕获他们的面部时(图7(C)),用户面部的图像是 在对应于第一合成图像中的头部的区域(G2)中合成为第二合成图像(G3)(图7(D))。</t>
  </si>
  <si>
    <t>信息处理系统和信息处理装置</t>
  </si>
  <si>
    <t>TR201721588U</t>
  </si>
  <si>
    <t>互动落地装置; 通过投影设备在地板或墙壁上投影的图像区域中的传感器通过3D感知人体运动来确保人机交互,并产生在各种场景(教育、健康、体育、广告)中准备的视觉效果、娱乐等)这是一项旨在展示的发明。</t>
  </si>
  <si>
    <t>互动地板装置</t>
  </si>
  <si>
    <t>US11010947B2</t>
  </si>
  <si>
    <t>所提供的技术使用户能够感受到比以往更多的乐趣。 信息处理装置识别由显示装置捕获的图像。 信息处理装置指示显示装置将根据图像识别结果而变化的第一合成图像与捕获的图像合成,并在第一合成图像中的预定位置进一步合成第二合成图像。 例如,如果显示装置捕捉到风景,则代表跑步者的人物图像根据风景显示为第一合成图像。 在第一合成图像中,人的头部对应的区域是空白的,当用户使用显示装置拍摄人脸时,在第一合成图像中与头部对应的区域中,将用户面部的图像合成为第二合成图像 .</t>
  </si>
  <si>
    <t>CN107866062A</t>
  </si>
  <si>
    <t>本发明公开了基于人工智能的机器人竞赛场地，包括平行设置的内围板与外围板，内围板与外围板之间形成比赛环道，外围板上开设有入口，入口处设有闭合板；比赛环道的底部铺设有橡胶底板；外围板的内侧壁上均匀设有缓冲块，缓冲块采用橡胶材料制得；内围板的内部设有固定柱，固定柱的侧壁上垂直连有多个固定杆，固定杆与内围板的内侧壁相连，固定柱的下方设有插入杆；外围板的外侧壁上均匀连有加强肋板。本发明的机器人对战场地，能够避免在场地中进行项目的机器人在受到撞击时损坏，提高机器人的安全性能，同时通过固定柱提高整个场地的稳定性，避免在机器人进行项目时围板受到撞击或者外力发生位移，提高场地使用的安全性。</t>
  </si>
  <si>
    <t>基于人工智能的机器人竞赛场地</t>
  </si>
  <si>
    <t>CN107930085A</t>
  </si>
  <si>
    <t>本发明公开了一种带有娱乐交互系统的多功能健身设备，包括健身设备、后台服务器和客户端，所述健身设备上设有通讯模块、语音模块、信息采集模块和操作显示模块；所述后台服务器用于提供人机交互和多台健身设备之间的在线交互；本发明通过所述信息采集模块对使用者的面部特征参数和运动参数进行采集，并在所述操作显示模块上建立对应的虚拟角色以增强代入感；对于同时在线并在同一虚拟场景内的平台使用者，可以利用人机交互系统，进行虚拟角色之间的互动，使得健身更加的有趣。</t>
  </si>
  <si>
    <t>一种带有娱乐交互系统的多功能健身设备</t>
  </si>
  <si>
    <t>CN107930087A</t>
  </si>
  <si>
    <t>本发明公开了一种基于物联网的健身仪共享辅助设备，包括主设备和多个从设备，所述辅助设备利用多个传感器来监控速度、相对位移、肢体动作、心率及血压等，通过用户的心率和血压来调整运动强度，从而使得本发明能适用于不同身体素质的用户；所述主设备通过远程通讯方式与后台服务器连接，所述后台服务器可以构造一个物联网共享平台，用户可以将自己的辅助设备与平台账号绑定，绑定后，用户可以选择是否在平台上共享/出租自己的设备；所述辅助设备采用分体式设计，可直接安装于传统健身设备上，具有显著的便携性和移动性优势。</t>
  </si>
  <si>
    <t>一种基于物联网的健身仪共享辅助设备</t>
  </si>
  <si>
    <t>CN207785860U</t>
  </si>
  <si>
    <t>本实用新型公开了一种带有娱乐交互系统的多功能健身设备，包括健身设备、后台服务器和客户端，所述健身设备上设有通讯模块、语音模块、信息采集模块和操作显示模块；所述后台服务器用于提供人机交互和多台健身设备之间的在线交互；本实用新型通过所述信息采集模块对使用者的面部特征参数和运动参数进行采集，并在所述操作显示模块上建立对应的虚拟角色以增强代入感；对于同时在线并在同一虚拟场景内的平台使用者，可以利用人机交互系统，进行虚拟角色之间的互动，使得健身更加的有趣。</t>
  </si>
  <si>
    <t>CN207856256U</t>
  </si>
  <si>
    <t>本实用新型公开了一种基于物联网的健身仪共享辅助设备，包括主设备和多个从设备，所述辅助设备利用多个传感器来监控速度、相对位移、肢体动作、心率及血压等，通过用户的心率和血压来调整运动强度，从而使得本实用新型能适用于不同身体素质的用户；所述主设备通过远程通讯方式与后台服务器连接，所述后台服务器可以构造一个物联网共享平台，用户可以将自己的辅助设备与平台账号绑定，绑定后，用户可以选择是否在平台上共享/出租自己的设备；所述辅助设备采用分体式设计，可直接安装于传统健身设备上，具有显著的便携性和移动性优势。</t>
  </si>
  <si>
    <t>IN201741046324A</t>
  </si>
  <si>
    <t>本发明提供一种基于物联网的健康监测系统和方法,用于实时监测运动员的健康。 该系统包括多个传感器,例如温度传感器、心率传感器、血压传感器和加速度计,这些传感器容纳在运动员佩戴的智能背心中。 运动员在练习期间穿着智能背心,实时监测一项或多项健康参数。 该背心能够感知运动员的体温、心率和血压等生物信号。 测量值被提供给微控制器,该微控制器进一步使用物联网技术无线传输到基于云的服务器。 接收到的值由服务器中的处理器处理。 然后,训练员和生理学家使用移动设备访问这些参数,向运动员提出修正、具体训练和指导建议。 [图。1]</t>
  </si>
  <si>
    <t>一种基于物联网 (IOT) 的健康监测系统和方法</t>
  </si>
  <si>
    <t>CN107991935A</t>
  </si>
  <si>
    <t>本发明公开一种基于物联网的健身设备监控维护系统，对一个或多个地方的一个或多个健身设备进行统一管理、实时监控。所述系统采集设备端的运行数据并上传至所述云服务器，所述云服务器对所述运行数据进行解析、存储和判断，根据相应的判断条件给出设备告警信息和设备维护提醒信息，所述监控端实时监控所有健身设备的工作状态，依据接收的设备告警信息和设备维护提醒信息对异常健身设备及时进行维护和处理，延长健身设备使用寿命，提升用户使用的舒适感。</t>
  </si>
  <si>
    <t>一种基于物联网的健身设备监控维护系统</t>
  </si>
  <si>
    <t>CN108171351A</t>
  </si>
  <si>
    <t>本发明公开一种基于物联网的共享租赁平台及方法。所述基于物联网的共享租赁平台包括云服务器、与所述云服务器通信连接的至少一个设备租赁端和至少一个设备预订端，设备拥有者通过所述设备租赁端发布租赁信息，设备预订者通过所述设备预订端发布预订信息，所述云服务器将所述租赁信息与所述预订信息进行匹配，建立租赁关系，租赁关系解除后，双方进行互评以规范设备租赁秩序。本发明提供的共享租赁平台基于物联网共享健身设备，设备拥有者对健身设备进行分时段、分价格租赁，设备预订者对所述健身设备进行随时随地预订，既提高了设备拥有者的设备使用率，又降低了设备预订者的健身成本。</t>
  </si>
  <si>
    <t>一种基于物联网的共享租赁平台及方法</t>
  </si>
  <si>
    <t>CN108009664B</t>
  </si>
  <si>
    <t>本发明公开一种基于物联网的预约健身系统。所述预约健身系统包括健身设备、服务器和管理界面，用户通过所述管理界面发送预约信息，所述预约信息至少包括预约时段，所述服务器将所述预约信息发送至所述健身设备，所述健身设备开启设备加锁和蓝牙加锁，用户预约成功。本发明提供的所述预约健身系统基于物联网建立大数据分析平台，将所有健身设备信息、预约信息进行实时共享、实时监控，用户可随时预约，按次付费，减少健身成本，健身设备拥有者可统一管理，分时租赁，提高设备使用率。</t>
  </si>
  <si>
    <t>一种基于物联网的预约健身系统</t>
  </si>
  <si>
    <t>CN107993719A</t>
  </si>
  <si>
    <t>本发明公开了一种青少年身心素质评价与锻炼方案推荐系统及方法。其包括学生、教师和家长三个子系统。该学生子系统，用于对学生身材、心理、视力和体育考试进行评价，并为学生推荐合适的锻炼方案，让学生在全面了解自己身心素质的情况下进行有效锻炼；通过设立学生圈，让学生了解圈中好友的身心素质情况及自己在圈中的排名。该教师和家长子系统通过对学生子系统得到的学生数据进行统计分析，让教师和家长了解学生的身心素质情况，并为学生提出锻炼建议。本发明评价推荐方法由于增设基于学生圈的学生身心素质评价和基于学生群体数据分析的锻炼方案推荐，增加了学生群体的互动，并为学生锻炼计划的制定提供更多优质选择，可用于移动终端。</t>
  </si>
  <si>
    <t>青少年身心素质评价与锻炼方案推荐系统及方法</t>
  </si>
  <si>
    <t>CN108079529A</t>
  </si>
  <si>
    <t>本发明公开了一种乒乓球训练系统和装置。其中，该系统包括：监测设备，用于监测预设空间内目标对象打出的一个或多个乒乓球的运动数据；主控系统，与监测设备通信，用于根据每个乒乓球的运动数据，生成用于控制发球装置的第一控制指令和/或用于控制捡球装置的第二控制指令，其中，第一控制指令用于控制发球装置的至少一种发球参数的参数值，第二控制指令用于控制捡球装置将乒乓球送回目标区域；人机交互设备，与监测设备通信，用于根据目标对象打出的一个或多个乒乓球的运动数据确定目标对象的训练数据，并根据训练数据，输出对应的交互内容。本发明解决了现有的乒乓球训练系统无法模拟真实的发球方式以及频繁捡球影响用户体验的技术问题。</t>
  </si>
  <si>
    <t>乒乓球训练系统和装置</t>
  </si>
  <si>
    <t>CN108114457A</t>
  </si>
  <si>
    <t>本发明公开了一种基于物联网架构的智能计圈系统，包括感知层、网络层、应用层，感知层通过语音识别模块采集运动员信息，将采集到的信息传递给主控模块，主控模块通过识别运动员的序号来判断运动员的圈数，并在显示模块上实时显示圈数；内设圈数更正模式，当发现有数据错误时可立即更正；达到设定圈数后主控模块将比赛名次排出来，裁判员在显示模块上确定数据无误后将数据传递给网络层；网络层采用TCP透传的方式把感知层采集的信息传输应用层；应用层借助云平台对下层传来的信息进行处理分析最后经第三方平台公布比赛信息。本发明减少人工计圈可能出现的一些问题，减轻裁判员的工作量，方便了相关人员成绩的查询，提高了成绩公布的速率。</t>
  </si>
  <si>
    <t>基于物联网架构的智能计圈系统</t>
  </si>
  <si>
    <t>WO2018113043A1</t>
  </si>
  <si>
    <t>一种文体活动智能廊产品、方法及系统，包括：廊顶、廊顶支撑、道路、场地、物联网智能柜、廊附件；特别是涉及一种晴天和雨雪天能够用来遮阳防雨雪在进行室外道路、场地上的各类文体活动尤其是健身活动、广场舞活动、交谊舞活动、文艺活动、娱乐活动、展览活动、展销活动、商务活动以及乒乓球、羽毛球、足球、篮球、排球、武术、摔跤、网球、皮球、沙袋、溜冰、跳绳、板球、拳击、体操、举重、藤球、卡巴迪、慢跑、散步、自行车、曲棍球、柔道、棒球、跆拳道、艺术体操、蹦床的体育运动活动的文体活动多功能智能廊产品、方法及其系统。</t>
  </si>
  <si>
    <t>文体活动智能廊产品、方法、系统</t>
  </si>
  <si>
    <t>CN207913143U</t>
  </si>
  <si>
    <t>本实用新型提供了一种运动动作矫正智能家居健身系统，包括视频播放设备，配置为选择和播放教学视频；摄像头，配置为多角度采集现场图像；图像识别模块，配置为识别并提取摄像头采集的现场图像中的人像动作信息；视频数据识别模块，配置为识别并提取视频播放设备播放的教学视频中的教学动作信息；处理器模块，配置为接收并比对人像动作信息和教学动作信息；图像合成模块，配置为将摄像头采集的现场图像中的人像动作图像提取并合成到教学视频中，使教学视频中的教学动作图像与人像动作图像并列显示；头戴视频播放装置，配置为无线通信连接处理器模块，接收并播放合成后的教学视频。该实用新型具有设计科学、实用性强、简单直观、使用方便的优点。</t>
  </si>
  <si>
    <t>一种运动动作矫正智能家居健身系统</t>
  </si>
  <si>
    <t>US10115007B2</t>
  </si>
  <si>
    <t>使用两个或更多摄像机跟踪接近运动员的物体的路径和/或方向。 使用至少两个具有不同位置的不同相机获得对象的至少两组视频图像。 识别视频图像内的运动区域,并在运动区域内识别对象的2D空间中的候选位置。 基于此,可识别部分在3D空间中的可能位置被识别,用于对象接近期间的多个瞬间中的每一个。 对象的至少可识别部分的分段 3D 轨迹是从对象接近运动员的多个瞬间的 3D 空间中的可能位置近似的。 对象的 3D 轨迹的图形表示被结合到视频图像集中的至少一个中。</t>
  </si>
  <si>
    <t>CN108076150A</t>
  </si>
  <si>
    <t>本发明提供一种基于物联网与云计算的健身数据监管系统，它是由健身数据监管中心和多个健身监测器组成，所述的健身数据监管中心包括无线网关、云服务器、健身指导与服务器和健身数据库组成，所述的健身监测器包括无线通信模块、运动状态监测器、能量消耗监测器、健身指导器、读卡器、运动器材调控器和微处理器。本发明具有结构简单、智能化、数字化、人性化、安全可靠等特点，能实时的了解到运动者的运动状况、能量消耗情况；同时，能通过云计算平台，将收集到的海量信息进行计算与处理，从而给每个健身者提出，具有针对性、个性化、科学化的健身指导意见。</t>
  </si>
  <si>
    <t>基于物联网与云计算的健身数据监管系统</t>
  </si>
  <si>
    <t>CN107797592A</t>
  </si>
  <si>
    <t>本发明属于游泳池控制技术领域，具体涉及一种游泳池智能集中控制系统。本发明提供了一种游泳池智能集中控制系统，包括人机交互触摸屏、主控板、子系统和网络服务器；子系统包括电动砂缸子系统、泳池恒温子系统、三集一体除湿热泵子系统；主控板通过通讯或者IO控制方式与各子系统连接；人机交互触摸屏通过RS485与主控板连接，主控板与网络服务器通过有线网络或者无线网络连接。有益效果：智能化：集成检测水质数据，根据算法自动调节水质，无需人为参与，调节过程记录在案，运行过程参数有据可查；集成度高：集余氯、酸碱度、ORP、浑浊度检测及调节于一体，体积小，性价比高。</t>
  </si>
  <si>
    <t>一种游泳池智能集中控制系统</t>
  </si>
  <si>
    <t>CN108022018A</t>
  </si>
  <si>
    <t>本发明公开了一种基于物联网的体育用品销售服务管理系统，包括网络服务器，网络服务器设于销售中心，网络服务器通过网络连接信息采集客户端、监管客户端、销售客户端和物流客户端，信息采集客户端设置于学校、体育馆、健身馆、体育活动中心，销售客户端设置于各销售网点，信息采集客户端、销售客户端和物流客户端采集人群使用体育用品信息并通过网络传送至网络服务器和所述监管客户端，网络服务器对人群使用体育用品信息进行分类处理后将处理结果发送至信息采集客户端、监管客户端、销售客户端和物流客户端。与现有技术相比，本发明能够快速、有效的对销售和仓储物流信息进行采集和处理，帮助生产、销售和决策部门提高工作效率，满足市场需求。</t>
  </si>
  <si>
    <t>一种基于物联网的体育用品销售服务管理系统</t>
  </si>
  <si>
    <t>CN207833364U</t>
  </si>
  <si>
    <t>本实用新型属于游泳池控制技术领域，具体涉及一种游泳池智能集中控制系统。本实用新型提供了一种游泳池智能集中控制系统，包括人机交互触摸屏、主控板、子系统和网络服务器；子系统包括电动砂缸子系统、泳池恒温子系统、三集一体除湿热泵子系统；主控板通过通讯或者IO控制方式与各子系统连接；人机交互触摸屏通过RS485与主控板连接，主控板与网络服务器通过有线网络或者无线网络连接。有益效果：智能化：集成检测水质数据，根据算法自动调节水质，无需人为参与，调节过程记录在案，运行过程参数有据可查；集成度高：集余氯、酸碱度、ORP、浑浊度检测及调节于一体，体积小，性价比高。</t>
  </si>
  <si>
    <t>US10747834B2</t>
  </si>
  <si>
    <t>提供了用于组织、促进、监控和获得社交健身活动反馈的设备、系统、过程和计算机可读介质。 对于至少一个实施例,一种系统包括事件模块,其被配置为与包括一个或多个事件记录的远程事件数据库接口; 个人模块,被配置为与包括两个或更多个第一记录的本地第一数据库接口,其中两个或更多个第一记录中的每一个识别两个或更多个人中的每一个; 设备模块,被配置为与包括至少一个第二记录的本地第二数据库接口,其中所述至少一个第二记录中的每一个使用物联网标签识别在通信上耦合到处理器的设备; 服务模块,被配置为与包括至少一个第三记录的远程第三数据库接口; 设施模块,被配置为与包括至少一个第四记录的远程第四数据库接口。</t>
  </si>
  <si>
    <t>社交健身活动</t>
  </si>
  <si>
    <t>CN108568070A</t>
  </si>
  <si>
    <t>本发明提供一种智能篮球训练系统，通过三秒区的地板上设置压力敏感地面模块，进而利用压力敏感地面模块检测运动员的移动数据作为触发条件，以便处理模块控制控制图像识别模块启动，并捕捉运动员的图像数据，从而更加精准的获取运动员的相关图像数据，提高比赛图像数据获取的效率，同时降低人为控制成本。</t>
  </si>
  <si>
    <t>一种智能篮球训练系统</t>
  </si>
  <si>
    <t>CN107958311A</t>
  </si>
  <si>
    <t>本发明涉及图像处理技术领域，具体涉及一种镜面显示方法及镜面显示设备，方法包括：图像采集装置采集用户的身体图像并发送至处理器，处理器获取数据库中与身体图像对应的用户图像及用户图像对应的体测信息和健身课程信息，并根据体测信息得到用户的体脂率，处理器根据预设锻炼时长和健身课程得到用户健身消耗的总热量，并根据体脂率和总热量得到用户在预设锻炼时长后的体脂含量，以及根据体测信息、身体图像及体脂含量得到用户在预设锻炼时长后的体态图像，并控制人机交互装置显示该体态图像。通过采用上述方法实现了根据用户的体测信息及课程信息在预设锻炼时长后对用户身体形态的预测并显示，极大地方便了用户预知健身后期的形体效果。</t>
  </si>
  <si>
    <t>一种镜面显示方法及镜面显示设备</t>
  </si>
  <si>
    <t>CN108062949A</t>
  </si>
  <si>
    <t>本发明公开了一种语音控制跑步机的方法与装置，通过语音输入模块接收声源数据并输入至语音识别系统，语音识别系统进行语音识别，识别完成后，将识别结果传输至处理模块，处理模块对识别结果进行指令提取，若提取到唤醒指令，声纹提取模块提取声源数据中的声纹信息，并把唤醒指令传输至执行模块执行指令；若没有提取到唤醒指令，返回语音输入模块；该语音控制跑步机的方法与装置，可以有效地仰制噪声与增强的有用的语音信号，用户在使用跑步机时，提高语音控制的成功率，使用户的使用体验更好。</t>
  </si>
  <si>
    <t>语音控制跑步机的方法及装置</t>
  </si>
  <si>
    <t>CN107944419A</t>
  </si>
  <si>
    <t>本发明涉及体育器械领域，更具体地，涉及一种指纹识别电子手环，该指纹识别电子手环，包括环带本体，镶嵌在环带本体上的人机交互装置，其特征在于，还包括：微处理器、电路板与指纹认证模块，所述微处理器与指纹认证模块电连接，它们皆安装在电路板上，电路板固定在人机交互装置内部，所述指纹认证模块包括指纹处理模块、液晶显示模块、实时时钟模块，所述指纹处理模块一端与液晶显示模块连接，另一端与实时时钟模块连接，该装置设计新颖，既能记录用户日常生活的数据，并通过指纹识别技术强化数据资料安全，保障个人资料不会外泄。</t>
  </si>
  <si>
    <t>指纹识别电子手环</t>
  </si>
  <si>
    <t>CN107909060A</t>
  </si>
  <si>
    <t>基于深度学习的健身房健身动作识别方法，以实时视频作为媒介，采用基于深度学习的方法对其进行动作规范性识别，包括如下步骤：(1)数据采集，将规范动作记录为规范动作图像；(2)数据标注，对规范动作图像进行规范动作分类；(3)数据训练，采用深度学习方法Caffe中基于卷积神经网络的物体检测识别框架，得到规范动作识别模型；(4)动作识别，对用户进行拍摄，识别出与规范动作识别模型中规范动作分类相符的用户动作；(5)动作评分，输出规范相似度评分以及修正方案。不需要用户穿戴、替换昂贵的设备，成本可控；以目前在智能终端中流行且方便使用的视频作为媒介，给用户生成精准运动数据，纠正错误动作，达到更好的健身效果。</t>
  </si>
  <si>
    <t>基于深度学习的健身房健身动作识别方法及装置</t>
  </si>
  <si>
    <t>CN108011954A</t>
  </si>
  <si>
    <t>本发明提供了一种基于物联网与云计算的健身数据监管系统，它是由健身数据监管中心和多个健身监测器组成，所述的健身数据监管中心包括无线网关、云服务器、健身指导与服务器和健身数据库组成，所述的健身监测器包括无线通信模块、运动状态监测器、能量消耗监测器、健身指导器、读卡器、运动器材调控器和微处理器。本发明具有结构简单、智能化、数字化、人性化、安全可靠等特点，能实时的了解到运动者的运动状况、能量消耗情况；同时，能通过云计算平台，将收集到的海量信息进行计算与处理，从而给每个健身者提出，具有针对性、个性化、科学化的健身指导意见。</t>
  </si>
  <si>
    <t>CN107744352A</t>
  </si>
  <si>
    <t>本发明涉及体育器械领域，更具体地，涉及一种带语音提醒的智能面包机，该带语音提醒的智能面包机，包括保护壳体，安装在保护壳体上底部的筒体支撑座，其特征在于，还包括：双层烹饪筒体、人机交互装置与搅拌组件，所述双层烹饪筒体安装在筒体支撑座上，所述搅拌组件固定在双层烹饪筒体底部，人机交互装置安装在保护壳体上，该装置设计新颖，功能强大，带有语音识别功能，能通过语音对面包机进行指令的输入与输出，达到智能控制的目的，生产成本低廉，适合大量生产，有较好的市场前景。</t>
  </si>
  <si>
    <t>带语音提醒的智能面包机</t>
  </si>
  <si>
    <t>KR102090370B1</t>
  </si>
  <si>
    <t>本发明涉及一种基于色彩心理学的个人色彩指导系统和方法,它根据客户提供的信息来指导最佳的个人色彩,但是基于心理和个性信息使用诸如个性颜色和肤色等物理信息来提供个人色彩。色彩教练系统和方法,诊断和综合个人色彩,分析它们的相关性,并基于深度学习检查个人色彩的预测和可靠性。</t>
  </si>
  <si>
    <t>基于色彩心理学的个人色彩辅导系统</t>
  </si>
  <si>
    <t>CN107875587A</t>
  </si>
  <si>
    <t>本发明公开了一种用于体育劈叉基础的训练器，包括矩形板,所述矩形板一端上安装有滑轨，所述滑轨内安装有一组滑块，所述每个滑块上均安装有电动推杆，所述矩形板一侧安装有控制器，所述控制器内安装有语音识别系统，所述控制器外侧表面安装语音收集器，所述矩形板外上表面另一端安装有竖直矩形板A，所述竖直矩形板A外前侧表面安装有海绵体，所述一组电动推杆伸缩端安装有防护罩，所述控制器与电动推杆电性相连。本发明的有益效果是，结构简单，实用性强。</t>
  </si>
  <si>
    <t>一种用于体育劈叉基础的训练器</t>
  </si>
  <si>
    <t>CN107972042A</t>
  </si>
  <si>
    <t>本发明公开了基于人工智能的泳池救援机器人救援方法及装置，涉及人工智能领域。本发明包括声源定位系统、控制器和动力驱动系统；声源定位系统通过控制器与动力驱动系统连接，源定位系统包括语用于采集声源发出信号的语音采集模块；用于对收集的语音信号进行处理、识别的语音信号预处理模块；用于通过计算时间差或者声压比的判断声源位置的声源定位模块；动力驱动系统包括用于检测前方障碍物的红外探测器；用于给泳池救援机器人提供动力并改向的动力装置。本发明通过语音采集装置采集泳池内不同声源，当处理后的声源出现预设声源时，泳池救援机器人发出警报并快速游向目标声源，提高了游泳馆安全等级，避免了溺水造成的人员伤亡。</t>
  </si>
  <si>
    <t>基于人工智能的泳池救援机器人救援方法及装置</t>
  </si>
  <si>
    <t>IN201731041738A</t>
  </si>
  <si>
    <t>摘要:- 该文件提供了 GPS(全球定位系统)引导漫游者的开发和实施。漫游者在由坐标组成的顶点组成的预定义轨道上完成比赛。设计由有机玻璃底座、电池组成 包,伺服电机,GPS模块和ATMega 328 Arduino微控制器。微控制器通过串行通信以字符串格式接收来自gps模块的输入。然后通过我们的寻路算法发送数据并计算方向。流动站运行 有小问题的课程。改进建议包括替代算法和额外的传感器。</t>
  </si>
  <si>
    <t>基于物联网的自动机器人通过 GPS 跟踪定位</t>
  </si>
  <si>
    <t>JP2019093898A</t>
  </si>
  <si>
    <t>本发明的目的在于,在不使用与列车行驶相关的设备的特性数据和列车行驶位置的斜率、曲率等环境数据的情况下,推定能量消耗量,制作使能量消耗量最小化的行驶曲线。 
  根据实施例的跑步曲线创建装置包括获取单元、模型创建单元和跑步曲线创建单元。 获取单元获取车辆在预定路段行驶的位置、速度、加速度、档位数、重量、能耗等行驶数据。 模型创建单元使用机器学习创建能量模型,该模型是一种非线性回归模型,输入包含在获取的行程数据中的位置、速度、加速度、档位数和重量,输出包含在行程中的能量消耗数据.. 行驶曲线生成器使用能量模型来生成使预定路段中的能量消耗最小化的车辆行驶曲线。 
  【选型图】图2</t>
  </si>
  <si>
    <t>行驶曲线生成装置</t>
  </si>
  <si>
    <t>CN108052868A</t>
  </si>
  <si>
    <t>本发明公开了一种基于BP神经网络的通道差分二值化的识别系统及方法，识别系统包括图像采集模块、数据传输模块和中央处理器；应用该识别系统的方法，通过基于通道差分的方式以及OTSU算法对图像进行二值化分割，再结合形态学中的闭运算、种子填充算法获得较好的网球轮廓，在此基础上利用网球的特征值构建BP神经网络，从而有效地识别出网球。本发明的识别系统及方法，不仅能够准确对网球进行识别，并且识别的处理方法简单，对数据处理平台的要求不高，设备成本低，软件开发包开源，因此能够更好地进行推广及使用。</t>
  </si>
  <si>
    <t>一种基于BP神经网络的通道差分二值化的识别系统及方法</t>
  </si>
  <si>
    <t>JP6612306B2</t>
  </si>
  <si>
    <t>IN201711041513A</t>
  </si>
  <si>
    <t>公开了一种通过实时捕捉车速、油门、离合器、刹车和方向盘的不同参数来提取驾驶员动态驾驶风格的系统。 本系统在驾驶时监控驾驶员的轮廓,同时生成警报和建议。 本系统通过机器学习 (ML) 模型挖掘,用于分析和评估不同的驾驶参数,驾驶员每次跑步都会将其推送到云端。 本系统进一步有利于提高车辆的性能,减少磨损和事故发生的机会。 该系统还可用于发送有关司机的警报,尤其是高速公路和高速公路。</t>
  </si>
  <si>
    <t>驾驶风格分析器</t>
  </si>
  <si>
    <t>CN207008804U</t>
  </si>
  <si>
    <t>本实用新型公开了智能机器人礼品机，包括机箱、广告显示屏、礼品箱、纸币器、硬币器、控制杆、功能控制键、篮球架、自动礼品球箱、足球架和机器人，其特征在于：所述机箱底部两端设置有礼品箱，所述机箱顶部设置有广告显示屏，所述机箱前部设置有硬币器，所述硬币器右侧设置有纸币器，所述机箱中部设置有控台，所述控台左侧上边缘设置有控制杆，所述控台右侧上表面设有功能控制键，所述篮球架安装在设备内部左下端，且篮球架正面设有自动礼品球箱，所述自动礼品球箱、篮球架设于足球架两侧为轴对称分布，且自动礼品球箱一侧设有自动礼品球出口。该智能机器人礼品机，结构简单，趣味性强，有利于市场的推广使用。</t>
  </si>
  <si>
    <t>智能机器人礼品机</t>
  </si>
  <si>
    <t>CN107945848A</t>
  </si>
  <si>
    <t>本发明公开了一种健身指导实现方法、装置、设备和介质，涉及健身器材和图像识别技术领域。该方法包括：在监测到用户的运动事件后，实时采集用户的人脸图像；对所述人脸图像进行识别；根据识别结果确定用户当前的运动状态；根据所述运动状态对所述用户进行建议。本发明实施例提供的一种健身指导实现方法、装置、设备和介质，根据实时采集的用户人脸图像对用户进行建议，从而减少运动中意外情况的发生，或者运动后不适症状的出现。</t>
  </si>
  <si>
    <t>一种健身指导实现方法、装置、设备和介质</t>
  </si>
  <si>
    <t>WO2018094045A3</t>
  </si>
  <si>
    <t>本发明包括一种设备,该设备能够从与另一组稍有不同的角度拍摄两组视频或图片,并使用软件将这两组媒体操纵成一个可以与其他人共享的三维图像。 本发明的一个实施例需要一个带有把手的托盘,该托盘可以容纳两部手机,并且可以将它们调整到大约瞳孔间距,从而用户可以使用该设备拍照并让消息的接收者查看 用户或用户在三维视图中指向设备的异议。 该软件还具有图像识别能力,可以通过单面抓图构建三维环境,然后从图像识别数据库中拉取数据,完成物体的三维表示。</t>
  </si>
  <si>
    <t>KR1020190055434A</t>
  </si>
  <si>
    <t>作为基于健身中心应用程序的个人训练系统和会员管理系统,通过智能手机使用带有心率传感器的臂带、带有访问传感器的哑铃和杠铃、提供运动图像的信标和建议替代运动的 AI 进行个人训练使这成为可能</t>
  </si>
  <si>
    <t>使用传感器和信标的人工智能个人训练应用程序</t>
  </si>
  <si>
    <t>KR101932357B1</t>
  </si>
  <si>
    <t>提供一种冰壶投球攻略呈现装置及其操作方法。 根据一个实施例的冰壶比赛投石策略呈现装置,其中,该装置应用第一投掷策略,包括给定的学习数据、当前游戏状态和至少一个投掷参数,以确定第一投掷策略用于第一投掷策略。模拟游戏结果的模拟单元; 确定单元,根据模拟结果确定推荐用于实际投球的第二投球策略; 处理单元处理机器学习以将实际投掷内容和结果反映到学习数据中。</t>
  </si>
  <si>
    <t>一种展示冰壶游戏掷石策略的装置及其操作方法</t>
  </si>
  <si>
    <t>CN107596617A</t>
  </si>
  <si>
    <t>本发明公开了一种多功能智能跳绳装置，包括手柄和弹力绳，所述手柄与弹力绳的相连接处设有一个收纳槽，所述收纳槽上设有一排螺旋片，所述螺旋片上活动安装有一个卡簧；所述收纳槽与弹力绳的连接处设有一个加速度传感器；所述手柄内部为中空形状，手柄内置：计时模块、语音模块、存储模块、无线传输模块、照明模块、电源模块、充电模块、显示模块以及微控制处理单元。本发明通过对跳绳装置的结构进行改进以及在手柄上设计多个应用模块，使跳绳装置具有了绳长可调、能自动计时和计数、能进行人机交互、能记录用户的运动参数并进行无线传输等多重效果，可以对健身计划实现指导作用，更好的达到健身、娱乐的效果。</t>
  </si>
  <si>
    <t>一种多功能智能跳绳装置</t>
  </si>
  <si>
    <t>US20180268736A1</t>
  </si>
  <si>
    <t>提供了一种提供通信音调教练的方法。 该方法可以获得关于第一实体和第二实体之间的通信的通信信息,同时通信可能正在进行。 通信可以包括话语。 可以识别与话语相关联的音调并且可以产生识别出的音调。 可以使用基于机器学习的预测模块和识别的音调来预测通信的结果。</t>
  </si>
  <si>
    <t>沟通语调教练</t>
  </si>
  <si>
    <t>CN107886128A</t>
  </si>
  <si>
    <t>本申请公开了一种羽毛球识别方法，包括：利用预先训练好的羽毛球模型对待处理的图片进行识别，获取相应的羽毛球或干扰物的分类；其中，羽毛球模型的创建过程为：获取羽毛球的训练样本；其中，训练样本包括羽毛球的运动图片和干扰物图片以及相应的分类信息；将训练样本输入至利用TensorFlow创建的卷积神经网络模型中进行训练，得到羽毛球模型。在本发明中，利用TensorFlow的深度学习框架来创建羽毛球模型，该方法相比利用图像算子来对图像进行识别的方法，简化了对图像处理的复杂程度，因为，该方法以模型的网络设计代替特征算法的设计，减少了大量的人工成本。相应的，本发明还公开了一种羽毛球识别系统、介质及设备，同样具有上述有益效果。</t>
  </si>
  <si>
    <t>一种羽毛球识别方法、系统、介质及设备</t>
  </si>
  <si>
    <t>KR102000637B1</t>
  </si>
  <si>
    <t>[0001] 本发明涉及一种交互式高尔夫游戏辅助装置。根据本发明,一种交互式高尔夫游戏辅助装置,通过由高尔夫球手携带或佩戴在身体上,通过检测高尔夫球手的运动来向高尔夫球手提供信息。运动员和根据运动程度输出动态检测信号的动态检测传感器140,接收并识别输入语音信号并将接收到的语音信号转换为识别码的语音识别处理单元120,以及高尔夫球场信息A高尔夫球场信息存储单元160,用于存储高尔夫球场信息存储单元160,音频输出单元125将从控制单元110接收的命令转换并输出为语音,位置信息接收器130接收并存储位置信息,语音信息存储单元170用于存储语音信息,以及从动态检测传感器140接收的动态检测信号,并根据接收到的动态检测信号的强度存储在语音信息存储单元170中。其特征在于,它包括控制单元110,读取将存储的信息输出到音频输出单元125。据此,可以根据玩家的运动进行双向通信,从而提高玩家的高尔夫游戏进度。它的优点是能够提供信息。</t>
  </si>
  <si>
    <t>互动高尔夫比赛助理</t>
  </si>
  <si>
    <t>US10762987B2</t>
  </si>
  <si>
    <t>US10864423B2</t>
  </si>
  <si>
    <t>公开了一种太极拳增强学习系统,包括戴在学习者头部的头戴式显示器,以及佩戴在学习者头部或身体上的多个动作传感器。 学习者的动作由动作传感器感知,动作传感器产生相应的传感信号并将其无线传输到头戴式显示器。 根据感应信号,头戴式显示器构建并显示学习者的图像,以及在学习者面前展示太极拳的虚拟教练。 此外,不同位置的虚拟助手演示相同的太极拳,让学习者在不同的角度清楚地看到太极拳的每一个细节动作。 因此,本发明通过视频和音频的方式帮助学习者有效地自我检查和自我纠正每一个动作,从而克服学习障碍,加快太极拳的学习进度。</t>
  </si>
  <si>
    <t>头戴式太极拳增强学习系统</t>
  </si>
  <si>
    <t>CN207924749U</t>
  </si>
  <si>
    <t>本实用新型公开了一种高效多功能车载计时系统，包括无线连接装置、语音识别装置以及车载设备，所述语音识别装置内的mic与通过导线与滤声装置的输入端电气连接，与现有技术相比，本实用新型的有益效果是该新型一种高效多功能车载计时系统，设计科学合理，本实用新型高效多功能车载计时系统设有语音识别系统，教练可通过语音操作计时系统，令识别系统的使用更加方便，且本计时系统可与手机上的APP连接，方便教练，远距离监控车内情况。</t>
  </si>
  <si>
    <t>一种高效多功能车载计时系统</t>
  </si>
  <si>
    <t>CN107670249A</t>
  </si>
  <si>
    <t>本发明公开了一种采集乒乓球拍关联数据的装置及方法。其装置由部署压感定位装置的球拍面、关联触发装置、配备动作感知装置的球拍柄和包含球拍信息数据库的服务器组成；在球拍面部署压感定位装置获取球拍的击打数据，在球拍柄内部署动作感知装置获取球拍的运动数据，通过触发使两种数据产生关联，将关联数据发送至服务器，服务器存储关联数据，更新球拍信息数据库。本发明解决了球拍的物联网方案不能同时采集互相关联的乒乓球拍击打数据和乒乓球拍运动数据的问题。</t>
  </si>
  <si>
    <t>一种采集乒乓球拍关联数据的装置及方法</t>
  </si>
  <si>
    <t>CN107670253A</t>
  </si>
  <si>
    <t>本发明公开了乒乓球撞桌后判断是否合法来球及球走向系统及方法。其系统包括读取历史数据及判断是否为合法来球模块、获取球桌的压力传感数据及判断乒乓球是否撞击球桌模块、获取球网的压力传感数据及判断乒乓球是否撞网模块、获取球拍的压力传感数据及判断乒乓球是否被球拍撞击模块、判断乒乓球是否落地模块。在乒乓球对局中双方往返接球，当乒乓球撞击球桌时，服务器根据撞桌前的历史数据判断是否合法来球，根据撞桌后乒乓球桌面、球拍面和球网面上压力传感器采集的数据识别乒乓球的走向。本发明解决了现有基于物联网的乒乓球运动系统不具有判断对局时是否合法来球及球走向的功能的问题。</t>
  </si>
  <si>
    <t>乒乓球撞桌后判断是否合法来球及球走向系统及方法</t>
  </si>
  <si>
    <t>CN107670250A</t>
  </si>
  <si>
    <t>本发明公开了乒乓球撞桌后判断是否有效发球及球走向系统及方法。其系统包括读取历史数据及判断是否为有效发球模块、获取球桌的压力传感数据及判断乒乓球是否撞击球桌模块、获取球网的压力传感数据及判断乒乓球是否撞网模块、获取球拍的压力传感数据并判断乒乓球是否被球拍撞击模块、判断乒乓球是否落地模块。乒乓球撞击球桌后，服务器根据撞桌前的历史数据判断是否为有效发球，根据撞桌后乒乓球桌面、球拍面和球网面上压力传感器发送的压力传感数据识别乒乓球的走向。本发明解决了现有基于物联网的乒乓球运动系统不具有判断乒乓球撞桌后是否有效发球及球走向的功能的问题。</t>
  </si>
  <si>
    <t>乒乓球撞桌后判断是否有效发球及球走向系统及方法</t>
  </si>
  <si>
    <t>CN107694061A</t>
  </si>
  <si>
    <t>本发明公开了球拍撞击乒乓球后判断是否发球及球走向系统及方法。其系统包括读取历史数据及判断是否为发球模块、获取球桌的压力传感数据及判断乒乓球是否撞击球桌模块、获取球网的压力传感数据及判断乒乓球是否撞网模块、获取球拍的压力传感数据及判断乒乓球是否被球拍撞击模块、判断乒乓球是否落地模块。乒乓球被球拍撞击后，服务器根据撞击前的历史数据判断是否为发球，根据撞击后乒乓球桌面、球拍面和球网面上压力传感器采集的数据识别乒乓球的走向。本发明解决了现有基于物联网的乒乓球运动系统不具有判断对局时球拍撞击乒乓球后是否发球及球走向的功能的问题。</t>
  </si>
  <si>
    <t>球拍撞击乒乓球后判断是否发球及球走向系统及方法</t>
  </si>
  <si>
    <t>CN107694058A</t>
  </si>
  <si>
    <t>本发明公开了乒乓球过网后判断是否首次过网及球走向系统及方法。其系统包括读取历史数据及判断是否为发球时首次过网模块、获取球桌的压力传感数据及判断乒乓球是否撞击球桌模块、获取球网的压力传感数据及判断乒乓球是否再次撞网模块、获取球拍的压力传感数据及判断乒乓球是否被球拍撞击模块、判断乒乓球是否落地模块。服务器根据光电传感数据判断是否过网，乒乓球过网后，服务器根据过网前的历史数据判断是否为首次过网，根据过网后乒乓球桌面、球拍面和球网面上压力传感器发送的压力传感数据识别乒乓球的走向。本发明解决了现有基于物联网的乒乓球运动系统不具有判断对局时乒乓球过网后是否首次过网及球走向的功能的问题。</t>
  </si>
  <si>
    <t>乒乓球过网后判断是否首次过网及球走向系统及方法</t>
  </si>
  <si>
    <t>CN107694073A</t>
  </si>
  <si>
    <t>本发明公开了球拍撞击乒乓球后判断是否合法接球及球走向系统及方法。其系统包括读取历史数据及判断是否为合法接球模块、获取球桌的压力传感数据及判断乒乓球是否撞击球桌模块、获取球网的压力传感数据及判断乒乓球是否撞网模块、获取球拍的压力传感数据及判断乒乓球是否被球拍撞击模块、判断乒乓球是否落地模块。在乒乓球对局中双方往返接球，乒乓球被球拍撞击后，服务器根据撞击前的历史数据判断是否为合法接球，根据撞击后乒乓球桌面、球拍面和球网面上压力传感器发送的压力传感数据识别乒乓球的走向。本发明解决了现有基于物联网的乒乓球运动系统不具有判断对局时球拍撞击乒乓球是否合法接球及球走向的功能的问题。</t>
  </si>
  <si>
    <t>球拍撞击乒乓球后判断是否合法接球及球走向系统及方法</t>
  </si>
  <si>
    <t>CN107694072A</t>
  </si>
  <si>
    <t>本发明公开了一种基于绝对距离的乒乓球定位方法及系统。其系统包括建立对局空间坐标系模块、信号强度筛选及测距模块、估算乒乓球三轴坐标值模块、计算乒乓球的对局空间坐标模块。多个信号接收装置接收乒乓球发送的无线信号，获取信号强度，计算各信号接收装置与乒乓球的距离，根据最强信号的3个固定点估算乒乓球三轴坐标值，再计算乒乓球的对局空间坐标值。本发明解决了基于物联网的乒乓球运动系统不能简单有效地计算处于运动状态的乒乓球的实时位置的问题。</t>
  </si>
  <si>
    <t>一种基于绝对距离的乒乓球定位方法及系统</t>
  </si>
  <si>
    <t>CN107694074A</t>
  </si>
  <si>
    <t>本发明公开了一种乒乓球网装置及识别乒乓球经过球网时位置的方法。其装置由部署压力传感器的乒乓球网、遮光式光电传感设备和识别乒乓球经过球网位置的服务器组成；在乒乓球网上方部署多组遮光式光电传感器，在球网面部署多个压力传感器，当乒乓球在球网上方经过或触网时，相应的传感器获取数据，然后发送至服务器，服务器收集球网面上压力传感器的压力数据，根据网面区域划分识别乒乓球触网位置；服务器收集遮光式光电传感设备的电压数据，根据受到乒乓球遮挡的发光器和收光器的编号，识别乒乓球经过球网上方的位置。本发明解决了乒乓球网的物联网方案不能简单有效地识别乒乓球经过球网上方位置或触网位置的问题。</t>
  </si>
  <si>
    <t>一种乒乓球网装置及识别乒乓球经过球网时位置的方法</t>
  </si>
  <si>
    <t>CN107703483A</t>
  </si>
  <si>
    <t>本发明公开了一种基于有源射频标签识别的乒乓球定位方法及系统。其系统包括建立对局坐标系模块、计算相对距离差模块、求解乒乓球的三维空间坐标方程组模块、消除距离测量误差模块、显示对局坐标值模块。其中显示对局坐标值模块是可选模块。服务器根据有源射频阅读器接收信号时刻的差值计算乒乓球与各阅读器的相对距离差，通过求解多个方程联立的方程组的解得到乒乓球的空间位置；当存在较大误差导致方程组无解时根据各阅读器与辅助射频标签的距离差进行一次距离测量误差的消除。本发明解决了基于物联网的乒乓球运动系统不能简单有效地计算处于运动状态的乒乓球的实时位置的问题。</t>
  </si>
  <si>
    <t>一种基于有源射频标签识别的乒乓球定位方法及系统</t>
  </si>
  <si>
    <t>CN107715434A</t>
  </si>
  <si>
    <t>本发明公开了一种基于信号强度定位的乒乓球运动系统。其系统由配备信号接收装置的乒乓球台、配备信号接收装置的乒乓球网、配备压力传感器的乒乓球拍、具有信号发送功能的乒乓球以及根据信号强度计算位置的服务器组成。其中，配备压力传感器的乒乓球拍属于可选项。具有信号发送功能的乒乓球发送无线信号，配备信号接收装置的乒乓球台和球网将所接收到无线信号的强度数据发送至根据信号强度计算位置的服务器；配备压力传感器的乒乓球拍将压力传感器数据发送至根据信号强度计算位置的服务器。本发明解决了现有基于物联网的乒乓球运动系统缺乏实时计算乒乓球位置功能的问题。</t>
  </si>
  <si>
    <t>一种基于信号强度定位的乒乓球运动系统</t>
  </si>
  <si>
    <t>CN107715433A</t>
  </si>
  <si>
    <t>本发明公开了一种基于有源射频标签阅读定位的乒乓球运动系统。其系统由配备有源射频标签阅读器的乒乓球台、配备有源射频标签阅读器的乒乓球网、配备压力传感器的乒乓球拍、配备有源射频标签的乒乓球以及根据有源射频标签计算位置的服务器组成。球台和球网上部署的有源射频标签阅读器获取携带有源射频标签的乒乓球发送的射频信号，记录信号接收开始时刻，然后将信号接收开始时刻值发送至根据有源射频标签计算位置的服务器；部署在球拍面的压力传感器获取压力传感数据，然后将压力传感数据发送至根据有源射频标签计算位置的服务器。本发明解决了现有基于物联网的乒乓球运动系统缺乏实时计算乒乓球位置功能的问题。</t>
  </si>
  <si>
    <t>一种基于有源射频标签阅读定位的乒乓球运动系统</t>
  </si>
  <si>
    <t>CN107754286A</t>
  </si>
  <si>
    <t>本发明公开了一种基于惯性导航与触感校正定位的乒乓球运动系统。其系统由可识别乒乓球撞击位置的乒乓球台、配备压力传感器和光电传感器的乒乓球网、配备压力传感器和陀螺仪的乒乓球拍、具有惯性导航功能的乒乓球以及根据惯性导航与触感校正计算位置的服务器组成。乒乓球台、球网和球拍上部署的各传感器获取乒乓球的撞击数据，然后将撞击数据发送至根据惯性导航与触感校正计算位置的服务器，具有惯性导航功能的乒乓球获取乒乓球运动数据，然后将运动数据发送至根据惯性导航与触感校正计算位置的服务器。本发明解决了现有基于物联网的乒乓球运动系统缺乏实时计算乒乓球位置功能的问题。</t>
  </si>
  <si>
    <t>一种基于惯性导航与触感校正定位的乒乓球运动系统</t>
  </si>
  <si>
    <t>CN107803005A</t>
  </si>
  <si>
    <t>本发明公开了一种基于红外感应定位的乒乓球运动系统。其系统由红外感应器阵列、配备压力传感器的乒乓球拍、具有特殊反射涂层的乒乓球以及根据红外感应计算位置的服务器阵列成。其中，配备压力传感器的乒乓球拍和具有特殊反射涂层的乒乓球属于可选项。红外感应器阵列发射和接收红外线，记录电压数据及红外线发射和接收的时间差值，将电压数据及红外线发射和接收的时间差值发送至根据红外感应计算位置的服务器；配备压力传感器的乒乓球拍获取压力传感数据，然后将压力传感数据发送至根据红外感应计算位置的服务器。本发明解决了现有基于物联网的乒乓球运动系统缺乏实时计算乒乓球位置功能的问题。</t>
  </si>
  <si>
    <t>一种基于红外感应定位的乒乓球运动系统</t>
  </si>
  <si>
    <t>CN107823871A</t>
  </si>
  <si>
    <t>本发明公开了一种基于乒乓球触碰的接球失分识别系统及方法。其系统包括读取历史数据及判断是否为合法来球模块、获取球桌的压力传感数据及判断接球是否失分模块、获取球网的压力传感数据及判断接球是否失分模块、获取球拍的压力传感数据及判断接球是否失分模块、判断乒乓球是否落地模块。在乒乓球对局中双方往返接球，当某方球拍接球时，服务器根据球拍撞击乒乓球前的历史数据判断是否是合法来球，根据撞桌后乒乓球桌面、球拍面和球网面上压力传感器发送的压力传感数据识别乒乓球的走向从而判断该方接球是否失分。本发明解决了基于物联网的乒乓球运动系统不能简单有效地识别接球失分的问题。</t>
  </si>
  <si>
    <t>一种基于乒乓球触碰的接球失分识别系统及方法</t>
  </si>
  <si>
    <t>CN107823869A</t>
  </si>
  <si>
    <t>本发明公开了一种计算乒乓球触网位置和角度的系统及方法。其系统包括获取压力传感数据及判断乒乓球是否触网模块、计算乒乓球触网的位置模块、计算乒乓球触网的角度模块。在乒乓球网面上部署压力传感器获取乒乓球触网时的压力数据，在乒乓球系统中部署用于乒乓球实时定位的物联网组件(如信号强度定位技术等)获取定位数据，服务器接收到压力数据后判断是否发生触网，若触网，则根据压力传感器编号计算乒乓球触网的位置坐标值，根据乒乓球实时位置坐标值计算乒乓球触网的角度。本发明解决了乒乓球网的物联网方案不能简单有效地计算乒乓球触网位置和角度的问题。</t>
  </si>
  <si>
    <t>一种计算乒乓球触网位置和角度的系统及方法</t>
  </si>
  <si>
    <t>CN107823870A</t>
  </si>
  <si>
    <t>本发明公开了一种基于乒乓球触碰的发球得分识别系统及方法。其系统包括读取历史数据及判断是否成功发球模块、获取球桌的压力传感数据及判断发球是否得分模块、获取球网的压力传感数据及判断发球是否得分模块、获取球拍的压力传感数据及判断发球是否得分模块、判断乒乓球是否落地模块。在乒乓球对局中某方发球后，当乒乓球首次撞击球桌时，服务器根据撞桌前的历史数据判断是否成功发球，根据撞桌后乒乓球桌面、球拍面和球网面上压力传感器发送的压力传感数据识别乒乓球的走向从而判断该方发球是否得分。本发明解决了基于物联网的乒乓球运动系统不能简单有效地识别发球得分的问题。</t>
  </si>
  <si>
    <t>一种基于乒乓球触碰的发球得分识别系统及方法</t>
  </si>
  <si>
    <t>CN107832522A</t>
  </si>
  <si>
    <t>本发明公开了一种识别乒乓球飞过球网时的高度和角度的系统及方法。其系统包括获取光电传感数据及判断乒乓球是否飞过球网模块、计算乒乓球飞过球网时的高度模块、计算乒乓球飞过球网时的角度模块。在乒乓球网上方部署多组遮光式光电传感器获取乒乓球飞过球网时的电压数据，在乒乓球系统中部署用于乒乓球实时定位的物联网组件获取乒乓球位置数据，服务器接收到光电数据后判断乒乓球是否飞过球网，获取此时的乒乓球实时位置作为飞过球网的位置，计算飞过球网的高度，根据前一采样时刻乒乓球的位置计算乒乓球飞过球网的角度。本发明解决了乒乓球网的物联网方案不能简单有效地识别乒乓球飞过球网时的高度和角度的问题。</t>
  </si>
  <si>
    <t>一种乒乓球飞过球网时高度和角度的计算系统及方法</t>
  </si>
  <si>
    <t>CN107837524A</t>
  </si>
  <si>
    <t>本发明公开了基于触感反馈的乒乓球对局时有效发球识别系统及方法。其系统包括获取压力传感数据及判断乒乓球是否撞击球桌模块、读取历史数据及提取乒乓球被球拍撞击的次数和撞击时刻模块、判断乒乓球被球拍撞击的次数及撞击时刻是否符合有效发球特征模块、判断撞击乒乓球的球拍编号是否符合有效发球特征模块。在乒乓球桌面和球拍面分别部署的压力传感器获取压力传感数据，然后发送至服务器，服务器根据乒乓球对局时有效发球的规则识别有效发球。本发明解决了基于物联网的乒乓球运动系统不能简单有效地识别乒乓球对局时有效发球的问题。</t>
  </si>
  <si>
    <t>基于触感反馈的乒乓球对局时有效发球识别系统及方法</t>
  </si>
  <si>
    <t>CN107854825A</t>
  </si>
  <si>
    <t>本发明公开了一种基于无源射频标签扫码定位的乒乓球运动系统。其系统由配备无源射频标签阅读器的乒乓球台、配备无源射频标签阅读器的乒乓球网、配备压力传感器的乒乓球拍、配备无源射频标签的乒乓球以及根据无源射频标签扫码计算位置的服务器组成。配备无源射频标签阅读器的乒乓球台和乒乓球网发送射频信号，接收配备无源射频标签的乒乓球产生的应激射频信号，记录发送时刻和接收时刻，将时刻值发送至根据无源射频标签扫码计算位置的服务器；配备压力传感器的乒乓球拍获取球拍撞击乒乓球时的压力传感数据发送至根据无源射频标签扫码计算位置的服务器。本发明解决了现有基于物联网的乒乓球运动系统缺乏实时计算乒乓球位置功能的问题。</t>
  </si>
  <si>
    <t>一种基于无源射频标签扫码定位的乒乓球运动系统</t>
  </si>
  <si>
    <t>CN107866058A</t>
  </si>
  <si>
    <t>本发明公开了一种基于多层映射解析定位的乒乓球运动系统。其由垂直多层映射传感器组、平行多层映射传感器组、焦距调节控制器、配备压力传感器的乒乓球拍以及根据多层映射解析计算位置的服务器组成。其中，配备压力传感器的乒乓球拍属于可选项。垂直多层映射传感器组和平行多层映射传感器组分别拍摄灰度图像，然后将灰度图像发送至根据映射解析计算位置的服务器；焦距调节控制器根据服务器发送的切换指令切换垂直多层映射传感器组和平行多层映射传感器组中灰度相机的焦距；配备压力传感器的乒乓球拍获取压力传感数据，然后将压力传感数据发送至服务器。本发明解决了现有基于物联网的乒乓球运动系统缺乏实时计算乒乓球位置功能的问题。</t>
  </si>
  <si>
    <t>一种基于多层映射解析定位的乒乓球运动系统</t>
  </si>
  <si>
    <t>CN107866059A</t>
  </si>
  <si>
    <t>本发明公开了一种基于映射解析预处理的乒乓球运动系统。其系统由无幕布垂直映射传感器、无幕布平行映射传感器、映射预处理装置、配备压力传感器的乒乓球拍以及根据映射解析预处理计算位置的服务器组成。其中，配备压力传感器的乒乓球拍属于可选项。无幕布垂直映射传感器和无幕布平行映射传感器分别拍摄灰度图像，然后将灰度图像发送至映射预处理装置；映射预处理装置对图像进行预处理，将预处理之后的图像发送至根据映射解析预处理计算位置的服务器；配备压力传感器的乒乓球拍获取压力传感数据，然后将压力传感数据发送至根据映射解析预处理计算位置的服务器。本发明解决了现有基于物联网的乒乓球运动系统缺乏实时计算乒乓球位置功能的问题。</t>
  </si>
  <si>
    <t>一种基于映射解析预处理的乒乓球运动系统</t>
  </si>
  <si>
    <t>CN107875619A</t>
  </si>
  <si>
    <t>本发明公开了一种基于无源射频标签扫码的乒乓球定位方法及系统。其系统包括建立对局坐标系模块、无源射频标签扫码测距模块、求解乒乓球的三维空间坐标方程组模块、消除距离测量误差模块、显示对局坐标值模块。其中显示对局坐标值模块是可选模块。服务器根据无源射频阅读器接收的时延数据计算乒乓球与各阅读器的距离，通过求解多个方程联立的方程组的解得到乒乓球的空间位置；当存在较大误差导致方程组无解时根据各阅读器与辅助射频标签的距离进行一次距离测量误差的消除。本发明解决了基于物联网的乒乓球运动系统不能简单有效地计算处于运动状态的乒乓球的实时位置的问题。</t>
  </si>
  <si>
    <t>一种基于无源射频标签扫码的乒乓球定位方法及系统</t>
  </si>
  <si>
    <t>CN107875601A</t>
  </si>
  <si>
    <t>本发明公开了乒乓球撞网后判断是否首次撞网及球走向系统及方法。其系统包括读取历史数据及判断是否为发球时首次撞网模块、获取球桌的压力传感数据及判断乒乓球是否撞击球桌模块、获取球网的压力传感数据及判断乒乓球是否再次撞网模块、获取球拍的压力传感数据及判断乒乓球是否被球拍撞击模块、判断乒乓球是否落地模块。乒乓球撞网后，服务器根据撞网前的历史数据判断是否为发球时首次撞网，根据撞网后乒乓球桌面、球拍面和球网面上压力传感器发送的压力传感数据识别乒乓球的走向。本发明解决了现有基于物联网的乒乓球运动系统不具有判断对局时是否首次撞网及撞网后球走向的功能的问题。</t>
  </si>
  <si>
    <t>乒乓球撞网后判断是否首次撞网及球走向系统及方法</t>
  </si>
  <si>
    <t>CN107890655A</t>
  </si>
  <si>
    <t>本发明公开了一种基于多层映射解析的乒乓球定位方法。其方法包括步骤1、建立三维空间坐标系及设置参数；步骤2、获取映射图像数据及计算图像中高对比度图形的面积；步骤3、判断相机1是否需要切换镜头；步骤4、判断相机2是否需要切换镜头；步骤5、判断相机2是否也需要切换镜头；步骤6、计算乒乓球在映射图像中的位置及转换坐标系；步骤7、计算乒乓球的空间位置块。本发明初始采用长焦距镜头拍摄乒乓球的映射图像，然后根据所拍摄的图像中是否存在乒乓球图形来切换相机焦距，最后根据不同映射图像中乒乓球的位置计算出乒乓球的位置。本发明解决了基于物联网的乒乓球运动系统不能简单有效地计算处于运动状态的乒乓球的实时位置的问题。</t>
  </si>
  <si>
    <t>一种基于多层映射解析的乒乓球定位方法</t>
  </si>
  <si>
    <t>CN107890656A</t>
  </si>
  <si>
    <t>本发明公开了一种基于触感反馈的识别对局成功发球的系统及方法。其系统包括获取压力传感数据及判断乒乓球是否撞击球桌模块、读取历史数据及提取乒乓球撞击记录模块、判断乒乓球撞击记录是否符合成功发球特征模块、判断乒乓球撞击位置编号是否符合成功发球特征模块、判断发球时是否撞网模块。在乒乓球桌面、球拍面和球网面分别部署压力传感器获取压力传感数据并发送至服务器，服务器根据乒乓球对局时成功发球的规则判断发球是否成功。本发明解决了基于物联网的乒乓球运动系统不能简单有效地识别乒乓球对局时是否成功发球的问题。</t>
  </si>
  <si>
    <t>一种基于触感反馈的识别对局成功发球的系统及方法</t>
  </si>
  <si>
    <t>CN107899211A</t>
  </si>
  <si>
    <t>本发明公开了一种基于相对距离差的乒乓球定位方法及系统。其系统包括建立对局空间坐标系模块、筛选信号强度及计算相对距离差模块、估算乒乓球三轴坐标值模块、计算乒乓球的对局空间坐标值模块。通过多个信号接收装置接收乒乓球发送的无线信号，通过信号强度之差来计算各信号接收装置与乒乓球的两两相对距离差，采用基于乒乓球运动特点的双曲面近似方法估算乒乓球的三轴坐标值，再计算球桌指示坐标值，从而构成完整对局空间坐标值。本发明解决了基于物联网的乒乓球运动系统不能简单有效地计算处于运动状态的乒乓球的实时位置的问题。</t>
  </si>
  <si>
    <t>一种基于相对距离差的乒乓球定位方法及系统</t>
  </si>
  <si>
    <t>CN107899226A</t>
  </si>
  <si>
    <t>本发明公开了一种基于映射解析预处理的乒乓球定位方法及系统。其系统包括建立映射平面坐标系模块、获取映射解析预处理图像及判断乒乓球是否在映射区域模块、计算乒乓球在各映射图像的位置及转换坐标系模块、计算乒乓球的空间位置模块。本发明在不使用幕布的前提下，灰度相机在非纯色背景下拍摄获取图像，采用背景预处理的手段准确判断物体在图像上的映射位置，根据多组灰度相机的位置及其对应图像的映射位置实现乒乓球定位。本发明解决了基于物联网的乒乓球运动系统不能简单有效地计算处于运动状态的乒乓球的实时位置的问题。</t>
  </si>
  <si>
    <t>一种基于映射解析预处理的乒乓球定位方法及系统</t>
  </si>
  <si>
    <t>CN107913509A</t>
  </si>
  <si>
    <t>本发明公开了一种基于映射范围识别的乒乓球定位方法及系统。其系统包括获取映射图像数据及判断乒乓球是否在映射区域模块、计算乒乓球在映射图像中的位置模块、识别乒乓球是否在桌面范围及转换坐标系模块、计算乒乓球的空间位置模块。乒乓球桌面上方布置的灰度相机所拍摄的图像背景中存在乒乓球桌和地面两个高低不同的平面，本发明首先通过映射范围识别判断乒乓球是否位于桌面范围，然后计算乒乓球在两个映射平面中的位置，转换为统一空间中的位置，最终计算出乒乓球位置。本发明解决了基于物联网的乒乓球运动系统不能简单有效地计算处于运动状态的乒乓球的实时位置的问题。</t>
  </si>
  <si>
    <t>一种基于映射范围识别的乒乓球定位方法及系统</t>
  </si>
  <si>
    <t>CN107941190A</t>
  </si>
  <si>
    <t>本发明公开了一种识别乒乓球撞击球桌的角度的系统及方法。其系统包括获取压力传感数据及判断乒乓球是否撞击球桌模块、计算乒乓球撞击球桌的位置模块、计算乒乓球撞击球桌的角度模块。事先建立坐标系和划分桌面区域，并持续进行乒乓球运动定位，获取压力传感数据，判断乒乓球是否撞击球桌模块根据乒乓球撞击球桌产生的压力数据判断乒乓球是否撞击球桌；计算乒乓球撞击球桌的位置模块通过桌面区域划分计算乒乓球撞击球桌的位置；计算乒乓球撞击球桌的角度模块根据撞击位置和前一时刻乒乓球空间位置计算撞击的角度。本发明解决了乒乓球桌的物联网方案不能识别乒乓球撞击球桌角度的问题。</t>
  </si>
  <si>
    <t>一种识别乒乓球撞击球桌的角度的系统及方法</t>
  </si>
  <si>
    <t>CN107930045A</t>
  </si>
  <si>
    <t>本发明公开了一种基于红外感应的乒乓球定位方法及系统。其系统包括建立空间位置区域坐标系模块、获取红外感应数据模块、计算乒乓球的水平区域坐标值模块、计算乒乓球的垂直坐标值模块。建立由乒乓球桌上方的水平区域坐标v和乒乓球桌上方的垂直坐标h组成的空间位置区域坐标系(v,h)，其中水平区域坐标v是产生符合乒乓球电压范围的红外传感器的编号，垂直坐标h的值为根据红外线发送与接收时刻的差值t计算的乒乓球与红外感应阵列的垂直距离。本发明解决了基于物联网的乒乓球运动系统不能简单有效地计算处于运动状态的乒乓球的实时位置的问题。</t>
  </si>
  <si>
    <t>一种基于红外感应的乒乓球定位方法及系统</t>
  </si>
  <si>
    <t>CN107930083A</t>
  </si>
  <si>
    <t>本发明公开了一种基于映射解析定位的乒乓球运动系统。其系统由垂直映射传感器组、平行映射传感器组、配备压力传感器的乒乓球拍以及根据映射解析计算位置的服务器组成。其中，配备压力传感器的乒乓球拍属于可选项。垂直映射传感器组和平行映射传感器组分别拍摄灰度图像，然后将灰度图像发送至根据映射解析计算位置的服务器；配备压力传感器的乒乓球拍获取压力传感数据，然后将压力传感数据发送至根据映射解析计算位置的服务器。本发明解决了现有基于物联网的乒乓球运动系统缺乏实时计算乒乓球位置功能的问题。</t>
  </si>
  <si>
    <t>一种基于映射解析定位的乒乓球运动系统</t>
  </si>
  <si>
    <t>CN107930084A</t>
  </si>
  <si>
    <t>本发明公开了一种基于映射解析的乒乓球定位方法及系统。其系统包括获取映射图像数据及判断乒乓球是否在映射区域模块、计算乒乓球在各映射图像的位置及转换坐标系模块、计算乒乓球的空间位置模块。用灰度相机以纯色幕布为背景拍照获取某物体在幕布上的图像，确定该物体在幕布上的映射位置，根据多组相机的位置及其对应的映射位置实现物体定位，部署在乒乓球桌上方和侧方的灰度相机获取乒乓球在不同映射平面的映射图像，然后将图像数据发送至服务器，服务器存储数据，计算乒乓球的实时位置。本发明解决了基于物联网的乒乓球运动系统不能简单有效地计算处于运动状态的乒乓球的实时位置的问题。</t>
  </si>
  <si>
    <t>一种基于映射解析的乒乓球定位方法及系统</t>
  </si>
  <si>
    <t>CN107899225B</t>
  </si>
  <si>
    <t>本发明公开了一种基于运动轨迹的乒乓球发球得分识别方法。其步骤包括：步骤1、建立三维空间坐标系及设置参数；步骤2、计算乒乓球的实时位置坐标值及判断是否发球；步骤3、计算乒乓球的实时位置坐标值及计算变量的值；步骤4、根据运动轨迹判断乒乓球的碰撞点及根据碰撞点判断发球是否得分；步骤4.1、根据运动轨迹判断乒乓球是否撞击桌面；步骤4.2、根据运动轨迹判断乒乓球是否撞击地面；步骤4.3、根据运动轨迹判断乒乓球是否撞击球网；步骤4.4、根据运动轨迹判断乒乓球是否被球拍撞击。本发明解决了基于物联网的乒乓球运动系统不能简单有效地识别发球得分的问题。</t>
  </si>
  <si>
    <t>一种基于运动轨迹的乒乓球发球得分识别方法</t>
  </si>
  <si>
    <t>CN107875620B</t>
  </si>
  <si>
    <t>本发明公开了一种基于运动轨迹的乒乓球接球失分识别方法。其步骤包括：步骤1、切换接球方；步骤2、定位乒乓球及判断乒乓球是否发生碰撞；步骤3、判断对方是否成功接球；步骤3.1判断乒乓球是否撞击接球方球桌；步骤3.2判断乒乓球是否撞击球网；步骤3.3判断乒乓球是否撞击地面；步骤3.4判断乒乓球是否被球拍撞击；步骤4、定位乒乓球及判断乒乓球是否再次发生碰撞；步骤5、判断接球方是否成功接球；步骤5.1判断乒乓球是否撞击接球方球桌；步骤5.2判断乒乓球是否撞击球网；步骤5.3判断乒乓球是否撞击地面；步骤5.4判断乒乓球是否被接球方球拍撞击。本发明解决了基于物联网的乒乓球运动系统不能简单有效地识别接球失分的问题。</t>
  </si>
  <si>
    <t>一种基于运动轨迹的乒乓球接球失分识别方法</t>
  </si>
  <si>
    <t>CN107694062B</t>
  </si>
  <si>
    <t>本发明公开了一种飞过球网前乒乓球是否触网的判断系统及方法。其系统包括获取光电传感数据及判断乒乓球是否飞过球网模块、判断乒乓球飞过球网前是否触网模块。在乒乓球网上方部署多组遮光式光电传感器，在球网面部署多个压力传感器，获取乒乓球在球网上方经过或触网的数据并发送至服务器，服务器根据触网的数据判断乒乓球是否触网并记录，并根据在球网上方经过的数据判断乒乓球是否飞过球网，调取此时刻之前一定时间段内乒乓球的触网记录，判断乒乓球过网后是否触网及触网次数。本发明解决了乒乓球网的物联网方案不能简单有效地判断飞过球网前乒乓球是否触网的问题。</t>
  </si>
  <si>
    <t>一种飞过球网前乒乓球是否触网的判断系统及方法</t>
  </si>
  <si>
    <t>CN107715424B</t>
  </si>
  <si>
    <t>本发明公开了一种识别乒乓球正常撞击球桌及撞击位置的装置及方法。其识别乒乓球正常撞击球桌及撞击位置的装置包括具有连接结构的乒乓球桌、遮光式光电传感设备、识别正常撞击及撞击位置的服务器；在乒乓球桌上通过连接结构部署多组遮光式光电传感器，获得电压值并发送至服务器，服务器定时收集遮光式光电传感设备发送的电压值，根据电压值判断乒乓球是否撞击桌面，再根据乒乓球正常击打时撞击桌面的特征识别乒乓球是否正常撞击球桌，最后根据光电传感器的编号确定乒乓球正常撞击球桌的位置。本发明解决了乒乓球桌的物联网方案不能准确识别乒乓球是否正常撞击球桌及撞击位置的问题。</t>
  </si>
  <si>
    <t>一种识别乒乓球正常撞击球桌及撞击位置的装置及方法</t>
  </si>
  <si>
    <t>CN107670258B</t>
  </si>
  <si>
    <t>本发明公开了一种基于定位的乒乓球对局发球识别系统及方法。其系统包括获取压力传感数据并判断球拍是否击打乒乓球模块、读取乒乓球位置坐标值模块、判断球拍击打乒乓球是否为发球模块。在乒乓球系统中部署用于乒乓球定位的物联网组件(如信号强度定位组件等)获取乒乓球位置数据，球拍面部署的压力传感器获取压力传感数据。球拍击打乒乓球分为发球和回球，不考虑乒乓球对局之外的其他击球情况。其中发球前需要抛球，乒乓球的运动速度低，而回球前乒乓球运动速度快，服务器据此判断球拍击打乒乓球是否为发球。本发明解决了基于物联网的乒乓球运动系统不能简单有效地识别乒乓球对局发球的问题。</t>
  </si>
  <si>
    <t>一种基于定位的乒乓球对局发球识别系统及方法</t>
  </si>
  <si>
    <t>CN107907128B</t>
  </si>
  <si>
    <t>本发明公开了一种基于触感反馈的乒乓球定位方法及系统。其系统包括获取触感反馈数据判断乒乓球是否撞击球桌模块、计算撞击位置坐标值模块、计算乒乓球位置坐标值模块。触感反馈传感器获取球桌的触感反馈数据，然后发送至服务器，乒乓球内部署的陀螺仪和加速度仪获取乒乓球运动数据，然后发送至服务器，服务器存储数据，采用相对位移的算法计算乒乓球撞击球桌区间内的乒乓球的位置坐标值。本发明解决了基于物联网的乒乓球运动系统不能简单有效地计算处于运动状态的乒乓球的实时位置的问题。</t>
  </si>
  <si>
    <t>一种基于触感反馈的乒乓球定位方法及系统</t>
  </si>
  <si>
    <t>CN107823864B</t>
  </si>
  <si>
    <t>本发明公开了一种基于运动轨迹的乒乓球对局发球识别系统及方法。其系统包括获取压力传感数据及判断球拍是否击打乒乓球模块、读取球拍击打乒乓球前的连续位置数据模块、根据运动轨迹判断乒乓球对局发球模块。在乒乓球系统中部署用于乒乓球定位的物联网组件(如信号强度定位组件等)获取乒乓球位置数据，球拍面部署的压力传感器获取压力传感数据；服务器根据压力传感数据判断击球时刻，根据乒乓球位置数据生成击球时刻之前乒乓球的运动轨迹。乒乓球对局发球前，乒乓球运动轨迹必须符合上抛和下落的运动轨迹模型，据此判断球拍击球是否为乒乓球对局中的发球。本发明解决了基于物联网的乒乓球运动系统不能简单有效地识别乒乓球对局发球的问题。</t>
  </si>
  <si>
    <t>一种基于运动轨迹的乒乓球对局发球识别系统及方法</t>
  </si>
  <si>
    <t>CN107907092B</t>
  </si>
  <si>
    <t>本发明公开了一种撞击时乒乓球相对球拍的角度计算系统及方法。其系统包括获取压力传感数据及判断球拍是否击球模块、计算乒乓球撞击球拍的位置模块、获取陀螺力矩数据及计算球拍在空间中的角度模块、计算撞击时乒乓球相对球拍的角度模块。在乒乓球拍上部署压力传感器获取乒乓球拍被撞击时的压力数据，在乒乓球拍部署的陀螺仪监测乒乓球拍的角度数据，在乒乓球系统中部署常用的用于乒乓球实时定位的物联网组件获取定位数据，服务器接收数据，计算撞击时乒乓球相对球拍的角度。本发明解决了乒乓球拍物联网方案不能计算撞击时乒乓球相对球拍的角度的问题。</t>
  </si>
  <si>
    <t>一种撞击时乒乓球相对球拍的角度计算系统及方法</t>
  </si>
  <si>
    <t>CN107871120B</t>
  </si>
  <si>
    <t>本发明的公开了一种基于机器学习的体育赛事理解系统，涉及体育赛事信息系统技术领域，该系统包括数据获取单元和数据分析单元，所述数据获取单元用于采用摄像装置获取比赛的视频信息，并将视频信息传输到数据分析单元；所述数据分析单元用于接收所述视频信息，检测、识别和跟踪赛场中的目标，通过机器学习学习不同目标的跟踪数据理解比赛事件，得到比赛理解信息。通过数据获取单元获取比赛的视频信息，数据分析单元对接收到的视频信息进行分析处理，检测、识别和跟踪赛场中的目标，通过机器学习学习不同目标的跟踪数据理解比赛事件，准确理解整个比赛。</t>
  </si>
  <si>
    <t>基于机器学习的体育赛事理解系统及方法</t>
  </si>
  <si>
    <t>CN207541740U</t>
  </si>
  <si>
    <t>本实用新型属于健身场地技术领域，具体地说是一种基于ZigBee和NB_IoT技术的物联网笼式运动场地。该实用新型的基于ZigBee和NB_IoT技术的物联网笼式运动场地中设置有若干灯柱，每个灯柱上设置有集成控制板，集成控制板中设置有单片机和ZigBee模块，ZigBee模块与单片机相通信，其中的一个灯柱上还设置有ZigBee网关和NB_IoT模组，ZigBee网关与NB_IoT模组、ZigBee模块分别连接。本实用新型的基于ZigBee和NB_IoT技术的物联网笼式运动场地设计简单合理，能准确的接收每个灯柱发送的信息，并且能及时的提醒人们紧急通知，具有良好的推广应用价值。</t>
  </si>
  <si>
    <t>一种基于ZigBee和NB_IoT技术的物联网笼式运动场地</t>
  </si>
  <si>
    <t>CN107510917A</t>
  </si>
  <si>
    <t>本发明VR虚拟现实智能骑马健身机，提供一种虚拟现实的骑马健身机器及解决方案，VR虚拟现实智能骑马健身机由三部分组成，包括骑马健身机、智能盒、自发电装置、压力传感器和电磁控阻力装置的骑马健身机本体结构；手持红外体感遥控器；VR头显设备嵌入智能手机App，实现在使用骑马健身机时能感受到真实的骑马运动体验，达到健身效果的同时让运动更有趣，还能采集人体运动时间、强度相关健康数据通过智能手机App实时展示，通过手持红外体感遥控器遥控选择骑马运动场景和模式，通过智能手机App实时展示在VR头显设备上，是通过物联网、电磁控、VR、体感、App多种技术组合方案来实现的创新科技成果。</t>
  </si>
  <si>
    <t>VR虚拟现实智能骑马健身机</t>
  </si>
  <si>
    <t>CN207804866U</t>
  </si>
  <si>
    <t>本实用新型VR虚拟现实智能骑马健身机，提供一种虚拟现实的骑马健身机器及解决方案，VR虚拟现实智能骑马健身机由三部分组成，包括骑马健身机、智能盒、自发电装置、压力传感器和电磁控阻力装置的骑马健身机本体结构；手持红外体感遥控器；VR头显设备嵌入智能手机App，实现在使用骑马健身机时能感受到真实的骑马运动体验，达到健身效果的同时让运动更有趣，还能采集人体运动时间、强度相关健康数据通过智能手机App实时展示，通过手持红外体感遥控器遥控选择骑马运动场景和模式，通过智能手机App实时展示在VR头显设备上，是通过物联网、电磁控、VR、体感、App多种技术组合方案来实现的创新科技成果。</t>
  </si>
  <si>
    <t>CN107670225A</t>
  </si>
  <si>
    <t>本发明公开了一种基于物联网的跑步机，包括跑台、控制台和撑架，所述跑台嵌入设置于所述撑架，且所述跑台与所述撑架固定连接，所述撑架上端的一侧安装有所述控制台，且所述控制台与所述撑架紧密连接，所述控制台的内部固定安装有单片机，所述撑架的内部固定安装有驱动模块，且所述单片机与所述驱动模块电性连接，所述撑架的顶部安装有通信模块，所述通信模块与所述单片机电性连接，所述跑台的底部设有撑板，所述撑板的内部设有控制电路，所述控制电路与所述驱动模块电性连接，所述撑板的底部安装有电动机，所述电动机与所述控制电路电性连接，且所述电动机的输出端与所述跑台紧密连接，有着智能灵活，安全的特点。</t>
  </si>
  <si>
    <t>一种基于物联网的跑步机</t>
  </si>
  <si>
    <t>CN109692449A</t>
  </si>
  <si>
    <t>本发明涉及一种投篮机在线比赛方法及投篮机。该方法应用于投篮机系统，投篮机系统包括云端服务器、以及与云端服务器连接的多台投篮机。方法包括：S1：投篮机的人机交互装置或移动终端发送比赛请求信息至云端服务器，云端服务器选择系统中至少两台投篮机进行比赛，并选择比赛模式，篮球机按照比赛模式进行比赛。S2：投篮机记录比赛信息，并将比赛数据发送至其他投篮机，投篮机显示比赛信息。通过实施本发明，使用户能够通过网络选择系统内的投篮机进行比赛，增强了投篮机的互动性，提高用户娱乐体验。</t>
  </si>
  <si>
    <t>一种投篮机在线比赛方法及投篮机</t>
  </si>
  <si>
    <t>US62574999P0</t>
  </si>
  <si>
    <t>使用数据分析、人工智能、物联网健身项目提供运动智能设备的方法和系统</t>
  </si>
  <si>
    <t>CN107633605A</t>
  </si>
  <si>
    <t>本发明涉及自助售卖机，特别是涉及一种羽毛球自助售卖机，包括机体，机体设有出球口，其中机体设有储球装置、抓球装置，机体底部设有承重底座，机体还设有人机交互控制系统，人机交互控制系统与储球装置、抓球装置电连接。本发明能实现羽毛球的自动售卖，减少人力成本，保证价格的合理性，同时对低销售量的球品下架处理，提高自动经营的便利和产品利润。</t>
  </si>
  <si>
    <t>一种羽毛球自助售卖机</t>
  </si>
  <si>
    <t>CN107895434A</t>
  </si>
  <si>
    <t>本发明提供了一种电子泳具器材自助借还系统，包括云端运营业务管理平台、用户终端、运维终端以及多台自助借还机柜；自助借还机柜包括泳具借还执行机构、站点控制终端电脑系统以及站点控制终端人机交互显示器；其中用户终端和运营终端连接云端运营业务管理平台；自助借还机柜用于接收请求指令；站点控制终端电脑系统用于根据请求指令发出执行指令；泳具借还执行机构用于游具器材的存储、拾取、归还以及反馈执行指令；站点控制终端人机交互显示器用于实现人机交互。本发明通过增设自助借还机柜，省时省力；通过智能设备实现泳具器材的快速借还，方便快捷；结合游泳场馆和具有救生功能的泳具，解决了用户游泳安全的担忧，提高了游泳乐趣。</t>
  </si>
  <si>
    <t>电子泳具器材自助借还系统及方法</t>
  </si>
  <si>
    <t>CN207397381U</t>
  </si>
  <si>
    <t>本实用新型涉及自助售卖机，特别是涉及一种羽毛球自助售卖机，包括机体，机体设有出球口，其中机体设有储球装置、抓球装置，机体底部设有承重底座，机体还设有人机交互控制系统，人机交互控制系统与储球装置、抓球装置电连接。本实用新型能实现羽毛球的自动售卖，减少人力成本，保证价格的合理性，同时对低销售量的球品下架处理，提高自动经营的便利和产品利润。</t>
  </si>
  <si>
    <t>CN207371039U</t>
  </si>
  <si>
    <t>本实用新型适用于跑步机技术领域，公开了一种人工智能自动调速式跑步机，包括机架和机座，机座包括主座体和跑带，机架连接于主座体，主座体的前端处转动连接有主动轴，主座体的后端转动连接有从动轴，跑带套于主动轴和从动轴，主动轴连接有主电机，主电机连接有电机驱动器，主座体的后端设置有用于测量与用户之间距离的激光测距仪，激光测距仪电连接于电机驱动器；机架还设置有用于识别用户手势的手势识别摄像头，手势识别摄像头通过线缆连接于电机驱动器，手势识别摄像头内置有红外灯。本实用新型所提供的一种人工智能自动调速式跑步机，无需用户停下使用按键来调速，用户体验佳；手势识别摄像头内置有红外灯，识别准确率高。</t>
  </si>
  <si>
    <t>一种人工智能自动调速式跑步机</t>
  </si>
  <si>
    <t>CN107622318A</t>
  </si>
  <si>
    <t>本发明公开了一种用于驾考学员预约培训的运营平台及运营方法，包括学员移动终端APP、教练移动终端APP、模拟驾驶器、后台管理系统、地图服务器，学员移动终端APP、教练移动终端APP与后台管理系统间通过无线网进行数据传输，模拟驾驶器、地图服务器与后台管理系统之间通过网络进行数据传输。学员移动终端APP可以预约模拟驾驶练习课程、户外真车练习课程，还可以查阅模拟驾驶练习课程中存在的错误及结果分析；教练移动终端APP可以预约户外真车练习课程；模拟驾驶器车体采用真车改装或者具有真车外观的机械设备，结合虚拟现实技术还原真实交通环境，并实时记录模拟驾驶练习过程信息；系统管理人员通过后台管理系统实现驾校培训的互联网+人工智能管理效果。</t>
  </si>
  <si>
    <t>一种用于驾考学员预约培训的运营平台及运营方法</t>
  </si>
  <si>
    <t>WO2019047327A1</t>
  </si>
  <si>
    <t>一种智能球、系统及方法被公开。该智能球系统通过六轴惯性传感器（12）检测球体（10）的三轴加速度变量和三轴角速度变量，先采用传感器信号校正神经网络实现三轴加速度变量与三轴角速度变量的预处理信号校正，再采用向心力校正神经网络计算因向心力产生的加速度，最后根据向心力产生的加速度、校正后的三轴加速度和三轴角速度计算实际的三轴加速度和实际的三轴角速度。该智能球提供了新的加速度变量、角速度变量与向心力之间的关系，从而为提高运动员专项能力提供更为准确的数据依据。</t>
  </si>
  <si>
    <t>一种智能球、系统及方法</t>
  </si>
  <si>
    <t>CN107596631A</t>
  </si>
  <si>
    <t>本发明公开了一种物联网电子智能控制家用健身设施，其结构包括控制器，所述控制器的上表面设有电子显示屏、扬声器和开关键，所述电子显示屏固定连接在所述控制器的中间处，所述扬声器固定连接在所述电子显示屏下方的左右两侧，所述开关键活动连接在所述电子显示屏下方的中间处；所述控制器的侧面设有电源线和体况感应器，所述电源线固定连接在所述控制器左右两侧，所述体况感应器固定连接在所述电源线的末端。通过体况感应器的设计，能有效的对人体状况的监测，方便使用者在运动时观察自身的状况，增加了健身设施的多功能性，而且通过运动量评估模块的设计，还可以对使用者运动效果的评估，让使用者充分的掌握运动的效率。</t>
  </si>
  <si>
    <t>一种物联网电子智能控制家用健身设施</t>
  </si>
  <si>
    <t>CN207450194U</t>
  </si>
  <si>
    <t>本实用新型提供了一种游泳圈，包括泳圈主体和遥控器；所述遥控器包括：麦克风、语音识别模块、无线发射模块；所述麦克风、所述语音识别模块和所述无线发射模块依次电性连接；所述泳圈主体包括：无线接收模块、控制模块和驱动模块；所述无线接收模块、所述控制模块和所述驱动模块依次电性连接；所述语音识别模块用于将所述麦克风采集的语音信息转化为控制指令；所述无线发射模块用于将所述控制指令发送给所述无线接收模块；所述控制模块用于根据所述无线接收模块接收的控制指令控制所述驱动模块运行实现驱动所述泳圈主体在水中运动。该游泳圈可通过语音命令控制泳圈本体在水中的运动。功能新奇有趣，可给游泳带来极大的乐趣。</t>
  </si>
  <si>
    <t>游泳圈</t>
  </si>
  <si>
    <t>CN107755124B</t>
  </si>
  <si>
    <t>本发明提供一种喷雾系统及其实现方法，该喷雾系统包括喷雾出液装置、液体均匀化密封盛放装置、气源提供装置、人机交互单元和服务器。其中，操作人员通过人机交互单元将具体操作的信息传递给服务器，服务器存储所传递的具体操作的信息，并通过对装置中实时采集的信息与对应设定的参数进行比较，判断是否执行具体操作的信息，气源提供装置用于为喷雾液体均匀化盛放装置中提供气体，液体均匀化密封盛放装置用于密封盛放待喷雾液体并对其均匀化搅拌，喷雾出液装置用于喷雾操作并在操作停止后回流液体。本发明提高了喷雾操作效率、消除了喷雾操作事故隐患。</t>
  </si>
  <si>
    <t>一种喷雾系统及其实现方法</t>
  </si>
  <si>
    <t>KR102045567B1</t>
  </si>
  <si>
    <t>提供了一种冰壶比赛策略推荐装置和方法,其中,所述冰壶比赛策略推荐装置包括存储应用深度学习和蒙特卡洛树搜索技术的冰壶比赛策略分析和推荐程序的存储器,以及处理器执行存储在内存中的程序,根据冰壶比赛策略分析和推荐程序的执行,处理器识别正在进行的冰壶比赛的图像,识别预定的比赛情况信息,并从记录数据中收集关于通过深度学习和蒙特卡洛树搜索技术对数据和赛局信息进行学习,建立策略推荐模型,预测与识别的赛局信息对应的一种或多种策略的信息,通过策略推荐模型...</t>
  </si>
  <si>
    <t>基于深度学习的冰壶比赛策略推荐装置及方法</t>
  </si>
  <si>
    <t>KR102045566B1</t>
  </si>
  <si>
    <t>提供了一种生成冰壶比赛策略的装置和方法,该装置包括存储冰壶比赛策略分析和生成程序的存储器和执行存储在存储器中的程序的处理器,其中处理器执行冰壶比赛策略分析和生成程序根据程序的执行,策略生成模型通过识别正在进行的冰壶比赛的图像来识别预定的比赛情况信息,并通过预设的机器学习从先前举行的多个冰壶比赛的记录数据中收集学习数据。 ,通过策略生成模型生成与识别出的比赛情况信息对应的一种或多种策略,输出针对生成的策略的推荐信息,记录之前举行的多场冰壶比赛的数据,图像信息和文本信息中的至少一种.</t>
  </si>
  <si>
    <t>冰壶比赛策略生成装置及方法</t>
  </si>
  <si>
    <t>CN206809713U</t>
  </si>
  <si>
    <t>本实用新型公开了一种统计球类体育比赛信息的装置，包括中央处理器和分别与中央处理器通信连接的语音采集模块、语音识别模块、显示模块、存储模块和通信模块，语音采集模块用于输入语音命令；语音识别模块包括预处理单元，文本转换单元，以及文本校验单元，中央处理器用于统计技术信息，技术信息包括根据校验后的文本数据统计技术动作和动作结果，中央处理器用于将技术信息发送至显示模块和存储模块。本实用新型的装置适用性强，将输入操作转变为语音命令，装置识别命令并转化为技术统计操作，能对球员的场上行为做全面统计；节省办赛人力成本，语音识别模块只识别固定语音命令，抗干扰能力强，具备离线命令技术，无流量消耗。</t>
  </si>
  <si>
    <t>统计球类体育比赛信息的装置</t>
  </si>
  <si>
    <t>CN107596667A</t>
  </si>
  <si>
    <t>本发明提供一种基于物联网技术的远程健身指导系统。本发明包括设置在用户端的运动器材，所述的运动器材上设置有数据采集装置，所述的数据采集装置连接用户端控制器，所述的用户端控制器通过因特网连接指导中心服务器。本发明不受时间和地点的限制，健身爱好者可以根据自己的时间安排，在家或者就近进行健身运动并能随时接受专业指导教练的指导，同时成本低，满足大部分健身爱好者的需求。</t>
  </si>
  <si>
    <t>基于物联网技术的远程健身指导系统</t>
  </si>
  <si>
    <t>CN304559774S</t>
  </si>
  <si>
    <t>1．本外观设计产品的名称：用于手机的图形用户界面（直播间内竞猜）。
 2．本外观设计产品的用途：本外观设计产品用于运行程序及通讯。
 3．本外观设计产品的设计要点：在于屏幕中的图形用户界面，红色线框内为界面区域。
 4．最能表明本外观设计设计要点的图片或照片：主视图。
 5．省略视图：手机为惯常设计，省略其他视图。
 6．界面用途：用于提供观看直播者参与比赛结果竞猜。
 界面中的“X”表示可替换内容。
 灰色涂覆区域为内容画面。
 变化状态图1由主视图进行人机交互（例如点击主视图上的A部）后显示；变化状态图2由变化状态图1进行人机交互（例如点击“立即竞猜”）后显示；变化状态图3由变化状态图2进行人机交互（例如点击B部下拉箭头）。</t>
  </si>
  <si>
    <t>用于手机的图形用户界面（直播间内竞猜）</t>
  </si>
  <si>
    <t>CN107485843B</t>
  </si>
  <si>
    <t>本发明公开了一种统计球类体育比赛信息的方法和装置，包括步骤：获得赛事信息：创建或检录已创建的比赛赛事；检录获得球员信息；获得语音数据：比赛开始启动计时后，按照预设的语音输入规则输入语音命令，获得语音数据，语音识别后获得文本数据；根据文本数据统计技术信息：根据校验后的文本数据统计技术动作和动作结果；以及提交比赛信息：比赛结束停止计时后，提交赛事信息、球员信息和技术信息。本发明的方法适用性强，将操作转变为语音命令，系统识别命令并转化为技术统计操作，能对球员的场上行为做全面统计；节省办赛人力成本，语音识别模块只识别固定语音命令，抗干扰能力强，具备离线命令技术，无流量消耗。</t>
  </si>
  <si>
    <t>统计球类体育比赛信息的方法及装置</t>
  </si>
  <si>
    <t>JP2019060122A</t>
  </si>
  <si>
    <t>本发明的目的在于提供一种能够以低成本且简单的控制来实现并且操作者能够容易地使用操作支持功能的旋转体的操作支持装置。 
  解决方案:当根据摄像机 28 拍摄的图像识别液压挖掘机 1 周围的运输车辆 31 时,将创建并显示显示运输车辆 31 相对于本车 1 的位置关系的鸟瞰图图像在显示器29上。同时,载体31的容器31a的顶部被确定为目标转向停止位置。 俯视图像中的液压挖掘机1与台车31的位置关系伴随着回转操作杆18的操作引起的上部回转体5的回转而变化。 当向目标回转停止位置操作回转操作杆18时,计算从杆操作停止到上部回转体5停止的制动角θ,并以制动角θ执行目标回转以作业装置10为基准,在停止位置侧显示表示转动停止预测位置的标记32,操作者根据该显示来判断杆操作的停止时机。 
  【选型图】图4</t>
  </si>
  <si>
    <t>回转体操作辅助装置</t>
  </si>
  <si>
    <t>US10693992B2</t>
  </si>
  <si>
    <t>本公开涉及用于将支持比第四代(4G)系统更高的数据速率的第五代(5G)通信系统与物联网(IoT)技术融合的通信方法和系统。 本发明可应用于基于5G通信技术和物联网相关技术的智能服务,例如智能家居、智能楼宇、智慧城市、智能汽车、互联汽车、医疗保健、数字教育、智能零售、安全和 安全服务。 在一个实施例中,提供流媒体服务的终端的操作方法包括:检测针对流媒体服务的流媒体操作,基于检测到的流媒体操作执行流媒体加速,以及与服务器共享与流媒体加速相关联的规则。</t>
  </si>
  <si>
    <t>提供流媒体服务的装置和方法</t>
  </si>
  <si>
    <t>WO2018063989A1</t>
  </si>
  <si>
    <t>自动化系统提供运动员的跟踪和评估表现。 在运动表现期间跟踪运动员,并将表现的位置数据应用于通过表示记录运动的参考数据集训练的人工神经网络(ANN)。 使用人工神经网络,确定性能的排名数据,其中排名数据指示运动的性能与多个记录的运动的子集之间的关系。 基于排名数据,可以向运动员呈现对表现的评价、对后续动作的指导以及提高运动员表现的建议。</t>
  </si>
  <si>
    <t>运动表现的评估和指导</t>
  </si>
  <si>
    <t>US11071887B2</t>
  </si>
  <si>
    <t>SG11201902071SB</t>
  </si>
  <si>
    <t>CN109716444B</t>
  </si>
  <si>
    <t>用于跟踪和评估运动员的表现的自动化系统。在运动的表现期间跟踪运动员，并且将该表现的位置数据应用于藉由表示记录运动的参考数据集训练的人工神经网络(ANN)。使用ANN，确定该表现的等级数据，其中该等级数据指示运动的表现与多个记录运动的子集之间的关系。基于等级数据，可以向运动员呈现对表现的评估、对后续运动的指令以及改善运动员表现的建议。</t>
  </si>
  <si>
    <t>运动表现的评估与指导</t>
  </si>
  <si>
    <t>US10600075B2</t>
  </si>
  <si>
    <t>提供了用于使用网页内容推荐系统为放置在正在构建的网页中的内容提供建议编辑的方法和系统。 可以将与添加到正在构建的网页的放置内容相关联的属性与预测内容进行比较,以确定是否预测任何编辑会增加网页的有效性。 预测内容可以是与添加到网页的放置内容相同或相似的内容。 预测内容可以取自与网页相同类别的网页(例如,类别可以是垂直体育用品商店或医疗保健提供者),也可以取自与网页相同网站上的部署页面。 以这种方式,可以基于预测内容确定建议的编辑并将其提供给用户。</t>
  </si>
  <si>
    <t>主动网页内容属性推荐</t>
  </si>
  <si>
    <t>WO2018057530A1</t>
  </si>
  <si>
    <t>描述了用于使用机器学习模型识别媒体内容(例如图像或视频数据)中的体育相关对象的系统和方法。 可以将媒体内容的特征作为输入提供给经过训练以检测各种体育相关对象和场景的描述的分类模型,以便生成与媒体内容中描述的基础体育事件相关联的各种度量。</t>
  </si>
  <si>
    <t>用于识别图像或视频数据中描绘的对象的机器学习模型</t>
  </si>
  <si>
    <t>CA3037201A1</t>
  </si>
  <si>
    <t>US10929752B2</t>
  </si>
  <si>
    <t>提供了用于使用计算机视觉分析图像或视频的系统和方法。 检索与物理位置处的体育赛事相关联的包括实时或接近实时信息或历史信息的数据。 识别物理位置处的显示设备的时间段以进行采集。 显示设备可配置为在指定赞助商的时间段期间呈现视觉赞助数据。 确定数据满足一个或多个规则。 将满足第一规则的指示发送到赞助商的计算设备。 至少基于满足第一规则生成出价或估价。 从赞助商的计算设备接收获取时间段的请求,并使得物理位置处的显示设备在该时间段内为赞助商呈现视觉赞助数据。</t>
  </si>
  <si>
    <t>显示设备的自动控制</t>
  </si>
  <si>
    <t>AU2017330571B2</t>
  </si>
  <si>
    <t>EP3516583B1</t>
  </si>
  <si>
    <t>用于识别图像或视频数据中描述的对象的机器学习模型</t>
  </si>
  <si>
    <t>ES2945713T3</t>
  </si>
  <si>
    <t>描述了使用机器学习模型来识别媒体内容(例如图像或视频数据)中的体育相关对象的系统和方法。 媒体内容特征可以作为输入提供给被训练来检测各种体育相关对象和场景的表示的分类模型,以生成与媒体内容中表示的基础体育赛事相关联的各种度量。</t>
  </si>
  <si>
    <t>用于识别图像或视频数据中表示的对象的机器学习模型</t>
  </si>
  <si>
    <t>AT1551493T</t>
  </si>
  <si>
    <t>机器学习模型可通过图片或视频数据进行识别</t>
  </si>
  <si>
    <t>CN107661622A</t>
  </si>
  <si>
    <t>本发明涉及一种生成五子棋对局数据的方法，其包括以下步骤：设置五子棋禁手规则和棋盘大小；选取现有五子棋AI比赛排名在前R名的AI，并设置其性能；指定不同的开局；在指定的开局下，使用选取的五子棋AI进行互相对弈，生成对局数据。本发明采用五子棋AI比赛中棋力较高的不同AI，不同的高水平五子棋AI互相下棋生成五子棋对局数据，能够提高对局后期数据的质量和多样性。本发明指定不同的开局，并采用随机方式增加开局的多样性，能够增加AI所生成对局数据的多样性。可生成不同棋盘大小的五子棋对局数据。生成的对局数据可根据需求增多。生成的五子棋对局数据能够训练出有效的神经网络。</t>
  </si>
  <si>
    <t>一种生成五子棋对局数据的方法</t>
  </si>
  <si>
    <t>WO2018063840A1</t>
  </si>
  <si>
    <t>CN109952581A</t>
  </si>
  <si>
    <t>一种机器学习系统，其包括教练机器学习系统，所述教练机器学习系统利用机器学习来帮助学生机器学习系统学习其自己的系统。通过监测学生学习系统，所述教练机器学习系统可以(通过机器学习技术)学习用于所述学生学习系统的“超级参数”，所述超级参数控制所述学生学习系统的机器学习过程。机器学习教练还可以确定针对学生学习系统架构的结构性修改。所述学习教练还可以控制流向所述学生学习系统的数据流。</t>
  </si>
  <si>
    <t>用于机器学习系统的学习教练</t>
  </si>
  <si>
    <t>EP3520038A4</t>
  </si>
  <si>
    <t>US11210589B2</t>
  </si>
  <si>
    <t>CN107564364A</t>
  </si>
  <si>
    <t>本发明公开一种基于北斗嵌入式导航系统的驾考教学系统及教学方法，教学系统包括车载视频监控单元、信息存储单元、北斗导航系统、教学单元、通讯单元、无线模块、云存储器以及教练远程监控单元，本发明通过教学单元对驾考学员进行实时操作指导，通过车载视频监控单元对教练车的周围环境进行监测，使教练能够实时知道教练车的行驶状态；通过北斗导航系统以及车载视频监控单元对学员的操作进行监控，使学员能够矫正错误的操作方式；通讯单元使学员和教练能进行实时通讯，保证学员在学习过程中遇到的问题能顺利解决。本发明中的教学方法基于远程实时教学以及监控，并设置了人机交互模块，保证学员在学习的过程中能充分解决遇到的问题，提高学习效率。</t>
  </si>
  <si>
    <t>一种基于北斗嵌入式导航系统的驾考教学系统及教学方法</t>
  </si>
  <si>
    <t>CN107694024A</t>
  </si>
  <si>
    <t>本发明公开了一种家用智能健身跑步机，包括跑步机平台，所述跑步机平台设有跑步机构，所述跑步机构设有固定架、固定轴承一、传动轴、转动轮、跑带、缓冲垫、护架、支撑平台、调速电机、联轴器、齿轮轴、转动轴、齿轮、防护外壳、连接板，所述跑步机平台上设有智能控制机构，所述智能控制机构设有电动伸缩杆、倾斜架、扶手、控制器、电容显示屏、家用电器插销、PLC系统、信号接收器、扬声器、语音识别器、红外线测距仪、信号发射器一、压力传感器、信号发射器二，所述跑步机平台下方设有移动机构，所述跑步机平台两侧设有儿童防护机构，所述儿童防护机构设有固定腿、伸缩带、固定腰带、钢管、防护垫。本发明的有益效果是，结构简单，实用性强。</t>
  </si>
  <si>
    <t>一种家用智能健身跑步机</t>
  </si>
  <si>
    <t>WO2018055635A1</t>
  </si>
  <si>
    <t>本文的实施例提供了一种用于监测、分析、改进和给出关于个人运动表现的即时反馈的方法和系统。 实施例还提供了在不使用任何视觉数据捕获机制的情况下创建体育动作的视觉表示的系统和方法。 该系统包括游戏监控设备、通信网络、远程服务器和计算设备。 远程服务器包括过滤和信号处理模块、分析模块、数据库和人工智能模块。 该计算设备包括几个模块和一个用户界面。 游戏监控设备检测来自玩家的多个数据点并将其传输到远程服务器。 远程服务器过滤和处理信号以分析每个击球和球员的比赛。 分析可视化并显示在用户计算设备上。</t>
  </si>
  <si>
    <t>EP3516563A4</t>
  </si>
  <si>
    <t>AU2017331639B2</t>
  </si>
  <si>
    <t>CN107441691B</t>
  </si>
  <si>
    <t>本发明公开了一种基于体感摄像头的健身方法及设备。包括：接收终端提供的用户健身请求，从预先存储的健身项目集合中选定其中至少一项健身项目作为该用户的当前健身项目；接收终端提供的用户输入的当前健身项目的预期健身参数，体感摄像头实时获取在当前健身项目下的用户的健身深度图；基于健身深度图，判定用户的当前健身参数是否达到预期健身参数，当用户的当前健身参数达到预期健身参数时，则结束当前健身项目，或，基于健身深度图，判定用户是否脱离体感摄像头的预设感应距离，当用户脱离体感摄像头的预设感应距离时，则结束当前健身项目。集成了体感技术，让用户在健身时可以实时获得人机交互的体验，提升了健身的多样性和乐趣性。</t>
  </si>
  <si>
    <t>基于体感摄像头的健身方法和健身设备</t>
  </si>
  <si>
    <t>CN107679623B</t>
  </si>
  <si>
    <t>一种智能球、系统及方法，通过六轴惯性传感器检测球体的三轴加速度变量和三轴角速度变量；先采用传感器信号校正神经网络实现三轴加速度变量与三轴角速度变量的预处理信号校正，再采用向心力校正神经网络计算因向心力产生的加速度；最后根据向心力产生的加速度、校正后的三轴加速度和三轴角速度计算实际的三轴加速度和实际的三轴角速度。提供了新的加速度变量、角速度变量与向心力之间的关系，从而为提高运动员专项能力提供更为准确的数据依据。</t>
  </si>
  <si>
    <t>JP7007664B2</t>
  </si>
  <si>
    <t>种类代码:A1 提供一种计算负荷低且能够高速输出结果的对象操作方法生成系统。 
  提出了一种用于规划可变形物体机动的系统。 该方法采用基于对象行为训练的三维卷积自动编码器和全连接递归处理器的混合神经网络架构,在全连接递归处理器中使用输入操作的误差反向传播生成操作序列。 
  【选型图】图2</t>
  </si>
  <si>
    <t>操作方法生成系统</t>
  </si>
  <si>
    <t>CN208251713U</t>
  </si>
  <si>
    <t>本实用新型提供一种数字智能健身场地系统，属于运动设施制造技术领域，本实用新型包括：矩形地面、监测墙面屏幕和训练墙面屏幕；所述训练墙面屏幕垂直固定于所述矩形地面的一条侧边；所述监测墙面屏幕垂直固定于所述矩形地面的另一条侧边；所述训练墙面屏幕与所述监测墙面屏幕相邻设置；所述矩形地面、监测墙面屏幕和训练墙面屏幕均为LED屏幕；所述矩形地面、监测墙面屏幕和训练墙面屏幕上均设置有红外传感器和/或激光传感器。本实用新型结构设计安全、布置合理。通过多媒体技术手段实现运动教学及训练可视化、通过人机交互设备、及时返回训练信息，让运动训练更富有趣味性和挑战性。</t>
  </si>
  <si>
    <t>数字智能健身场地系统</t>
  </si>
  <si>
    <t>CN207160651U</t>
  </si>
  <si>
    <t>本实用新型公开了一种物联网仿真生物装置设备，包括健身房，其特征在于：所述健身房底部设有减震腔，所述减震腔内设有减震设备，所述健身房的侧壁上设有多个降噪吸音板，所述降噪吸音板的侧壁上设有多个绿植放置卡槽，所述绿植放置卡槽内设有多个绿植，所述绿植放置槽内设有水份传感器，所述水份传感器连接主控制器，所述健身房的顶部固定安装有滑杆，所述滑杆上滑动安装有摄像头，所述摄像头通过滑动机构连接，所述摄像头的一侧设有红外线体温检测器，所述红外线体温检测器通过滑动机构连接，所述健身房内设有健身器材，所述健身器材连接数据存储器，所述数据存储器连接互联网数据传输设备。本实用新型结构简单，减震性能好，噪音小，且能模仿真实的自然环境，提高运动效率，且可以远程监控。</t>
  </si>
  <si>
    <t>物联网仿真生物装置设备</t>
  </si>
  <si>
    <t>CN107689171A</t>
  </si>
  <si>
    <t>本发明提出一种基于物联网的老年学习机，主要包括：学习机主体及放置于学习机侧面凹槽中的电子触屏笔，所述学习机主体设有触摸显示屏，触摸显示屏的下方为触控板。学习机主体内部设有处理器以及与处理器相连接的存储器、Zigbee无线通讯模块、电池、扬声器、扩音器、麦克风、计时器。所述扬声器和扩音器电路独立连接。所述Zigbee无线通讯模块可与燃气灶、电视等家庭电器连接也可以与健身器械连接。本发明能够单独使用，也能够与家电等设备交互连接使用，并且，本发明考虑到老年人的使用习惯设计多种使用方法，使老年人容易操作。</t>
  </si>
  <si>
    <t>一种基于物联网的老年学习机</t>
  </si>
  <si>
    <t>CN107731278A</t>
  </si>
  <si>
    <t>本发明公开了一种食物识别方法，包括以下步骤：获取用户摄入食物的食物图片并进行预处理；对预处理后的食物图片进行特征提取并得到对应的特征向量，并结合食物识别模型得到用户所摄入的各个食物的基本信息；根据预处理后的食物图片得出食物图片中的参考物与食物图片中的食物容器之间的比例关系并得到食物在食物容器中的占比，并结合食物份量识别模型得出用户所摄入的各个食物的份量。本发明还提供了一种电子设备、存储介质、食物识别装置和营养健康分析方法及系统。本发明将图像识别技术运用到食物识别中，不仅实现食物的类型识别，还实现了食物的份量识别，进而解决现有技术中人们只能依靠营养师、健身教练等专业人员对人们饮食进行指导的问题。</t>
  </si>
  <si>
    <t>一种食物识别方法、营养健康分析方法、系统及装置</t>
  </si>
  <si>
    <t>CN207182705U</t>
  </si>
  <si>
    <t>本实用新型提出一种基于物联网的老年学习机，主要包括：学习机主体及放置于学习机侧面凹槽中的电子触屏笔，所述学习机主体设有触摸显示屏，触摸显示屏的下方为触控板。学习机主体内部设有处理器以及与处理器相连接的存储器、Zigbee无线通讯模块、电池、扬声器、扩音器、麦克风、计时器。所述扬声器和扩音器电路独立连接。所述Zigbee无线通讯模块可与燃气灶、电视等家庭电器连接也可以与健身器械连接。本实用新型能够单独使用，也能够与家电等设备交互连接使用，并且，本实用新型考虑到老年人的使用习惯设计多种使用方法，使老年人容易操作。</t>
  </si>
  <si>
    <t>CN207342148U</t>
  </si>
  <si>
    <t>本实用新型公开了一种陪练记分机器人，包括采用人型木制或塑料结构和外包海绵皮革混合材料构成的机器人的主体外型，设于所述主体外型内的隔离变压器、AC‑DC模块、微控制单元、驱动电路、电磁杠杆、无线发射电路、压力传感器、光电传感器、电机、外部显示电路、轮子。本实用新型陪练记分机器人，开创了使用人工智能技术，来进行陪练的新方式，填补了这一领域的空白，把游戏中的虚拟比赛打怪兽，血条逐渐减少，搬到实际训练当中，既可以锻炼身体，也可以增强娱乐性，并且记录的速度力量，能量等数据可以进行历史比对，解放了教练的很多时间，可以同时多带学员，提高了教学效率，革命性的推动了这一领域的进步。</t>
  </si>
  <si>
    <t>陪练记分机器人</t>
  </si>
  <si>
    <t>US20190347956A1</t>
  </si>
  <si>
    <t>本文的实施例提供了一种用于监测、分析、改进和给出关于个人运动表现的即时反馈的方法和系统。 实施例还提供了在不使用任何视觉数据捕获机制的情况下创建体育动作的视觉表示的系统和方法。 该系统包括游戏监控设备、通信网络、远程服务器和计算设备。 远程服务器包括过滤和信号处理模块、分析模块、数据库和人工智能模块。 计算设备包括几个模块和一个用户界面。 游戏监控设备检测来自玩家的多个数据点并将其传输到远程服务器。 远程服务器过滤和处理信号以分析每个击球和球员的比赛。 分析可视化并显示在用户计算设备上。</t>
  </si>
  <si>
    <t>CN109427169A</t>
  </si>
  <si>
    <t>本发明涉及物联网技术领域，且公开了一种基于物联网的安全防护系统，包括中央处理器，所述中央处理器的输入端与图像处理模块的输出端电连接，图像处理模块的输入端与监控平台的输出端电连接，监控平台的输入端与控制单元的输出端电连接，控制单元的输入端与预处理器的输出端电连接。该基于物联网的安全防护系统，通过节点控制烟雾的探测和监控信号的输出，可以避免信号的互相干扰，同时对烟雾和监控信号进行记录、对比、分析和处理的判断，同时对中央处理器进行反馈，从而进行警报，使体育馆的情况进行智能化处理，防止出现人为疏忽的现象，使用更加安全，同时可以控制门锁，使人们的生命财产安全性大大提高，使用方便。</t>
  </si>
  <si>
    <t>一种基于物联网的安全防护系统</t>
  </si>
  <si>
    <t>GB2566067B</t>
  </si>
  <si>
    <t>一种比赛场地监控系统,包括比赛场地1; 图像捕获单元3优选地安装在泛光灯阵列2上,被布置用于根据至少部分比赛表面的摄像机的视场4以及其上的人或物体捕获图像; 处理装置,可配备神经网络,用于检测所述人或物体及其在比赛表面上的相对位置; 用于区分使用球场的人和用于维护球场的物体的装置,以及用于使用所确定的信息来确定在一段时间内对比赛场地的使用和/或维护以及用于确定一个或多个使用密度的装置 比赛场地的一部分。</t>
  </si>
  <si>
    <t>比赛场地的维护</t>
  </si>
  <si>
    <t>CN304651273S</t>
  </si>
  <si>
    <t>1．本外观设计产品的名称：用于手机的图形用户界面。
 2．本外观设计产品的用途：本外观设计产品用于通讯及运行程序等。
 本图形用户界面的用途：用于人机交互，在【手机APP】里演出赛事频道，用户可实时查看与预订支持线上预订的演出票，实时查看及购买演出票周边的实物，同时可查看已购买的演出票的订单信息。
 主视图，变化状态图1‑2为上下滚动页面；变化状态图3‑6为上下滚动页面；变化状态图8‑9为上下滚动页面；变化状态图13‑14为上下滚动页面；变化状态图18‑19为上下滚动页面。
 主视图点击演唱会/体育赛事/歌剧话剧/儿童亲子/更多，转至变化状态图8；主视图点击重磅推荐下左方图片，转至变化状态图11；主视图点击重磅推荐下周边商品，转至变化状态图16；主视图点击重磅推荐下旗舰店，转至变化状态图18；变化状态图1点击演出信息，转至变化状态图11；变化状态图3点击轮播图，转至变化状态图11；变化状态图3点击商品信息，转至变化状态图21；变化状态图4点击新片看点下图片，转至变化状态图11；变化状态图5点击演出推荐下图片，转至变化状态图11；变化状态图6点击精选活动下图片，转至变化状态图17；变化状态图7点击订单信息，转至变化状态图20；变化状态图8点击导航条最右时间按钮，转至变化状态图10；变化状态图8点击文字链，转至变化状态图11；变化状态图8点击演出信息，转至变化状态图11；变化状态图11点击立刻购票，转至变化状态图12；变化状态图12点击下一步，转至变化状态图13；变化状态图13点击提交订单，转至变化状态图15；变化状态图15完成支付，转至变化状态图7；变化状态图16点击查看更多，转至变化状态图17；变化状态图16点击商品信息，转至变化状态图21；变化状态图18点击商品信息，转至变化状态图21；变化状态图19点击旗舰店信息，转至变化状态图17。
 3．本外观设计产品的设计要点：在于图形用户界面。
 产品载体为现有设计。
 4．最能表明本外观设计设计要点的图片或照片：主视图。</t>
  </si>
  <si>
    <t>US10360910B2</t>
  </si>
  <si>
    <t>公开了一种补偿不同噪声环境和语音类型的自动语音识别(ASR)系统。 ASR系统可以作为收集状态数据(例如地理位置数据和/或传感器数据)的运动相机的一部分来实现。 ASR系统可以使用声学模型和语音识别模型来执行语音识别,这些模型和语音识别模型被训练用于在特定噪声环境中的操作和/或特定类型的语音。 计算设备可以将运动相机的当前状态,如状态数据所指示的,分类为动作简档,该动作简档可以表示计算设备的特定活动(例如,跑步、骑自行车等)或状态。 计算设备可以基于动作概况动态地切换声学模型和/或语音识别模型以补偿噪声环境和语音的预期变化,从而促进各种动作相机功能的识别。</t>
  </si>
  <si>
    <t>利用 GPS 和传感器数据的自动语音识别 (ASR)</t>
  </si>
  <si>
    <t>CN107480458A</t>
  </si>
  <si>
    <t>本发明公开了基于身材变化识别的智能镜用健身计划推荐系统及其方法，用户每次可通过语音指令来完成对自身身材变化的数据采集，最终在终端显示单元上给用户推荐出针对用户自身的健身计划和加深方案、与用户健身计划相对应的菜谱，使用户避免由于缺少健身知识而进行的盲目健身，在提升用户健身效果和健身效率的同时，使用户的身体状况保持最佳，并且就医提醒单元在接受到用户身材变化异常的信息时，给用户及时的就医提醒，进一步的保证了用户的身体健康状况，因此本发明具有很好的应用前景。</t>
  </si>
  <si>
    <t>基于身材变化识别的健身计划推荐系统及其方法</t>
  </si>
  <si>
    <t>CN207117835U</t>
  </si>
  <si>
    <t>本实用新型公开了一种基于人工智能关节捕捉技术的健身辅助系统。该健身辅助系统包括视频采集模块、流媒体服务模块、传输模块以及显示模块，其中，所述视频采集模块用于采集健身人员以及健身器材的视频流；所述流媒体服务模块用于从所述视频流中捕捉人体动作特征，并依据所述人体动作特征对所述健身人员的动作得出的评分和/或指导评价；所述显示模块用于显示所述流媒体服务模块得出的对所述健身人员的动作的评分和/或指导评价；所述传输模块用于所述视频采集模块、所述流媒体服务模块与所述显示模块之间的数据传输。该健身辅助系统可为健身人员获得专业级健身指导，而且可降低健身费用。</t>
  </si>
  <si>
    <t>基于人工智能关节捕捉技术的健身辅助系统</t>
  </si>
  <si>
    <t>ES1222954Y</t>
  </si>
  <si>
    <t>1.一种用于记录运动成绩的便携式电子设备(1),适用于多人运动(8、9、10、11)参与者的得分和比赛统计记录,所述设备(1)适于携带 由至少一名上述玩家(8,9,10,11); 并且其特征在于它包括: - 至少四个积分登记按钮(2、3、4、5),适用于手动引入与得分或球员各自个人表现相关的信息(8、9、 10、11); - 电子模块 (6),适用于处理来自注册按钮 (2、3、4、5) 的信号; -通信模块(6),连接到电子模块(6)并适于将与记录点的每个按钮(2、3、4、5)的脉动有关的处理信息传输到终端(12) 远程,无线。 2.根据前述权利要求所述的设备(1),其中,所述通信模块(6)包括用于向/从包括所述终端(12)的无线通信网络(13)发送和/或接收信息的装置。 3.根据前述权利要求中任一项所述的设备(1),其中,所述注册按钮(2、3、4、5)被机械地激活。 4.根据前述权利要求中任一项所述的设备(1),其中,所述注册按钮(2、3、4、5)被布置为在所述设备中形成正方形或矩形的顶点。 5.根据前述权利要求中任一项所述的设备(1),还包括用于视觉指示、照明、振动和/或声音的装置(7)。 6.根据前述权利要求中任一项所述的装置(1),其中,所述装置(1)被配置为装备在所述选手(8、9、10、11)的手腕上,装备在选手(8、9、10、11)的球拍上。 8, 9, 10, 11) 或所述球员身体的某个点 (8, 9, 10, 11)。 7.根据前述权利要求中任一项所述的设备(1),包括可充电电池。 8.根据前述权利要求中任一项所述的设备(1),其中,所述电子模块(6)包括麦克风和/或语音识别模块,和/或地理定位装置。 9.根据前述权利要求中任一项所述的设备(1),其中,所述通信模块(6)包括射频传输装置。 10.根据前述权利要求中任一项所述的设备(1),其中,所述电子模块(6)包括加速度计和/或陀螺仪,被配置为确定玩家击球(8、9)的加速度和/或角速度 , 10, 11)。 11.根据前述权利要求所述的设备(1),其中,所述电子模块(6)包括用于测量玩家(8、9、10、11)的身体活动的模块。 12. 标记注册系统,包括一个或多个根据权利要求1-11中任一项所述的便携式电子设备(1),并且包括将一个或多个玩家(8、9、10、11)与一个或多个玩家连接的通信网络(13)。 多个终端(12),以及连接到所述通信网络(13)的一个或多个服务器(14)和/或数据库(15); 其中: - 终端(12)被配置为供玩家(8、9、10、11)使用,配备有硬件和/或软件装置以及游戏配置模块和统计数据收集; 所述终端(12)通过互联网和/或移动无线连接连接到通信网络(13); 并且其中配置模块包括用于选择至少:参与者的数量(8、9、10、11)、服务开始的条件和比赛组的数​​量的装置; -终端(12)被配置为通过通信模块(6)从便携式电子设备(1)接收信息,生成与游戏相关的信息并通过终端(12)和通信发送所述信息 网络(13)连接到服务器(14)和数据库(15),用于生成玩家(8、9、10、11)的统计数据和/或游戏历史。 13.根据前述权利要求所述的系统,其中,所述服务器(14)和/或数据库(15)实施为所述游戏历史记录、配置偏好和/或 地理位置。 14.根据前述权利要求12-13所述的系统,其中,所述终端(12)包括用于轨道网络的固定附件(16),其配备有安全锁(16)和防震装置。</t>
  </si>
  <si>
    <t>适合双部分使用的运动标记登记装置和系统。</t>
  </si>
  <si>
    <t>CN207126038U</t>
  </si>
  <si>
    <t>本实用新型公开了一种基于物联网的健身设备，包括底座、踏板、支撑杆、扶手、显示屏、电控箱、控制板、储物盒、第一固定板、减震弹簧、第二固定板、固定槽、毛刷、第一斜齿轮、第二斜齿轮、输出轴、旋转电机、转轴、重力传感器、速度传感器、物联网模块、单片机、报警器和压力传感器，所述底座的顶部安装有踏板，所述踏板的内部嵌入安装有重力传感器和速度传感器，所述底座的顶部一端中心处安装有支撑杆，所述支撑杆的对应两侧均安装有扶手，所述支撑杆的顶部安装有显示屏和电控箱，所述电控箱的一侧安装有控制板，所述电控箱的内部安装有物联网模块、单片机和报警器，该健身设备，有利于减震和清洁，同时具备物联网传输数据功能。</t>
  </si>
  <si>
    <t>CN107463698B</t>
  </si>
  <si>
    <t>本申请实施例公开了基于人工智能推送信息的方法和装置。方法的一具体实施方式包括：响应于发生新的比赛，挖掘比赛的实时赛况数据以及比赛的实时关联数据；采用实时赛况数据，生成结构化数据；采用实时关联数据和离线物料，生成推荐物料；根据结构化数据以及由状态管理器中获取的实时比赛状态信息，判定当前时间点是否为推荐节点；若是，则基于推荐物料、实时比赛状态信息和由状态管理器中获取的比赛基础信息，生成推送信息，并更新状态管理器中的推送信息记录；推送该推送信息。该实施方式提高了推送的推送信息的质量和及时性。</t>
  </si>
  <si>
    <t>基于人工智能推送信息的方法和装置</t>
  </si>
  <si>
    <t>CN109389686A</t>
  </si>
  <si>
    <t>本发明公开了一种基于大数据与人工智能实现VR场景与物体的加载方法，通过掌握操作者的操作习惯依据普遍操作者的共同操作习惯结合个体操作者的差异操作习惯进行下一步操作流程或操作步骤预估后提前加载场景与物体的方法，解决了虚拟现实按需加载场景的问题，减少了图像的传输与加载数据量，提高了虚拟3D场景运行效率，减少冗余，特别在Web应用上、移动VR应用上更加重要，效果更明显。</t>
  </si>
  <si>
    <t>基于大数据与人工智能实现VR场景与物体的加载方法</t>
  </si>
  <si>
    <t>CN107976705A</t>
  </si>
  <si>
    <t>本发明公开了一种基于云端的轨迹计算方法、系统，方法包括：用户上传GPS定位数据至云端，在云端建立运动轨迹数据库，对所述运动轨迹数据库中所有用户的历史运动轨迹数据进行机器学习，提取出规律路径，将规律路径拟合作为用户的真实跑步轨迹。本发明中通过大数据算法的分析拟合成预测路线，可不受空间、地域、时间等因素的限制，从而最大化减少了轨迹图定位偏差、漂移、不计步等问题。此外，本发明还能够很大程度上节省了通过定位带来的电量损耗。</t>
  </si>
  <si>
    <t>一种基于云端的轨迹计算方法、系统</t>
  </si>
  <si>
    <t>CN107481263B</t>
  </si>
  <si>
    <t>本发明涉及一种乒乓球目标跟踪方法、装置、存储介质和计算机设备。从包含目标的视频中获取图像，将图像输入预设卷积神经网络模型经过处理得到图像中目标的包围盒。将图像中目标的包围盒输入预设回归层进行回归处理后得到目标对应的回归后的包围盒，预设回归层包含预设卷积神经网络模型的低层卷积层。越低层的卷积层包含较多位置信息，高层的卷积层包含较多语义信息如物体的类别。所以将经过预设卷积神经网络模型处理得到的包围盒输入至预设回归层进行回归处理后，因为预设回归层包含预设卷积神经网络模型的低层卷积层，所以可以同时兼顾高层卷积层的语义信息和低层卷积层的位置信息，从而可以正确辨别出输入图像中的目标并准确地给出目标的包围盒。</t>
  </si>
  <si>
    <t>乒乓球目标跟踪方法、装置、存储介质和计算机设备</t>
  </si>
  <si>
    <t>CN107481270B</t>
  </si>
  <si>
    <t>本发明涉及一种乒乓球目标跟踪和轨迹预测方法、装置、存储介质和计算机设备。获取两台摄像机在同一时刻分别对跟踪目标拍摄的一帧图像，从图像中提取出跟踪目标对应的候选区域。将候选区域输入预设跟踪模型进行处理得到跟踪目标对应的包围盒。获取两台摄像机在同一时刻分别拍摄的跟踪目标对应的包围盒中心的二维坐标，再根据摄像机投影矩阵计算出包围盒中心的三维坐标。获取连续时刻的包围盒的三维坐标构成连续的坐标序列，将连续的坐标序列输入递归神经网络LSTM中进行计算生成后续的坐标序列，根据上述坐标序列得到跟踪目标的轨迹。采用预设跟踪模型对目标位置进行跟踪，再结合LSTM能够有效地分析时序特征的优势，就能够实现对跟踪目标运动轨迹的准确预测。</t>
  </si>
  <si>
    <t>乒乓球目标跟踪和轨迹预测方法、装置、存储介质和计算机设备</t>
  </si>
  <si>
    <t>WO2018030784A1</t>
  </si>
  <si>
    <t>为了给使用者提供活动空间,在箱体的下侧设置了一个箱体,箱体包括形成前后左右两侧的侧壁,以及密封上侧的上壁,以便使用者可以采取步行或跑步动作的步行辅助装置,用于执行步行的步行辅助装置,用于显示虚拟现实图像的一个或多个显示器,用于通过分析在一个或多个显示器上显示的虚拟现实图像来确定与虚拟现实图像相对应的环境的控制器更多的显示器,并对应于控制器确定的环境公开了一种用户体验装置,包括用于调节箱内环境的内部环境控制装置。</t>
  </si>
  <si>
    <t>IN201721028277A</t>
  </si>
  <si>
    <t>11 摘要:大多数被忽视的、真正的农村人才无法获得负担得起的 24/7 全天候优质教育,以培养个性的各个方面。 发明者通过设计具有多维方法的设备和方法精确地解决了这个缺陷。 它强调并促进真正有才华的志向者建立有个性的职业生涯。 它由独特的中央指导工作室中心和无线连接的多个远程集群学习中心组成。 世界一流的学科导师从中心位置提供监控和质量指导服务,即。 工作室结束。 本发明的特殊组成部分是——双向、安全的实时信息流和交互性,而与位置和距离无关。 多媒体内容具有高清质量。 所述网络拓扑使吸气者能够向行业资深人士、企业中坚分子和导师学习,否则这些人是无法接近并且也负担不起的。 此外,由于集中管理,可交付成果是一致的、可定制的和可管理的。 发明者方法包括五维模型,包括(1)学术(2)专业(3)社会(4)精神和(5)个人有志者的心理成长。 它消除了吸气者头脑中对特定主题以及嵌入的主观事物的灰色区域和恐惧。 Inventor 的以学习者为中心的中心可从预先确定的位置进行操作,例如 15-20。 它配备了良好的基础设施、人员和技术。 以自有和/或特许经营为基础的模型可以扩展到任何地理区域。 通过人工智能驱动、基于云的启用、面向 Web 和基于移动的软件和发明者的应用程序来完成操作的平稳控制。 海外合作伙伴在时间框架的里程碑基础上,即针对特定国家的设计、开发和实施方面提供愿景。 三年后开始。 发明具有社会一致性,预计将在与国内的 SMART 技术专家和企业家创造商机方面产生巨大影响。 本发明的一些显着特征是- (a) 优质服务的地点到地点分配实际上是不可能的。 情绪教育提供了这种可行性和灵活性,因为主要活动是集中控制和监控的。 (b) 目前的替代方案包括教练和补习班的选择,其中教师职位相当薄弱和波动,情感教育提供强大的知识库,不会给学生施加压力并始终保持质量 (c) 目前大多数替代方案的范围有限,但情感教育 克服了这一限制,可以在需要时以最少的投资无限扩大覆盖范围。 此外,“增强、虚拟现实、全息和 3D 相机”的集成将简化复杂的主题,即生物学、纳米技术、具有真实感觉的人体。这有助于保持教育质量;并且由于它与多个地点互动,学生 可以与超级专家进行一对一的互动,这将是学生改变生活和一生的机会。</t>
  </si>
  <si>
    <t>系统和设备,通过卫星实时经济地监控情感教育的质量和交付到许多难以到达的地点</t>
  </si>
  <si>
    <t>CN107261448A</t>
  </si>
  <si>
    <t>本发明公开了一种基于物联网的铅球比赛自动裁判平台，所述铅球模块Ⅰ负责飞出铅球落地后，向场地模块Ⅱ发出铅球落地的感应信号；场地模块Ⅱ负责当投掷的铅球落在比赛场地后，向服务器模块Ⅲ发送落地位置信号；服务器模块Ⅲ负责接收场地模块Ⅱ发送的信号，判断铅球落地是否符合比赛要求，计算被投掷铅球的飞行距离和对所有选手投掷铅球比赛的排名；本发明可以实现自动正确判断投掷的铅球是否进入合法的场地范围内及投掷的铅球投掷距离自动裁判，从而避免裁判必须到比赛场地而带来人身危险，对所有选手的比赛结果自动排名，提高比赛的效率。</t>
  </si>
  <si>
    <t>基于物联网的铅球比赛自动裁判平台及使用方法</t>
  </si>
  <si>
    <t>CN107424453A</t>
  </si>
  <si>
    <t>本发明公开了一种基于物联网的教学管理系统，包括系统管理平台、课堂物联网多媒体教学系统，所述系统管理平台与课堂物联网多媒体教学系统以有线或者无线的方式相连；所述系统管理平台分为物联网服务管理、课堂教学服务、移动服务管理；所述课堂物联网多媒体教学系统包括设备互联集控系统、音视频媒体模块、课堂录播系统、多媒体操作控制器、教学信息显示设备、有源音频扩大器。本发明的有益效果：实现了物联网的远程管理、跨网段管理；所有的控制操作在统一标准条件下，实现了对多媒体设备联动控制的集成、控制与操作。</t>
  </si>
  <si>
    <t>一种基于物联网的教学管理系统</t>
  </si>
  <si>
    <t>CN107274735A</t>
  </si>
  <si>
    <t>本发明公开了一种课堂物联网多媒体教学系统，所述课堂物联网多媒体教学系统包括设备互联集控系统、音视频媒体模块、课堂录播系统、多媒体操作控制器、教学信息显示设备、有源音频扩大器，所述设备互联集控系统与音视频媒体模块、课堂录播系统相连，所述教学信息显示设备与音视频媒体模块相连，所述有源音频扩大器获取音视频媒体模块与课堂录播系统的音频信号，所述多媒体操作控制器为遥控输出端，接收端为音视频媒体模块、有源音频扩大器与课堂录播系统。本发明的有益效果：实现了物联网的远程管理、跨网段管理。</t>
  </si>
  <si>
    <t>一种课堂物联网多媒体教学系统</t>
  </si>
  <si>
    <t>KR1020180018357A</t>
  </si>
  <si>
    <t>为了给使用者提供活动的空间,箱体包括形成前后左右两侧的侧壁和密封上侧的上壁,并设置在箱体的下侧,使得用户可以走路或跑步 步行辅助装置,一个或多个显示虚拟现实图像的显示器,一个控制器,分析一个或多个显示器上显示的虚拟现实图像并确定与虚拟现实图像对应的环境,并做出响应由控制器确定的环境 公开了一种用户体验设备,包括用于调节盒子内部环境的内部环境控制装置。</t>
  </si>
  <si>
    <t>WO2018029717A3</t>
  </si>
  <si>
    <t>本发明涉及一种新的个体定制的运动训练和康复技术,称为“MPT:Medical Personal Trainer”。 更准确地说,本发明涉及一种用于健康个体和慢性病患者的身体活动和运动训练/康复计划领域的创新方法。 它将医学、工程、数学、人工智能等先进概念以交互方式融合在一起,为用户提供自动化个性化医疗保健的新临床视角,以及对个体化管理和先进治疗的新见解。 - 健康受试者(包括老年人)和慢性病患者的熟悉环境。</t>
  </si>
  <si>
    <t>量身定制的运动训练和康复技术:医疗私人教练</t>
  </si>
  <si>
    <t>EP3496826B1</t>
  </si>
  <si>
    <t>US11198037B2</t>
  </si>
  <si>
    <t>CA3042941A1</t>
  </si>
  <si>
    <t>本发明涉及男女不同尺寸的个性化定制可穿戴技术,包括耦合在一起的电极、导电轨道和用于药物的密封罐,以及包含GSM(全球移动系统)和GPS(全球移动系统)的微型心电图(ECG)设备。 定位系统)调制解调器或蓝牙系统,使用无线个人区域网络(PAN 或 WPAN)规范。 当用户按下按钮时开始获取电信号。 本发明属于医疗、娱乐和/或体育应用领域,旨在监测处于高心血管风险的患者,并有可能尽早诊断,以期缩短急性冠状动脉综合征患者的最终治疗时间 (ACS)、急性心肌梗死 (AMI)、急性心房颤动 (AAF) 心律失常和其他类型的心律失常或其他可以通过心电图追踪、大数据分析和深度学习检测的心脏疾病,并使用人工智能 并通过适当管理密封罐中的药物。</t>
  </si>
  <si>
    <t>可穿戴式心电图监测技术 (ECG),带有用于药品的密封容器和集成医疗监测系统</t>
  </si>
  <si>
    <t>NZ754281A</t>
  </si>
  <si>
    <t>AU2017353363B2</t>
  </si>
  <si>
    <t>本发明涉及男女不同尺寸的个人定制可穿戴技术,包括连接在一起的电极、导电轨道和用于药物的密封罐,并且连接到包含GSM(全球移动系统)和GPS(全球移动系统)的微型心电图(ECG)设备。 定位系统)调制解调器或使用无线个域网(PAN 或 WPAN)规范的蓝牙系统。 当用户按下按钮时,开始采集电信号。 本发明属于医疗、娱乐和/或体育应用领域,旨在监测具有高心血管风险的患者,并能够尽早诊断,以期缩短急性冠脉综合征患者最终治疗的时间 (ACS)、急性心肌梗塞(AMI)、急性心房颤动(AAF)心律失常以及其他类型的心律失常或其他可以通过心电图追踪、大数据分析和深度学习以及人工智能检测到的心脏病变 并通过适当管理密封罐中的药物。</t>
  </si>
  <si>
    <t>具有密封药物罐和集成医疗监护系统的可穿戴心电图(ECG)监测技术</t>
  </si>
  <si>
    <t>CN110478872A</t>
  </si>
  <si>
    <t>本发明涉及一种采用全息投影技术的人工智能健身教练技术，通过健身人员训赛信息采集器，实时采集健身人员的健康、体能数据，同时健身训练信息采集器收集训练、现场数据，再通过全球优秀健身教练训赛大数据分析系统将收集的数据进行处理分析，将处理好的数据传输到人工智能健身教练优化指导系统，生成最优化的教练指导方案，通过全息投影技术的人工智能健身教练成像系统，生成虚拟的人工智能教练训练指导影像，最后通过各种全息投影终端设备，在各种场所立体成像出人工智能健身教练指导健身人员训练，让每一位健身人员和健身爱好者随时随地的接受最优化的健身训练指导。</t>
  </si>
  <si>
    <t>一种采用全息投影技术的人工智能健身教练</t>
  </si>
  <si>
    <t>CN110575655A</t>
  </si>
  <si>
    <t>本发明它本发明涉及一种采用全息投影技术的人工智能乒乓球教练技术，通过乒乓球队员训赛信息采集器，实时采集乒乓球队员的训练、比赛、体能数据，同时乒乓球训赛信息采集器收集训练、比赛现场数据，再通过全球优秀乒乓球教练训赛大数据分析系统将收集的数据进行处理分析，将处理好的数据传输到乒乓球训赛人工智能教练优化指导系统，生成最优化的教练指导方案，通过全息投影技术的人工智能乒乓球教练成像系统，生成虚拟的人工智能教练训练指导影像，最后通过各种全息投影终端设备，在各种场所立体成像出人工智能乒乓球教练指导球员训练，让每一位球员和乒乓球爱好者和观众随时随地的接受最优化的乒乓球训练指导。</t>
  </si>
  <si>
    <t>一种采用全息投影技术的人工智能乒乓球教练</t>
  </si>
  <si>
    <t>CN110575656A</t>
  </si>
  <si>
    <t>本发明它本发明涉及一种采用全息投影技术的人工智能篮球教练技术，采用全息投影技术的人工智能篮球教练技术，通过篮球队员训赛信息采集器，实时采集篮球队员的训练、比赛、体能数据，同时篮球训赛信息采集器收集训练、比赛现场数据，再通过全球优秀篮球教练训赛大数据分析系统将收集的数据进行处理分析，将处理好的数据传输到篮球训赛人工智能教练优化指导系统，生成最优化的教练指导方案，通过全息投影技术的人工智能篮球教练成像系统，生成虚拟的人工智能教练训练指导影像，最后通过各种全息投影终端设备，在各种场所立体成像出人工智能篮球教练指导球员训练，让每一位球员和篮球爱好者和观众随时随地的接受最优化的篮球训练指导。</t>
  </si>
  <si>
    <t>一种采用全息投影技术的人工智能篮球教练</t>
  </si>
  <si>
    <t>CN110575661A</t>
  </si>
  <si>
    <t>本发明它本发明涉及一种采用全息投影技术的人工智能高尔夫球教练技术，通过高尔夫球员训赛信息采集器，实时采集高尔夫球员的训练、比赛、体能数据，同时高尔夫球训赛信息采集器收集训练、比赛现场数据，再通过全球优秀高尔夫球教练训赛大数据分析系统将收集的数据进行处理分析，将处理好的数据传输到高尔夫球训赛人工智能教练优化指导系统，生成最优化的教练指导方案，通过全息投影技术的人工智能高尔夫球教练成像系统，生成虚拟的人工智能教练训练指导影像，最后通过各种全息投影终端设备，在各种场所立体成像出人工智能高尔夫球教练指导球员训练，让每一位球员和高尔夫球爱好者和观众随时随地的接受最优化的高尔夫球训练指导。</t>
  </si>
  <si>
    <t>一种采用全息投影技术的人工智能高尔夫球教练</t>
  </si>
  <si>
    <t>CN107369226A</t>
  </si>
  <si>
    <t>本发明涉及一种基于物联网技术的智能计时方法、系统及装置，所述智能计时方法包括各参赛选手随身携带的智能计时终端、分设于比赛线路上各比赛计时点处的信号发射终端、与信号发射终端连接的计时主机、与各智能计时终端和计时主机通过物联网连接的云计时服务平台。本发明不仅能够解决大量参赛选手参赛时漏数据问题，解决实时比赛成绩与网络同步的问题，且实现计时设备的轻量化、简单化、多功能化以及易回收。</t>
  </si>
  <si>
    <t>一种基于物联网技术的智能计时方法、系统及装置</t>
  </si>
  <si>
    <t>CN207473689U</t>
  </si>
  <si>
    <t>本实用新型涉及一种基于物联网技术的智能计时系统及装置，所述智能计时方法包括各参赛选手随身携带的智能计时终端、分设于比赛线路上各比赛计时点处的信号发射终端、与信号发射终端连接的计时主机、与各智能计时终端和计时主机通过物联网连接的云计时服务平台。本实用新型不仅能够解决大量参赛选手参赛时漏数据问题，解决实时比赛成绩与网络同步的问题，且实现计时设备的轻量化、简单化、多功能化以及易回收。</t>
  </si>
  <si>
    <t>一种基于物联网技术的智能计时系统及装置</t>
  </si>
  <si>
    <t>CN107233695A</t>
  </si>
  <si>
    <t>本发明名为可通过语音控制自动增减重量的配重，属于运动健身及工业技术领域。现有配重在双手被占用或无法走开时无法实现重量调节，且可调重量是固定值，不能满足个性化需求。本发明通过语音控制双向泵(或泵体)，改变配重模块中的液体保有量，实现调节配重重量的目的。本发明可广泛应用于运动健身及工业机械设备领域，可集成在设备、器械中配套使用，也可制成便携装置随身携带使用，可有效提升训练效果，降低运动伤害风险，可通过添加各类专业化模块，实现重量的定量、定时、定速增减，个性化语音指令控制、专属语音识别控制等功能。该发明结构简单、成本低廉、使用安全方便。</t>
  </si>
  <si>
    <t>可通过语音控制自动增减重量的配重</t>
  </si>
  <si>
    <t>KR101830314B1</t>
  </si>
  <si>
    <t>本发明涉及一种通过使用基于人工智能的贝叶斯网络来早日诊断胰腺癌来提供胰腺癌诊断所需信息的方法。根据一个实施例,该方法包括:通过倾斜胰腺癌患者的医学信息来生成统计报告的步骤;通过使用统计数据来构建条件概率表的步骤,用于实际胰腺癌患者的每种症状;通过使用使用每个症状的统计数据构建的条件概率表来构建贝叶斯网络的步骤;为贝叶斯网络应用贝叶斯条件概率的步骤;并在胰腺癌患者患有特定症状时得出胰腺癌的可能性。最好是,胰腺癌患者的医疗信息与通过人工智能或跑步机器获得的统计数据有关。此外,作为统计数据,胰腺癌患者的医学信息进一步更可取,而不是与不规则腹痛,呕吐或消化不良,减轻体重,黄疸,急性糖尿病,急性糖尿病,急性糖尿病,急性糖尿病,急性糖尿病,呕吐或消化不良的胰腺癌的可能性有关。CA 19-9的癌症标志物,吸烟状况,家族史和性别。</t>
  </si>
  <si>
    <t>使用基于人工智能的贝叶斯网络进行胰腺癌诊断所需的信息提供方法、计算机程序和计算机可读记录介质</t>
  </si>
  <si>
    <t>CN107256021A</t>
  </si>
  <si>
    <t>本发明公开是关于一种用于排球训练的智能机器人控制方法，该机器人包括机器人本体，所述机器人本体上部设有用于放置排球的球网部，该机器人还包括设置在机器人本体上的心率传感器和主控制器；该控制方法包括：所述心率传感器获取所述机器人本体预设范围内的人员的心率；所述主控制器接收所述心率传感器输出的所述人员的心率，并判断所述人员的心率是否满足预设心率条件，若是则控制所述机器人行走。本发明公开可以便于携带搬运排球，智能化程度高。</t>
  </si>
  <si>
    <t>用于排球训练的智能机器人控制方法</t>
  </si>
  <si>
    <t>CN107252565B</t>
  </si>
  <si>
    <t>本发明公开是关于一种用于排球训练的智能机器人，包括机器人本体，所述机器人本体上部设有用于放置排球的球网部，该机器人还包括：心率传感器，设置在机器人本体上，用于获取所述机器人本体预设范围内的人员的心率；主控制器，与所述心率传感器通信连接，用于接收所述心率传感器输出的所述人员的心率，并判断所述人员的心率是否满足预设心率条件，若是则控制所述机器人行走。本发明公开可以便于携带搬运排球，智能化程度高。</t>
  </si>
  <si>
    <t>用于排球训练的智能机器人</t>
  </si>
  <si>
    <t>CN304444274S</t>
  </si>
  <si>
    <t>1．本外观设计产品的名称：带有图形用户界面的智能家居终端。
 2．本外观设计产品的用途：本外观设计产品用于运行程序及通信。
 3．本外观设计产品的设计要点：屏幕中的图形用户界面，其余部分为惯常设计。
 4．最能表明本外观设计设计要点的图片或照片：设计1主视图。
 5．省略视图：设计1‑5的后视图、左视图、右视图、俯视图和仰视图为惯常设计，故省略。
 6．指定基本设计：设计1。
 7．本外观设计产品的界面用途：用于智能家居终端实现人机交互、显示提示信息，界面顶部示出如“电源”、“音量”、“无线网络”等基础功能键，界面底部示出屏幕切换指示图标；设计1至设计5主视图的中部示出信息提示界面，信息提示界面右侧示出如“日期时间”、“缴费”、“体育”等信息指示块，每个信息指示块的颜色区别于其他信息指示块；信息提示界面左侧排列颜色与信息指示块相应的信息色块，信息色块显示相应信息指示块的信息，其中重要信息红色高亮显示；设计1示出信息色块替换界面，设计1界面变化状态图1示出用户点击信息指示块并拖拽至信息提示界面左侧，位于所点击的信息指示块下方的信息指示块顺次上移，设计1界面变化状态图2示出所点击的信息指示块对应的信息色块替换拖拽位置的信息色块；设计2示出信息提示界面；设计3示出信息指示块拖拽界面；设计4示出信息指示块预览界面，设计4界面变化状态图示出上下滑动信息提示界面右侧预览信息指示块；设计5示出“留言提示”信息色块信息滚动界面，设计5界面变化状态图示出“留言提示”信息色块中的信息滚动提示。</t>
  </si>
  <si>
    <t>带有图形用户界面的智能家居终端</t>
  </si>
  <si>
    <t>KR101979094B1</t>
  </si>
  <si>
    <t>公开了一种基于对话的智能呈现练习指导系统和方法。 根据一个实施例的演示练习指导系统执行的演示练习指导方法包括:实时收集用户输入的语音数据; 通过对采集到的语音数据进行语音识别提取元数据; 将收集到的语音数据与预先存储的脚本进行比较,以衡量演示练习的准备情况; 根据测量的准备程度,确定是否压缩从收集的语音数据转换的文本数据。</t>
  </si>
  <si>
    <t>基于会话的智能演示练习教练系统及操作方法</t>
  </si>
  <si>
    <t>CN207337401U</t>
  </si>
  <si>
    <t>本实用新型属于电子控制技术领域，提供了一种汽车座舱人机交互评估系统，包括：模拟驾驶舱、计算机、图像显示设备和操作采集设备，所述图像显示设备与所述计算机相连，且位于所述模拟驾驶舱外的前方，待评估终端设置于所述模拟驾驶舱中，所述操作采集设备位于所述模拟驾驶舱中且与所述计算机相连。由于所述计算机可以根据测试者对模拟驾驶舱中驾驶操纵装置及待评估终端的操作模拟真实驾驶过程，同时用操作采集设备将测试者的操作过程的图像采集并发送给计算机进行存储，这样就便于根据存储的图像来分析测试者在实际驾驶过程中进行座舱人机交互过程时的每个具体操作的所用时长及流畅度，来评估汽车座舱人机交互的便利性。</t>
  </si>
  <si>
    <t>一种汽车座舱人机交互评估系统</t>
  </si>
  <si>
    <t>KR101993162B1</t>
  </si>
  <si>
    <t>在本实用新型中,由于传统健身车受空间限制,只能安装在健身房或家庭中,通过距离、速度、动量检测,只能踩踏板发挥单人健身效果,客户的兴趣和兴趣下降,并且健身车市场逐渐发展,目前还没有能量收集技术将健身车产生的振动能量原样丢弃,或者收集(收集)健身车运动时的振动能量,作为电能回收利用。解决急需安全采集技术的问题,多显示单元100、传感器单元200、跑步机自行车模块300、游戏网络家庭区域形成单元400、自行车能量采集模块(500)和微处理器单元600,在咖啡厅、咖啡厅、健身房、专业屏风店、办公室、家庭等特定空间中,可轻松拆装组装成独立空间,安装兼容性高基于N个室内屏自行车模拟器设备和LBS分组,形成游戏网络家庭区,在多显示单元上形成1:1、1:2、1:N结构节点,营造游戏氛围。可诱发与其他用户的竞争,相比现有的可提高2至4倍的健康效果,能量收集自行车运动时产生的50hz或更高频率范围的振动能量可以获得输出电压4.0V~8.1V,输入电压2.4V以上,可根据需要产生各种输出电压,可广泛用于智能设备、物联网设备的电源最重要的是,通过将在野外骑自行车时产生的电量转换成现金返还给用户,可以激发用户骑自行车运动就是金钱的意识,从而提高用户的兴趣和兴趣。用户健康效应和能量收集效应的投资可以激活室内屏幕自行车市场 目的是提供一种效果型室内屏幕自行车体验装置。</t>
  </si>
  <si>
    <t>具有健康效果和能量收集效果的双效型室内屏幕自行车模拟器</t>
  </si>
  <si>
    <t>CN107456751A</t>
  </si>
  <si>
    <t>本发明提出一种共享体适能健身系统智能控制方法。包括数据处理和控制端、用户运动端；用户运动端为健身设备，数据处理和控制端根据运动方案控制健身设备的工作模式；所述运动方案包括运动类型，以及与该运动类型相对应的运动量；健身设备的工作模式包括档位、次数以及间隔时间；用户通过人机交互端查看数据和/或设置数据；管理人员通过人机交互端进行系统管理；用户通过人机交互端向管理人员发送健身方案调整请求，管理人员根据调整请求调整健身方案并保存在数据处理和控制端。本发明根据运动方案设定健身设备的工作模式，从而实现智能化的健身。</t>
  </si>
  <si>
    <t>一种共享体适能健身系统智能控制方法</t>
  </si>
  <si>
    <t>CN107456752A</t>
  </si>
  <si>
    <t>本发明提出一种综合共享体适能健身管理系统。包括用户检测端、数据处理和控制端、用户运动端；用户检测端用于获取形成运动方案所需的人体数据；数据处理和控制端根据所述人体数据形成相应的数据方案，所述数据方案为运动方案、心肺功能数据报告、肌肉力量数据报告、运动防护报告以及膳食建议中的一种或多种；用户运动端为健身设备，数据处理和控制端根据运动方案控制健身设备的工作模式；还包括人机交互端，用户在人机交互端进行心理康复问卷调查，数据处理和控制端根据用户问卷调查的结果生成针对该用户的心理康复建议。本发明据运动方案设定健身设备的工作模式，从而实现智能化的健身。</t>
  </si>
  <si>
    <t>一种综合共享体适能健身管理系统</t>
  </si>
  <si>
    <t>CN107485377A</t>
  </si>
  <si>
    <t>本发明提出一种体适能健身测评系统。包括用户检测端、数据处理和控制端以及人机交互端；用户检测端用于获取人体数据；数据处理和控制端根据所述人体数据形成数据报告；人机交互端用于系统管理；所述人体数据包括人体体征数据，以及心肺功能数据和/或肌肉力量数据；用户通过人机交互端查看数据报告；数据报告包括人体成分数据、心肺功能数据、肌肉力量数据、膳食建议报告以及运动防护报告中的一种或几种；用户检测端的检测设备包括身高体重测量仪、血压测量仪、人体成分分析仪、功率车或者油阻设备中的一种或多种。本发明通过不同的检测设备测量用户的不同的身体状况信息，然后对用户的数据进行整合分析形成一套全面而科学的用户指导报告。</t>
  </si>
  <si>
    <t>一种体适能健身测评系统</t>
  </si>
  <si>
    <t>CN107491634A</t>
  </si>
  <si>
    <t>本发明提出一种有氧与力量的共享体适能健身系统及方法。包括用户检测端、数据处理和控制端、用户运动端；用户检测端用于获取形成运动方案所需的人体数据；数据处理和控制端根据所述人体数据形成运动方案；用户运动端为健身设备，数据处理和控制端根据运动方案控制健身设备的工作模式；所述运动方案包括运动类型以及与该运动类型相对应的运动量；健身设备的工作模式包括档位、次数以及间隔时间；所述人体数据包括人体体征数据以及心肺功能数据和/或肌肉力量数据；用户运动端还包括数据显示设备和人机交互端，数据显示设备用于显示运动方案和/或用户已完成的运动量，人机交互端设置在移动通信设备和/或PC机上。本发明可实现共享智能的健身。</t>
  </si>
  <si>
    <t>一种有氧与力量的共享体适能健身系统及方法</t>
  </si>
  <si>
    <t>CN107347069A</t>
  </si>
  <si>
    <t>本发明涉及一种基于Kohonen神经网络的最佳攻击路径规划方法，属于信息安全技术领域。具体操作步骤为：步骤一、获取网络结构。步骤二、收集网络系统中主机及漏洞信息。步骤三、建立Kohonen神经网络模型。步骤四、训练Kohonen神经网络模型，得到训练好的Kohonen神经网络模型。步骤五、使用训练好的Kohonen神经网络模型，对实验数据进行预测，得到输出向量Ym。步骤六、构造K‑攻击图。步骤七、根据K‑攻击图构造概率矩阵以及最佳原子攻击矩阵。步骤八、得到最佳攻击路径。本发明提出的基于Kohonen神经网络的攻击路径规划方法与已有技术相比较，具有以下优点：①生成的攻击图只保留最可能的攻击节点，避免了状态爆炸问题。②泛化性能强。③最优攻击路径生成速度快。</t>
  </si>
  <si>
    <t>一种基于Kohonen神经网络的最佳攻击路径规划方法</t>
  </si>
  <si>
    <t>CN107261463A</t>
  </si>
  <si>
    <t>本发明涉及一种篮球裁判手套，包括两个套体，其特征在于，在每个套体的手指套袋上均设有一片基础型条式电阻式应变片，基础型条式电阻式应变片随套在手指套袋内的手指弯曲而弯曲，所有基础型条式电阻式应变片经由检测电路接入ARDUINO核心板。本发明的另一个技术方案是提供了一种互动展示系统，其特征在于，包括人体姿态识别模块、手指状态识别模块、人机交互及展示模块。本发明用弯曲传感器判断是否有手指弯曲，无论手势能否接触到手心，只要有手指弯曲就能做出判断，避免了因传感器不灵敏产生的误判。并且利用同步的声音播放和大屏幕显示，让无论是否懂得裁判手势的观众都能清楚地知道裁判的判决结果，增大了判决效果的可读性和明确性。</t>
  </si>
  <si>
    <t>篮球裁判手套及互动展示系统</t>
  </si>
  <si>
    <t>IN201741024305A</t>
  </si>
  <si>
    <t>一种基于语音的自动化和安全系统,用于使用语音识别软件在建筑空间中通过有线或无线通信方式控制连接的家用电器,并通过使用系统的 IR 和 IP 摄像头提供监控。 该系统包括微控制器、接收用户语音输入的麦克风和嵌入式语音识别软件,用于将用户的语音命令/输入与存储器中的预定义命令进行比较,从而控制与语音输入相对应的设备。 系统的红外摄像头在人员移动时进一步激活,并提醒用户手持设备有异常活动,用户可以访问网络摄像头检查建筑物空间。 该设备可以连接到手机、健身手环等。 本发明节省电力,无需网络连接即可免提控制电器。</t>
  </si>
  <si>
    <t>基于语音的自动化和安全系统</t>
  </si>
  <si>
    <t>CN107181824A</t>
  </si>
  <si>
    <t>本发明公开了一种基于物联网的智能健身馆管理系统，包括智能设备终端、智能网关、云端服务器和终端设备，智能闸机、智能储物柜、智能健身器材、智能售货机和智能沐浴设备分别连接智能网关，智能网关依次连接云端服务器和终端设备，智能网关连接终端设备；其管理方法包括步骤S1：终端设备发送指令到智能网关；步骤S2：智能网关与云端服务器进行通信；步骤S3：云端服务器将结果反馈分别给智能网关和终端设备；步骤S4：智能网关依据指令与智能设备终端进行数据交互；步骤S5：智能设备终端获取智能网关指令，依据指令并执行设备控制。本发明加强智能化程度，降低运营成本，提高健身馆管理效率，提升用户体验。</t>
  </si>
  <si>
    <t>一种基于物联网的智能健身馆管理系统及其管理方法</t>
  </si>
  <si>
    <t>US20180001141A1</t>
  </si>
  <si>
    <t>一种运动交互式视频记录和扫描机制和系统。 扫描记录装置被配置为通过红外发射器、图像传感器和光学字符识别来捕获360°高清视频,用于检测格斗比赛中格斗者动作的动作和精度。 提供至少一台360°高清摄像机。 一副智能 UFC 官方战斗和拳击手套有一个可拆卸的个性化手腕脉搏跟踪器,配置用于跟踪、分析和解释战士的特定心率和生命体征。 训练和战斗智能装备和设备被配置为发送从一副智能专业系列综合格斗手套、一副智能拳击手套、一个智能出气筒、一个智能防护杯系统、一个智能防护罩接收到的统计数据的无线信号 头盔、智能泰式护垫、智能对焦手套或智能护手巾。 人工智能软件计算并破译每个战士投掷和落地的击球次数、击球击中的战士身体部位,以及每次击球的速度和力量。</t>
  </si>
  <si>
    <t>在混合武术和拳击比赛中为战士录制动态互动视频</t>
  </si>
  <si>
    <t>CN107240336A</t>
  </si>
  <si>
    <t>本发明涉及一种网络版机器人电子教练智能化教学系统集成主机，包括设置于集成主机前部或后部或左部或右部的雷达，设置于集成主机内的车载信号采集装置、GPS装置、嵌入式处理器、网络通讯单元和稳压电源，所述的雷达、车载信号采集装置、GPS装置、嵌入式处理器、网络通讯单元和稳压电源设置于一块主板上，所述的稳压电源给予所述的主板上所有模块部件供电，所述的嵌入式处理器对雷达、车载信号采集装置和GPS装置的信息进行处理并传递至网络通讯单元，所述的网络通讯单元与教练车内的车载平板电脑以及驾校控制中心的主控台网络连接。架构十分简便，提升了车载部分集成化程度，体积小，且提高电子教练的人工智能化程度，安装维护更为方便。</t>
  </si>
  <si>
    <t>一种网络版机器人电子教练智能化教学系统集成主机</t>
  </si>
  <si>
    <t>CN110478871A</t>
  </si>
  <si>
    <t>本发明涉及一种采用全息投影技术的人工智能足球教练技术，该技术通过足球队员训赛信息采集器，实时采集足球队员的训练、比赛、体能数据，同时足球训赛信息采集器收集训练、比赛现场数据，再通过全球优秀足球教练训赛大数据分析系统将收集的数据进行处理分析，将处理好的数据传输到足球训赛人工智能教练优化指导系统，生成最优化的教练指导方案，通过全息投影技术的人工智能足球教练成像系统，生成虚拟的人工智能教练训练指导影像，最后通过各种全息投影终端设备，在各种场所立体成像出人工智能足球教练指导球员训练，让每一位球员和足球爱好者和观众随时随地的接受最优化的足球训练指导。</t>
  </si>
  <si>
    <t>一种采用全息投影技术的人工智能足球教练</t>
  </si>
  <si>
    <t>CN107198655A</t>
  </si>
  <si>
    <t>本发明是提供一种能精准选择穴位的人工智能健身机，其特征在于：1，利用扫描器对人体进行3D扫描，以获取该人体的3D数据建立模型，并利用传统的取穴方法，在此模型上精准选定穴位作为软件存储于计算机；同时存储于计算机的软件还有根据不同疾病、不同保健要求，所设计的穴位处方和治疗方法；2，由计算机的软件所控制的人工智能机械手能自动精准对人体穴位进行针灸、按摩、拔罐的治疗或保健。人人都渴望健康长寿，所以，本健身机可以走进千家万户，所开发的健身机产业具有巨大的经济效益和社会意义。</t>
  </si>
  <si>
    <t>一种针灸、按摩、拔罐用的人工智能健身机</t>
  </si>
  <si>
    <t>KR1020190000980A</t>
  </si>
  <si>
    <t>本发明涉及一种通过网络与平台连接的个人保健系统,旨在提供一种能够利用与平台连接的子模块主动为健康消费者(人)提供保健的保健系统。 本发明是为了在健康问题发生之前改善健康消费者的健康。 本发明通过连接平台的子模块在健康消费者面前演示健身运动,当健康消费者沿着子模块进行健身运动时,子模块检测并分析健身运动图像,并传输健身消费者的健身运动DATA到平台Store并进行分析统计。 平台的健身消费者健康运动数据由健康消费者或相关健康管理者查询上报,健康管理者可据此为健康消费者制定健康运动方案。 此外,连接到平台的健康消费者和其他健康消费者可以通过自己的子模块进行交流,由于自己的子模块与其他健康消费者一样表达声音和动作,他们可以像对方在面前一样交谈。他们。会有 此外,连接到平台的健康消费者和其他健康消费者可以通过自己的子模块或终端玩游戏。 此外,与平台联网的健康消费者可以与自己的子模块进行用餐对话,子模块通过安装在该平台上的人工智能或程序告知健康消费者的用餐或配菜。模块或平台的人工智能或程序,通过向健康消费者推荐建议、营养美味的小菜,或讲述小菜的故事,可以帮助健康消费者把饭菜做的美味可口,这时,其他与平台联网的健康消费者也可以这样做。 另外,与平台联网的子模块可以根据健康消费者的歌曲为健康消费者进行歌曲播放。根据子模块,此时,联网到该平台的其他健康消费者也可以这样做。 这样,通过连接到平台的子模块,健康消费者可以一起运动、聊天、玩游戏、听歌、吃饭。 此外,通过与平台相连的子模块,健康消费者可以与其他健康消费者聊天、玩游戏或用餐。 此外,通过与平台相连的子模块,子模块配置个人保健系统,健康消费者可以在其中锻炼、玩游戏、指挥歌曲或共享膳食。</t>
  </si>
  <si>
    <t>个人医疗保健系统</t>
  </si>
  <si>
    <t>CN107330918B</t>
  </si>
  <si>
    <t>本发明公开了一种基于在线多示例学习的足球视频球员跟踪方法，属于计算机视觉识别领域。本技术方案在目标特征提取方面，结合了全局特征和局部特征，提取场地主色和球员模板主色直方图；同时对粒子滤波运动模型进行粒子初始化，对前一帧目标球员位置的所有粒子进行状态转移，计算经过状态转移后的所有粒子与球员模板主色直方图的相似度，去除场地主色的影响，粒子权重按相似度值进行归一化，并用权值大的粒子代替，生成新的粒子集；获取集合图像的Haar‑like特征向量，输入多示例学习分类器中，计算得到当前帧目标球员位置。本发明技术方案能减少目标运动的不确定性，有效抑制跟踪中的漂移现象，提高跟踪结果准确性。</t>
  </si>
  <si>
    <t>一种基于在线多示例学习的足球视频球员跟踪方法</t>
  </si>
  <si>
    <t>GB2554123A</t>
  </si>
  <si>
    <t>一旦门403打开,确定接近的物体402是否将与主车辆401的门403碰撞。 该方法包括:确定接近的交通402将通过门403占据的空间406,这可能由外部安装在车辆上的多个传感器之一确定; 从神经网络接收接近交通的分类402; 并且基于接近交通的分类和主车辆401的配置确定门403对接近交通402构成危险。分类可以指示接近车辆是骑自行车者、滑板者、轮椅者或 轮滑运动员。 从传感器接收到的数据可以在异构计算平台上进行过滤,以确定接近车辆的速度和方向是否会导致与车门的碰撞。</t>
  </si>
  <si>
    <t>在预期打开车门时检测危险</t>
  </si>
  <si>
    <t>JP2019004773A</t>
  </si>
  <si>
    <t>Kind Code: A1 在使用拍摄图像的工作支持中,需要一种可以尽可能消除不适当拍摄图像的技术。 
  采集器包括用于计算身体位置的身体位置计算单元66、用于计算跑步轨迹的跑步轨迹计算单元68以及由拍摄单元70连续获取的拍摄图像中的识别目标。图像识别模块5用于估计物体存在的存在区域并输出包含估计概率的识别输出数据,并根据行进轨迹预测上一个捕获图像中的存在区域在下一个捕获图像中应该位于的范围。但是,如果估计的下一次拍摄图像中与该范围重叠的区域的存在概率与前次拍摄图像中的估计存在区域的概率相差规定的容许量以上时,进行基于下一次拍摄图像的识别输出。判断单元54,判断数据为不合适的识别输出数据。 
  【选型图】图4</t>
  </si>
  <si>
    <t>收割机</t>
  </si>
  <si>
    <t>CN107137204B</t>
  </si>
  <si>
    <t>本发明涉及一种基于物联网的懒人健身设备，包括主体、坐板、靠板、腿部活动机构、支撑架、中控机构和手部活动机构，腿部活动机构包括升降组件和腿部活动组件，升降组件包括控制单元和升降单元，腿部活动组件包括固定板、第二电机、第二驱动轴、第一驱动轮和腿部活动单元，手部活动机构包括伸缩组件和旋转组件，伸缩组件包括箱体、气泵、连接管和伸缩杆，旋转组件包括第三电机、第三驱动轴和第二驱动轮。该基于物联网的懒人健身设备中，通过腿部活动机构，可以使人们像骑自行车一样放松腿部肌肉，通过手部活动机构，使手臂转圈，起到活动关节的作用，通过这些机构，帮助了那些长时间没有运动的人进行锻炼，使他们的身体更加健康。</t>
  </si>
  <si>
    <t>一种基于物联网的懒人健身设备</t>
  </si>
  <si>
    <t>CN107053184A</t>
  </si>
  <si>
    <t>本发明提供了一种基于私有云的多智能体协作处理系统，其用于Robocup中型组的多个足球机器人之间的协作任务，其特征在于包括：私有云平台模块，用于处理所述多个足球机器人获取并发送来的实时信息；机器人计算机视觉模块，用于通过全景视觉与体感交互式设备实时采集场景信息，所述体感交互式设备捕捉人体的动作并分析人体的姿态；机器人运动控制模块，用于检测所述足球机器人的位置信息和控制所述足球机器人的行为；显示内容更新模块，用于实时显示各所述足球机器人的状态。还提供了基于私有云的多智能体协作处理方法。</t>
  </si>
  <si>
    <t>基于私有云的多智能体协作处理系统和方法</t>
  </si>
  <si>
    <t>KR102281530B1</t>
  </si>
  <si>
    <t>提出了一种用于能够与能够消除基于语音识别的说话者的空间限制的用户交互的设备的中继设备以及使用该中继设备的中继方法。 所提出的中继设备是用于能够与用户交互的设备的中继设备,以及用于访问云服务器或与能够与用户交互的设备进行通信的通信模块单元,用于接收用户交互的交互信号接收单元信号,云服务器它包括一个将数据的结果值传输给用户的输出单元,以及一个控制中继设备整体操作的控制单元。</t>
  </si>
  <si>
    <t>一种用于能够与用户交互的设备的中继设备以及使用该中继设备的中继方法</t>
  </si>
  <si>
    <t>CN107185213A</t>
  </si>
  <si>
    <t>本发明公开了一种用于赛事实时数据记录和发布的装置，包括管理设备、云存储数据服务器、专用无线通讯基站、赛事专用服务器、语音识别设备、鹰眼摄像设备、显示设备、教练员终端、记录员终端以及判决终端，管理设备包括参赛人员终端和赛事管理设备，赛事管理设备与云存储数据服务器相连接，语音识别设备、鹰眼摄像设备、显示设备、教练员终端、记录员终端以及判决终端均与赛事专用服务器通过专用无线通讯基站相连接，语音识别设备和记录员终端与云存储数据服务器相连接。本发明同时也公开了一种用于赛事实时数据记录和发布的方法，能够自动生成比赛报告，不需要人为整理，同时实现数据同步，提高了赛事数据收集统计效率，降低了工作人员工作量。</t>
  </si>
  <si>
    <t>用于赛事实时数据记录和发布的装置以及方法</t>
  </si>
  <si>
    <t>CN207012524U</t>
  </si>
  <si>
    <t>本实用新型公开了一种用于赛事实时数据记录和发布的装置，包括管理设备、云存储数据服务器、专用无线通讯基站、赛事专用服务器、语音识别设备、鹰眼摄像设备、显示设备、教练员终端、记录员终端以及判决终端，管理设备包括参赛人员终端和赛事管理设备，赛事管理设备与云存储数据服务器相连接，语音识别设备、鹰眼摄像设备、显示设备、教练员终端、记录员终端以及判决终端均与赛事专用服务器通过专用无线通讯基站相连接，语音识别设备和记录员终端与云存储数据服务器相连接。本实用新型一种用于赛事实时数据记录和发布的装置，能够自动生成比赛报告，不需要人为整理，同时实现数据同步，提高了赛事数据收集统计效率，降低了工作人员工作量。</t>
  </si>
  <si>
    <t>用于赛事实时数据记录和发布的装置</t>
  </si>
  <si>
    <t>CN109089897A</t>
  </si>
  <si>
    <t>本发明涉及一种牛的立体育肥的技术领域。首先要解决牛舍问题，本发明研究出了建独立牛舍，或隔断为独立牛舍，牛舍建在一层，负一层建造平底“U”除粪槽，或者牛舍建在二层，一层建造平底“U”除粪槽，并且，牛舍底板应该用钢混结构，底板上有多排多个长62cm,宽5cm的方形条孔，方形条孔之间间距为16cm,这样就可以让牛粪便直接排除到下一层，保持了牛的卫生，有利于牛的疾病防治。其次，要采用现代物联网电子技术监控牛的长势、体重、疾病。再次，牛的立体育肥还要对独立牛舍的牛进行独立给料，根据体重精确给料，确保牛吃的料够育肥需求和又不浪费料。最后，培养专业的养殖专家团队，对牛的育肥及养殖进行研究改进，再研究实践。</t>
  </si>
  <si>
    <t>一种牛的立体育肥方法及应用</t>
  </si>
  <si>
    <t>CN109091801A</t>
  </si>
  <si>
    <t>本发明提供的一种智能跑步机，包括跑步机本体(1)、云端服务器(2)、接收终端(3)；所述跑步机本体(1)上设有速度传感器(11)、计时装置(12)、心律传感器(13)、无线传输设备(14)和显示设备；所述跑步机本体(1)通过无线传输设备(14)向云端服务器(2)发送速度、时间、心律信息；云端服务器(2)接收信息并计算给出最优健身方案，并将最优方案发送至接收终端(3)。本发明提供的智能跑步机结构简单、成本低廉、使用方便，采用物联网技术和大数据技术，能在家中给出最优健身方案方案。</t>
  </si>
  <si>
    <t>一种智能跑步机</t>
  </si>
  <si>
    <t>CN107185184A</t>
  </si>
  <si>
    <t>本发明涉及一种基于机器学习的球类自动收集车，属于体育用具领域。该装置包括集装箱、主动方向轮、从动轮、视觉传感器A、视觉传感器B、前置雷达、后置雷达、电动机A、差速器、电动推拉杆、槽型软毛刷、收纳箱、中央控制单元。该装置带有视觉感知的智能球类识别系统，能自主收集球类，将人们从繁重的球类收集劳动中解脱出来，从而提高运动员训练效率。</t>
  </si>
  <si>
    <t>一种基于机器学习的球类自动收集车</t>
  </si>
  <si>
    <t>CN304477467S</t>
  </si>
  <si>
    <t>1．本外观设计产品的名称：柜体操作面板（人机交互设备）。
 2．本外观设计产品的用途：本外观设计产品用于实现柜体的锁控功能（如快递柜）；3．本外观设计产品的设计要点：所示产品的形状、图案及其结合；4．最能表明本外观设计设计要点的图片或照片：立体图。</t>
  </si>
  <si>
    <t>柜体操作面板（人机交互设备）</t>
  </si>
  <si>
    <t>US10814170B2</t>
  </si>
  <si>
    <t>本文的实施例提供用于提供定制的锻炼相关推荐的系统、方法和计算机可读介质。 利用机器学习算法,可以用一组用户的健身相关信息(例如,锻炼信息、用户简档信息和/或生命体征信息)来训练分类模型。 分类模型可以被配置为输出输入数据的分类(例如,特定用户的健身相关信息)。 可以识别对应于分类的推荐并将其提供给特定用户。 可以跟踪用户对提供的建议的依从性和随后的用户进度以确定建议何时有效地带来期望的结果(例如,使用户朝着目标前进)。 另外,系统可以确定分类何时被不准确地确定和/或预期进度数据何时没有提供用户可以朝着目标前进的现实路径。 因此,分类、推荐和进展路径的准确性/有效性可能会随着时间的推移而不断提高。</t>
  </si>
  <si>
    <t>CN107273492B</t>
  </si>
  <si>
    <t>本发明属于图像标注技领域术，具体为基于众包平台处理图像标注任务的交互方法。本发明首先构造一套线上众包工作模式，使得任务需求方和众包成员可以在上面完成标注任务，其次，以图像标注任务为主要研究和切入点，去设计和实现相应的交互方法；具体包括：构建图像标注任务的分类体系，搭建众包平台；建立交互方法的设计准则和设计流程；设计基于众包平台处理图像标注任务的交互方法的具体操作步骤。本发明方法提高了众包工作者的标注效率和用户体验，从而更加快速的为机器学习等科研领域提供图像数据训练集，并且利用网络众包工作模式完成图像数据标注工作，也能够为残疾人等弱势群体提供新的就业和增加收入的机会。</t>
  </si>
  <si>
    <t>一种基于众包平台处理图像标注任务的交互方法</t>
  </si>
  <si>
    <t>WO2017216408A1</t>
  </si>
  <si>
    <t>主要用于运动练习的音频再现项圈,包含至少两个扬声器,除了再现音乐外,还允许语音识别和通知和/或将文本消息转换为语音,具有与移动电话通信的装置以及用于 记录参数,例如心率或覆盖的距离。 它在没有耳机的情况下使用提高了从事运动的人的安全条件,因为它允许他们仍然听到他们环境的声音。 它有一个易于使用的触摸屏。 有包含按钮或类似物的版本,这些按钮或类似物使用磁铁固定在用户身上,以避免在使用过程中项圈过度移动。 适用于体育行业。</t>
  </si>
  <si>
    <t>音频再现项圈</t>
  </si>
  <si>
    <t>CN107274523A</t>
  </si>
  <si>
    <t>本发明公开了一种基于语音识别的体育场馆用户身份安全系统，包括：信息采集模块用于采集欲进入体育场馆的用户的身份信息；信息播报模块用于根据欲进入体育场馆的用户的身份信息判断该用户的身份类别，并对用户的身份类别进行播报；通道选择模块用于识别信息播报模块播报的信息内容，并根据用户的身份类别为该用户选择目标通道进入体育场馆。本发明在用户进入体育场馆前对用户的身份类别进行判断并为其分配匹配的通道，不仅方便了用户进入体育场馆的过程，而且提高了对进入体育场馆的用户身份安全的监督和管理效率，保证进入到体育场馆的用户身份的安全性。</t>
  </si>
  <si>
    <t>一种基于语音识别的体育场馆用户身份安全系统</t>
  </si>
  <si>
    <t>US20180357857A1</t>
  </si>
  <si>
    <t>一个进行中的体育博彩系统能够为非固定投注赔率提供改进的估计赔率赔率,在这种情况下,赌场与球员一起下注。 该系统可能包括一个人工智能 (AI) 单元,旨在估计与现场赛事相关的结果的实时概率,以及一个能够接受玩家投注、根据 AI 估计代表赌场下注、维护 所有投注活动(包括赌场投注活动)的详细电子记录,根据电子记录估算和发布最新的赔率,并在投注事件终止时分配获胜投注的赔率。 赌场投注的目的是持续且有策略地调整实时公布的赔率和/或为赌场创造额外收入。 玩家可以通过移动电子设备、个人电脑或固定信息亭等物理设备与主机通信并下注。</t>
  </si>
  <si>
    <t>现场投注系统,由众议院进行战略投注</t>
  </si>
  <si>
    <t>CN107278873B</t>
  </si>
  <si>
    <t>本发明公开了一种鉴别玉米单倍体的方法。本发明提供的鉴别玉米单倍体的方法，包括如下步骤：(1)以训练集各个玉米籽粒为真实单倍体还是真实二倍体为因变量，以训练集各个玉米籽粒的近红外透射光谱吸收值作为自变量，应用机器学习算法构建单倍体鉴别模型；所述训练集由若干玉米籽粒组成，其中一部分为真实单倍体，另一部分为真实二倍体；(2)取待测玉米籽粒，采集近红外透射光谱吸收值，然后输入步骤(1)建立的单倍体鉴别模型，由模型输出该待测玉米籽粒为预测单倍体或者预测二倍体的结果。本发明提供的方法可以用于自动化鉴别，对于推动玉米单倍体育种技术工程化具有重要作用。</t>
  </si>
  <si>
    <t>一种鉴别玉米单倍体的方法</t>
  </si>
  <si>
    <t>CN107039039A</t>
  </si>
  <si>
    <t>本发明公开了列车监控运行系统的基于语音的车载人机交互方法、装置，实现LKJ系统的车载显示器的智能化，提高了LKJ系统的车载显示器的可靠性、可维护性和功能扩展性。其技术方案为：借助语音识别技术将语音输入转化为车载端的应用软件的具体操作指令，完全替代了传统的手动输入功能，而且通过语音合成技术播放语音提示。此外，由于车载显示器可以具备了语音采集和播放硬件电路，可以将乘务员的语音内容等进行压缩并记录。</t>
  </si>
  <si>
    <t>列车监控运行系统的基于语音的车载人机交互方法、装置</t>
  </si>
  <si>
    <t>IN201741020099A</t>
  </si>
  <si>
    <t>物联网 (IoT) 是一项新兴技术,数十亿的事物或日常物品将持续交换数据。 密集的物联网应用,如健康、工业和灾难管理,事物之间的通信不应中断。 这是物联网领域电池供电设备面临的主要挑战之一。 另一个值得注意的挑战是一次性电池的电子浪费。 在这里,我们提出了物联网的自发电结构并在 m-Health 中实施。 在这种结构中,物体或传感器节点将从称为压电装置的能量收集装置中获取能量,该装置将机械能(振动或力)转换为电能。 我们在 IoT m-Health 框架中实现了我们的嵌入式压电设备,并将电源性能与普通电池进行了比较。 在这个系统中,健康监测传感器和物联网设备将通过附着在玩家手和腿上的压电设备获得电力。 由于玩家的剧烈奔跑,手和腿会产生振动,从而使压电装置产生电能。</t>
  </si>
  <si>
    <t>利用物联网 (IOT) 压电的运动员智能健康监测系统</t>
  </si>
  <si>
    <t>CN107042012B</t>
  </si>
  <si>
    <t>本发明涉及物联网技术领域，一种智能篮球投篮轨迹监测方法，包括以下步骤：S1、判定是否为手施力阶段，S2、判断是否为球碰篮框/篮板/篮网阶段，S3、判定是否为球落地阶段。本发明通过依次进行获取篮球相关的手施力时的压力值、篮球触碰篮筐、篮板或篮网时的压力值、篮球落地时的压力值进行三次判定，根据三次判定的结果的值来进行计算，从而获得一次成功的投篮轨迹。本发明判断准确性高，能够精准地实现篮球投篮轨迹的检测。</t>
  </si>
  <si>
    <t>一种智能篮球投篮轨迹监测方法</t>
  </si>
  <si>
    <t>CN107115660B</t>
  </si>
  <si>
    <t>本发明涉及物联网技术领域，智能篮球运球轨迹监测方法，包括以下步骤：获取篮球被手施力时的压力值，计算出手施力球的力度值，判断力度值是否大于力度阈值，并生成第一判定结果；获取篮球触碰地面时的加速度值a(t)，判断加速度值a(t)值是否小于加速度阈值，并生成第二判定结果，根据第二判断结果计算出球体脱离手触压至触碰地面前的腾空时间值；获取篮球峰值侦测算法算法的斜率k，并进行以下判定：判断斜率k是否大于斜率阈值，并生成第三判定结果；判断出第一判定结果与第三判定结果之间的时间差小于时间阈值，则判定为成功的运球轨迹；本发明能够精确地进行篮球运球轨迹监测。</t>
  </si>
  <si>
    <t>一种智能篮球运球轨迹监测方法</t>
  </si>
  <si>
    <t>CN107115659B</t>
  </si>
  <si>
    <t>本发明涉及物联网技术领域，一种智能篮球上篮轨迹监测方法，S1、判定是否为持球阶段，S2、判定是否为手施力阶段，S3、判断是否为球碰篮框/篮板/篮网阶段，S4、判定是否为球落地阶段,本发明通过获取加速度值，手施力时的压力值、篮球触碰篮筐、篮板或篮网时的压力值、篮球落地时的压力值进行四次判定，根据四次判定的结果的值来进行计算，从而获取一次成功的篮球上篮轨迹。本方案判断准确性高，能够精准地实现篮球上篮轨迹的检测。</t>
  </si>
  <si>
    <t>一种智能篮球上篮轨迹监测方法</t>
  </si>
  <si>
    <t>CN107423274B</t>
  </si>
  <si>
    <t>本发明公开了基于人工智能的比赛解说内容生成方法、装置及存储介质，其中方法包括：获取历史比赛的人工文字解说内容及结构化数据；根据获取到的信息生成解说模型；在对比赛进行直播的过程中，针对每次获取到的结构化数据，分别根据解说模型确定出对应的文字解说内容。应用本发明所述方案，能够减少延时和提升解说内容的准确性等。</t>
  </si>
  <si>
    <t>基于人工智能的比赛解说内容生成方法、装置及存储介质</t>
  </si>
  <si>
    <t>CN107093310A</t>
  </si>
  <si>
    <t>本申请公开了一种溺水定位报警系统和溺水定位报警方法，包括：安装在泳帽或泳镜上的检测电极、超声波信号发生器和检测芯片；还包括：超声波信号接收器和处理芯片；检测芯片对检测电极的电压信号通过检测脉冲进行实时重复检测，根据电压信号判断游泳者是否发生溺水状况；若判断出游泳者发生溺水状况，则由超声波信号发生器向超声波信号接收器发出报警信号；处理芯片将报警信号处理后确定溺水位置，通过无线通讯模块发送溺水位置。本申请利用实时检测泳帽上检测电极的电压信号状态，并利用实时重复检测的方式判断溺水状况是否发生，借助超声波水下传感定位，并结合物联网无线通信技术，可以自动智能精准定位溺水位置，提高报警准确率，降低误报率。</t>
  </si>
  <si>
    <t>一种溺水定位报警系统和溺水定位报警方法</t>
  </si>
  <si>
    <t>WO2018218637A1</t>
  </si>
  <si>
    <t>一种物联网智能跑步机，包括机架和机座（2），机座（2）内设置有计步装置，计步装置包括设置于主座体（22）下端处的遮挡片（51）和固定设置于底架（11）的光电传感器（6），遮挡片（51）通过直线电机（52）连接于主座体（22）下端，光电传感器（6）包括相向设置的光电发射端（61）和光电接收端（62）；计步显示屏（38）内设有用于与用户所佩戴的智能穿戴设备无线连接以用于接收用户体温、心率信息的蓝牙模块，计步显示屏（38）内设置有用于将计步数据和用户体重数据、体温信息及心率信息传输至移动智能终端或云端的4G通讯模块，蓝牙模块通过速度控制模块连接于主电机。</t>
  </si>
  <si>
    <t>一种物联网智能跑步机</t>
  </si>
  <si>
    <t>CN106983992A</t>
  </si>
  <si>
    <t>本发明提出了基于手势控制的物联网跑步机，解决目前跑步机在跑步时调速和调坡度困难的问题。本发明的跑步机上增设有加减速传感器和坡度调节传感器，可对跑步机智能化的调节，在控制操作上更加简捷方便，在跑步过程中只需要轻微调整自己在跑步机上的位置即可实现对跑步机速度的控制，省去了繁琐的按键过程；坡度调整也只需要手在坡度调节传感器上方进行挥动即可调节坡度。本跑步机可通过蓝牙与手机连接，把跑步数据实时上传到运动软件和网络社交平台，实现数据的共享和监测，达到科学健身，快乐健身的效果。</t>
  </si>
  <si>
    <t>基于手势控制的物联网跑步机</t>
  </si>
  <si>
    <t>CN206910669U</t>
  </si>
  <si>
    <t>本实用新型提出了基于手势控制的物联网跑步机，解决目前跑步机在跑步时调速和调坡度困难的问题。本实用新型的跑步机上增设有加减速传感器和坡度调节传感器，可对跑步机智能化的调节，在控制操作上更加简捷方便，在跑步过程中只需要轻微调整自己在跑步机上的位置即可实现对跑步机速度的控制，省去了繁琐的按键过程；坡度调整也只需要手在坡度调节传感器上方进行挥动即可调节坡度。本跑步机可通过蓝牙与手机连接，把跑步数据实时上传到运动软件和网络社交平台，实现数据的共享和监测，达到科学健身，快乐健身的效果。</t>
  </si>
  <si>
    <t>CN107145596A</t>
  </si>
  <si>
    <t>本发明提供了一种基于深度神经网络的电子竞技比赛胜负预测方法，包括以下步骤：基于网络爬虫机制获取互联网上的大量电子竞技比赛数据；将比赛数据分为测试数据和训练数据且标注获胜队伍编号；构造深度神经网络并在网络隐含层之间嵌入Batch Normalization；使用比赛数据对网络进行训练和测试得到网络参数；选择需要比赛预测的两支队伍，获取两支队伍的比赛数据，并使用网络参数进行计算，得到最可能获胜的一方的队伍编号。</t>
  </si>
  <si>
    <t>基于深度神经网络的电子竞技比赛胜负预测方法</t>
  </si>
  <si>
    <t>CN107185166A</t>
  </si>
  <si>
    <t>本发明提出了一种户外健身器材以及供电和数据采集方法，包括供电电路、电源模块、数据收集模块、数据处理模块和人机交互设备，电源模块包括光伏发电器以及由单个锂电池或者多个单体锂电池串联而成的电池模组，光伏发电器与电池模组连接的线路上还有充放电控制器，充放电控制器连接到供电电路中，数据收集模块固定在户外健身器材的内部，并收集使用者的运动数据，同时将运动数据传递到数据处理模块中，数据处理模块分析数据并将数据结果显示在人机交互设备上，并将数据存储在内部存储器中，人机交互设备上有操作模块，用于操作控制人机交互设备的数据结果，数据收集模块、数据处理模块和人机交互设备都连接在供电电路中。</t>
  </si>
  <si>
    <t>一种户外健身器材供电和数据采集方法</t>
  </si>
  <si>
    <t>CN107247932A</t>
  </si>
  <si>
    <t>本发明公开了一种烘焙产品图像识别系统，其特征在于，具体操作步骤包括：(1)顾客将盛有面包的托盘放到收银台上，然后用过收银台上的摄像头进行扫描；(2)扫描后按下收银机上的自动识别按钮，1秒后显示屏上会显示出产品的数量和种类；(3)点击屏幕上的确认按钮，就会出现产品的价格总数，然后点击付款完成结算过程。本发明通过改变以往的手动在收银系统输入目标烘焙产品的操作方法，通过训练一套识别烘焙产品单品的模型，对好难过配产品单品进行拍照，通过对图片进行处理和分析，以识别各种不同的烘焙产品，再通过反馈识别的结果，来提高下一次烘焙产品识别的准确率；此方法不仅处理速度快，识别单个烘焙产品仅需0.1秒，整个过程在十秒内完成。</t>
  </si>
  <si>
    <t>一种烘焙产品图像识别系统</t>
  </si>
  <si>
    <t>CN206910754U</t>
  </si>
  <si>
    <t>本实用新型提出了一种适用于户外健身器材的信息采集供电和人机交互结构，包括有光伏发电器、充放电控制器、电池模组、数据收集器、数据处理器和操作器，光伏发电器与电池模组均连接到充放电控制器，充放电控制器的供电线路连接到数据处理器和操作器，数据收集器固定在户外健身器材的活动部件或使用者完成一个运动周期必须要接触到的非活动部件上，操作器安装在人体接触部分上，数据处理器还连接有无线数据传输器，所有连接线路均穿设在户外健身器材的内部。所有电气连接线沿器材管材内部走线，安全，不易损坏，对目前所有的户外健身器材均适用。</t>
  </si>
  <si>
    <t>一种适用于户外健身器材的信息采集供电和人机交互结构</t>
  </si>
  <si>
    <t>CN107115675B</t>
  </si>
  <si>
    <t>本发明公开了一种基于Kinect的体育健身游戏系统及实现方法，包括Kinect装置、计步器、电脑主机、多屏适配器、两台投影仪，音响设备，所述Kinect装置、多屏适配器、计步器和音响设备均通过无线wifi连接电脑主机，两台投影仪均连接多屏适配器；所述电脑主机设有游戏服务器，游戏服务器设有登陆模块、设置模块、图像接收模块、图像识别模块、数据处理模块、计分模块、图像输出模块。本发明的游戏系统通过多屏适配器对游戏界面进行输出，同时通过两台投影仪将游戏界面在地面和墙壁进行投影，游戏玩家置身其中，给你游戏玩家更强的虚拟现实感。</t>
  </si>
  <si>
    <t>一种基于Kinect的体育健身游戏系统及实现方法</t>
  </si>
  <si>
    <t>CO20170005101A1</t>
  </si>
  <si>
    <t>本发明涉及一种数据采集系统,用于确定在这种情况下必须测量练习者的力量或体重的静态型练习(例如双杠练习)中消耗的卡路里,以及执行练习的距离,其中重量由称重传感器的排列确定,速度由计算机视觉在从业者移动距离的辅助下通过摄像机来检测从业者固定点的变化,随后转换为像素的变化在远处。 同样,速度由距离对时间的数值导数确定。 同样,通过力量和速度,可以估算锻炼中使用的功率,并使用此数据转换为其卡路里当量。</t>
  </si>
  <si>
    <t>固定式健身器材中的卡路里消耗测量系统</t>
  </si>
  <si>
    <t>CN107220608B</t>
  </si>
  <si>
    <t>本发明公开的一种篮球动作模型重建和防守的指导系统，包括完成篮球动作信息提取的Kinect深度传感器、深度学习模块，以及篮球动作姿态重建模块；其中深度学习模块，通过深度学习对篮球动作进行分类，并将一系列图片中的篮球动作骨骼坐标点所对应的深度值、Kinect深度传感器中的相机坐标系的坐标值保存；篮球动作姿态重建模块，根据保存的骨骼关节点的三维坐标，对一个完整的篮球动作进行重建；在运动员训练时进行相应的指导。本发明结合深度学习技术，实现基本篮球动作的识别和统计。</t>
  </si>
  <si>
    <t>一种篮球动作模型重建和防守的指导系统及方法</t>
  </si>
  <si>
    <t>GR20170200142U</t>
  </si>
  <si>
    <t>简而言之,本发明涉及具有内置诊断传感器/设备的健康诊断监控节点,用于将生物信号传输到id2health系统或任何其他相关的电子健康/EHR系统。 该节点有四个主要功能,测量和监测生物信号,分析/处理传入数据,与医疗保健专业人员通信以接收诊断/咨询服务,最后提供基本的紧急急救设备,例如除颤器。 该节点可以在室内使用(例如机场、企业、体育场等)或开放的公共场所,并且可以在没有健康专家帮助的情况下由用户轻松管理(医疗保健专业人员的贡献是可选的,但仍然有用) . 该节点的创新元素是嵌入式软件,直接生物测定处理,通过人工智能算法,它提供易于个性化的诊断和预后结果。</t>
  </si>
  <si>
    <t>协作电子医疗服务的诊断节点</t>
  </si>
  <si>
    <t>JP2018191965A</t>
  </si>
  <si>
    <t>【问题】无人机移动到一个位置,便于观察选手的配合打法和选手个人在各项运动中的动作,所拍摄的图像由AI从一个或多个方向进行综合分析。我们提供了一个系统在哪个 AI 会就合作游戏和单个玩家的移动提供建议。 
  无人机在球附近球员的头顶上空自由飞行,前后左右,捕捉球员在球附近的动作和面部表情。 AI将这些图像与职业比赛中球员动作和合作比赛的图像进行对比,对速度、时机偏差、击球轨迹等进行详细评估。 AI 会建议哪些运动和肌肉训练是有效的,以更接近职业球员。 此外,由于可以从面部表情确认精神状态和强度(强度),AI 还会给出如何创建面部表情的建议。 
  【选型图】图1</t>
  </si>
  <si>
    <t>人工智能无人机分析系统</t>
  </si>
  <si>
    <t>US10231020B2</t>
  </si>
  <si>
    <t>一种方法包括接收对体育节目推荐的请求,响应于接收步骤,确定即将到来的节目向量和加权历史向量,执行比较即将到来的节目向量和加权历史向量的相似度计算以得出推荐分数,以及生成 基于推荐分数的推荐。</t>
  </si>
  <si>
    <t>利用基于内容过滤的体育推荐系统</t>
  </si>
  <si>
    <t>GB2565999A</t>
  </si>
  <si>
    <t>公开了一种使用固定摄像机自动组合视频集锦的方法,其中每个摄像机查看固定的感兴趣区域并监视感兴趣区域以寻找潜在感兴趣事件的指示符。 潜在有趣事件的时间戳被识别并用于组装亮点。 视频亮点是足球或篮球等体育赛事。 感兴趣的区域可以是球门或篮筐。 指示符可以是球员的移动、球的轨迹、物体的相对大小、人或球的存在、物体的移动速度、音频或这些的组合。 兴趣区可以由人、计算机图像分析或受监督的机器学习模块来确定。 受监督的机器学习模块可以识别可能感兴趣的事件,其中组装的亮点被分配给用户反馈分数,结果被返回到受监督的机器学习模块。 分数可能由社交媒体上的评论数量决定。 本发明的优点是视频集锦制作的自动化,使其适用于业余体育赛事。</t>
  </si>
  <si>
    <t>用于制作视频记录的系统</t>
  </si>
  <si>
    <t>CN108874807A</t>
  </si>
  <si>
    <t>本发明公开了一种基于材料物性指标数据的高级搜索系统，包括：材料的基本信息、物性指标数据、成型工艺数据；具体操作步骤为点击进入物料库、输入关键性指标参数、搜索符合要求书的参数指标、横向对比。本发明通过对材料数据的建模和标准化整理，依托成熟的搜索引擎技术，实现物性指标数据与用户需求材料的匹配，帮助行业用户达到精准、高效查找材料信息的目的，以此形成一个系统的性能相近产品材料推荐系统；且主要是针对工业品材料数据与下游制品应用领域的关联，逐步迭代数据匹配模型，明确不同性能属性材料与下游应用领域的关联关系，将材料实验指标转化为下游的应用需求，提升材料与制品的匹配效率，为企业提供有效的材料信息查找解决方案。</t>
  </si>
  <si>
    <t>一种基于材料物性指标数据的高级搜索系统</t>
  </si>
  <si>
    <t>CN106964117A</t>
  </si>
  <si>
    <t>本发明公开了一种基于反馈的人工智能学习训练方法，具体为：1)学员采用电子传感器并且基于神经网络学习的方法，在教练、学员一对一学习时将学员的标准训练动作记录下来；2)在学员后续的训练中，电子传感器将后续训练动作与1)中记录下来的标准动作进行对比，从而识别出后续训练动作是否正确；3)对比后，教练通过控制器指示反馈学员在运动过程中动作是否正确，并告知学员；4)学员在教练指导数次后，通过电子传感器记录下正确的运动方式和错误的运动方式。本发明提供的基于反馈的人工智能学习训练方法，部分代替教练的指导作用。可以让学员在没有教练指导的时候，一样获得动作是否正确的反馈。提高教学效率，降低学员学习成本。</t>
  </si>
  <si>
    <t>一种基于反馈的人工智能学习训练方法</t>
  </si>
  <si>
    <t>CN206979968U</t>
  </si>
  <si>
    <t>本实用新型公开了一种基于反馈的人工智能学习训练系统，系统包括两个设备，设备一是将教练、学员一对一学习将学员标准训练动作记录下来的可穿戴智能传感器，设备二是指示反馈学员在运动过程中动作是否正确、并告知学员的教练用控制器。本实用新型提供的基于反馈的人工智能学习训练系统，部分代替教练的指导作用，可以让学员在没有教练指导的时候，一样获得动作是否正确的反馈，提高教学效率，降低学员学习成本。</t>
  </si>
  <si>
    <t>一种基于反馈的人工智能学习训练系统</t>
  </si>
  <si>
    <t>CN106943736A</t>
  </si>
  <si>
    <t>本发明公开了一种散打对抗数据采集系统，由压力传感器、压力信号调理电路、模数转换模块、采集端无线传输模块、电源电路、数据集中端无线传输模块、数据集中器、上位机通信电路和上位机组成，压力传感器的信号输出端通过压力信号调理电路与采集端无线传输模块连接，电源电路与压力信号调理电路和采集端无线传输模块连接，数据集中端无线传输模块与数据集中器连接，数据集中器通过上位机通信电路与上位机连接。本发明为解决散打运动员击打参数定量获取的难题，设计了多路数据采集系统，佩戴在运动员身上的数据采集终端，上位机数据处理系统实现接收数据的存储和历史数据的波形显示，为裁判和运动员提供友好的人机交互界面，具有推广使用的价值。</t>
  </si>
  <si>
    <t>散打对抗数据采集系统</t>
  </si>
  <si>
    <t>IN201747015055A</t>
  </si>
  <si>
    <t>提供了用于研究运动的系统。 一种计算设备[10]具有彼此通信的处理器[20]、加速度计[11]、陀螺仪[12]、磁力计[13]和存储/计算机可读介质[30]。 计算设备[10]可以根据运动库[32]中分类的初始运动数据来感测、分类、限定和/或量化运动目标的实时运动数据。 运动数据被处理为特定的运动单元。 计算设备[10]可以将机器学习算法用于“训练”和“学习”。 计算设备 [10] 可用于许多行业,包括健身行业,其中计算设备 [10] 可与可穿戴技术一起使用。</t>
  </si>
  <si>
    <t>与运动数据有关的系统、设备和方法</t>
  </si>
  <si>
    <t>US10540483B2</t>
  </si>
  <si>
    <t>CN107092195A</t>
  </si>
  <si>
    <t>本发明实施例公开了一种智能家居控制系统，具体是一种基于电视路由系统的智能家居控制系统。该电视路由系统包括显示单元、主机单元，其中主机单元将路由单元、主机处理单元、和音频单元集成为一体，避免了在搭建系统时需要将电视分别和路由器、音箱建立连接的问题，使用户操作起来更加方便；同时通过各部件之间的无线连接，减少了不同部件之间的线缆连接。同时，该电视路由系统可通过互联网连接家庭物联网系统、家庭健身娱乐系统、云平台、电子商务平台以及金融支付平台，实现了基于电视路由系统的智能家居控制系统。</t>
  </si>
  <si>
    <t>一种智能家居控制系统</t>
  </si>
  <si>
    <t>KR1020180118871A</t>
  </si>
  <si>
    <t>在本发明中,当会员进入健身俱乐部时,为该会员量身定制的有氧运动时间和重量训练运动时间被建议为会员智能手机上的应用程序,并且使用建议的有氧运动时间和卡路里消耗量来测量重量训练运动时间。经过计算,3次过滤的食物根据每次运动时间和卡路里消耗量进行4次过滤,提供适合进入健身俱乐部的个人会员的日常饮食。然后,如果输入实际有氧运动时间和重量训练运动时间通过app,实际有氧运动时间和重量训练运动时间计算卡路里消耗,再用实际每次运动时间和卡路里消耗计算3 与健身俱乐部的饮食有关推荐系统根据个人特点和运动量,对第一次过滤的食物进行第四次过滤,最终提供适合每个成员的当天饮食。 
  根据本发明,如果会员进行了大量的有氧运动,则推荐适合补水减肥的饮食,如果会员进行了大量的重量训练,则推荐有助于增加肌肉量的饮食。 ,以及个人特征和疾病,通过反映病情做出建议,甚至可以准确计算卡路里消耗量,推荐必要的饮食量。</t>
  </si>
  <si>
    <t>根据个人特征和运动量的健身俱乐部饮食推荐系统</t>
  </si>
  <si>
    <t>US20170308811A1</t>
  </si>
  <si>
    <t>人才人工智能虚拟代理(“TAIVA”)执行人工智能驱动的职业教练代理的功能。 本发明可以为企业和专业人士提供人力资源、人才分析、员工敬业度和独立职业教练功能。 类似于与人才合作并帮助他们发现更好的机会和成长的职业教练,本发明利用机器学习和协作发现的力量来发现机会。 该系统的功能范围从提供职业变化建议、帮助技能集增长、人群协作到任务级别的演出、构建能力等。该系统从小的交互开始,随着它了解候选人和网络中的其他成员,它 将利用人工智能、协作发现和全球趋势的力量,为候选人创建适应性和相关的建议性地图和进度仪表板,就像职业教练一样。</t>
  </si>
  <si>
    <t>人才人工智能虚拟代理机器人</t>
  </si>
  <si>
    <t>CN206660548U</t>
  </si>
  <si>
    <t>本实用新型公开了一种田径器材存放装置，属于体育器材领域。该装置包括支架、存放机构和监测系统，存放机构包括依次设置的标枪板、铁饼板和铅球板，监测系统包括存储器、压力传感器、处理器、人机交互模块、报警模块和电源模块，现有技术中的田径器材存放装置，存在取放不便、容易丢失的问题，本实用新型采用分层设计，便于体育器材的存放，抽拉的方式更加便捷，使得器材的存放更加方便，利用重力传感器检测，可以灵活的记录借取数量及归还数量，利用报警模块还可以实现未归还则报警提供的功能，便于老师或管理人员的管理使用。</t>
  </si>
  <si>
    <t>田径器材存放装置</t>
  </si>
  <si>
    <t>US20180308056A1</t>
  </si>
  <si>
    <t>一种系统和方法包括使用至少四个不同的决策组件作为计算机系统的输入。 基于候选人在每个决策组件中的得分,本发明的系统生成提供候选人在就业角色中成功的概率的得分。 该系统和方法可用于销售和工程职位等专业职位,也可用于运动队(用于评估运动员)以及确定公司潜在的首席执行官和总裁。 分数由基于计算机的流程设计引擎生成,并基于 0-100 等级。 该过程使用预测分析以及人工智能组件来不断完善基于计算机的系统和方法。</t>
  </si>
  <si>
    <t>候选人选择系统和方法</t>
  </si>
  <si>
    <t>US10511950B2</t>
  </si>
  <si>
    <t>一种用于确定和验证连接到物联网 (IoT) 的网络设备的位置的方法和系统。 该方法和系统在诸如事故、健康、健身、火灾、恐怖袭击、军事事件、天气、洪水事件等紧急情况下为此类物联网网络设备和/或物联网网络设备的用户提供当前物理地理位置 等,并将当前物理地理位置转发到传统 911 网络、NG-911 网络、紧急服务 IP 网络 (ESInet) 或文本到 911 短消息服务 (SMS) 网络,以提醒紧急响应者。</t>
  </si>
  <si>
    <t>用于物联网 (IoT) 设备的紧急位置信息服务 (E-LIS) 的方法和系统</t>
  </si>
  <si>
    <t>CN107158643A</t>
  </si>
  <si>
    <t>本发明公开了一种智能化安全跑步机，包括操控板、扶手和运动主体，所述操控板内部安装有操控显示屏，所述操控显示屏下方安装有手控转速柄，所述操控板左下端设有内存卡槽，所述操控板下方安装有语音识别器，所述操控板下端安装有支架，所述支架上安装有QC200数据处理器，所述支架右上端安装有扶手，所述扶手内部安装有心率感应器，所述支架下端安装有运动主体，所述运动主体内部安装有电动机，所述电动机一端安装有S12转速传感器，所述S12转速传感器一侧安装有跑步带，所述跑步带内部安装有重力感应器。本发明具有工作稳定高效的特征，在锻炼的同时也能体验到很大的娱乐性。</t>
  </si>
  <si>
    <t>一种智能化安全跑步机</t>
  </si>
  <si>
    <t>CN206995696U</t>
  </si>
  <si>
    <t>本实用新型公开了一种智能化安全跑步机，包括操控板、扶手和运动主体，所述操控板内部安装有操控显示屏，所述操控显示屏下方安装有手控转速柄，所述操控板左下端设有内存卡槽，所述操控板下方安装有语音识别器，所述操控板下端安装有支架，所述支架上安装有QC200数据处理器，所述支架右上端安装有扶手，所述扶手内部安装有心率感应器，所述支架下端安装有运动主体，所述运动主体内部安装有电动机，所述电动机一端安装有S12转速传感器，所述S12转速传感器一侧安装有跑步带，所述跑步带内部安装有重力感应器。本实用新型具有工作稳定高效的特征，在锻炼的同时也能体验到很大的娱乐性。</t>
  </si>
  <si>
    <t>CN106861141A</t>
  </si>
  <si>
    <t>本发明公开了一种物联网多人同屏运动游戏的控制方法，健身设备的数据采集单元将采集到的运动数据传输给用户终端设备，用户终端设备将其处理后上传到网络服务器，个人主机负责运行多人同屏运动游戏软件并通过网络接收网络服务器上所有参与者的运动数据，个人主机根据接收到的所有参与者的运动数据在游戏软件中形成游戏实况，与个人主机连接的显示屏显示游戏实况的画面。采用本控制方法能实现多人同屏运动游戏，将运动与多人竞技游戏集为一身，且信号稳定、不受距离限制等，另健身设备和个人主机之间不需要配对，而是通过用户终端设备进行数据处理及传输，故不会发生识别不到的情况，也可简化健身设备的电子表头内的元器件设计，降低成本。</t>
  </si>
  <si>
    <t>物联网多人同屏运动游戏的控制方法</t>
  </si>
  <si>
    <t>CN106955480A</t>
  </si>
  <si>
    <t>本发明公开了一种基于物联网的标枪比赛自动裁判平台，所述标枪模块Ⅰ负责飞出标枪落地停止后，向服务器模块Ⅲ发送飞行的标枪落地信号，以及向场地模块Ⅱ发出落地的感应信号等；所述场地模块Ⅱ当飞行标枪停止在比赛场地后，负责向服务器模块Ⅲ发送标枪落地位置信号；所述服务器模块Ⅲ负责接收标枪模块Ⅰ和场地模块Ⅱ发送的信号，判断标枪头部是否正确插入到场地上、计算被投掷的标枪飞行距离、和所有选手投掷标枪比赛的排名；本发明可以实现自动正确判断飞行的标枪是否正确插入合法的场地范围内、及标枪飞行距离自动裁判，从而避免裁判必须到比赛场地而带来人身危险；对所有选手的比赛结果自动排名，提高比赛的效率。</t>
  </si>
  <si>
    <t>基于物联网的标枪比赛自动裁判平台及使用方法</t>
  </si>
  <si>
    <t>KR101927914B1</t>
  </si>
  <si>
    <t>[0001] 本发明涉及用于预防海女溺水事故和管理海女健康的基于物联网的海女健康监测系统和海女健康监测方法,更具体地,作为用于预防海女溺水事故和管理健康的基于物联网的海女健康监测系统. 一种智能健康护目镜装置,以佩戴护目镜的形式用于测量海女血液中的氧气浓度并监测海女的位置; 以海女穿着的潜水衣为材料,一款智能健康潜水衣设备,用于测量海女的心电图; 智能健康游泳装置与智能健康泳镜装置和智能健康潜水服装置相连,具有通信和漂浮功能,使海女可以依靠身体在水面上或在游泳时移动。 根据本发明提出的用于预防溺水事故和健康管理的基于物联网的海女健康监测系统和海女健康监测方法,将海女佩戴的潜水眼镜、潜水服和太宇作为智能健康设备,从而使海女的材料手术 手术过程中出现血氧浓度下降或心律失常时,通过智能健康泰瓦克设备传输到陆地上的海女健康管理服务器,请求海上救援,同时通过振动传感器报警haenyeo 的智能健康游泳护目镜装置 通过此装置,可以通过振动通知 haenyeo 危险。 另外,根据本发明,智能健康泳镜装置配置为包括血氧饱和度传感器、GPS模块和用于报警的振动传感器,智能健康潜水服装置配置为包括心电图传感器,心电图传感器包括:干电极、智能健康泰瓦克设备与智能健康泳镜设备、智能健康潜水衣设备有线连接,配置为网络平台,与陆地上的海女健康管理服务器进行无线通信,监测健康状况海女长期在海上实时作业,这样可以提前预防海女的风险,更有效地保障海女的风险管理和安全。</t>
  </si>
  <si>
    <t>基于物联网的海女健康监测系统及海女溺水事故预防和健康管理的健康监测方法</t>
  </si>
  <si>
    <t>CN207429619U</t>
  </si>
  <si>
    <t>一种可自动规划路线收纳乒乓球的智能拾球器，其组成包括：拾球器本体、拾球器分体；拾球器本体包括：真空吸口、球门、传送装置、散热孔、触屏按键、电子眼、车轮、金属条；所述真空吸口利用强劲吸力拾取乒乓球；所述球门当球吸入一定数量时会自动关闭；所述传送装置会将吸满球的装置传送至拾球器本体上层；所述触屏按键包括开关键、路径规划键、收球键；所述电子眼具有图像识别功能；所述车轮包括左行走轮、右行走轮、万向轮，保证拾球器灵活移动；拾球器分体包括：按钮、把手；所述按钮控制收纳盒，将装满球的收纳盒从拾球器本体上取下；所述把手可进行拉伸，方便使用者拉出和端起收纳盒。</t>
  </si>
  <si>
    <t>一种可自动规划路线收纳乒乓球的智能拾球器</t>
  </si>
  <si>
    <t>KR1020190028642A</t>
  </si>
  <si>
    <t>本发明旨在通过用智能石墨烯基纤维和纳米复合材料替换当前车辆和机器人机器的某些部件来显着减轻重量并节省能源。 本发明还涉及下一代交通工具的形成,包括但不限于各种车辆、拖车、卡车、公路和空中交通工具、船舶和人类智能机器人、机器部件以及计算机部件,自行车和体育用品。它是关于。</t>
  </si>
  <si>
    <t>智能石墨烯纳米材料制造方法及用于超轻机器和车辆</t>
  </si>
  <si>
    <t>KR1020220165722A</t>
  </si>
  <si>
    <t>本发明旨在通过用智能石墨烯基纤维和纳米复合材料替换当前车辆和机器人机器的某些部件来显着减轻重量并节省能源。 本发明还涵盖各种车辆、拖车、卡车、公路和空中交通工具、船舶和人类,新一代交通工具包括但不限于用于植物制造、农业和水产养殖的智能机器人、机器零件以及计算机零件,形成自行车和体育用品。</t>
  </si>
  <si>
    <t>智能石墨烯纳米材料的制造方法及其在超轻型机械和车辆中的应用</t>
  </si>
  <si>
    <t>CN206604159U</t>
  </si>
  <si>
    <t>本实用新型提供一种便于安装的乒乓球用人工智能监测装置，涉及人工智能监测装置领域。该便于安装的乒乓球用人工智能监测装置，包括监测器，所述监测器的左侧固定安装有壳体，所述监测器的底部固定安装有固定块，所述固定块远离监测器的一端通过转轴活动连接有横杆，所述横杆上穿插设置有螺栓，所述螺栓靠近横杆的一端贯穿横杆并延伸至横杆的上方。该便于安装的乒乓球用人工智能监测装置，通过对螺栓、螺母、套筒、防滑板、插杆、板体、卡块、缓冲片、竖杆、滑板和弹簧的设置，达到了方便对乒乓球用人工智能监测装置进行方便安装的效果，从而方便了使用者的使用，因此也提高了乒乓球用人工智能监测装置的工作效率。</t>
  </si>
  <si>
    <t>CN106890445A</t>
  </si>
  <si>
    <t>本发明提供一种便于安装的乒乓球用人工智能监测装置，涉及人工智能监测装置领域。该便于安装的乒乓球用人工智能监测装置，包括监测器，所述监测器的左侧固定安装有壳体，所述监测器的底部固定安装有固定块，所述固定块远离监测器的一端通过转轴活动连接有横杆，所述横杆上穿插设置有螺栓，所述螺栓靠近横杆的一端贯穿横杆并延伸至横杆的上方。该便于安装的乒乓球用人工智能监测装置，通过对螺栓、螺母、套筒、防滑板、插杆、板体、卡块、缓冲片、竖杆、滑板和弹簧的设置，达到了方便对乒乓球用人工智能监测装置进行方便安装的效果，从而方便了使用者的使用，因此也提高了乒乓球用人工智能监测装置的工作效率。</t>
  </si>
  <si>
    <t>CN206604071U</t>
  </si>
  <si>
    <t>本实用新型公开了一种基于心率和语音控制跑台坡度的电动跑步机，包括底座、电子表组件和立柱，电子表组件的后端且左右两侧形成侧扶手，两侧扶手之间设有横向扶手，横向扶手的两侧分别设有心率监控传感器，跑台的前端下方设有驱动机构，底座的前端内置有驱动电路，电子表组件内的中央处理控制器与驱动电路电连接，驱动电路与驱动机构电连接；还包括语音传感模块，语音传感模块包括语音接受模块、语音识别模块，语音接受模块与语音识别模块电连接；语音识别模块和心率监控传感器分别与中央处理控制器电连接。本实用新型能够通过运动者的心率或语音控制跑台的坡度，满足运动者在整个运动过程中适当缓解或增加运动强度，达到合理、健康的健身需求。</t>
  </si>
  <si>
    <t>一种基于心率和语音控制跑台坡度的电动跑步机</t>
  </si>
  <si>
    <t>CN107316255A</t>
  </si>
  <si>
    <t>本发明提供一种高效率的穿梭在线比赛的比赛方法，以解决现有的技术比赛效率低，处理规模小的问题。一种高效率的穿梭在线比赛的比赛方法，包括，参赛者分级使用智能终端进行英语朗读录音，并通过所述的智能终端上传至后台服务器；后台服务器对英语朗读录音进行储存并由评分系统自动评分；后台服务器根据评分判定晋级参赛者并公布晋级名单，同时晋级参赛者自动进入下一轮比赛直至最后一轮比赛和在最后一轮比赛结束后后台服务器根据成绩排名公布获奖名单。本发明通过线上组织比赛，有利于节约组织比赛成本且适用规模大；人工智能评分可杜绝评委主观意见影响比赛；多轮赛制通过设置多种晋级条件，有利于筛选出优秀参赛者。</t>
  </si>
  <si>
    <t>一种高效率的穿梭在线比赛的比赛方法</t>
  </si>
  <si>
    <t>CN107180423B</t>
  </si>
  <si>
    <t>本发明公开了一种基于运动轨迹的球类发球陪练方法，包括以下步骤：步骤1：获取多个球类发球时球拍的运动轨迹；步骤2：由步骤1采集的多个运动轨迹提取特征向量；步骤3：针对步骤2获得的特征向量，训练得到粒子群‑支持向量机模型；步骤4：对待评定的球拍运动轨迹进行查找，依据发球轨迹特征在运动轨迹中提取出发球轨迹，输入步骤3中训练好的粒子群‑支持向量机模型，进行发球成功与否的评定；本发明方法实现更加客观的球类运动员发球时的技术动作分析，帮助教练员和运动员发现不规范的动作或是错误动作，提高体育训练效率，改进运动技术，从而达到辅助训练的目的。</t>
  </si>
  <si>
    <t>一种基于运动轨迹的球类发球陪练方法</t>
  </si>
  <si>
    <t>CN106955477A</t>
  </si>
  <si>
    <t>本发明公开了一种足球发射器，包括壳体，壳体内设有腔体，壳体的外表面包括上表面、前表面和后表面，上表面设置有与腔体连通的喂球口，前表面设置有与腔体连通的发射口，前表面设置有图像采集模块和嵌入式及单片机控制模块，腔体内壁关于发射口环形分布有若干导向轮，腔体的后侧设有设置有内嵌控制模块；后表面设置有USB接口和电源接头。图像采集模块能够对球门门框、守门员以及守门员的双手进行图像识别以及定位，并通过控制模块控制不同的导向轮的转向和转速以及该导向轮的启动时间，从而通过差速得到不同弧线、发向不同位置的球，由此解决发球机无法满足多样化训练的问题。</t>
  </si>
  <si>
    <t>一种足球发射器</t>
  </si>
  <si>
    <t>CN206631147U</t>
  </si>
  <si>
    <t>本实用新型提供一种乒乓球语音发球机控制装置，属于发球控制领域，包括控制器电路、麦克风、语音处理电路、语音识别电路、发球电路、方向控制电路和送球电路。麦克风的输出端经语音处理电路与语音识别电路连接。语音识别电路的输出端与控制器电路连接。送球电路的输入端与控制器电路连接。发球电路的输入端与控制器电路连接。方向控制电路的输入端与控制器电路连接。方向控制电路的输出端与发球电路连接。本实用新型设置有方向控制电路，从而可以根据语音进行对发球的方向的进行控制，能够使乒乓球训练者得到更好的训练。</t>
  </si>
  <si>
    <t>一种乒乓球语音发球机控制装置</t>
  </si>
  <si>
    <t>WO2017170875A1</t>
  </si>
  <si>
    <t>即使识别目标的一部分在图像之外,也能检测识别目标。 图像识别装置通过在拍摄图像1周围添加填充有预定图像数据的空白区域10来创建比拍摄图像1更大的扩展图像11。 如果人离相机太近,人像5的一部分会从拍摄的图像1中突出,但是图像识别装置可以设置一个包括空白区域10的大检测窗口3e来检测突出的区域。图像4e从扩展图像11中提取; 窗口图像4e是显示人5的全身的图像,尽管人5的突出部分缺失。 图像识别装置存储大量的参考图像7,该参考图像7假定人8的各种状态(手脚的位置和姿势对于诸如步行、跑步、跳跃和坐下的每种姿势不同的状态)。 ing。 图像识别装置从窗图像4e中提取特征,并与基准图像7的特征进行比较,从而识别人物图像5。</t>
  </si>
  <si>
    <t>图像识别装置和图像识别程序</t>
  </si>
  <si>
    <t>EP3441938B1</t>
  </si>
  <si>
    <t>即使识别目标的一部分突出到图像的外部,也能检测识别目标。 图像识别装置将填充有预定图像数据的边缘区域10添加到由相机拍摄的拍摄图像1的外围,以创建比拍摄图像1更大的放大图像11。当人离相机太近时, 人物图像5的一部分从拍摄图像1突出,但是设置还包括边缘区域10的大检测窗口3e,由此从放大图像11中取出包括突出区域的窗口图像4e。窗口图像 图4e中的人物图像5没有突出部分,但它是显示人物图像5的整个身体的图像。图像识别设备存储了许多假设人物8的各种状态(位置、方向、 其他人的手或脚在每种姿势(例如步行、跑步、跳跃或坐着)方面都不同。 图像识别装置从窗口图像4e中提取特征,并将其与参考图像7的特征进行比较,从而识别人物图像5。</t>
  </si>
  <si>
    <t>图像识别装置及图像识别程序</t>
  </si>
  <si>
    <t>CN106890433A</t>
  </si>
  <si>
    <t>一种智能网球拾取机器人及其控制方法，该机器人包括传动机构，抓取机构，行走机构，扭盘机构、供能机构、识别系统和定位择路系统，传动机构与抓取机构相连接，用于网球的抓取，行走机构和扭盘机构用于机器人的移动，识别系统和定位择路系统用于网球的扫描定位。本发明的智能网球拾取机器人提高了网球爱好者和运动员的练球效率，在网球比赛和训练过程中，省时省力，还可以添加相应的人机交互，具有识别精度高，拾取效率高，结构简单和高度智能的优点。</t>
  </si>
  <si>
    <t>一种智能网球拾取机器人及其控制方法</t>
  </si>
  <si>
    <t>CN106886971A</t>
  </si>
  <si>
    <t>本发明公开了一种物联网智能交通系统，涉及物联网技术、轨道技术、电能传输技术、车辆自动驾驶技术、信息传输技术；特别适用于城市交通，彻底解决城市拥堵、停车难、事故频发等问题；满足人们个性化、点对点的出行，其特点是安全、高效、便捷、零排放、低成本、低能耗、占用资源少、方便管理的自动交通系统；例如：目前城市交通效率最高的地铁造价4‑8亿人民币/公里，平均速度35公里/小时；本系统造价不到其1/10，却能达到甚至超过其运输效率；本系统同样适用于城际和山区；其实施充分利用现有公路设施、不会浪费现有设施及重复建设；让人们从交通中解放出来，把交通变为人们学习、工作、休息、娱乐、健身的一个场所。</t>
  </si>
  <si>
    <t>无碳高效智能随意行交通系统</t>
  </si>
  <si>
    <t>CN106931990A</t>
  </si>
  <si>
    <t>本发明公开了一种基于模糊逻辑的跑步状态识别方法的控制方法，其步骤如下：1)采样加速度计数据；2)计算合加速度；3)进行野值处理及滤波；4)存储L长度的数据，差分，找到波峰和波谷；5)去除伪波峰、伪波谷，得到波峰序列、波谷序列；6)计算平均幅度、幅度方差、平均伪步频，伪步频变化斜率；7)各参数归一化；8)计算各参数隶属度；9)模糊推理，得到当前运动状态；本发明基于模糊逻辑理论，对一个窗口时间内的加速度计数据分析，利用窗口时间内的步频、步幅整体情况进行模糊推理，在保证实时性的同时，得到当前的运动状态并输出，为卡路里计算、跑步距离计算提供更准确的数据。</t>
  </si>
  <si>
    <t>一种基于模糊逻辑的跑步状态识别方法</t>
  </si>
  <si>
    <t>CN106955475A</t>
  </si>
  <si>
    <t>本发明提供一种语音识别的乒乓球发球机，属于发球机领域，包括传球管、存球桶、送球棒、发球轮、辅助送球棒、旋转棒和电控单元。传球管两端均设置为弯曲结构，传球管内部设置为空心结构。存球桶底部设置有进球孔，进球孔通过导球管与传球管的一端连接。传球管的一端孔内设置有送球棒。送球棒一端经辅助送球棒活动与旋转棒连接。旋转棒的一端设置有旋转电机。传球管的另一端上设置有凹形槽，发球轮设置在凹形槽内，发球轮上设置有发球电机。电控单元包括无线麦克风装置、无线接收模块、语音识别模块、控制器模块、驱动电路模块和传动装置。无线麦克风装置与无线接收模块无线连接；无线接收模块的输出端经语音识别模块与控制器模块连接。</t>
  </si>
  <si>
    <t>一种语音识别的乒乓球发球机</t>
  </si>
  <si>
    <t>US62476280P0</t>
  </si>
  <si>
    <t>US20170278120A1</t>
  </si>
  <si>
    <t>资源服务器跟踪健身工作室和其他企业的商家帐户,以便为特定课程的学生注册。 课程的初始价格是根据最低出席人数设定的。 由于通过最大化利用资源的学生数量来优化班级资源,因此降低了班级的价格。 可以通过资源服务器跟踪以某种形式向学生发放节省的奖励。 包括历史数据和分析在内的进一步输入以及人工智能也会影响价格调整。</t>
  </si>
  <si>
    <t>基于总出席率的活动在线动态资源规划</t>
  </si>
  <si>
    <t>CN304345278S</t>
  </si>
  <si>
    <t>1．本外观设计产品的名称：迷彩图案机器人（里奥1‑1）。
 2．本外观设计产品的用途：本外观设计产品用于双足仿人教育型机器人，有精准语音识别和智能对话的功能，有视频监控、聊天和投影成像功能，可以作为机器人研究、二次开发的平台，并可参加机器人舞蹈、竞步、足球等比赛。
 3．本外观设计产品的设计要点：色彩与形状、图案的结合。
 4．最能表明本外观设计设计要点的图片或照片：主视图。
 5．请求保护的外观设计色彩。</t>
  </si>
  <si>
    <t>迷彩图案机器人（里奥1‑1）</t>
  </si>
  <si>
    <t>US20180268734A1</t>
  </si>
  <si>
    <t>提供了一种提供通信音调教练的方法。 该方法可以获得关于第一实体和第二实体之间的通信的通信信息,同时该通信可能正在进行。 通信可以包括话语。 可以识别与话语相关联的音调并且可以导致识别出的音调。 可以使用基于机器学习的预测模块和识别的音调来预测通信的结果。</t>
  </si>
  <si>
    <t>CN106877475A</t>
  </si>
  <si>
    <t>本发明公开了一种基于单片机控制的自发电健身自行车系统，包括单片机主控模块、外部输入模块、输出模块、发电模块、充放电模块、外设模块。所述主控模块与其他各模块相连，控制系统运行，实现人机交互；所述输出模块通过显示屏输出实时速度、里程、总发电量，通过音响输出音乐和提示音；所述发电模块包括机械调速结构、直流发电机；所述充放电模块包括可充放电蓄电池及配合辅助设备；所述外设模块包括若干USB输出口及相连风扇等设备。本发明使得使用者在健身的同时实现自发电，供风扇等设备使用，同时单片机实现方便的人机交互，使系统更人性化。</t>
  </si>
  <si>
    <t>一种基于单片机控制的自发电健身自行车系统</t>
  </si>
  <si>
    <t>CN106934830B</t>
  </si>
  <si>
    <t>本发明涉及一种基于深度图像的非接触式体能测试系统及测试，由体能测试控制模块、仰卧起坐测试模块、俯卧撑测试模块、语音识别模块和测试反馈模块组成。通过使用Kinect体感交互设备获取深度图像，利用有限状态机框架对被测人体运动计数，使用语音识别算法自动开始或结束体能测试同时为用户反馈相关测试结果。本发明融合了深度图像的捕捉与识别，在不让用户肢体携带任何仪器的前提下获得用户的肢体信息，进行精确的运动测试计数。此外，系统根据匹配用户语音信号可自动记录，检测过程不需其他人为干预，同时能根据检测数据反馈给用户相关测试结果，使用户能最大限度发挥自己的体力潜能，提高运动效率和效果，为非专业体育运动者提供了一种自我监测的平台。</t>
  </si>
  <si>
    <t>一种基于深度图像的非接触式体能测试系统及测试方法</t>
  </si>
  <si>
    <t>CN206950554U</t>
  </si>
  <si>
    <t>公开了一种智能语音跑步机，包括机架，跑步电机和升降电机，还包括电子控制装置，所述的电子控制装置包括处理器，与所述的处理器连接的人机界面，脉搏检测电路和语音识别模块，所述的语音识别模块通过多路开关与蓝牙语音模块和语音处理电路连接，所述的语音处理电路连接拾音器；与所述的处理器连接的语音合成模块，所述的语音合成模块通过所述的多路开关连接所述的蓝牙语音模块和语音放大电路，所述的语音放大电路连接扬声器；所述的多路开关的控制端与所述的处理器连接；可穿戴的蓝牙耳机，通过射频信号与所述的蓝牙语音模块连接；与所述的处理器连接的变频器，所述的变频器与所述的跑步电机连接；与所述的处理器连接的升降电机驱动器，所述的升降电机驱动器与所述的升降电机连接。</t>
  </si>
  <si>
    <t>智能语音跑步机</t>
  </si>
  <si>
    <t>TWM548397U</t>
  </si>
  <si>
    <t>一种具物联网功能之智能信箱,系由一红外线感测单元检测是否有信件投入,并透过一无线网路传输单元通知使用者,信箱是否有信件并同时纪录信箱何时收到信件等资料。 使一微控制器单元接收一红外线感测单元讯号,同时由一即时时钟单元纪录投信时间,再控制一无线网路传输单元寄送电子邮件至使用者设定之电子信箱,系统则利用一太阳能发电 单元提供装置整体所需电力。 系统时间设定或电子邮件地址编写之整体操作过程,则可由一智慧型手机达成,并可经由一蓝芽无线传输单元或一无线网路传输单元,将相关资料传送至该装置中。</t>
  </si>
  <si>
    <t>具物联网功能之智能信箱</t>
  </si>
  <si>
    <t>TWM548396U</t>
  </si>
  <si>
    <t>一种具物联网功能之智能化妆镜,系由一无线网路传输单元,读取使用者设定之行事历时间、工作行程或气象预报等资讯,使用者可透过一操作单元启动该装置,使一 微控制器单元读取一即时时钟单元的时间资料,判断与当日有关的资料,藉由一液晶显示单元显示相关讯息,同时由一语音单元拨放所有文字语音说明,系统时间设定或行事历内容 编写之整体操作过程,则可由一智慧型手机达成,并可经由一蓝芽无线传输单元或一无线网路传输单元,将相关资料传送至该装置中。</t>
  </si>
  <si>
    <t>具物联网功能之智能化妆镜</t>
  </si>
  <si>
    <t>CN206745927U</t>
  </si>
  <si>
    <t>本实用新型涉及一种乒乓球发射机器人的控制电路结构，包括中央处理器、充电模块、电源模块以及分别与中央处理器连接的蓝牙模组、三轴陀螺仪、定时器、发射器，该充电模块与电源模块连接，该蓝牙模组用于与移动终端连接，该三轴陀螺仪用于检测发射器的加速度并反馈信号至中央处理器，发射器包括有上升马达控制电路以及前进控制电路，该上升马达控制电路用于控制上升马达向上推送乒乓球，该前进控制电路用于控制前进马达发射乒乓球，藉此，通过定时器，实现不同频率的发球，使出球更富于变化，从而提高练习者的接球水平，同时辅以蓝牙模组通过移动终端连接，对乒乓球机器人进行远程无线控制，实现人机交互的方式，增加练习者训练时的乐趣。</t>
  </si>
  <si>
    <t>乒乓球发射机器人的控制电路结构</t>
  </si>
  <si>
    <t>CN106730617A</t>
  </si>
  <si>
    <t>本发明涉及一种人机交互动感单车及其使用方法，包括车架和脚踏板，车架上设置有车把和车座，还包括显示器、控制装置、磁粉制动器、磁铁和霍尔传感器，显示器连接在车架前端，控制装置设置在车把上，磁粉制动器设置在车架上并通过曲柄与脚踏板连接，曲柄上设置有磁铁，霍尔传感器设置在磁粉制动器上并与控制装置连接，控制装置还分别连接显示器和磁粉制动器。该动感单车和使用者之间有人机交互，当使用者骑行速度改变后，弧面显示器中画面播放速度随之改变。使用者锻炼时，不仅可以欣赏到不同的路边风景，还可以准确的得到当前的运动信息。相比传统单调乏味的健身单车，运动趣味性增加，提高使用者的兴趣，利于使用者进行长期锻炼。</t>
  </si>
  <si>
    <t>一种人机交互动感单车及其使用方法</t>
  </si>
  <si>
    <t>CN206577301U</t>
  </si>
  <si>
    <t>本实用新型涉及一种人机交互动感单车，包括车架和脚踏板，车架上设置有车把和车座，还包括显示器、控制装置、磁粉制动器、磁铁和霍尔传感器，显示器连接在车架前端，控制装置设置在车把上，磁粉制动器设置在车架上并通过曲柄与脚踏板连接，曲柄上设置有磁铁，霍尔传感器设置在磁粉制动器上并与控制装置连接，控制装置还分别连接显示器和磁粉制动器。该动感单车和使用者之间有人机交互，当使用者骑行速度改变后，弧面显示器中画面播放速度随之改变。使用者锻炼时，不仅可以欣赏到不同的路边风景，还可以准确的得到当前的运动信息。相比传统单调乏味的健身单车，运动趣味性增加，提高使用者的兴趣，利于使用者进行长期锻炼。</t>
  </si>
  <si>
    <t>一种人机交互动感单车</t>
  </si>
  <si>
    <t>CN304587920S</t>
  </si>
  <si>
    <t>1．本外观设计产品的名称：带有图形用户界面的手表（十三）。
 2．本外观设计产品的用途：本外观设计产品用于运行程序和/或通讯。
 3．本外观设计产品的设计要点：显示屏上显示的图形用户界面。
 4．最能表明本外观设计设计要点的图片或照片：设计1界面放大图。
 5．指定基本设计：设计1。
 6．用于人机交互和实现可穿戴设备的用途。
 设计1界面放大图可变化到设计2界面放大图。
 例如，设计1界面放大图中显示的跑步过程中的实时界面，设计2界面放大图可以显示跑步过程中或跑步完成后跑步轨迹。
 设计2的后视图、左视图、右视图、俯视图、仰视图与设计1的对应视图相同，故省略设计2的上述视图。</t>
  </si>
  <si>
    <t>带有图形用户界面的手表（十三）</t>
  </si>
  <si>
    <t>CN106730775A</t>
  </si>
  <si>
    <t>本发明提供了一种基于物联网的家用健身器材，在现有健身器材的基础上，进一步提升了设备基于物联网的多种功能，提升健身效果，本发明的技术方案包括主控制器、送风机构、运动检测模块、积分兑换模块、健康指导模块、电源模块、通讯模块及多媒体模块，所述运动监测模块包括速度传感器和计时器，所述多媒体模块包括音乐、视频播放器、显示屏；所述电源模块包括电能存储器及与之连接的电能收集器，所述送风机构包括一个多扇叶的风扇，所述风扇中心轴与健身器材的回转轴连接。</t>
  </si>
  <si>
    <t>KR1020180096177A</t>
  </si>
  <si>
    <t>本发明,乒乓球拍; 并且在用于向用户推荐乒乓球物品的乒乓球物品推荐系统中,该乒乓球物品包括可附接到乒乓球拍的一个或两个表面的橡胶中的至少一个,可以输入乒乓球物品推荐请求信号,以便用户具有输入单元的终端可以接收想要的乒乓球物品; 乒乓球文章推荐服务器,用于与终端通信,当接收到终端输入的乒乓球文章推荐请求信号时,向终端提供推荐的乒乓球文章信息; 并使其能够与乒乓球器材推荐服务器进行通信和交换,并存储所使用的乒乓球器材信息,即用户正在使用的乒乓球器材和乒乓球器材标准性能的信息。信息,并且可以提供给乒乓球装备推荐服务器。它包括一个数据库,配置为做,其中输入单元被制成能够进一步输入用户期望的乒乓球装备的性能信息,台乒乓球装备推荐服务器,使用的乒乓球装备信息和用户想要的乒乓球装备提供一种乒乓球用品推荐系统,其特征在于从乒乓球装备标准性能中搜索推荐的乒乓球用品信息。根据成绩信息,将检索到的乒乓球推荐物品信息提供给终端。</t>
  </si>
  <si>
    <t>乒乓球装备推荐系统</t>
  </si>
  <si>
    <t>IN201741005838A</t>
  </si>
  <si>
    <t>本发明涉及一种用于分析和提高个体表演者在体育活动中的表现的训练系统。 该系统采用物联网可穿戴、机器视觉模块、机器学习和数据分析模块相结合的方式,达到帮助玩家提高成绩的目的。 它作为教练和个人的指导工具和系统来监控参数,这些参数可以帮助做出绩效改进决策的因素。</t>
  </si>
  <si>
    <t>提高运动专项训练表现的系统</t>
  </si>
  <si>
    <t>CN106807056A</t>
  </si>
  <si>
    <t>本发明公开了一种基于体感游戏的健身训练指导系统，所述指导系统包括用于显示体感游戏界面的显示装置，用于存储体感游戏数据包的存储装置，以及分别与所述显示装置和存储装置连接的处理器，还包括佩戴在用户身体上用于采集用户运动数据的侦测装置，用于传感用户脚部位置和运动频率的压敏地毯，以及用于采集用户实时动作状态的摄像装置；所述的侦测装置连接有信号发射模块，所述信号发射模块和与所述处理器连接的信号接收模块通信连接，所述压敏地毯和摄像装置均与处理器电连接。本发明通过增加侦测装置和压敏地毯能够更加准确的判断用户的实际动作，提高系统识别的准确性，在体感游戏项目的人机交互中使用户的动作更加标准，提高锻炼的效果。</t>
  </si>
  <si>
    <t>一种基于体感游戏的健身训练指导系统及指导方法</t>
  </si>
  <si>
    <t>CN206483128U</t>
  </si>
  <si>
    <t>本实用新型公开了一种基于体感游戏的健身训练指导系统，所述指导系统包括用于显示体感游戏界面的显示装置，用于存储体感游戏数据包的存储装置，以及分别与所述显示装置和存储装置连接的处理器，还包括佩戴在用户身体上用于采集用户运动数据的侦测装置，用于传感用户脚部位置和运动频率的压敏地毯，以及用于采集用户实时动作状态的摄像装置；所述的侦测装置连接有信号发射模块，所述信号发射模块和与所述处理器连接的信号接收模块通信连接，所述压敏地毯和摄像装置均与处理器电连接。本实用新型通过增加侦测装置和压敏地毯能够更加准确的判断用户的实际动作，提高系统识别的准确性，在体感游戏项目的人机交互中使用户的动作更加标准，提高锻炼的效果。</t>
  </si>
  <si>
    <t>一种基于体感游戏的健身训练指导系统</t>
  </si>
  <si>
    <t>CN106920193A</t>
  </si>
  <si>
    <t>本发明公开了教学器具管理技术领域的一种大学体育教学器材管理系统，包括学生模块，用于提供学生登录窗口，学生用户在登录界面输入账号密码进入系统后；教师模块；人机交互界面；单片机；执行机构，用于单片机发出正确的取用体育器材种类时，执行机构自动打开，学生取用体育器材；上位机；输入单元；阅读器；电子标签；数据库，为单片机中的数据存储机构，本发明利用射频技术，将高校内的体育器材表面贴上电子标签，利用阅读器读取电子标签上的数据内容，大大简便了体育器材管理员的工作内容，降低了其工作强度，同时，在学生身份核实方面，通过学生输入学号作为其账户名，利用学号的唯一性，避免了冒名顶替的弊端。</t>
  </si>
  <si>
    <t>一种大学体育教学器材管理系统</t>
  </si>
  <si>
    <t>CN106780824A</t>
  </si>
  <si>
    <t>本发明公开了一种基于物联网技术的国际象棋计时系统及使用方法，所述棋子模块Ⅰ主要负责通知棋盘模块Ⅱ选手已经落子；棋盘模块Ⅱ主要负责设定选手使用的棋子模块Ⅰ，设定比赛时间和读秒时间，设定比赛开始，接收来自棋子模块Ⅰ的落子指令，确定选手落子的时间，统计选手思考的总时间和读秒计时等。本发明避免国际象棋比赛过程中采用人工方式计时，使比赛计时更准确，使选手更专注于比赛，使裁判的工作更轻松，比赛更公平。</t>
  </si>
  <si>
    <t>基于物联网技术的国际象棋计时系统及使用方法</t>
  </si>
  <si>
    <t>US10733532B2</t>
  </si>
  <si>
    <t>在一些实施例中,本文提供了一种人工智能(“AI”)引擎,该引擎被配置为与多个用户界面一起操作,以适应不同类型的用户解决不同类型的人工智能问题。 AI引擎可以包括AI引擎模块,包括架构师模块、讲师模块和学习者模块。 汇编代码可以从以教学编程语言编写的源代码生成。 架构师模块可以配置为从汇编代码中提出神经网络布局; 学习器模块可以配置为从神经网络布局构建 AI 模型; 教练模块可以配置为训练学习者模块构建的人工智能模型。 多个用户界面可以包括集成开发环境、Web 浏览器界面或配置为使作者能够定义心智模型以供 AI 模型学习的命令行界面。</t>
  </si>
  <si>
    <t>人工智能系统的多个用户界面,以适应不同类型的用户用人工智能解决不同类型的问题</t>
  </si>
  <si>
    <t>CN304578187S</t>
  </si>
  <si>
    <t>1．本外观设计产品的名称：用于显示屏的图形用户界面。
 2．本外观设计产品的用途：本外观设计产品用于人机交互。
 3．本外观设计产品的设计要点：在于显示显示屏的图形用户界面。
 硬件设计部分和其余部分为惯常设计。
 4．最能表明本外观设计设计要点的图片或照片：界面变化状态图1。
 5．界面用途：产品的图形用户界面为与显示屏进行人机交互时的图形用户界面。
 主视图显示的界面为显示屏待机状态的图形用户界面；当用户与显示屏进行语音聊天或被触控时，依次显示界面变化状态图1‑4；当用户与显示屏进行比赛答题或被触控时，显示屏答对一题后显示界面变化状态图5；当显示屏听到用户说好听的话或被触控后显示界面变化状态图6；当显示屏听到用户提问或被触控时显示界面变化状态图7；当显示屏听到用户指令开始扫描题目或被触控时依次显示界面变化状态图8‑10；当显示屏听到用户提问或被触控时依次显示界面变化状态图11‑13；当显示屏听到用户的指令或被触控后依次显示界面变化状态图14‑16；当用户与显示屏比赛答题或被触控时，显示屏赢得用户后依次显示界面变化状态图17‑19。</t>
  </si>
  <si>
    <t>WO2017127802A1</t>
  </si>
  <si>
    <t>US20170212484A1</t>
  </si>
  <si>
    <t>US20170211285A1</t>
  </si>
  <si>
    <t>提供了用于提供网络连接以及游泳池/水疗设备的远程监控、优化和控制的系统和方法。 以灵活且经济高效的方式为泳池和水疗设备提供“物联网”(IoT) 功能。 游泳池和水疗设备的网络连接和远程监控/控制由各种组件提供,例如安装在游泳池/水疗设备中的网络通信和本地控制子系统,以及其他组件。 还公开了各种控制过程(“池逻辑”),其可以体现为安装在本公开的各种实施例中的任何一个中的软件代码。</t>
  </si>
  <si>
    <t>US20170212532A1</t>
  </si>
  <si>
    <t>US20170209338A1</t>
  </si>
  <si>
    <t>US20170212536A1</t>
  </si>
  <si>
    <t>US10219975B2</t>
  </si>
  <si>
    <t>US10272014B2</t>
  </si>
  <si>
    <t>US10363197B2</t>
  </si>
  <si>
    <t>EP3405629A4</t>
  </si>
  <si>
    <t>US11000449B2</t>
  </si>
  <si>
    <t>US11096862B2</t>
  </si>
  <si>
    <t>US11122669B2</t>
  </si>
  <si>
    <t>US11129256B2</t>
  </si>
  <si>
    <t>AU2017210106B2</t>
  </si>
  <si>
    <t>CN206480032U</t>
  </si>
  <si>
    <t>一种可语音控制的游泳圈管理装置，包括转盘和控制系统，转盘的下方设有与转盘进行传动连接的电机，转盘的上表面沿圆周方向间隔固定有多个支撑架，支撑架由支撑部和设于支撑部上的容纳部组成，容纳部上悬挂有多个游泳圈；容纳部为U型杆；控制系统包括微处理器、电机驱动电路和语音控制电路；电机驱动电路的输入端连接微处理器，电机驱动电路的输出端连接电机；语音控制电路包括麦克风、预处理模块、语音识别模块和存储模块；麦克风与预处理模块的输入端连接，预处理模块与语音识别模块连接；存储模块与微处理器连接。本实用新型能够使学生快速选出自己中意的游泳圈，且适用于学校这种人数较多、所需游泳圈数量较多的管理场合。</t>
  </si>
  <si>
    <t>一种可语音控制的游泳圈管理装置</t>
  </si>
  <si>
    <t>CN106657144B</t>
  </si>
  <si>
    <t>本发明涉及一种基于增强学习的动态保护路径规划方法，属于信息安全技术领域。具体操作步骤为：步骤一、生成分布式的网络攻击图。步骤二、寻找最差攻击路径。步骤三、生成网络模型。步骤四、通过增强学习，获取最佳保护路径。本发明提出的方法与已有技术相比较，具有以下优点：①不需要收集训练数据，对网络模型进行训练。②可以在线学习，不断确定不同时刻不同网络状态对应的最佳保护路径。③对传输数据的保护程度高。④最优保护路径生成速度快。</t>
  </si>
  <si>
    <t>一种基于增强学习的动态保护路径规划方法</t>
  </si>
  <si>
    <t>CN206434825U</t>
  </si>
  <si>
    <t>本实用新型涉及一种智能足球训练信息采集系统，所述系统包括：外围反弹组件和至少三个数据采集卡，外围反弹组件由至少三个反弹板彼此连接形成，每个数据采集卡上设置有数据采集控制器、冲击力传感器、采集卡数据存储器、数据预处理器和采集卡供电电池。本实用新型利用蜂窝构造原理，用最少的耗材提供最大的面积空间。同时将物联网技术和趣味的足球训练方法设计其中，能够帮助青少年提高足球训练兴趣，适用于家庭、幼儿园或中、小学等室内外多场景。青少年可以通过物联网和互联网技术，将自己的训练成绩和教练以及同学、队友分享，从而获得教练的进一步指导和帮助，也可以通过和其他同学比较训练成绩完成远程竞技，从而提升学习和训练的乐趣。</t>
  </si>
  <si>
    <t>一种智能足球训练信息采集系统</t>
  </si>
  <si>
    <t>WO2017166893A1</t>
  </si>
  <si>
    <t>提供了防盗监控装置、系统和方法。 该防盗监控装置包括:外壳、移动机构、控制器和视频控制模块,控制器包括移动控制模块、图像识别模块和声光控制模块; 移动控制模块用于控制移动机构沿运行路线移动。 视频控制模块,用于通过摄像头扫描环境信息,实时构建环境动态地图,生成跑步路线。 图像识别模块,用于将捕捉到的人的视频或图像与预先存储的人的视频或图像进行匹配,得到匹配结果,提供相应的控制指令。 声光控制模块的声光报警器,用于根据相应的控制指令发出声光报警。</t>
  </si>
  <si>
    <t>防盗监控装置、系统和方法</t>
  </si>
  <si>
    <t>EP3437078B1</t>
  </si>
  <si>
    <t>US10937288B2</t>
  </si>
  <si>
    <t>提供了一种防盗监控装置、系统及方法。 防盗监控装置包括:壳体、移动机构、控制器和视频控制模块,控制器包括移动控制模块、图像识别模块和声光控制模块。 移动控制模块用于控制移动机构沿运行路线移动。 视频控制模块,用于通过摄像头扫描环境信息,实时构建环境动态地图,生成跑步路线。 图像识别模块,用于将采集到的人物视频或图像与预先存储的人物视频或图像进行匹配,得到匹配结果,并给出相应的控制指令。 声光控制模块的声光报警器,用于根据相应的控制指令发出声光进行报警。</t>
  </si>
  <si>
    <t>CN106693349B</t>
  </si>
  <si>
    <t>本发明涉及一种智能足球训练信息采集系统及方法，所述系统包括：外围反弹组件和至少三个数据采集卡，外围反弹组件由至少三个反弹板彼此连接形成，每个数据采集卡上设置有数据采集控制器、冲击力传感器、采集卡数据存储器、数据预处理器和采集卡供电电池。本发明利用蜂窝构造原理，用最少的耗材提供最大的面积空间。同时将物联网技术和趣味的足球训练方法设计其中，能够帮助青少年提高足球训练兴趣，适用于家庭、幼儿园或中、小学等室内外多场景。青少年可以通过物联网和互联网技术，将自己的训练成绩和教练以及同学、队友分享，从而获得教练的进一步指导和帮助，也可以通过和其他同学比较训练成绩完成远程竞技，从而提升学习和训练的乐趣。</t>
  </si>
  <si>
    <t>一种智能足球训练信息采集系统及方法</t>
  </si>
  <si>
    <t>AT1359051T</t>
  </si>
  <si>
    <t>预防措施的指导、系统和管理</t>
  </si>
  <si>
    <t>CN106875017A</t>
  </si>
  <si>
    <t>本发明提供了一种基于移动互联网的健身路径智能化报修方法，运用移动互联网技术、图像识别技术搭建链接健身用户、政府、运维部门、维修单位于一体的智能化平台。实现社区健身路径智能报修、运维跟踪以及路径动态信息更新与维护功能，建立健身路径大数据中心，为政府建设、普查全民健身基础工程提供技术平台和数据依据，搭建路径智能报修平台，推动市民参与健身路径维护，并融入智慧城市体系，打造全民健身便民工程，规范健身路径管理维护制度，提升运维效率，降低维护成本。</t>
  </si>
  <si>
    <t>一种基于移动互联网的健身路径智能化报修方法</t>
  </si>
  <si>
    <t>CN106651702A</t>
  </si>
  <si>
    <t>本发明公开了一种智能语音驾培系统，包括学员信息存储模块、身份识别模块、教练匹配模块、语音监控模块、驾驶状态检测模块；身份识别模块通过采集学员指纹信息识别学员身份，教练匹配模块接收身份识别模块发送的学员信息后将与闲时状态关联的教练信息发送至语音监控模块；语音监控模块包括人机交互单元、监控单元、语音单元、显示终端；人机交互界面获取教练匹配模块发送的与闲时状态关联的教练信息，并通过列表的形式向学院展示。本发明所述系统可以使驾校教练不需要亲自到场即可远程对学员进行培训，对多个驾校的教练统合分配，平均资源，避免了学员练车前需要长时间等待的现象，系统智能快捷，简单方便，为学员学车练车提供一定便利。</t>
  </si>
  <si>
    <t>一种智能语音驾培系统</t>
  </si>
  <si>
    <t>KR101915163B1</t>
  </si>
  <si>
    <t>提供了一种根据本发明实施例的自动泊车系统。 自动泊车系统包括识别位于第一区域中的智能钥匙的智能钥匙识别单元、在识别智能钥匙时获取自身车辆周围的图像并将获取的图像转换并合成为外部图像的传感器单元, 一个停车位识别单元,它周期性地接收外部图像,并通过使用图像识别技术比较顺序连续的外部图像、自身车辆的当前位置、跑步区域中的最佳停车区域和控制单元来识别停车位用于计算它们之间的行驶路径并基于行驶路径控制本车,其中停车位识别单元考虑本车的长度和宽度来检测停车区。</t>
  </si>
  <si>
    <t>自动泊车系统及自动泊车方法</t>
  </si>
  <si>
    <t>CN106730604B</t>
  </si>
  <si>
    <t>本发明公开一种基于CPG模型的人体锻炼跑步机自适应主动控制方法，包括：通过肌电采集仪实时采集人体在跑步机上运动时一个步态周期内下肢股直肌、股二头肌的表面肌电信号，提取其幅值特征和频率特征；将幅值特征和频率特征作为参数带入已通过遗传算法优化的CPG模型中，拟合出周期性人体下肢髋关节角度曲线；根据周期性人体下肢髋关节角度曲线，得出角度极值和频率，带入关系模型求出跑步机速度控制命令，并通过计算机发给驱动模块，实现跑步机自适应主动控制。本发明通过提取人体下肢sEMG的幅频特征作为CPG模型参数，得到期望周期性髋关节步态曲线，提取其角度极值和频率，通过关系模型得到跑步机速度命令，实现跑步机自适应主动控制。</t>
  </si>
  <si>
    <t>一种基于CPG模型的人体锻炼跑步机自适应主动控制方法</t>
  </si>
  <si>
    <t>CA2953186A1</t>
  </si>
  <si>
    <t>传感技术的进步与人工智能(人工智能)相结合,创造了能够以复杂细节感知我们每一个动作的设备和系统。 社会正在向监视系统的世界发展——机器可以更密切地感知我们,但更少地揭示它们的内部状态和功能。 现代“用户友好”趋势是隐藏功能和机器状态变量以“简化”最终用户的操作。 虽然这种“低调”(和“低调”)技术趋势得到了大多数社会的支持,但它有可能会破坏一些最终用户的自然科学好奇心和可理解性,导致他们远离试图了解我们的技术 世界。 监视系统对智力用户不利,使他们无法充分参与技术进步,并可能使一些用户远离逻辑思维,转向技术异教徒的“巫术”和精神错乱。 为了扭转这种有害趋势,Minsky、Kurzweil 和 Mann 提议使用 HI(人文智能)来创建“智能监控社会”。 因此,Sousveillant 系统是旨在智能地向最终用户揭示其内部状态以完成 HI 反馈循环的系统。 这篇论文在某种程度上是对产品设计师、系统设计师、创造者、制造商等人(或至少是对其的启发)的一种“宣言”,内容是关于如何创造更好的技术,让我们变得更聪明而不是更愚蠢。 这里公开了与Sousveillant Systems的新兴领域相关的发明的多个实施例。 本发明基于使其内部状态对最终用户显而易见的技术,没有明显的延迟或遗漏(“反馈延迟就是反馈被拒绝”)。 在一个实施例中,触觉增强现实计算机辅助设计系统允许用户使用一种特殊类型的锁定放大器来创建内容。 在另一个实施例中,用户的身体,尤其是他们的核心(例如腹横肌、腹斜肌、腹直肌、竖脊肌等)在诸如游戏的交互式计算过程的反馈循环中促进了指点设备或光标。 这个“PlankPoint .TM”。 或“CorePoint .TM”。 技术产生了一种基于整体运动学的新形式的健身,例如通过多维虚拟现实或增强现实空间相对于目标路径或目标轨迹的弃权或弃权。</t>
  </si>
  <si>
    <t>用于人文智能的手段、设备和方法、非数字半机械人工艺和用于机器完整性的苏维安系统</t>
  </si>
  <si>
    <t>CN304220587S</t>
  </si>
  <si>
    <t>1．本外观设计产品的名称：用于教学装置的触摸屏的图形用户界面。
 2．本外观设计产品的用途：本外观设计产品用于人机交互式的多媒体教学。
 3．本外观设计产品的设计要点：在于触摸屏中的图形用户界面内容。
 4．最能表明本外观设计设计要点的图片或照片：主视图。
 5．界面用途：主视图的产品的图形用户界面为体育学习软件的教学界面；点击界面右侧的一系列按钮，可选择不同的体育运动；点击界面下部的一系列按钮，可现则相应体育运动下的不同显示内容。</t>
  </si>
  <si>
    <t>用于教学装置的触摸屏的图形用户界面</t>
  </si>
  <si>
    <t>CN106709453B</t>
  </si>
  <si>
    <t>基于深度学习的体育视频关键姿态提取方法应用于体育视频分析领域，具体涉及图像特征提取、图像分割与图像分类。举重视频中背景复杂，且背景区域存在大量的运动信息，使得光流法和背景削减法的结果并不理想；而帧间差分法需要选取合适的阈值，对于大量的举重视频，帧间差分法并不鲁棒。将一段举重视频，通过先用全卷积网络分割出前景，然后用聚类的方法优化分割结果，最后自动的提取出关键姿态的方法，取得了很好的效果。</t>
  </si>
  <si>
    <t>一种基于深度学习的体育视频关键姿态提取方法</t>
  </si>
  <si>
    <t>CN206370032U</t>
  </si>
  <si>
    <t>本实用新型公开了一种基于物联网的防沉迷AR投影装置，属于投影仪技术领域，其中：计时电路达到设定时长发出信号，中央处理器发送指令，物联网控制器控制传动装置、跑步机的运行，投影控制器控制投影设备的投影亮度以及扬声器，红外传感器感、心率传感器感测用户体温、心率，无线接收装置接收已跑里程，远程监控端远程监控和控制投影装置使用。有益效果：当投影设备使用达到设定时长，降低投影亮度到微弱，打开遮光窗帘，播放音乐，启动跑步机，使得用户无法继续使用投影设备，并提示用户进行体育锻炼，用户锻炼的里程、体温、心率达标才可恢复投影设备的正常使用，远程监控端监控和控制投影装置使用，防沉迷功能全面、强大。</t>
  </si>
  <si>
    <t>一种基于物联网的防沉迷AR投影装置</t>
  </si>
  <si>
    <t>CN206418814U</t>
  </si>
  <si>
    <t>本实用新型公开一种家用便携式游泳池的水循环控制装置，包括水泵、过滤器、加热器、3个温度传感器、2个水压传感器、控制电路、以及人机交互界面。水泵的入水口经由水管连接家用便携式游泳池的出水口，水泵的出水口经由水管连接过滤器的入水口，过滤器的出水口经由水管连接加热器的入水口，加热器的出水口经由水管连接家用便携式游泳池的入水口。温度传感器检测池内、出水管和入水管的水温。水压传感器检测过滤器的入水水压和出水水压。温度传感器和水压传感器的输出端均与控制电路的输入端连接。人机交互界面的连接控制电路；控制电路的2个输出端分别连接水泵和加热器的控制端。本实用新型能够实现水温和水质的控制。</t>
  </si>
  <si>
    <t>家用便携式游泳池的水循环控制装置</t>
  </si>
  <si>
    <t>CN106639388A</t>
  </si>
  <si>
    <t>本发明公开一种家用便携式游泳池的水循环控制装置及方法，包括水泵、过滤器、加热器、3个温度传感器、2个水压传感器、控制电路、以及人机交互界面。水泵的入水口经由水管连接家用便携式游泳池的出水口，水泵的出水口经由水管连接过滤器的入水口，过滤器的出水口经由水管连接加热器的入水口，加热器的出水口经由水管连接家用便携式游泳池的入水口。温度传感器检测池内、出水管和入水管的水温。水压传感器检测过滤器的入水水压和出水水压。温度传感器和水压传感器的输出端均与控制电路的输入端连接。人机交互界面的连接控制电路；控制电路的2个输出端分别连接水泵和加热器的控制端。本发明能够实现水温和水质的控制。</t>
  </si>
  <si>
    <t>家用便携式游泳池的水循环控制装置及方法</t>
  </si>
  <si>
    <t>KR102103312B1</t>
  </si>
  <si>
    <t>一种用于预测用户最有意义的多媒体内容的系统和方法包括响应于用户请求多媒体操作而启用用户设备上的感测设备,以及响应于多媒体操作对多媒体内容执行多媒体操作。当实质上正在执行多媒体操作时,与感测设备的交互提示;以及更新来自一组多媒体内容的推荐,该多媒体内容包括由所识别的行为和交互提示表示的多媒体内容,并且向用户呈现更新的推荐。</t>
  </si>
  <si>
    <t>CN106909705B</t>
  </si>
  <si>
    <t>本发明公开了一种铁水质量的预报方法，该方法首先利用最大信息系数对铁水质量的影响变量与铁水质量之间的非线性相关性进行研究，并基于上述相关性分析结果对铁水质量的影响变量进行筛选，并确定影响因素与铁水质量的时滞关系，通过从数据库中提取相应的历史数据作为预测模型的训练集，采用动态神经网络的方法对预测模型进行训练，以实现对模型的滚动优化，据此实现对铁水质量的预测。基于上述预测方法，本发明进一步利用LABVIEW与MATLAB混合编程，搭建了一套铁水质量预报系统，实现对铁水质量的预测以及铁水质量及其相关影响变量的监控，从而在高炉炼铁过程中对现场工作人员具体操作起一定指导作用。</t>
  </si>
  <si>
    <t>一种高炉铁水质量预报方法及其系统</t>
  </si>
  <si>
    <t>KR1020180072180A</t>
  </si>
  <si>
    <t>公开了一种使用机器学习的冰壶比赛预测算法。 根据本发明的实施例的使用机器学习的冰壶比赛预测算法使用直到冰壶比赛的特定结束时获得的每个队的得分信息来预测下一局的得分或最终比赛结果,并且根据到学习模型,训练模型</t>
  </si>
  <si>
    <t>使用机器学习的冰壶比赛预测算法</t>
  </si>
  <si>
    <t>CN106581950B</t>
  </si>
  <si>
    <t>本发明属于互联网技术领域，提供了一种互联网射箭用数据处理方法、装置及系统，该方法包括：采集运动员组织架构信息的运动员在预定时间内的面部表情信息和动作姿势信息，以及箭靶射击图像信息；根据射箭评分细则和箭靶射击图像信息，确定运动员射箭成绩；采用分屏技术，进行分屏显示；根据该运动员在预定时间内的面部表情信息、动作姿势信息和该运动员射箭成绩，确定射箭技能评价结果，以及结合神经网络情绪分析模型，获取该运动员的情绪分析结果。本发明互联网射箭用数据处理方法、装置及系统，能够将各地射箭现场的比赛场景及数据进行互联，方便运动员了解不同场地的实时状况，提高数据传输效率和用户体验，节省人力、物力。</t>
  </si>
  <si>
    <t>互联网射箭用数据处理方法、装置及系统</t>
  </si>
  <si>
    <t>CN106843461B</t>
  </si>
  <si>
    <t>本发明公开了一种用于机器人的交互输出方法以及机器人。方法包括：接收多模态输入数据并解析，判断当前是否存在可以作为话题的体育赛事；当存在可以作为话题的体育赛事时判断所述体育赛事是否尚未进行或正在进行但尚未结束；当所述体育赛事尚未进行或正在进行但尚未结束时获取与所述体育赛事相关的多维度的样本数据；分析所述样本数据，综合所述样本数据的多维度分析结果预测所述体育赛事的预测结果；以所述体育赛事作为话题与用户进行交互，其中，将所述预测结果多模态输出给所述用户。相较于现有技术，根据本发明的方法可以大大提高用户的交互意愿，提高人机交互的用户体验。</t>
  </si>
  <si>
    <t>一种用于机器人的交互输出方法以及机器人</t>
  </si>
  <si>
    <t>KR101931126B1</t>
  </si>
  <si>
    <t>公开了一种低功耗的程序重构方法。 根据本发明的一个方面的在计算设备中执行的程序重构方法包括以下步骤:分析目标程序并选择功耗等于或大于预设参考电量的程序代码或函数作为转换目标; 基于在预设替换列表中登记的信息,用使用小于标准电量的程序代码或功能替换根据转换目标的程序代码或功能。 
  支持本发明的国家研发计划 
  任务标识号 MT262732016 部门名称 文化、体育和旅游部 研究管理机构 韩国版权委员会 研究项目名称 版权技术开发项目 研究项目名称 基于软件资源效率优化的移动和物联网设备版权技术框架开发 
  贡献率 1/1 监管机构 Initial T 研究期 2016.07.01 ~ 2018.12.31</t>
  </si>
  <si>
    <t>如何重构程序以实现低功耗</t>
  </si>
  <si>
    <t>KR101908016B1</t>
  </si>
  <si>
    <t>本发明涉及一种基于物联网的连接现实世界和网络世界的O2O逃犯追踪游戏系统和方法。 本发明由服务器20和至少两个或多个客户端10组成,客户端10通过IETF HTTP/CoAP协议与客户端10通信,使用Cocos2d-x游戏引擎构建游戏环境,在基于物联网的O2O中逃犯追踪游戏系统,其中服务器20通过HTTP/CoAP协议连接现实世界和虚拟世界,与客户端10进行通信,每个客户端10可以选择追捕者和逃犯之一。另外,每个客户端10获得通过GPS获取自身的位置信息并传送给服务器20,服务器20获取每个客户端10对应的两个用户的位置信息,确定相互距离,计算追捕者和逃犯是否在预设范围内接近,追赶者赢得比赛,追赶者可以继续比赛。 结果,由于最近智能手机的普及,手机游戏用户的数量正在迅速增加,此外,在对使用传感器网络的虚拟现实游戏进行研究的情况下,用户在现实世界中的位置是通过使用智能手机的 GPS 确定。通过提供基于物联网的虚拟现实跟踪游戏系统,该系统获取信息并跟踪基于移动互联网的虚拟空间中的用户,它提供了有助于物联网发展的效果-基于虚拟现实的跟踪游戏,结合了现实和虚拟世界。 此外,通过设计一款利用智能手机位置信息以捉迷藏的方式追踪共同用户的手机游戏,现实世界中的两个用户将他们的角色分为追捕者和逃犯,并通过智能手机的GPS定位彼此。 phone. 有一个提供基于物联网的虚拟现实追踪游戏的效果,可以追踪和捕捉。 此外,随着最近手机游戏的发展,正在研究混合现实世界和虚拟世界的虚拟现实游戏的现实中,提供了使用智能手机GPS位置信息的移动跟踪游戏。它提供的效果可以贡献开发连接世界的虚拟现实游戏。</t>
  </si>
  <si>
    <t>连接现实与网络世界的基于物联网的O2O逃犯追踪游戏系统及方法</t>
  </si>
  <si>
    <t>CN206950149U</t>
  </si>
  <si>
    <t>本实用新型公开了一种基于机器学习的膝盖受力检测装置，包括应用终端和两侧设有绑缚带的监测装置，绑缚带内设有与监测装置连接的电源模块；监测装置包括分别与压力传感器、加速度传感器、冲击力传感器连接的控制模块，控制模块通过数据缓存模块连接数据传输模块；数据传输模块将数据传输给应用终端。本实用新型的检测装置能够自动地采集运动员的膝盖受力信息，实现对膝盖受力的实时远程监控，不需要人工检测并记录结果，节省人力，检测结果更加准确；采用基于机器学习的膝盖受力状态识别，能够排除运动员的项目类型、年龄、运动员和运动状态等差异，真正为每个被监测对象量身定做，达到精准有效的膝盖受力检测目的。</t>
  </si>
  <si>
    <t>一种基于机器学习的膝盖受力检测装置</t>
  </si>
  <si>
    <t>CN106779364A</t>
  </si>
  <si>
    <t>本发明属于体育竞赛的技术领域，具体涉及一种基于物联网的体育赛事管理系统；解决的技术问题为：提供一种全信息化、将多种分离的传统体育赛事管理模块集成在一起，节省了人力物力、提高了比赛运行效率的体育赛事管理系统；采用的技术方案为：基于物联网的体育赛事管理系统，包括：报名子系统：用于接收和管理比赛相关人员的报名信息；编排子系统：用于安排各场比赛的信息，管理比赛结果；裁判子系统：用于控制和管理比赛过程，对运动员的比赛进行打分；公众子系统：用于接收和显示运动员的比赛信息，以使公众实时了解比赛情况；管理子系统：用于维护管理系统的基本信息；本发明适用于体育领域。</t>
  </si>
  <si>
    <t>基于物联网的体育赛事管理系统</t>
  </si>
  <si>
    <t>CN106621195A</t>
  </si>
  <si>
    <t>本发明涉及一种应用于智能健身车的人机交互系统，包括：人机交互模块，实现人机交互，在训练过程中，用户通过人机交互模块实时调节阻力大小；电磁阻发生装置；电路控制单元，检测脚踏板转速信号和脚踏板阻力信号，输出控制信号至电磁阻发生装置；心率检测发送单元，采集用户的心率值并将其通过通信模块发送至人机交互模块；数据存储模块和通信模块。本发明还公开了一种应用于智能健身车的人机交互系统的人机交互方法。本发明实现真正意义上的实现实时调节阻力，使训练者以恒功方式去训练，从而使训练的有效性大大提高；同时，本发明使训练更加具有科学性，使单纯的健身使运动变得有趣，激发出训练者的训练兴趣，使训练持之以恒地坚持。</t>
  </si>
  <si>
    <t>一种应用于智能健身车的人机交互系统及方法</t>
  </si>
  <si>
    <t>KR1020180060600A</t>
  </si>
  <si>
    <t>体育设施预约和控制方法包括:从用户终端接收包含体育设施的附属设施信息和使用时间的信息的预约请求,以及基于预约请求预约体育设施,从用户终端接收体育开始使用设施的请求,使用体育设施中提供的物联网终端在使用期间监视体育设施的使用状态,并从用户终端结束体育设施的使用。包括接收请求的步骤和根据监测到的体育设施的使用状态,统计在使用时间内体育设施的资源使用情况,资源使用情况为用电、用水、用气中的至少一种,包括一种</t>
  </si>
  <si>
    <t>考虑天气信息的体育设施预约和控制方法、体育设施预约和控制系统</t>
  </si>
  <si>
    <t>CN108122374A</t>
  </si>
  <si>
    <t>本装置公开了一种在游泳池中检测深水中发生危险的应急装置，包括物联网震动检测模块，声音采样模块，运动检测模块，显示报警模块；物联网震动检测模块的信号输出端连接声音采样模块的信号输入端，声音采样模块的信号输出端连接运动检测模块的信号输入端，运动检测模块的信号输出端连接显示报警模块的信号输入端；物联网震动检测模块由声表面波震动传感器及处理电路构成，声音采样模块由麦克风及放大电路构成，运动检测模块由加速度传感器构成，显示报警模块由扬声器及显示屏构成。</t>
  </si>
  <si>
    <t>一种在游泳池中检测深水中发生危险的应急装置</t>
  </si>
  <si>
    <t>CN108088972A</t>
  </si>
  <si>
    <t>本装置公开了一种在游泳运动中自动监测水温变化的安全装置，包括物联网液体检测模块，温度检测模块，数据处理模块，信息共享模块；物联网液体检测模块的信号输出端连接温度检测模块的信号输入端，温度检测模块的信号输出端连接数据处理模块的信号输入端，数据处理模块的信号输出端连接信息共享模块的信号输入端；物联网液体检测模块由声表面波液相传感器构成，温度检测模块由温度测量传感器及网络连接器构成，数据处理模块由滤波及放大电路构成，信息共享模块由无线互联网接入装置构成。</t>
  </si>
  <si>
    <t>一种在游泳运动中自动监测水温变化的安全装置</t>
  </si>
  <si>
    <t>CN108073860A</t>
  </si>
  <si>
    <t>一种游泳池杂物清扫装置和方法，提供一高分辨率摄像机，可对池水中的杂物进行摄影，将影像传递给计算机，通过人工在计算机屏幕上锁定待清扫的杂物。该杂物在水中的运动轨迹及实时的三维坐标被传递给一激光发射器上。激光发射器发射激光，通过该激光指引人员对相应的杂物进行清扫。该装置和方法有效的避免了传统的要将整个游泳池的水放掉后才能清扫较大杂物的缺点；同时采用了图像识别技术与激光器相结合，从而将杂物的位置实时的，准确的，方便的显示出来，以方便采取措施将杂物及时清除掉。</t>
  </si>
  <si>
    <t>一种游泳池内杂物的清扫装置和方法</t>
  </si>
  <si>
    <t>CN206138668U</t>
  </si>
  <si>
    <t>一种盲人用物联网游泳系统，包括物联网泳帽和控制中心，所述物联网泳帽包括泳帽本体、防水层、保护层和固定圈，所述控制中心包括相连接的天线、读写器、报警器，并设置在泳道的竖直墙壁上；所述防水层设于泳帽后脑勺部，所述防水层内设有RFID电子标签；所述保护层位于泳帽本体头顶部位，所述保护层内装有软性材料；所述固定圈位于泳帽本体内侧。采用这样的设计可使盲人自主判断转身时机，结构简单且使用起来更加安全，牢固。</t>
  </si>
  <si>
    <t>一种盲人用物联网游泳系统</t>
  </si>
  <si>
    <t>CN206434333U</t>
  </si>
  <si>
    <t>本实用新型属于健身体质监测技术领域，具体地说是一种基于物联网和大数据分析的体质监测系统。该实用新型的基于物联网和大数据分析的体质监测系统由体测数据收集子系统和体测数据分析处理子系统构成，所述体测数据收集子系统包括体测设备核心数据处理器和体测设备探测器，体测设备探测器包括俯卧撑数量传感器、坐位体前屈距离传感器、仰卧起坐数量传感器、体重传感器、身高传感器、肺活量传感器、反应时间单片机时钟模块、单脚站立时间单片机时钟模块和二次台阶实验心跳传感器。本实用新型的基于物联网和大数据分析的体质监测系统设计简单合理，并能最大程度上减少人为操作，使体质监测结果更加科学可靠，具有良好的推广应用价值。</t>
  </si>
  <si>
    <t>一种基于物联网和大数据分析的体质监测系统</t>
  </si>
  <si>
    <t>US20180116599A1</t>
  </si>
  <si>
    <t>为电话会议中的参与者提供健康活动可以包括接收与电话会议相关联的数据和指定进行电话会议的参与者的位置的位置数据。 可以基于接收到的数据和位置数据来预测要参与电话会议的参与者的参与度。 可以接收与参与者相关联的传感器数据,传感器数据至少包括与参与者相关联的当前生理数据。 可以识别参与者的健身目标。 基于预测的参与水平、传感器数据和参与者的健身目标,可以确定参与者在电话会议期间进行的锻炼。 可以向参与者发送通知信号以执行练习。</t>
  </si>
  <si>
    <t>机器学习优化会议期间参与者的健康活动</t>
  </si>
  <si>
    <t>JP2018068516A</t>
  </si>
  <si>
    <t>[问题] 客观地评价运动员在运动中的表现和表现。 
  解决方案:获取运动员在锻炼期间的一系列动作作为动作数据。 然后,基于玩家的位置关系等条件,提取要评价的部分(动作)。 之后,通过分类类型的机器学习来识别与要评估的戏剧和表演相对应的动作,用于提取的动作。 然后将回归机器学习应用于识别的动作,以评估游戏或表演的成熟度。 在这个过程中,分类机器学习和回归机器学习使用一个共同的特征向量。 通过这样做,可以客观而准确地评估戏剧和表演。 
  【选型图】图1</t>
  </si>
  <si>
    <t>电机运动评价系统</t>
  </si>
  <si>
    <t>KR101875722B1</t>
  </si>
  <si>
    <t>本发明涉及一种使用物联网设备提供语音和视频的系统和方法,通过网络结合PTT终端和IoT设备,形成PTT终端和IoT设备之间的控制会话,以及呼叫处理功能通过控制会话执行的服务服务器; 媒体服务器,用于通过网络与PTT终端和IoT设备相结合,形成PTT终端和IoT设备之间的媒体会话; 管理服务器,用于管理系统和PTT终端和IoT设备的整体操作,其中PTT终端或IoT设备通过通过服务服务器形成的控制会话发送和接收控制信号,并且通过媒体服务器形成提供了一种使用物联网设备提供音频和视频的系统,其特征在于,它通过媒体会话发送和接收音频或视频信号。</t>
  </si>
  <si>
    <t>使用物联网设备提供语音和视频的系统和方法</t>
  </si>
  <si>
    <t>CN206183948U</t>
  </si>
  <si>
    <t>本实用新型公开了一种人工智能篮球场地，包括底板和竖直安装在底板上的两个支撑柱，所述支撑柱上设置有操作板，所述支撑柱上端固定有控制箱，所述控制箱顶部设置有太阳能板，所述控制箱前端固定有篮框，所述篮框底部位置设置有视觉传感器，所述控制箱内依次电性连接有信号接收器、单片机控制器、存储器和无线通信模块，所述底板上设置有三分区，所述三分区上安装有多个红外探测器，所述红外探测器、视觉传感器和操作板均与信号接收器相配合，能够在传统的篮球场地上进行智能化改进，将外设的信号与无线通信模块进行通信，可以方便对篮球场上的活动情况进行了解，通过操作板能够打开显示屏，播放特定信息，设计新颖，值得推广。</t>
  </si>
  <si>
    <t>CN206391497U</t>
  </si>
  <si>
    <t>本实用新型公开了一种人工智能乒乓球台，包括工作台和固定在工作台下端的四个支撑柱，所述工作台中部固定有挡板，所述挡板由多个折叠板组成，所述折叠板通过锁定扣相互锁定，所述工作台上的四个拐角处均设置有透明块，所述透明块内安装有红外探测器，所述工作台内通过四个信号接收器与红外探测器相互配合，所述工作台内装配有PLC处理器，所述信号接收器与PLC处理器电性连接，所述PLC处理器电性连接有蓝牙通信模块、温控器和蓄电池，所述工作台一侧设置有操作板，所述操作板与PLC处理器电性连接，能够很好的满足现代人对智能产品的追求心理，使得乒乓球台的功能性大大增强，整个结构设计合理。</t>
  </si>
  <si>
    <t>一种人工智能乒乓球台</t>
  </si>
  <si>
    <t>CN206183915U</t>
  </si>
  <si>
    <t>本实用新型公开了一种人工智能乒乓球拍，包括底板和连接在底板上的手柄，所述手柄内安装有信号接收器、信号发送器、PLC处理器和温控器，所述信号接收器、信号发送器和温控器均与PLC处理器电性连接，所述手柄上设置有指纹感应处和USB插口，所述指纹感应处和USB插口均与PLC处理器电性连接，所述手柄上设置有出风口，所述出风口与温控器配合，所述手柄与底板连接处安装有供电器，所述底板内设置有多个固定杆，所述固定杆之间为横向和竖向垂直放置，且交叉处安装有压力传感器，所述横向的固定杆的两端均安装有重力传感器，所述压力传感器和重力传感器均与信号接收器配合，人性化设计，功能强大，智能化效果好，能够为使用者带来更好的运动体验。</t>
  </si>
  <si>
    <t>一种人工智能乒乓球拍</t>
  </si>
  <si>
    <t>CN206189237U</t>
  </si>
  <si>
    <t>本实用新型公开了一种人工智能塑胶跑道，包括跑道本体，所述跑道本体由两个直跑部和两个弯曲部构成，所述其中一个直跑部的外侧竖向安装有控制板，所述控制板前端设置有操作屏，所述控制板顶部固定有太阳能板，所述控制板内装配有蓄电池、信号接收器、存储器和PLC控制器且四者之间依次电性连接，所述蓄电池与太阳能板配合，所述两个弯曲部上均安装有测速器，所述跑道本体内填充有两层橡胶层，两层橡胶层之间安装有测力器，所述测力器和测速器均与信号接收器讯号连接，通过播报器进行数据的播报，可以很清楚的了解各个运动员跑步的时长以及跑道本体的安全性是否得到保障，设计新颖，值得推广。</t>
  </si>
  <si>
    <t>一种人工智能塑胶跑道</t>
  </si>
  <si>
    <t>CN206152235U</t>
  </si>
  <si>
    <t>本实用新型公开了一种人工智能网球拍，包括球拍本体、固定在球拍本体上的网面和连接在球拍本体下端的手柄，所述网面的两端均固定有压力传感器，所述球拍本体与网面之间安装有重力传感器，所述球拍本体的底部位置设置有USB插口，所述手柄与球拍本体的连接处固定有控制盒，所述控制盒上安装有显示屏，所述控制盒内依次电性连接有信号接收器、信号处理器和温度控制器，所述信号接收器电性连接有蓄电池，所述信号处理器与显示屏电性连接，所述手柄两端均竖向设置有一排气孔，所述手柄底部固定有后盖，在传统的网球拍上运用到了现代智能技术，设计人性化，智能显示十分及时，很好的分析出运动者的技术动作。</t>
  </si>
  <si>
    <t>一种人工智能网球拍</t>
  </si>
  <si>
    <t>CN206152229U</t>
  </si>
  <si>
    <t>本实用新型公开了一种人工智能篮球，包括球体，球体上设置有四个凹槽，凹槽当中设置有压力传感器和位移传感器，位移传感器安装在压力传感器中部，球体内壁上安装有四个供电器，供电器与凹槽位置一一对应，球体内还安装有电路板，电路板与供电器之间通过信号传输管连接，电路板上设置有信号接收器和数字信号处理器，信号接收器通过数模转换器与数字信号处理器连接，数字信号处理器电性连接有无线通信模块，压力传感器和位移传感器进行拍球压力的感应和篮球位移的测量，利用数模转换器将模拟信号转换成数字信号，再由数字信号处理器对数字信号进行处理，有助于运动者篮球技术的提高，提升运动者对篮球的兴趣。</t>
  </si>
  <si>
    <t>一种人工智能篮球</t>
  </si>
  <si>
    <t>CN206261992U</t>
  </si>
  <si>
    <t>本实用新型公开了一种带有蓝牙功能的电磁控健身车，包括：仰卧起坐板和健身车本体，所述健身车本体包括坐垫、底座、磁控飞轮箱、蓝牙接收器和车把；所述磁控飞轮箱上设置蓝牙接收器，所述蓝牙接收器与磁控飞轮箱内的磁控组件和速度传感器连接；所述车把的中部通过转轴B安装在支架上，所述支架固定在底座上，车把的底端固定连接弹力绳，所述弹力绳穿过导轮并固定连接在底座底部，弹力绳还穿过光电门，所述光电门固定在底座底部，光电门内包括数字计时器，所述数字计时器与蓝牙接收器电连接，弹力绳上贴有感光片。本实用新型丰富了健身车的功能，提高了人机交互性和使用乐趣，也降低了健身车的生产成本。</t>
  </si>
  <si>
    <t>一种带有蓝牙功能的电磁控健身车</t>
  </si>
  <si>
    <t>CN206183903U</t>
  </si>
  <si>
    <t>本实用新型公开了一种人工智能足球，包括球体，还包括重力测量圈、六角边框和信号板，所述重力测量圈和六角边框均固定在球体的外周围上，所述六角边框内的拐角位置处均安装有位移传感器，六角边框上还安装有多个弹性圈，所述弹性圈外周围固定有太阳能供电块，所述信号板安装在球体内，所述信号板上依次电性连接有数模转换器、数字信号处理器、存储器和蓝牙收发器，所述信号板四个拐角均通过连接块连接有缓冲垫，通过对信号的数字化处理，能够更快速的分析出足球的运动轨迹，通过存储器将分析结果进行存储，再由蓝牙收发器将处理结果传输到后台当中，连接块能够将信号板与缓冲垫紧密连接，不会使部件产生晃动，实用性极强。</t>
  </si>
  <si>
    <t>CN304006086S</t>
  </si>
  <si>
    <t>1.本外观设计产品的名称：机器人（智汇侠）。
 2.本外观设计产品的用途：适用于机器人视觉、传感器信息处理、人工智能、步态规划、运动控制、网络与通信、人机界面等多领域多学科的教学与开发，也可用于机器人竞技比赛、监控、综合服务和陪伴娱乐等。
 3.本外观设计要点在于:产品的形状。
 4.最能表明设计要点的图片或者照片：立体图。
 5.主视图、俯视图与立体图中字母A处代表屏幕。</t>
  </si>
  <si>
    <t>机器人（智汇侠）</t>
  </si>
  <si>
    <t>CN206470831U</t>
  </si>
  <si>
    <t>本实用新型涉及一种基于物联网的可视化体育网络健身平台，用以构建虚拟健身环境实现多台运动器材健身信息的交互共享，该可视化体育网络健身平台包括：运动数据采集组件：设置在运动器材上，用以采集运动者的身体运动数据；无线网络：包括相互连接的中继器和网关，运动器材上运动者的身体运动数据通过ZigBee协议传送到中继器，网关将中继器的ZigBee协议转换为TCP/IP协议并与互联网通信；云服务器：通过互联网获取运动者的身体运动数据，记录评估显示运动者的健身指标数据。与现有技术相比，本实用新型具有分布式无线传输、模拟虚拟环境等优点。</t>
  </si>
  <si>
    <t>一种基于物联网的可视化体育网络健身平台</t>
  </si>
  <si>
    <t>CN106529520A</t>
  </si>
  <si>
    <t>本发明公开了一种基于运动员号码识别的马拉松比赛照片管理方法，包括，号码区域定位的步骤：进行灰度化处理，采用形态学处理进行边缘检测，根据运动员号码图像的形态和颜色特征进行目标区域筛选，精确定位运动员号码区域；字符分割的步骤；字符识别的步骤：将分割后的字符进行特征提取，作为支持向量机的输入向量进行字符识别。实现对运动员的有效自动检测与识别，从而完成了马拉松比赛照片的自动管理。</t>
  </si>
  <si>
    <t>基于运动员号码识别的马拉松比赛照片管理方法</t>
  </si>
  <si>
    <t>CN206240021U</t>
  </si>
  <si>
    <t>本实用新型公开了一种具有NB‑IOT通信功能的运动数据采集器，包括GNSS单元、微控制器、NB‑IOT通信单元、电源管理单元、电池、动作识别单元、心率监测单元，GNSS单元与微控制器相连接；心率监测单元与微控制器相连接；动作识别单元将运动员的运动动作模式相关数据传输给微控制器；微控制器将接收到的数据通过NB‑IOT通信单元发送给NB‑IOT窄带物联网基站，电池提供电源给电源管理单元，电源管理单元提供电源给微控制器。本实用新型低成本、低功耗，能够在线采集、存储、分析运动员的心率、步频、步幅、运动速度、运动距离、跑步姿态、地理位置信息(可绘制轨迹、热力图)等数据，为体育训练提供了极大的帮助。</t>
  </si>
  <si>
    <t>一种具有NB‑IOT通信功能的运动数据采集器</t>
  </si>
  <si>
    <t>CN107918480A</t>
  </si>
  <si>
    <t>本发明涉及虚拟现实领域，公开了一种多功能虚拟现实空间球，该多功能虚拟现实空间球包括显示系统、人体动作捕捉系统和人机交互的虚拟现实空间系统；通过显示系统、人体动作捕捉系统和人机交互的虚拟现实空间系统的相互配合，可以产生一个独立的虚拟世界空间，使人在空间球内做任何陆地上的动作（游泳、攀爬和空中的动作除外），在活动空间内安装座椅和安保措施或者把空间球替换成专用的驾驶舱时，可以进行各种驾驶活动。</t>
  </si>
  <si>
    <t>多功能虚拟现实空间球</t>
  </si>
  <si>
    <t>KR1020180037352A</t>
  </si>
  <si>
    <t>[0001] 本发明涉及一种使用物联网(IOT)的配件设备,更具体地,通过将​​电子设备以附着或系在用户身体上的形式附着到配件上,与名人或名人有关的各种明星相关信息体育明星除了自动存储外,它还通过外部通信网络验证每个电子配件的ID,并执行管理功能,例如更新与明星相关的信息,并根据授权的访问权限允许或拒绝数据或系统访问。它涉及使用互联网的附属设备。</t>
  </si>
  <si>
    <t>利用物联网的附属设备</t>
  </si>
  <si>
    <t>KR101793934B1</t>
  </si>
  <si>
    <t>根据本发明实施例的一种自动分类健身运动类型的方法,包括(a)在佩戴配备有三轴加速度传感器的可穿戴设备的用户进行健身运动时采集的三轴加速度推导分类模型通过输入各轴加速度的平均值和标准差值以及对应的健身运动类型作为神经网络算法的学习数据,根据数值对健身运动类型进行分类; (b) 采集3轴加速度传感器感应到的3轴加速度值; (c)通过将时间轴换成频率轴,分析采集到的三轴加速度值,确定一个时间窗的代表值,即健身运动的一个周期; (d) 以时间窗的代表值作为运动的一个周期,推导出各轴加速度的平均值和标准差值; (e)将步骤(d)中导出的加速度沿各轴的平均值和标准差值的变化模式进行分类,使用导出的分类模型确定用户当前进行的健身运动类型包括步骤。</t>
  </si>
  <si>
    <t>发明名称 健身运动类型自动分类方法及装置</t>
  </si>
  <si>
    <t>US62400853P0</t>
  </si>
  <si>
    <t>苏格拉底式教练控制数据流的深度学习</t>
  </si>
  <si>
    <t>CN107137890A</t>
  </si>
  <si>
    <t>本发明公开了一种基于图像识别的智能网球拾取机器人，利用视觉识别系统对网球进行精确的图像识别，避免了误判而拾取到杂物。通过中央控制系统智能控制实现机器人移动、捡球和卸球，提高了捡球效率。另外，本发明控制模式有三种，包括全自动模式、半自动模式和全手动模式，用户可以根据实际情况选择合适的控制模式操作机器人，这样大大提高了使用的灵活性。</t>
  </si>
  <si>
    <t>一种基于图像识别的智能网球拾取机器人</t>
  </si>
  <si>
    <t>CN206125449U</t>
  </si>
  <si>
    <t>本实用新型提供的教练机多余度人机交互系统，包括任务处理单元、传感器、显示交互界面和非航电系统，任务处理单元负责对传感器数据进行信息融合和功能实现，负责对传感器和显示交互界面功能、动作的逻辑处理控制；传感器负责采集处理和发送基本数据和参数，并执行基本功能和动作；显示交互界面负责作图及显示和直接交互的输入控制；非航电系统与任务处理单元、显示交互界面直接交连以实现和飞行员的人机交互。本实用新型公开的教练机多余度人机交互系统，通过多余度人机交互设计，进行数据多余度传输调度，多余度显示控制，满足飞行员不同任务的人机交互需求，增加飞机的飞行及训练安全性，适用于不同用途的教练机。</t>
  </si>
  <si>
    <t>教练机多余度人机交互系统</t>
  </si>
  <si>
    <t>CN106184781B</t>
  </si>
  <si>
    <t>本发明提供的教练机多余度人机交互系统，包括任务处理单元、传感器、显示交互界面和非航电系统，任务处理单元负责对传感器数据进行信息融合和功能实现，负责对传感器和显示交互界面功能、动作的逻辑处理控制；传感器负责采集处理和发送基本数据和参数，并执行基本功能和动作；显示交互界面负责作图及显示和直接交互的输入控制；非航电系统与任务处理单元、显示交互界面直接交连以实现和飞行员的人机交互。本发明公开的教练机多余度人机交互系统，通过多余度人机交互设计，进行数据多余度传输调度，多余度显示控制，满足飞行员不同任务的人机交互需求，增加飞机的飞行及训练安全性，适用于不同用途的教练机。</t>
  </si>
  <si>
    <t>CN206236308U</t>
  </si>
  <si>
    <t>本实用新型涉及一种地下水电站火灾应急体感培训装置，其特点是，包括：全向跑步机、火焰效果模拟装置、VR眼镜、VR主机和VR手柄，培训人员佩戴VR眼镜进入虚拟火灾现场中，全向跑步机采集培训人员的移动数据并传输给VR主机，来控制虚拟环境中的人物移动，通过VR手柄实现虚拟场景人机交互，并结合火焰效果模拟装置体验靠近火焰，使培训人员在虚拟环境中进行灭火、逃生等人机互动，获得真实的火灾体验感受带来的身体感受。</t>
  </si>
  <si>
    <t>一种地下水电站火灾应急体感培训装置</t>
  </si>
  <si>
    <t>CN106448318A</t>
  </si>
  <si>
    <t>本发明涉及一种地下水电站火灾应急体感培训装置，其特点是，包括：全向跑步机、火焰效果模拟装置、VR眼镜、VR主机和VR手柄，培训人员佩戴VR眼镜进入虚拟火灾现场中，全向跑步机采集培训人员的移动数据并传输给VR主机，来控制虚拟环境中的人物移动，通过VR手柄实现虚拟场景人机交互，并结合火焰效果模拟装置体验靠近火焰，使培训人员在虚拟环境中进行灭火、逃生等人机互动，获得真实的火灾体验感受带来的身体感受。</t>
  </si>
  <si>
    <t>CN106267781A</t>
  </si>
  <si>
    <t>本发明提出一种用于体育训练的防水型动作捕捉系统，包括：一个或多个动作捕捉装置，用于监测一个或多个部位的动作信息；通信中继装置，用于接收一个或多个部位的动作信息，并实时监测动作捕捉对象的身体状况信息和所处环境信息；处理器，用于接收一个或多个部位的动作信息、身体状况信息和环境信息，并得到动作捕捉对象的完整运动姿态及完整运动信息；服务器，用于对动作捕捉对象的完整运动姿态及完整运动信息进行大数据处理、云计算、深度学习及数据挖掘，以得到完整运动姿态及完整运动信息的优化信息。本发明能够对人体的实际运动进行仿真、分析，实现了动作捕捉及动作完善，且具有精确度高、成本低、便捷性高及适用性强的优点。</t>
  </si>
  <si>
    <t>用于体育训练的防水型动作捕捉系统</t>
  </si>
  <si>
    <t>KR1020180031237A</t>
  </si>
  <si>
    <t>本发明涉及一种使用基于物联网的异构运动设备平台的自动量测量系统和方法。 本发明、健康立方体及进行蓝牙BLE配对的移动装置; 以及连接到其中一种贴身或不同类型的锻炼设备的健康立方体; 健康立方体接收来自移动设备的运动类型信息,提取与接收到的运动类型信息匹配的每个轴的预设算法,然后根据提取的每个轴的算法,加速度传感器检测到的运动次数。 Arduino板生成基于计数的运动测量数据并将生成的运动测量数据提供给移动设备; 可能是提供。 因此,它提供了通过健康立方体监测运动量的效果,健康立方体是一种健康测量设备,可以通过连接到身体或各种运动设备来测量运动量,以及通过它收集的运动测量数据。 此外,本发明在进行各种室内运动时,通过自动存储和管理运动量而无需手动记录运动量,从而提供了增加用户运动习惯和增加运动量的效果。 换句话说,本发明可以在家里或室内轻松使用,而无需在健身房或其他运动设施中实际注册,并且可以通过连接或拆卸现有的运动器材来整体使用,而无需购买保健产品。即使您只有一个健康魔方,它是一个测量设备,通过移动设备的移动应用程序,您可以一目了然地查看不同运动器材的运动量,并通过与熟人分享运动量的系统,引发与熟人的竞争精神。可以改善</t>
  </si>
  <si>
    <t>使用基于物联网的异构运动器械平台的自动量测量系统</t>
  </si>
  <si>
    <t>ZA201606370P0</t>
  </si>
  <si>
    <t>游戏或比赛使用 SMS 和 USSD 的组合,其中玩家或参与者尝试根据显示的图像识别特定的单词、短语、品牌和/或句子。 如果玩家或参与者能够解开所显示的图像,这些特定的单词、短语、品牌和/或句子将构成或拼出对玩家或参与者有意义的适当单词、短语、品牌和/或句子。 当玩家觉得他们猜对了意思时,他们将他们的答案发短信给 USSD 以参加以前的 SMS 比赛,其中正确的条目或条目将赢得在给定时间提供的各种奖品,例如金钱或现金、通话时间、 移动或手机数据和电子产品。 获胜的手机或手机号码必须准确猜测图像的含义。 这些图像还可以用于推广一个或多个品牌,这些品牌授权其产品或品牌本身进行推广或营销,无论是直接还是间接通过使用该系统。</t>
  </si>
  <si>
    <t>短信</t>
  </si>
  <si>
    <t>US9903720B2</t>
  </si>
  <si>
    <t>公开了一种方法,该方法涉及在穿越电子地图的越野路段时从用户的个人便携式训练设备接收GPS数据以及指示用户在运动期间的心率的相关数据。 使用表示该用户的健康概况的数据来处理遍历该段的每个用户的位置和心率数据。 结果数据用于确定与该段相关联的归一化成本,指示穿越该段的难度。 成本数据是使用神经网络生成的。 段网络中不同段的最终成本数据用于根据所需的锻炼强度、健身水平等为用户生成路线建议。</t>
  </si>
  <si>
    <t>用于创建用于生成跨越电子地图的路线的成本数据的方法和装置</t>
  </si>
  <si>
    <t>WO2017166715A1</t>
  </si>
  <si>
    <t>一种跑步机，包括跑步机本体(1)和遥控器本体(2) ，跑步机本体(1)设有控制装置(11)和无线信号接收器(12)；遥控器本体(2)上设有无线信号发射器(21)、处理器(22)、语音接收装置(23)和语音识别装置(24)；语音接收装置(23)和语音识别装置(24)电连接，语音接收装置(23)接收用户发出的语音指示并生成电信号，语音识别装置(24)接收电信号并对电信号进行分析、处理生成语音信息；处理器(22)分别与无线信号发射器(21)和语音识别装置(24)电连接；处理器(22)接收语音信息经处理后通过无线信号发射器(21)发送给无线信号接收器(12)；控制装置(11)与无线信号接收器(12)电连接，根据无线信号接收器(12)接收的信号控制跑步机本体(1)执行相应的工作。</t>
  </si>
  <si>
    <t>跑步机</t>
  </si>
  <si>
    <t>KR101890989B1</t>
  </si>
  <si>
    <t>本发明使用深度学习算法仅通过智能手机应用程序获取食物卡路里值的图片进行通知,并通过应用程序传递可以消耗卡路里的各种信息,并且已经建立了离线网络。一种为健身俱乐部提供锻炼服务的模型,更具体地说,使用大数据的深度学习算法,通过使用顾客吃的照片,提前找到相同种类和数量的食物。 1卡路里,它告诉你食物消耗的卡路里,当平均体重指数超过平均体重指数时,通过计算消耗和消耗的卡路里,警告信息和各种可以消耗卡路里的信息,即视频和文档数据 它提供了一个程序来锻炼应用程序提供的字符,如果您想离线锻炼,您可以使用智能手机的 GPS 将您想要的信息提供到离您当前位置最近的体育中心和健身俱乐部,例如运动、地点、价格等。如果您想在健身俱乐部锻炼或接受个人训练,您提前通过合同注册服务,客户连接提供健康服务的地方距离您当前位置最近的俱乐部进行预订和锻炼。提供卡路里管理系统,提供信息以便您可以做到。</t>
  </si>
  <si>
    <t>O2O 方法卡路里管理系统,用于使用深度学习算法进行对象识别的卡路里测量和消耗</t>
  </si>
  <si>
    <t>WO2017166701A1</t>
  </si>
  <si>
    <t>一种跑步机，包括机体(1)和设置在机体（1）上的语音接收模块(2)、语音识别模块(3)、中心控制模块(4)和功能模块(5)。语音接收模块(2)接收跑步者发出的语音指示并生成电信号，语音识别模块(3)接收语音接收模块(2)发出的电信号，并对电信号进行分析、处理生成语音信息；中心控制模块(4)接收语音信息并生成控制指令，功能模块(5)接收控制指令，并根据控制指令执行相应的功能。</t>
  </si>
  <si>
    <t>CN106313612A</t>
  </si>
  <si>
    <t>本发明公开了一种型煤压制装置，包括机箱外壳，所述机箱外壳的上端内部设置有独立液压系统，下端设置有工作台，所述独立液压系统的下端表面中央通过活塞杆连接上压板的上端表面中央，所述独立液压系统的下端表面边缘通过水平校准柱连接上压板的上端表面边缘，所述上压板的上端表面左下角设置有水平校准仪，所述上压板的下端表面中央通过铁柱连接模具，所述模具的下端边缘通过模具固定阀安装在工作台的表面。该型煤压制装置能够在压制型煤过程中实时调节监测，采用手自一体操作，增强人机交互性，操作简单，液压系统和电器系统设置在机箱外壳内，外形美观、整洁，噪音小，占用体积小，能够实现连续性、精确性的压制型煤。</t>
  </si>
  <si>
    <t>一种型煤压制装置</t>
  </si>
  <si>
    <t>CN107798692A</t>
  </si>
  <si>
    <t>一种球类图像识别方法及其系统，实现在足球、篮球或排球的运动比赛或训练过程中，通过图像监测、识别技术准确捕捉球类运动轨迹、运动速度、球类运动过程旋转变化轨迹、运动员运动过程中连续动作姿态等信息，为运动员的科学训练提供参考依据。系统设备包括特种球、特种摄像机、分析终端、无线移动基站、移动电源。本发明优点采用图像检测技术、图像识别技术、无线传输技术、数据分析技术，能够实现在足球、篮球或排球运动比赛或训练过程中，对特种球的运动轨迹、运动速度、球类运动过程旋转变化轨迹和运动员运动过程中连续动作姿态等信息进行实时监测。</t>
  </si>
  <si>
    <t>一种球类图像识别方法及其系统</t>
  </si>
  <si>
    <t>CN106372987A</t>
  </si>
  <si>
    <t>本发明公布一种活动展示与商品的销售方法数据处理装置，属于文化体育与电子商务领域，适用于现代网络平台、网站。该发明就是通过互联网、移动互联网、物联网等现代网络平台、网站来报道展示直播各类活动并通过与商品、服务的电子商务相关联的方式来促进商品的在线销售。让观众、网友在浏览观看活动相关信息内容时伴着活动的节奏与高潮的起伏、观众还在激情中时即时为其提供相关商品的在线购买功能或相关链接，不失时机地实现相关商品的在线销售，同时这个活动的成功举办也将该网站的知名度提升到一个新台阶甚至可以达到成功塑造一家著名网站的目标，这将大大提升活动本身的社会效果和活动对经济、消费的拉动作用，因此其有益的社会效果非常明显。</t>
  </si>
  <si>
    <t>一种活动展示与商品的销售方法数据处理装置</t>
  </si>
  <si>
    <t>CN304168231S</t>
  </si>
  <si>
    <t>1．本外观设计产品的名称：带图形界面的手机。
 2．本外观设计产品的用途：本外观设计产品用于运行程序、进行通讯以及进行人机交互。
 3．本外观设计产品的界面用途：产品主视图的图形用户界面用于显示音乐缓存库中的歌曲情况，界面下方音乐能量的波浪动画展示音乐缓存库的歌曲数量；状态变化图中的图形用户界面用于显示使用者跑步的状态，例如跑步的时长，距离以及步频等信息，界面下方显示播放的音乐。
 4．本外观设计产品的设计要点：在于屏幕中的图形界面以及内容。
 5．最能表明本外观设计设计要点的图片或照片：主视图。</t>
  </si>
  <si>
    <t>带图形界面的手机</t>
  </si>
  <si>
    <t>US10751565B2</t>
  </si>
  <si>
    <t>本发明涉及一种使用户能够对全身进行多种不同锻炼的多功能健身机。 更具体地,本发明具体地涉及一种电力塔机,其中用户利用用户体重(健美操)以及可变弹性带的组合来提供额外的帮助或阻力。 
  在此公开的这种先进的电力塔结合了多个手柄、各种滑轮、弹性绳索和钢丝的布置,这些绳索和钢丝连接到由用户穿上的特殊腰带。 弹性绳索取决于其来自顶部或底部滑轮的锚点,分别为特定锻炼的用户产生帮助或阻力。 一组传感器、处理器和蓝牙传输单元集成在电力塔上,通过提供虚拟教练功能的专用移动应用程序来处理、传输、处理和管理多项锻炼绩效指标。 
  此外,通过互联网连接,移动应用程序提供了 IoT(物联网)概念,可以与使用相同机器和移动应用程序的其他用户进行虚拟竞争。</t>
  </si>
  <si>
    <t>运动机</t>
  </si>
  <si>
    <t>CN106251265A</t>
  </si>
  <si>
    <t>本发明公开了一种群体运动监测系统，其特征在于：该群体运动监测系统由3 个部分组成：包括运动手环、数据采集终端、后端云存贮设备；通过本发明的实施能够增强青少年的身体素质；运用高科技手段（阅读、学习光线监测）保护青少年的视力；运用高科技手段（运动检测）实时量化和监督个体学生的体育煅炼；运用高科技手段（物联网和大数据）跟踪统计全体学生的运动情况；提高学校的办学特色。</t>
  </si>
  <si>
    <t>群体运动监测系统</t>
  </si>
  <si>
    <t>CN206045260U</t>
  </si>
  <si>
    <t>本实用新型一种可无线充电的智能健身器材，包括：健身器材、可无线充电智能贴片及无线充电发射端，所述可无线充电智能贴片与所述健身器材可拆卸，所述可无线充电智能贴片包括无线物联网模块、电池及无线充电接收端，所述无线物联网模块包括处理器、传感器及无线网络收发器，所述处理器采集所述健身器材使用时的重力加速度、运动次数、剩余电量等信息，所述无线充电发射端与电源连接，所述无线充电接收端与所述无线充电发射端靠近时即实现从电源向电池无线充电。本实用新型实现了健身器材的便捷无线充电以及智能监测健身器材的使用情况，克服了现有健身器材的充电需求问题，便于日常维护和使用，节约了成本，实用性强，也起到保护环境的作用。</t>
  </si>
  <si>
    <t>可无线充电的智能健身器材</t>
  </si>
  <si>
    <t>KR101856010B1</t>
  </si>
  <si>
    <t>本发明提供了一种基于物联网的交互式引导系统,其具有用于安装的独特声音输出。 根据本发明的具有独特声音输出的基于物联网的交互式引导系统是传统乐器如鼓/长鼓/伽倻琴/大琴、西方乐器如长笛/小提琴/大提琴/风琴、各种生物、地方特产,波浪和体现相同自然现象的装置等,结构固定在支撑上以吸引游客的注意力,以及特定空间,如一般建筑物,建筑结构,政府办公室,百货商店,体育中心,博物馆,图书馆, parks, and trail 设置在入口区域,自动识别进入特定空间的人,输出对应装置特性的独特声音,输出各种语音问候信息/语音引导信息,区别于传统引导系统. 由于动态和立体的访客引导成为可能,它具有能够引起访客兴趣和兴趣的技术特征。 根据本发明的用于装置的具有独特声音输出的基于物联网的交互式导引系统包括设置在特定空间的入口区域的主体框架10; 固定在主体框架10上的夹具20; 结构声音设置模块30,设置并存储与结构20的特征对应的结构声音。 引导信息设置模块40,用于设置提供给进入特定空间入口区域的访客的引导信息; 访客识别模块50,安装在主体框架10内,判断访客是否进入设定的访客识别区域,并在访客进入时计算访客进入相关信息; 与访客识别模块50相连,通过访客的进入接收访客进入相关信息,并生成与访客进入相关信息对应的输出声音信息。 它安装在主体框架10上并被配置成包括声音输出模块70,该声音输出模块70接收来自与访客的进入对应的声音产生模块60的输出声音信息并将其输出到外部。</t>
  </si>
  <si>
    <t>基于物联网的交互式引导系统,具有独特的安装声音输出</t>
  </si>
  <si>
    <t>KR1020180015344A</t>
  </si>
  <si>
    <t>根据本发明的用于简化飞行器模拟器配置的基于物联网的飞行器模拟器包括其中安装了线路可更换单元(LRU)的驾驶舱系统、通过物联网连接到LRU的主机系统,以及主机系统通过物联网连接到主机系统,由于它包括通过系统与LRU发送和接收数据的教练席系统,因此可以省略输入/输出系统的配置并消除传统的复杂电缆,因此设备开发的便利性,移动/安装的便利性,以及运营的效率和成本都有降低的效果。</t>
  </si>
  <si>
    <t>基于物联网的飞机模拟器</t>
  </si>
  <si>
    <t>KR101845619B1</t>
  </si>
  <si>
    <t>本发明涉及多网游服务器及其提供多网游服务的方法。 根据本发明的实施例的多人联机游戏服务器包括环境信息收集单元,其收集与执行多人联机游戏的多个客户端的游戏驾驶相关的环境信息; 环境质量判断单元根据收集到的环境信息判断与客户端游戏操作相关的环境质量; 人工智能执行单元,用于根据确定的环境质量执行预先制造的人工智能,其中,人工智能执行单元被配置为当临界时间环境质量确定时,在多个客户端中操作游戏角色。在游戏内移动与在预定时间段内未输入输入的空闲客户端和在预定时间段内与多在线游戏服务器的通信断开连接的断开客户端中的至少一个对应的游戏角色的智能。跑步</t>
  </si>
  <si>
    <t>多台网络游戏服务器及提供多台网络游戏服务的方法</t>
  </si>
  <si>
    <t>NZ778631A</t>
  </si>
  <si>
    <t>本发明涉及一种具有多个游戏桌的娱乐场中的桌面游戏管理系统,包括:游戏记录装置,其将在游戏桌上进行的游戏的进程记录为图像; 图像分析装置,对记录的游戏进行的图像进行图像分析; 以及控制装置,其通过图像分析装置识别玩家在游戏桌上下注的筹码的位置、类型和数量,其中控制装置具有能够指定放置在游戏的每个游戏位置的各个玩家的功能。 表格,其中每个玩家被提供一个要指定的识别号,该功能能够将筹码与下注筹码的玩家的识别号相关联,并且其中控制装置还具有能够识别位置的功能 使用人工智能技术或机器学习技术,在每场比赛中玩家下注的筹码、类型和数量,识别每场比赛的总下注筹码数量和历史,并在每场比赛的时间识别每个玩家的下注筹码数量和历史。 预定数量的游戏已经过去。</t>
  </si>
  <si>
    <t>赌场欺诈检测系统</t>
  </si>
  <si>
    <t>CN205844835U</t>
  </si>
  <si>
    <t>本实用新型公开了一种基于物联网的智能篮球训练系统，它是由智能篮球训练服和智能篮球数据分析中心组成，所述的智能篮球训练服包括三轴重力加速度传感器、三轴陀螺仪、三轴磁强计、模数转换器、信号调理电路、微处理器模块、电源和无线通信模块；所述的智能篮球数据分析中心包括无线网关、云服务器、个人移动监控终端一和个人移动监控终端二。本实用新型具有结构简单、人性化、专业性等优点，能对进行篮球训练的训练者进行技术动作的分析和指导，当训练者进行训练时，将实时生成训练者的各项技术动作数据，得出对训练者技术动作的专业分析，能有效指导篮球训练者的技术，规范训练者的技术动作，帮助训练者提高篮球水平。</t>
  </si>
  <si>
    <t>基于物联网的智能篮球训练系统</t>
  </si>
  <si>
    <t>CN106168779A</t>
  </si>
  <si>
    <t>本发明公开了一种基于物联网的智能篮球训练系统，它是由智能篮球训练服和智能篮球数据分析中心组成，所述的智能篮球训练服包括三轴重力加速度传感器、三轴陀螺仪、三轴磁强计、模数转换器、信号调理电路、微处理器模块、电源和无线通信模块；所述的智能篮球数据分析中心包括无线网关、云服务器、个人移动监控终端一和个人移动监控终端二。本发明具有结构简单、人性化、专业性等优点，能对进行篮球训练的训练者进行技术动作的分析和指导，当训练者进行训练时，将实时生成训练者的各项技术动作数据，得出对训练者技术动作的专业分析，能有效指导篮球训练者的技术，规范训练者的技术动作，帮助训练者提高篮球水平。</t>
  </si>
  <si>
    <t>CN106075842A</t>
  </si>
  <si>
    <t>本发明提供一种健身器材用智能数据处理系统，包括传感器、信号预处理模块、数据存储模块、A/D模块、USB接口芯片、PIC智能处理芯片、输入输出设备和输出设备，传感器的输出端与信号预处理模块的输入端相连，信号预处理模块的输出端与A/D模块的输入端相连，A/D模块的输出端与PIC智能处理芯片的输入端相连，PIC智能处理芯片的输出端与输出设备的输入端相连，PIC智能处理芯片还与USB接口芯片、数据存储模块和输入输出设备双向连接。本发明采用PIC智能处理芯片，对采集的数据进行记录与分析，实现了人机交互功能，使现有的健身器智能化，方便健身者对自己的健身历史数据进行查看。</t>
  </si>
  <si>
    <t>一种健身器材用智能数据处理系统</t>
  </si>
  <si>
    <t>CN303997491S</t>
  </si>
  <si>
    <t>1．本外观设计产品的名称：饮料自提机（物联网1）。
 2．本外观设计产品的用途：本外观设计产品用于一种体育场、公共健身场所的饮料自动销售机器，饮料自提机（物联网1）。
 3．本外观设计产品的设计要点：饮料自提机（物联网1）的形状。
 4．最能表明本外观设计设计要点的图片或照片：立体图。</t>
  </si>
  <si>
    <t>饮料自提机（物联网1）</t>
  </si>
  <si>
    <t>CN106205091A</t>
  </si>
  <si>
    <t>本发明涉及飞行控制领域，公开了一种无人机的遥控方法。本发明实施方式中，遥控无人机的遥控器上安装有至少1种无人机的应用程序，且不同的应用程序对应不同的无人机类型；该无人机的遥控方法包括：在用户启动其中一种无人机的应用程序时，根据启动的应用程序加载配置文件；其中，配置文件中包含控制无人机的虚拟操作键在人机交互界面中的位置信息；根据配置文件，提供人机交互界面；采集用户对实体操作键的操作信息；将对实体操作键的操作信息，转换为对人机交互界面中的虚拟操作键的触控信号，并将转换后的触控信号转化为控制命令发送给无人机，控制无人机执行控制命令。本发明实施方式无需对无人机进行任何改造，就可实现对多种无人机的遥控。</t>
  </si>
  <si>
    <t>一种无人机的遥控方法及遥控装置</t>
  </si>
  <si>
    <t>CN205913705U</t>
  </si>
  <si>
    <t>一种人工智能自动速度调节跑步机包括：下部框架，其形成跑步机的下部，沿所述人工智能自动速度调节跑步机前后方向延伸；直立主体，设置于所述下部框架的前部，所述直立主体上部设有显示窗和可供使用者手动控制速度的手动控制部；驱动电动机，其在所述下部框架的一侧形成；旋转皮带，其缠绕于所述下部框架的前、后方辊上，受所述驱动电动机驱动而无限反复旋转；下部支撑板，其支撑安装于所述下部框架，安装于所述旋转皮带的上部侧下面下方，整体上为四边形状；传感器部；中央处理部，其处理从所述传感器部输入的信号，确认赋予ID的使用者身份，存储确认了身份的使用者的运动信息。</t>
  </si>
  <si>
    <t>CN205835542U</t>
  </si>
  <si>
    <t>一种羽毛球毛片的自动冲模机，包括机架、输送带及在输送带上依次设置的吸入工位、图像判断工位、移动调整工位及冲模工位，所述的输送带包括两条平行设置的链条带，所述两条链条带上均设有多个夹取头。本实用新型的羽毛球毛片的自动冲模机采用自动输送带，配合图像判断及羽毛调整组件，羽毛在经过图像识别软件的判断之后，通过调整夹轮的调整，使得冲压出来的毛杆粗细度一致，制成的羽毛球具有飞行轨迹稳定的优点。</t>
  </si>
  <si>
    <t>一种羽毛球毛片的自动冲模机</t>
  </si>
  <si>
    <t>CN106003246B</t>
  </si>
  <si>
    <t>一种羽毛球毛片的自动冲模机，包括机架、输送带及在输送带上依次设置的吸入工位、图像判断工位、移动调整工位及冲模工位，所述的输送带包括两条平行设置的链条带，所述两条链条带上均设有多个夹取头。本发明的羽毛球毛片的自动冲模机采用自动输送带，配合图像判断及羽毛调整组件，羽毛在经过图像识别软件的判断之后，通过调整夹轮的调整，使得冲压出来的毛杆粗细度一致，制成的羽毛球具有飞行轨迹稳定的优点。</t>
  </si>
  <si>
    <t>CN205821929U</t>
  </si>
  <si>
    <t>本实用新型提供一种基于物联网技术的智能化竞技步道，包括步道，LED指示灯和智能交互控制器；多个LED指示灯根据步道的长度均匀分布埋设于步道内；各LED指示灯之间互相通信连接；智能交互控制器设置在步道的起始点位置，且与各LED指示灯之间互相通信连接，用于控制各LED指示灯开启模式。运动者通过选择智能交互控制器中的运动模式后，LED指示灯根据不同的运动模式在所设定的时间内逐个开启，运动者在跑步的过程中参照LED指示开启的速度，与LED指示灯进行竞技，达到直观准确了解自身运动状况的目的。</t>
  </si>
  <si>
    <t>一种基于物联网技术的智能化竞技步道</t>
  </si>
  <si>
    <t>WO2017004292A1</t>
  </si>
  <si>
    <t>在体育比赛或非现场媒体演示等现场竞技活动期间,通过流畅、丰富和个性化的信息流提供增强的用户体验的架构。 具有安装有应用程序组件的用户设备的用户可以体验内容与正在观看的实况比赛中发生的实体、活动和时刻的自动同步。 这是通过在至少基于自然语言处理技术连续识别的不同输入和实体/活动/时刻的组合上应用逻辑来实现的。 通过现场比赛、球队、体育场、球员等的自动识别,以及在第二用户设备上生成/呈现高度相关的内容,增强了与第一用户设备上的事件的媒体呈现相关联的用户体验 用户当前正在交互的对象。</t>
  </si>
  <si>
    <t>媒体演示活动的增强体验</t>
  </si>
  <si>
    <t>WO2017004240A8</t>
  </si>
  <si>
    <t>一个人的跌倒风险可以基于机器学习算法来确定。 跌倒风险信息可用于通知人和/或第三方监测人员(例如医生、物理治疗师、私人教练等)该人的跌倒风险。 此信息可用于监控和跟踪可能受健康状况、生活方式行为或医疗变化影响的跌倒风险变化。 此外,跌倒风险分类可以帮助个人在跌倒风险更大的日子里更加小心。 跌倒风险可以使用机器学习算法来估计,该算法通过计算基本和高级间断平衡模型 (PEM) 稳定性指标来处理来自负载传感器的数据。</t>
  </si>
  <si>
    <t>EP3317630A4</t>
  </si>
  <si>
    <t>US10307084B2</t>
  </si>
  <si>
    <t>JP6691145B2</t>
  </si>
  <si>
    <t>一个人的跌倒风险可以基于机器学习算法来确定。 跌倒风险信息可用于通知人和/或监视该人的第三方(例如,医生、物理治疗师、私人教练等)该人的跌倒风险。 此信息可用于监控和跟踪跌倒风险的变化,这可能会受到健康状况、生活方式行为或医疗变化的影响。 此外,跌倒风险分类可以帮助个人在跌倒风险较高的日子更加小心。 跌倒风险可以使用机器学习算法来估计,该算法通过计算基本和高级间断平衡模型 (PEM) 稳定性指标来处理来自负载传感器的数据。</t>
  </si>
  <si>
    <t>用于确定人的姿势稳定性和跌倒风险的方法、系统和装置</t>
  </si>
  <si>
    <t>CN107735661B</t>
  </si>
  <si>
    <t>CN112043281A</t>
  </si>
  <si>
    <t>CA2990208C</t>
  </si>
  <si>
    <t>CN106131469B</t>
  </si>
  <si>
    <t>本发明公开了一种基于机器视觉的球类智能机器人教练和裁判系统,属于机器视觉领域，包括机器视觉子系统、录像子系统、比赛子系统、训练子系统、人机交互子系统、云存储子系统和客户端子系统；本发明能够满足球类比赛中球类轨迹的精准判断，便于比赛裁判，同时数据统计分析和训练水平分析更加方便实用。</t>
  </si>
  <si>
    <t>基于机器视觉的球类智能机器人教练和裁判系统</t>
  </si>
  <si>
    <t>WO2017220847A1</t>
  </si>
  <si>
    <t>本发明是一种具有叠层结构或单层结构的基于柔性薄膜的屏幕或照明装置。 层(41a-d、51a-e、61a-d、81-85、86a-c、87a-c)优选采用透明聚合物,屏幕结构的太阳能板层(82)可以直接收集能量。 通过使用不同数量的 LED 层,可以获得不同的分辨率。 可以使用框架(12)和连接装置(64、67a),并且特殊的连接原理能够使单个模块(11、20)的选定层和/或相邻模块(11、20)的选定层电耦合 . 本发明可用于任何平面或非平面形状,并可用作单面(80A、80C)或双面(80B、80D、80E)LED屏幕或照明装置,例如: 作为信息屏幕、交通信息工具、广告平台、建筑媒体表面、体育场馆和各种娱乐目的。 可以在设备中提供无线和物联网连接装置。</t>
  </si>
  <si>
    <t>具有柔性薄膜结构的 LED 屏幕或照明装置</t>
  </si>
  <si>
    <t>ZA201604193B</t>
  </si>
  <si>
    <t>一种用于在计时体育赛事期间识别和计时运动员的系统和方法。 使用图像识别技术对运动员进行计时,其中在体育赛事期间由摄像机(106a、106b或106c)拍摄的运动员的一张或多张图像被加盖时间戳以生成运动员的完成时间。 通过将在体育赛事期间拍摄的图像之一与运动员的个人资料图像进行比较来识别运动员。</t>
  </si>
  <si>
    <t>用于事件计时和摄影的系统和方法</t>
  </si>
  <si>
    <t>US10964678B2</t>
  </si>
  <si>
    <t>本发明是一种具有叠层结构或单层结构的基于柔性薄膜的屏幕或照明装置。 透明聚合物优选用于不同的层,能量可以直接通过屏幕结构的太阳能板层收集。 通过使用带有 LED 的不同层数可以获得不同的分辨率。 可以使用框架和连接装置,并且特殊的连接原理使得单个模块的选定层和/或相邻模块的选定层能够电耦合。 本发明可用于任何平面或非平面形状,并可用作单面或双面 LED 屏幕或照明装置,例如, 作为信息屏幕、交通信息手段、广告平台、建筑媒体表面、体育场馆和各种娱乐目的。 可以在设备中提供无线和物联网连接装置。</t>
  </si>
  <si>
    <t>CA3028575C</t>
  </si>
  <si>
    <t>本发明是一种具有叠层结构或单层结构的基于柔性薄膜的屏幕或照明装置。 透明聚合物优选用于层(41a-d、51a-e、61a-d、81-85、86a-c、87a-c),并且可以通过屏幕结构的太阳能电池板层(82)直接收集能量。 通过使用带有 LED 的不同层数可以获得不同的分辨率。 可以使用框架(12)和连接装置(64、67a),并且特殊的连接原理使得单个模块(11、20)的选定层和/或相邻模块(11、20)的选定层能够电耦合 . 本发明可用于任何平面或非平面形状,并可用作单面(80A、80C)或双面(80B、80D、80E)LED屏幕或照明装置,例如: 作为信息屏幕、交通信息手段、广告平台、建筑媒体表面、体育场馆和各种娱乐目的。 可以在设备中提供无线和物联网连接装置。</t>
  </si>
  <si>
    <t>EP3472510B1</t>
  </si>
  <si>
    <t>SKE39883T3</t>
  </si>
  <si>
    <t>具有柔性薄膜结构的led屏幕或照明设备</t>
  </si>
  <si>
    <t>AT1463990T</t>
  </si>
  <si>
    <t>柔性薄膜结构 LED 灯或照明装置</t>
  </si>
  <si>
    <t>CN105833475B</t>
  </si>
  <si>
    <t>本发明提供一种简单、高效和安全的跑步机参数设定的装置及方法。所述装置包括：跑步机指纹提取模块、跑步机网络通信模块、远程指纹分析模块、远程参数生成管理模块、跑步机控制模块、跑步机人机交互模块。本发明的技术效果是：本发明所述的跑步机参数设定装置仅有一个按钮，开机和参数设定一步完成，既避免了运动者的误操作，又通过远程参数生成管理提供了科学运动的指导。</t>
  </si>
  <si>
    <t>一种跑步机参数设定的装置及方法</t>
  </si>
  <si>
    <t>CN303855086S</t>
  </si>
  <si>
    <t>1.本外观设计产品的名称：人形机器人。2.本外观设计产品的用途：既适用于机器人视觉、传感器信息处理、人工智能、步态规划、运动控制、网络与通信、人机界面等多领域与多学科的教学与开发，也可用于机器人竞技比赛、服务和娱乐等。3.本外观设计要点在于:产品的形状。4.最能表明设计要点的图片或者照片：立体图。</t>
  </si>
  <si>
    <t>人形机器人</t>
  </si>
  <si>
    <t>JP2017224977A</t>
  </si>
  <si>
    <t>[课题] 在马拉松等活动中拍摄的参加者的照片(拍摄图像),通过抑制服务器运行率的降低和减小要传输的图像文件的大小来减少传输时间。图像传输设备,图像识别装置、图像传输方法、图像识别方法和图像处理能够通过比较和确认图像的数量和经过图像识别处理的图像的数量来根据传输的图像的数量接收识别结果。 
  种类代码:A1 图像传输设备检测到图像数据已保存,读取图像数据,将读取的图像数据转换为每预定张数的运动图像,并将运动图像传输到云计算机。 云计算机中的图像识别设备根据图像传输设备的指令,根据从图像传输设备接收到的图像数据,在对云虚拟计算机进行横向扩展的同时,进行图像识别处理,并将图像识别处理的结果发送出去。到图像传输设备。发送到 
  【选型图】图1</t>
  </si>
  <si>
    <t>图像传输装置、图像识别装置、图像传输方法、图像识别方法和图像处理系统</t>
  </si>
  <si>
    <t>CN205750914U</t>
  </si>
  <si>
    <t>本实用新型公开了一种基于物联网的篮球比赛控制系统，包括单片机模块，与单片机连接的电源模块、LCD显示模块、语音报警模块和无线模块，所述电源模块用于提供稳定直流电源，所述LCD显示模块包括时间显示界面和比分显示界面，所述时间显示界面用于显示进攻剩余时间和每节剩余时间，语音报警模块用于接收单片机发送的信号进行提醒和报警，无线模块用于将实时比分信息发送到大型点阵上显示。电路简洁，成本低，控制精度和效率也较高，稳定性好，易操作，显示直观，在解决了篮球比赛的基本功能上，更具智能化和人性化。</t>
  </si>
  <si>
    <t>基于物联网的篮球比赛控制系统</t>
  </si>
  <si>
    <t>CN107469293A</t>
  </si>
  <si>
    <t>本发明公开了一种乒乓球运动裁判训练系统，其特征在于：包括3D场景模块、微处理器、声音报警模块、规范动作数据库模块、KINECT动作采集模块和标准动作比较模块以及动作演示模块、系统设置单元，所述3D场景模块的输出端与微处理器的输入端相连接，所述微处理器的输出端分别与声音报警模块、规范动作数据库模块、KINECT动作采集模块和标准动作比较模块的输入端相连接，所述规范动作数据库模块的输出端与标准动作比较模块的输入端相连接，且标准动作比较模块的输出端与微处理器的输入端相连接。该乒乓球运动裁判训练系统是物联网技术在乒乓球裁判训练领域的应用，集3D虚拟技术、物联网技术、动作捕捉技术、动捕分析技术于一体的高科技智能化系统。</t>
  </si>
  <si>
    <t>一种乒乓球运动裁判训练系统</t>
  </si>
  <si>
    <t>CN205493243U</t>
  </si>
  <si>
    <t>物联网智能多用学习、工作健身坐椅，属于日用品。包括：椅腿、椅面、扶手、靠背、靠背角度调整机构，所作的改进是：在椅面前边缘铰接吊杆，吊杆下端安装踏辊或踏板，踏辊或踏板或摆杆下部与椅面后部连接拉弹簧。靠背上对应人体腰部位置有一至数个按摩辊。靠背角度调节机构由椅面边框与后支腿交汇处的装配壳、手动调整杆、控制齿轮、调整杆回位拉簧、靠背回位蜗簧组成。由压力传感器，人体感应传感器、语音芯片、无线通讯模块和智能控制芯片组成的超重、超时提示装置。本实用新型的有益效果是：改善了舒适程度，能够在其上做健身运动，避免坐姿超时。加深了肥胖者对体重的关注。有益于提高学习工作质量和缓解疲劳，满足了现代学习工作的需要。</t>
  </si>
  <si>
    <t>物联网智能多用学习、工作健身坐椅</t>
  </si>
  <si>
    <t>CN205767653U</t>
  </si>
  <si>
    <t>本实用新型公开了一种型煤压制装置，包括机箱外壳，所述机箱外壳的上端内部设置有独立液压系统，下端设置有工作台，所述独立液压系统的下端表面中央通过活塞杆连接上压板的上端表面中央，所述独立液压系统的下端表面边缘通过水平校准柱连接上压板的上端表面边缘，所述上压板的上端表面左下角设置有水平校准仪，所述上压板的下端表面中央通过铁柱连接模具，所述模具的下端边缘通过模具固定阀安装在工作台的表面。该型煤压制装置能够在压制型煤过程中实时调节监测，采用手自一体操作，增强人机交互性，操作简单，液压系统和电器系统设置在机箱外壳内，外形美观、整洁，噪音小，占用体积小，能够实现连续性、精确性的压制型煤。</t>
  </si>
  <si>
    <t>CN106055873A</t>
  </si>
  <si>
    <t>本发明提供了一种基于图像识别的健身辅助方法及装置，所述健身辅助方法包括：获取用户的肌肉图像；对获取的用户的肌肉图像进行识别，以判断所述用户的肌肉状态；以及基于所述用户的肌肉状态和所述用户的基本信息确定适于所述用户的健身内容，并将所述健身内容反馈给所述用户。根据本发明实施例的基于图像识别的健身辅助方法及装置通过对用户肌肉图像的识别判断用户的肌肉状态，基于用户的肌肉状态确定适于用户的个性化健身内容，不仅经济、便利、高效，而且可以有针对性地辅助用户健身，使用户实现更好的健身效果。</t>
  </si>
  <si>
    <t>基于图像识别的健身辅助方法及装置</t>
  </si>
  <si>
    <t>KR1020170131789A</t>
  </si>
  <si>
    <t>在使用具有内置玩具平台(400)的智能玩具的情况下,当通过语音识别命令处理执行命令以控制内部传感器和体育锻炼设备时,在来自智能手机的语音命令的情况下, Android支持的语音识别功能 进行语音识别后,识别结果值通过无线Wi-Fi传输到玩具平台(400),当通过PC上的玩具设计器(200)有线设置操作时, Toy Connector (300) 设备内部的 Wi-Fi - 包含有关如何通过 Fi 访问和处理语音识别服务器的信息。</t>
  </si>
  <si>
    <t>使用语音识别的智能玩具的控制方法</t>
  </si>
  <si>
    <t>US10076698B2</t>
  </si>
  <si>
    <t>CN106023173B</t>
  </si>
  <si>
    <t>一种基于支持向量机的号码牌识别方法，包括如下步骤：1)获取号码牌图像I1；2)对图像进行颜色预处理，得到灰度图像I4；3)对图像I4进行Canny算子边缘检测，得到边缘图像I5；4)对边缘图像I5进行数字区域矩形框定，得到包含数字的轮廓集合5)对各个包含数字的轮廓集合结合原始图像I1，利用训练好的数字分类器进行识别，获得具体数字。本发明能够替代传统的人工分类，提升对马拉松照片的分类速度，同时对号码牌的柔性材质有较强适应性，能保持较高识别率。</t>
  </si>
  <si>
    <t>一种基于支持向量机的号码牌识别方法</t>
  </si>
  <si>
    <t>CN105903187A</t>
  </si>
  <si>
    <t>本发明公开了一种跳动娱乐健身机，包括底盘、支撑板、控制盒、发光板，所述支撑板垂直向上连接在底盘的侧部，支撑板前部设置有均匀排列的LED灯管，底盘上也设置有均匀排列的LED灯管，底盘上的LED灯管与支撑板上的LED灯管相互平行设置，底盘的LED灯管上方盖有透明状的踏板，在踏板的上表面设有四个重力感应区，所述控制盒整体靠在支撑板的背部，控制盒的控制显示区设置在支撑板前部，控制盒的控制显示区上设有触摸屏、控制按钮及USB插口，发光板连接在支撑板的上端，且发光板上设有方向指示灯。本发明在做跳动健身活动中实现了人机交互，有利于使用者的身体健康，增强了运动的趣味性。</t>
  </si>
  <si>
    <t>一种跳动娱乐健身机</t>
  </si>
  <si>
    <t>CN107349573A</t>
  </si>
  <si>
    <t>本发明提出了一种基于智能手机和物联网的虚拟现实健身系统，包括：智能手机，VR眼镜架，运动APP，健身设备；所述智能手机可用作VR眼镜显示器及数据处理器使用，所述VR眼镜架用于配合智能手机观看虚拟现实场景使用；所述运动APP为智能手机应用程序，其可为用户提供虚拟现实场景并对其实现控制，还可通过互联网上的专用服务器实现多人虚拟现实场景中共同运动，也可模拟健身设备操控台显示用户运动数据及控制健身设备功能；所述健身设备用于用户运动使用；所述健身设备与所述智能手机电连接；本发明基于智能手机，易于实现并且操作简单节省空间，可有效提升人们的运动热情。</t>
  </si>
  <si>
    <t>基于智能手机和物联网的虚拟现实健身系统</t>
  </si>
  <si>
    <t>CN105955708A</t>
  </si>
  <si>
    <t>本发明公开了一种基于深度卷积神经网络的体育视频镜头分类方法，包括以下步骤：1)对已有足球视频进行镜头分割，每个镜头是由某个摄像头拍摄的一段连续的图像序列，从每个镜头片段中选出3～10张的关键帧图像，并对每张图像贴上镜头类别标签，构造训练样本集；2)构造七层深度卷积神经网络，该七层卷积神经网路包括：五个卷积层，三个全连接层；3)利用步骤1)中的训练样本对步骤2)中所述深度卷积神经网络模型进行训练，卷积神经网络的训练利用softmax回归作为分类算法，使用误差后向传播算法调整CNN的网络参数；4)利用步骤3)训练得到的卷积神经网络模型对测试样本集进行测试，并输出最终图像的镜头分类结果。</t>
  </si>
  <si>
    <t>一种基于深度卷积神经网络的体育视频镜头分类方法</t>
  </si>
  <si>
    <t>CN106022220B</t>
  </si>
  <si>
    <t>本发明公开了一种体育视频中对参赛运动员进行多人脸跟踪的方法，包括以下步骤：预训练针对人脸识别的卷积神经网络；对输入视频进行镜头分割，选出所有近景镜头片段；对近景镜头中每幅图像进行人脸检测，得到人脸检测响应；关联人脸检测响应形成轨迹片段；根据轨迹片段之间的时空信息限制，生成训练样本；以获得的训练样本作为输入，使用Siamese或Triplet网络对预训练的卷积神经网络进行微调；使用微调后的卷积神经网络，提取每幅人脸图像的特征；分层关联所有轨迹片段，生成人脸运动轨迹。本发明所述方法，从待跟踪视频中在线收集训练样本，对预训练的卷积神经网络进行微调，从而在线学习更具判别性的人脸特征，进而使用该特征进行更加有效地多人脸跟踪。</t>
  </si>
  <si>
    <t>一种体育视频中对参赛运动员进行多人脸跟踪的方法</t>
  </si>
  <si>
    <t>BR102016010456B1</t>
  </si>
  <si>
    <t>本专利申请涉及旨在训练和改进足球比赛中应用技术的自动化系统的发明,发明领域针对与专用软件和硬件相关的机电部分,用于训练有志者和专业人士,以及在娱乐领域。 本发明设想了一种控制过程(2)的PLC(1),该PLC配备有CPU(3),除了互连到一个输入单元(4)和一个输出单元(5)之外,该CPU还与一个输入单元(4)和一个输出单元(5)通信。记忆指令(6)和人机界面(7),其中设备的整个激活顺序是确定的,包括玩家的至少一个目标或击球元素(8),可以是简单的正方形或具有多个生命值(9)的竞技场(8b); 根据该系统,提供了至少一个球发射器(10),该发射通过同样由PLC(1)控制的装置(11)进行。 本发明还设想了一种训练结构本身,它由布置有球发射器的金属结构、被界定为一个或多个击球目标的装置和用于检测击球的传感器系统及其各自的反应时间组成,如图2所示,通过人机交互(7)完成,每个球发射器(10)中集成了至少一个用于单独释放球(12)的机构; 该系统包括由共同作用的步骤组成的顺序操作。</t>
  </si>
  <si>
    <t>用于训练和改进足球比赛技术的自动化系统和流程</t>
  </si>
  <si>
    <t>CN105872075B</t>
  </si>
  <si>
    <t>一种将物联网设备映射到智慧城市资源模型的方法，智慧城市资源模型中的资源对象包括显示资源对象、控制资源对象和事件资源对象，物联网设备与智慧城市资源模型之间的映射主要分为两个层次：物联网网关与智慧城市资源模型中的设备对象进行映射：物联网网关是现实世界中的物联网设备，设备对象是软件系统虚拟世界中的对象，设备对象具有一系列的操作方法，这些操作方法将映射到物联网设备的具体操作上，一个设备对象可以对应一到多个物联网设备；设备对象与资源对象进行映射：资源模型中的资源对象是按照智慧城市领域进行的资源抽象封装，它与设备对象之间存在映射关系，一个设备对象可以对应一到多个资源对象,映射规则通过映射文件来进行配置。</t>
  </si>
  <si>
    <t>一种将物联网设备映射到智慧城市资源模型的方法</t>
  </si>
  <si>
    <t>CN106021638A</t>
  </si>
  <si>
    <t>本发明公开了一种基于气泡和颗粒随机运动的鼓泡流化床建模方法。该方法包括：(1)统计CFD‑DEM计算的鼓泡床颗粒运动规律，建立颗粒相的Markov链随机模型；(2)对CFD‑DEM计算的鼓泡床颗粒瞬时分布图进行图像识别，统计气泡的产生、运动及长大的规律，建立气泡随机发展模型；(3)利用气泡形状的棒球帽模型将颗粒相Markov过程与气泡随机模型耦合，建立鼓泡流化床颗粒运动的随机模型。本发明的方法，解决了单纯颗粒相Markov过程无法体现气泡信息和其对颗粒运动影响的缺点，在保证鼓泡床颗粒运动准确性的前提下，大幅度降低计算负荷，提高计算速度。</t>
  </si>
  <si>
    <t>一种基于气泡和颗粒随机运动的鼓泡流化床建模方法</t>
  </si>
  <si>
    <t>CN304061910S</t>
  </si>
  <si>
    <t>1．本外观设计产品的名称：用于手机的图形用户界面。
 2．本外观设计产品的用途：本外观设计产品用于显示体育赛事信息；主视图底部显示赛事卡片、赛事卡片上方显示有“管理卡片”的触控按键和"添加卡片"的触控按键；对主视图中的“管理卡片”触控按键进行人机交互操作后（如点击操作）显示变化状态图1，变化状态图1提供已添加在主视图中的卡片信息；对主视图中的“添加卡片”触控按键进行人机交互操作后（如点击操作），显示变化状态图2，变化状态图2提供可添加至主视图中的赛事卡片。
 3．本外观设计产品的设计要点：在于屏幕中的图形用户界面。
 4．最能表明本外观设计设计要点的图片或照片：主视图。</t>
  </si>
  <si>
    <t>CN304061909S</t>
  </si>
  <si>
    <t>1．本外观设计产品的名称：用于手机的图形用户界面。
 2．本外观设计产品的用途：本外观设计产品用于展示图片或者视频的信息，在主视图上提供赛事信息；主视图的左上角位置提供“热点”触控按键；对主视图进行人机交互后（如手势向下滑动），显示变化状态图1，变化状态图1在“热点”触控按键下方提供搜索框；对该“热点”触控按键进行人机交互后（如点击操作）显示变化状态图2，变化状态图2提供赛事频道的标签；对变化状态图2进行人机交互后（如点击标签内的“意甲”赛事频道）显示变化状态图3，变化状态图3提供与点击的赛事频道相关的体育信息（如赛事信息/新闻资讯等）；如在变化状态图2中点击标签内的“+” 触控按键后显示变化状态图4，变化状态图4提供可添加至标签内的其他赛事频道（如高尔夫、奥运会、世界杯等）。
 3．本外观设计产品的设计要点：在于屏幕中的图形用户界面。
 4．最能表明本外观设计设计要点的图片或照片：主视图。</t>
  </si>
  <si>
    <t>KR1020170116815A</t>
  </si>
  <si>
    <t>本发明涉及一种用于游泳池的物联网CCTV设备以及使用该设备的游泳池管理方法。 本发明中,第一凸轮11形成在上浮力半球14上,在控制单元17的控制下,第一凸轮11根据上浮力半球14的旋转拍摄与上浮力半球14的旋转方向相匹配的图像; 第二凸轮12形成于下浮体13向下延伸的圆锥形延伸体的端部,用于拍摄游泳池的下部; 并控制发送/接收单元17a将第一摄像头11和第二摄像头12拍摄的图像通过近距离无线通信发送至管理员的手机,并通过振动传感器17b对外设定阈值。控制单元17控制发射/接收单元17a检测上述振动,通过流量传感器17c检测池外水的流量,并通过近距离无线通信传输至管理员手机; 它的特点是它包括。 这样,它不仅可以通过检测池内的测量信息,如池流量、声音和振动信号,立即通知管理人员发生紧急情况,而且在发生紧急情况时,它可以安装在池中,对池水内外进行拍照,提供给管理者提供视频的效果,让管理者可以立即采取行动。</t>
  </si>
  <si>
    <t>发明名称 游泳池IPCCTV装置及使用该装置的游泳池管理方法</t>
  </si>
  <si>
    <t>CN106073179A</t>
  </si>
  <si>
    <t>3D打印的石墨烯形VR.AR式发电化体育会议多用桌，属石墨烯技术领域，本发明拆装方便一物多用，即在任何落地形立杆式健身器中各种人力产生任何物理运动形式的旋转小铁圈短铁棒，该棒逐步撞击对应固定的汽车脚踏式充电器上用万能胶粘比钢硬耐磨耐高温石墨烯膜形钢压力板时使板内杠杆齿轮带动转子发电，将人运动消耗的能量转化为电能；并在3D打印落地形立杆式健身器钢柱70公分处，水平锯断后用同内尺寸超级钢套套上，套两头钻四孔用长螺杆弹簧垫帽紧固后可健身，不套上时架起乒乓球桌可作多用，其爱好者在VR虚拟现实AR增强现实的头戴设备中获得革命性观感、广泛实践、探索规律、发展理论，适应世界物联网时代取得良好的有益效果。</t>
  </si>
  <si>
    <t>3D打印的石墨烯形VR.AR式发电化体育会议多用桌</t>
  </si>
  <si>
    <t>CN205516183U</t>
  </si>
  <si>
    <t>本实用新型实施例提供一种跑步机，涉及健身器材技术领域，达到的目的是实现语音操控跑步机的工作状态。主要采用的技术方案为：该跑步机包括机体、语音接收模块，语音识别模块，中心控制模块和功能模块。语音接收模块用于接收跑步者发出的语音指示并生成电信号；语音识别模块设置在机体上，语音识别模块与语音接收模块电连接，用于接收语音接收模块发出的电信号，并对电信号进行分析、处理生成语音信息；中心控制模块设置在机体上，中心控制模块与语音识别模块电连接，用于接收语音识别模块生成的语音信息，并根据语音信息生成控制指令；功能模块与中心控制模块电连接，用于接收中心控制模块生成的控制指令，并根据控制指令执行相应的功能。</t>
  </si>
  <si>
    <t>CN205460853U</t>
  </si>
  <si>
    <t>本实用新型公开了一种人工智能仿真足球射门互动玩具，属一种互动玩具，玩具包括球员部件与球门及守门员部件；球员部件中包括麦克风与第一驱动电机，第一驱动电机与驱动杆动力连接，麦克风与第一驱动电机均接入第一智能芯片，球门及守门员部件包括定位传感器与第二驱动电机，第二驱动电机与守门员动力连接；通过麦克风采集语音指令，进而控制第一驱动电机带动驱动杆完成射门的动作，并且在定位传感器的作用下，使第二驱动电机可根据足球的实时位置，驱动守门员移动至与足球相对应的位置上，从而阻挡足球进入球门，个别情况下足球亦可避开守门员进入球门，进而有效满足了人们对于足球运动中射门的欣赏需求，并且玩具的互动性较好。</t>
  </si>
  <si>
    <t>人工智能仿真足球射门互动玩具</t>
  </si>
  <si>
    <t>CN205516182U</t>
  </si>
  <si>
    <t>本实用新型实施例提供一种跑步机，涉及健身器材技术领域，达到的目的是提高了用户向跑步机发送控制指令的效率。主要采用的技术方案为：该跑步机包括跑步机本体上设有控制装置和无线信号接收器；遥控器本体上设有无线信号发射器、处理器、语音接收模块和语音识别模块；语音接收模块接收用户发出的语音指示并生成电信号；语音接收模块和语音识别模块电连接用于接收电信号并对电信号进行分析、处理生成语音信息；处理器分别与无线信号发射器和语音识别模块电连接；处理器用于接收语音信息经处理后通过无线信号发射器发送给无线信号接收器；控制装置与无线信号接收器电连接用于根据无线信号接收器接收的信号控制跑步机本体执行相应的工作。</t>
  </si>
  <si>
    <t>CN106028134A</t>
  </si>
  <si>
    <t>提供了用于在移动计算设备处实时检测体育视频中的视频精彩部分的解决方案。移动计算设备的精彩部分检测模块使用经训练的特征模型从体育视频的每个视频帧提取视觉特征并且使用经训练的检测模型基于视频帧的所提取的视觉特征来检测视频帧中的精彩部分。特征模型和检测模型在大规模的视频上利用卷积神经网络来训练以生成种类水平和成对的帧特征向量。基于该检测，精彩部分检测模块生成针对体育视频的每个视频帧的精彩部分分数并将精彩部分分数呈现给计算设备的用户。基于由移动计算设备收集的实时精彩部分检测数据来动态地更新特征模型和检测模型。</t>
  </si>
  <si>
    <t>针对移动计算设备检测体育视频精彩部分</t>
  </si>
  <si>
    <t>JP6661082B2</t>
  </si>
  <si>
    <t>即使识别目标的一部分在图像之外,也能检测到识别目标。 
  种类代码:A1 图像识别装置通过在拍摄图像1周围添加填充有预定图像数据的空白区域10来创建比拍摄图像1更大的扩展图像11。 如果人离相机太近,人像5的一部分会从拍摄的图像1中突出。但是,图像识别装置设置了一个包括空白区域10的大检测窗口3e来检测突出区域。图像4e是取自扩展图像 11。 窗口图像4e是显示人5的全身的图像,尽管人5的突出部分缺失。 图像识别装置存储大量的参考图像7,假设人8的各种状态(手脚的位置和姿势对于诸如步行、跑步、跳跃和坐下的每种姿势不同的状态)。 . 图像识别装置从窗口图像4e中提取特征,并将它们与参考图像7的特征进行比较以识别人物图像5。 
  【选型图】图2</t>
  </si>
  <si>
    <t>CN105664487A</t>
  </si>
  <si>
    <t>本发明依托移动互联网技术、移动智能设备技术、物联网技术和网络游戏技术发展而来，并融合各技术开发出一种让玩家借助手机、平板电脑等便携式互联网智能设备在现实环境中战斗、合作、交易、争夺、竞逐的多人网络游戏系统。可将虚拟的MMORPG、RPG、动作、射击、策略、益智等网络游戏模式在现实世界中进行，同时也可用于增强甚至替代部分现有的真人游戏、体育运动、拓展训练，也可以进一步辅助现实工作、社交活动的有效进行。</t>
  </si>
  <si>
    <t>基于移动互联网的现实真人网络游戏系统</t>
  </si>
  <si>
    <t>US20170277614A1</t>
  </si>
  <si>
    <t>本发明提供一种智能测试机器人系统,其智能机器人本体操作平台连接用于存储测试脚本的存储模块,操作平台分别连接信号输出单元和图像输入单元,进一步连接网络通信模块连接远程控制台计算机。 当操作平台根据测试脚本自动执行测试时,如电源开关、键盘输入字符串、鼠标光标移动、点击等,可以通过信号输出单元向测试对象发送包含测试脚本的指令进行动作控制、图像输入 单元接收测试对象输出的图像并返回到操作平台,然后根据测试脚本中的图像识别指令对捕获的图像进行自动图形识别。 此外,远程控制台计算机可以通过互联网控制多个智能机器人本体,同步执行自动测试流程,从而有利于缩短测试时间,降低成本,进一步提高整体生产效率。</t>
  </si>
  <si>
    <t>智能测试机器人系统</t>
  </si>
  <si>
    <t>KR2020170003407U</t>
  </si>
  <si>
    <t>本发明涉及一种在赛车比赛中实时检测赛车手健康状况的装置。 
  由于赛车运动的性质,赛车手们在高温的赛车中无法呼吸到干净的空气,进行激烈的速度比拼,难以判断自身的健康状况。 因此,需要来自外部的实时控制。 
  应用无线物联网的赛车10将附着在赛车手身上的生物信号传感器11、12采集到的数据发送到控制室,实时掌握赛车手的健康状况,并应急响应,积极准备。 
  此外,赛车手的当前心跳23结合心电图传感器11的数据在视听上成为进一步增加观众对体育广播的兴趣的手段。 
  实用新型20-2017-0003407</t>
  </si>
  <si>
    <t>Car-racer生物信号无线控制装置</t>
  </si>
  <si>
    <t>CN205460670U</t>
  </si>
  <si>
    <t>一种基于物联网技术的可折叠跑步机，包括底架；与底架连接的扶手和支撑架；手动控制器；与底架连接的红外线探测器；与支撑架连接的左手动作感应器和右手动作感应器；人机交互系统；人机交互系统包括嵌入式处理器、存贮器、视频模块和心率检测模块、SD卡/CF卡接口、USB接口，以太网或WIFI传输接口；底架包括分别位于两侧的纵梁，纵梁包括位于近支撑架端的固定梁，位于远离支撑架端、与固定梁枢接的折叠梁，前滚筒的两端分别与两侧的固定梁连接，后滚筒的两端分别与两侧的折叠梁连接；扶手包括与底架连接的固定座，下端与固定座可拆卸连接的立杆，与立杆的上端连接的扶手杆；与固定座连接的第一锁紧螺栓。</t>
  </si>
  <si>
    <t>基于物联网技术的可折叠跑步机</t>
  </si>
  <si>
    <t>US9846805B2</t>
  </si>
  <si>
    <t>运动员挥动的手持运动器具的至少一部分的路径和/或方向使用两个或更多个摄像机来跟踪。 使用至少两个具有不同位置的不同摄像头获得至少两组正在挥动的手持运动器具的视频图像。 识别视频图像内的运动区域,并且在运动区域内识别手持运动器具的可识别部分(例如,头部)在2D空间中的候选位置。 基于此,在挥动手持运动器具的多个瞬间中的每一个瞬间,识别可识别部分在3D空间中的可能位置。 运动器具的至少可识别部分(例如,头部)的分段 3D 轨迹是根据头部的 3D 空间中的可能位置在运动器具被摆动的多个瞬间近似的。</t>
  </si>
  <si>
    <t>NL1041762B1</t>
  </si>
  <si>
    <t>本发明提供了一种价格适中、用户友好且可靠的设备和方法,能够及时检测遇险的游泳者或落入地表水中的人。 该产品可用于任何类型的地表水,如池塘或游泳池。 一个高性能的智能测量传感器,可能是一个先进的“探鱼器”传感器,持续监控实时游泳运动。 通过算法分析来自测量传感器的数据。 测量传感器漂浮在水面上,并且由于能量收集而具有自主性。 数据通过物联网、蓝牙或 WiFi 无线发送到互联网上的服务器或直接发送到配备微处理器的设备,如平板电脑或智能手机。 处理后可发出听觉或视觉报警信号。</t>
  </si>
  <si>
    <t>游泳池报警系统</t>
  </si>
  <si>
    <t>WO2016160304A1</t>
  </si>
  <si>
    <t>提供了一种用于在移动计算设备处实时检测体育视频中的视频精彩片段的解决方案。 移动计算设备的亮点检测模块使用训练的特征模型从体育视频的每个视频帧中提取视觉特征,并使用训练的检测模型基于提取的视频帧的视觉特征来检测视频帧中的亮点。 特征模型和检测模型在大型视频语料库上使用卷积神经网络进行训练,以生成类别级别和成对帧特征向量。 基于该检测,亮点检测模块为体育视频的每个视频帧生成一个亮点分数,并将该亮点分数呈现给计算设备的用户。 特征模型和检测模型基于移动计算设备采集的实时高光检测数据动态更新。</t>
  </si>
  <si>
    <t>检测移动计算设备的运动视频集锦</t>
  </si>
  <si>
    <t>CN205382781U</t>
  </si>
  <si>
    <t>本实用新型公开了一种健身钥匙，包括钥匙柄和钥匙体。所述的钥匙柄中设有：一单片机芯片；一振动传感器，用于感应用户的走路步数，并将信息发送至单片机芯片；一显示屏，用于在单片机芯片的控制下显示信息；以及一纽扣电池，用于为钥匙柄中的耗电装置供电。钥匙柄上还设有若干个按钮，用于与用户进行人机交互，使切换显示屏所显示的信息。按钮中一个或多个配合能实现显示当前时间、调整显示时间、开关振动传感器、控制秒表启动等功能中的一种或多种。所述的显示屏具有荧光功能。本实用新型相对于现有技术而言，使人们在锻炼健身的时候可以通过自己随身携带的钥匙看看健身情况，实时记录运动步数，也可以随时查看时间，保持时间观念。</t>
  </si>
  <si>
    <t>一种健身钥匙</t>
  </si>
  <si>
    <t>CN205391565U</t>
  </si>
  <si>
    <t>一种可折叠跑步机，包括底架；前滚筒和后滚筒；跑带；驱动马达；驱动马达的驱动控制器；跑步机坡度升降机构；与底架连接的支撑架；与支撑架连接的手动控制器；与底架连接的红外线探测器；与支撑架连接的左手动作感应器和右手动作感应器；与底架连接的人机交互系统；人机交互系统包括嵌入式处理器；通过存储器接口与嵌入式处理器连接的存贮器；与嵌入式处理器通过I/O接口连接的视频模块和心率检测模块，SD卡/CF卡接口，USB接口，以太网或WIFI传输接口；人机交互系统分别与驱动控制器、跑步机坡度升降机构、红外线探测器、左手动作感应器和右手动作感应器通信连接；底架包括位于近支撑架端的固定梁；与固定梁枢接的折叠梁。</t>
  </si>
  <si>
    <t>一种可折叠跑步机</t>
  </si>
  <si>
    <t>CN107135974A</t>
  </si>
  <si>
    <t>本发明公开了一种宠物狗专用游泳衣系统，包括与宠物狗体型相使用的泳衣、充气装置、系统控制器和护目探头帽，泳衣内设有一安全充气囊，此安全充气囊用导管经高压电磁阀与高压气瓶连通组成充气装置，充气装置由防水导线连接至系统控制器中的嵌入式智能处理模块，再由防水导线连接至护目探头帽中的溺水感应器和防水眼镜；所述泳衣采用石墨烯制成；所述护目探头帽内设有语音识别模块；所述防水眼镜上还设有超声波测距仪。本发明适用于宠物狗游泳、救生用，实用性强，稳定性好，易于推广。</t>
  </si>
  <si>
    <t>宠物狗专用游泳衣系统</t>
  </si>
  <si>
    <t>CN105912560B</t>
  </si>
  <si>
    <t>提供了用于检测体育视频中的视频精彩部分的计算机实现的方法和存储有用于检测体育视频中的精彩部分的可执行计算机程序指令的非瞬态计算机可读存储介质。体育视频的视频精彩部分是体育视频的一部分并且表示体育视频中捕获的语义上重要的事件。评估与体育视频相关联的音频流，例如，音频流各部分的响度以及响度的长度。基于对音频流的评估来选择体育视频的视频片段。每个选择的视频片段表示体育视频的视频精彩部分候选。经训练的音频分类模型被用于识别与每个选择的视频片段相关联的音频流中的语音模式。基于识别的视频模式与期望的语音模式的集合的比较，选择一个或多个视频片段作为体育视频的视频精彩部分。</t>
  </si>
  <si>
    <t>基于语音识别检测体育视频精彩部分</t>
  </si>
  <si>
    <t>WO2016137728A1</t>
  </si>
  <si>
    <t>提供了一种用于检测体育视频的视频精彩片段的解决方案。 体育视频的视频精彩片段是体育视频的一部分,表示在体育视频中捕获的语义上重要的事件。 评估与体育视频相关联的音频流,例如,音频流部分的响度和响度的长度。 基于音频流的评估选择体育视频的视频片段。 每个选定的视频片段代表体育视频的视频精彩片段候选。 经过训练的音频分类模型用于识别与每个选定视频片段相关的音频流中的语音模式。 基于识别的视频模式与一组期望的语音模式的比较,选择一个或多个视频片段作为体育视频的视频亮点。</t>
  </si>
  <si>
    <t>基于语音识别检测体育视频精彩片段</t>
  </si>
  <si>
    <t>CN205323093U</t>
  </si>
  <si>
    <t>一种基于物联网技术的跑步机，包括底架；与底架连接的前滚筒和后滚筒；与前滚筒和后滚筒连接的跑带；与前滚筒传动连接的驱动马达；驱动马达控制器；与底架连接的跑步机坡度升降机构；设置在前滚筒的前方与底架连接的支撑架，与支撑架连接的红外线探测器、手动控制器、左手动作感应器、右手动作感应器；与底架连接的人机交互系统；人机交互系统包括嵌入式处理器；通过存储器接口与所述嵌入式处理器连接的存贮器；与所述嵌入式处理器通过I/O接口连接的视频模块和心率检测模块，SD卡/CF卡接口，USB接口，以太网或WIFI传输接口；人机交互系统与驱动控制器、跑步机坡度升降机构、红外线探测器、左手动作感应器和右手动作感应器通信连接。</t>
  </si>
  <si>
    <t>一种基于物联网技术的跑步机</t>
  </si>
  <si>
    <t>US20160135732A1</t>
  </si>
  <si>
    <t>一种使用语音分析识别受损脑功能(例如轻度创伤性脑损伤)的系统和方法。 在一个示例中,每场比赛后参加拳击比赛的运动员在设备上进行记录。 在一种情况下,元音从录音中分离出来,并提取声学特征并用于训练几种一类机器学习算法,以预测运动员是否脑震荡。</t>
  </si>
  <si>
    <t>使用孤立元音评估轻度创伤性脑损伤的系统和方法</t>
  </si>
  <si>
    <t>CN205460476U</t>
  </si>
  <si>
    <t>本实用新型公开了一种具有游戏和按摩的人机交互功能的装置，包括智能握力球，用于对握力数据、球位置变化的数据进行采集、记录和分析，操作智能终端的游戏，并通过握力大小和频率控制配套按摩贴片的按摩力度和频率，实现人机交互；按摩贴片，用于与智能握力球配套使用进行人体按摩，接收所述智能握力球发送的控制信号，实现社交互动。其中，所述智能握力球和按摩贴片分别设有内部硬件电路。本专利采用的传感器成本低，但是能够满足大多数游戏命令的输入要求，能支持大多数的手机游戏、电脑和电视端的小型游戏。由于其体积小巧和方便携带，使得大多数人能够在工作或者学习之余玩游戏时将健身和游戏结合为一体。</t>
  </si>
  <si>
    <t>一种具有游戏和按摩的人机交互功能的装置</t>
  </si>
  <si>
    <t>CN105536144B</t>
  </si>
  <si>
    <t>本发明公开了一种具有游戏和按摩的人机交互功能的装置，包括智能握力球，用于对握力数据、球位置变化的数据进行采集、记录和分析，操作智能终端的游戏，并通过握力大小和频率控制配套按摩贴片的按摩力度和频率，实现人机交互；按摩贴片，用于与智能握力球配套使用进行人体按摩，接收所述智能握力球发送的控制信号，实现社交互动。其中，所述智能握力球和按摩贴片分别设有内部硬件电路。本专利采用的传感器成本低，但是能够满足大多数游戏命令的输入要求，能支持大多数的手机游戏、电脑和电视端的小型游戏。由于其体积小巧和方便携带，使得大多数人能够在工作或者学习之余玩游戏时将健身和游戏结合为一体。</t>
  </si>
  <si>
    <t>CN105727559A</t>
  </si>
  <si>
    <t>本发明公开了一种基于虚拟现实健身游戏系统的健身游戏实现方法，虚拟现实健身游戏系统包括与计算机实现数据通讯连接的Kinect传感器、Oculus Rift DK2虚拟现实眼镜及跑步机，软件由客户端和服务器组成。DK2虚拟现实眼镜播放游戏开场进入虚拟沉浸，传感器捕捉用户肢体头部动作到计算机，同时跑步机将用户里程速度传到计算机，计算机处理相关数据输出实时虚拟场景和速度修改指令。本发明利用DK2虚拟现实眼镜和Kinect传感器实现人机交互，实现锻炼和娱乐的双重目的。</t>
  </si>
  <si>
    <t>一种基于虚拟现实健身游戏系统的健身游戏实现方法</t>
  </si>
  <si>
    <t>CN105477828B</t>
  </si>
  <si>
    <t>一种基于物联网技术的便携式跑步机，包括底架；与底架连接的前、后滚筒；与前、后滚筒连接的跑带；与前滚筒传动连接的驱动马达；驱动马达控制器；与底架连接的跑步机坡度升降机构；设置在前滚筒的前方与底架连接的支撑架，与支撑架连接的红外线探测器、手动控制器、左手动作感应器、右手动作感应器；与底架连接的人机交互系统；所述底架包括可伸缩的纵梁，带动纵梁伸缩的电动推杆或电液推杆，与纵梁连接的承带滚筒、第一改向滚筒、连接杆、推带连杆，与所述推带连杆连接的第二改向滚筒，供所述第二改向滚筒滑动的导向槽；第一端与连接杆固定连接，另一端与支撑杆滑动连接的支撑板；第二改向滚筒的两端分别与两侧纵梁滑动连接。</t>
  </si>
  <si>
    <t>基于物联网技术的便携式跑步机</t>
  </si>
  <si>
    <t>CN205323092U</t>
  </si>
  <si>
    <t>一种电动跑步机，包括底架；与所述底架连接的前滚筒和后滚筒；与前滚筒和后滚筒连接的跑带；与前滚筒传动连接的驱动马达；控制驱动马达的驱动控制器；与所述底架连接的跑步机坡度升降机构；设置在前滚筒的前方与所述底架连接的支撑架；设置在前滚筒的前方与所述底架连接的红外线探测器；与所述支撑架连接的手动控制器；与所述底架连接的Wi-Fi/蓝牙设备；与所述支撑架连接的左手动作感应器和右手动作感应器；与所述底架连接的人机交互系统；所述人机交互系统分别与驱动控制器、跑步机坡度升降机构、红外线探测器、Wi-Fi/蓝牙设备、左手动作感应器和右手动作感应器通信连接；所述手动控制器分别与驱动控制器和跑步机坡度升降机构通信连接。</t>
  </si>
  <si>
    <t>一种电动跑步机</t>
  </si>
  <si>
    <t>CN205360399U</t>
  </si>
  <si>
    <t>一种基于物联网技术的便携式跑步机</t>
  </si>
  <si>
    <t>CN105520722B</t>
  </si>
  <si>
    <t>本发明公开了一种应用于泳池救生的生命体征监测装置、系统及方法，属于物联网技术领域。所述生命体征监测装置包括：第一接收模块，用于接收佩戴在游泳者手腕上的智能手环获取的第一参数，第一参数包括游泳者的脉搏、两个参考节点基于智能手环发送信号的RSSI、以及两个参考节点的位置，两个参考节点为按照设定间距设置在游泳池一侧的多个参考节点中的两个参考节点；第一计算模块，用于按照基于RSSI的算法，根据两个参考节点基于智能手环发送信号的RSSI和参考节点的位置，计算游泳者的位置；输出模块，用于输出游泳者的位置，并在游泳者的脉搏超过设定范围时进行报警。本发明有效避免人员死亡和经济损失。</t>
  </si>
  <si>
    <t>一种应用于泳池救生的生命体征监测装置、系统及方法</t>
  </si>
  <si>
    <t>CN105457253B</t>
  </si>
  <si>
    <t>本发明适用于电通信技术领域，提供了一种智能跑步机通过物联网进行交互的方法和系统，所述方法包括：第一智能跑步机和第二智能跑步机将用户跑步时产生的第一数据和第二数据通过无线网络发送到云服务器端，所述第一数据包含第二智能跑步机的第二标识，所述第二数据包含第一智能跑步机的第一标识；云服务器端接收所述第一数据和第二数据，根据所述第二标识将第二数据发送到第一智能跑步机，根据所述第一标识将第一数据发送到第二智能跑步机；第一智能跑步机根据第二数据与第二智能跑步机进行交互，且第二智能跑步机根据第一数据与第一智能跑步机进行交互。实施本发明实施例可以使跑步健身更加合理、更富有乐趣。</t>
  </si>
  <si>
    <t>一种智能跑步机通过物联网进行交互的方法和系统</t>
  </si>
  <si>
    <t>US10755175B2</t>
  </si>
  <si>
    <t>在开始对第一多个候选解决方案的第一代进行评估之后并且在评估完成之前,系统可以从第一多个候选解决方案中确定第一多个锦标赛参与者。系统可以确定第一多个候选解决方案中的每一个是否 的比赛参与者已经过评估。 响应于确定第一多个锦标赛参与者中的每一个都已被评估,系统可以确定锦标赛的第一个或多个获胜者,并确定第一个或多个获胜者的第一数量是否高于预定阈值。 响应于确定第一数量高于预定阈值,系统可以确定第二多个候选解决方案的第二代,第二多个候选解决方案至少部分地基于第一一个或多个获胜者。</t>
  </si>
  <si>
    <t>早期代个体加速遗传算法</t>
  </si>
  <si>
    <t>CN105641916A</t>
  </si>
  <si>
    <t>本发明涉及人机交互技术领域，尤其涉及一种意念足球游戏机，主要包括意念头戴、足球机器人、球场、球门和足球，所述意念头戴包括脑电波模块、运动传感器、第一控制单元和第一无线通讯模块，所述脑电波模块采集玩家脑电波强度，所述运动传感器采集玩家头部姿态，所述脑电波模块和运动传感器将所采集到的信号传送至第一控制单元的输入端，所述第一控制单元的输出端与第一无线通讯模块连接；所述足球机器人包括第二无线通讯模块、第二控制单元、行走机构和弹射装置，所述第二无线通讯模块与第一无线通讯模块无线连接，所述第二控制单元的输入端与第二无线通讯模块连接，其输出端与分别与行走机构和弹射装置连接。</t>
  </si>
  <si>
    <t>意念足球游戏机</t>
  </si>
  <si>
    <t>CN105701460B</t>
  </si>
  <si>
    <t>本发明涉及一种基于视频的篮球进球检测方法和装置，所述方法包括：构建基于卷积神经网络和递归神经网络的递归卷积神经网络模型；构建篮球视频的图片库样本集，所述图片库中的图片具有标签，所述标签包括时序信息和进球标识信息；基于所述样本集对所述递归卷积神经网络模型进行训练；从处理待检测的篮球视频中提取图像，使用训练后的递归卷积神经网络模型处理提取出的图像，得到输出向量；根据递归卷积神经网络的输出向量来判断当前篮球视频中是否出现了进球。本发明能够基于视频准确地检测篮球是否进球。</t>
  </si>
  <si>
    <t>一种基于视频的篮球进球检测方法和装置</t>
  </si>
  <si>
    <t>CN105467826B</t>
  </si>
  <si>
    <t>本发明提供了一种运动智能手表和最佳跑速获取方法，集跑步状态检测、分析、反馈为一体的智能手表，能够为广大跑步爱好者提供最实时的跑步建议。智能手表可以通过手表上的传感器获取人体的心率数据、当前跑速、能量消耗数据、风速等信息，再通过两个不同的跑速计算模型计算两个最优跑速，在最优跑速的计算中用遗传算法和BFGS算法进行寻优，提高模型计算精确度。最后对两个最优跑速加权处理获得最终的最佳跑速。本发明最佳跑速的计算通过两个跑速计算模型，并根据加权处理获得最终结果更具客观性，其中增加了遗传算法和BFGS算法进行寻优，增强了运动智能手表中心处理器的计算精确度。</t>
  </si>
  <si>
    <t>一种运动智能手表和最佳跑速获取方法</t>
  </si>
  <si>
    <t>US20170193853A1</t>
  </si>
  <si>
    <t>实施例提供了一种生成的基于组的膳食计划系统和方法,用于基于预先选择的成分列表来创建候选膳食计划。 膳食计划系统可以基于具有一种或多种预选成分的一种或多种食谱来创建父母膳食计划。 可以通过随机交叉包含在父膳食计划中的食谱来创建子膳食计划。 可以根据遗传算法对儿童膳食计划进行评分,例如健身功能,该算法考虑了原料成本、浪费、风味相容性、准备时间和原料保质期。 膳食计划系统可以利用具有自然语言处理能力的认知系统,根据浪费或风味兼容性生成新食谱。 具有最高适应度分数的子膳食计划可以用作下一次分析迭代中的父膳食计划。 在预定次数的迭代之后,系统可以输出候选膳食计划。</t>
  </si>
  <si>
    <t>基于生成组的膳食计划系统和方法</t>
  </si>
  <si>
    <t>CN106941334A</t>
  </si>
  <si>
    <t>本发明涉及一种跑步机用三相交流异步电机调速控制系统，属于电机控制领域，包括主电路、下位机控制电路、上位机控制电路三个部分，其中主电路包括整流电路、滤波电路和逆变电路；下位机控制电路包括下位机微处理器、电流检测电路、电压检测电路、转速检测电路、定子电压检测电路和定子电流检测电路；上位机控制电路包括上位机微处理器、手控键盘、心率检测电路和液晶显示电路，本发明主要针对于民用跑步机速度调节、人机交互界面等方面的需要，根据跑步机的特点，增加了心率检测电路、手控键盘和液晶显示电路，无需再增加任何模块就能实现显示使用者当前心率和手动调节速度的功能，能很大程度的减小跑步机的体积，同时节省了成本。</t>
  </si>
  <si>
    <t>一种跑步机用三相交流异步电机调速控制系统</t>
  </si>
  <si>
    <t>US20170193075A1</t>
  </si>
  <si>
    <t>提供了一种用于聚合、分类和丰富社交媒体的系统和方法。 机器学习技术和自动分析是对从不同社交媒体网站聚合的帖子执行的。 这些帖子的来源是受欢迎或表现良好的公众人物、品牌和商业实体的官方账户。 帖子分为两个级别,通过首先按身份类别(例如音乐家、演员、运动员、杂项名人、新闻和生活方式、品牌或商业实体)对来源进行分类,从而更好地将帖子组织到不同的提要中,然后将帖子本身分为 音乐、视频、照片、即将举行的活动、特定地点、音乐会、新闻和生活方式以及社区互动。 通过添加超链接、修改外观以及与日历或地图集成来组织帖子,可以增强和丰富帖子。</t>
  </si>
  <si>
    <t>用于聚合、分类和丰富由受监控作者来源发布的社交媒体帖子的系统和方法</t>
  </si>
  <si>
    <t>CN205509917U</t>
  </si>
  <si>
    <t>本实用新型涉及一种跑步机用三相交流异步电机调速控制系统，属于电机控制领域，包括主电路、下位机控制电路、上位机控制电路三个部分，其中主电路包括整流电路、滤波电路和逆变电路；下位机控制电路包括下位机微处理器、电流检测电路、电压检测电路、转速检测电路、定子电压检测电路和定子电流检测电路；上位机控制电路包括上位机微处理器、手控键盘、心率检测电路和液晶显示电路，本实用新型主要针对于民用跑步机速度调节、人机交互界面等方面的需要，根据跑步机的特点，增加了心率检测电路、手控键盘和液晶显示电路，无需再增加任何模块就能实现显示使用者当前心率和手动调节速度的功能，能很大程度的减小跑步机的体积，同时节省了成本。</t>
  </si>
  <si>
    <t>US9891885B2</t>
  </si>
  <si>
    <t>一种显示装置,包括显示单元、至少一个与显示单元连接的飞行单元、获取显示装置当前位置信息的位置信息接收单元、获取用户信息的传感器单元、自动控制的飞行控制单元 显示装置的飞行、获取显示装置的姿态信息的姿态信息获取单元、控制显示装置的各个部件的整体操作的主控制单元、改变显示装置或显示器的角度的姿态校正单元 单元、振动系统、语音识别单元、通信模块、将输入信息传送到通信模块的输入构件、电源单元、障碍物检测单元、连接至少一个飞行单元和显示单元的关节机械手 ,以及连接显示单元和显示设备的连接器。</t>
  </si>
  <si>
    <t>飞行显示装置</t>
  </si>
  <si>
    <t>CN205268905U</t>
  </si>
  <si>
    <t>本实用新型涉及健身器材智能化技术领域，尤其涉及一种多功能实景磁控单车，包括底座，所述底座上设置有具有两个脚踏的运动轮，所述运动轮外围设置一个固定在所述底座之上的运动轮外壳，该运动轮外壳上设置有座椅以及把手，位于所述把手之间增置有人机交互操作板；位于所述人机交互操作板前侧设置有与所述底座以及与所述运动轮外壳连接的支持杆，所述支持杆顶部设置有一个3D显示器；该实用新型技术方案集数据可视化、场景真实化、智能交互化以及无线化等多种功能于一体，可以极大程度满足用户需求。</t>
  </si>
  <si>
    <t>一种多功能实景磁控单车</t>
  </si>
  <si>
    <t>CN106934993A</t>
  </si>
  <si>
    <t>本装置公开了基于物联网传感器的江河游泳安全装置，归属于电子学领域，包括污染水中的物联网人员检测模块、是否有游泳者接近的判断模块、物联网水质传感器监测模块、水质是否适合游泳的判断模块、计算平台信号处理模块、游泳者佩戴的物联网安全标签和警报模块。本装置的主要功能在于在江河湖海中游泳时可能会遇上水污染的区域，通过水域中的物联网水质传感器检测到污染状态，发送到接近该区域的游泳者的警报设备上，提醒避险。</t>
  </si>
  <si>
    <t>基于物联网传感器的江河游泳安全装置</t>
  </si>
  <si>
    <t>US20170185669A1</t>
  </si>
  <si>
    <t>CN205334685U</t>
  </si>
  <si>
    <t>CN105363188A</t>
  </si>
  <si>
    <t>本发明是关于健身设备的人机交互系统，包括：动作采集装置以及智能型数字处理设备；动作采集装置用于产生动作采集信号，并传输至所述智能型数字处理设备；所述智能型数字处理设备包括：数字信号处理模块和显示模块；数字信号处理模块用于接收动作采集模块传输来的动作采集信号，并对该动作采集信号进行计算，以获得运动量参数；显示模块用于显示当前运动状态画面。本发明可以便捷地将传统的健身设备转化为人机交互的健身系统，大大提高了传统健身设备的使用体验。</t>
  </si>
  <si>
    <t>一种人机交互系统</t>
  </si>
  <si>
    <t>KR101757788B1</t>
  </si>
  <si>
    <t>本发明涉及一种通过图像识别计算台球得分的装置和方法。 
  根据本发明的台球得分计算方法接收包括台球桌的图像,扭曲图像使得包括在图像中的台球桌具有预定形状,并且从扭曲的图像划分台球桌区域。获取台球桌图像的获取步骤; 台球检测步骤,检测台球图像中的台球; 局检测步骤,通过分析检测到的台球的坐标随时间的变化,对台球比赛的局时间进行分类。 比分计算步骤,通过分析局时间内每次检测到的台球的坐标,判断台球是否相互碰撞,根据判断结果计算本局的比分。</t>
  </si>
  <si>
    <t>台球得分计算装置及方法</t>
  </si>
  <si>
    <t>CN105561536A</t>
  </si>
  <si>
    <t>本发明提供一种具有健身动作矫正功能的人机交互系统，包括用于捕捉用户健身动作的视频采集设备，视频采集设备与视频采集卡相连，视频采集卡与用于将视频采集卡输出的数字信号进行处理分析后将正确的健身动作记录下来的动作处理模块相接，动作处理模块与对比分析从而找出不足的主控服务器相接，主控服务器与生成对比图像的图像生成模块相接，图像生成模块与用于对图像生成模块生成的对比图像进行投影的投影仪相接，与投影仪配套使用的投影幕布将对比图像显示给用户。与现有技术相比，本发明通过拍摄记录正确健身动作，将实时捕捉的健身动作与之前记录的正确健身动作进行对比并将对比结果通过图像的形式展示给用户，帮助用户实时纠正健身动作。</t>
  </si>
  <si>
    <t>一种具有健身动作矫正功能的人机交互系统</t>
  </si>
  <si>
    <t>CN105413169A</t>
  </si>
  <si>
    <t>本发明是关于健身设备的一种人机交互方法，所述方法包括以下步骤：步骤1.动作采集：采集动作并将动作采集信号传输至数字处理设备；步骤2.信号处理：对动作采集信号，并对该动作采集信号进行计算，以获得运动量参数；步骤3.图像显示：显示当前运动量参数的当前运动状态画面。本发明可以便捷地将传统的健身设备转化为人机交互的健身系统，大大提高了传统健身设备的使用体验。</t>
  </si>
  <si>
    <t>一种人机交互方法及其系统</t>
  </si>
  <si>
    <t>WO2016095780A1</t>
  </si>
  <si>
    <t>一种基于物联网的游泳场馆运动成绩计时系统及计时方法，包括具有唯一标识符的射频标签模块（1）；安放在泳道两端的信息采集模块（2），每个信息采集模块（2）通过第一射频阅读器从游泳者穿戴的射频标签模块（1）读取唯一标识符；通过第一通信子模块把读到的射频标签模块（1）的唯一标识符传送给服务器（3）；以及成绩查询模块（4）和成绩显示屏（5）。该系统通过在泳道两端设置信息采集模块（2），利用第一射频阅读器获取游泳者穿戴的射频标签模块（1）的标识符，通过服务器（3）统一记录射频标签模块（1）对应的游泳成绩，可以同时记录游泳场馆中所有游泳者的成绩；人均使用成本低，计时精度较高，能够很好地满足室内外各种游泳场馆的计时需求。</t>
  </si>
  <si>
    <t>基于物联网的游泳场馆运动成绩计时系统及计时方法</t>
  </si>
  <si>
    <t>CN105561535B</t>
  </si>
  <si>
    <t>本发明公开了一种基于物联网技术的体育健身管理系统，包括视频采集模块，生命体征采集模块，运动状态采集模块，中央处理器，三维生成模块，虚拟作动器，虚拟传感器，人机操作模块。本发明可以通过不同的传感器监测运动员的身体以及运动情况，并将监测的数据通过仿真模型进行仿真模拟、数据分析、评估和储存，监测效果好，同时更加全面。</t>
  </si>
  <si>
    <t>一种基于物联网技术的体育健身管理系统</t>
  </si>
  <si>
    <t>CN105381585A</t>
  </si>
  <si>
    <t>本发明公开了一种基于物联网技术的群体长跑管理智能终端，包括电源模块、ISO14443读卡模块、液晶显示模块、无线模块、温度湿度模块，PM2.5模块、PIXY摄像头模块，网络模块，第一控制器模块；本发明可以方便快捷有效的记录每个跑步参与者的刷卡时间和刷卡地点，可以准确的计算出跑步的里程和速度，进行数据的实时更新，在提高效率的同时又有效的减少了大量的人力物力。</t>
  </si>
  <si>
    <t>一种基于物联网技术的群体长跑管理智能终端</t>
  </si>
  <si>
    <t>CN205216130U</t>
  </si>
  <si>
    <t>本实用新型公开了一种基于物联网技术的群体长跑管理智能终端，包括电源模块、ISO14443读卡模块、液晶显示模块、无线模块、温度湿度模块，PM2.5模块、PIXY摄像头模块，网络模块，第一控制器模块；本实用新型可以方便快捷有效的记录每个跑步参与者的刷卡时间和刷卡地点，可以准确的计算出跑步的里程和速度，进行数据的实时更新，在提高效率的同时又有效的减少了大量的人力物力。</t>
  </si>
  <si>
    <t>基于物联网技术的群体长跑管理智能终端</t>
  </si>
  <si>
    <t>CN105498168A</t>
  </si>
  <si>
    <t>本发明适用于数据处理领域，提供了一种通过语音控制跑步机的方法，所述方法包括：跑步机通过麦克风接收用户发出的声音；跑步机通过语音识别程序将所述声音识别为文字；跑步机通过互动控制程序将所述文字转换为指令；跑步机对应的设备接收并执行所述指令。本发明实施例，跑步机通过麦克风接收用户发出的声音，通过语音识别程序将声音识别为文字，通过互动控制程序将文字转换为指令，对应的设备接收并执行指令，使得跑步机可以通过用户的发出的语音实现不同的功能，方便用户在跑步时使用跑步机不同的功能。</t>
  </si>
  <si>
    <t>一种通过语音控制跑步机的方法和装置</t>
  </si>
  <si>
    <t>CN105261259B</t>
  </si>
  <si>
    <t>本发明公开了一种智能车辆驾驶培训系统，由智能控制系统和智能控制驾驶教练车组成，两者协同配合工作。所述智能控制系统分为智能控制后台总控系统和智能控制车载分系统，智能控制后台总控系统与智能控制车载分系统通过信息网络进行数据连接。本发明的有益技术效果为：改变了现有的驾驶员培训模式，将现有的驾驶培训车辆升级为智能化工具，在驾驶过程中通过人机交互系统对驾驶学员和教练员进行语音和动态影像辅助帮助；大量利用了高科技装备及互联网信息共享技术，创造性的提出了车辆驾驶学习的互联方案，增加了远程服务器智能辅助控制、数据存储功能，将学员驾驶数据通过智能系统结合后台操作人员的审核进行综合评判。</t>
  </si>
  <si>
    <t>一种智能车辆驾驶培训系统</t>
  </si>
  <si>
    <t>CN106730646A</t>
  </si>
  <si>
    <t>本发明提供一种电动跑步机控制系统及计步方法，其中，该系统包括跑步机端模块和云端模块两部分；跑步机端模块具有上传数据、接收数据、状态判断以及计步等功能；云端服务器模块具有接收数据、机器学习、下发数据以及存储数据功能；云端服务器模块包括至少一个数据库以及机器学习的模块。两者配合可以实现更精确、更经济、更智能的计步方案。</t>
  </si>
  <si>
    <t>电动跑步机控制系统及计步方法</t>
  </si>
  <si>
    <t>CN105251175A</t>
  </si>
  <si>
    <t>本发明涉及一种多功能化智能跑步机，包括跑步机本体，跑步机本体上安装有传感器模块、语音识别模块、信号处理模块和显示器，针对现有跑步机中存在的功能单一、枯燥乏味、手动调节运行参数不便和安全性差等问题，使得用户在运动过程中可以根据需求发出语音指令来调节跑步机的运行状态，对其实时检测并对运行的参数进行调整，并将用户的运动情况显示于显示器上，传感器一旦感测到任何异常情况，跑步机则会立即减速运行；本发明同现有技术相比，不仅能够保证用户的安全，还可以使用户享受到多媒体的娱乐性，享受健身教练的在线指导，能够适用于各种人群，从而使跑步机的功能和价值得到大幅度提升。</t>
  </si>
  <si>
    <t>多功能化智能跑步机</t>
  </si>
  <si>
    <t>CN106730708A</t>
  </si>
  <si>
    <t>本发明公开了一种基于物联网的智能升降篮球架，包括篮板、主支架、篮筐、底座、升降装置、控制装置和智能移动终端，所述篮板设置在主支架的上端端部，所述篮筐设置在篮板的前侧，所述动力装置设置在主支架的下端，所述底座设置在升降装置的下端，所述控制装置包括控制器、无线信号收发模块、驱动模块和电源模块，所述智能移动终端的输出端通过无线信号收发模块与控制器的输入端相连，所述控制器的输出端与驱动模块的输入端相连，所述驱动模块的输入端与升降装置的输入端相连，所述电源模块分别与控制装置和升降装置电连接。本发明可以实现篮球架升降的全自动化，便于清洁保养，适用于各种年龄层的人群。</t>
  </si>
  <si>
    <t>CN106730598A</t>
  </si>
  <si>
    <t>本发明公开了一种基于物联网的智能测距跑步机，包括跑台、处理装置和智能移动终端，及设置在跑台前端的护盖，及设置在护盖下端的底座，及设置在护盖两侧的撑杆，及设置在撑杆上端的控制台，及设置在控制台端后侧的扶手，所述控制台的内侧设置有红外线测距仪，所述控制台上设置有报警装置，所述护盖的下端设置有动力模块，所述红外线测距仪的输出端处理装置的输入端相连，所述处理装置的输出端分别与报警装置的输入端和动力模块的输入端相连，所述处理装置与智能移动终端双相连接。本发明可以使使用者保持在一个合适的跑步位置，减少对跑步机的损坏以及对使用者自身的伤害，降低了跑步机的损坏率和使用成本。</t>
  </si>
  <si>
    <t>一种基于物联网的智能测距跑步机</t>
  </si>
  <si>
    <t>CN205323148U</t>
  </si>
  <si>
    <t>本实用新型公开了一种基于物联网的智能升降篮球架，包括篮板、主支架、篮筐、底座、升降装置、控制装置和智能移动终端，所述篮板设置在主支架的上端端部，所述篮筐设置在篮板的前侧，所述动力装置设置在主支架的下端，所述底座设置在升降装置的下端，所述控制装置包括控制器、无线信号收发模块、驱动模块和电源模块，所述智能移动终端的输出端通过无线信号收发模块与控制器的输入端相连，所述控制器的输出端与驱动模块的输入端相连，所述驱动模块的输入端与升降装置的输入端相连，所述电源模块分别与控制装置和升降装置电连接。本实用新型可以实现篮球架升降的全自动化，便于清洁保养，适用于各种年龄层的人群。</t>
  </si>
  <si>
    <t>CN205323091U</t>
  </si>
  <si>
    <t>本实用新型公开了一种基于物联网的智能测距跑步机，包括跑台、处理装置和智能移动终端，及设置在跑台前端的护盖，及设置在护盖下端的底座，及设置在护盖两侧的撑杆，及设置在撑杆上端的控制台，及设置在控制台端后侧的扶手，所述控制台的内侧设置有红外线测距仪，所述控制台上设置有报警装置，所述护盖的下端设置有动力模块，所述红外线测距仪的输出端处理装置的输入端相连，所述处理装置的输出端分别与报警装置的输入端和动力模块的输入端相连，所述处理装置与智能移动终端双相连接。本实用新型可以使使用者保持在一个合适的跑步位置，减少对跑步机的损坏以及对使用者自身的伤害，降低了跑步机的损坏率和使用成本。</t>
  </si>
  <si>
    <t>CN105376315A</t>
  </si>
  <si>
    <t>本发明涉及一种基于二维码与图像识别技术的健身系统，包括手机APP、云数据中心及健身器材或是健身器材上的二维码，其中云数据中心具有二维码识别处理器及图像识别处理器。能够使使用者在一个人使用健身器械时自行掌握正确的使用方法，而节省了请健身教练教的成本及时间问题，同时由于可以快速定位使用的健身器械，也避免了出现反复查找相关资料的问题，使使用者能够不费时不费力的掌握避免了使用错误的动作伤到自己身体或是损伤健身器械的问题，解决健身器械使用率偏低及盲目性问题，帮助健身人士合理有效的选择与使用健身器材，提高健身的科学性、专业性，实现健身器械使用的科学性。</t>
  </si>
  <si>
    <t>基于二维码与图像识别技术的健身系统及其使用方法</t>
  </si>
  <si>
    <t>CN105288978B</t>
  </si>
  <si>
    <t>本发明涉及一种用于失重环境的柔索驱动航天员划船训练器。包括负载控制单元、船桨单元、座椅单元、虚拟显示单元，负载控制单元由柔索缠绕轮、电机支架、力矩电机和导向轮组成；船桨单元由船桨、船桨支架组成，船桨通过球铰机构船桨支架连接；座椅单元由座椅、导轨、拉伸弹簧和脚踏板组成；虚拟显示单元主要由显示屏组成。本发明利用负载控制单元模拟运动阻力，通过柔索将负载力传递给船桨，模拟船桨在水中划动时受到的运动阻力。划船训练器模块化设计，便于运输和安装；采用柔索作为传动元件，训练时舒适、安全；通过虚拟显示单元，提高训练的人机交互性和娱乐性。本发明结构简单、质量体积小，可用于航天员在太空中的体育训练。</t>
  </si>
  <si>
    <t>一种用于失重环境的柔索驱动航天员划船训练器</t>
  </si>
  <si>
    <t>CN107281697B</t>
  </si>
  <si>
    <t>本发明涉及一种训练器的使用方法，包括负载控制单元、船桨单元、座椅单元、虚拟显示单元，负载控制单元由柔索缠绕轮、电机支架、力矩电机和导向轮组成；船桨单元由船桨、船桨支架组成，船桨通过球铰机构船桨支架连接；座椅单元由座椅、导轨、拉伸弹簧和脚踏板组成；虚拟显示单元主要由显示屏组成。本发明利用负载控制单元模拟运动阻力，通过柔索将负载力传递给船桨，模拟船桨在水中划动时受到的运动阻力。划船训练器模块化设计，便于运输和安装；采用柔索作为传动元件，训练时舒适、安全；通过虚拟显示单元，提高训练的人机交互性和娱乐性。本发明结构简单、质量体积小，可用于航天员在太空中的体育训练。</t>
  </si>
  <si>
    <t>一种用于失重环境的柔索驱动航天员划船训练器的使用方法</t>
  </si>
  <si>
    <t>CN105303580A</t>
  </si>
  <si>
    <t>本发明公开了一种全景环视多相机标定棒的识别系统和方法，属于图像测量和计算机视觉领域。该识别系统和方法建立了基于六个带乒乓球灯罩LED灯标定棒的全景环视多相机标定系统，提出了该新型标定物的多相机3D识别算法，采用八个相机近360度的全方位拍摄，在Visual？C、OpenCV平台上实现了白天室外、室内开灯及关灯等3种不同环境下的标定图像识别，采用共线理论及最小二乘法剔除了无效点，识别精度和效果大大提高，可以满足不同环境下运动目标的适应性跟踪，有效提高相机标定的准确性、鲁棒性和灵活性。</t>
  </si>
  <si>
    <t>一种全景环视多相机标定棒的识别系统和方法</t>
  </si>
  <si>
    <t>CN205127279U</t>
  </si>
  <si>
    <t>本实用新型涉及健身器械技术领域，尤其涉及一种具有语音识别功能的跑步机，包括跑步机机身；还包括设置于跑步机机身上的语音输入模块、语意识别模块、控制模块和实施模块。语音输入模块和语意识别模块相连，语意识别模块和控制模块相连，控制模块和实施模块相连。本实用新型的跑步机具有语音识别功能，通过对语音信息的识别，控制跑步机的工作状态。</t>
  </si>
  <si>
    <t>一种具有语音识别功能的跑步机</t>
  </si>
  <si>
    <t>CN105374251A</t>
  </si>
  <si>
    <t>本发明公开了一种基于沉浸式输入、输出设备的矿用虚拟现实培训系统，受训者可以完全沉浸在虚拟场景中，并通过手势、走、跑等自然的方式与虚拟培训场景进行人机交互，进而完成预设培训项目。该系统由头戴式显示器等输出设备、全向跑步机、动作捕捉等输出设备、计算机和配套培训软件组成，其中：头戴式显示器可以提供完全的视觉沉浸体验，全向跑步机、动作捕捉设备可以将受训者在现实中的动作映射在虚拟场景中的虚拟对象上，通过自然的交互方式对系统进行操作。相比传统培训方法，本发明提出的培训系统能够使受训者在任何地方沉浸在接近真实的虚拟矿井环境中，获得与现场相同的培训体验，并最终取得媲美现场培训的效果。</t>
  </si>
  <si>
    <t>一种基于沉浸式输入、输出设备的矿用虚拟现实培训系统</t>
  </si>
  <si>
    <t>CN303770260S</t>
  </si>
  <si>
    <t>1．本外观设计产品的名称：带图形用户界面的可穿戴设备。2．本外观设计产品的用途：本设计的可穿戴设备可以例如是配饰、手表、珠宝或电子装置，并且该可穿戴设备可以用于运行程序和/或通讯。3．本外观设计产品的设计要点：产品屏幕中的图形用户界面内容，其余部分为惯常设计。4．最能表明本外观设计设计要点的图片或照片：主视图。5．设计的图形用户界面是用于人机交互和实现可穿戴设备的功能。例如，设计1主视图的图形用户界面为信息显示界面，其中包括多个环形进度条，不同的进度条可以根据可穿戴设备对用户运动的感知显示用户对应的不同数据，例如走步数据、跑步数据等。该界面默认用户无进度，当用户运动一定时间后，呈现设计1界面变化状态图1的图形用户界面，其中该界面进度条中的进度显示用户当前的进度，该进度未充满进度条；当用户运动结束时，呈现设计1界面变化状态图2的图形用户界面，其中该界面显示的进度充满进度条。本设计所显示的图形用户界面也可以用在计算机、平板电脑、手机等上。</t>
  </si>
  <si>
    <t>带图形用户界面的可穿戴设备</t>
  </si>
  <si>
    <t>CN105404857A</t>
  </si>
  <si>
    <t>一种基于红外的夜间智能车前方行人检测方法，本方法包括如下步骤，首先利用平滑滤波方法、形态学处理技术对输入红外图像序列进行去噪预处理；通过基于像素梯度垂直投影法捕捉输入图像序列中的行人预选区域，根据行人几何特征从行人预选区域中提取感兴趣区域；提取红外图像多级二值模式特征描述感兴趣区域；利用支持向量机算法离线训练行人分类器模型；利用该分类器模型在线判断感兴趣区域为目标行人或背景。与现有技术相比，本方法有效改善行人分类器的鲁棒性；不仅能检测处于静止、行走或者跑步等运动方式下的直立行人,还适合检测骑自行车或摩托车的人体，且按此方法实现的系统能应用于无人驾驶智能车、轮式机器人等的障碍物检测。</t>
  </si>
  <si>
    <t>一种基于红外的夜间智能车前方行人检测方法</t>
  </si>
  <si>
    <t>CN106655482B</t>
  </si>
  <si>
    <t>本发明公开了任务导向的电力调度集中式操控台的实现方法，包括以下步骤：以电力系统发电、输电、配电、用电四个环节以及安全、优质、经济、环保四个方面指标的正常调节与异常处置的任务为导向，构建调度员日常操控业务视图；将每个操控业务的执行单元分解到一个或多个操控功能子系统中；采用多种集成技术，将操控功能子系统集成到操控台，使得操控台可以调用操控功能子系统的具体操控功能；面向调度操控全业务视图设计调度集中操控台的人机交互界面；构建安全认证体系保证操控安全。本发明使得调度员在统一的操作台下，完成电网控制与监视、计划执行、异常处置、管理审核等日常工作，实现了“一站式”调度集中操控台。</t>
  </si>
  <si>
    <t>任务导向的电力调度集中操控台实现方法</t>
  </si>
  <si>
    <t>CN205343137U</t>
  </si>
  <si>
    <t>本实用新型涉及机械设备技术领域，具体涉及一种新型的吊环竞技仿生智能机器人。所述的支撑底座的上端固定有三角支撑架，三角支撑架的上端通过连接吊杆连接有机器人，机器人的左右两侧肩膀舵机，肩膀舵机通过机械手臂与连接吊杆连接；所述的机器人的下端设置有一对腿部驱动舵机，腿部驱动舵机下端连接有机械腿；所述的机器人躯体正面设置有声卡，机器人躯体背面设置有控制主板。它根据吊环体育运动特点，配置吊环运动模拟器械，完成了机器人与体育器械的有效组合，它动作灵活、规范，更适应于体育器械类竞技比赛和科研使用的仿人机器人。</t>
  </si>
  <si>
    <t>一种新型的吊环竞技仿生智能机器人</t>
  </si>
  <si>
    <t>CN105288984B</t>
  </si>
  <si>
    <t>本发明公开一种足球比赛辅助系统，涉及人工智能技术领域，用以解决现有技术中足球比赛判罚换人等效率低、易出错的问题。本发明提供一种足球比赛辅助系统包括：教练端，用于向服务端发送人员请求；裁判端，用于接收裁判的判罚指令并将所述判罚指令同步到所述服务端，以及用于接收所述服务端的比赛情况提示；所述监控端，用于对比赛情况进行监控并将实时监控数据向所述服务端发送；所述服务端，用于：接收并处理所述人员请求，接收所述判罚指令并将所述判罚指令同步到所述教练端，以及接收所述监控数据并根据所述监控数据向所述裁判端发送所述比赛情况提示。</t>
  </si>
  <si>
    <t>一种足球比赛辅助系统</t>
  </si>
  <si>
    <t>CN105184428A</t>
  </si>
  <si>
    <t>本发明属于计算机应用领域，具体涉及一种解决了冰壶比赛对阵组合自动设计方法中难于找到最优解问题的基于多层遗传算法的冰壶比赛对阵组合设计方法。本发明包括：编码；初始种群生成；根据适应度函数计算种群内每个个体的适应度函数值。与此前的解决冰壶比赛方案自动设计的方法相比，本发明一定能找到问题的最优解，满足冰壶比赛复杂且相互关联的诸多约束条件，解决了此前方法中无法找到最优解或找到最优解效率低的问题。该方法实现简单，能够根据冰壶比赛的不同情况快速设计出满足其苛刻约束条件的对阵组合。执行效率能够满足现实要求。</t>
  </si>
  <si>
    <t>一种基于多层遗传算法的冰壶比赛对阵组合设计方法</t>
  </si>
  <si>
    <t>CN205193781U</t>
  </si>
  <si>
    <t>本实用新型涉及一种多屏幕智能联网运动显示装置，包括一微控制单元以及与其相连的I/O接口单元、用以连接终端设备的通信单元、健身模块设定单元以及复数个用以检测人体运动状态的红外发射电路与红外接收电路；所述的I/O接口单元连接有键盘接口电路以及复数个用以显示不同内容的显示屏。本实用新型将多显示屏的概念应用延伸至运动健身器材，在观看多个显示屏中的健身内容时，能够增强一个人使用运动器材的信心，并且该装置能够配合物联网显示器进行使用。</t>
  </si>
  <si>
    <t>多屏幕智能联网运动显示装置</t>
  </si>
  <si>
    <t>CN205273658U</t>
  </si>
  <si>
    <t>一种新型的爬杆竞技仿人智能机器人结构，它涉及机器人技术领域；它包含头部、肩膀、上臂、下臂、胯部、膝盖、小腿、脚掌、身体前壳、身体后壳、主板、声卡、电池、动弧形金属片、静弧形金属片、锯齿脚底板、身体、手腕；所述的身体的背部支架上安装有主板，身体的胸部支架上安装有声卡；所述的电池安装在身体的两个连接板之间；所述的下臂的下端通过手腕连接有抓手；所述的抓手由动弧形金属片与静弧形金属片连接而成；所述的手腕内部设置有控制抓手抓拿动作的舵机。本实用新型所述的一种新型的爬杆竞技仿人智能机器人结构，增加了手腕抓拿功能，完成了机器人与物体的有效接触和组合，它四肢动作灵活、规范、快捷，更适应于体育竞技比赛和科研使用的仿人机器人。</t>
  </si>
  <si>
    <t>一种新型的爬杆竞技仿人智能机器人结构</t>
  </si>
  <si>
    <t>CN205273659U</t>
  </si>
  <si>
    <t>一种新型的球类竞技仿人智能机器人结构，它涉及机器人技术领域；它包含头部、肩膀、上臂、下臂、胯部、膝盖、小腿、脚掌、身体前壳、身体后壳、主板、声卡、电池、手腕舵机、手心挡板、手腕挡板、固定金属片、身体；所述的下臂的下端通过手腕舵机连接有抓手；所述的抓手由手心挡板、固定金属片组成；所述的手心挡板周边连接有数个固定金属片；所述的手腕下端连接有手腕挡板。本实用新型所述的爬杆竞技仿人智能机器人，增加了手腕抓拿功能，能抓取球状物体，完成了机器人与物体的有效接触和组合，它四肢动作灵活、规范、快捷，更适应于体育竞技比赛和科研使用的仿人机器人。</t>
  </si>
  <si>
    <t>一种新型的球类竞技仿人智能机器人结构</t>
  </si>
  <si>
    <t>CN205022763U</t>
  </si>
  <si>
    <t>本实用新型公开一种划船式室外健身自行车电子系统，包括人体信息检测模块、骑行状态检测模块、通信模块、人机交互模块和储能模块。关键在于：人体信息检测模块由心率、体温传感器实时检测骑行者心率和体温；骑行状态检测模块由转动、滑动、摆动传感器实时检测骑行过程中健身车和健身者运动情况；通信模块由蓝牙与PC终端进行通信；人机交互模块主要有触摸屏和扬声器，骑行者可通过触摸屏设定健身计划，骑行过程中扬声器可播放音乐，也可结合健身计划对骑行者进行提醒；储能模块由太阳能或健身运动对蓄电池充电。上述相关模块信息处理和交换由CPU完成。该电子系统可持久续航，实现了更好的人车互动，进一步提升了健身车的娱乐性和健身效果。</t>
  </si>
  <si>
    <t>一种划船式室外健身自行车电子系统</t>
  </si>
  <si>
    <t>WO2016056012A1</t>
  </si>
  <si>
    <t>一种将虚构环境与真实事件混合的方法,包括以下步骤: a)提供至少一个游戏化虚构内容源; b) 从一个或多个新闻源中检索和过滤内容; c) 通过将机器学习算法应用于所述内容,将所述检索到的内容转换为游戏数据格式; d) 在所述虚构内容和所述转换内容之间合并/混合,并相应地生成具有基于实际事件的一个或多个可能响应的游戏事件; e) 通过用户界面将生成的事件提供给用户,以允许所述用户选择所述一个或多个可能响应中的至少一个。</t>
  </si>
  <si>
    <t>一个体育游戏平台</t>
  </si>
  <si>
    <t>WO2016057521A1</t>
  </si>
  <si>
    <t>提供了用于研究运动的系统。 计算设备[10]具有处理器[20]、加速度计[11]、陀螺仪[12]、磁力计[13]和彼此通信的存储/计算机可读介质[30]。 计算设备[10]可以根据运动库[32]中分类的初始运动数据感测、分类、鉴定和/或量化运动目标的实时运动数据。 运动数据被处理为特定的运动单元。 计算设备[10]可以使用机器学习算法来“训练”和“学习”。 计算设备[10]可用于许多行业,包括健身行业,其中计算设备[10]可与可穿戴技术一起使用。</t>
  </si>
  <si>
    <t>与运动数据相关的系统、设备和方法</t>
  </si>
  <si>
    <t>EP3204127A4</t>
  </si>
  <si>
    <t>US10588547B2</t>
  </si>
  <si>
    <t>提供了用于研究运动的系统。 计算设备 [ 10 ]有一个处理器[ 20 ],加速度计[ 11 ],一个陀螺仪[ 12 ],一个磁力计[ 13 ]和存储/计算机可读媒体[ 30 ] 相互交流。 计算设备[ 10 ]可以根据运动库中分类的初始运动数据感测、分类、鉴定和/或量化运动目标的实时运动数据[ 32 ]. 运动数据被处理为特定的运动单元。 计算设备[ 10 ] 可能会使用机器学习算法进行“训练”和“学习”。 计算设备[ 10 ]可用于许多行业,包括健身行业,其中计算设备[ 10 ] 可与可穿戴技术一起使用。</t>
  </si>
  <si>
    <t>CN106999748B</t>
  </si>
  <si>
    <t>提供了用于研究运动的系统。计算设备[10]具有相互通信的处理器[20]、加速度计[11]、陀螺仪[12]、磁力计[13]和存储装置/计算机可读介质[30]。计算设备[10]可以对照运动库[32]中已分类的初始运动数据对移动目标的实时运动数据进行感测、分类、定性和/或量化。运动数据被处理作为特定的运动单元。计算设备[10]可以使用机器学习算法进行“训练”和“学习”。计算设备[10]可以用于许多行业，包括健身行业，在该行业中计算设备[10]可以与可穿戴技术一起使用。</t>
  </si>
  <si>
    <t>GB2544941B</t>
  </si>
  <si>
    <t>ES2561927A1</t>
  </si>
  <si>
    <t>用于运动和认知残疾人康复和互动的多传感器系统。 该系统允许使用不同的人机交互模式实现治疗,为不同残疾的人提供多种交互模式,因此与其他现有手段相比具有显着优势。 该系统能够通过培训过程适应每位患者的需求; 通过这种方式,系统有效地结合了可用的传感器,并允许为每个传感器和患者定义自己的手势。 该系统提供以下交互模式:姿势和身体姿势、声音、触觉、注视位置、姿势和手势。 多传感器系统集成了一系列应用程序,可通过虚拟现实应用程序和 3D 界面实现患者的康复:虚拟实体操作、预测文本和引导绘图。</t>
  </si>
  <si>
    <t>用于残疾人康复和互动的多传感器系统。</t>
  </si>
  <si>
    <t>WO2016049611A1</t>
  </si>
  <si>
    <t>“运行范围归一化”方法包括计算对语音活动检测 (VAD) 有用的特征值范围的运行估计,并通过将特征映射到所需范围来对特征进行归一化。 运行范围归一化包括计算 VAD 特征的最小值和最大值的运行估计,并通过将原始范围映射到所需范围来归一化特征值。 可选地选择平滑系数以定向偏置最小值和最大值的运行估计中的至少一个的变化率。 归一化的 VAD 特征参数用于训练机器学习算法以检测语音活动,并使用训练后的机器学习算法来隔离或增强音频数据的语音分量。</t>
  </si>
  <si>
    <t>使用跑步范围归一化的神经网络语音活动检测</t>
  </si>
  <si>
    <t>EP3198592A4</t>
  </si>
  <si>
    <t>CN105205130A</t>
  </si>
  <si>
    <t>本发明公开了一种提升推荐系统准确性的方法，首先构建三个数据子集，然后在构建的数据子集上分别应用本发明构建的基于高斯混合分布的评分模型，标记各个数据子集中的无标签数据，获得各个教练集，并将获得的教练集中被标记的原始无标签数据加入到其他子集中的有标签数据，迭代更新其他子集中原始无标签数据的标签，最后输出最终推荐结果。该方法使推荐系统可以有效对抗评分噪声，获得了良好鲁棒性，提升了推荐准确率。此外，还可以有效缓解冷启动问题。</t>
  </si>
  <si>
    <t>一种提升推荐系统准确性的方法</t>
  </si>
  <si>
    <t>CN105113952A</t>
  </si>
  <si>
    <t>本发明公开一种高强度智能防盗门，包括：门框、门体以及门锁，其特征在于：所述的门框周边设有连接叉，门框通过该连接叉与墙体整体浇筑固定安装；在所述的门体采用加厚的防爆材料整体压制而成，在门体上设有监控装置以及自动报警系统，该监控装置以及自动报警系统通过物联网与客户端连接通信，所述的门锁为电子门锁，该电子门锁通过IP根据码授权开启。本发明采用门框与墙体整体浇筑固定成型，通过物联网控制门锁的开闭，并实现自动监控感应防盗门内外情况的结构形式，实现了高强度与智能化相结合的目的，防盗门与智能家居中的物联网联合成一体，便于使用者对家居的整体操控，从而提高了家居的防盗功能。</t>
  </si>
  <si>
    <t>高强度智能防盗门</t>
  </si>
  <si>
    <t>CN105169620B</t>
  </si>
  <si>
    <t>本发明公开了一种智能化减脂跑步机及其健身指导方法，其特征是包括：体脂率测量模块、运动心率测量模块、控制处理模块、人机交互模块、电源模块和跑步机主体。本发明能针对不同的使用者提供相适应的减脂运动方案，从而实现更加人性化和智能化的健身目的。</t>
  </si>
  <si>
    <t>一种智能化减脂跑步机及其健身指导方法</t>
  </si>
  <si>
    <t>CN204945776U</t>
  </si>
  <si>
    <t>本实用新型公开了一种基于物联网的大棚监控与自动控制系统，包括：二氧化碳传感器、空气温湿度传感器、土壤温湿度传感器、光照度传感器、网络模块、人机交互终端、单片机IC1。本实用新型通过各类型传感器采集数据，并将数据输出端通过信号处理模块的信号放大器、信号转换器与单片机IC1相连接，之后通过单片机IC1对其数据进行处理与判断，其处理结果交由执行处理模块执行，并且将实时相关数据经由网络模块上传至远端服务器，具体操作者可通过人机交互终端远程参与控制与数据的记录分析。本实用新型采用了物联网技术，工作人员可置身于千里之外了解并控制农业现场环境，大幅降低了工作人员劳动强度，提高了作业效率，提升了用户体验，为用户实现农业设施的精准控制与生产流程的标准化管理提供了良好途径。</t>
  </si>
  <si>
    <t>基于物联网的大棚监控与自动控制系统</t>
  </si>
  <si>
    <t>CN205317328U</t>
  </si>
  <si>
    <t>本实用新型提供一种性能稳定的物联网电子秤，包括底座、托盘和控制单元，所述托盘安装在所述底座上端，所述底座的前端设置有计算器显示屏和计算器控制按钮，所述控制单元安装在底座内部，所述控制单元包括中央控制芯片、微型计算芯片、储存器、蓝牙信息传输模块；与现有技术相比，本实用新型具有如下的有益效果：称重效果好，性能稳定；通过增加中央控制芯片和蓝牙信息传输模块，可以将健身之后的身体重量情况发送到朋友圈之类的软件中；当人们在使用电子秤且需要计算很多的数据时，可以直接通过计算器显示屏和计算器控制按钮来计算，使用方便，便于操作，稳定性好，可靠性高。</t>
  </si>
  <si>
    <t>一种性能稳定的物联网电子秤</t>
  </si>
  <si>
    <t>CN204889399U</t>
  </si>
  <si>
    <t>本实用新型提供了一种智能健身镜子，涉及镜子领域，包括镜子主体，镜子主体上设置有显示屏、集成主板以及体感摄像头，体感摄像头与集成主板电连接，集成主板以及体感摄像头均与显示屏电连接；集成主板内置有数据处理模块，集成主板内存储有标准图像信号；体感摄像头用于采集区域的实时图像信号，并将实时图像信号发送给数据处理模块；数据处理模块用于接收实时图像信号；并将实时图像信号与标准图像信号进行对比处理，得出对比结果，通过显示屏给出语音或文字提示，使用户足不出户就能享受到较为专业的健身训练，增强健身训练的效果，健身不再受到场地的限制，通过人机交互提升健身的趣味性，进一步提升用户的身体素质。</t>
  </si>
  <si>
    <t>智能健身镜子</t>
  </si>
  <si>
    <t>CN303827207S</t>
  </si>
  <si>
    <t>1.本外观设计产品的名称：物联网跑步机。2.本外观设计产品的用途：可以实时采集跑步者的步数、速度、跑步时间、跑步距离、卡路里消耗等数据的健身器材。3.本外观设计的设计要点：物联网跑步机的形状。4.最能表明设计要点的图片或者照片：立体图。5.省略后视图、仰视图。</t>
  </si>
  <si>
    <t>物联网跑步机</t>
  </si>
  <si>
    <t>CN204840795U</t>
  </si>
  <si>
    <t>本实用新型涉及一种智能联网跑步机，包括底座，底座上部设置有电机腔，电机腔前端设置有跑道，跑道左右两侧分别设置有左侧板和右侧板，左侧板右侧和右侧板左侧均设置有点阵式高速高清图像识别装置，电机腔后端设置有挡板，挡板上部设置有设备腔，设备腔前端左右两侧均设置有扶手，设备腔上部设置有接插式触控显示屏，可接插液晶平板电脑，触控显示屏上部设置有摄像头，摄像头右侧设置有wifi模块，触控显示屏下部左右两侧分别设置有启动开关和指纹识别。该实用新型装置能有效地改善了跑步机使用效果，智能感知跑步者的速度，方便利用该跑步机进行跑步训练及多人在线比赛，方便实现智能控制，改善了使用效果，方便根据需要使用。</t>
  </si>
  <si>
    <t>智能联网跑步机</t>
  </si>
  <si>
    <t>GB2530871B</t>
  </si>
  <si>
    <t>自动语音识别 (ASR) 系统通过检测多个词与相同音素序列匹配并确定第一个此类匹配话语的上下文来适应异形词(即具有不同含义的语音相似词,例如审查器和传感器)。 知识图可以指示单词之间的距离,以及选择的距离最短的单词。 上下文可能是体育赛事、媒体元素或其他电视或互联网内容(图 1)。</t>
  </si>
  <si>
    <t>在异形图存在的情况下执行 asr 的系统和方法</t>
  </si>
  <si>
    <t>CN204891170U</t>
  </si>
  <si>
    <t>本实用新型涉及一种基于物联网的智能划艇机，包括划艇机本体(40)、云端服务器(10)、中间路由器(20)、智能移动终端(41)和控制器(42)，控制器(42)与划艇机本体(40)连接，云端服务器(10)、智能移动终端(41)和控制器(42)分别与中间路由器(20)连接，控制器(42)将运动信息经中间路由器(20)传入到互联网，同时将信息传输给智能移动终端(41)，智能移动终端(41)通过云端服务器(10)查看网络上的用户健身情况、获得健身方案和指导。与现有技术相比，本实用新型具有软件开发成本低、沉浸感强、使用方便、娱乐性和科学性强的优点。</t>
  </si>
  <si>
    <t>一种基于物联网的智能划艇机</t>
  </si>
  <si>
    <t>EP3951326A1</t>
  </si>
  <si>
    <t>一种方法,包括接收与多个设备的操作状态相关联的信息,其中每个设备包括:控制器; 控制器可访问的内存; 可操作地耦合到控制器的总线; 传感器电路可操作地耦合到总线,其中传感器电路生成代表环境条件的测量信息。 该方法还包括至少部分地基于该信息生成预测模型; 以及至少部分地基于预测模型导出代码,其中每个代码对应于设备可检测的个体操作状态。 生成预测模型优选地包括:训练人工神经网络; 和/或使用预测分析,特别是使用机器学习和数据挖掘。</t>
  </si>
  <si>
    <t>探测器</t>
  </si>
  <si>
    <t>CN204952056U</t>
  </si>
  <si>
    <t>本实用新型涉及一种基于物联网的家庭健身站，包括可拆装站架，在可拆装站架的一侧左部位置设有自发电自行车，可拆装站架的一侧右部位置设有可折叠跑步机，正对于自发电自行车和可折叠跑步机的位置设有多媒体显示屏；可拆装站架的正面位置设有负重导杆，负重推杆通过负重滑块20套装在负重导杆上与其滑动连接；可拆装站架的顶部位置设有单杠、砂袋悬架和可移动云台及摄像头，在单杠的下方设有双杠，可拆装站架的正面中间位置设有哑铃架，哑铃架的下方设有能折叠的卧推多用途凳；可拆装站架的另一侧设有身高标尺和可调高度的摸高器；在可拆装站架的底部位置设有踏步机和体重秤；可拆装站架上设有配重块导向杆和配重块并通过包胶钢丝和导向滑轮连接，配重块上设有配重销，在配重块的底部设有与配重块连接的电动推杆。本实用新型的有益效果为：为落实新的国家战略；“全民健身”提供了一种科学、方便、安全、综合的健身器械，和其他健身运动比，家庭健身站除了有更全面的健身效果，更具有从娃娃开始就塑造国人形体的作用。</t>
  </si>
  <si>
    <t>基于物联网的家庭健身站</t>
  </si>
  <si>
    <t>CN105056462A</t>
  </si>
  <si>
    <t>本发明涉及一种基于物联网的家庭健身站，包括可拆装站架，在可拆装站架的一侧左部位置设有自发电自行车，可拆装站架的一侧右部位置设有可折叠跑步机，正对于自发电自行车和可折叠跑步机的位置设有多媒体显示屏；可拆装站架的正面位置设有负重导杆，负重推杆通过负重滑块20套装在负重导杆上与其滑动连接；可拆装站架的顶部位置设有单杠、砂袋悬架和可移动云台及摄像头，在单杠的下方设有双杠，可拆装站架的正面中间位置设有哑铃架，哑铃架的下方设有能折叠的卧推多用途凳；可拆装站架的另一侧设有身高标尺和可调高度的摸高器。本发明的有益效果为：为落实新的国家战略；“全民健身”提供了一种科学、方便、安全、综合的健身器械。</t>
  </si>
  <si>
    <t>一种基于物联网的家庭健身站</t>
  </si>
  <si>
    <t>CN104994530B</t>
  </si>
  <si>
    <t>本发明涉及一种基于组MAC地址的多Wi‑Fi物联网设备分组集体控制系统及方法，将多个Wi‑Fi物联网设备通过分组形成若干个设备组；每个设备组具有本地独特的组MAC地址，以唯一识别该设备组；多个Wi‑Fi物联网主控设备；每个主控设备将与之配对的任意一个设备组的组MAC地址作为目标地址来发送信息，对该设备组中的所有被控设备进行同步控制或同步数据传输。本发明对大量功能相近的Wi‑Fi物联网设备，以组MAC地址进行群体操作，可以减少数据包发送数量，简化控制过程，加快被控设备的反应速度。</t>
  </si>
  <si>
    <t>基于组MAC地址的多Wi-Fi物联网设备分组集体控制系统及方法</t>
  </si>
  <si>
    <t>CN105014676A</t>
  </si>
  <si>
    <t>本发明公开了一种机器人运动控制方法。首先利用Myo臂环检测手臂运动的加速度信号、姿态信号及肌电信号，通过蓝牙将这些信号数据传输给电脑或智能手机或平板电脑，然后利用电脑或智能手机或平板电脑上的程序将这些信号数据解析并还原出手势信号，进而通过单片机去控制机器人系统中的电机或舵机。本发明利用生物机电进行手势控制，人机交互友好，而且环境噪声不易对其产生干扰，对处理器要求也较低，不需要安装额外的摄像头，成本低廉，识别率高。而且使用的SEMG在测量上具有非侵入性、无创伤、操作简单等优点，在临床医学、人机功效学、康复医学以及体育科学等方面均有重要的实用价值。</t>
  </si>
  <si>
    <t>一种机器人运动控制方法</t>
  </si>
  <si>
    <t>US20170006356A1</t>
  </si>
  <si>
    <t>在体育比赛或非现场媒体演示等现场竞技活动期间,通过流畅、丰富和个性化的信息流提供增强的用户体验的架构。 具有安装有应用程序组件的用户设备的用户可以体验内容与正在观看的实况比赛中发生的实体、活动和时刻的自动同步。 这是通过至少基于自然语言处理技术连续识别的不同输入和实体/活动/时刻的组合应用逻辑来实现的。 通过现场比赛、球队、体育场、球员等的自动识别,以及在第二用户设备上生成/呈现高度相关的内容,增强了与第一用户设备上的事件的媒体呈现相关联的用户体验 用户当前正在交互的对象。</t>
  </si>
  <si>
    <t>US20160379105A1</t>
  </si>
  <si>
    <t>代表本地事件和/或状态的信号在移动设备上被捕获,并被机器学习系统用来识别用户行为模式并进行预测以自动启动应用程序、启动应用程序内活动或执行其他操作。 本地信号可以包括例如地理围栏交叉点等位置信息; 报警设置; 使用网络连接,如 Wi-Fi、蜂窝和蓝牙®; 设备状态,例如电池电量、充电状态和锁屏状态; 指示设备用户可能正在驾驶、步行、跑步或静止的设备移动; 音频路由,例如正在使用的耳机; 来自其他设备的遥测数据; 和应用程序状态,包括启动和应用程序内活动。 支持反馈循环,其中机器学习系统可以利用来自用户的反馈作为学习过程的一部分来调整和调整系统的预测以提高预测的相关性。</t>
  </si>
  <si>
    <t>使用移动设备的行为识别和自动化</t>
  </si>
  <si>
    <t>CN204709748U</t>
  </si>
  <si>
    <t>本实用新型提供一种基于图像识别全向移动的足篮球辅助训练机器人，设有驱动底盘与摄像头组，所述驱动底盘包括底架以及在底架上呈水平向辐射状等间隔布置的四个步进电机，所述四个步进电机的输出轴朝外并各连接一个双排万向轮；所述摄像头组包括顶架以及在顶架上呈水平向辐射状等间隔布置的至少四个摄像头，所述顶架再通过连杆固定在所述底架上；所述四个步进电机以及所述至少四个摄像头均电连接到同一个控制芯片。</t>
  </si>
  <si>
    <t>基于图像识别全向移动的足篮球辅助训练机器人</t>
  </si>
  <si>
    <t>CN106310630B</t>
  </si>
  <si>
    <t>本发明提供一种基于图像识别全向移动的足篮球辅助训练机器人，设有驱动底盘与摄像头组，所述驱动底盘包括底架以及在底架上呈水平向辐射状等间隔布置的四个步进电机，所述四个步进电机的输出轴朝外并各连接一个双排万向轮；所述摄像头组包括顶架以及在顶架上呈水平向辐射状等间隔布置的至少四个摄像头，所述顶架再通过连杆固定在所述底架上；所述四个步进电机以及所述至少四个摄像头均电连接到同一个控制芯片。</t>
  </si>
  <si>
    <t>CN204984167U</t>
  </si>
  <si>
    <t>本实用新型公开一种高强度智能防盗门，包括：门框、门体以及门锁，其特征在于：所述的门框周边设有连接叉，门框通过该连接叉与墙体整体浇筑固定安装；在所述的门体采用加厚的防爆材料整体压制而成，在门体上设有监控装置以及自动报警系统，该监控装置以及自动报警系统通过物联网与客户端连接通信，所述的门锁为电子门锁，该电子门锁通过IP根据码授权开启。本实用新型采用门框与墙体整体浇筑固定成型，通过物联网控制门锁的开闭，并实现自动监控感应防盗门内外情况的结构形式，实现了高强度与智能化相结合的目的，防盗门与智能家居中的物联网联合成一体，便于使用者对家居的整体操控，从而提高了家居的防盗功能。</t>
  </si>
  <si>
    <t>CN303542147S</t>
  </si>
  <si>
    <t>1．本外观设计产品的名称：带图形用户界面的显示设备。2．本外观设计产品的用途：本外观设计产品用于动作模仿学习。3．本外观设计产品的设计要点：在于屏幕中的图形用户界面内容。4．最能表明本外观设计设计要点的图片或照片：主视图。5．省略视图：后视图、俯视图、仰视图为非常见部位，省略后视图、俯视图、仰视图。6．通过将显示设备的显示器二分屏，分别展示动作教学视频（如健身健美操、广场舞、工间操、舞蹈）和摄像头实时摄录学习者模仿学习的视频，让学习者能对照动作教学视频进行实时模仿学习和纠正错误动作。主视图界面进行人机交互后显示界面状态变化图，界面状态变化图详情参见界面变化状态参考图1及界面变化状态参考图2。</t>
  </si>
  <si>
    <t>带图形用户界面的显示设备</t>
  </si>
  <si>
    <t>CN104881832B</t>
  </si>
  <si>
    <t>本发明是一种基于移动物联网的信鸽竞翔智能报到系统及方法，是一种集信鸽活动多种功能指令和控制于一体，聚合定制嵌入式操作系统，构成中心终端—用户终端—集鸽器—用户终端—中心终端之间紧密联系、自治互联、协同感知的移动物联网自组织一体化平台。本发明以信鸽竞翔比赛和家庭训放全过程的赛事项目上传、下载、赛鸽报名、电子环号码确认验证与改写和并生成比赛动态ID号码、数据信息上传、下载、赛鸽归巢报到、成绩计算、名次排列、统计、实时发布成绩和短信通知为主线，通过集鸽器在集鸽现场对参赛信鸽佩戴的原电子标签读取后进行自动改写，生成新的比赛动态ID号并上传到中心数据交互平台和中心终端子系统数据库，防止了通过复制电子标签进行比赛作弊的行为。</t>
  </si>
  <si>
    <t>基于移动物联网的信鸽竞翔智能报到系统及方法</t>
  </si>
  <si>
    <t>KR102353231B1</t>
  </si>
  <si>
    <t>根据本发明的实施例,根据本发明实施例的显示单元获得显示单元、连接到显示单元的至少一个飞行单元、用于获得关于显示器当前位置的信息的位置信息接收器设备和用户信息自动控制显示设备飞行的传感器单元,自动控制显示设备飞行的飞行控制单元,获取显示设备姿态信息的姿态信息获取单元,主控制器控制每个组件的整体操作,以及改变显示设备或显示单元角度的姿势补偿单元、振动系统单元和显示设备包括识别用户语音并提供接收信息的语音识别单元主控单元,接收输入信息并将信息提供给主控单元的通信模块,以及输入到通信模块的信息。飞行单元、连接显示单元的关节机构以及连接显示单元和显示装置的连接单元。</t>
  </si>
  <si>
    <t>飞行指示器</t>
  </si>
  <si>
    <t>CN104751564A</t>
  </si>
  <si>
    <t>本发明提出了一种基于语义理解和回答集编程的服务机器人自主售货方法，主要包括，第一，基于机器学习的grounding技术。Grounding问题在学术用词上简单概括为机器人怎么把用户的语言对应到真实环境。具体方法分为三步：第一步就是语言的语义解析，技术要点是对数线性模型和PCCG结合。第二步就是环境的获取，技术要点是linemod物体识别和空间关系的计算。第三步就是将这前两步的结果结合利用lambda规则运算得出最终用户语言所指的商品。第二，物体操作任务规划。以前的规划技术大部分使用的是语言处理生成的语言学知识库，这样当处理不同环境设置的情况下会减弱规划的能力。所以这部分技术方案将会引入grounding结果中的环境状态，同时采用ASP推理机制计算得出行动系列。</t>
  </si>
  <si>
    <t>基于语义理解和回答集编程的服务机器人自主售货方法</t>
  </si>
  <si>
    <t>JP6553918B2</t>
  </si>
  <si>
    <t>本发明提供了一种卡拉OK系统等,当他们以比赛形式享受卡拉OK演唱时,允许多个用户根据基于歌唱结果的评分结果公平地比赛。 
  卡拉OK系统10具有用于通过使用每个用户在卡拉OK比赛期间的评分结果和所选歌曲的过去评分历史来推荐具有统一歌唱水平的歌曲的配置。 特别地,当卡拉OK对战模式开始时,卡拉OK系统10识别首先要演唱的第一首歌曲,并且在每次顺序进行时对用于推荐歌曲提取过程的参考歌曲的所有用户的评分结果进行平均。在修正分数的同时,它具有用于指定在基于第一首歌曲的卡拉OK战斗的战斗模式期间为每个用户推荐的歌曲的配置。 
  【选型图】图1</t>
  </si>
  <si>
    <t>音乐推荐系统及程序</t>
  </si>
  <si>
    <t>US10572735B2</t>
  </si>
  <si>
    <t>CN104866860A</t>
  </si>
  <si>
    <t>本发明公开了一种室内人体行为识别方法，该方法包括以下步骤：基于Kinect设备获取人体三维骨架信息；提取出每个视频集中的三维骨架特征；训练三维骨架特征，对特征进行描述，其中训练步骤为先对特征在线字典学习，然后进行稀疏主成分分析，最后用多任务大边界最近邻算法与线性支持向量机进行分类得到训练特征集；提取测试视频的三维骨架特征；使用多任务大边界最近邻算法和线性支持向量机进行分类得到特征描述，将训练特征集与测试特征以打分机制做出最佳判决。本发明在智能视频监控，病人监护系统，人机交互，虚拟现实，智能家居，智能安防和运动员辅助训练中具有广泛的应用前景，具有较强的可行性和社会经济效益。</t>
  </si>
  <si>
    <t>一种室内人体行为识别方法</t>
  </si>
  <si>
    <t>CN104598880A</t>
  </si>
  <si>
    <t>本发明采用模糊支持向量机实现对人体各种行为(包括正常的行为，比如站立、走、跑步、上下楼梯以及异常行为，比如跌倒等)的识别，主要用于消除样本点中孤立点和噪声点对分类效果的影响，提高对行为识别的精确率。本发明实现对行为识别的主要内容有：其一，采用三轴加速度计实现对行为数据的采集，获得X轴加速度、Y轴加速度、Z轴加速度。采用合成加速度提取特征值，分别提取合成加速度的均值、方差、能量以及三维数据中任意两维之间的关联系数，获得一个六维的特征向量。其二，计算每一个样本点对所属类别的隶属度。其三，采用模糊支持向量机实现分类模型的构造。其四，在线阶段实现对人体行为的识别。</t>
  </si>
  <si>
    <t>一种基于模糊支持向量机的行为识别方法</t>
  </si>
  <si>
    <t>CN204425409U</t>
  </si>
  <si>
    <t>本实用新型公开了一种基于物联网与云计算的健身数据监管系统，它是由健身数据监管中心和多个健身监测器组成，所述的健身数据监管中心包括无线网关、云服务器、健身指导与服务器和健身数据库组成，所述的健身监测器包括无线通信模块、运动状态监测器、能量消耗监测器、健身指导器、读卡器、运动器材调控器和微处理器。本实用新型具有结构简单、智能化、数字化、人性化、安全可靠等特点，能实时的了解到运动者的运动状况、能量消耗情况；同时，能通过云计算平台，将收集到的海量信息进行计算与处理，从而给每个健身者提出，具有针对性、个性化、科学化的健身指导意见。</t>
  </si>
  <si>
    <t>CN205031841U</t>
  </si>
  <si>
    <t>本实用新型公开了一种基于物联网智能控制及监测的电动摇摆健身器，包括含摇摆振动系统的电动摇摆健身器提供运动数据、健身器物联网智能装置监测运动数据、云端服务器分析计算数据、手机App实时展现运动效果及远程无线控制开关机，所述的健身器物联网智能装置的结构是，由市电电源供电，通过电子陀螺仪模块采集运动数据，中央处理模块将数据转换成数字信号，再由WiFi模块发送到云端服务器；健身器云端服务器内有自编的云计算程序，运算出健身指标，展现在安卓或苹果两个系统版本的手机App上，并远程无线控制开关机；实现了电动摇摆健身器运动数据智能监测采集，健身效果科学评估、实时传送到手机App上并无线控制开关机的功能。</t>
  </si>
  <si>
    <t>一种基于物联网智能控制及监测的电动摇摆健身器</t>
  </si>
  <si>
    <t>CN104606847B</t>
  </si>
  <si>
    <t>本发明公开了一种基于物联网智能控制及监测的电动摇摆健身器，包括含摇摆振动系统的电动摇摆健身器提供运动数据、健身器物联网智能装置监测运动数据、云端服务器分析计算数据、手机App实时展现运动效果及远程无线控制开关机，所述的健身器物联网智能装置的结构是，由市电电源供电，通过电子陀螺仪模块采集运动数据，中央处理模块将数据转换成数字信号，再由WiFi模块发送到云端服务器；健身器云端服务器内有自编的云计算程序，运算出各种运动健身指标，展现在安卓或苹果两个系统版本的手机App上，并远程无线控制开关机；本发明实现了电动摇摆健身器运动数据智能监测采集，健身效果科学评估、实时传送到使用者手机App上并无线控制开关机的功能。</t>
  </si>
  <si>
    <t>CN204539206U</t>
  </si>
  <si>
    <t>本实用新型公开了一种基于物联网的智能数字跑步机，它是由智能跑步机和运动监控器组成，所述的智能跑步机包括无线通信模块、微处理器、压力传感器、心率传感器、能耗传感器、红外安全传感器、升降机和驱动电机，所述的运动监控器包括无线网关、智能监控器和RFID读写器。该基于物联网的智能数字跑步机，具有结构简单、智能化、人性化、科学化等优点，操作方便、功能多样、交互性好、安全可靠，能够随时全面地监控健身者的运动信息，能给健身者提供一个智能化、人性化、安全舒适的健身。</t>
  </si>
  <si>
    <t>基于物联网的智能数字跑步机</t>
  </si>
  <si>
    <t>CN303422310S</t>
  </si>
  <si>
    <t>1．本外观设计产品的名称：带有图形用户界面的可穿戴设备。2．本外观设计产品的用途：用作可穿戴设备，所述可穿戴设备用于运行程序和/或通讯。3．本外观设计的设计要点：显示屏上显示的图形用户界面。4．图形用户界面的用途：可以通过与显示屏的接触和/或操作所述可穿戴设备来实现图形用户界面的人机交互；图形用户界面可以用于指示体育锻炼、健身和/或健康指标，从而实现产品功能。5．最能表明设计要点的图片或者照片：图形用户界面放大图。6．所显示的图形用户界面还可以用于计算机、平板电脑或手机等。</t>
  </si>
  <si>
    <t>带有图形用户界面的可穿戴设备</t>
  </si>
  <si>
    <t>CN303437236S</t>
  </si>
  <si>
    <t>1、本外观设计产品的名称为“带有图形用户界面的可穿戴设备”。2、本外观设计产品用作可穿戴设备，可穿戴设备可以是例如配饰、手表、珠宝或者电子装置，并且可以用于运行程序和/或通讯。3、本外观设计的设计要点在于产品显示屏上显示的图形用户界面。4、图形用户界面用于人机交互和实现可穿戴设备的功能，比如通过触摸屏幕上的图形用户界面或者通过操作设备触发图形用户界面来启动健身应用软件。5、指定主视图中的界面放大图用于出版专利公报。6、图形用户界面也可以用在计算机、平板电脑、手机等上。</t>
  </si>
  <si>
    <t>CN303422314S</t>
  </si>
  <si>
    <t>1、本外观设计产品的名称为“带有图形用户界面的可穿戴设备”。2、本外观设计产品用作可穿戴设备，可穿戴设备可以是例如配饰、手表、珠宝或者电子装置，并且可以用于运行程序和/或通讯。3、本外观设计的设计要点在于产品显示屏上显示的图形用户界面。4、图形用户界面用于人机交互和实现可穿戴设备的功能，比如当人们达成了运动、健身或者健康的目标时，该图形用户界面进行显示和提示。5、指定主视图中的界面放大图用于出版专利公报。6、图形用户界面也可以用在计算机、平板电脑、手机等上。</t>
  </si>
  <si>
    <t>CN303422313S</t>
  </si>
  <si>
    <t>CN303561514S</t>
  </si>
  <si>
    <t>1．本外观设计产品的名称：带有图形用户界面的可穿戴设备。2．本外观设计产品的用途：用作可穿戴设备例，所述可穿戴设备用于运行程序和/或通讯。3．本外观设计的设计要点：显示屏上显示的图形用户界面。4.图形用户界面的用途：可以通过与显示屏的接触和/或操作所述可穿戴设备来实现图形用户界面的人机交互；图形用户界面可以用于指示体育锻炼、健身和/或健康指标，从而实现产品功能。5．最能表明设计要点的图片或者照片：图形用户界面放大图。6.所显示的图形用户界面还可以用于计算机、平板电脑或手机等。</t>
  </si>
  <si>
    <t>CN303437234S</t>
  </si>
  <si>
    <t>1．本外观设计产品的名称：带有图形用户界面的可穿戴设备。2．本外观设计产品的用途：用作可穿戴设备，所述可穿戴设备用于运行程序和/或通讯。3．本外观设计的设计要点：显示屏上显示的图形用户界面。4.图形用户界面的用途：可以通过与显示屏的接触和/或操作所述可穿戴设备来实现图形用户界面的人机交互；图形用户界面可以用于指示体育锻炼、健身和/或健康指标，从而实现产品功能。5．最能表明设计要点的图片或者照片：设计1图形用户界面放大图。6.基本设计：设计1。7.所显示的图形用户界面还可以用于计算机、平板电脑或手机等。8.请求保护设计1的图形用户界面的色彩，尤其是差异化色调。</t>
  </si>
  <si>
    <t>US9508012B2</t>
  </si>
  <si>
    <t>提取装置包括执行程序的处理器。 该过程包括将与通过从运动收集声音而获得的音频数据的时段相对应的体育比赛的部分或全部捕获图像识别为包括体育比赛中感兴趣的场景的视频数据部分。 游戏表现出相对响亮的声音,或音频数据表现出比特定响度更大的声音的时段。</t>
  </si>
  <si>
    <t>提取方法及装置</t>
  </si>
  <si>
    <t>EP2921973A1</t>
  </si>
  <si>
    <t>CN104656902A</t>
  </si>
  <si>
    <t>本发明公开了基于Android的视觉处理人机交互投影方法，包含以下顺序的步骤：Android设备通过HDMI接口接入投影仪，投影仪实时高清地将Android界面投影到平面上；基于嵌入式的视觉处理设备实时采集手指在屏幕上的图像，找出亮斑轮廓；经过滤波获得有效操作的手指坐标；基于嵌入式的视觉处理设备通过USB接口接入Android设备；USB响应函数实时处理基于嵌入式的视觉处理设备获得的手指坐标，从而实时操纵Android设备的操作界面。本发明的方法及系统，具有脱离主机端操作、轻便、操作自由、实体操作感强等优点。</t>
  </si>
  <si>
    <t>基于Android的视觉处理人机交互投影方法及系统</t>
  </si>
  <si>
    <t>CN204515685U</t>
  </si>
  <si>
    <t>本实用新型公开了基于Android的视觉处理人机交互投影系统，包括安卓设备、微控制器、投影仪、安装有红外滤光片的摄像头，以及红外激光管，其中安卓设备分别与微控制器、投影仪相连，微控制器与安装有红外滤光片的摄像头相连，红外激光管设置在投影仪投影的预定区域侧边。本实用新型的投影系统，具有脱离主机端操作、轻便、操作自由、实体操作感强等优点。</t>
  </si>
  <si>
    <t>基于Android的视觉处理人机交互投影系统</t>
  </si>
  <si>
    <t>DE102015002367A1</t>
  </si>
  <si>
    <t>本发明涉及一种用于负载保护、控制、模拟的方法、设备,用于数据、能源的安全传输,用于自给自足的系统、网络、电信、能源供应、对等网络、物联网、Web 4.0 , 工业 4.0, Cyber​​-Physical 设备, 高性能计算, 云计算, 移动性 B.车辆、游泳设备、飞行器、无人机、发射服务器和/或发射网络中要传输的数据、能量产生至少一个虚拟机(VM)和/或虚拟网络(VN),在一组静态规则、动态参数、概率、排名、交易即z。 B.在VM和/或VN执行后停止、控制、中止或继续发送直到从目标系统接收到数据、电源,在执行本地动作之后,VM和/或VN然后删除自己和/或不进行进一步处理,特别是独立删除。 控制通过群体智能、自给自足系统、仿生集成分布功能、中介功能、模拟 (SI) 进行,例如 B. 防止通讯过载、通讯和能源供应中断。</t>
  </si>
  <si>
    <t>数据的安全传输和扩展,云和云计算中的过载保护控制</t>
  </si>
  <si>
    <t>CN104759088A</t>
  </si>
  <si>
    <t>运动员起动能力测试装置及测试方法。随着现代体育运动的发展和竞技水平的提高，时间因素越来越被教练员、运动员和体育科研工作者所关注，其中对反应速度的研究占据了重要位置。一种运动员起动能力测试装置，其组成包括：主机（1），所述的主机中装有输入电路（2），所述的输入电路连接单片机控制器(3)，所述的单片机控制器连接输出电路（4）和人机交互电路(5)，所述的主机中装有电源电路(6)。本发明用于运动员起动能力测试。</t>
  </si>
  <si>
    <t>运动员起动能力测试装置及测试方法</t>
  </si>
  <si>
    <t>US10129608B2</t>
  </si>
  <si>
    <t>提供了一种用于检测体育视频的视频精彩片段的解决方案。 体育视频的视频精彩片段是体育视频的一部分,表示在体育视频中捕获的语义上重要的事件。 评估与体育视频相关联的音频流,例如,音频流部分的响度和响度的长度。 基于音频流的评估选择体育视频的视频片段。 每个选择的视频片段代表体育视频的视频精彩片段候选。 经过训练的音频分类模型用于识别与每个选定视频片段相关的音频流中的语音模式。 基于识别的视频模式与一组期望的语音模式的比较,选择一个或多个视频片段作为体育视频的视频亮点。</t>
  </si>
  <si>
    <t>JP6346106B2</t>
  </si>
  <si>
    <t>提供了得分控制面板,允许玩家在不将视线从游戏上移开而不给玩家施加负担的情况下操作记分牌的显示内容。 
  根据本发明的得分控制面板,当检测到与语音识别装置识别的词匹配的登记命令时,发出指令电文,用于根据与检测到的词匹配的登记命令改变显示内容,创建并输出。 因此,裁判员可以通过自己佩戴的语音输入/输出设备输入免提语音来操作记分牌的显示,因此他们可以将视线从比赛中移开,而不会给参赛者带来负担。无需任何操作即可操作记分牌的显示内容。 
  【选型图】图1</t>
  </si>
  <si>
    <t>记分牌语音操作系统、记分牌操作面板及记分牌语音操作方法</t>
  </si>
  <si>
    <t>CN105983203A</t>
  </si>
  <si>
    <t>本发明涉及一种基于物联网的视频与跑步机联动系统，包括：跑步机主体、跑步机上控板、无线传输单元、APP应用和运动视频库；跑步机上控板安装在跑步机主体上，是跑步机的一部分；APP应用安装在平板电脑、智能手机或智能电视上；运动视频库存放在云端的。所述的无线传输单元与所述的跑步机上控板通过有线方式连接，与安装在平板电脑、智能手机或智能电视上的APP应用通过无线方式连接；APP应用通过互联网读取运动视频库的视频数据；启动跑步机和APP应用，APP应用读取跑步机的速度，根据跑步机当前的速度，控制运动视频在平板电脑、智能手机或智能电视上播放速度，实现视频与跑步机的联动，增加跑步机的娱乐性。</t>
  </si>
  <si>
    <t>一种基于物联网的视频与跑步机联动系统</t>
  </si>
  <si>
    <t>CN104754028A</t>
  </si>
  <si>
    <t>本发明公开了一种基于物联网的室内健身器材智能监测及手机App展示的系统和方法，包括物联网实施系统、健身器物联网智能盒、健身器云端服务器、手机马上运动App，所述的健身器物联网智能盒的结构是，由可充电锂电池供电，通过电子陀螺仪模块采集动能数据，中央处理模块转换成数字信号，WiFi模块发送到云端服务器，健身器云端服务器内有自编的云计算程序，通过接受来自智能盒的信号及来自使用者的身体参数，经过运算后由马上运动App展现健身效果；该App分安卓和苹果两个系统版本，实时展现运动数据及效果。本发明实现了室内健身器材运动数据智能监测采集、健身效果科学评估、实时传送到使用者手机App上的功能。</t>
  </si>
  <si>
    <t>基于物联网的室内健身器材智能监测及手机App展示系统和方法</t>
  </si>
  <si>
    <t>CN104841116A</t>
  </si>
  <si>
    <t>本发明公开了具有物联网运动数据监测功能的智能骑马机健身器，包括基于物联网的骑马机运动数据监测和传送、基于互联网的数据和人体参数交互及云端服务器运算健身效果、手机App实时展现运动数据及趣味界面设计等的实施系统及方法、智能骑马机健身器工作原理。所述的健身器物联网智能装置的结构是，通过电子陀螺仪模块采集运动数据，中央处理模块将数据转换成数字信号，由WiFi模块发送到健身器云端服务器；云端服务器内有自编的云计算程序，根据接收的数据运算出多种健身效果，展现在安卓或苹果两个系统版本的手机App上；本发明实现了骑马机健身器运动数据智能采集、健身效果科学评估、实时显示在使用者手机App上的功能。</t>
  </si>
  <si>
    <t>具有物联网运动数据监测功能的智能骑马机健身器</t>
  </si>
  <si>
    <t>CN104732835B</t>
  </si>
  <si>
    <t>本发明提供了一种体育场智能缩微车辆教学装置，所述装置中：车体作为载体，视觉传感器、GPS和激光雷达用于信息采集和定位，动力、转向驱动系统用于执行主处理器的决策，反馈系统给主控制器反馈当前速度信息，人机交互系统用于实时在线监控和管理当前运行状态，电池组提供电源，通信设备用于监控和远程管理主控制器，紧急开关用于紧急制动和停车，主处理器用于信息融合、场景分析和图像处理并决策和控制转向、动力驱动系统，同时优先接受外部紧急停车指令。本发明利于无人驾驶车辆技术的教学探讨性研究，同时有利于素质体育机器人运动的全民推广，实现了教学和素质体育的融合。</t>
  </si>
  <si>
    <t>一种体育场智能缩微车辆教学装置</t>
  </si>
  <si>
    <t>CN204571374U</t>
  </si>
  <si>
    <t>本实用新型涉及一种健身器材与健身场所内由红外节电装置自动控制的独立供电点亮和场所外供电点亮照明的达到并超过《室外健身器材的安全通用要求》国家标准中规定的光照度值和满足百姓健身娱乐收听播音要求的语音系统，包括健身器材与健身场所内的红外节电开关、语音合成和语音识别播音机、音箱以及由红外节电装置控制的独立供电给照明和诱蚊器及监控装置的太阳能发电装置和场所外供电的市电配电装置，增强了健身的娱乐性、实效性，达到了节约电能的最佳效果。</t>
  </si>
  <si>
    <t>健身器材与健身场所的语音系统</t>
  </si>
  <si>
    <t>CN104652858A</t>
  </si>
  <si>
    <t>本发明涉及一种健身器材与健身场所内由红外节电装置自动控制的独立供电点亮和场所外供电点亮照明的达到并超过《室外健身器材的安全通用要求》国家标准中规定的光照度值和满足百姓健身娱乐收听播音要求的语音系统，包括健身器材与健身场所内的红外节电开关、语音合成和语音识别播音机、音箱以及由红外节电装置控制的独立供电给照明和诱蚊器及监控装置的太阳能发电装置和场所外供电的市电配电装置，增强了健身的娱乐性、实效性，达到了节约电能的最佳效果。</t>
  </si>
  <si>
    <t>CN204629220U</t>
  </si>
  <si>
    <t>一种健身场所太阳能语音照明装置，包括健身场所内的语音装置牌、逆变器、语音合成和语音识别播音机、红外节电开关、音箱、功耗小载流大的连接线缆、独立供电给照明和语音装置牌内部电器的太阳能发电装置和场所外供电给语音装置牌内部电器的太阳能发电装置及市电配电装置，便于根据健身场所健身器材安装环境、种类、数量及场所面积情况选择安装语音装置牌的数量和位置，有利于宣传文明健身和产品推广。</t>
  </si>
  <si>
    <t>健身场所太阳能语音照明装置</t>
  </si>
  <si>
    <t>CN104654129A</t>
  </si>
  <si>
    <t>本发明涉及一种健身场所内独立供电点亮照明的达到并超过《室外健身器材的安全通用要求》国家标准中规定的光照度值和满足百姓健身娱乐收听播音要求的语音照明装置，包括健身场所内的语音装置牌、逆变器、语音合成和语音识别播音机、红外节电开关、音箱、功耗小载流大的连接线缆、独立供电给照明和语音装置牌内部电器的太阳能发电装置和场所外供电给语音装置牌内部电器的太阳能发电装置及市电配电装置，便于根据健身场所健身器材安装环境、种类、数量及场所面积情况选择安装语音装置牌的数量和位置，有利于宣传文明健身和产品推广。</t>
  </si>
  <si>
    <t>CN204395316U</t>
  </si>
  <si>
    <t>一种背靠式健身车，包括车架（1）；与所述车架（1）连接的扶手（2）；连接在所述车架（1）上的蹬板（5）和飞轮（4）；安装在所述车架（1）上的磁控装置；连接在所述车架（1）上的坐凳（6）；人机交互控制系统（3），所述磁控装置设有调节器和磁铁组件，调节器用于调节磁铁组件与飞轮（4）之间的距离以实现飞轮（4）切割不同强度的磁场，从而调节控制运动强度；所述蹬板（5）与所述飞轮（4）传动连接；所述坐凳设有与所述车架（1）连接的水平移动和垂直升降机构；所述人机交互控制系统（3）包括工控机；与所述工控机连接的嵌入式处理器、检测模块和驱动模块；与所述嵌入式处理器连接的人机交互模块、RFID读写模块、存贮模块。</t>
  </si>
  <si>
    <t>背靠式健身车</t>
  </si>
  <si>
    <t>CN204395315U</t>
  </si>
  <si>
    <t>一种立式健身车，包括车架（1）；与所述车架（1）连接的扶手（2）、蹬板（5）和飞轮（4）；人机交互控制系统（3）；安装在所述车架（1）上的磁控装置；与所述车架（1）滑动连接的坐凳（6）；所述磁控装置设有调节器和磁铁组件，调节器用于调节磁铁组件与飞轮（4）之间的距离以实现飞轮（4）切割不同强度的磁场；所述蹬板（5）与所述飞轮（4）传动连接；所述坐凳设有与所述车架（1）连接的伸缩机构；所述人机交互控制系统（3）包括工控机；与所述工控机连接的嵌入式处理器、检测模块和驱动模块；与所述嵌入式处理器连接的人机交互模块、RFID读写模块、存贮模块。</t>
  </si>
  <si>
    <t>一种立式健身车</t>
  </si>
  <si>
    <t>CN204390486U</t>
  </si>
  <si>
    <t>本实用新型公开了一种基于物联网的体育场周边道路赛时交通智能管理系统，其包括云端服务器、远程控制终端、第一通讯模块、音箱、第二通讯模块、信号控制模块和交通信号灯组；信号控制模块上连接有石英晶体振荡器。其有益效果是，当体育场中有体育赛事进行的时候，交通管理部门可以通过远程控制终端来进行控制，并发送相应的控制信号。整个系统采用云端服务器可以将全市、全省乃至全国的交通管理全部集中到云端服务器当中来，让基于物联网的体育场周边道路赛时交通智能管理系统只是在赛时进行工作，当赛事结束即时间结束后，信号控制模块会及时调整控制模式，不影响非赛时的正常交通状况。</t>
  </si>
  <si>
    <t>基于物联网的体育场周边道路赛时交通智能管理系统</t>
  </si>
  <si>
    <t>CN104581079A</t>
  </si>
  <si>
    <t>本发明涉及一种辅助用户使用健身器材的装置和方法，所述装置包括，摄像模块、用户操作模块、多媒体输出模块和图像识别处理模块；所述图像识别和处理模块的输入端连接有摄像模块和用户操作模块，图像识别处理模块的输出端连接有多媒体输出模块；所述图像识别处理模块接收摄像模块采集的图像，并测量进行锻炼时人体关节形成的动作角度，进而对比所述动作角度与所述目标角度，最终判断用户锻炼动作是否达标，得到对比结果；所述显示屏显示所述摄像模块采集的图像、目标角度、动作角度，所述扬声器将所述对比结果反馈给用户，并引导用户进行动作调整。</t>
  </si>
  <si>
    <t>一种辅助用户使用健身器材的装置和方法</t>
  </si>
  <si>
    <t>CN104548557A</t>
  </si>
  <si>
    <t>本发明公开了一种篮球自动发球装置及自动发球方法，在篮球通道的篮球出口两端设置一对转轮，且该对转轮之间的距离略小于篮球直径，该对转轮分别由对应的第一电机控制。该对第一电机通过控制单元进行控制；人机交互单元设定多个发球档位，使用者在实际使用中根据需要的发球方向、发球类型，将上述需求输入人机交互单元中，从而控制单元能够根据使用者需求，控制该篮球自动发球装置的发球方向、发球速度。本发明能够模拟运动员的传球方式，可以很好的控制发球速度，飞行速度快，练球效率高。同时本发明还有投篮计数单元，能够有效地统计使用者的投篮数据，并通过触摸屏显示出来，使用者可以准确实时了解自己的投篮情况，从而进行有针对性的练习。</t>
  </si>
  <si>
    <t>一种篮球自动发球装置及自动发球方法</t>
  </si>
  <si>
    <t>EP3244713B1</t>
  </si>
  <si>
    <t>焊球信息记录部25设置在向元件安装机供给焊球的焊球供给器11的排球板16的上表面,焊球直径、焊球直径、 作为与配置在焊球配置板16上的焊球相关的信息的第一个拾取焊球的配置间距、配置数量、位置,以代码形式记录在焊球信息记录部25的上表面,例如 条形码或二维码。 焊球信息的读取和设置是通过使用设置在元件安装机上的标记成像用照相机23对焊球信息记录部分25成像并执行代码的图像识别来自动读取和设置的。</t>
  </si>
  <si>
    <t>锡球送料机锡球信息管理系统</t>
  </si>
  <si>
    <t>AT1366129T</t>
  </si>
  <si>
    <t>法律信息管理系统</t>
  </si>
  <si>
    <t>US9364714B2</t>
  </si>
  <si>
    <t>本文公开了用于通过利用一个或多个智能传感器来评估健身系统的用户的锻炼表现的技术和系统,所述智能传感器包括被配置为检测用户的图像数据的至少一个基于相机的传感器。 健身系统可以包括固定锻炼设备、存储关于用户的个人信息的存储器、以及至少部分地基于关于用户的个人信息生成一组锻炼规则的处理器。 健身系统还可以包括一个或多个传感器以监测用户的身体状态,以及模糊系统以至少部分地基于 i) 规则集和 ii) 来自 一个或多个传感器。 健身系统因此可以基于感测的数据提供关于用户的锻炼表现的实时、建设性的反馈。</t>
  </si>
  <si>
    <t>基于模糊逻辑的运动表现评价和反馈</t>
  </si>
  <si>
    <t>US9292935B2</t>
  </si>
  <si>
    <t>本文公开了用于通过利用一个或多个智能传感器评估用户的锻炼表现的技术和系统,包括至少一个被配置为检测用户的图像数据的基于相机的传感器。 至少一个基于相机的传感器可以安装在任何合适的结构上,包括固定锻炼设备。 包括基于相机的传感器的系统还可以包括存储在存储器中并且由一个或多个处理器执行以至少部分地基于检测到的图像数据来确定用户的锻炼表现状况的表现评估模块。 输出模块可以输出锻炼表现状况的评估或采取纠正措施的指令。 健身机因此可以基于感测数据并利用模糊逻辑和其他形式的智能软件提供关于用户锻炼表现的实时、建设性反馈。</t>
  </si>
  <si>
    <t>基于传感器的运动表现评估和反馈</t>
  </si>
  <si>
    <t>CN104585087B</t>
  </si>
  <si>
    <t>本发明公开了鱼类游泳运动多功能循环水槽，包括长方形的水槽本体，其中：水槽本体由分割层分隔为水道连通形成环路的上层水槽和下层水槽；下层水槽内设有螺旋桨；上层水槽中线附近设有将上层水槽分隔成恒断面水槽和变断面水槽楔形的分仓板；分仓板的楔形尖端附近设有前隔离网；前隔离网前端附近设有整流板；分仓板的楔形结构基部附近设有后隔离网；上层水槽的两侧设有观察窗口。水流在螺旋桨的推动下经过下层水槽，到达整流板后形成层流并在分仓板的作用下形成恒断面和变断面的两条隧道。试验是可通过观察窗口进行观察，也可以采用计算机视觉观察鱼的行为。因而本发明有可模拟不同断面流、直观可靠、层流稳定的优点。</t>
  </si>
  <si>
    <t>鱼类游泳运动多功能循环水槽</t>
  </si>
  <si>
    <t>WO2015108701A1</t>
  </si>
  <si>
    <t>基于模糊逻辑的运动表现评价与反馈</t>
  </si>
  <si>
    <t>WO2015108700A1</t>
  </si>
  <si>
    <t>本文公开了用于通过利用一个或多个智能传感器来评估用户的锻炼表现的技术和系统,所述智能传感器包括被配置为检测用户的图像数据的至少一个基于相机的传感器。 至少一个基于摄像机的传感器可以安装在任何合适的结构上,包括固定的锻炼装置。 包括基于相机的传感器的系统还可以包括存储在存储器中并且可由一个或多个处理器执行以至少部分地基于检测到的图像数据来确定用户的锻炼表现状况的表现评估模块。 输出模块可以输出对锻炼表现条件的评估或采取纠正措施的指令。 健身机由此可以基于感测的数据并利用模糊逻辑和其他形式的智能软件来提供关于用户锻炼表现的实时、建设性反馈。</t>
  </si>
  <si>
    <t>KR101692539B1</t>
  </si>
  <si>
    <t>本发明将行为经济学中的前景理论应用到游戏人工智能技术中,使非玩家角色(NPC:Non Player Characters,以下简称NPC)的决策和行为接近于人类实际的选择模式和行为模式。我们提供了一种基于前景理论的动态地形分析中人大决策建模方法 本发明基于前景理论的动态地形分析中的NPC决策建模方法进行应用前景理论的动态地形分析,通过基于前景理论的决策选择NPC的移动目标点算法。通过让NPC做出不同的决定,从而诱导出各种NPC行为,从而使游戏的立体化、智能化设计成为可能,增加游戏用户的沉浸感和游戏兴趣,尤其是在即时战略游戏中然而,它具有的技术特点可以有效地应用到体育游戏中,提高游戏的质量。</t>
  </si>
  <si>
    <t>基于前景理论的动态地形分析中的NPC决策建模方法</t>
  </si>
  <si>
    <t>RU2014152560A</t>
  </si>
  <si>
    <t>1. 一种确定农业技术技术设备人工智能水平的方法,包括根据图灵测试评估技术设备对专家提出的问题和从技术设备收到的答案的反应,其特征在于,人工智能基于两个独立组件进行评估,即使用示例性网络,根据二元三连杆分形原理连接的设备和训练器,根据该原理训练技术设备,同时创建系统用于确定农业技术技术设备的人工智能水平的参考问题,对参考问题进行评分,并且随着参考问题的复杂性的增加,参考问题的等级系统的水平会增加和评估技术人员的智能水平设备,他们检查技术设备对一系列参考问题的反应,选择一个答案选项, d具有延续性,为了继续研究,选择提供积极效果的选项,而技术装置通过的测试步骤越多,技术装置的人工智能水平越高。 2. 一种农用技术设备人工智能水平判定装置,包含网络机,其特征在于,所述装置包括测试装置、逻辑单元、智能水平评估单元,其特征在于,所述测试装置包括参考网络机器,教练,</t>
  </si>
  <si>
    <t>确定农业技术设备人工智能水平的方法和装置</t>
  </si>
  <si>
    <t>KR101709192B1</t>
  </si>
  <si>
    <t>本发明是一种健身管理系统,其通过健身区域中的AP(Access Point)形成网络,并通过健身管理应用在健身服务器和用户终端之间进行数据通信,其中NFC(Near Field Communication)设备健身管理应用是安装有守护程序的用户终端,其识别信标信号并控制NFC设备和健身管理应用是否被启动。 安装在健身区入口处的信标,定期播放信标信号; 健身区中安装的至少一个健身设备与每个NFC标签相结合,以恒定周期广播包含唯一代码的NFC信号;包括守护程序,在健身管理应用程序的非活动状态下识别信标信号当确定用户终端为进入用户终端的用户健身区域的进入信号,激活健身管理应用程序和处于非激活状态的NFC设备,从而进行服务器与用户终端之间的数据通信时,健身管理应用程序的激活状态 当在用户终端识别到信标信号时,确定为用户健身区的退出信号,将健身管理程序和处于激活状态的NFC设备停用,健身当向健身服务器发送的进入信号IoT,从健身服务器接收预设的锻炼计划信息,显示在用户终端的屏幕上,向健身服务器发送退出信号信息时,管理应用切换到激活状态在转换为非活动状态时停用之前它涉及基于(物联网)的健身管理系统。 根据本发明,向使用健身中心的用户提供健身使用历史和锻炼计划信息,从而可以有效地执行计划的锻炼和健身中心使用信息管理,并且健身中心也可供每个用户使用以及每个用户的健身使用信息,可以提供一种基于物联网(IoT)的健身管理系统,能够为用户规划和有效地管理锻炼日程。</t>
  </si>
  <si>
    <t>基于物联网的健身管理系统</t>
  </si>
  <si>
    <t>CN104463139B</t>
  </si>
  <si>
    <t>本发明涉及一种音频情感的驱动下的体育视频精彩事件检测方法。本发明方法充分利用视频文件中的音频信息，首先利用两阶段的音频情感感知技术感知出音频中的高层情感语义；在第一阶段中构建了基于分层二叉树支持向量机的音频分类器，从底层音频特征中识别出中层情感类型；第二阶段中利用音频情感映射技术从中层音频类型中映射得到高层情感语义类型，得到高层情感语义后顺利挖掘到音频流中的高层情感语义波动序列；最终在音频情感波动序列的基础上结合静音以及激动情感语义定位出精彩事件。本发明的方法简单，利用音频情感从语义上驱动体育视频精彩事件的检测，所提取的体育视频精彩事件对于用户而言更加精彩更加有效。</t>
  </si>
  <si>
    <t>一种音频情感驱动下的体育视频精彩事件提取方法</t>
  </si>
  <si>
    <t>CN104524747B</t>
  </si>
  <si>
    <t>本发明涉及一种基于物联网和人工智能的智能游泳系统，该基于物联网和人工智能的智能游泳系统通过智能游泳手环和智能监控救生系统可预防溺水事故发生，且便于定位和施救，通过游泳者佩戴的智能游泳手环、智能监控救生系统、云平台及移动客户端的相互通信，从而能够实现针对不同游泳者制定对应的锻炼计划。</t>
  </si>
  <si>
    <t>基于物联网和人工智能的智能游泳系统</t>
  </si>
  <si>
    <t>CN105760807A</t>
  </si>
  <si>
    <t>本发明提供一种体育精彩赛事提醒装置及方法，适用于连接一电视机观看体育赛事，该装置包括视频获取模块、图像识别模块以及提醒模块，视频获取模块同步获取该电视机播放的视频画面并保存视频素材；图像识别模块对该视频素材的视频流和音频流进行语义分析，分析判断该视频画面是否为用户喜爱的精彩镜头，若是，该图像识别模块发送一提醒信号；该提醒模块收到该提醒信号后，监测用户的心率，判断该用户是否处于睡眠状态，若是，该提醒模块发出提醒信息。</t>
  </si>
  <si>
    <t>体育赛事精彩赛事提醒装置及方法</t>
  </si>
  <si>
    <t>ES2728871T3</t>
  </si>
  <si>
    <t>自动语音识别方法,该方法包括以下步骤: 
  接收语音信号 (10, 30), 
  将语音信号划分为时间窗口, 
  对于每个时间窗口; 
  确定该窗口内语音信号的声学参数(31至36),并从声学参数中识别语音特征(51),从而为语音信号生成语音特征序列, 
  通过确定音韵特征序列中每个时间点的不稳定性分数,将音韵特征序列分成区域序列(13); 
  通过比较在一个时间点提取的特征与在该时间点之前的时间点提取的特征来确定抖动分数,返回到可配置的毫秒数; 将不稳定分数与不稳定阈值和最小稳定区长度进行比较,以识别稳定区和不稳定区,其中不稳定区位于稳定区之间 (65); 以及将区域序列与包含存储字典中的语音片段序列的词汇条目进行比较,以识别语音信号中的一个或多个单词(14、15、16); 其中对于一个词汇条目,它包括一个单词的语音段描述; 将稳定区域与词汇条目的语音片段匹配,并且对于每个稳定区域,根据词汇条目的匹配语音片段中存在的语音特征确定每个语音特征的惩罚; 是 
  对于不稳定区域中的每个语音特征,根据与不稳定区域每一侧的稳定区域对齐的词汇条目的成对语音片段中存在的语音特征,确定不稳定区域惩罚,其中选择最低的不稳定区罚分来贡献匹配分数; 是 
  根据确定的处罚计算比赛得分。</t>
  </si>
  <si>
    <t>自动语音识别的方法和装置</t>
  </si>
  <si>
    <t>CN204331847U</t>
  </si>
  <si>
    <t>本实用新型公开了一种基于物联网的游泳场馆运动成绩计时系统，包括具有唯一标识符的射频标签模块；安放在泳道两端的信息采集模块，每个信息采集模块通过第一射频阅读器从游泳者穿戴的射频标签模块读取唯一标识符；通过第一通信子模块把读到的射频标签模块的唯一标识符传送给服务器；以及成绩查询模块和成绩显示屏。本实用新型通过在泳道两端设置信息采集模块，利用第一射频阅读器获取游泳者穿戴的射频标签模块的标识符，通过服务器统一记录射频标签模块对应的游泳成绩，可以同时记录游泳场馆中所有游泳者的成绩；人均使用成本几乎可以忽略不计，计时精度可以达到0.01s内，从而能够很好地满足室内外各种游泳场馆的计时需求。</t>
  </si>
  <si>
    <t>基于物联网的游泳场馆运动成绩计时系统</t>
  </si>
  <si>
    <t>CN104408787B</t>
  </si>
  <si>
    <t>本发明公开了一种基于物联网的游泳场馆运动成绩计时系统及计时方法，包括具有唯一标识符的射频标签模块；安放在泳道两端的信息采集模块，每个信息采集模块通过第一射频阅读器从游泳者穿戴的射频标签模块读取唯一标识符；通过第一通信子模块把读到的射频标签模块的唯一标识符传送给服务器；以及成绩查询模块和成绩显示屏。本发明通过在泳道两端设置信息采集模块，利用第一射频阅读器获取游泳者穿戴的射频标签模块的标识符，通过服务器统一记录射频标签模块对应的游泳成绩，可以同时记录游泳场馆中所有游泳者的成绩；人均使用成本几乎可以忽略不计，计时精度可以达到0.01s内，从而能够很好地满足室内外各种游泳场馆的计时需求。</t>
  </si>
  <si>
    <t>CN204288576U</t>
  </si>
  <si>
    <t>本实用新型涉及一种中文习字模板笔。所述的基座内设有一对导轨，所述的辅基座固定于一对导轨上；行进主轴固定于辅基座固定片上；所述的辅基座上设有行进辅轴，行进辅轴上固定有回转底盘，回转底盘内扣回转盘；所述的回转盘上固定有提升基座；所述的臂固定板固定于提升轨上；所述的悬臂一端焊接于臂固定板上，另一端固定有铰链，所述的铰链与握持器相铰接。本实用新型摈弃了传统字帖练字的方法，采用传统的老师手把手的模式教习练字，达到了身临其境的体验；设计机构中采用了多个灵活的回转机构，使得在教习练字过程中，可以分部到每一笔每一画的细节，全设备采用人工智能控制，可以根据定制的系统，模拟出各种样式的不同字体进行教练。</t>
  </si>
  <si>
    <t>一种中文习字模板笔</t>
  </si>
  <si>
    <t>KR102068367B1</t>
  </si>
  <si>
    <t>一种用于物联网数据报传输中轻量级身份验证的计算机实现系统和方法提供了一种基于共享预共享秘密的两个端点之间的质询-响应交换的稳健身份验证方案。 在本发明中使用了一种集成了认证和密钥管理的基于对称密钥的安全机制。 这提供了相互认证,其特征在于在准备阶段向系统的端点提供预先共享的秘密,并且在服务器端提供客户端数据库用于客户端识别。 该系统包括用于生成随机数的随机数生成器和用于生成秘密密钥和会话密钥的密钥生成器。 随机数和密钥仅在会话期间有效,因此有助于提供跨会话的安全身份验证。 
  该系统还可以适应传输层协议,例如 DTLS,并集成到应用层协议中,例如受限设备的 CoAP。</t>
  </si>
  <si>
    <t>物联网数据报传输中轻量级认证的计算机实现系统和方法</t>
  </si>
  <si>
    <t>CN104468762A</t>
  </si>
  <si>
    <t>本装置提供应用智能网络终端寓锻炼于娱乐中的物联网装置 ， 归属于电子学、无线通讯等领域，包括跑步机，心率计以及血压仪模块、智能电视机或智能机顶盒模块、互联网模块。本装置主要功能在于将跑步机，心率计以及血压仪等，与智能电视机或智能机顶盒相连接，再通过互联网与网络中的相同用户互联，大家举行跑步比赛，通过心率血压，及跑步的快慢在一定的时间内，进行竞赛。各种数据通过无线网络传递互相共享，在电视机屏幕上呈现出来。电视机可将跑步机上的人的形象，以本人相近的动态，呈现在马路上或田野边，增加锻炼的趣味性。</t>
  </si>
  <si>
    <t>应用智能网络终端寓锻炼于娱乐中的物联网装置</t>
  </si>
  <si>
    <t>EP3084729A4</t>
  </si>
  <si>
    <t>WO2015088795A1</t>
  </si>
  <si>
    <t>CN204244279U</t>
  </si>
  <si>
    <t>本实用新型涉及一种应用智能网络终端寓锻炼于娱乐中的物联网装置 ， 归属于电子学、无线通讯等领域，包括跑步机，心率计以及血压仪模块、智能电视机或智能机顶盒模块、互联网模块。本装置主要功能在于将跑步机，心率计以及血压仪等，与智能电视机或智能机顶盒相连接，再通过互联网与网络中的相同用户互联，大家举行跑步比赛，通过心率血压，及跑步的快慢在一定的时间内，进行竞赛。各种数据通过无线网络传递互相共享，在电视机屏幕上呈现出来。电视机可将跑步机上的人的形象，以本人相近的动态，呈现在马路上或田野边，增加锻炼的趣味性。</t>
  </si>
  <si>
    <t>JP6465889B2</t>
  </si>
  <si>
    <t>提供了用于在计时体育赛事期间识别和计时运动员的系统和方法。 使用图像识别技术对运动员进行计时,其中在体育赛事期间由摄像机(106a、106b或106c)捕获的运动员的一个或多个图像被捕获。时间戳以生成运动员的完成时间。 通过将在体育赛事期间获得的图像之一与运动员的个人资料图像进行比较来识别运动员。 
  【选型图】图2</t>
  </si>
  <si>
    <t>AU2014364248B2</t>
  </si>
  <si>
    <t>US10489655B2</t>
  </si>
  <si>
    <t>一种用于在计时体育赛事期间识别和计时运动员的系统和方法。 使用图像识别技术对运动员进行计时,其中在体育赛事期间由摄像机拍摄的运动员的一张或多张图像( 106 a, 106 b , 或者 106 c ) 带有时间戳,以便为运动员生成完成时间。 通过将在体育赛事期间拍摄的图像之一与运动员的个人资料图像进行比较来识别运动员。</t>
  </si>
  <si>
    <t>CA2933183C</t>
  </si>
  <si>
    <t>一种用于在计时体育赛事期间识别和计时运动员的系统和方法。 使用图像识别技术为运动员计时,其中在体育赛事期间由相机(106a、106b或106c)拍摄的一张或多张运动员图像被加盖时间戳以生成运动员的完成时间。 通过将在体育赛事期间拍摄的图像之一与运动员的个人资料图像进行比较来识别运动员。</t>
  </si>
  <si>
    <t>DE202014011537U1</t>
  </si>
  <si>
    <t>一种用于在运动员参加的计时体育赛事期间识别和计时运动员的系统,该系统包括: 
  摄像机(106),被配置为在运动员穿过照相区(118)时捕捉运动员的视频剪辑; 
  比赛计时器(120),被配置为由计时公司操作,为体育赛事计时; 
  用于存储图像的媒体数据库(104); 和 
  处理器(102),被配置为: 
  在体育赛事开始之前拍摄的赛前图像(110),以及 
  存储在媒体数据库中的运动员在体育赛事期间穿着比赛日服装的图像; 
  其中处理器(102)使用图像识别技术将事件(110)之前的图像与包含运动员比赛日服装的图像进行比较以确定匹配,处理器还被配置为: 
  将运动员的姓名和年龄与体育赛事期间拍摄的图像相关联; 和 
  将目标时间与运动员相关联。</t>
  </si>
  <si>
    <t>用于测量时间和拍摄事件的系统</t>
  </si>
  <si>
    <t>CN204242094U</t>
  </si>
  <si>
    <t>本装置提供应用智能网络终端通过立体视觉及振子实现的虚拟游戏装置 ， 包括乒乓球拍和LED发光模块、振子模块、摄像头模块、立体视觉模块、音响模块。本装置主要功能在于通过在客户端放置两个摄像头模块，乒乓球拍上放置两个led发光模块，通过空间计算机视觉技术对球拍的位置及球拍面的朝向进行识别，游戏的一端通过立体视觉呈送给另一个，通过计算空间乒乓球的位置，如果和乒乓球拍相撞。乒乓球拍上安装的振子模块将会产生一种震动的手感，同时音响装置模块发出音响，根据乒乓球速度和角度落到桌面上也会发出同样的声音，这样可以形成双人比赛的真实场景。</t>
  </si>
  <si>
    <t>应用智能网络终端通过立体视觉及振子实现的虚拟游戏装置</t>
  </si>
  <si>
    <t>CN104460994A</t>
  </si>
  <si>
    <t>CN105678732B</t>
  </si>
  <si>
    <t>本发明实施例公开了一种点球、角球和任意球关键帧的检测方法和装置，涉及计算机视觉领域，用以判断由连续N个中镜头图像帧组成的视频片段中发生的定位球事件的类型。在本发明实施例中，对于足球比赛直播中的任一中镜头图像帧，根据确定出的该中镜头图像帧中的足球场草坪区域和足球区域，确定该中镜头图像帧中的足球在足球场草坪区域中的位置信息和足球大小；当连续N个中镜头图像帧中足球在足球场草坪区域中的位置信息未发生变化时，根据在连续N个中镜头图像帧中足球在足球场草坪区域中的位置信息和/或足球大小，确定由连续N个中镜头图像帧组成的视频片段中发生的定位球事件的类型；从而实现了上述方案。</t>
  </si>
  <si>
    <t>一种点球、角球和任意球关键帧的检测方法和装置</t>
  </si>
  <si>
    <t>KR1020140139466A</t>
  </si>
  <si>
    <t>本发明在进行销售预测时,除了现有简单的统计和人工智能分析预测方法外,销售行业相关的新闻、天气、体育、搜索趋势、节假日、纪念日、收视率、经济指标、统计数据、SNS、发布公告板,抓取评论数据作为预测的附加属性数据,通过预处理创建数据集,通过选定的算法创建预测模型,计算出预测目标日期对应的销售预测值,并进行表格和图表以数字等形式提供销售预测信息,并通过让店长为影响销售的因素输入值来改进数据集和预测模型,例如反馈和事件、促销、周边事件和异常预测结果上的项目。它的特点是提高预测的准确性。</t>
  </si>
  <si>
    <t>基于数据爬取和管理者输入的销售预测自动化装置</t>
  </si>
  <si>
    <t>CN204255382U</t>
  </si>
  <si>
    <t>本实用新型公开了电子技术领域的一种多功能计步器，包括外壳、显示屏、按键开关组及设于外壳内部的处理器，显示屏位于外壳上表面中央，该显示屏用于显示根据输入的参数，所述处理器包括电源模块、MP3模块、FM模块、蓝牙模块、心率监测模块、人机交互模块、陀螺仪模块及实时时钟模块。与现有技术相比，本实用新型的计步器功能全面，可通过算法自学习人的步长，测算出跑步者运动消耗的能量，能够监测在不同状态下的心率，历史查询自动生成各种准确参数曲线，同时跑步者可边跑边听音乐，另外可通过蓝牙模块同步手机应用简化了计步器的设置同时方便了计步数据的管理与维护，实现长期的健康数据采集、管理、分析和指导服务。</t>
  </si>
  <si>
    <t>一种多功能计步器</t>
  </si>
  <si>
    <t>KR101610787B1</t>
  </si>
  <si>
    <t>本发明涉及戒指设计系统和方法,涉及支持用户对戒指口味选择操作的口味选择单元,以及通过包括基因选择、交配和变异过程的遗传算法在每一代中生成的戒指模型。包括根据客户偏好确定满意度并将其用作健身水平的遗传算法执行单元、根据遗传算法执行单元生成最终环组的环组生成单元以及存储有关信息的数据库最初的戒指模型。做。 根据本发明,由于使用遗传算法设计戒指,因此可以尽可能地反映用户的品味,提高戒指的多样性,并最大限度地减少设计和建模戒指的时间。 
  支持本发明的国家研发计划 
  作业识别号 
  H1807-14-1016 
  佛号 
  科学、信息通信技术和未来规划部 
  科研管理专业机构 
  国家信息产业振兴局 
  研究项目名称 
  启动首尔协议 
  研究项目名称 
  引领未来Softpia实现的骨干人才培养贡献率 
  1/1 
  主办单位 
  忠北大学 
  研究期 
  2012.07.01 ~ 2019.02.28</t>
  </si>
  <si>
    <t>环设计系统和方法</t>
  </si>
  <si>
    <t>KR1020160049111A</t>
  </si>
  <si>
    <t>本发明涉及一种击球训练机器人,特别是一种人体上半身形状的机器人,其头部和躯干由合成树脂制成,其上覆盖有弹性材料制成的保护材料。外部,以及一个击球机器人,其头部和躯干通过第一缓冲构件连接。 连杆单元,通过第二缓冲件连接到冲击单元的主体,并根据外部控制移动和旋转冲击单元; 移动单元,安装在连接单元的下表面,由外部控制移动; 安装在连杆单元一侧的力传感器,用于检测连杆单元在x和z方向上受到的力; 立体视觉传感器安装在链接单元上方并检测深度图像; 通过力传感器输入的信号检测撞击方向,通过立体视觉传感器输入的深度图像检测用户的位置和运动,每个关节的像素坐标值(x,y)和深度屏幕处理器用于提取用户使用图像的距离坐标(z)的值; 控制各部件,利用处理单元输入的数据,控制移动单元使用户与击打单元保持一定距离,对用户的运动状态进行分类,进而对用户的动作进行分类,再根据用户的动作进行击打。其特征在于,其由控制器组成,控制器控制连杆部和移动部做相应的动作,在移动移动部的同时控制连杆部调整击打部的高度。向冲击方向。 如上所述根据本发明,通过提供一种能够基于实时传感实现多运动和自主运动的智能训练程序,可以提高击球训练的效率和兴趣,通过引入智能机器人概念对于武术培训市场,不仅可以激发需要专业训练的运动员的兴趣,还可以激发缺乏训练集中度的青少年用户的兴趣,从而可以在增加普通大众对武术市场的参与度和兴趣方面发挥重要作用。</t>
  </si>
  <si>
    <t>击球训练机器人</t>
  </si>
  <si>
    <t>US10037715B2</t>
  </si>
  <si>
    <t>医学教练模拟器包括多个充满导电流体的模拟血管,例如代表静脉或动脉。 在使用医疗训练器执行程序时,人将医疗仪器(例如,针或手术刀)插入选定的容器中,使医疗仪器接触导电流体。 电路板通过检测流过医疗器械及其接触的导电流体的电流来检测何时由此创建电路。 在计算机上执行的软件程序排除了当医疗器械接触来自不在其中一个容器内的先前程序的导电流体时发生的任何幻像电路。 如果所得电路的电阻超过预定阈值,则检测到幻像电路。 计算机视觉上和/或听觉上指示正确的脉管是否被医疗器械刺穿或切除。</t>
  </si>
  <si>
    <t>使用导电流体检测针头插入模拟血管</t>
  </si>
  <si>
    <t>JP6129134B2</t>
  </si>
  <si>
    <t>提供了一种语音交互装置,其中不使用无线标签或照相机来执行用户认证,并且响应于用户的话语来回答适合用户的话题。 
  一种语音交互系统(10),包括:语音识别模块(110),用于基于话语识别语音数据;语音认证模块(120),用于基于所述话语识别说话者;以及基于结果识别的说话者。话题估计模块130(例如,儿童用户感兴趣的体育话题、女性感兴趣的时尚话题等)和对话生成模块140,用于生成话语的内容。 
  【选型图】图1</t>
  </si>
  <si>
    <t>口语对话装置、口语对话系统、终端、口语对话方法以及使计算机作为口语对话装置发挥功能的程序</t>
  </si>
  <si>
    <t>CN104282052A</t>
  </si>
  <si>
    <t>本发明公开了一种驾校考试与培训系统，包括人脸图像采集系统、图像处理系统、图像识别系统、存储器、wifi收发模块、显示器，所述存储器内存储有学员或考生的人脸图像信息，所述图像处理系统用于处理人脸图像采集系统采集的图片，所述图像识别系统将人脸图像采集系统所采集的图片与存储器内存储的图片对比，并将判别信号发送至wifi收发模块和显示器中，使得考官或教练可以通过显示器直接获取考生或学员信息，可对驾校训练车辆在公路上进行课时训练时参考人员身份认证和全程身份监控，也可对考试场地内考试车辆参考人员实际身份认证和全程身份监控。</t>
  </si>
  <si>
    <t>一种驾校考试与培训系统</t>
  </si>
  <si>
    <t>US62056045P0</t>
  </si>
  <si>
    <t>CN104268511A</t>
  </si>
  <si>
    <t>本发明公开了一种基于三轴加速度传感器的网球运动模式识别系统及其方法，包括信息采集单元、数据处理单元和识别与优化单元三部分。信息采集单元，由软件单元和硬件单元组成，软硬件结合采集正抽、反抽和扣杀三种动作信息；数据处理单元主要包括预处理、特征值提取、数据重组和主成分分析4个步骤，用于筛选出有效的特征值信息；识别与优化单元主要采用粒子群算法对支持向量机的参数进行优化，再用粒子群优化的支持向量机识别动作，从而提高了动作信息识别的准确率。本发明通过三轴加速度传感器采集用户在网球运动过程中的正抽、反抽和扣杀三种动作信息，经过处理和优化，能更好地识别用户的动作，增强人机交互，能够广泛应用虚拟现实领域，具有良好的应用前景。</t>
  </si>
  <si>
    <t>一种基于三轴加速度传感器的网球运动模式识别系统及其方法</t>
  </si>
  <si>
    <t>CN204134105U</t>
  </si>
  <si>
    <t>本实用新型公开了一种带检测装置的平衡木及平衡木检测装置。包括横木及设于横木两端下方的支架，还包括刷卡器、起始触发装置、结束触发装置、压力传感器和控制盒，所述刷卡器及起始触发装置设于横木一端，所述结束触发装置设于横木的另一端，所述压力传感器设于支架的底部，所述控制盒设于横木下方；所述刷卡器、起始触发装置、结束触发装置和压力传感器分别通过有线或无线方式与控制盒连接。本实用新型通过在平衡木上加装刷卡器、起始触发装置、结束触发装置、压力传感器、控制盒、语音播报器及人机交互系统，在日常教学或训练中，可精确记录下训练者走平衡木的相关数据信息可方便老师或教练根据每个训练者的情况调整或制定训练方案。</t>
  </si>
  <si>
    <t>一种带检测装置的平衡木及平衡木检测装置</t>
  </si>
  <si>
    <t>CN104258555B</t>
  </si>
  <si>
    <t>本发明涉及一种采用RGBD视觉传感的双拳击球健身交互系统,属于人机交互和数字娱乐技术领域，包括RGBD视觉传感模块1、人体运动跟踪模块3、双拳运动生成模块4、双拳运动分析模块5、双拳彩球关系模块6、彩球生成模块7和显示模块8。使用本系统，用户无需佩戴任何装置即可游戏，系统通过实时捕捉人体的运动并计算双拳运动和游戏中虚拟彩球运动的关系，判断双拳击球成功概率，模拟真实击球效果，实现人与游戏目标的互动，达到击球健身的效果。对比现有技术，本发明实现了人体与系统的非接触式交互健身游戏，并且将游戏博弈贯穿于健身全过程，不仅锻炼身体，还锻炼人的反应能力，是一种集娱乐、游戏、健身于一体的绿色的交互系统。</t>
  </si>
  <si>
    <t>采用RGBD视觉传感的双拳击球健身交互系统</t>
  </si>
  <si>
    <t>CN104190065B</t>
  </si>
  <si>
    <t>本发明属于检测领域，公开了一种人体运动状态检测装置及方法。在本发明实施例中，通过重心分量检测模块检测人体的身体重心的起伏在预设三维坐标系中的角度分量以及预设角度分量阈值可以预知人体的运动幅度是否正常，通过轨迹记录单元可以记录用户运动时的运动轨迹，通过人机交互模块可以对不同的人设置不同的阈值数据以及进行功能切换，还可以通过人机交互模块对检测的数据进行实时显示，数据异常时进行语音提示，避免用户身体异常时还强行进行运动，有效解决了老年人跑步运动中不能对自身身体状态进行检测的问题。</t>
  </si>
  <si>
    <t>一种人体运动状态检测装置及方法</t>
  </si>
  <si>
    <t>CN104200076B</t>
  </si>
  <si>
    <t>本发明公开了一种运动员运动损伤风险预警方法，在参考国外学者提出的模型，全面分析田径运动员运动损伤致伤因子的基础上，提出了田径运动损伤风险预警伤致因子动态链模型，在该模型的基础上，在运动员风险预警数据库选取相应因子，利用层次分析法建立田径运动损伤风险预警伤致因子动态链量化模型。本发明的利用SOM神经网络离散方法对指标数据进行离散化处理；采用基于粗糙集中的分明矩阵方法进行决策表约简；基于简化的决策表构建RBF神经网络；训练RBF神经网络，最终得到正确的诊断结果。本方法能够对运动损伤的发生做出较为准确的预警有效预测运动员运动损伤风险等级，利于运动损伤的治疗和预防。</t>
  </si>
  <si>
    <t>一种运动员运动损伤风险预警方法</t>
  </si>
  <si>
    <t>CA2859520A1</t>
  </si>
  <si>
    <t>曲棍球和任何所有运动名人堂(棒球、曲棍球、篮球、足球、网球、田径、足球 - 历史......和幻想(即马术比赛)、高尔夫、壁球、板球、橄榄球、铁人三项、奥运会等等 ...实时更新奉献纪念品、卡片交易、出售、收藏家、任何所有相关图片、365 天收藏家交换购买和出售任何所有设备作为赛季展开和根据每场比赛的主题骑。一个牛仔公园有决斗或 与激光和/或彩弹比赛并观看观众的枪战。麻将比赛;牌九;(任何所有中国赌博)甚至斗鸡视频游戏。视频游戏:还有怪物卡车锦标赛怪物机器人在崎岖泥路上的所有地形课程 在各种地形上,从丘陵到山脉,跨越河流和沙漠......滑冰过境......和拆除德比。酒店客房设有家庭影院供人们远程访问下面的游戏以及国际合法的游戏...... 为不同规模的团体寻找房间,在虚拟现实屏幕上进行赌博。 每场比赛都需要规则列表,个人和团队的表现和评分是判断每项运动选择的统计标准......我们可以在最好的高尔夫球场(比大满贯赛事更大的奖项)之间轮换,并带来最好的高尔夫预订 帮助观看高尔夫锦标赛的观众使用同一次旅行来改善他们的比赛……在比赛之前和之后(我们可以引入这些私人教练来帮助观众改善他们在任何运动/兴趣/活动中的比赛) . 我们正在考虑设计一个 4 球道球场,适用于理想的旅游交通和空间稀缺的地方...... 发球台面向 4 到 5 个方向(给或拿几个)带有第一个球道段的发球铰链和 将(平地)和左右扭转(改变初始第一段的打球方向……下一段通过全球道圆盘连接到第一段,球道盘(平地)左右扭转摆动末端 圆盘周围球道的另一端。推杆果岭也可以旋转以增加比赛的多样性……第一个球道可以有一条带桥的河流(障碍)……第二个球道可以有一条环绕推杆的护城河 果岭...第三个球道可以有多个悬崖...第四个可以是规则的.3个赛道的场地 1.最外面的赛道用于赛车 赛道升高和降低以防止阻塞内部赛道...中间 track 用于赛马(也包括上升和下降)和内部轨道 灰狗)也上升和下降......最里面的轨道用于人类田径(也上升和下降)场地,用于任何和所有运动/兴趣/活动/活动,包括户外艺术博览会和表演。 中心可以举办表演,座位可以是全部或部分封闭的屋顶......其中一部分是一座高大的玻璃建筑(带有旋转窗户座位,用于观看活动,可以瞥见休息室/餐厅(有多个封闭式家庭影院电视屏幕)和房间 直接忽略下面的事件)提供另一种体验。 大中心可以在其核心使用上升/下降以获得更好的显示视图。 舞台周围是上升的(让前排座位可以近距离观看舞台并从中心向外观看赛道......对于扬声器和表演......(大部分是静止的)作为其保护玻璃的一部分他们的完整图像 被玻璃放大供观众使用(可选择缓慢旋转/旋转的舞台。磁悬浮(即高悬在城市上空,作为风景优美的旅游景点)。展示美国宇航局历史的美术馆(“宇宙之翼”)以及 最近的照片,即空间站内部的照片和从空间站拍摄的照片......高科技有趣的骑行,基于望远镜显示和任何具有空间主题的所有艺术,从本地到外太空(创造体验和图片展示)模拟真实空间 . 酒店/度假村/赌场/餐厅. 致力于带领球队家乡美食. 任何体育明星都被邀请以低价入住, 特别是那些花时间拍照和签名的人. 甚至为球员支付他们的价值 r 根据价格和易于销售签署商品。 为了在旅游和商业中心附近进行开发,我们可以在地下建造溜冰场和滑雪板公园以及迷你高尔夫球场和/或地下练习场。 室内游戏会议中心旨在提供 1.航天器,即。 2010 年电影和/或幻想,如指环王城堡……太空旅馆……每个房间都装饰成模拟太空主题……像我们当前的空间站和/或幻想一样逼真……提供最新的视频游戏和出租 顾客……包括餐馆、咖啡馆和休息室。 3 维电影和视频游戏的可用性库。 赌场...尤其是投注任何所有比赛。 官方任何和所有游戏比赛大会:世界角色扮演游戏、视频游戏、棋盘游戏、任何所有比赛颁奖晚宴。 小空间的体育比赛(专业运动诊所)(大奖):即。 棒球笼、练习场、果岭、台球/台球、远距离篮球或灌篮……电视上的决赛。 一个会议中心(罗马斗兽场),可以通过分割间距将其划分为较小的场地,并将表演观众座位和舞台划分为饼状。 会议中心可以像商用飞机一样划分,即。 头等舱可折叠电视近距离观看(如闭路电视)舞台表演还有礼包和美食连选择……; 商务舱提供便携式电视屏幕、美味的食物和饮料、网络表、按行业(供应商/买家/新进入者/新技术/投资者...员工/工作/职业水平(高级/中级) /junior)...; 经济舱,带饮料,热狗,上面共享大屏幕电视。新度假村/酒店包括 Mix Sandals 度假村、Mix Peninsula (PALSCE) 酒店、迪士尼(安全 gps 公园定位;训练有素的安全工作人员; 一个给孩子的免费手机,另一个给在维加斯其他地方的父母;可以抱孩子,他们不能离开公园,直到父母在出口遇到他们),漫画/电影工作室和戏剧节(任何所有艺术表演和任何和所有活动) , 度假村建造了 7 到 l 0 世界奇观中的每一个的复制品,以及背景和关键人物一起揭示了与全球事件相关的经验,特别是随着世界经验的缩小...... 世界上最大和最高的人工攀岩悬崖 ...带有一个 瀑布的一部分为攀冰者封闭了冰冻的冰层。 1. 豪华轿车,2. 豪华跑车的本地租赁汽车(超过上限时内置警报)。 3. 适合温哥华悠闲而繁华文化的可爱汽车(即大众Bug、菲亚特、Mini、Scooter/Vesper,任何混合动力汽车)。 作为吸引力的一部分,我们可以建造大型鲨鱼(如 Mirage Hotel Las Vegas)/梭鱼/(跳箭鱼)/鳄鱼/短吻鳄/食人鱼,使用装甲机器人进行喂食和清洁,以获得强烈的喂食体验……与铁饼( 淡水异国热带鱼之王)和/或稀有华丽的人工鱼礁和海洋生物和/或鲟鱼。 我们可以合并由 Beverage Bar 支持的餐厅,该酒吧销售最多的选择(让顾客获得鉴赏家的口味),尤其是最受欢迎的第一家: I. 所有最安全的瓶装水 - 不同的自来水过滤器。 2. 最大的啤酒选择 - 微观 - 宏观 - 其他相关... 3. 最大的葡萄酒选择。 4. 最多的香槟选择。 5. POP的最大选择。 6. 最多的冰酒选择。 7. 草药饮料的最大选择银杏叶,人参与常驻专家根据所需的治疗和/或疾病开处方。 8. 茶/咖啡和相关饮料的最大选择选择,包括 ie。 含咖啡因的饮料。 9. 最多的甜点选择。 10. 冰淇淋和冰淇淋的最大选择。 11. 可与电脑配合使用防水键盘。 我们可以奉献: 1. 谈话节目,与名人堂(娱乐世界)活动相关的关键人物进行讨论和会面。 2. 在 Metro 等当地报纸上开设专页; 24; 温哥华太阳/省(与 BC 事件相关)和环球邮报(加拿大范围)或拉斯维加斯。 3. (现场)摄像机和书面记者报道事件。 我们还可以创建全身激光和屏幕(即眼镜屏幕)虚拟现实视频游戏......玩家根据他们的位置在屏幕上看到,即。 棒球场中的位置......或高尔夫甚至可以与最好的专业人士比赛,将角色扮演游戏的随机概率方面的骰子角色(计算机算法)与游戏中速度的可能统计数据相结合 影响相对表现的优势和劣势 到游戏的那部分所需的技能。我们可以让最伟大的名人堂成员的机器人执行他们的标志性技术,并选择背景供人们在机器人著名的娱乐活动旁边拍照。 此外,我们可以节省空间,但让高尔夫球手拥有完整的直道,但在球场转弯的地方,我们可以创建一个旋转机制(每个球道可能有 2 个),它可以向左或向右转角,以创造游戏体验,就好像每次你 打球道你正在打不同的体验。 排队可以由餐厅处理。 本地脱口秀节目,展示我们场馆活动的案例和介绍和主要参与者。 1. 在当地报纸和国际互联网网站上的页面介绍我们的活动。 2. 实时视频报道和报道事件的文章。 2. All can be built Worldwide 服务于任何世界流行的事物。 我们可以进行磁悬浮运输和/或有趣的公园骑行。 特定的酒店可以有干净的猫和训练有素的狗……甚至是宠物动物园。 也许是一个蜂鸟保护区。 电影名人堂 专门为每一部流行电影提供海报的画廊。 海报采用霓虹灯和 3 维。 任何感兴趣的东西,包括任何艺术家的著名图片/图像、肖像和风景,甚至人工智能。 几乎都像安迪沃霍尔一样被制成 3 维和/或霓虹灯。 The TOWER RESORT 我们从一个大周长的建筑开始,将物业的最佳高密度利用作为酒店/购物中心/办公室/公寓/娱乐(混合用途)和会议场所,供用户生活、工作和娱乐。 一座塔在中心升起,有五个较短但非常牢固的支撑来支撑中心(它可以是世界上最高的塔),张力电缆也可以支撑中央塔(张力电缆可以起到两种作用...... 像帐篷绳一样的张力电缆支撑着高大的结构这些电线还有另一个目的是提供高空滑索娱乐(带有可出租的实时视频作为纪念品)。到达顶部的一种方法是采取完全透明的 向上行驶(爬墙)的缆车——可能有一条短的磁悬浮轨道——横向倾斜,因此缆车至少绕了一圈(如英国)渡轮......人们将有机会看到和 拍摄伦敦眼或埃菲尔铁塔等 360 度全景(我们可能会使用遮阳板和隔音装置,以便缆车使用者可以看到外面的景色,但不能看到建筑物的窗户)。顶部是旋转餐厅和观景台 CK。 为这一切加冕的是一个非常非常大的望远镜。 在夜间人们可以(实时)看到行星、恒星、任何所有天体,而在白天人们可以(实时)看到太阳(保护安全,免受阳光伤害眼睛,即使用着色/遮阳镜片和 任何其他紫外线破坏光谱保护...以清晰/清晰的大图像实时查看太阳的气体和等离子体。</t>
  </si>
  <si>
    <t>大追随者/热门竞技活动/兴趣和体育名人堂/娱乐世界</t>
  </si>
  <si>
    <t>CN204091055U</t>
  </si>
  <si>
    <t>本实用新型公开了一种蓝牙音乐通话护腕，其特征在于其组成包括护腕本体、设于护腕本体内的PCB板、和PCB板电连接的咪头、扬声器、微型振动马达和电池；所述护腕本体里面设有拉链，PCB板设有MCU、26M晶振、语音识别芯片、蓝牙芯片、蓝牙天线、2.4G带通滤波器、音频功率放大器。本实用新型在传统护腕的基础上进行改进，使其在原有功能的基础上增加了蓝牙播放音乐、蓝牙接听手机来电的功能，特别适于体育运动过程中播放富有运动旋律的音乐，及随时感应对接手机是否来电，简单、实用，符合人们的使用需求。</t>
  </si>
  <si>
    <t>一种蓝牙音乐通话护腕</t>
  </si>
  <si>
    <t>KR101650079B1</t>
  </si>
  <si>
    <t>[0001] 本发明涉及一种比赛运营支持管理系统,更具体地说,涉及一种在比赛场地上定期安装以测量环境信息的环境观测装置和一种在比赛场地上定期安装以测量图像信息的图像观测装置。游戏通过从环境观测设备和视频观测设备收集和分析环境信息、视频信息和记录信息来运行,包括分析从设备和环境观测设备和视频观测设备传输的环境信息和视频信息的运行服务器因此,它是关于一种游戏运营支持管理系统,可以经济有效地管理远距离运行的游戏。 
  支持本发明的国家研发计划 
  项目识别号 R0002741 部门名称 产业通商资源部 专业研究管理机构 江原道地区项目评价组 研究项目名称 区域专业产业培育项目 研究项目名称 基于物联网的移动远程事件运营支持管理系统 贡献率 1/ 1 监理机构 Dream Tech 研究期 2013.09.01 ~ 2015.08.31</t>
  </si>
  <si>
    <t>发明名称游戏运营支持管理系统</t>
  </si>
  <si>
    <t>CN104383670B</t>
  </si>
  <si>
    <t>本发明涉及一种能自动发射乒乓球的智能机器人，包括：送球装置、射球装置、转向装置、运动小车；送球装置包括输送软管，输送软管设有弯折部，在弯折部外侧设有加强头；射球装置包括炮管及电磁弹射器，炮管与输送软管连接，电磁弹射器包括本体、弹射杆，并由单片机及继电器控制，炮管与弹射杆对齐，炮管与本体分别设于连接板上；连接板设于转向装置上，转向装置用于调整炮管的仰角；转向装置设于运动小车上。本发明提供的能自动发射乒乓球的智能机器人主要由一小型的电磁弹射器配合巧妙的机械结构，通过单片机控制继电器的通断从而实现弹射杆的收缩和弹射，整个装置结构巧妙紧凑、负重少、成本低，适合推广到各类小型智能机器人上，通用性强。</t>
  </si>
  <si>
    <t>一种能自动发射乒乓球的智能机器人</t>
  </si>
  <si>
    <t>CN104181875B</t>
  </si>
  <si>
    <t>本发明公开了一种基于物联模式的运动健身产品的无线互动数据代理系统，统一数据传输及互动应用程序的开发标准，采用统一标准数据格式的数据，并通过数据传输代理发送、接收以及共享数据。本发明主要是为了制定标准格式的数据接口，统一使用数据传输代理，将传统健身器材和物联网技术结合，建立健康互动运动健身平台，降低互动健康运动平台应用的开发难度，主要作为物联网开发的数据传输桥梁。</t>
  </si>
  <si>
    <t>基于物联模式的运动健身系统</t>
  </si>
  <si>
    <t>CN104096349A</t>
  </si>
  <si>
    <t>本发明涉及一种用于牵引力训练装置的人机交互系统，包括人机交互设备，所述人机交互设备连接控制器，所述控制器分别连接伺服电机控制器、拉力传感器、限位传感器与手动操作面板，所述伺服电机控制器连接伺服电机；所述人机交互设备包括登陆单元、数据库单元、训练单元、显示单元与输入单元。本发明的有益效果为：本发明能够实现运动员自己训练或者在教练帮助下训练，通过设定不同的训练参数，实现设备能够为运动员提供不同方向、大小与频率的牵引力，以满足运动员多种训练项目的需求，同时该系统适用于多种尺寸的泳池，本系统操作简单，使用方便。</t>
  </si>
  <si>
    <t>用于牵引力训练装置的人机交互系统</t>
  </si>
  <si>
    <t>RU2570021C2</t>
  </si>
  <si>
    <t>领域:化学。物质:方法包括保护源免受污染、分离悬浮液、用试剂处理和用消毒组合物净化水、测定高度危险 (HH) 物质的残留浓度。 根据主要活性成分 (AI) 组合物残留浓度 (RC) 的有害卫生毒理学指数,与 HH 物质的已知和弱预后浓度相关,在精确区域使用消毒组合物对水进行净化,对人体健康安全 在便携式水中。 精确区域由整体操作形成和支持:选择消毒成分,确定所有 HH 物质的 RC,确定将弱预测浓度变为实际浓度的常数,调节供应和降低 HH 物质的浓度,确定最大 人工智能的RC。 控制 HH 物质含量的标准是浓度低于最大允许值。效果:减少试剂和消毒成分的消耗,减少能源消耗,通过应用主要 AI 成分的综合优化 RK 提高饮用水质量的可靠性。 7 cl, 4 前</t>
  </si>
  <si>
    <t>长效残留复合消毒剂生产饮用水技术</t>
  </si>
  <si>
    <t>RO131071A2</t>
  </si>
  <si>
    <t>本发明涉及用于在剧院、体育场等中预订座位的虚拟系统。 根据本发明,系统由登录模块( 机器学习 ) 允许用户创建个人帐户、地图显示模块 ( MH ) 表示座位总数,座位颜色根据预订状态而不同,事件模块 ( 我 ),其中显示有关各种事件的信息,预订模块 ( 先生 ) 和预订取消模块 ( 三月 ),用户可以预订并购买所需座位或取消预订,从而可供其他用户使用,其中系统提供有关预订座位位置的有用信息,用户可以虚拟查看他要去的座位 采取在各自的位置。</t>
  </si>
  <si>
    <t>虚拟票务系统</t>
  </si>
  <si>
    <t>CN104090573B</t>
  </si>
  <si>
    <t>本发明公开了一种基于蚁群算法的机器人足球动态决策装置及其方法，属于人工智能技术领域。所述的机器人足球动态决策装置包括信息监测与提取模块、态势评估模块、动作决策模块、以及效果评估与反馈模块；所述的动态决策方法基于该装置，利用信息监测与提取模块获取球场上对方、己方和足球的信息；利用态势评估模块对球场态势做出评估；利用动作决策模块选取下一进行的动作方案；利用效果评估与反馈模块，将预期效果和实际执行效果比较，更新动作方案的优先级。本发明解决了当前机器人足球比赛中动态适应能力差的缺陷，决策成功率高，可动态修订己方的战术策略，提高战术有效性和球队整体攻防能力。</t>
  </si>
  <si>
    <t>一种基于蚁群算法的机器人足球动态决策装置及其方法</t>
  </si>
  <si>
    <t>CN105204838A</t>
  </si>
  <si>
    <t>本发明涉及一种用手机语音控制软件对应用程序进行具体控制的方法，包括语音识别模块、命令识别模块以及命令控制模块。打开语音控制软件，对手机说出语音控制命令，语音识别模块通过互联网的云平台对声音进行识别是否为可识别的语音，命令识别模块识别是否为命令库中经学习并保存的语音控制命令，命令控制模块执行该语音控制命令操作相应的手机应用程序。本发明解决现有技术无法用语音控制手机中的应用程序做进一步的具体操作，用户可使用本发明的语音控制软件对手机中的应用程序在操作过程中进行语音控制命令的学习，然后就能对手机中的应用程序做具体详细的语音操作控制。</t>
  </si>
  <si>
    <t>用手机语音控制软件对应用程序进行具体控制的方法</t>
  </si>
  <si>
    <t>NZ625767B</t>
  </si>
  <si>
    <t>一种用于在计时体育赛事期间识别和计时运动员(126)的系统和方法。 使用图像识别技术对运动员(126)进行计时,其中对在体育赛事期间拍摄的运动员的一幅或多幅图像加时间戳以生成运动员(126)的完成时间。 通过将在体育赛事期间拍摄的图像之一与运动员的轮廓图像进行比较来识别运动员(126)。</t>
  </si>
  <si>
    <t>事件计时和摄影的系统和方法</t>
  </si>
  <si>
    <t>CN303076664S</t>
  </si>
  <si>
    <t>1.本外观设计产品的名称：带有人机交互界面的按键显视板。2.本外观设计产品的用途：主要用于健身按摩器械的按键显视板。3.本外观设计的设计要点：产品的形状、图案及其结合。4.最能表明设计要点的图片或者照片：主视图。5.省略其他视图。</t>
  </si>
  <si>
    <t>带有人机交互界面的按键显视板</t>
  </si>
  <si>
    <t>IN2559CHE2014A</t>
  </si>
  <si>
    <t>已经提出了一种用于识别、测量(定量和定性)、计费、计数、控制和监测资源的有效装置。 装置和装置中的模块具有在单个或多个位置识别、测量、设置参数、定位、资源智能计费、控制和监视相似或不同资源的能力。 资源可以是固体、液体、气体或电、光、化学、电磁、数据、语音、多媒体内容等或生物或任何组合。 装置中的资源、设备和模块可以通过有线或无线或卫星或光学或任何协议或热或化学或互联网或任何方法或云或物联网或其任何组合相互连接。 设备和装置中的任何模块都可以与任何第三方系统、协议、产品、软件和接口连接、重新配置和互操作。资源可以是物质,可以固态、液态和气态、数据 ,语音,多媒体,电视广播,信息,移动通信,信号,电能,声能,光能,光能,化学能,任何形式的能源或其任何组合。资源及其相关可变参数通过以下方式识别和测量 换能器、传感器、电子电路、热学、光学、电磁方法、物质流动的各种测量方法、传感器、光电机械技术或其任何组合。设备将生成、打印和上传各种类似或不同单位使用的资源的账单 根据关税计划、折扣板定期进行。此外,设备可能内置了模块化方法和学习系统以更新其应用程序 化、自诊断工具和算法以优化资源利用。 设备中的全部或部分模块可以模块化地与家庭或办公室/建筑、门控社区或企业建筑或酒店服务或企业资源规划的自动化集成,优先优化资源的使用,或企业对企业( B2B) 或企业对消费者 (B2C) 或企业对员工 (B2E) 或消费者对消费者 (C2C) 或工厂或教育机构校园或交通信号或路灯或车辆娱乐系统、酒店、封闭式社区或医院或机构或企业 或室内/室外体育场或其组合。</t>
  </si>
  <si>
    <t>一种对资源进行识别、测量、计数、计费、控制、设置参数和监控的装置</t>
  </si>
  <si>
    <t>CN103942445B</t>
  </si>
  <si>
    <t>本发明涉及一种健身跑运动方案生成方法，包括以下步骤：S1. 采集运动者健身跑过程中的速度和心率数据；S2. 基于步骤S1采集的速度和心率数据，运用遗传算法对运动者的健身跑运动模型进行参数整定，建立运动者的健身跑运动模型；S3. 基于步骤S2建立的健身跑运动模型，以及给定运动时间和安全有效心率区间参数，以在给定运动时间的健身跑过程中，心率落在安全有效心率区间内的时长最长为优化目标，建立运动者的健身跑最优运动方案。该方法可以为运动者建立个性化的健身跑最优运动方案，从而为指导运动者进行安全、有效的健身跑提供了有用的技术手段。</t>
  </si>
  <si>
    <t>一种健身跑运动方案生成方法</t>
  </si>
  <si>
    <t>CN203938118U</t>
  </si>
  <si>
    <t>本实用新型涉及一种物联网球形载物器提升机构。本实用新型包括驱动电机、提升机构、设置于提升机构上的两个以上的滑轨定位装置、设置于滑轨定位装置上的一个以上的输入滑轨以及设置于滑轨定位装置上的输出滑轨；本实用新型重新利用球体运输的优势，将球体在提升过程中在螺旋提升轨道、中心轴以及限位柱三方面作用力下，处于一个相对静止并且可以沿中心轴线垂直运动，简化了物联网传输球体时提升所需的步骤，从而减少了能耗。</t>
  </si>
  <si>
    <t>一种物联网球形载物器提升机构</t>
  </si>
  <si>
    <t>KR101598955B1</t>
  </si>
  <si>
    <t>提供了一种用于语言治疗的游戏装置和游戏方法,包括社交和体育活动,以有效改善有发音和流畅性障碍的人的语言障碍。 一种用于言语治疗的游戏设备包括检测一个或多个用户的语音的语音识别单元、检测一个或多个用户的动作的动作识别单元、以及游戏软件,并识别从语音识别提供的语音信息和动作单元.一种控制单元,包括执行与从该单元提供的动作信息相关联的游戏的游戏程序处理单元,以及根据控制单元的输出信号输出与游戏或治疗相关的视觉和听觉信息的输出单元。</t>
  </si>
  <si>
    <t>用于语言治疗的游戏设备和方法</t>
  </si>
  <si>
    <t>CN104977904B</t>
  </si>
  <si>
    <t>本发明提供一种可见即可控的智能家居控制系统及控制方法，所述的控制系统利用当场捕获的智能家电的即时图像识别出该智能家电，接着生成基于该智能家电即时图像或预置图像的虚拟实体操作界面和/或辅助操作界面，然后用户即可操控智能家电；本发明的控制系统利用智能家电的即时图像识别出用户要控制的智能家电，使用户不再需要从家电菜单中选择需要控制的智能家电，用户只要能看到智能家电就能控制它；本发明的控制系统提供的虚拟实体操作界面与实体操作界面完全相同，让用户有一种直接操作智能家电实体的感觉，可视性强，操作方便，用户体验好，容易上手，甚至不识字的人也能使用；此外，本发明的控制系统可以利用一台便携式智能终端来实现，设备简易，普适性好，成本低。</t>
  </si>
  <si>
    <t>一种可见即可控的智能家居控制系统及控制方法</t>
  </si>
  <si>
    <t>CN203838557U</t>
  </si>
  <si>
    <t>本实用新型公开了一种单足自平衡机器人，属于机器人应用领域。其特征在于以STM32F103C8T6为控制核心，主要包括电源稳压电路、蓝牙通信电路、OLED显示电路、陀螺仪控制电路，以F2807S H桥为电机驱动，驱动电源稳压电路、驱动逻辑电路、驱动主电路、驱动光耦隔离电路，以3号足球为机器人的单足，实现机器人在足球上保持平衡。利用OLED屏幕和安卓手机人机界面，实现人机交互，通过蓝牙模块进行通讯。手机控制界面上设有：前进、后退、左转、右转、停止等控件，当用户打开总开关时，手机通过蓝牙将指令发送，机器人接收到指令后通过对指令的配对做出相应的动作，在这过程中保持机器人平衡。</t>
  </si>
  <si>
    <t>一种单足自平衡机器人</t>
  </si>
  <si>
    <t>CN103892814B</t>
  </si>
  <si>
    <t>本发明公开了一种运动康复治疗跑步机控制系统，系统综合利用了物联网技术，通过无线中继网络将评估设备、生理参数检测设备、跑步机、RFID识别器以及远程服务器有机融为一体，通过评估设备对患者身体状况进行评估，医生可以根据评估结果提供治疗建议，出具运动治疗处方，跑步机根据医生的运动治疗处方对速度、坡度以及治疗时间进行控制，同时通过生理参数检测设备和运动设备自带的参数检测电路可以实时掌握患者身体状况，一旦出现异常，即可停止治疗，实现患者运动康复监控治疗，降低患者的反复发病率和住院率。</t>
  </si>
  <si>
    <t>运动康复治疗跑步机控制系统</t>
  </si>
  <si>
    <t>US20160171293A1</t>
  </si>
  <si>
    <t>一种在捕获的图像中跟踪身体部位(例如手)的位置的方法,该方法包括捕获( 10 ) 一个区域的彩色图像,以形成一组捕获的图像; 识别连续的肤色区域( 12 ) 在一组捕获图像的初始图像内; 定义感兴趣区域( 16 ) 包含肤色区域; 提取( 18 ) 感兴趣区域中的图像特征,每个图像特征与感兴趣区域中的一个点相关; 然后,对于包括第一图像和第二图像的连续图像对,第一图像对具有作为第一图像的初始图像和后来的图像,接下来的图像对每个包括来自第二图像的第一图像作为第一图像 前面的一对和后面的图像作为第二张图像:提取( 22 ) 图像特征,每个图像特征与第二幅图像中的一个点相关; 确定比赛( 24 ) 在与第二图像相关的图像特征和与第一图像中每个感兴趣区域相关的图像特征之间; 确定第一图像和第二图像之间的匹配图像特征在图像内的位移; 无视( 28 ) 位移不在位移范围内的匹配特征; 确定感兴趣区域( 30 ) 在包含未被忽略的匹配特征的第二个图像中; 并确定运动方向( 34 )第一幅图像和第二幅图像之间的感兴趣区域。</t>
  </si>
  <si>
    <t>手势跟踪和分类</t>
  </si>
  <si>
    <t>CN103863364B</t>
  </si>
  <si>
    <t>本发明涉及一种基于调度信号的货运机车自动操纵实时优化控制系统，所述货运机车自动操纵实时优化控制系统属于该货运机车车载装置，其包括人机交互显示界面、货运机车自动操纵优化实时控制器和手/自动转换通信器件，该系统可以获取自动操纵优化实时控制所需的线路信息等既定信息和当前车速等实时信息，通过司机控制器通信器件和机车控制执行装置具体操纵机车的运行，使得司机在实际驾驶中可以通过人机交互显示界面和司机控制台面板方便地进行手/自动驾驶切换。本发明能够根据机车临时调度信号，实时补偿调整机车优化运行曲线，得到当前优化目标曲线；依据当前优化目标曲线和当前运行状态信息，实时自适应控制输出机车控制操纵档位序列。</t>
  </si>
  <si>
    <t>一种基于调度信号的货运机车自动操纵实时优化控制系统</t>
  </si>
  <si>
    <t>CN203861882U</t>
  </si>
  <si>
    <t>本实用新型公开了一种排球发球器，它涉及一种体育器材。它包括人机交互模块、弹射装置、红外传感器、指示灯、电机、蜂鸣器和控制器，控制器分别与人机交互模块、红外传感器、指示灯、电机、蜂鸣器连接，电机和弹射装置连接，红外感应器设置在弹射装置的边缘；所述的红外传感器不少于三个，每个红外传感器之间的间距为20cm-23cm；所述的指示灯为红色指示灯和黄色指示灯；所述的电机为伺服电机。本实用新型红外传感器能在弹射装置弹射发球口感应装置内所剩排球数，并将感应数据传输给控制器，控制器再控制蜂鸣器和指示灯进行预警，使用者可以通过对人机交互模块进行设置，进而控制排球发球器的发球速度，大大提高了人们练球的效率。</t>
  </si>
  <si>
    <t>一种排球发球器</t>
  </si>
  <si>
    <t>WO2014139395A1</t>
  </si>
  <si>
    <t>虽然第一代候选解中的至少一个候选解仍有待根据优化问题的适应度函数来评估,但从第一代候选解中选择多个候选解以参与锦标赛。 确定是否已经根据适应度函数评估了被选择参加锦标赛的多个候选解中的每一个。 如果都已被评估,则从第一代候选解的多个候选解中选出一个或多个竞赛获胜者。 第二代候选解的候选解是根据遗传算子与所选择的一个或多个比赛获胜者一起创建的。</t>
  </si>
  <si>
    <t>EP2983972A4</t>
  </si>
  <si>
    <t>本申请涉及用于附加智能踏板和基于计算机的应用程序的方法和系统,以提供骑车人监控和建议。 该方法包括由虚拟教练显示自行车在第一虚拟自行车赛段中的特性,在自行车赛段期间由踏板传感器测量的特性。 虚拟教练可以评估骑手在骑车期间的表现,并根据骑手的表现在第一次虚拟骑车时生成建议。 此外,虚拟教练可以基于骑手的表现和推荐来创建第二虚拟骑行课程。</t>
  </si>
  <si>
    <t>骑行者监控和推荐系统</t>
  </si>
  <si>
    <t>US20150367176A1</t>
  </si>
  <si>
    <t>本申请针对用于附加智能踏板和基于计算机的应用以提供骑车人监控和推荐的方法和系统。 该方法包括由虚拟教练显示在第一虚拟骑行过程中自行车的特性,在骑行过程中由踏板传感器测量的特性。 虚拟教练可以在骑车过程中评估骑手的表现并基于骑手的表现生成第一虚拟骑车课的推荐。 此外,虚拟教练可以基于骑手表现和推荐来创建第二虚拟骑行会话。</t>
  </si>
  <si>
    <t>WO2014124126A1</t>
  </si>
  <si>
    <t>CN203777618U</t>
  </si>
  <si>
    <t>本实用新型提供一种物联网泳帽，涉及物联网技术领域，以解决游泳中溺水施救不及时的问题。本实用新型包括帽子本体和设置在帽子本体上的物联网标签，物联网标签设置在帽子本体的夹层中。本实用新型降低了游泳者溺水后救助不及时而造成的身体损伤和生命安全，并可以大幅提高游泳馆的管理水平。</t>
  </si>
  <si>
    <t>物联网泳帽</t>
  </si>
  <si>
    <t>CN103761292B</t>
  </si>
  <si>
    <t>本发明涉及一种基于用户转发行为的微博阅读概率计算方法，用于计算在一段给定的时间范围(T1,T2)内，一用户H的好友发送的一条微博Wx，其发送时间用tx表示，T1&lt;tx&lt;T2，被用户H阅读的概率，其具体操作步骤如下：首先，在给定的时间范围(T1,T2)内，查找时间tx之前用户H转发的最后一条微博Wi的原始发送时间点ti，以及时间tx之后用户H转发的第一条微博Wj的原始转发时间点tj；同时获取微博Wi的转发时间点ti′，和微博Wj的转发时间点t′j。然后，按照ti、ti′、tj和t′j的时间顺序，将ti、ti′、tj、t′j的关系分为6种情况。最后，分别按照6种情况计算微博Wx被用户H阅读的概率。使用本发明提出的基于用户转发行为的微博阅读概率计算方法计算微博的阅读概率，可以更准确的衡量用户的属性，方便其它微博应用，如：推荐系统、虚拟广告等。</t>
  </si>
  <si>
    <t>基于用户转发行为的微博阅读概率计算方法</t>
  </si>
  <si>
    <t>CN203929758U</t>
  </si>
  <si>
    <t>本实用新型涉及借助于测定材料的化学或物理性质来测试或分析材料的装置领域，具体为一种应用反向传播神经网络模型的游泳池水质评价装置。一种应用反向传播神经网络模型的游泳池水质评价装置，包括取样水管(1)、电磁阀(2)和水泵(3)，其特征是：还包括余氯测定仪(41)、高效液相色谱仪(42)、电子毫伏计(43)、碱度测定仪(44)、钙硬度测定仪(45)、连续流动注射分析仪(46)、模/数转换器(5)和控制器(6)，余氯测定仪(41)等都通过信号线经一个模/数转换器(5)连接控制器(6)。本实用新型减少人工评价工作量，提高评价结果准确性和客观性。</t>
  </si>
  <si>
    <t>应用反向传播神经网络模型的游泳池水质评价装置</t>
  </si>
  <si>
    <t>CN104007243B</t>
  </si>
  <si>
    <t>本发明涉及借助于测定材料的化学或物理性质来测试或分析材料的方法领域，具体为一种应用反向传播神经网络模型评价游泳池水质的方法。一种应用反向传播神经网络模型评价游泳池水质的方法，包括a.指标筛选、b.标准选定、c.划定分级和d.模型拟合。本发明减少人工评价工作量，提高评价结果准确性和客观性。</t>
  </si>
  <si>
    <t>应用反向传播神经网络模型评价游泳池水质的方法</t>
  </si>
  <si>
    <t>US20150193792A1</t>
  </si>
  <si>
    <t>提供了一种通过促进小型和大型团体设置中的反馈交流来产生相关营销机会的方法和系统。 随着移动和社交网络技术的发展以及从一个人的社交和网络同事接收几乎即时反馈的日益增长的需求,本发明为用户提供了向一个或多个发送照片、视频、事件信息或其他形式的群组消息的能力 预选组,每个组由两个或多个成员组成。 这些团体可能很大(例如,挤满了人的体育场)或小型(小教室)。 每个成员可以通过几乎即时的通信技术接收消息并提供响应,如果需要,一个或多个预选组的一个或多个成员可以以引人入胜的结果格式查看该消息并继续组讨论。 此外,作为用户体验的一部分,向成员呈现原生广告,并且可以以有利于群组交互的方式参与虚拟人工智能成员的服务。</t>
  </si>
  <si>
    <t>通过促进小型和大型团体环境中的反馈交流来产生相关营销机会的方法和系统</t>
  </si>
  <si>
    <t>CN103761565B</t>
  </si>
  <si>
    <t>本发明公开了一种基于计算机视觉的水下鱼虾蟹苗数量估计与行为监测装置及方法，特点包括带动视频采集装置在育苗池中全方位、不同水层采样的双向卷扬机与电机、用于承载电机的浮子，用于采集幼苗视频的视频采集装置，步骤如下：将视频采集装置放置在水中，分别由双向卷扬机与电机带动在育苗池中采集幼苗视频，将采集到的不同水层不同方位的幼苗图像，运用图像处理技术估计整个育苗池中幼苗的数目和密度；打开光诱光源，将拍摄到的视频运用图像处理技术计算出目标的游泳速度和群心坐标来反应幼苗的运动能力和光诱能力，优点是具有结构简单、监测范围广、使用便利、准确度高的特点，适合于自动化水产养殖苗期生物数量估计和行为监测。</t>
  </si>
  <si>
    <t>基于计算机视觉的水下鱼虾蟹苗数量估计与行为监测装置及方法</t>
  </si>
  <si>
    <t>CN103699227A</t>
  </si>
  <si>
    <t>本发明涉及的是通过一种能识别舌头移动动作、牙齿咬合动作、口腔呼吸动作的人机交互设备，实现利用口腔动作操作控制终端的技术领域。本发明的人机交互设备结构紧凑，控制精度和灵敏度高，误差小，携带使用方便。本发明解决了肢体操控和语音智能识别操控技术的局限和缺点，对原有的操作控制终端的技术形成了替代和补充作用。本发明提高了缺陷人士对社会活动的参与度，让残障人士可以更多更好的操控使用终端，获得人类发展所带来的便利服务；也可以让残障人士通过操控使用终端，提高就业机会。本发明也有提效作用，本发明的使用时，可以解放双手，让双手进行其他的操作或者得到休息时间。进而使双手资源获得更好的支配和利用，达到提效的作用。</t>
  </si>
  <si>
    <t>一种新的人机交互系统</t>
  </si>
  <si>
    <t>CN103745259A</t>
  </si>
  <si>
    <t>本发明公布了一种搜索最危险滑面的遗传算法，包括如下步骤：第一步：确定出个体的表现型X和问题的解空间；第二步：确定目标函数及其数学描述形式或量化方法；第三步：确定出个体的基因型X及遗传算法的搜索空间；第四步：确定出由个体基因型X到个体表现型X的对应关系或转换方法；第五步：确定出由目标函数值f(X)到个体适应度Fitness(X)的转换规则；第六步：确定出选择运算、交叉运算、变异运算等遗传算子的具体操作方法；第七步：确定种群规模Np、交叉概率Pc、变异概率Pm、进化代数Nt等参数。本发明的算法可以较为准确的模拟自然界中的生物进化过程，能够实现由问题空间到搜索空间（可行解域）的映射。</t>
  </si>
  <si>
    <t>一种搜索最危险滑面的遗传算法</t>
  </si>
  <si>
    <t>KR1020150075240A</t>
  </si>
  <si>
    <t>本发明涉及一种匹配游戏对手的方法和装置,根据本发明的匹配游戏对手的方法包括接收第一用户的游戏匹配信息和网络信息、游戏匹配信息和网络信息中的至少一个的步骤。网络信息,根据一条信息判断第一用户是否与人工智能进行比赛,若根据比赛信息中的至少一条确定第一用户与人工智能不进行比赛和网络信息,从等待的用户中搜索第一个用户的对手的第二个用户,如果没有用户等待比赛,让第一个用户等待,因为它可以玩,所以有效果提高用户在游戏中的沉浸感或兴趣感。</t>
  </si>
  <si>
    <t>匹配游戏对手的方法和装置</t>
  </si>
  <si>
    <t>GB2521368A</t>
  </si>
  <si>
    <t>资产(例如化学精炼厂、晶圆制造和采矿等工业过程)内的传感器配置,用于监控资产的物理运行参数。 服务器装置可操作以实时接收传感器信号304。软件产品可操作以分析传感器数据306以基于来自资产的一个或多个设备的贡献的加权组合来确定资产的总体操作效率 . 权重可以基于历史数据、人工智能或神经网络来确定。 传感器可以无线连接到服务器。 该系统可以进一步检测设备故障并确定维护计划。 模拟模型308用于识别推荐的调整以提高资产的运营效率。</t>
  </si>
  <si>
    <t>用于优化资产效率的系统和方法以及设施中的整个系统</t>
  </si>
  <si>
    <t>CA3078130A1</t>
  </si>
  <si>
    <t>本公开的方面涉及信息流的管理。 可以根据自适应流传输机制来传递信息流。 在一个方面,一种数据流管理方法可以包括接收具有特定比特率和分段信令结构的多个数据流,该分段信令结构包括至少一个分段信令标记。 该方法还可以包括监视至少一个数据流的分段信令结构并且基于该监视提供指示符合预定分段信令结构的度量。 在一方面,一个或多个数据源12可以包括数据馈送、信号源、文件源、内容提供者等。 在一方面,一个或多个数据源12可以是诸如音频内容、视频内容、新闻馈送、体育节目等数据的内容提供者。 作为示例,一个或多个数据源12可以被配置为将数据流传输到各种最终用户(例如,或允许访问数据流)。 作为另一示例,一个或多个数据源12可以是将数据流传输到订户或客户端的网络数据馈送。 作为另一示例,一个或多个数据源12可以以标准视频格式传输或允许访问数据流,例如但不限于任何运动图像专家组标准(例如MPEG-2、 MPEG-4,通过 UDP MCAST 等封装在 MPEG-2 传输流中的单个 MPEG-4 视频,或任何音频和/或视频标准,例如 MP3、Quicktime 和音频视频交错(avi )。 然而,编码器14可以从具有任何格式的任何源接收数据流,该格式可以被编码(或转码)成适合于流式传输的格式。 编码器14可以是对数据流进行编码和/或转码的任何设备、系统、装置等。 在一方面,编码器14将具有单一比特率的输入视频(例如,高比特率质量视频)转换为具有其他比特率的一个或多个数据流的输出视频(例如, 较低比特率质量的视频)。 在另一个示例中,编码器14可以将数据流从从数据源接收的输入格式(例如MPEG-4)转换为传输格式以分发给用户或消费者(例如MPEG-2)。 在一方面,编码器14可以包括诸如转码器之类的设备,其调节流数据和/或将数据从一种格式改变为另一种格式。 在一方面,编码器14可以包括单独的编码器和代码转换器,用于调节流数据和/或将数据从一种格式改变为另一种格式。 作为示例,编码器14可以从输入12接收或访问数据流,并且可以将信息编码/转码到数据流上。 作为另一示例,编码器14可以将与内容片段18有关的信息添加到流中。现在转向图1B,将更详细地讨论内容片段。 如图1B所示,示例性数据流包括可以被分成一个或多个内容片段18的内容。在一方面,数据流可以包括多个内容片段。 作为示例,每个片段可以包括多个内容帧。 作为进一步的示例,可以将内容片段组合在一起以形成更大的内容流。 作为示例,每个内容片段18可以包括特定的比特率和分辨率。 作为进一步的示例,数据流可以是自适应数据流和数据流的GOP结构。 如图2C所示,仅作为说明性示例,可以将第一数据条目插入表示片段3的第一非IDR帧中。第一数据条目可以包括时间戳28的标识、片段的持续时间22(两个 秒),以及片段 3 的信令点 20 的标识。第二数据条目可以插入到表示片段 n 的第二非 IDR 帧中。 第二数据条目可以包括时间戳28的标识、片段的持续时间22(两秒)和片段n的信令点20的标识。 类似地,其他帧(IDR帧和非IDR帧)可以用条目编码以指示信令结构信息26、信令点20、片段的持续时间22和一个或多个的帧类型24中的至少一个 特定内容片段的帧 18.可以在数据流中标记和识别任意数量的内容片段18。 由于下游设备不限于用于构建每个内容片段18的单个GOP结构,因此下游设备可以随后处理将数据条目和边界插入到非IDR帧中以构建适当的内容片段18 用于分发给最终用户。 现在转向图3,可以比较一个或多个数据流的一个或多个切换点以确定与一个或多个数据流相关的度量。 在一方面,该度量可以是指示数据流相对于一个或多个规则的合规性的合规性度量。 作为示例,该度量可以是指示两个或更多个数据流之间的相似性的相似性度量。 如图3所示,第一数据流S1类似于第二数据流S2。 然而,数据流S1更类似于数据流S3。 例如,如果数据流未在流时间(例如,线性时间、基于文件的观察等)上的所有潜在切换点上对齐,则数据流可能不太相似。 现在转向图4,可以比较一个或多个数据流的一个或多个切换点以确定与一个或多个数据流相关的度量。 在一方面,该度量可以是基于两个或更多个信令点(例如切换点)的比较指示两个或更多个数据流的相似性的相似性度量。 在一方面,相同的数据流在两个或更多个数据流中的每一个的整个信号结构中具有相同的帧类型。 通过将数据流表征为相似而不是相同,只有交换点需要在两个或多个数据流之间具有相同的帧类型。 因此,每个数据流的信令结构可以部分不同,同时保持流之间用于自适应流传输的兼容性。 两个或多个数据流的切换点的比较可以促进确定。另一方面,计算设备1001还可以包括其他可移动/不可移动、易失性/非易失性计算机存储介质。 举例来说,图10图示了大容量存储设备1004,其可以为计算设备1001提供计算机代码、计算机可读指令、数据结构、程序模块和其他数据的非易失性存储。例如并且不意味着 限制性地,大容量存储设备1004可以是硬盘、可移动磁盘、可移动光盘、磁带盒或其他磁性存储设备、闪存卡、CD-ROM、数字多功能盘(DVD)或其他光学存储设备, 随机存取存储器(RAM)、只读存储器(ROM)、电可擦可编程只读存储器(EEPROM)等。 可选地,任何数量的程序模块可以存储在大容量存储设备1004上,包括例如操作系统1005和网络软件1006。操作系统1005和网络软件1006中的每一个(或它们的某种组合)可以包括 网络数据1007也可以存储在大容量存储设备904上。网络数据1007可以存储在本领域已知的一个或多个数据库中的任何一个中。 此类数据库的示例包括 DB2®、Microsoft® Access、Microsoft® SQL Server、Oracle®、mySQL、PostgreSQL 等。 数据库可以集中或分布在多个系统中。 在另一方面,用户可以通过输入设备(未示出)将命令和信息输入到计算设备1001中。 此类输入设备的示例包括但不限于键盘、定点设备(例如“鼠标”)、麦克风、操纵杆、扫描仪、触觉输入设备(例如手套)和其他身体覆盖物,以及 这些和其他输入设备可以通过与系统总线 1013 耦合的人机接口 1002 连接到处理单元 1003,但也可以通过其他接口和总线结构连接,例如并行端口、游戏端口、 IEEE 1394 端口(也称为火线端口)、串行端口或通用串行总线 (USB)。 在又一方面,显示设备1011也可以通过接口连接到系统总线1013,例如显示适配器1009。预期计算设备1001可以具有多于一个显示适配器1009,并且计算机1001可以具有多于一个显示设备1011。例如,显示设备可以是监视器、LCD(液晶显示器)或显示器。 投影仪。 除了显示设备1011之外,其他输出外围设备可以包括可以通过输入/输出接口1010连接到计算设备1001的组件,例如扬声器(未示出)和打印机(未示出)。任何步骤和/或 方法的结果可以任何形式输出到输出设备。 这样的输出可以是任何形式的视觉表示,包括但不限于文本、图形、动画、音频、触觉等。 显示器1011和计算设备1001可以是一个设备的一部分,或者是单独的设备。 计算设备1001可以使用与一个或多个远程计算设备1014a、b、c的逻辑连接在网络环境中操作。 例如,远程计算设备可以是个人计算机、便携式计算机、智能电话、服务器、路由器、网络计算机、对等设备或其他公共网络节点等。 计算设备1001和远程计算设备1014a、b、c之间的逻辑连接可以通过诸如局域网(LAN)和通用广域网(WAN)的网络1015进行。 这样的网络连接可以通过网络适配器1008。网络适配器1008可以在有线和无线环境中实现。 这样的网络环境在住宅、办公室、企业范围的计算机网络、内联网和互联网中是传统的和常见的。 为了说明的目的,应用程序和诸如操作系统1005之类的其他可执行程序组件在本文中被示为离散块,尽管应认识到这些程序和组件在不同时间驻留在计算设备1001的不同存储组件中,并且是 由计算机的数据处理器执行。 网络软件1006的实现可以存储在某种形式的计算机可读介质上或通过某种形式的计算机可读介质传输。 所公开的任何方法都可以通过体现在计算机可读介质上的计算机可读指令来执行。 计算机可读介质可以是计算机可以访问的任何可用介质。 作为示例而非意在限制,计算机可读介质可以包括“计算机存储介质”和“通信介质”。 “计算机存储介质”包括以用于存储诸如计算机可读指令、数据结构、程序模块或其他数据等信息的任何方法或技术实现的易失性和非易失性、可移动和不可移动介质。 示例性计算机存储介质包括但不限于 RAM、ROM、EEPROM、闪存或其他存储技术、CD-ROM、数字多功能磁盘 (DVD) 或其他光学存储、磁带、磁带、磁盘存储或 其他磁存储设备,或任何其他可用于存储所需信息并可由计算机访问的介质。 这些方法和系统可以采用人工智能技术,例如机器学习和迭代学习。 此类技术的示例包括但不限于专家系统、基于案例的推理、贝叶斯网络、基于行为的 AI、神经网络、模糊系统、进化计算(例如遗传算法)、群体智能(例如蚂蚁算法)和混合 智能系统(例如通过神经网络生成的专家推理规则或来自统计学习的生产规则)。 除了允许使用多个分布式分段器之外,具有可扩展性的数据流分段系统提供了优于传统编码/分段系统的几个优点。 例如,该系统提供了通过使用多个分片器来加速解析流的能力。 它还允许具有可由多种不同流技术使用的通用信令信息的通用流。 该系统还允许在两个或多个客户端之间同步播放流,因为客户端可以相互通信以使每个客户端同时播放同名片段。 对本领域技术人员来说显而易见的是,在不脱离本公开的范围或精神的情况下可以进行各种修改和变化。通过考虑本文公开的说明书和实践,其他实施例对于本领域技术人员将是显而易见的。 权利要求的范围不应受本文阐述的特定实施例限制,而应以与整个说明书一致的方式来解释。 1 .一种方法,包括: 接收第一数据流的第一片段,其中所述第一数据流与以第一比特率编码的内容源相关联; 基于服务质量测量选择与以第二比特率编码的内容源相关联的第二数据流; 确定指示与第一片段的边界点相关联的至少一个帧和与第二数据流的第二片段的边界点相关联的至少一个帧是相同帧类型的度量; 并且基于度量从第一片段切换到第二片段的回放。 2.如权利要求1所述的方法,其特征在于,所述服务质量测量包括对带宽、处理器容量、存储器可用性或用户偏好中的至少一项的测量。 3.如权利要求1所述的方法,其特征在于,基于所述服务质量测量选择所述第二数据流包括: 接收包括包含所述内容源的至少一个替代数据流的清单文件; 以及基于服务质量测量和清单文件选择第二数据流,其中第二数据流以第二比特率编码。 4.根据权利要求1所述的方法,还包括接收与所述第一片段相关联的第一分段信令标记和与所述第二片段相关联的第二分段信令标记,其中所述第一分段信令标记指示所述第一片段和所述第二片段的边界点。 分段信令标记指示第二个片段的边界点。 5.根据权利要求1所述的方法,其中确定所述度量包括确定所述第一数据流的第一分段信令结构和所述第二数据流的第二分段信令结构的对齐。 26(见图 4)。</t>
  </si>
  <si>
    <t>信息流管理</t>
  </si>
  <si>
    <t>CN103678911A</t>
  </si>
  <si>
    <t>本发明公开了一种基于物联网的智能健康监管跑步系统的控制方法，其特征在于：在跑步机功能模块上添加无线数据传输模块与数据预警管理模块，在原有数据采集模块中添加血压、血氧数据采集功能构成新的跑步系统，该系统通过无线网络与后台系统服务器及医院数据库系统相连。系统记录的数据无线传输至后台系统服务器并存储在医院系统内个人电子健康档案中，实现对用户分散测量数据的集中化管理，用户每次跑步结束后生成数据分析报告，为用户的医疗保健提供基础数据服务。用户可利用蓝牙将跑步系统记录的数据同步传输到手机、平板等设备上，实现无网下近距离无线传输。跑步系统根据用户的心率情况做出预警，用户可及时发现问题并进行调节。</t>
  </si>
  <si>
    <t>一种基于物联网的智能健康监管跑步系统的控制方法</t>
  </si>
  <si>
    <t>CN104645550A</t>
  </si>
  <si>
    <t>一种基于健身划船器的新型同步视频系统，包括速度检测模块、心率检测模块、ARM数据采集和控制系统、液晶显示模块、工控机、手控键盘、视频采集模块和限位开关，所述的速度检测模块、心率检测模块、视频采集模块和限位开关分别与ARM数据采集和控制系统连接，工控机与ARM数据采集和控制系统相连，液晶显示模块与工控机连接，手控键盘与工控机连接。本发明实现了健身划船器控制系统的智能化、数字化和美观人性化的人机交互界面，减少了许多常规健身器材之间相对独立、健身行为枯燥，缺乏交互性等缺点。</t>
  </si>
  <si>
    <t>一种基于健身划船器的新型同步视频系统</t>
  </si>
  <si>
    <t>CN104645552A</t>
  </si>
  <si>
    <t>一种基于跑步机的新型同步视频系统，包括人机交互系统、下位机控制系统、检测系统、电机驱动系统和执行系统，所述的人机交互系统由工控机、手控键盘、液晶显示模块和麦克组成，下位机控制系统由下位机ARM处理器和声控模块组成，检测系统由视频检测模块、速度检测模块、心率检测模块和超声波检测模块组成，电机驱动系统由变频器驱动模块和直流电机驱动模块组成，执行系统由控制转速的三相交流异步电机和控制坡度的直流伺服电机组成。本发明将嵌入式技术运用于跑步机控制系统，实现了跑步机控制系统的智能化、数字化和美观人性化的人机交互界面，减少了许多常规健身器材之间相对独立、健身行为枯燥，缺乏交互性等缺点。</t>
  </si>
  <si>
    <t>一种基于跑步机的新型同步视频系统</t>
  </si>
  <si>
    <t>CN103599621B</t>
  </si>
  <si>
    <t>本发明涉健身器材跑步机技术。本发明针对现有技术中跑步机不能快捷调整跑步机速度等参数的问题，提供能够实现语音控制的跑步机系统，包括无线耳麦，语音识别模块，无线信号传输模块及控制模块，所述无线耳麦与语音识别模块连接，语音识别模块与无线信号传输模块连接，无线信号传输模块分别与控制模块及无线耳机连接。本发明通过语音识别装置及蓝牙模块，使得用户在运动时能够通过语音控制方便快捷的控制跑步机运行参数，在运动同时，用户可以通过音频播放模块收听音乐使运动过程不枯燥。适用于能够实现语音控制的跑步机。</t>
  </si>
  <si>
    <t>能够实现语音控制的跑步机系统及其控制方法</t>
  </si>
  <si>
    <t>CN103605719A</t>
  </si>
  <si>
    <t>本发明公开了一种可检索体育赛事精彩片段的视频电子软件，所述的视频电子软件包括操作界面、内部子系统和数据库，所述的操作界面由VC++MFC编程设计而成，其通过内部子系统进行人机交互操作，所述的内部子系统包括分析检索子系统和提取检索子系统，所述的数据库和内部子系统之间存在数据的交互。本发明揭示了一种可检索体育赛事精彩片段的视频电子软件，该视频电子软件设计独特，操作简便，能对完整的体育赛事视频数据进行分析查找，提取精彩片段数据，去除冗余乏味的数据，大大方便了人们随时回顾精彩赛事。</t>
  </si>
  <si>
    <t>一种可检索体育赛事精彩片段的视频电子软件</t>
  </si>
  <si>
    <t>CN203540004U</t>
  </si>
  <si>
    <t>本实用新型涉及一种基于物联网的数字篮筐，包括篮圈，所述篮圈配有用于检测篮球进篮信息的传感器，所述传感器可以安装在所述篮圈和/或与所述篮圈固定连接的支架上，通常，所述传感器的安装位置位于所述篮圈的下方，所述传感器的检测端指向所述篮圈限定的进球区域。本实用新型可以在篮球通过所述篮圈的过程中自动检测篮球的各项技术数据，经过统计分析后得出精确的投篮技术结果，有利于运动员的投篮技术总结、投篮技术改进以及根据自身的投篮技术特征确定命中率相对较高的投篮区域，有利于运动员的篮球技能的提高。</t>
  </si>
  <si>
    <t>基于物联网的数字篮筐</t>
  </si>
  <si>
    <t>CN104548487B</t>
  </si>
  <si>
    <t>本发明涉及一种基于物联网技术的智能椭圆机及控制方法，智能椭圆机包括：椭圆机主体、二维码标签、无线传输模块、移动终端应用、椭圆机数据管理系统；所述的二维码标签粘贴在智能椭圆机主体上；所述的无线传输模块通过有线与椭圆机控制板连接、通过无线与所述的椭圆机数据管理系统连接；所述的移动终端应用安装在智能手机上，通过移动网络与所述的椭圆机数据管理系统连接。本发明利用二维码、WiFi技术，不但具有椭圆机运动数据上传、保存、分析功能，而且用户可以在线咨询专家，获取椭圆机运动健身程序，提高了健身活动的合理性、针对性和科学性。</t>
  </si>
  <si>
    <t>一种基于物联网技术的智能椭圆机</t>
  </si>
  <si>
    <t>CN103575664B</t>
  </si>
  <si>
    <t>本发明涉及一种基于集成式复合传感器阵列的结构多尺度健康监测装置及方法，所述装置包括计算机、具有多个可用波长的宽带光源、多尺度解调装置、复合材料柔性板和集成式复合传感器模块，所述集成式复合传感器设置在复合材料柔性板上；所述方法应用集成式复合传感器同时测量结构的模态频率和传感器附近的应变分布，通过递阶遗传算法的选择、交叉和变异等个体操作及种群进化，寻求一种多尺度损伤分布形式。本发明具有传感参量多、传感头体积小、系统集成度高等优点，可有效解决布置在同一结构上的数据融合、测试噪声等问题，实现从整体和局部两个尺度上对复合材料结构进行健康监测。</t>
  </si>
  <si>
    <t>基于集成式复合传感器的结构多尺度健康监测装置与方法</t>
  </si>
  <si>
    <t>CN103505847B</t>
  </si>
  <si>
    <t>本发明公开了一种基于数据监测实现运动指导的跑步健身系统，该系统包括云端存储单元、跑步机、安置在所述跑步机上的智能监控单元、智能终端和安装在所述智能终端中的运动指导单元；云端存储单元，用于存储所述跑步机的运动的历史数据；智能监控单元，用于监控所述跑步机的运动的实时数据；运动指导单元，用于通过所述智能终端的无线网络传输模块接收所述智能监控单元发送的实时数据；通过从所述云端存储单元查询的历史数据进行分析并参考接收到的实时数据，实时的为用户提供运动指导方案。本发明将传统运动锻炼产品和物联网技术与云计算技术结合，建立互动和健康促进平台，改变传统跑步机的应用模式，提升应用持久性。</t>
  </si>
  <si>
    <t>一种基于数据监测实现运动指导的跑步健身系统</t>
  </si>
  <si>
    <t>CN103520885B</t>
  </si>
  <si>
    <t>本发明公开了一种基于数据监测实现运动指导的骑车健身系统，该系统包括云端存储单元、健身单车、安置在所述健身单车上的智能监控单元、智能终端和安装在所述智能终端中的运动指导单元；云端存储单元，用于存储锻炼者通过健身单车运动所产生的历史数据；智能监控单元，用于监控锻炼者通过健身单车运动所产生的实时数据；运动指导单元，用于通过所述智能终端的无线网络传输模块接收所述智能监控单元发送的实时数据；通过从所述云端存储单元查询的历史数据进行分析并参考接收到的实时数据，实时的为用户提供运动指导方案。本发明将传统运动锻炼产品和物联网技术与云计算技术结合，建立互动和健康促进平台，改变传统健身单车的应用模式，提升应用持久性。</t>
  </si>
  <si>
    <t>一种基于数据监测实现运动指导的骑车健身系统</t>
  </si>
  <si>
    <t>CN103537087B</t>
  </si>
  <si>
    <t>本发明涉及一种用于娱乐健身的趣味拳击对打器械，该器械为等人器械分为手臂、上机架、下机架三部分；本发明器械的身体支架由上脊柱支架和下体支承架组成；器械手臂由链轮传动机构、大臂曲柄摇杆机构、槽轮机构、不完全齿轮传动机构、小臂曲柄摇杆机构五部分组成。本发明器械外形经过工业设计紧凑，另外该人形器械的手臂可以实现单轴输入单一动力并打出两套不同拳法的特点；通过延时接触式开关控制直流电机的开启与停止，通过设定延时接触式开关的开启时间可得到不同拳种的相互组合，使练习者体验丰富有趣的拳击人机交互体验；可对用户的击打做出直拳和摆拳组合动作，增强娱乐健身活动的趣味性，此外它具有低成本、高性价比和易于普及的优点。</t>
  </si>
  <si>
    <t>一种用于娱乐健身的趣味拳击对打器械</t>
  </si>
  <si>
    <t>WO2014048251A1</t>
  </si>
  <si>
    <t>本发明公开了一种触摸识别装置，其包括信号处理单元以及至少两个识别层不在同一平面的触摸信号检测装置。所述触摸信号检测装置均与所述信号处理单元连接，并将检测数据发送到所述信号处理单元。所述信号处理单元对接收的检测数据进行处理，获得表示立体触摸手势的手势数据。本发明还提供相应的识别方法以及包括触摸识别装置的人机交互系统。本发明利用多层触摸检测装置对立体空间的触摸动作进行识别，识别立体触摸手势，能够更好地应用于立体显示或立体操作系统，例如3D图像的触摸操作等。</t>
  </si>
  <si>
    <t>一种触摸识别装置及识别方法</t>
  </si>
  <si>
    <t>CN104423382A</t>
  </si>
  <si>
    <t>本发明提供一种小型组比赛机器人竞赛及实验平台，本发明制作了四轮蝶形分布的机器人运动机构；针对运动机构的特点研究了机器人的运动控制算法，设计了以ARM和FPGA为核心的机器人的底层控制系统；基于畸变校正、目标分割、图像识别等图像处理方法开发了适合于实验室场地的机器视觉系统；编写了机器人自主决策系统，对机器人行为进行预测判断、提供决策库支持、实现动态环境下的全局路径规划；设计了2.4G射频通信模块，构建该平台的无线通信系统，实现机器人子系统与上层决策控制系统之间的信息交换；此外，本发明还使用“平台/插件”软件体系构建了RoboCup小型组足球机器人的开放式仿真系统。可以作为RoboCup小型组足球机器人竞赛的标准平台推广应用，也可以作为功能完备的竞赛系统直接参加机器人比赛。</t>
  </si>
  <si>
    <t>一种比赛机器人</t>
  </si>
  <si>
    <t>CN203366382U</t>
  </si>
  <si>
    <t>本实用新型公开了一种基于物联网技术的个人运动健身管理系统，包括：运动数据采集设备,用于采集运动数据及用户睡眠时间；数据处理设备,用于对所述运动数据采集设备上传的数据进行存储、管理、统计、分析；数据呈现设备,用于呈现数据；上述数据处理设备分别与运动数据采集设备数据呈现设备无线连接，运动数据采集设备还无线连接障碍检测设备，用于将检测到的障碍物信息通过数据采集设备上传至数据处理设备处理，并在数据呈现设备中呈现。该使用方便、高效、实时、全面、趣味性强的个人运动健身管理系统，为夜间运动者及视力障碍人士进行运动健身提供了极大的便利。</t>
  </si>
  <si>
    <t>基于物联网技术的个人运动健身管理系统</t>
  </si>
  <si>
    <t>CN103394182A</t>
  </si>
  <si>
    <t>本发明涉及一种以风力发电为供电源的训练用羽毛球拍，属于传感器物联网应用技术领域。储能电池和轴加速度传感器安装在拍柄底部的拍柄开孔内，风力发电机通过导电线与风电控制器连接，风电控制器通过导电线经充电插头和充电插座与储能电池连接，储能电池通过导电线与轴加速度传感器连接；训练时，轴加速度传感器将感知的运动信息转换成电信号并通过发射天线发射出去，信息处理器通过接收天线接收电信号，同时根据设定的程序进行处理，信息处理器存储处理完成的信息，并将处理完成的信息输入显示屏，在显示屏上显示运动员在击球过程中使用力度、球拍所处角度的具体数据；同时，采用无污染的风力发电作为供电源，可以方便地进行充电、投入使用。</t>
  </si>
  <si>
    <t>一种以风力发电为供电源的训练用羽毛球拍</t>
  </si>
  <si>
    <t>CN103357163A</t>
  </si>
  <si>
    <t>本发明涉及一种以太阳能电池为供电源的训练用网球拍，属于传感器物联网应用技术领域。太阳能电池通过导电线与控制器连接，控制器通过导电线与储能电池连接，储能电池通过导电线与轴加速度传感器连接；轴加速度传感器将感知的运动信息转换成电信号并通过发射天线发射出去，信息处理器通过接收天线接收信息并根据设定的程序进行处理，信息处理器储存处理好的信息，并将处理好的信息输入显示屏，显示屏上显示运动员挥动球拍时所使用的力度和挥动球拍时球拍的角度；运动员就能知道自己在训练时挥动球拍时使用力度和挥动球拍时球拍角度的具体数据，有了具体的数据作为参照，运动员可以更好地调整在挥动球拍时所使用的力度和控制好球拍的角度。</t>
  </si>
  <si>
    <t>一种以太阳能电池为供电源的训练用网球拍</t>
  </si>
  <si>
    <t>CN103357147A</t>
  </si>
  <si>
    <t>本发明涉及一种训练用羽毛球拍，属于传感器物联网应用技术领域。在拍柄底部的开孔内安装了锂离子电池和轴加速度传感器，锂离子电池通过导电线向轴加速度传感器供电；在羽毛球训练中，随着一种训练用羽毛球拍的运动，轴加速度传感器将感知的运动信息转换成电信号通过发射天线发射出去，信息处理器通过接收天线接收信息、根据设定的程序进行处理，将处理完成的信息进行储存同时输入显示器，在显示器上就会显示运动员在击球过程中使用力度、球拍所处角度的具体数据；运动员就知道了自己在这个击球过程中使用力度和球拍所处角度的具体数据，有了具体的数据作为参照，运动员更容易调整好自己在击球中使用的力度和控制好球拍所处的角度。</t>
  </si>
  <si>
    <t>一种训练用羽毛球拍</t>
  </si>
  <si>
    <t>CN103357153B</t>
  </si>
  <si>
    <t>本发明涉及一种以太阳能发电为供电源的训练用乒乓球拍，属于传感器物联网应用技术领域。太阳能电池通过导电线与控制器连接，控制器通过导电线与储能电池连接，储能电池通过导电线与轴加速度传感器连接；随着球拍的运动，由储能电池供电的轴加速度传感器将感知的运动信息转换成电信号并通过发射天线发射出去，信息处理器通过接收天线接收到信息、根据设定的程序处理信息，并将处理完成的信息输入显示屏，显示屏上就会显示出教练员在动作示范时球拍的运行轨迹和教练员所使用力度、球拍角度的具体数值；学员们在观看教练员的示范动作和显示屏上显示的图像信息时，能了解到在这个示范动作中的使用力度、球拍角度的具体数值和球拍的运动轨迹。</t>
  </si>
  <si>
    <t>一种以太阳能发电为供电源的训练用乒乓球拍</t>
  </si>
  <si>
    <t>CN103357170A</t>
  </si>
  <si>
    <t>本发明涉及一种以风力发电为供电源的训练用台球杆，属于传感器物联网应用技术领域。储能电池和轴加速度传感器安装在杆体底部开孔的内部，风力发电机通过导电线与风电控制器连接，风电控制器通过导电线经充电插头、充电插座与储能电池连接，储能电池通过导电线与轴加速度传感器连接；在训练中，轴加速度传感器将感知的运动信息转换成电信号通过发射天线发射出去，信息处理器通过接收天线接收信息、根据设定的程序进行处理，并将处理完成的信息输入显示屏同时储存处理完成的信息；在显示屏上就会显示运动员击球时杆体的角度、使用的力度，教练员知道了运动员击球时杆体角度、使用力度的具体数据，就可以采用具体的数据对运动员进行指导。</t>
  </si>
  <si>
    <t>一种以风力发电为供电源的训练用台球杆</t>
  </si>
  <si>
    <t>CN103357146A</t>
  </si>
  <si>
    <t>本发明涉及一种训练用网球拍，属于传感器物联网应用技术领域。在手柄开孔内安装了锂离子电池和轴加速度传感器，锂离子电池通过导电线向轴加速度传感器供电；随着球拍的运动，轴加速度传感器将感知的运动信息转换成电信号并通过发射天线发射出去，信息处理器通过接收天线接收信息并根据设定的程序进行处理，信息处理器储存处理好的信息，同时将处理好的信息输入显示屏，在显示屏上显示运动员挥动球拍时所使用的力度和运动员挥动球拍时球拍的角度；教练员知道了运动员在挥动球拍时使用力度和挥动球拍时球拍角度的具体数值，就可以采用具体的数据对运动员进行指导，使运动员容易调整好自己在挥动球拍时使用的力度和挥动球拍时控制好球拍的角度。</t>
  </si>
  <si>
    <t>一种训练用网球拍</t>
  </si>
  <si>
    <t>CN103357155A</t>
  </si>
  <si>
    <t>本发明涉及一种训练用棒球棒，属于传感器物联网应用技术领域。在棒体的底部设有开孔，锂离子电池和轴加速度传感器安装在开孔的内部，锂离子电池通过导电线向轴加速度传感器供电；在训练时，轴加速度传感器将感知的运动信息转换成电信号并通过发射天线发射出去，信息处理器通过接收天线接收信息、根据设定的程序进行处理，信息处理器储存已处理的信息，同时将已处理的信息输入显示屏，在显示屏上显示运动员挥舞棒球棒时所使用的力度和运动员挥舞棒球棒时的角度；教练员就可以用具体的数据来指导运动员，同时，运动员也有具体的数据作为参照，可以使运动员更好地调整好自己在击球时使用的力度和控制好棒球棒的角度，提高自己的击球技术。</t>
  </si>
  <si>
    <t>一种训练用棒球棒</t>
  </si>
  <si>
    <t>CN103357164A</t>
  </si>
  <si>
    <t>本发明涉及一种以风力发电为供电源的训练用体操丝带，属于传感器物联网应用技术领域。风力发电机通过导电线与控制器连接，控制器通过导电线经充电插头和充电插座与储能电池连接，储能电池通过导电线与轴加速度传感器连接；轴加速度传感器将感知的运动信息转换成电信号并通过发射天线发射出去，信息处理器通过接收天线收取信息，并根据设定的程序处理信息，同时将处理完成的信息输入显示屏，显示屏上显示出运动员在训练中挥动手棒时所使用力度和手棒在旋转时旋转直径大小的具体数值；当储能电池的电能消耗殆尽时，只要将充电插头插入充电插座，风力发电机产生的电流通过导电线输入控制器调整接着经充电插头、充电插座输入储能电池储存。</t>
  </si>
  <si>
    <t>一种以风力发电为供电源的训练用体操丝带</t>
  </si>
  <si>
    <t>CN103357152A</t>
  </si>
  <si>
    <t>本发明涉及一种以风力发电为供电源的训练用乒乓球拍，属于传感器物联网应用技术领域。风力发电机通过导电线与控制器连接，控制器通过导电线经充电插头和充电插座与储能电池连接，储能电池通过导电线与轴加速度传感器连接；在学员训练中通过轴加速度传感器将感知的球拍运动信息转换成电信号并通过发射天线发射出去，信息处理器通过接收天线接收信息、并根据设定的程序处理信息，将处理完成的信息输入显示屏，在显示屏上就会显示出学员训练时球拍的运行轨迹和学员所使用力度、球拍角度的具体数值；观看显示屏显示的资料信息，学员可以了解到自己使用力度、球拍角度大小变化对击打球体的影响，快速掌握这一技术动作的要领，提高自己的击球技术。</t>
  </si>
  <si>
    <t>一种以风力发电为供电源的训练用乒乓球拍</t>
  </si>
  <si>
    <t>CN103357154A</t>
  </si>
  <si>
    <t>本发明涉及一种训练用乒乓球拍，属于传感器物联网应用技术领域。随着球拍的运动，由锂离子电池供电的轴加速度传感器将感知的运动信息转换成电信号并通过发射天线发射出去，信息处理器通过接收天线接收信息、根据设定的程序进行处理，将处理完成的信息输入显示屏，在显示屏上显示教练员在教学中球拍的运动轨迹和教练员所使用力度变化、球拍角度转换的具体数值；学员通过观看教练员的示范动作和显示屏上显示的图像信息就可以了解到教练员在某个技术动作中的使用力度、球拍角度变化的具体数值和球拍的整个运动轨迹；同时，教练员在教学时可以摆脱抽象的语句、引用具体的数值进行指导。使学员能快速掌握这个技术动作的要领，提高自己的竞技水平。</t>
  </si>
  <si>
    <t>一种训练用乒乓球拍</t>
  </si>
  <si>
    <t>CN103357149A</t>
  </si>
  <si>
    <t>本发明涉及一种以太阳能发电为供电源的训练用高尔夫球杆，属于传感器物联网应用技术领域。储能电池和轴加速度传感器安装在握把底部的开孔内，充电插座安装在开孔的孔口，接收天线和显示屏安装在信息处理器的上面；太阳能电池通过导电线与光伏控制器连接，光伏控制器通过导电线经充电插头和充电插座与储能电池连接，储能电池通过导电线与轴加速度传感器连接；轴加速度传感器将感知的运动信息转换成电信号并通过发射天线发射出去，信息处理器通过接收天线接收信息、根据设定的程序进行处理，将处理完成的信息输入显示屏同时根据设定的程序把处理完成的信息储存起来；在显示屏上就显示运动员在完成一个击球过程中使用力度、球杆角度的具体数据。</t>
  </si>
  <si>
    <t>一种以太阳能发电为供电源的训练用高尔夫球杆</t>
  </si>
  <si>
    <t>CN103394185A</t>
  </si>
  <si>
    <t>本发明涉及一种训练用体操丝带，属于传感器物联网应用技术领域。随着手棒的运动，轴加速度传感器将感知的运动信息转换成电信号通过发射天线发射出去，信息处理器通过接收天线接收信息、根据设定的程序进行处理，并将处理完成的信息输入显示屏；显示屏上就会显示运动员在完成一个动作过程中使用力度、手棒旋转直径的具体数值及手棒的运动轨迹，运动员在完成这个动作后，可以调出记录，知道自己在训练这一动作中使用力度、手棒旋转直径的具体数值及手棒的运动轨迹，由于有了具体的数值作为参照，运动员可以及时了解在训练这一动作中的不足之处，调整自己的使用力度、手棒旋转直径，并控制好手棒的运动轨迹，使手棒带动的彩带按要求挥舞起来。</t>
  </si>
  <si>
    <t>一种训练用体操丝带</t>
  </si>
  <si>
    <t>CN103355831A</t>
  </si>
  <si>
    <t>本发明涉及一种足球训练运动鞋，属于传感器物联网应用技术领域。锂离子电池通过导电线与轴加速度传感器连接；足球运动员穿着一种足球训练运动鞋参加训练时，轴加速度传感器将感知的运动信息转换成电信号并通过发射天线发射出去，信息处理器通过接收天线接收信息、根据设定的程序进行处理，信息处理器对处理完成的信息进行储存、同时将处理完成的信息输入显示屏，在显示屏上显示足球运动员在训练中踢球时使用的力度大小和运动鞋角度变化的具体数值；有了具体的数据作为资料，技术教练就可以方便地指导足球运动员调整好所使用的力度大小和运动鞋角度变化，使足球运动员能掌握好这一动作中使用力度的大小和运动鞋角度的变化。</t>
  </si>
  <si>
    <t>一种足球训练运动鞋</t>
  </si>
  <si>
    <t>CN103357169A</t>
  </si>
  <si>
    <t>本发明涉及一种训练用台球杆，属于传感器物联网应用技术领域。锂离子电池和轴加速度传感器安装在杆体底部的开孔内，锂离子电池通过导电线向轴加速度传感器供电；运动员使用一种训练用台球杆训练时，轴加速度传感器将感知的运动信息转换成电信号通过发射天线发射出去，信息处理器通过接收天线接收信息、根据设定的程序进行处理，并将处理完成的信息输入显示屏；在显示屏上就会显示运动员击球时杆体的角度、使用的力度；运动员通过观看显示屏上显示的信息，就知道了自己在击球时杆体角度、使用力度的具体数据，有了具体的数据作为参照，根据击球时球体的运动轨迹，更容易地调整自己在击球时控制杆体的角度和使用的力度，提高自己的击球水平。</t>
  </si>
  <si>
    <t>一种训练用台球杆</t>
  </si>
  <si>
    <t>CN103394186A</t>
  </si>
  <si>
    <t>本发明涉及一种以太阳能发电为供电源的训练用剑，属于传感器物联网应用技术领域。套筒内安装有储能电池与轴加速度传感器，储能电池通过导电线向轴加速度传感器供电,太阳能电池通过导电线与光伏控制器连接，光伏控制器通过导电线经充电插头和充电插座与储能电池连接，储能电池通过导电线与轴加速度传感器连接；在训练中，随着剑体的运动，轴加速度传感器将感知的运动信息转换成电信号、通过发射天线发射出去，信息处理器通过接收天线接收信息并根据设定的程序进行处理，同时将处理好的信息输入显示屏，在显示屏上显示运动员在训练中击剑时使用的力度和剑体所处的角度，教练员就知道了运动员在击剑时使用力度和剑体所处角度的具体数据。</t>
  </si>
  <si>
    <t>一种以太阳能发电为供电源的训练用剑</t>
  </si>
  <si>
    <t>CN103394189A</t>
  </si>
  <si>
    <t>本发明涉及一种以太阳能发电为供电源的训练用台球杆，属于传感器物联网应用技术领域。套筒的内部安装了储能电池和轴加速度传感器，将套筒安装在杆体底部的开孔内，储能电池通过导电线向轴加速度传感器供电；在训练中，运动员使用一种以太阳能发电为供电源的训练用台球杆击球时，轴加速度传感器将感知的运动信息转换成电信号通过发射天线发射出去，信息处理器通过接收天线接收信息、根据设定的程序进行处理，并将处理完成的信息输入显示屏；在显示屏上就会显示运动员击球时杆体的角度、使用的力度；教练员知道了运动员击球时杆体角度、使用力度的具体数据，就可以采用具体的数据对运动员进行指导，运动员也有具体的数据作为参照。</t>
  </si>
  <si>
    <t>一种以太阳能发电为供电源的训练用台球杆</t>
  </si>
  <si>
    <t>CN103357148A</t>
  </si>
  <si>
    <t>本发明涉及一种训练用高尔夫球杆，属于传感器物联网应用技术领域。锂离子电池和轴加速度传感器安装在握把底部的开孔内，发射天线安装在轴加速度传感器的上面，锂离子电池通过导电线向轴加速度传感器供电；在训练中，运动员使用一种训练用高尔夫球杆击球时，轴加速度传感器将感知的运动信息转换成电信号并通过发射天线发射出去，信息处理器通过接收天线接收信息、根据设定的程序进行处理，将处理完成的信息输入显示器同时根据设定的程序把处理完成的信息储存起来；在显示器上就会显示运动员在完成一个击球过程中使用力度、球杆角度的具体数据；运动员就可以参照具体的数据，及时调整好自己在下一个击球过程中使用的力度、控制球杆所处的角度。</t>
  </si>
  <si>
    <t>一种训练用高尔夫球杆</t>
  </si>
  <si>
    <t>CN103394187A</t>
  </si>
  <si>
    <t>本发明涉及一种训练用剑，属于传感器物联网应用技术领域。锂离子电池和轴加速度传感器安装在柄首底部的开孔内，锂离子电池通过导电线向轴加速度传感器供电；运动员使用一种训练用剑进行训练时，随着剑体的运动，轴加速度传感器将感知的运动信息转换成电信号、通过发射天线发射出去，信息处理器通过接收天线接收信息并根据设定的程序进行处理，信息处理器储存处理好的信息，同时将处理好的信息输入显示屏，在显示屏上显示运动员在训练中击剑时使用的力度和剑体所处的角度；运动员通过观察显示屏，就知道了自己在击剑时使用力度和剑体所处角度的具体数据，参照具体的数据，运动员可以更好地调整自己在击剑中使用的力度和控制剑体的角度。</t>
  </si>
  <si>
    <t>一种训练用剑</t>
  </si>
  <si>
    <t>CN103394184A</t>
  </si>
  <si>
    <t>本发明涉及一种以太阳能发电为供电源的训练用体操丝带，属于传感器物联网应用技术领域。太阳能电池通过导电线与光伏控制器连接，光伏控制器通过导电线与储能电池连接，储能电池通过导电线与轴加速度传感器连接；在运动员握住手柄挥动时，安装在手柄中的轴加速度传感器将感知的运动信息转换成电信号通过发射天线发射出去，信息处理器通过接收天线收取信息，并根据设定的程序处理信息，同时将处理完成的信息输入显示屏，显示屏上显示出运动员挥动手棒时所使用力度和手棒旋转直径大小的具体数值；通过显示屏上提供的数据信息，教练员可以摆脱抽象的语句，使用具体数值对运动员进行指导，运动员也有了具体数值进行参照，可以更好地调整好自己。</t>
  </si>
  <si>
    <t>一种以太阳能发电为供电源的训练用体操丝带</t>
  </si>
  <si>
    <t>CN103386183A</t>
  </si>
  <si>
    <t>本发明涉及一种以太阳能发电为供电源的训练用羽毛球拍，属于传感器物联网应用技术领域。储能电池通过导电线向轴加速度传感器供电，随着球拍的运动，轴加速度传感器将感知的运动信息转换成电信号并通过发射天线发射出去，信息处理器通过接收天线接收电信号，根据设定的程序进行处理，信息处理器存储处理完成的信息，并将处理完成的信息输入显示屏，在显示屏上显示运动员在击球过程中使用力度、球拍所处角度的具体数据；教练员可以采用具体的数据对运动员进行指导，运动员也有具体的数据作为参照，可以更容易地调整好自己在击球中使用的力度和控制好球拍所处的角度；同时，将清洁的太阳能光伏发电作为供电源，可以方便地进行充电、投入使用。</t>
  </si>
  <si>
    <t>一种以太阳能发电为供电源的训练用羽毛球拍</t>
  </si>
  <si>
    <t>WO2014022659A3</t>
  </si>
  <si>
    <t>隔离元音进行评估</t>
  </si>
  <si>
    <t>US20140073993A1</t>
  </si>
  <si>
    <t>一种使用语音分析识别受损脑功能(例如轻度外伤性脑损伤)的系统和方法。 在一个示例中,在每场比赛之后,在设备上记录了参加拳击比赛的运动员的记录。 在一个例子中,从录音中分离出元音,提取声学特征并用于训练几个单类机器学习算法,以预测运动员是否患有脑震荡。</t>
  </si>
  <si>
    <t>CN203379107U</t>
  </si>
  <si>
    <t>本实用新型多波长红外偏振光实时影像导引系统，将红外偏振成像技术应用到实时影像导引技术中，通过图像采集、目标图像识别、图像处理后，再将引导标识添加到目标图像处形成引导图像，最后将引导图像投影到待操作物体的表面，本实用新型适用于对浅表层物体的具体操作进行引导。一种多波长红外偏振光实时影像导引系统，包括光源模块、光学组件模块、成像模块、嵌入式控制模块、投影模块、电源模块和人机交互界面模块。本实用新型投影图像通过微投影光机准确地投影到待操作物体的表面，为操作者提供引导信息和方案，方便操作者做进一步的处理。</t>
  </si>
  <si>
    <t>多波长红外偏振光实时影像导引系统</t>
  </si>
  <si>
    <t>CN103393404B</t>
  </si>
  <si>
    <t>本发明多波长红外偏振光实时影像导引系统，将红外偏振成像技术应用到实时影像导引技术中，通过图像采集、目标图像识别、图像处理后，再将引导标识添加到目标图像处形成引导图像，最后将引导图像投影到待操作物体的表面，本发明适用于对浅表层物体的具体操作进行引导。一种多波长红外偏振光实时影像导引系统，包括光源模块、光学组件模块、成像模块、嵌入式控制模块、投影模块、电源模块和人机交互界面模块。本发明投影图像通过微投影光机准确地投影到待操作物体的表面，为操作者提供引导信息和方案，方便操作者做进一步的处理。</t>
  </si>
  <si>
    <t>KR101542658B1</t>
  </si>
  <si>
    <t>提供了一种选择传输参数和频谱分配设备的方法。选择传输参数的方法涉及收集频带信息,其中包括频率带宽和通信环境信息,包括噪声的功率密度,构成了多个单目标健身函数,该功能包括基于带宽适应性功能,使用两个频段,包括两个频带,使用频带信息和通信环境信息,构成通过为每个多个单目标适应性函数分配权重值获得的多目标健身函数,并通过将遗传算法应用于多算法来选择传输参数客观适应性功能。</t>
  </si>
  <si>
    <t>发明名称 用于动态频谱分配的传输参数设置方法和装置</t>
  </si>
  <si>
    <t>CN103353259A</t>
  </si>
  <si>
    <t>一种基于图像识别的射击自动报靶系统，该系统采用图像处理的方法进行靶环的自动识别计算，该系统包括：前端报靶模块，由CCD摄像头、图像接收、图像数据缓存(SDRAM)、DSP芯片、收/发模块、显示终端组成，接收控制中心的指令，控制图像采集的正确动作，完成图像识别并将射击成绩通过无线网络送到控制中心；控制中心，产生和维护射击比赛的数据库、管理比赛进程、完成射击人员设置及秩序的排列、打印比赛成绩和其它报表并兼做整个系统网络的服务器，协调整个系统的运行，提供远程查询。</t>
  </si>
  <si>
    <t>一种基于图像识别的射击自动报靶系统</t>
  </si>
  <si>
    <t>AU2013100792A4</t>
  </si>
  <si>
    <t>1 摘要 一种用于记录和映射用户的运动训练输出和进度的装置,包括放置在用户身体上用于测量心率的心率监测器,可以在免提模式下操作的语音记录装置,用于在计算机中输入运动数据。 实时和语音识别软件,用于翻译语音数据输入并将数据转录为软件程序,该软件程序集成从心率监测器接收的数据和语音数据,使用户、教练或训练员能够分析心率监测器数据和 实时运动数据。</t>
  </si>
  <si>
    <t>一种用于记录和映射受试者的活动或锻炼训练输出和进度的设备和方法。</t>
  </si>
  <si>
    <t>CN203276642U</t>
  </si>
  <si>
    <t>本实用新型公开了一种成语接龙比赛平台，属于语文教学及娱乐设施。该平台包括底盘、支撑杆、人机界面、电机、充气棒以及控制器；所述支撑杆的一端与底盘连接，其另一端与人机界面连接；所述电机通过支架安装在支撑杆的中部；所述充气棒的端部与电机的旋转轴连接；所述控制器包括单片机控制电路、时钟芯片、语音识别模块以及电机驱动电路。本实用新型提供了一种智能化的成语接龙比赛平台，并设有趣味性的惩罚措施，能够提高学生学习成语的积极性。</t>
  </si>
  <si>
    <t>一种成语接龙比赛平台</t>
  </si>
  <si>
    <t>CN103413114A</t>
  </si>
  <si>
    <t>本发明公开了一种基于支持向量机的溺水行为检测方法，本发明采用支持向量机作为机器学习的分类器，通过预先模拟得到溺水行为和正常游泳行为的视频序列样本训练支持向量机分类器，然后通过安装在水面上方的摄像头实时采集游泳池的视频图像序列，将监测到的视频图像序列输入训练好的支持向量机分类器，判断游泳者的行为状态，从而能够在现实公共游泳场所通过摄像头自动检测发现溺水者，能够最大限度的及时拯救生命，具有检测准确可靠、鲁棒性好、抗噪性能高、对光照变换适应性好的优点；而且本发明通过安装在水面上方的摄像头实施监控，系统实施成本低，具有极大的工程应用价值。</t>
  </si>
  <si>
    <t>一种基于支持向量机的溺水行为检测方法</t>
  </si>
  <si>
    <t>US20130316772A1</t>
  </si>
  <si>
    <t>[0001] 本发明涉及一种进行能够改变游戏模式的移动棒球游戏的方法,更具体地,涉及一种进行能够改变游戏模式的移动棒球游戏的方法,其中当棒球比赛在 在智能手机等用户终端中,游戏模式可以在完全由游戏服务器的人工智能(AI)进行游戏的所有者模式、仅通过投球和击球的细节进行的管理者模式中进行选择。 游戏服务器的AI,以及用户执行游戏的整个处理的玩家模式。</t>
  </si>
  <si>
    <t>一种可改变游戏模式的移动棒球游戏的进行方法</t>
  </si>
  <si>
    <t>CN203253135U</t>
  </si>
  <si>
    <t>本实用新型涉及一种便携式体育现场用战术讲解书写板，包括矩形壳体，在矩形壳体内设有微处理器和语音识别装置，在矩形壳体外部的正面设有LED液晶屏幕、控制开关、光线感应器、微型麦克风和扬声器，微型麦克风通过语音识别装置与微处理器电连接，微处理器通过扬声器输出语音信号，在矩形壳体外部的反面设有太阳能电池板，太阳能电池板通过蓄电池与微处理器连接。本实用新型结构简单合理，工作原理稳定可靠，将现有的触摸屏技术与太阳能电池技术融合在一起，在使用时，既可以临时书写战术安排，又可以调用事先安排的战术进行讲解，通过语音识别装置能够有良好的互动性，能够大大提高战术讲解的效率。</t>
  </si>
  <si>
    <t>便携式体育现场用战术讲解书写板</t>
  </si>
  <si>
    <t>CN203199069U</t>
  </si>
  <si>
    <t>本实用新型提供一种基于物联网的比赛机器人平台。包括两组相互垂直安装的全向车轮，全向车轮依靠车轮架固定在车体上，全向车轮由伺服电机来驱动，伺服电机驱动器安装在控制箱内；控制箱固定在车体中央，红外传感器安装在车体四周，光矩阵传感器以矩阵方式安装在车体中央下部，陀螺仪安装在控制箱上部，RFID读取头安装在控制箱外部；红外传感器、光矩阵传感器、陀螺仪、RFID读取头、伺服电机驱动器和ZIGBEE通讯模块分别与控制箱中的控制主板相连接。本实用新型不但能够满足目前各种机器人比赛中对机器人运动的要求，同时具备强大的组网协同能力和扩展能力。</t>
  </si>
  <si>
    <t>基于物联网的比赛机器人平台</t>
  </si>
  <si>
    <t>JP5920264B2</t>
  </si>
  <si>
    <t>本发明的一个目的是适当地指定期望的图像。 
  工具侧终端1安装到由成像装置2成像的被摄体所保持的网球拍300、用于输出与被摄体的运动相对应的信息的传感器、以及基于传感器输出的信息输出信息的传感器.以及确定装置,用于确定由成像装置2拍摄的图像中的对象的运动状态。 
  【选型图】图1</t>
  </si>
  <si>
    <t>图像识别装置、图像识别系统、图像识别方法和程序</t>
  </si>
  <si>
    <t>CN104061992A</t>
  </si>
  <si>
    <t>本发明涉及一种基于物联网技术的智能体重秤及实现方法，智能体重秤包括：体重秤主体、二维码标签、无线传输模块、移动终端应用、体重数据管理系统；所述的二维码标签粘贴在智能体重秤主体上；所述的无线传输模块通过有线与体重秤主板连接、通过无线与所述的个人数据管理系统连接；所述的移动终端应用安装在智能手机上，通过移动网络与所述的体重数据管理系统连接。本发明利用二维码、WiFi技术，不但具有体重自动测量、上传、保存、分析功能，而且用户可以在线咨询专家，获取体重控制及健身建议，提高了健身活动的合理性、针对性和科学性。</t>
  </si>
  <si>
    <t>一种基于物联网技术的智能体重秤及实现方法</t>
  </si>
  <si>
    <t>CN203291445U</t>
  </si>
  <si>
    <t>本实用新型公开了一种电动跑步机物联网适配器，包括：壳体、PCB主板、主控微处理器、电源管理芯片、无线收发模块、天线、比较器、上控板排线插座、下控板排线插座；所述PCB主板在壳体内；所述的主控微处理器、电源管理芯片、无线收发模块、天线、比较器、上控板排线插座、下控板排线插座焊接在所述的PCB主板上，通过PCB主板主线相连。本实用新型显著提高了利用跑步机进行跑步运动健身的趣味性和科学性，提升了普通电动跑步机的使用价值。</t>
  </si>
  <si>
    <t>一种电动跑步机物联网适配器</t>
  </si>
  <si>
    <t>CN104056428B</t>
  </si>
  <si>
    <t>本发明公开了一种电动跑步机物联网适配器及程序设计控制方法，一种电动跑步机物联网适配器，包括：壳体、PCB主板、主控微处理器、电源管理芯片、无线收发模块、天线、比较器、上控板排线插座、下控板排线插座；所述PCB主板在壳体内；所述的主控微处理器、电源管理芯片、无线收发模块、天线、比较器、上控板排线插座、下控板排线插座焊接在所述的PCB主板上，通过PCB主板主线相连；所述的电动跑步机物联网适配器程序设计控制方法包括：启动适配器、连接路由器、执行跑步程序、监控上控板、执行上控板指令、监控跑步机服务器和退出程序。本发明显著提高了利用跑步机进行跑步运动健身的趣味性和科学性，提升了普通电动跑步机的使用价值。</t>
  </si>
  <si>
    <t>一种电动跑步机物联网适配器及程序设计控制方法</t>
  </si>
  <si>
    <t>US9311597B2</t>
  </si>
  <si>
    <t>CN203196228U</t>
  </si>
  <si>
    <t>本实用新型涉及一种能与健身器结合的场景同步装置，包括有一个健身器，所述健身器中有电磁阻力源，所述健身器连接一个训练控制器，所述训练控制器包括有中央处理单元，围绕中央处理单元连接有LCD显示屏、触摸屏、人机交互按键、磁卡阅读器和信号输出输入接口，所述信号输出接口连接健身器中的电磁阻力源，所述信号输入接口连接多个与运动相关的信号传感器。本实用新型结构简单，操作方便；使用时，通过中央处理单元安装的数字化健身终端软件进入本装置，通过互联网接入相关运动网站，设定好相关参数后，模拟出相应的竞技场景，并同步采集运动者的脉搏、本装置可以将场景与运动健身有机的结合为一体，增加了运动的真实性、竞技性和趣味性。</t>
  </si>
  <si>
    <t>一种能与健身器结合的场景同步装置</t>
  </si>
  <si>
    <t>CN203108093U</t>
  </si>
  <si>
    <t>本实用新型为一种健身清洁机器人，属微电子自动控制技术新领域。该机器人包括在沙发载体上设置的具有人工智能的后折叠式按摩靠背及其上方的音乐理疗枕和其后置的前后折叠式仰卧起坐健身器，沙发前沿设置的伸缩式足底按摩器和沙发座箱内隐藏的吸尘器、万向行走轮、行走驱动装置、旋转式拖布以及设置于沙发扶手内按前摄像头、后视传感器、右视传感器、左视传感器接收的视距和图像信号指令执行万向行走、按摩健身、清洁卫生的智能控制器。该机器人与单纯清洁机器人比较具有全身多关节强身健体、吸尘、拖扫等保洁卫生多重功能，实现了家庭保洁的情趣化、智能化和强身健体，将繁杂的体力劳动变成一种自觉的健身乐趣，为家庭卫生保洁和全民健身开创了理想的升级换代技术和产品。</t>
  </si>
  <si>
    <t>健身清洁机器人</t>
  </si>
  <si>
    <t>CN103961839B</t>
  </si>
  <si>
    <t>本发明涉及一种基于物联网技术的智能跑步机及控制方法，跑步机包括：跑步机主体、二维码标签、无线传输模块、移动终端应用、跑步机数据管理系统；所述的二维码标签粘贴在跑步机主体上；所述的无线传输模块通过有线与跑步机电机驱动板连接、通过无线与所述的跑步机数据管理系统连接；所述的移动终端应用安装在智能手机和平板电脑上，通过移动网络与所述的跑步机数据管理系统连接。本发明根据个人参数及跑步运动锻炼的历史数据，制定科学的跑步程序，并控制跑步机按照跑步程序工作，增加了跑步健身的科学性、合理性、有效性。</t>
  </si>
  <si>
    <t>一种基于物联网技术的智能跑步机及控制方法</t>
  </si>
  <si>
    <t>CN203075619U</t>
  </si>
  <si>
    <t>本实用新型涉及一种网络化全自动发牌机系统，包括：①上位机总控部分实现对牌套的设置、管理及指挥电气控制部分；②下位机控制部分先摄取纸牌的图像，经识别处理后通过电气控制电路控制电机驱动机械部分；③电气控制电路，接受计算机的指令，通过电机驱动机械部分；④机械执行系统，完成对纸牌具体发牌的工作；⑤通信网络系统，把上位机和下位机连接形成网络系统。本实用新型旨在实现运用网络来连接各台自动发牌机，并将先进的神经网络技术用于图像识别，使发牌机能在同一时刻将同一组牌准确发至每组选手手中，实现比赛公平公正的原则。</t>
  </si>
  <si>
    <t>一种网络化全自动发牌机系统</t>
  </si>
  <si>
    <t>WO2013191727A1</t>
  </si>
  <si>
    <t>描述了一种用于检测运动运动员的跳跃并将该跳跃与其他运动员运动分开的方法和设备。 由运动员的动作生成的加速度计数据在计算设备中被接收。 计算设备用于将模糊逻辑隶属函数应用于与加速度计数据相关联的多个参数,以检测与跳跃相关联的模式。 基于模式的检测,数据的子集被识别为代表跳跃。 在计算设备中使用该确定来转换数据,从而将跳跃与其他运动员运动分开。</t>
  </si>
  <si>
    <t>使用模糊逻辑确定运动员跳跃的方法和装置</t>
  </si>
  <si>
    <t>CN103021136B</t>
  </si>
  <si>
    <t>本发明公开了一种基于物联网的游泳池溺水监控系统及监控方法，将RFID射频标签与摄像头有效结合判断溺水事件，采用脉搏监测器采集用户生理信息，利用位置检测网络与射频标签对游泳者进行定位，服务器根据生理信息与位置信息对游泳者是否溺水进行初步判断，然后调用摄像头对游泳者进行监控，通过监控图像与标准行为数据库进行模板匹配从而进一步准确判断，有效地提高了溺水事件的检测效率与准确性，缩短了发现溺水者的时间。并且由于采用生理信息与监控图像信息共同判断溺水，可以有效地减少溺水事件的误报率。</t>
  </si>
  <si>
    <t>一种基于物联网的游泳池溺水监控系统及监控方法</t>
  </si>
  <si>
    <t>CN302543284S</t>
  </si>
  <si>
    <t>1．本外观设计产品的名称：DVS物联网球机(007）。2．本外观设计产品的用途：用于具有物联信息的球形摄像机。3．本外观设计的设计要点：产品整体形状。4．最能表明设计要点的图片或者照片：立体图。5．省略后视图、仰视图和右视图。</t>
  </si>
  <si>
    <t>DVS物联网球机(007）</t>
  </si>
  <si>
    <t>CN302551826S</t>
  </si>
  <si>
    <t>1．本外观设计产品的名称：DVS物联网球机(006）。2．本外观设计产品的用途：用于具有物联信息的球形摄像机。3．本外观设计的设计要点：产品整体形状。4．最能表明设计要点的图片或者照片：立体图。5．省略仰视图和右视图。</t>
  </si>
  <si>
    <t>DVS物联网球机(006）</t>
  </si>
  <si>
    <t>CN302543283S</t>
  </si>
  <si>
    <t>1．本外观设计产品的名称：DVS物联网球机(008）。2．本外观设计产品的用途：用于具有物联信息的球形摄像机。3．本外观设计的设计要点：产品整体形状。4．最能表明设计要点的图片或者照片：立体图。5．省略仰视图和左视图。</t>
  </si>
  <si>
    <t>DVS物联网球机(008）</t>
  </si>
  <si>
    <t>CN302551825S</t>
  </si>
  <si>
    <t>1．本外观设计产品的名称：DVS物联网球机(009）。2．本外观设计产品的用途：用于具有物联信息的球形摄像机。3．本外观设计的设计要点：产品整体形状。4．最能表明设计要点的图片或者照片：立体图。5．省略仰视图和右视图。</t>
  </si>
  <si>
    <t>DVS物联网球机(009）</t>
  </si>
  <si>
    <t>CN102968506A</t>
  </si>
  <si>
    <t>本发明公开了一种基于扩展特征向量的个性化协同过滤推荐方法，属于计算机机器学习领域。其具体操作过程为：①确定用户/物品的扩展特征向量。②计算候选推荐物品的推荐值。③对候选推荐物品的推荐值按照从大到小的顺序进行排序。④选取前N个物品推荐给用户u。本发明方法与已有个性化推荐方法相比较，具有如下优点：①由于参与计算的信息更多，可以更准确地为用户给出推荐项目列表。②具有简单、易行、高效的特点，适合目前广泛流行的分布式计算应用。③可以从现有的关于用户和项目自身属性的信息，为新用户做出推荐，一定程度上减小了偏好信息缺乏对推荐结果的影响。</t>
  </si>
  <si>
    <t>一种基于扩展特征向量的个性化协同过滤推荐方法</t>
  </si>
  <si>
    <t>WO2013100403A1</t>
  </si>
  <si>
    <t>本发明提供一种技术,用户在用户联赛中注册由至少一个或多个具有预设征服点数的个人联赛组成的联赛巡回赛,在在线对战游戏中组队解决任务。 根据本发明的实施例的提供联赛巡回赛模式的方法包括联赛巡回赛模式提供服务器与属于预定用户联赛组的人工智能操作的对手在在线比赛中的比赛之后提供的联赛巡回赛模式-up game. 为用户终端提供联赛巡回赛模式,联赛巡回赛模式是至少由一个联赛组成的模式,在获得每个联赛预设的个人联赛积分后,可以与属于其他联赛的人工智能操作的对手对战。积分; 当从用户终端接收到联赛模式组队选择输入时,连接联赛模式组队用户界面,即在联赛模式下一起进行比赛的队伍。到联赛巡回赛模式界面,输出到与用户属于同一预定用户联赛的其他用户终端; 当联赛模式球队结束比赛时,根据比赛结果向该组提供联赛模式积分,并判断付费联赛模式积分是否大于或等于各联赛预设的个人联赛积分。 若本步骤支付的联赛巡回模式积分大于或等于各联赛预设的各联赛积分,则根据预设联赛的完成情况向用户终端输出预设福利信息。</t>
  </si>
  <si>
    <t>如何提供联赛巡回赛模式和服务器</t>
  </si>
  <si>
    <t>WO2013100399A1</t>
  </si>
  <si>
    <t>提供了一种游戏模拟管理方法及管理装置。 根据本发明的游戏模拟管理方法涉及在由用户操作的团队与由游戏的人工智能操作的多个团队之间根据赔率确定方法和锦标赛方法中的任一种进行的至少一种游戏在线体育游戏中的服务器。接收模拟项目的选择输入,模拟项目是允许人工智能在预设游戏中包含的游戏中模拟由用户而不是用户操作的球队的游戏结果的项目从用户终端通过游戏确定获胜队伍的模式; 模拟一个用户操作的队伍和多个人工智能操作的队伍按照预定的比赛模式进行比赛; 向用户终端提供模拟游戏结果。</t>
  </si>
  <si>
    <t>游戏模拟管理方法及管理装置</t>
  </si>
  <si>
    <t>WO2013100388A1</t>
  </si>
  <si>
    <t>它为在线体育游戏提供了一种新的多人游戏模式,提供了一种提高用户使用率的技术。 本发明实施例提供的一种在线体育游戏全民竞赛模式的方法,其中,提供在线体育游戏的服务器包括在最近一次全民竞赛中对应的比赛项目的实际体育比赛中,以及 一种游戏在选择属于每个包括的预定组的至少一个国家队中的一个的用户和选择与用户属于同一组的另一个国家队的另一个用户之间使用选定的国家队提供竞争性游戏。对于用户来说,这是一种模式; 一种能够输入来自用户终端的播放模式变更请求的菜单,其中,在接收到播放模式变更菜单的选择输入时,将该用户终端对应的用户的播放模式从第一播放模式变更为; 第二比赛模式,其是提供锦标赛式比赛的比赛模式,在比赛模式已被改变的第一数量的用户运营的队伍与由第二数量的服务器运营的人工智能运营的队伍之间预定数量的服务器。 向作为执行第二游戏模式的结果确定赢得锦标赛决赛的用户提供可在游戏中使用的预定补偿利益。</t>
  </si>
  <si>
    <t>一种在线体育比赛提供全国赛模式的方法及服务器</t>
  </si>
  <si>
    <t>US9433843B2</t>
  </si>
  <si>
    <t>公开了一种方法,涉及在穿越电子地图的越野路段时从用户的个人便携式训练设备接收 GPS 数据以及指示用户在运动期间的心率的相关数据。 使用指示用户的健康概况的数据来处理穿越该段的每个用户的位置和心率数据。 所得数据用于确定与该段相关联的归一化成本,指示遍历该段的难度。 成本数据是使用神经网络生成的。 分段网络中不同分段的最终成本数据用于根据所需的锻炼强度、健身水平等为用户生成路线建议。</t>
  </si>
  <si>
    <t>用于创建用于生成跨越电子地图的路线的成本数据的方法和设备</t>
  </si>
  <si>
    <t>WO2013075072A3</t>
  </si>
  <si>
    <t>公开了一种方法,涉及在穿越电子地图的越野路段时从用户的个人便携式训练设备接收 GPS 数据以及指示用户在运动期间的心率的相关数据。 使用指示用户的健康概况的数据来处理穿越该段的每个用户的位置和心率数据。 得到的数据用于确定与段相关联的归一化成本,指示遍历段的难度。 成本数据是使用神经网络生成的。 分段网络中不同分段的最终成本数据用于根据所需的锻炼强度、健身水平等为用户生成路线建议。</t>
  </si>
  <si>
    <t>一种创建成本数据的方法和设备,用于生成穿过电子地图的路线</t>
  </si>
  <si>
    <t>JP6199875B2</t>
  </si>
  <si>
    <t>公开了一种方法,该方法包括从用户的个人便携式训练设备接收GPS数据和指示用户在旅行期间穿越电子地图的越野路段时的心率的相关数据。 跨段的每个用户的位置数据和心率数据使用指示用户健康档案的数据进行处理。 所得数据用于确定与该段相关联的规范化成本,该成本指示穿过该段的难度。 成本数据是使用神经网络生成的。 分段网络中不同分段的所得成本数据用于基于期望的锻炼强度、健身水平等为用户生成路线建议。</t>
  </si>
  <si>
    <t>用于生成用于在电子地图上生成路线的成本数据的方法和设备</t>
  </si>
  <si>
    <t>EP2780667B1</t>
  </si>
  <si>
    <t>一种用于创建成本数据的方法和设备,用于生成跨电子地图的路线</t>
  </si>
  <si>
    <t>KR102117647B1</t>
  </si>
  <si>
    <t>公开了一种方法,包括在驾驶电子地图的越野路段时从用户的便携式个人训练设备接收 GPS 数据,以及表示用户在旅途中心率的相关数据。 使用表示用户的健身概况的数据来处理在该段行进的每个用户的位置和心率数据。 所得数据用于确定与该段相关联的归一化成本,其指示驱动该段的难度。 成本数据是使用神经网络生成的。 分段网络中不同分段的最终成本数据用于根据所需的锻炼强度、健身水平等为用户生成路线建议。</t>
  </si>
  <si>
    <t>用于在电子地图上生成路线的成本数据生成方法和装置</t>
  </si>
  <si>
    <t>AT993408T</t>
  </si>
  <si>
    <t>电子卡上的路线的运行和维护</t>
  </si>
  <si>
    <t>CN202933458U</t>
  </si>
  <si>
    <t>显示运动轨迹的冰壶 。在的冰壶在运动过程中无法预知和显示运动轨迹，只能够凭运动员的经验去判断，这样对训练的情况无法进行记录和总结，无法总结经验；更提高训练效果。 一种显示运动轨迹的冰壶，其组成包括 : 冰壶体（ 1 ），所述的冰壶体底部装有运动轨迹传感器（ 2 ），所述的运动轨迹传感器连接图像识别器 (3) ，所述的图像识别器连接存储器（ 4 ），所述的冰壶体底部连接底盖 (5) ，所述的冰壶体顶部连接带有把手 (6) 的上盖（ 7 ），所述的冰壶体底部连接壶刃（ 8 ）。本实用新型用于冰壶运动科研。</t>
  </si>
  <si>
    <t>显示运动轨迹的冰壶</t>
  </si>
  <si>
    <t>US20130109537A1</t>
  </si>
  <si>
    <t>一种工作空间健身设备,包括标准工作空间,例如电脑桌或隔间,多个布置在工作空间上或工作空间周围的身体活动设备,多个用于计算机操作的交互设备,包括键盘、指针和语音识别元件,例如 在不中断其他与工作相关的活动的情况下,促进身体活动以获得健身和健康益处。</t>
  </si>
  <si>
    <t>用于工作空间人体工程学和健身的方法和装置</t>
  </si>
  <si>
    <t>CN202892751U</t>
  </si>
  <si>
    <t>一种远程监控末端试水装置，外形呈直条型，为串接结构；属于消防领域；解决了常规末端试水装置需要现场操作，常有误关闭失效事故发生，过滤器精度过粗、电磁阀无手动启闭功能，结构庞大、不能远程联网监控的问题；远程监控末端试水装置配置了电磁阀、压力表、压力开关、标准流量孔板；体积小，便于隐蔽安装，使用寿命长；测试时，电动或手动打开电磁阀，系统出水，压力控制器动作输出反馈信号，显示系统动作正常；复位时，关闭电磁阀终止出水，压力控制器复位，显示系统复位正常；实现了建筑智能化、物联网在线检测、平安社会的管理要求；由电磁阀、压力表、表接头、压力控制器、过滤器、标准流量孔板、球阀、活接头接头、警示牌组成；在商场、影剧院、车站、宾馆、体育馆、高层建筑、展览馆具有广泛的应用前景。</t>
  </si>
  <si>
    <t>远程监控末端试水装置</t>
  </si>
  <si>
    <t>CN103713755B</t>
  </si>
  <si>
    <t>本发明公开了一种触摸识别装置，包括信号处理单元以及至少两个识别层不在同一平面的触摸信号检测装置，所述触摸信号检测装置均与所述信号处理单元连接，并将检测数据发送到所述信号处理单元，所述信号处理单元对接收的检测数据进行处理，获得表示立体触摸手势的手势数据。同时本发明还提供相应的识别方法及包括本发明触摸识别装置的人机交互系统。本发明利用多层触摸检测装置对立体空间的触摸动作进行识别，识别立体触摸手势，能够更好的引用到立体显示或立体操作系统，例如3D图像的触摸操作等。</t>
  </si>
  <si>
    <t>CN103699948A</t>
  </si>
  <si>
    <t>本发明公开了一种基于物联网技术的体育健身管理系统及实现方法，该系统硬件设备包括服务器，客户端设备，如PC机或平板电脑，网络交换机，数据采集控制器，数据传感器群组成的前端设备和人员身份卡。客户端设备和数据采集控制器通过网络与服务器连接，数据采集控制器固定安装在运动器械上或运动场馆内。本发明系统解决了传统健身领域中健身人员没有连贯性的数据记录，缺乏历史数据分析和比对；由于是单体运动，因此造成过程缺乏趣味性、枯燥乏味；健身教练或健身人员，由于缺乏相关的数据记录，无法对锻炼前后的情况进行对比，无法做到因材施教；系统还包含场内的信息发布屏，及时发布最新的运动信息。另外，本发明系统还能通过及时的数据采集对于健身者运动中出现的身体异常作出快速的判断，避免运动造成的人身伤害。</t>
  </si>
  <si>
    <t>一种基于物联网技术的体育健身管理系统及实现方法</t>
  </si>
  <si>
    <t>CN202843616U</t>
  </si>
  <si>
    <t>本实用新型公开了一种基于物联网技术的人体运动监测器及应用系统，监测器包括壳体、机芯，机芯安装在壳体内，壳体内还包括传感器模块、数据采集控制器、无线数据通讯模块，传感器模块与无线数据通讯模块连接数据采集控制器，数据采集控制器与供电模块相连；本实用新型还包含一种基于物联网技术的人体运动监测应用系统，可以实时通过无线网络或GPRS采集监测器的数据，并与监测器和监测器授权监护或管理者形成互动。本实用新型设计解决了人们在健身、参加户外运动和医疗保健监测等应用时，无法记录、存贮运动数据，以及户外活动中人员发生意外、迷路和人员走失和无法与外界联系等问题。</t>
  </si>
  <si>
    <t>一种基于物联网技术的人体运动监测器及应用系统</t>
  </si>
  <si>
    <t>CN202795452U</t>
  </si>
  <si>
    <t>本实用新型公开了一种基于物联网的体育健身管理系统，包括服务器，管理客户端PC，网络协调器，数据采集控制器，管理客户端PC通过互联网与服务器连接，并通过网络协调器连接数据采集控制器，数据采集控制器固定安装在运动器械上或运动场馆内。本实用新型设计的基于物联网的体育健身管理系统解决了传统健身领域中，健身人员无法连贯性记录、存贮健身数据及了解历史数据，不能根据健身人员的具体情况做到因材施教，运动过程枯燥乏味等问题。</t>
  </si>
  <si>
    <t>一种基于物联网的体育健身管理系统</t>
  </si>
  <si>
    <t>CN202777713U</t>
  </si>
  <si>
    <t>本实用新型公开一种比赛计分系统，包括处理器、至少一个打分终端；处理器包括存储器、数据处理模块、人机界面、网络接口；存储器通过网络接口与打分终端连接，用于存储打分终端输入的数据；数据处理模块与存储器连接，用于处理存储器提供的相关数据并将处理结果返回到存储器；人机界面与存储器连接，为处理器提供人机交互功能。本实用新型为比赛的信息化管理提供了一种方式。</t>
  </si>
  <si>
    <t>比赛计分系统</t>
  </si>
  <si>
    <t>JP2014061786A</t>
  </si>
  <si>
    <t>提供了一种能够提高安全性和娱乐性的移动对象和程序。 
  用于对运动物体的周围进行成像的成像单元、可进行指向性控制的扬声器、用于判断运动物体是否处于跑步模式的判断单元、以及在跑步模式下的成像单元。控制扬声器输出a基于所拍摄的拍摄图像识别朝向警告目标的预定音频,并且在非运行模式下,控制扬声器全方位地输出预定音频,并且扬声器控制单元用于控制。</t>
  </si>
  <si>
    <t>移动和程序</t>
  </si>
  <si>
    <t>WO2013041445A1</t>
  </si>
  <si>
    <t>该系统利用处理器和人工智能装置分析高尔夫挥杆,预测挥杆参数,包括球员体内产生的各个关节力量。 深度相机和测力台系统用于测量处理器和人工智能装置的输入。 人工智能装置通过来自大型高尔夫挥杆数据库的运动捕捉、深度相机和测力台相关参数进行训练。 该系统产生即时分析,玩家无需教练或其他方的帮助即可使用。</t>
  </si>
  <si>
    <t>分析高尔夫挥杆的装置和方法</t>
  </si>
  <si>
    <t>US9326704B2</t>
  </si>
  <si>
    <t>KR1020140032541A</t>
  </si>
  <si>
    <t>本发明是一种在比赛中发生通信故障时自动切换到游戏人工智能的在线移动游戏发生通信故障时从在线移动游戏切换到游戏人工智能(AI)的方法和系统让对方在不知不觉中享受游戏的乐趣,就是关于 本发明的方法包括:智能终端根据用户的操作执行在线移动游戏应用程序;智能终端或游戏服务器接收游戏模式的输入; 若游戏模式为在线对战模式,则游戏服务器在提供在线手游时监听通信失败; 如果检测到通信失败,则游戏服务器等待预定时间并处理返回; 如果恢复失败,则游戏服务器获取通信失败侧用户的游戏信息;游戏服务器的游戏人工智能模块根据通信失败侧代理用户的游戏。获取的游戏信息; 以及在没有通讯故障的用户与游戏人工智能模块的比赛结束时处理游戏结束,使得在出现通讯故障时,可以完成在线手游,同时对游戏人工智能模块隐藏通讯故障。对方。</t>
  </si>
  <si>
    <t>网络手游通信故障如何切换到游戏人工智能</t>
  </si>
  <si>
    <t>US20140206481A1</t>
  </si>
  <si>
    <t>一个仪器( 10 ( 12 ) 在玩家的手臂上。 例如,它包括带有麦克风的语音识别装置,特别是还包括运动传感器或其他传感器。 传感器可以记录并随后评估来自球员的与网球比赛相关的数据。</t>
  </si>
  <si>
    <t>网球比赛数据采集装置</t>
  </si>
  <si>
    <t>WO2013029191A1</t>
  </si>
  <si>
    <t>一种用于捕获网球比赛数据的装置(10)优选地是可以佩戴在运动员身上的装置的形式,特别是在运动员的手臂上具有臂带(12)。 例如,它包括带有麦克风的语音识别装置,尤其还有运动传感器或其他传感器。 传感器可以记录并随后评估来自球员的与网球比赛相关的数据。</t>
  </si>
  <si>
    <t>捕捉网球比赛数据的装置</t>
  </si>
  <si>
    <t>EP2747853A1</t>
  </si>
  <si>
    <t>CN103857446B</t>
  </si>
  <si>
    <t>本公开涉及用于捕捉网球比赛数据的设备及其数据处理方法。用于捕捉网球比赛数据的设备（10）优选为以下形式的设备，该设备能够被佩戴在选手的身体上，特别是在选手的手臂上佩戴臂带（12）。通过示例的方式，所述设备包括具有麦克风的语音识别装置以及特别地还具有运动传感器或另外的传感器。所述传感器能够记录并且之后评估来自所述选手的与网球比赛相关的数据。</t>
  </si>
  <si>
    <t>用于捕捉网球比赛数据的设备及其数据处理方法</t>
  </si>
  <si>
    <t>CN103576585A</t>
  </si>
  <si>
    <t>人工智能全自动修复电动车控制器及其语音喇叭装置，包括主机外壳、控制器电路、与控制器电路中的单片机电路电连接的分类信号输出接线端，与分类信号输出接线端电连接的语音喇叭装置，没有一键修复信号输入接线端。电动车遇故障时，单片机电路根据相关端口异常电信号的变化而自动检测出故障种类，自动完成修复并控制转动调速把手时驱动电路输出低速行驶驱动电源。同时，单片机电路向分类信号输出接线端输出故障分类信号，让语音喇叭装置用语音提示已临时修复的故障类别，可低速行驶。本发明较好地应用人工智能技术、全自动完成故障修复工作，免去了车主遇故障停车、必须先学习再动手完成一键修复的具体操作方法后、才能低速行驶的麻烦。</t>
  </si>
  <si>
    <t>人工智能全自动修复电动车控制器及其语音喇叭装置</t>
  </si>
  <si>
    <t>CN203593076U</t>
  </si>
  <si>
    <t>人工智能全自动修复电动自行车，包括由电动自行车和人工智能全自动修复电动自行车控制器及其语音喇叭装置组成，在电动自行车的电路系统中包括安装了人工智能全自动修复电动车控制器及其语音喇叭装置。本实用新型较好地应用人工智能技术、全自动完成故障修复工作，免去了一键修复系统电动自行车遇故障先停车、车主必须先学习再动手完成一键修复的具体操作方法后、才能低速行驶的麻烦。</t>
  </si>
  <si>
    <t>人工智能全自动修复电动自行车</t>
  </si>
  <si>
    <t>CN103770867A</t>
  </si>
  <si>
    <t>人工智能全自动修复电动自行车，遇故障时，其控制器单片机电路根据相关端口异常电信号的变化而自动检测出故障种类，自动完成可以修复的故障，并控制控制器处于低速行驶状态，即转动车的调速把手时控制器的驱动电路只输出低速行驶驱动电源，电动自行车只能低速行驶。同时，控制器单片机电路向分类信号输出接线端输出故障分类信号，让与其电连接的语音喇叭装置即语音喇叭或带语音喇叭功能的防盗器用语音提示已临时修复的故障类别，可低速行驶。本发明较好地应用人工智能技术、全自动完成故障修复工作，免去了一键修复系统电动自行车遇故障先停车、车主必须先学习再动手完成一键修复的具体操作方法后、才能低速行驶的麻烦。</t>
  </si>
  <si>
    <t>US8613241B2</t>
  </si>
  <si>
    <t>一种用于水环境中的约束装置包括多个卷须,当未经授权的游泳者靠近约束装置时,这些卷须可以从水下装置发射。 中央指挥部促进了约束装置神经网络中的数据通信,该中央指挥部具有将约束装置(通常是水雷)引导至目标的能力。</t>
  </si>
  <si>
    <t>水上约束装置</t>
  </si>
  <si>
    <t>GB2506575A</t>
  </si>
  <si>
    <t>一种内容交付服务器设备和交互平台,用于交付内容并控制与场地、位置边界、公共显示器和建筑物相关的各种界面。 本发明涉及例如从多个内容源接收对内容和源内容的请求的类型的内容递送系统。 本发明还涉及物联网、WC3标准、智能手机、地理定位、传感器、游戏化、可参考的标识符设备(如条形码和Qr码)、智能手机、公共显示器和可以链接到客户列表、忠诚度的增强现实 程序和大型数据库或所谓的“大数据”。 个性化内容交付可用于商业、购物、时尚、健康、健身、运动、教育、游戏以及可以交付内容的任何其他部门或应用。 内容递送服务器装置包括处理资源、通信接口,其中处理资源被配置为支持交互平台以允许多个用户通过使用交互平台参与以便在使用时接收识别信息 从多个用户传达的内容,平台具有与其相关联的多个操作规则,并被设置为分别接收与多个用户相关联的多个参与者识别信息,通过与交互平台的交互,处理资源是 被布置成分别获得与多个识别的参与者相关的多个简档信息,并且处理资源被布置成使用多个参与者识别信息或多个简档信息来生成多个识别出的基于简档的表征 参与者 裤子。</t>
  </si>
  <si>
    <t>内容分发系统</t>
  </si>
  <si>
    <t>CN103566531B</t>
  </si>
  <si>
    <t>本发明涉及一种基于物联网技术的智能跑步机实现方法。智能跑步机通过增加无线模块或网关接入到互联网，每台智能跑步机都有一个唯一的地址；使用者利用跑步机开始锻炼前，首先把跑步机代码和使用者ID通过手机或移动平板电脑发送到云端服务器，服务器从数据库中检索出跑步机和使用者的详细信息，制定个性化的运动程序，回传到手机或移动平板电脑，手机或移动平板电脑屏幕显示跑步机模拟表盘。当然，根据需要该跑步机也可以去掉传统的物理的电子表盘，使用者通过模拟表盘发出运动程序指令，指令通过互联网网关送达跑步机，跑步机执行工作，运动结束后手机或移动平板电脑自动保存并上传本次运动的数据，云端服务器根据运动数据作出评估报告，反馈给使用者。</t>
  </si>
  <si>
    <t>一种基于物联网技术的智能跑步机实现方法</t>
  </si>
  <si>
    <t>JP5978027B2</t>
  </si>
  <si>
    <t>一种具有语音输入/输出单元和用于驱动连接到基体的用于行走运动的移动机构的致动器的移动机器人,其中考虑语音输入/输出单元的语音识别率来计算增益。提供移动机器人。 
  用于跑步和步行运动的移动机构和用于工作运动的工作机构连接到基体,用于驱动它们的多个致动器,并且通过将目标值和检测值之间的偏差乘以增益来控制。它计算值并将其提供给致动器以控制移动机构等的操作,识别从麦克风输入的人声,产生响应,并操作语音输入/输出单元使其从扬声器说话。用于要控制的移动机器人的控制装置,当仅控制语音输入/输出单元的操作时,计算要提供给多个致动器中的至少一个致动器的控制值的增益为最小值( S10、S12、S14)。 
  【选型图】图6</t>
  </si>
  <si>
    <t>移动机器人控制器</t>
  </si>
  <si>
    <t>US61663439P0</t>
  </si>
  <si>
    <t>KR101342404B1</t>
  </si>
  <si>
    <t>本发明涉及一种使用语音识别的电子告示牌图像控制系统,该系统可以根据播音员在体育场等处的评论控制电子告示牌的输出图像。特别是一种接收播音员语音输入并在至少一个用于在体育场内拍摄图像的室内广播系统,包括一台摄像机 通过接收播音员麦克风输入的语音信号来识别语音,当根据语音识别结果在语音信号中包含预设的特定词时,选择与该特定词对应的相关图像并显示图像在电子板上生成电子显示控制装置; 电子标牌接收来自电子标牌控制装置的图像信号,并将图像信号显示在预设的屏幕区域上。</t>
  </si>
  <si>
    <t>使用语音识别的电子标牌图像控制系统和方法</t>
  </si>
  <si>
    <t>KR101325541B1</t>
  </si>
  <si>
    <t>[0001] 本发明涉及一种用于处理能够改变游戏模式的移动棒球游戏的方法,更具体地,涉及一种用于处理能够改变游戏模式的移动棒球游戏的方法,当在用户终端中玩棒球游戏时, 例如智能手机,能够改变任何一种模式,允许游戏完全由游戏服务器的人工智能进行游戏的团队所有者模式,允许游戏服务器仅操作投球和击球细节的经理模式 通过人工智能,玩家模式允许用户完全操作游戏。 根据本发明,当用户通过使用诸如智能手机的移动终端享受棒球比赛时,用户可以根据用户的情况以及用户干预的程度以适当的方式享受比赛。 在游戏中的控制被控制,从而增加了用户的兴趣。 [附图标记] (100)用户终端; (200)互联网; (300)游戏服务器; (302)游戏进程模块; (304)进程信息数据库; (306)游戏模式改变模块</t>
  </si>
  <si>
    <t>如何进行可以更改游戏模式的手机棒球游戏</t>
  </si>
  <si>
    <t>CN102755726A</t>
  </si>
  <si>
    <t>本发明公开了一种基于商业体育比赛卡巴迪计时记分系统，包括一比赛控制端和若干输入/输出端，所述输入/输出端与所述比赛控制端交互连接，用于人机交互；所述比赛控制端包括：记分系统，与控制模块连接，用于与控制模块交互得分信息；计时系统，与控制模块连接，用于计时并将该计时信息实时传送至控制模块；控制模块，与所述记分系统和计时系统连接，用于与所述输入/输出端交互得分信息和计时信息。相对于现有技术，本发明所述的记分系统具体良好的通用性能，方便对比赛数据进行管理和公布。</t>
  </si>
  <si>
    <t>基于商业体育比赛卡巴迪计时记分系统</t>
  </si>
  <si>
    <t>CN202751768U</t>
  </si>
  <si>
    <t>本实用新型公开了一种基于商业体育比赛卡巴迪计时记分系统，包括一比赛控制端和若干输入/输出端，所述输入/输出端与所述比赛控制端交互连接，用于人机交互；所述比赛控制端包括：记分系统，与控制模块连接，用于与控制模块交互得分信息；计时系统，与控制模块连接，用于计时并将该计时信息实时传送至控制模块；控制模块，与所述记分系统和计时系统连接，用于与所述输入/输出端交互得分信息和计时信息。相对于现有技术，本实用新型所述的记分系统具体良好的通用性能，方便对比赛数据进行管理和公布。</t>
  </si>
  <si>
    <t>AU2012100688A4</t>
  </si>
  <si>
    <t>此移动网站/应用程序(PT 高级版)是一个完全互动的程序,将普通用户、健身专业人士、健康专家和所有相关的健康专业人士联合在一起。 主要功能是链接到用户目标和/或评估选择的推荐系统。 评估利用可以提出纠正建议和/或推荐建议的参考线软件</t>
  </si>
  <si>
    <t>pt高级</t>
  </si>
  <si>
    <t>KR101395233B1</t>
  </si>
  <si>
    <t>本发明涉及一种通过系统中的监视操作来降低功耗的技术,该系统执行通过监视要监视的目标的出现来控制系统的操作的功能。 
  为此,在本发明中,监控操作的整体操作不在计算单元中执行,而是图像传感器模块周期性地执行图像识别功能以确定待监控目标是否出现和消失。将监控数据发送至计算单元,计算单元仅在接收到来自图像传感器模块的监控数据时才对监控数据进行计算和处理,最后根据计算处理的结果判断目标是否出现或消失,以及相应地执行控制操作。它被用来做 
  支持本发明的国家研发计划 
  项目编号10040246 部门名称 知识经济部 研究项目名称 工业源技术开发项目 研究项目名称 开发机器人视觉Soc和模块,用于通过移动机器人的稳定图像采集获取3D深度信息和实时物体识别 
  贡献率1/1 主管机关电子元器件研究所 研究期 2011.06.01 ~ 2015.05.31</t>
  </si>
  <si>
    <t>发明名称具有省电功能的图像识别系统</t>
  </si>
  <si>
    <t>CN202615314U</t>
  </si>
  <si>
    <t>本实用新型公开了一种家庭亲子互动系统，其包括中央处理器、以及与中央处理器连接的存储模块、触控显示模块、语音识别模块和手势识别模块。中央处理器为ARM+DSP双核处理器。存储模块包括均与中央处理器连接的DRAM和NAND FLASH；互动系统还扩展有与中央处理器连接的SD卡接口。互动系统包括的通讯模块包括与中央处理器连接的互联网应用模块、局域网应用模块和USB接口模块。所述家庭亲子互动系统，主要应用于家庭的亲子和教育场合，将一家人从单独的网络和电视活动重新拉回到客厅聚合在一起，进行益智学习和娱乐，利用新兴的手势识别、语音识别和网络功能，全家人在一起进行智力比赛，猜谜语，玩游戏，同时可以自动记录父母陪同小孩的时间，给家长起一个监督作用。</t>
  </si>
  <si>
    <t>一种家庭亲子互动系统</t>
  </si>
  <si>
    <t>CN202637820U</t>
  </si>
  <si>
    <t>本实用新型涉及一种跑步机，提供了一种语音控跑步机，其主旨在于解决盲人在使用跑步机的过程中对跑步机速度等工作状态的控制不方便等问题。该语音控制跑步机，包括跑步机，所述跑步机配置有语音识别控制单元，所述语音识别控制单元包括顺序连接的用于采集语音信号的前端处理单元、用于识别处理语音信号和发出控制信号的语音识别单元和根据语音识别单元发出的控制信号给主控制单元，控制单元控制根据控制信号控制跑步机工作状态。本实用新型具有语音识别功能，通过对语音命令信号的识别，控制跑步及机的工作状态，解决了盲人使用跑步机中控制跑步机工作状态的不便。</t>
  </si>
  <si>
    <t>一种语音控跑步机</t>
  </si>
  <si>
    <t>CN102749991B</t>
  </si>
  <si>
    <t>本发明提供一种适用于人机交互的非接触式自由空间视线跟踪方法，包括以下步骤：实时人脸及眼睛定位跟踪、眼动生物特征信息提取、建立基于眼睛生物特征信息的眼动模型和构建眼动模型与眼睛注视物体的映射关系模型等。本发明涉及到图像处理、计算机视觉、模式识别等多个交叉领域，在新一代人机交互、残疾人辅助、航空航天相关领域、体育运动、汽车飞机驾驶、虚拟现实和游戏等领域有着广泛的应用前景，此外对提高残疾人生活和自理水平，构建和谐社会，提高我国人机交互、无人驾驶等高新技术领域的自主创新能力有着极大的现实意义。</t>
  </si>
  <si>
    <t>一种适用于人机交互的非接触式自由空间视线跟踪方法</t>
  </si>
  <si>
    <t>CN102622085A</t>
  </si>
  <si>
    <t>多维感官人机交互系统及交互方法，是一种基于头部姿态控制、语音控制和键盘鼠标操作等交互方式相结合的多维感知人机交互系统及方法，由8个模块组成：用户信息采集模块、用户信息识别分析模块、头部姿态控制功能模块、语音控制功能模块、存储模块、界面交互模块、自定制模块和程序控制模块。该方法通过采集用户信息、识别分析用户信息、头部姿态控制或语音控制功能实现、用户界面输出4个过程实现。本发明具有适用范围广、可维护性好、扩展性好等优点。此外，该系统为计算机用户提供了一种新颖的人机交互的处理方法，对于普通用户提高操作效率、颈部健身，以及老年人学习计算机，都有很大的帮助。</t>
  </si>
  <si>
    <t>多维感官人机交互系统及交互方法</t>
  </si>
  <si>
    <t>CN202512803U</t>
  </si>
  <si>
    <t>一种基于DSP的智能机器人实验开发平台，包括DSP控制器，DSP控制器分别连接直流有刷电机驱动电路、单片机显示控制器、电源电路、扩展总线接口和人机交互电路，其中直流有刷电机驱动电路连接直流电机，其中单片机显示控制器连接显示器。本平台具有突出的扩展性能、高速、低功耗的处理系统、以及由浅入深的流程图、C语言、汇编语言编程环境是该智智能机器人平台的重要特色，可以发掘学生对自身对于知识、能力、未来发展的直接体验和构想。本实用新型具有很强的通用性，可以作为竞赛机器人的本体机器人，加以扩展后可以组合成各种竞赛机器人参加各类比赛，也可为中小学机器人教学提供一个教学和竞赛的通用平台。</t>
  </si>
  <si>
    <t>基于DSP的智能机器人实验开发平台</t>
  </si>
  <si>
    <t>CN103037567A</t>
  </si>
  <si>
    <t>本发明是全新概念的、物联网控制的节能照明系统。灯具采用点光源阵列，控制系统由集成在灯具上的控制节点、若干个无线网关和云计算平台组成。每个灯具上配置一个控制节点，带有一个无线/有线应答器。灯具内包含多个传感器，监测环境亮度、机动车流量与行人数量等多个基础数据。本发明构筑了一个覆盖照明区域的分布式云照明阵列，各灯具通过应答器互相识别，自动组成局域网，通过无线网关连接云计算平台。灯具的传感器监测到相应数据后，由无线网关发送到云计算平台，云计算平台根据实时监测数据，动态管理云照明阵列的工作，实现了灯具节能与管理节能的强强组合，达到极高的节能率。本发明是大功率HID灯具的节能换代产品，非常适用于道路、展厅、机场、体育馆等大空间场所。</t>
  </si>
  <si>
    <t>基于物联网云平台的云照明阵列</t>
  </si>
  <si>
    <t>CN202422340U</t>
  </si>
  <si>
    <t>一种用于室内体育场馆的自动报警灭火系统，包括探测装置、图像处理单元、融合单元、主控制单元、智能控制单元、报警单元，所述探测装置包括若干个摄像头、传感器，其中摄像头与图像处理单元相连，传感器与融合单元相连；所述图像处理单元和融合单元分别与主控单元相连，该主控单元上连接有智能控制单元和报警单元；智能控制单元与全方位喷头相连，报警单元与终端用户相连。本实用新型具有自动灭火、可靠性高、实时性强、可迅速定位、抗干扰能力强等优点。采用探测器和摄像装置双重的探测形式，采用图像识别的力法，保证了报警的可靠性与实时性。克服了传统的探测器不能准确报警，容易产生误报等缺点。</t>
  </si>
  <si>
    <t>一种用于室内体育场馆的自动报警灭火系统</t>
  </si>
  <si>
    <t>IR74893B-该数据不支持导出</t>
  </si>
  <si>
    <t>CN103182173A</t>
  </si>
  <si>
    <t>本发明涉及一种物联网健身系统。本发明的基于RFID技术的物联网健身系统，包括IC卡、RFID模块、读卡器、无线通信模块、无线接收模块、PC机、主处理器，IC卡通过RFID模块与读卡器通讯，读卡器分别与无线通信模块、主处理器连接，无线通信模块与无线接收模块之间通讯，无线接收模块与PC机连接。本发明的一个显著效果就是可以将用户的健身数据有效的积累下来并加以分析利用反馈给用户，在这个闭环中实现对用户健身的更针对性的科学指导。引入的RFID识别技术将用户信息与健身数据完美结合，为人员较多的健身场所提供了极大地便利，同时无线传输技术也省去了多套健身器材与PC之间的布线带来的麻烦。</t>
  </si>
  <si>
    <t>基于RFID技术的物联网健身系统</t>
  </si>
  <si>
    <t>KR101285743B1</t>
  </si>
  <si>
    <t>提供了一种游戏模拟管理方法及管理装置。 根据本发明的游戏模拟管理方法涉及至少一种在由用户操作的团队与由人工智能操作的多个团队之间根据胜率确定方法和锦标赛方法中的任何一种进行的游戏。在线体育游戏中的游戏服务器。接收模拟项目的选择输入,模拟项目是允许人工智能在预设中包含的游戏中模拟由用户而不是用户操作的球队的比赛结果的项目从用户终端通过游戏确定获胜队的游戏模式; 模拟用户操作的一支球队与人工智能操作的多个球队之一按照预设的比赛模式进行比赛,并将模拟比赛结果提供给用户终端。</t>
  </si>
  <si>
    <t>KR101181033B1</t>
  </si>
  <si>
    <t>提供一种在用户联赛会议中为已注册由至少一个或多个具有预设征服点的在线比赛游戏的个人联赛组成的联赛巡回赛的用户组成团队并解决任务的技术。 在根据本发明实施例的联赛巡回模式提供方法中,联赛巡回模式提供服务器属于在线比赛游戏中预设的用户联赛,联赛巡回模式是在与对手操作的比赛之后提供的。人工智能:向用户终端提供联赛巡回赛模式,该模式是由至少一个单独联赛组成的模式,当每个联赛获得预设的单独联赛积分时,能够与属于另一个联赛的人工智能操作的对手进行比赛通过积分联赛; 当从用户终端接收到用于组建联赛巡回模式球队的选择输入时,用于组建联赛巡回模式球队的用户界面连接到联赛巡回模式画面,输出到属于预设用户联赛的另一用户终端,如用户; 联赛巡回赛球队结束比赛时,根据比赛结果向该组支付联赛巡回赛积分,并确定支付联赛巡回赛积分是否大于或等于每个联赛预设的个人联赛积分; 如果步骤中支付的联赛巡回赛模式积分大于或等于为每个联赛预设的各个联赛积分,则根据预设联赛表演的完成情况向用户终端输出预设的福利信息。</t>
  </si>
  <si>
    <t>KR101432482B1</t>
  </si>
  <si>
    <t>提供了一种通过在在线体育游戏中提供新颖的多人游戏模式来提高用户利用率的技术。 根据本发明的一个实施例,一种在网络体育游戏中提供国战模式的方法,包括以下步骤:网络体育游戏服务器向用户提供第一游戏模式, 是一种游戏模式,用于提供从最近的国家对战比赛中包括的国家队中选择一个球队并属于国家对国家对战比赛中包括的每个预定组的另一个用户之间使用国家队进行比赛的游戏模式。 从游戏类别对应的真实体育游戏中选择了与用户属于同一组的国家队; 当针对播放模式改变菜单做出选择输入时,将与用户终端对应的用户的播放模式从第一播放模式改变,该播放模式改变菜单是可以通过其从用户终端做出播放模式改变请求的菜单 ; 提供第二游戏模式,该游戏模式用于在由其游戏模式被改变的预定第一数量的用户管理的团队与由预定第二数量的服务器的人工智能管理的团队之间提供锦标赛型游戏; 向作为运行第二游戏模式的结果确定为锦标赛决赛获胜者的用户提供可在游戏中使用的预定补偿利益。</t>
  </si>
  <si>
    <t>发明名称 一种在线体育游戏中提供国赛模式的方法及服务器</t>
  </si>
  <si>
    <t>CN102622167B</t>
  </si>
  <si>
    <t>本发明涉及多媒体操作方法相关技术领域，特别是一种基于图像识别的车辆多媒体操作方法。所述方法包括：步骤1，第二主机预先获取多个由第一主机产生的原车人机界面数据及相应的第一主机的第一命令，并把原车人机界面数据的特征区域及第一命令配对保存在特征数据库；步骤2，第二主机接收第一主机发送的原车人机界面数据，在特征数据库中寻找与原车人机界面数据具有相同特征区域的数据，获取对应的第一命令，并执行第一命令。本发明的特点是不需要通过增加过多通信接口，不需要对别的通信网络的协议进行开发与研究。相对常用方法，功能更完善，降低开发难度、减少开发周期，降低开发成本，提高产品价格竞争力。</t>
  </si>
  <si>
    <t>一种基于图像识别的车辆多媒体操作方法</t>
  </si>
  <si>
    <t>CN202374535U</t>
  </si>
  <si>
    <t>本实用新型提供LED物联网球泡灯，其结构包括内置的物联网电源、LED灯板和控制电路，所述物联网电源为LED灯板供电，物联网电源还通过控制电路经信号输出接口将信号发送到用户控制端，所述物联网电源和控制电路均由市电供电。该LED物联网球泡灯和现有技术相比，将灯具和控制有效的结合，可以根据具体的应用环境调节物联网球泡灯的工作状态，改变球泡灯的发光亮度，更好的发挥LED球泡灯的节能作用和装饰作用。</t>
  </si>
  <si>
    <t>LED物联网球泡灯</t>
  </si>
  <si>
    <t>CN102630593B</t>
  </si>
  <si>
    <t>一种宠物自动健身喂食装置：有分别与控制单元相连接的跑步计数单元、人机交互单元、喂食器和选通图案单元，以及分别向控制单元、跑步计数单元、人机交互单元、喂食器和选通图案单元提供电源的供电单元。控制单元有第一控制器，与第一控制器相连的第二控制器和第三控制器，第一控制器连接跑步计数单元和选通图案单元，第二控制器连接喂食器，第三控制器连接人机交互单元。本发明可以将宠物的健身和喂食功能统一起来。在宠物健身的同时，通过宠物健身的运动量，合理的设定我所喂食的食物的量，从而达到一个科学的比例，让宠物不会过度饥饿或者过度肥胖，保持了宠物的健康。同时本装置也支持食物的定时定量设计，包含大部分现有宠物自动喂食器的功能。</t>
  </si>
  <si>
    <t>宠物自动健身喂食装置</t>
  </si>
  <si>
    <t>KR101276746B1</t>
  </si>
  <si>
    <t>目的:提供一种台球比赛进程和记录保存系统,用于在台球比赛进程中方便地存储选手在台球杆上的成功或失败位置和击球点的信息,并在台球完成后检查存储的位置信息 游戏。 组成:台球游戏进程和记录保存系统(100)包括一个输入单元(110),一个游戏设置单元(120),一个数据处理单元(130),一个数据存储单元(131),一个输出单元(140) )、图像捕捉单元和图像识别处理单元。 数据存储单元包括简化和说明台球排列的位置图像列表。 数据处理单元存储图像和通过将图像与球员信息匹配而选择的球员信息,并通过将图像捕获单元传输的图像划分为台球时的成功位置和失败位置来累积图像。 游戏进行了。 数据处理单元将累积的成功位置和失败位置中的至少一个位置图像与对应的玩家进行匹配,并在台球游戏结束后存储匹配信息。 数据处理单元通过输入单元输入选手的得分,并在一局结束时从传输的图像中分离出失败的位置。 [参考数字] (110)输入单元; (120) 游戏设置单元; (130) 数据处理单元; (131)数据存储单元; (140) 输出单元</t>
  </si>
  <si>
    <t>台球比赛进度及记录管理系统</t>
  </si>
  <si>
    <t>CN102512814B</t>
  </si>
  <si>
    <t>本发明公开了基于语音识别的智能电子记分牌，包括话筒、控制器、驱动电路、LED显示电路和接口电路、电源电路。裁判员根据现场比赛情况，在话筒前宣布当前比分，话筒将裁判员信号传送到控制器进行识别，识别出裁判员的语音内容，将比分通过LED显示电路显示出来，驱动电路用于驱动LED显示电路，保护电路用于实现LED显示电路的过流保护。本发明采用语音识别技术和LED显示技术，实现乒乓球、羽毛球等实时计分和显示、保存、根据比赛规则，系统有程序自动判断何时需要交换场地，当运动员交换场地时，自动交换左右比分；并且根据比赛规则，当赛完一局的时候，自动累计大局比分、进行历史查询等功能。</t>
  </si>
  <si>
    <t>一种基于语音识别的智能电子记分牌</t>
  </si>
  <si>
    <t>CN102496160B</t>
  </si>
  <si>
    <t>本发明涉及计算机视觉检测技术领域，尤其涉及一种集控式足球机器人视觉系统标定方法，所述方法包摄像机的内外参数，建立原始场地图像像素坐标至不同高度平括：利用系统场地作为标定模板，利用场地上的某些标志点作为标定参考点，并获取标定参考点的像素坐标和世界坐标；根据集控式足球机器人视觉系统特点，建立摄像机成像模型，利用所述标定参考点的像素坐标和世界坐标，分别获取摄像机的内外参数，并对相关参数进行优化；利用所述已获取的面对应的世界坐标的转换模型；本发明属于计算机视觉检测领域，可用于和集控式足球机器人视觉系统相类似的视觉检测系统的摄像机标定，且本方法简单易用、精度较高、不需要其他任何辅助标定装置。</t>
  </si>
  <si>
    <t>集控式足球机器人视觉系统标定方法</t>
  </si>
  <si>
    <t>US20120157176A1</t>
  </si>
  <si>
    <t>一种使用人工智能的平台游戏程序,使计算机采取行动,包括以下步骤:确定平台游戏的解决方案,包括:初始化解决方案(S 101 ), 选择初始解和新解 (S 102 ), 健身分数的第一次比较 (S 103 ); 生成电流解 (S 104 ); 重复生成另一个新的解决方案并比较适应度分数(S 105 ); 并替换一个状态(S 106 ).</t>
  </si>
  <si>
    <t>游戏人工智能</t>
  </si>
  <si>
    <t>CN102512789A</t>
  </si>
  <si>
    <t>本发明涉及一种带风力发电向图像传感器供电的篮球显示篮板，属于新能源物联网应用技术领域。风力吹动叶片迅速旋转、带动风力发电机产生电流，电流通过导电线输入风电控制器进行调整，接着通过导电线输入安装在图像传感器支架上的图像传感器和发射天线一，图像传感器将摄录的球赛中篮球板和篮筐的图像转换成电信号，由发射天线一将电信号发射到空中；接收天线一接收到电信号后，将电信号输入计算机二进行处理、在控制台显示屏上显示出判球结果，并由记录仪储存；发射天线二将判球结果电信号发射出去，接收天线二接收到电信号后，输入计算机一进行复核、在篮球板显示屏上显示判球结果，并由发射天线三将判球结果信息的电信号发送到空中。</t>
  </si>
  <si>
    <t>一种带风力发电向图像传感器供电的篮球显示篮板</t>
  </si>
  <si>
    <t>CN102389631A</t>
  </si>
  <si>
    <t>本发明涉及带太阳能光伏发电向图像传感器供电的足球显示球门，属于新能源物联网应用技术领域。太阳光照射太阳能电池产生电流，电流通过导电线输入控制器，接着输入球门上的图像传感器支架上的图像传感器，向图像传感器供电。图像传感器将摄录的球门里外的图像的变化转换成电信号，由发射天线一发送到空中；控制台显示器上方的接收天线一接收到电信号后输入计算机一进行处理，在控制台显示器上显示判球结果，并输入记录仪记录，同时由发射天线三将判球结果的电信号发送出去。安装在球门显示屏上的接收天线二接收判球结果电信号后，输入计算机二进行复核，在球门显示屏上公告判球结果，并由发射天线二将判球结果电信号发射到空中。</t>
  </si>
  <si>
    <t>带太阳能光伏发电向图像传感器供电的足球显示球门</t>
  </si>
  <si>
    <t>CN202342788U</t>
  </si>
  <si>
    <t>本实用新型涉及一种带风力发电向图像传感器供电的篮球显示篮板，属于新能源物联网应用技术領域。风力吹动叶片迅速旋转、带动风力发电机产生电流，电流通过导电线输入风电控制器进行调整，接着通过导电线输入安装在图像传感器支架上的图像传感器和发射天线一，图像传感器将摄录的球赛中篮球板和篮筐的图像转换成电信号，由发射天线一将电信号发射到空中；接收天线一接收到电信号后，将电信号输入计算机二进行处理、在控制台显示屏上显示出判球结果，并由记录仪储存；发射天线二将判球结果电信号发射出去，接收天线二接收到电信号后，输入计算机一进行复核、在篮球板显示屏上显示判球结果，并由发射天线三将判球结果信息的电信号发送到空中。</t>
  </si>
  <si>
    <t>CN202342782U</t>
  </si>
  <si>
    <t>本实用新型涉及带太阳能光伏发电向图像传感器供电的足球显示球门，属于新能源物联网应用技术领域。太阳光照射太阳能电池产生电流，电流通过导电线输入控制器，接着输入球门上的图像传感器支架上的图像传感器，向图像传感器供电。图像传感器将摄录的球门里外的图像的变化转换成电信号，由发射天线一发送到空中；控制台显示器上方的接收天线一接收到电信号后输入计算机一进行处理，在控制台显示器上显示判球结果，并输入记录仪记录，同时由发射天线三将判球结果的电信号发送出去。安装在球门显示屏上的接收天线二接收判球结果电信号后，输入计算机二进行复核，在球门显示屏上公告判球结果，并由发射天线二将判球结果电信号发射到空中。</t>
  </si>
  <si>
    <t>CN103092199A</t>
  </si>
  <si>
    <t>足球机器人智能决策系统：足球机器人系统为人工智能特别是多智能体的研究提供了一个标准的试验平台。系统的核心是“脑”即决策系统；在分层递阶决策的基础上，采取模块化设计；详细介绍了决策系统各个模块包括视觉模块、决策模块和控制模块等，并提出了一系列新的实现方法。</t>
  </si>
  <si>
    <t>足球机器人智能决策系统</t>
  </si>
  <si>
    <t>CN202237079U</t>
  </si>
  <si>
    <t>本实用新型涉及一种智能型跑步机控制器，它由：运动时间显示屏、运动时间按钮、控制面板、液晶显示器、键盘、USB接口、传输线、心率传感器、报警装置、下位机控制器、继电器、体重传感器、双向可控硅、串励电机、跑步带、光电编码器、电源、音频设备、上位机控制器、停止按钮、暂停按钮、开始按钮、心率显示屏、体重显示屏、坡度显示屏、坡度按钮、运动速度显示屏、运动速度按钮构成。控制面板上分别设有运动时间显示屏、运动时间按钮、液晶显示器、键盘、停止按钮、暂停按钮、开始按钮、心率显示屏、体重显示屏、坡度显示屏、坡度按钮、运动速度显示屏、运动速度按钮。该产品结构简单，易于控制，抗电磁干扰性能强，具有良好的人机交互界面。</t>
  </si>
  <si>
    <t>一种智能型跑步机控制器</t>
  </si>
  <si>
    <t>CH705403A1</t>
  </si>
  <si>
    <t>用于记录网球比赛数据的设备(10)优选地设计为可以佩戴在运动员身体上的设备,特别是在运动员手臂上带有手镯(12)。 例如,它包括带有麦克风的语音识别设备,特别是运动传感器或其他传感器。 传感器可用于记录与网球比赛相关的球员数据,并在以后进行评估。</t>
  </si>
  <si>
    <t>用于记录网球比赛数据的设备。</t>
  </si>
  <si>
    <t>CN301872701S</t>
  </si>
  <si>
    <t>1.本外观设计产品的名称：DVS物联网球机（005）。2.本外观设计产品的用途：用于具有物联信息的球形摄像机。3.本外观设计的设计要点：产品整体形状。4.最能表明设计要点的图片或者照片：立体图。5.仰视图和后视图无设计要点，故省略。</t>
  </si>
  <si>
    <t>DVS物联网球机（005）</t>
  </si>
  <si>
    <t>CN301872700S</t>
  </si>
  <si>
    <t>1.本外观设计产品的名称：DVS物联网球机（004）。2.本外观设计产品的用途：用于具有物联信息的球形摄像机。3.本外观设计的设计要点：产品整体形状。4.最能表明设计要点的图片或者照片：立体图。</t>
  </si>
  <si>
    <t>DVS物联网球机（004）</t>
  </si>
  <si>
    <t>CN301804966S</t>
  </si>
  <si>
    <t>1.本外观设计产品的名称：DVS物联网球机（001）。2.本外观设计产品的用途：用于具有物联信息的球形摄像机。3.本外观设计的设计要点：产品整体形状。4.最能表明设计要点的图片或者照片：立体图。</t>
  </si>
  <si>
    <t>DVS物联网球机（001）</t>
  </si>
  <si>
    <t>CN301804964S</t>
  </si>
  <si>
    <t>1.本外观设计产品的名称：物联网球机（DVS002）。2.本外观设计产品的用途：用于具有物联信息的球形摄像机。3.本外观设计的设计要点：产品整体形状。4.最能表明设计要点的图片或者照片：立体图。</t>
  </si>
  <si>
    <t>物联网球机（DVS 002）</t>
  </si>
  <si>
    <t>CN202236220U</t>
  </si>
  <si>
    <t>本实用新型提供一种设有健身车的集成桑拿系统，其包括桑拿房、健身车、多个生物频谱仪和中央处理器，所述健身车设于所述桑拿房中，所述生物频谱仪设于所述健身车周围用于对健身车使用者进行红外线加热，所述中央处理器和所述健身车、生物频谱仪连接以控制所述健身车、生物频谱仪的运行，且所述中央处理器设有人机交互界面以便于向所述中央处理器输入控制所述健身车、生物频谱仪的控制参数。本实用新型可以弥补骑车的运动量不足、消除因骑车而产生的疲劳、控制运动与桑拿时消耗的卡路里。</t>
  </si>
  <si>
    <t>设有健身车的集成桑拿系统</t>
  </si>
  <si>
    <t>CN102920590A</t>
  </si>
  <si>
    <t>本发明提供一种设有按摩椅的集成桑拿系统，其包括桑拿房、按摩椅、多个生物频谱仪和中央处理器，所述按摩椅设于所述桑拿房中，所述生物频谱仪设于所述按摩椅周围用于对按摩椅使用者进行红外线加热，所述中央处理器和所述按摩椅、生物频谱仪连接以控制所述按摩椅、生物频谱仪的运行，且所述中央处理器设有人机交互界面以便于向所述中央处理器输入控制所述按摩椅、生物频谱仪的控制参数。本发明可以弥补跑步的运动量不足、消除因跑步而产生的疲劳、控制运动与桑拿时消耗的卡路里。</t>
  </si>
  <si>
    <t>设有按摩椅的集成桑拿系统</t>
  </si>
  <si>
    <t>CN102920591A</t>
  </si>
  <si>
    <t>本发明提供一种设有跑步机的集成桑拿系统，其包括桑拿房、跑步机、多个生物频谱仪和中央处理器，所述跑步机设于所述桑拿房中，所述生物频谱仪设于所述跑步机周围用于对跑步机使用者进行红外线加热，所述中央处理器和所述跑步机、生物频谱仪连接以控制所述跑步机、生物频谱仪的运行，且所述中央处理器设有人机交互界面以便于向所述中央处理器输入控制所述跑步机、生物频谱仪的控制参数。本发明可以弥补跑步的运动量不足、消除因跑步而产生的疲劳、控制运动与桑拿时消耗的卡路里。</t>
  </si>
  <si>
    <t>设有跑步机的集成桑拿系统</t>
  </si>
  <si>
    <t>CN202236219U</t>
  </si>
  <si>
    <t>本实用新型提供一种设有按摩椅的集成桑拿系统，其包括桑拿房、按摩椅、多个生物频谱仪和中央处理器，所述按摩椅设于所述桑拿房中，所述生物频谱仪设于所述按摩椅周围用于对按摩椅使用者进行红外线加热，所述中央处理器和所述按摩椅、生物频谱仪连接以控制所述按摩椅、生物频谱仪的运行，且所述中央处理器设有人机交互界面以便于向所述中央处理器输入控制所述按摩椅、生物频谱仪的控制参数。本实用新型可以弥补跑步的运动量不足、消除因跑步而产生的疲劳、控制运动与桑拿时消耗的卡路里。</t>
  </si>
  <si>
    <t>CN202223530U</t>
  </si>
  <si>
    <t>本实用新型提供一种设有跑步机的集成桑拿系统，其包括桑拿房、跑步机、多个生物频谱仪和中央处理器，所述跑步机设于所述桑拿房中，所述生物频谱仪设于所述跑步机周围用于对跑步机使用者进行红外线加热，所述中央处理器和所述跑步机、生物频谱仪连接以控制所述跑步机、生物频谱仪的运行，且所述中央处理器设有人机交互界面以便于向所述中央处理器输入控制所述跑步机、生物频谱仪的控制参数。本实用新型可以弥补跑步的运动量不足、消除因跑步而产生的疲劳、控制运动与桑拿时消耗的卡路里。</t>
  </si>
  <si>
    <t>KR1020130001763A</t>
  </si>
  <si>
    <t>机器人是一个综合了人工智能、驱动装置、装置和仪器配置、传感器、软件等多种知识的领域,其中之一需要知道相对于身体、头部等参考位置的变化的位置信息, 和四肢。 
  本发明基于站立姿势,其中躯干、头部、手臂和腿在具有人类外观的机器人中沿重力方向排列,并且当行走或跑步时,机器人躯干各连杆偏离标准姿势,涉及一种能够信息化识别前、后、左、右倾斜方向和角度的识别装置。</t>
  </si>
  <si>
    <t>机器人躯干和肢体倾斜方向和角度识别器</t>
  </si>
  <si>
    <t>CN202235405U</t>
  </si>
  <si>
    <t>运动员起动能力测试仪 。 随着现代体育运动的发展和竞技水平的提高，时间因素越来越被教练员、运动员和体育科研工作者所关注，其中对反应速度的研究占据了重要位置。一种运动员起动能力测试仪 ，其组成包括：主机箱 （ 1 ） ，所述的主机箱中装有输入电路 （ 2 ） ，所述的输入电路连接单片机控制器 (3) ，所述的单片机控制器连接输出电路 （ 4 ） 和人机交互电路(5)，所述的主机箱中装有电源电路(6)。本实用新型用于运动员起动能力测试 。</t>
  </si>
  <si>
    <t>运动员起动能力测试仪</t>
  </si>
  <si>
    <t>JP2012255866A</t>
  </si>
  <si>
    <t>提供了一种能够在演讲者进行演讲的同时实时支持演讲者的演讲指导系统。 
  显示演示材料的显示装置,语音识别装置,用于识别演示者发出的语音,以及基于语音识别装置的识别结果的演示者所说的要点。句法分析装置,第二句法分析装置用于获取演示材料中包含的内容的要点,第一句法分析装置依次获取演示者所说的内容的要点,第二句法分析装置响应于顺序比较的论证比较装置向演示者提供所获得的演示材料中论据的相应部分以及提供通知的通知方式。 
  【选型图】图3</t>
  </si>
  <si>
    <t>演讲教练系统</t>
  </si>
  <si>
    <t>CN102164132A</t>
  </si>
  <si>
    <t>本发明提供一种智能移动微云多媒体终端，基于微电子技术和嵌入式技术设计，利用ARM构架的高端处理器硬件平台，包括处理器和存储电路，GPS电路，GPRS电路，WIFI电路，网络电路，RIFD读取电路，视频和音频电路，微云组网电路和人机交互电路；加载的多媒体操作系统具有实时任务调度、多媒体数据转换和同步控制对多媒体设备的驱动和控制，微云组网处理和计算以及图形用户界面管理等；智能移动微云多媒体终端具有手机、GPS、上网笔记本、RIFD读取器等功能，也可以多台自动组网实现微云拓扑结构的处理和计算，适合物流、医疗、商务、智能交通等各方面的应用，根据多媒体系统终端用户要求而定制的应用软件或面向某一领域的用户应用软件系统，它是面向大规模用户的系统产品。</t>
  </si>
  <si>
    <t>一种智能移动微云多媒体终端</t>
  </si>
  <si>
    <t>JP2011205643A</t>
  </si>
  <si>
    <t>Kind Code: A1 一种用于体育电视广播的接收表达输出方法和设备,能够在作为电视广播的期望场景的播放期间实时表达和输出比赛。 
  Kind Code: A1 在接收包括体育视频和音频的电视广播信号并将接收到的视频信号输出到接收设备的显示单元或将接收到的音频信号输出到音频生成单元的设备中开始预定播放接收设备。播放定时信号生成装置,用于通过图像识别从接收到的视频信号中检测投手的投球动作或投手投出的球的移动来生成播放定时信号;接收包含体育视频的电视广播信号和音频,提取接收到的视频信号和接收到的音频信号,并将接收到的视频信号输出到接收设备的显示单元,显示输出或将接收到的音频信号输出到接收设备的音频生成单元。 
  【选型图】图1</t>
  </si>
  <si>
    <t>发送/接收体育电视广播和输出表达的方法和系统、用于接收和输出体育电视广播表达的方法和设备、用于接收和记录体育电视广播的方法和设备、以及用于接收、记录和再现体育的方法和系统一种检测体育比赛开始和结束的电视广播设备和方法</t>
  </si>
  <si>
    <t>US20110225519A1</t>
  </si>
  <si>
    <t>提供了一种社交媒体平台,用于在模拟现场体验的环境中分享娱乐。 社交媒体平台包括一个虚拟社交场所,由动画化身的观众组成,他们对呈现给他们的娱乐表达积极和消极的反应(例如欢呼、嘲笑和打手势)。 虚拟社交场所包括用于呈现娱乐的聚会场所(例如剧院、体育场或竞技场)的虚拟三维表示。 观众包括现场化身、幽灵化身和/或编程化身。 实时头像代表实时控制其头像表情的用户。 幽灵化身代表过去的用户,他们之前控制他们的化身表情以响应相同的娱乐,并且他们的表情被记录在与娱乐的时间关联中。 编程化身由人工智能以一种对呈现的娱乐和实时化身的表情做出响应的方式进行指导。</t>
  </si>
  <si>
    <t>用于模拟现场体验的社交媒体平台</t>
  </si>
  <si>
    <t>PT105490A</t>
  </si>
  <si>
    <t>本发明涉及用于机器人足球比赛的表(1)。 它在工业自动化领域有应用,游戏可以完全自主运行,包括自动重置的能力。 在一个优选实施例中,桌子具有一个游戏表面 (5)、一组一个或多个旋转轴 (2),其中几个玩家 (3)、传感器用于 
  球检测和球员定位、控制系统、目标 (4) 和球运动机制 (6, 7) 允许通过几个通用接口进行人机交互。 因此,本发明适用于 
  允许不同的配置:供行动不便的高级成员使用; 将机器用作对手的可能性; 个人或远程玩家(网络游戏); 和完全自主的配置(一个计算机程序对另一个); 实现高度逼真的游戏。</t>
  </si>
  <si>
    <t>足球或足球比赛的机器人表</t>
  </si>
  <si>
    <t>PT105490B</t>
  </si>
  <si>
    <t>本发明涉及一种用于机器人足球比赛的桌子(1)。 它在工业自动化领域有应用,游戏可以在其操作中完全自主,包括自动重启的能力。 在优选的实施方式中,桌子具有游戏表面(5)、一组一个或多个旋转轴(2),其中固定有多个玩家(3)、用于球检测和玩家定位的传感器、控制系统、目标( 4), 和球运动机制 (6, 7) 允许通过不同的通用接口进行人机交互。 因此,本发明通过允许不同的配置是有用的: 由上肢行动不便的人使用; 使用机器作为对手的可能性; 现场或远程玩家(网络游戏); 和完全自主的配置(一台计算机程序与另一台计算机程序); 允许高度逼真的游戏。</t>
  </si>
  <si>
    <t>CN201940013U</t>
  </si>
  <si>
    <t>本实用新型公开了一种智能机器人比赛装置，包括机械部分和电路控制部分，机械部分包括球桌、控制台和机器人，电路控制部分包括位于控制台上的控制模块和位于机器人上的受控模块。本实用新型结构简单，采用单片机控制，成本较低，快速灵活移动，可以形成激烈的对抗比赛场面。</t>
  </si>
  <si>
    <t>智能机器人比赛装置</t>
  </si>
  <si>
    <t>KR1020120077790A</t>
  </si>
  <si>
    <t>本发明涉及一种为第一用户的第一终端和第二用户的第二终端提供体育游戏服务的游戏服务器。 本发明是一种游戏数据库,用于存储用于进行体育游戏的游戏数据,根据第一终端和第二终端分别输入的游戏进程信号和游戏进程,从游戏数据库中读取游戏数据,并处理游戏数据。模块在第一用户和第二用户之间的体育比赛的比赛结果确定之前,当比赛停止信号从第一终端和第二终端中的一个输入时输出控制信号。输入进度模块开始执行,继续参与终端输入的游戏进度信号,作为第一终端和第二终端中继续参与体育游戏的终端的对手。它包含一个响应运行的人工智能模块。</t>
  </si>
  <si>
    <t>提供体育游戏服务的游戏服务器、方法和记录介质</t>
  </si>
  <si>
    <t>KR101265057B1</t>
  </si>
  <si>
    <t>本发明的游戏服务器选择与从终端输入的关卡设置信号对应的人工智能模块之一和存储练习游戏数据的游戏数据库以及每个级别的人工智能模块作为用户在练习游戏期间的对手关卡设置单元,从游戏数据库中读取练习赛数据和关卡设置单元选择的人工智能模块,执行人工智能模块,并根据终端输入的游戏进程信号执行练习赛数据。它包括用于处理的练习游戏执行单元。</t>
  </si>
  <si>
    <t>体育比赛中提供练习比赛服务的比赛服务器、方法及记录介质</t>
  </si>
  <si>
    <t>CN201894802U</t>
  </si>
  <si>
    <t>本实用新型提供一种盲人及残疾人语音控制健步机，包括主机、扶手护栏和电子仪表，其主要特征在于：电子仪表及扶手护栏上均设有带盲文操作的控制按钮，增设语音提示模块和语音控制模块，其中语音提示模块中的D触发器F的输入端C接控制按钮，D触发端接地，输出端经三极管T1接语音芯片U的触发端，语音芯片U的输出端接喇叭，控制端经三极管T2接D触发器F的清零端R；语音控制模块中带麦克风的耳机接在电子仪表上，麦克风的输出端经语音识别芯片U1接单片机U0，单片机U0的输出端接电机电源的控制端。本实用新型由于增设盲文操作功能、语音提示功能和语音控制功能，使得盲人及残疾人无需他人牵引或搀扶即可独立的进行体育锻炼，开创盲人跑步锻炼先河。</t>
  </si>
  <si>
    <t>盲人及残疾人语音控制健步机</t>
  </si>
  <si>
    <t>WO2012076938A1</t>
  </si>
  <si>
    <t>一种消除人类参与评分的方法,通过促进自动评分,通过计算机分析参赛者演唱的任何歌曲的音乐质量,防止所有形式的人类偏见和歧视。 使在全国或全球范围内有大量参赛者的大型音乐比赛变得可行这种方法使歌手能够发现自己的音乐能力,并使他们能够发展自己的技能,而不必担心在高知名度的评委和观众面前表演 . 语音识别即时计分系统为参赛者在音乐技巧上的强项和弱点提供了坚实的指导,并指导他们如何提高他们的音乐技巧。 这给了令人兴奋的智力、精神、社交娱乐和乐趣,特别是对于那些接触社交互动有限的参赛者。使用虚拟舞台评分提高参赛者的信心,而无需来自高知名度的评委和观众的压力或恐吓。</t>
  </si>
  <si>
    <t>具有自动评分功能的高级在线歌唱比赛</t>
  </si>
  <si>
    <t>KR101252356B1</t>
  </si>
  <si>
    <t>目的:通过综合特征机器学习检测实时足球图像中球员的装置及其方法,以检测足球图像中有球员的区域。组成:图像分析装置(200)包括光和 阴影检测单元(210)和颜色检测单元(220)。 明暗检测单元利用足球比赛场景拍摄图像的明暗信息检测图像中的足球运动员。 颜色检测单元通过图像的颜色信息判断是否正确检测到被检测到的足球运动员。</t>
  </si>
  <si>
    <t>基于多特征机器学习的实时足球视频中的球员检测器和球员检测方法</t>
  </si>
  <si>
    <t>CN201892983U</t>
  </si>
  <si>
    <t>本实用新型公开了一种电子商务物流终端系统，包括网络服务器和用户终端，其特征在于：所述网络服务器还连接有物流终端平台和物流操作终端；所述物流终端平台包括储物柜；所述储物柜上还安装有POS刷卡机，终端电脑远程连接网络服务器，网络服务器还与网银连接；终端电脑还连接有身份识别器。其显著效果是：可为客户提供衣食住行的商品及商品价格实时查询，提供网上预约挂号，提供票务、酒店预订，提供电影、科普文化服务，全民健身服务。提供家电维修和家政服务，邮包存取服务，满足了新型物联网体系的要求。</t>
  </si>
  <si>
    <t>电子商务物流终端系统</t>
  </si>
  <si>
    <t>CN201815058U</t>
  </si>
  <si>
    <t>本实用新型公开了一种可识别手势的跑步机，包括本体和安装在本体上的电机，还包括主控系统和摄像头，所述摄像头连接到主控系统的输入端，主控系统的输出端连接到电机。本实用新型基于计算机视觉，采用摄像头作为用户手势的采集工具，用户只需要对着该摄像头作出一个手势，即可实现与按键相同的控制效果，只需要通过几个简单的手势就可以达到控制跑步机的目的，使使用者抛开了按键面板的束缚，方便了操作。</t>
  </si>
  <si>
    <t>可识别手势的跑步机</t>
  </si>
  <si>
    <t>CN101912676A</t>
  </si>
  <si>
    <t>本发明公开了一种可识别手势的跑步机，包括本体和安装在本体上的电机，还包括主控系统和摄像头，所述摄像头连接到主控系统的输入端，主控系统的输出端连接到电机。本发明基于计算机视觉，采用摄像头作为用户手势的采集工具，用户只需要对着该摄像头作出一个手势，即可实现与按键相同的控制效果，只需要通过几个简单的手势就可以达到控制跑步机的目的，使使用者抛开了按键面板的束缚，方便了操作。</t>
  </si>
  <si>
    <t>WO2011042230A1</t>
  </si>
  <si>
    <t>提供了一种使用机器学习技术估计团队运动运动员身体部位的姿势的方法。 该方法包括以下步骤:从跟踪数据中提取一组特征,并通过将经过训练的分类器应用于该组特征来确定对姿势的估计。 该组特征包括球员的位置和球的位置中的至少一个。 此外,提供了一种用于估计团队运动运动员的身体部位的姿势的系统(200)。 该系统包括摄像机(201)、跟踪单元(202)、身体部位外观单元(203)、特征提取单元(204)和估计单元(205)。</t>
  </si>
  <si>
    <t>头部姿势估计</t>
  </si>
  <si>
    <t>US8696420B2</t>
  </si>
  <si>
    <t>本发明可以由游泳者佩戴并且包括传感器模块,优选地具有数字罗盘和加速度计,优选地佩戴在游泳帽下或连接到护目镜,以及人机交互装置,优选地集成到手表中或作为手表佩戴,用于显示 圈。 传感器模块和人类交互设备彼此通信,优选地通过无线通信。 带有软件的微处理器包含在传感器模块、手表或两者中。 微处理器/软件解释来自传感器内数字罗盘和数字加速度计的数据,以确定游泳者何时改变方向,从而计算圈数。 然后手表可以显示圈数。</t>
  </si>
  <si>
    <t>用于计算游泳圈数的系统和方法</t>
  </si>
  <si>
    <t>KR1020110134631A</t>
  </si>
  <si>
    <t>本发明与铅笔盒有关。更具体地说,在内部,在筛子盒的鞘壳内部设置了篮子,而使用建立的弹性力量来发射玩具篮球的球发射器浴缸,并在游戏中取得成功是。通过添加享受简单游戏的功能,可以通过纱线的目的多样性来改善使用写作工具的通用铅笔盒的功能,并且可以区分产品。而且,通过使用AS ***,如果无法使用AS ***,则可以通过在休闲中享受游戏的懈怠,同时增强学习效果,并根据回收利用进行经济效率</t>
  </si>
  <si>
    <t>篮球比赛笔盒</t>
  </si>
  <si>
    <t>EP2254047A3</t>
  </si>
  <si>
    <t>一种移动终端,包括控制移动终端的整体操作的第一控制器、存储包括第一数据的数据的存储器、与外部终端连接的接口、在先前存储在存储器中的第一数据和存储的第二数据之间执行同步的第二控制器。 在外部终端中响应于从外部终端接收到的同步请求,以及被配置为接收呼叫信号的无线通信单元。 第二控制器作为后台进程执行同步,并且第一控制器在接收呼叫信号时处理呼叫信号,同时作为后台进程执行同步。</t>
  </si>
  <si>
    <t>移动终端及其语音识别方法</t>
  </si>
  <si>
    <t>TH72466B</t>
  </si>
  <si>
    <t>DC60 
  本发明开发了一种用生物学方法设计肽类抑制剂的方法。 
  计算包括两个主要步骤:(1)在结构上找到合适的位置。 
  用于通过滑动法设计肽抑制剂的蛋白质的三维位点。 
  Windows 结合使用两种评分函数来查找健身分数和 (2) 排名搜索。 
  使用针对抑制剂设计优化的开发遗传算法的氨基酸 
  肽结合使用两个评分功能来评分健身。 直到顺序 
  稳定蛋白质三维结构的氨基酸。 这将允许您进行搜索。 
  具有适当氨基酸序列的肽容易且不粘附于相对最低点,这 
  通过该方法获得的肽抑制剂可用于开发特异性治疗药物。 
  更特异的靶蛋白抑制 
  本发明利用生物学方法开发了肽抑制剂的设计方法。 
  计算包括两个主要步骤:(1)在结构上找到合适的位置。 
  用于通过滑动法设计肽抑制剂的蛋白质的三维位点。 
  Windows 结合使用两种评分函数来查找健身分数和 (2) 排名搜索。 
  氨基酸通过遗传算法开发优化抑制剂的设计。 
  肽,以及两个评分函数在对健身分数进行分级时的使用。 直到顺序 
  稳定蛋白质三维结构的氨基酸。 这将允许您进行搜索。 
  具有适当氨基酸序列的肽很容易并且不会粘在相对新鲜的点上,这 
  从这种方法中获得的肽类型的失活将有助于开发特定的治疗药物。 
  更特异的靶蛋白抑制</t>
  </si>
  <si>
    <t>肽抑制剂设计过程</t>
  </si>
  <si>
    <t>CN201744156U</t>
  </si>
  <si>
    <t>本实用新型涉及一种可计时记谱的围棋棋具，它包括：位于该围棋棋具上表面的棋盘面板和固定在该棋盘面板上方的摄像头，位于该围棋棋具内部的中央处理器和非易失性存储器，以及电源。所述棋盘面板包括围棋棋盘、裁判控制模块和棋手控制模块；所述裁判控制模块包括用于开始比赛、终止比赛及设置比赛参数的裁判控制按键，以及用于显示实时棋谱的裁判侧显示屏；所述棋手控制模块包括计时按键、认负按键以及棋手侧显示屏。所述中央处理器响应各按键的信号，进行对棋手的计时，并接收、处理摄像头采集的图像，并实现对时间和图像数据的输出。本实用新型克服了现在的围棋比赛中计时和记谱靠人工操作的缺陷，提供一种可自动准确计时记谱的装置。</t>
  </si>
  <si>
    <t>基于图像识别的自动计时记谱的围棋棋具</t>
  </si>
  <si>
    <t>CN101850178B</t>
  </si>
  <si>
    <t>本发明涉及一种可计时记谱的围棋棋具，它包括：位于该围棋棋具上表面的棋盘面板和固定在该棋盘面板上方的摄像头，位于该围棋棋具内部的中央处理器和非易失性存储器，以及电源。所述棋盘面板包括围棋棋盘、裁判控制模块和棋手控制模块；所述裁判控制模块包括用于开始比赛、终止比赛及设置比赛参数的裁判控制按键，以及用于显示实时棋谱的裁判侧显示屏；所述棋手控制模块包括计时按键、认负按键以及棋手侧显示屏。所述中央处理器响应各按键的信号，进行对棋手的计时，并接收、处理摄像头采集的图像，并实现对时间和图像数据的输出。本发明克服了现在的围棋比赛中计时和记谱靠人工操作的缺陷，提供一种可自动准确计时记谱的装置。</t>
  </si>
  <si>
    <t>KR1020110115748A</t>
  </si>
  <si>
    <t>该高尔夫课程推荐方法在高尔夫课程推荐系统中执行,该系统包括用于提供高尔夫课程推荐程序的高尔夫课程推荐服务器以及可以通过该高尔夫课程推荐服务器连接到该高尔夫课程推荐服务器的第一计算机和第二计算机。因特网,并且,第一计算机将关于从教练输入的高尔夫课程计划的课程信息传送到高尔夫课程计划推荐服务器,其中高尔夫课程计划推荐服务器将关于接收到的高尔夫课程计划的课程信息传送到第一数据库,存储在第一数据库-第一数据库存储关于至少一个高尔夫课程计划的课程信息-,第二计算机将从用户接收的用户的高尔夫能力信息传输到高尔夫课程计划推荐服务器并且由高尔夫课程计划推荐服务器提供,根据用户的高尔夫能力信息,在存储在第一数据库中的高尔夫课程计划中,选择与用户的高尔夫能力相对应的高尔夫课程推荐计划。</t>
  </si>
  <si>
    <t>如何推荐高尔夫课程计划</t>
  </si>
  <si>
    <t>KR1020110111833A</t>
  </si>
  <si>
    <t>本发明利用词典中大量的词汇内容选取英文单词,以多选的方式呈现给用户,为用户提供一个在有限规则内匹配的词汇学习游戏,为游戏参与者提供乐趣和动力。和竞争精神,使有效的词汇学习成为可能。 
  根据本发明的词汇学习游戏超越了简单地解决多项选择题,而是通过在有限的时间内快速解决所呈现的问题的过程以及其中必须解决问题的游戏来为用户提供紧张感和挑战感。快速准确地解决问题,不做错,从而有助于游戏参与,通过3D化身代表用户进行比赛的游戏,自动实现持续学习,从而激发对游戏的兴趣和兴趣,增强学习效果。</t>
  </si>
  <si>
    <t>网络上使用连续多选和3D虚拟形象的词汇学习游戏系统和方法</t>
  </si>
  <si>
    <t>CN201692607U</t>
  </si>
  <si>
    <t>涉及体育比赛用的裁判感应系统，是针对解决现有比赛计时方式欠佳、因比赛场地较大导致许多观众无法实时了解比赛人员信息的技术问题而设计的。该系统包括口哨、手表、通话装置、控制端、公众显示屏。其设计要点在于所述手表设有信号发射器和声控装置，控制端设有信号接收器、语音识别器、可编程控制器，控制端连接公众显示屏。手表的信号发射器与控制端的信号接收器相配套，所述声控装置与口哨哨音设为关联，通话装置远程信号连接控制端。手表的显示芯片设有比分显示模块。该裁判员感应系统采用哨音控制比赛时间，使得比赛时间较为准确，采用公众显示屏显示相关球员实时信息，增加了观众观赛的乐趣，适合在篮球、足球或同类体育比赛中推广使用。</t>
  </si>
  <si>
    <t>裁判感应系统</t>
  </si>
  <si>
    <t>CN101822897B</t>
  </si>
  <si>
    <t>US20100211198A1</t>
  </si>
  <si>
    <t>例如,在运行 Windows 或 Vista 的计算机上执行的应用程序允许教练获取他心中想要的任何体育统计数据,然后为教练提供分析这些统计数据的工具。 统计数据的输入很容易,并且特定实施例考虑了语音识别数据输入和分析以及与一个或多个统计事件相关联的标记视频。 该应用程序作为桌面应用程序运行,但也与服务器上的在线数据库同步以进行在线访问,并将特定统计数据同步到创建该统计数据的事件的视频剪辑。</t>
  </si>
  <si>
    <t>收集和分析体育统计数据的工具和方法</t>
  </si>
  <si>
    <t>CN201773400U</t>
  </si>
  <si>
    <t>本实用新型公开了一种嵌入式体育词汇翻译系统，系统包括与系统主板连接的中央控制器、液晶显示触摸屏、电源模块、存储器、语音采集模块、语音识别模块、语音合成模块、语音库模块，通过所述语音采集模块采集说话人的语音信号，通过语音识别模块、语音库模块、语音合成模块分别进行语音识别、中英文翻译以及语音合成输出。能够使人们以便携智能设备为中介，实现在特定流域内的中英语音转换。</t>
  </si>
  <si>
    <t>嵌入式体育词汇翻译系统</t>
  </si>
  <si>
    <t>JP5761730B2</t>
  </si>
  <si>
    <t>[问题] 练习者能够容易地判断自己是否能够模仿教练和前辈(规范技术人员)的动作。增强学习身体技能的效果。 
  种类代码:A1 本发明是一种在练习者P学习涉及身体动作的技能时使用的身体技能学习辅助装置1,包括:拍摄装置20,用于获取练习者P的身体动作信息;存储装置13,用于存储规范信息基于与所述技术相关的规范技术人员的静止图像和运动图像中的至少一种;其特征在于,显示装置40可以同时显示拍摄装置20获取的身体运动信息和规范信息。存储装置13。 
  【选型图】图1</t>
  </si>
  <si>
    <t>身体技能习得支持装置</t>
  </si>
  <si>
    <t>BRPI0906289A2</t>
  </si>
  <si>
    <t>图像捕获、处理和分析系统以及结果捕获、分析和确定过程 本发明涉及一种图像捕获、处理和分析系统,通过高性能摄像机捕获,开发用于允许准确地决定可疑投篮,指示球在球场外实时使用,例如,用于室内排球比赛或其他运动。 开发的技术解决方案允许模拟边裁在场地或球场比赛中的角色,关于发出“球进”或“球出”的信号。 本发明还涉及一种用于捕获、分析和确定结果的过程,包括基于计算机视觉的软件,负责对结果进行分析和确定。</t>
  </si>
  <si>
    <t>图像捕获、处理和分析系统以及捕获、分析和结果确定过程</t>
  </si>
  <si>
    <t>CN201565076U</t>
  </si>
  <si>
    <t>本实用新型涉及体育训练用具，特别指一种新型起跑直体前倾辅助练习器。本实用新型由横支架和斜支架焊接成一有练习区间的固定支架，其中：两侧横支架下端安装有滚动轮；斜支架下端安装有万向轮，斜支架的上端连接有一牵引安全带，安全带的另一头连接在练习者的腰上。本实用新型使练习者除能做静止失去重心平衡的前倒动作外，还能做起跑加速向前的位移。本实用新型实用性很强，能节省练习者的间歇训练休息的时间，及人力的耗损，增强学习者掌握起跑技术的效果，而且不易破损，经久耐用，安全性强，练习实效性高。</t>
  </si>
  <si>
    <t>新型起跑直体前倾辅助练习器</t>
  </si>
  <si>
    <t>US61284261P0</t>
  </si>
  <si>
    <t>人机交互扩展,以改进和纠正基于轨迹的方法在足球视频中检测球的结果</t>
  </si>
  <si>
    <t>EP2359362B1</t>
  </si>
  <si>
    <t>启用语音的工作系统包括无线网络和被配置为通过无线网络进行通信的至少两个启用语音的设备100、200。 这些设备可用于将系统提示转换为语音,并使用语音识别将语音命令转换为系统命令。 第一设备100可以由用户1 30选择性地激活到教练模式以通过无线网络40与第二设备200和另一用户230建立连接一旦以教练模式40连接,教练用户130从 教练用户230和第二设备200。教练用户的第一设备100然后将那些接收到的提示提供给教练用户130。</t>
  </si>
  <si>
    <t>语音工作环境的培训/指导系统</t>
  </si>
  <si>
    <t>WO2010056963A3</t>
  </si>
  <si>
    <t>启用语音的工作系统包括无线网络和被配置为通过无线网络进行通信的至少两个启用语音的设备100、200。 这些设备可用于将系统提示转换为语音并使用语音识别将语音命令转换为系统命令。 第一设备100可以由用户1 30选择性地激活到教练模式以通过无线网络40与第二设备200和另一用户230建立连接一旦在教练模式40中连接,教练用户130从 教练用户230和第二设备200。教练用户的第一设备100然后将那些接收到的提示提供给教练用户130。</t>
  </si>
  <si>
    <t>用于支持语音的工作环境的培训/指导系统</t>
  </si>
  <si>
    <t>AT593161T</t>
  </si>
  <si>
    <t>Übungs-/培训系统 für eine sprachbasierte arbeitsumgebung</t>
  </si>
  <si>
    <t>CN201565082U</t>
  </si>
  <si>
    <t>本实用新型公开了一种具有真人语音提示功能的健身器仪表，包括：检测器：用于检测用户当前使用健身器时的信号；处理器：用于根据检测器检测到信息并按照预先设定的程序触发语音播放单元；语音播放单元：用于播放预先设定的语音来提示用户；显示单元：用于显示检测到的信息。本实用新型采用预先将录有真人发音的语音保存在健身器仪表内，后根据采集到的数据结合预先设定的程序，发出预定的语音，提示用户更好地锻炼，做到非常好的人机交互的作用。并且，用户通过语音能方便了解当前锻炼的情况，不需要观看仪表上的显示屏，方便使用。还有，语音中设有“加油”等鼓励性语音，提升用户在使用过程中的趣味性。另外，还可以设置卖场提示模式。</t>
  </si>
  <si>
    <t>一种具有真人语音提示功能的健身器仪表</t>
  </si>
  <si>
    <t>CN101672705B</t>
  </si>
  <si>
    <t>一种六维力传感器，包括由圆筒形壳体和十字弹性梁构成的传感器弹性体与电阻应变片。十字弹性梁位于壳体内中心，由应变梁(1)和加载台(3)构成。上基座(6)和下基座(10)分别位于壳体两端；传力柱(7)位于壳体中间，并与上弹性梁(4)和下弹性梁(8)相连；柔性梁(2)位于传力柱之间，其内侧与应变梁连接。传感器力敏元件为上弹性梁、下弹性梁和应变梁，在力敏元件上适当位置贴装(28)片电阻应变片，其中24片应变片组成6组全桥检测电路，实现六维力信息的获取，其余4片应变片备用。本发明具有结构紧凑、刚度大、维间耦合小、精度高、动态性能好的特点，能够用于智能机器人研究、自动化检测和控制、仿生运动分析和体育运动研究。</t>
  </si>
  <si>
    <t>一种六维力传感器</t>
  </si>
  <si>
    <t>CN201561825U</t>
  </si>
  <si>
    <t>一种六维力传感器的弹性体，由圆筒形壳体和十字弹性梁结构构成，并且将壳体镂空，分别形成柔性梁(2)、上弹性梁(4)、传力柱(7)、下弹性梁(8)、上凸台(5)、下凸台(9)、上基座(6)、下基座(10)、上支撑(11)和下支撑(12)；十字弹性梁位于壳体内中心；加载台(3)位于十字弹性梁中心；加载台四边分别延伸出应变梁(1)；应变梁的末端与柔性梁相连。上基座(6)和下基座(10)分别位于壳体两端；传力柱(7)位于上凸台(5)、下凸台(9)之间，并由两个相邻的条形孔之间的壳体形成。本实用新型具有结构紧凑、刚度大、维间耦合小、精度高、动态性能好的特点，能够用于智能机器人研究、自动化检测和控制、仿生运动分析和体育运动研究。</t>
  </si>
  <si>
    <t>一种六维力传感器的弹性体</t>
  </si>
  <si>
    <t>CN101690844A</t>
  </si>
  <si>
    <t>本发明提供一种盲人及残疾人语音控制健步机，包括主机、扶手护栏和电子仪表，其主要特征在于：电子仪表及扶手护栏上均设有带盲文操作的控制按钮，增设语音提示模块和语音控制模块，其中语音提示模块中的D触发器F的输入端C接控制按钮，D触发端接地，输出端经三极管T1接语音芯片U的触发端，语音芯片U的输出端接喇叭，控制端经三极管T2接D触发器F的清零端R；语音控制模块中带麦克风的耳机接在电子仪表上，麦克风的输出端经语音识别芯片U1接单片机U0，单片机U0的输出端接电机电源的控制端。本发明由于增设盲文操作功能、语音提示功能和语音控制功能，使得盲人及残疾人无需他人牵引或搀扶即可独立的进行体育锻炼，开创盲人跑步锻炼先河。</t>
  </si>
  <si>
    <t>FR2947462B1</t>
  </si>
  <si>
    <t>系统(10)具有机器人(20),其包括布置在与游戏桌(30)的导电面板(14)接触的接触表面上的电流夹持器。 夹持器通过面板为机器人供电。 夹具包括由金属制成的接触垫,其中垫的直径小于绝缘支架的宽度。 与面板接触的接触面上设有拍摄装置。 投篮装置将比赛用球投射到面板上,由CPU控制。</t>
  </si>
  <si>
    <t>智能机器人化游戏系统即智能机器人化足球游戏系统,在与游戏桌面板接触的接触面上设置有射击装置,射击装置在面板上射出游戏球</t>
  </si>
  <si>
    <t>US61222059P0</t>
  </si>
  <si>
    <t>使用神经网络模型提高自主水下航行器的游泳效率</t>
  </si>
  <si>
    <t>WO2010118552A1</t>
  </si>
  <si>
    <t>一种人机交互控制速度的跑步机,包括摆臂检测单元,用于检测摆臂的频率和幅度。 控制方法如下。 当用户在跑步机上锻炼时,手臂摆动检测单元检测手臂摆动的频率和幅度。 如果手臂摆动的频率和幅度的变化值大于预先存储的阈值,则根据新的手臂摆动频率和幅度,计算出新的跑带速度,跑步机的速度 自动调整到新的速度,否则将保持皮带的旧速度。</t>
  </si>
  <si>
    <t>一种人机交互方式控制速度的跑步机及其控制方法</t>
  </si>
  <si>
    <t>CN102083503A</t>
  </si>
  <si>
    <t>采用人机交互调速方式的跑步机及其控制方法</t>
  </si>
  <si>
    <t>CN201389288Y</t>
  </si>
  <si>
    <t>本实用新型公开了一种采用人机交互调速方式的跑步机。该跑步机中，具有用于检测手臂摆动幅度或频率的手臂摆动检测单元。使用者在跑步机上运动，通过手臂摆动检测单元检测使用者手臂摆动的幅度和频率；在手臂摆动的幅度或频率的改变值大于预设阈值的情况下，根据新的摆臂幅度或频率换算出新的跑步带传送速度，并自动将跑步机的速度调整为该新速度；否则跑步带保持原有的传送速度。本实用新型通过动态监测摆臂信息来自动调整跑步机速度，有效克服了现有技术所存在的缺点，可以让使用者非常自然地改变跑步带的传送速度，获得更完美的使用体验。</t>
  </si>
  <si>
    <t>采用人机交互调速方式的跑步机</t>
  </si>
  <si>
    <t>US20120040798A1</t>
  </si>
  <si>
    <t>提出了一种人机交互调速跑步机及其控制方法。 跑步机包括用于检测手臂摆动幅度或频率的手臂摆动检测单元。 当用户在跑步机上跑步时,摆臂检测单元可以检测到用户的摆臂幅度或频率。 在摆臂幅度或频率的变化大于预设阈值的情况下,根据新的摆臂幅度或频率计算出新的跑步机皮带传动速度,调节跑步机的速度 自动到新的速度。 否则,跑步机皮带保持原先的传动速度。 跑步机速度根据动态监测的手臂摆动信息自动调节,使用户可以自然地改变跑步机皮带的传动速度。</t>
  </si>
  <si>
    <t>具有人机交互调速及其控制方法的跑步机</t>
  </si>
  <si>
    <t>US7965295B2</t>
  </si>
  <si>
    <t>通过使用混合模型来确定 AI 驾驶员在赛道的给定路段要遵循的动态规定的赛车路线,从而提高了赛车或运动相关游戏中计算机对手的类人真实感。 这条动态规定的赛车线可能会因段和圈而异,大致遵循具有一些变化的理想线。 因此,在整个比赛过程中,人工智能车手似乎并没有完全按照理想路线静态行驶。 取而代之的是,在球场的每一段内,人工智能驾驶员的路径可以平滑地遵循相对于至少一条规定的赛车线定义的概率确定的赛车线。</t>
  </si>
  <si>
    <t>虚拟现实环境中运动线的混合模型</t>
  </si>
  <si>
    <t>KR1020090035672A</t>
  </si>
  <si>
    <t>本发明涉及电子设备被驱动操作的技术领域之一,涉及遥控器。 通常,遥控系统通过RF射频进行交互通信或电子设备被控制为IR通信或有线传输。 但本发明涉及通过视觉识别对仪器进行远程控制。 形状本身不是仪器的远程控制系统通过一般的手势分析可以指的是智能可控技术运动图像本身是识别和分析被识别对象的操作并成为预测算法语言的变量 在神经网络中培养具有预先学习的节奏本身,并分析所需的部分。 运动识别是图像处理和控制传感器技术的特定几何体,可以指识别并用数据表达并控制物体的技术。 这种技术是手势识别的一个领域。 而在图像处理领域,要想真正应用于产业化还不是手势识别。 f的意思是对象,就是目标做的,比如要改变频道或者它的一系列操作是线或者是培养音量是要分析的,这是为了 被应用并且它不是像手势这样的对象的特定操作但是因为每个系列的运动实际上都希望它是什么并且意义更多地放在操作和通道数据之间的连接上并且这可以应用于控制 仪器的。 这与利用形态识别追踪手势等具体操作的技术有很大区别。 首先,错误的是现在状态识别技术部门的差异可以做到,比如手势识别是类比推理算法语言节奏,而人的模式是识别的,模式是通过继续学习来追踪和控制的 实际模式是否意味着下一个运动是类推的,模式可以预测。 本发明涉及人工智能领域的发明设计,类比准确快速地控制仪器和仪器使用相同的下一个模式,不识别图像形状的模式来控制电子设备,并且是 输入但一直在改变的是自己学习的。 手指遥控器,图像处理,智能设备控制。</t>
  </si>
  <si>
    <t>使用形状预测和图像模式学习的设备控制器</t>
  </si>
  <si>
    <t>US20090233699A1</t>
  </si>
  <si>
    <t>服务器设备使用照相机来捕捉发给玩家和庄家的牌的图像。 服务器设备根据来自摄像机的纸牌图像,通过图像识别自动判断玩家和庄家的游戏输赢结果和玩家的分红。 服务器设备从游戏芯片上提供的无线IC标签中读取信息,以判断玩家的红利。 服务器设备对玩家的两次分红进行比较,判断分红是否不一致。 如果红利不一致,则服务器设备通知庄家和娱乐场酒店经理红利不一致。</t>
  </si>
  <si>
    <t>比赛判断系统</t>
  </si>
  <si>
    <t>CN101477799B</t>
  </si>
  <si>
    <t>本发明公开了一种使用语音对农业设备进行控制的系统，所述系统包括语音模拟采集单元、语音识别处理单元以及执行单元和串口协议转换单元，语音模拟采集单元连接语音识别处理单元，用于将操作者发出的语音命令转换为模拟电信号，并将该模拟电信号输入到语音识别处理单元，语音识别处理单元从模拟电信号中识别出操作者的具体操作命令，然后驱动执行单元进行动作，或者通过串口协议转换单元将所述模拟电信号转换为农业设备能识别的串口命令，对农业设备进行控制。本发明通过提供一种能够简化操作的控制方法和控制系统，使得大多数农民能够胜任复杂农业设备的操作，减少误操作，减少消费者对先进农业设备的神秘感和畏惧心理，促进先进农业设备的应用。</t>
  </si>
  <si>
    <t>一种使用语音对农业设备进行控制的系统及控制方法</t>
  </si>
  <si>
    <t>CN101778274A</t>
  </si>
  <si>
    <t>本发明视频数据嵌入控制信息的方法，所属于技术领域为视频处理、基于内容的视频管理、视频检索、计算机视觉等。针对体育转播、视频监控、外景采集等所获得的视频流或视频文件，依托视频流编解码技术、统计技术、数据压缩技术等，把采集到的视频数据和针对指定场景的控制信息结合起来，采用内嵌的方法实现控制信息与视频复合，在考虑到视频拍摄过程的连续性，控制信息可固定时间间隔进行更新，也可按照需要在指定位置更新。对压缩视频，根据要复合的信息量的多少，可选择单帧或多帧方式施行，为减低对观看效果的影响，须避开关键帧(I帧)。播放时根据控制信息在指定的有效时间或帧序号范围启动相应的设置响应来自用户的动作。</t>
  </si>
  <si>
    <t>视频数据嵌入控制信息的方法</t>
  </si>
  <si>
    <t>CN201328192Y</t>
  </si>
  <si>
    <t>本实用新型公开了一种彩信视频报警器，包括传感器、中央处理器、存储器、输出控制系统、供电系统、断电识别系统、图片采集系统和人机交互系统，中央处理器接收传感器或者断电识别系统发出的信号后，通过输出控制系统完成具体操作控制，同时，利用图片采集系统对监控环境进行图片采集和人机交互系统进行操作控制。实现了远距离无线控制和时时查看、掌握监控环境的过程，特别是被用于汽车防盗报警时，还可随时记录车辆发生事故或被划伤的过程，为事后车辆理赔和责任确定提供准确的现场资料，具有报警准确率高、可操控性好、监控者可随时随地了解、观察被监控环境的优点。</t>
  </si>
  <si>
    <t>彩信视频报警器</t>
  </si>
  <si>
    <t>CA2642458A1</t>
  </si>
  <si>
    <t>有形(上游垂直链)新技术通过使事情更好地工作而有助于提高人们的生活质量,可以通过神经链接和/或直观的虚拟现实和/或多维( 任何和所有)互联网新方面以及所有制造/建筑/能源/旅游/国家建设(体育和/或股票市场和/或独特服务)/运输/水/农业/新运动/的新模式方法和技术 磁悬浮用途/飓风结构/新电池/新微型和柔性(电路板/微芯片/半导体)/机场/航空公司/游轮-游艇产品和服务/平台水产养殖-耐盐水植物(生物燃料)。 一切都可以通过计算机算法/神经链接/和人工智能来辅助、管理、控制……</t>
  </si>
  <si>
    <t>基于新设计和新成分的有形(上游垂直链)新技术,可提高与我公司“业务线”相关的人们的生活质量</t>
  </si>
  <si>
    <t>RU2497565C2</t>
  </si>
  <si>
    <t>领域:游戏。 
  物质:本发明旨在用于测量或分析高尔夫挥杆的装置和方法。 对通过球员身体和球杆的能量产生和传输进行测量或分析。 测量或分析的数据主要来自球员的地面接触力。 处理后的信号由人工智能系统进行分析。 地面接触力是指静止表面和球员脚底之间发生的反作用力。 
  效果:装置和方法用于测量或分析高尔夫中的挥杆动作,或使用自动装置或自动交互装置,能够以最准确的方式分析击球时运动员和球杆的动作。 
  29 厘升,18 绘图</t>
  </si>
  <si>
    <t>高尔夫挥杆分析装置及方法</t>
  </si>
  <si>
    <t>JP2011502602A</t>
  </si>
  <si>
    <t>本发明是一种用于测量或分析高尔夫挥杆的装置和方法。 对通过球员身体和球杆的能量产生和传输进行测量或分析。 测量或分析数据主要来自运动员的地面反作用力。 使用人工智能系统分析处理后的信号。 地面反作用力与站立表面和运动员的脚之间产生的反作用力有关。 自动或自动且交互地测量或分析高尔夫挥杆的装置和方法。</t>
  </si>
  <si>
    <t>一种分析高尔夫挥杆的装置和方法</t>
  </si>
  <si>
    <t>WO2009048636A1</t>
  </si>
  <si>
    <t>一种交互式虚拟训练系统,包括至少一个锻炼设备装置,包括视频用户界面、音频输入、音频输出、用于解释用户口述命令的语音识别软件和监控用户锻炼模式一致性的软件,其中 锻炼模式向用户触发询问是否需要帮助,如果用户指示需要修改,则用于调整锻炼程序的软件。</t>
  </si>
  <si>
    <t>虚拟教练</t>
  </si>
  <si>
    <t>US20090098981A1</t>
  </si>
  <si>
    <t>KR1020100039531A</t>
  </si>
  <si>
    <t>根据本发明的使用网络的多方视频外语教育系统包括:教师主机; 用户主机; 具有多个输入/输出端口或远程通信装置的网络终端,能够相互通信地连接教练主机和用户主机; 通过向讲师和用户分别提供可以进行视频培训的视频界面,将所有参与培训的用户的摄像头图像分割并暴露为讲师屏幕上的用户屏幕块,以及讲师和用户自己的屏幕在用户的屏幕上显示图像提供模块,其具有用于仅曝光相机图像的盲处理单元; 反应模块,通过麦克风和键盘接收用户对讲师视频讲课信息的语音和文字形式的回答,并传递给讲师的主机; 当用户的语音通过反应模块传递给讲师的主机时,通过分析语音的固有频率成分,识别识别为特定用户的语音,并将识别出的用户的屏幕块显示在讲师的视频界面上。其特征在于它包括:语音识别模块,用于将屏幕块变色处理为不同颜色。</t>
  </si>
  <si>
    <t>网络多边视频外语教育系统</t>
  </si>
  <si>
    <t>CN101676849B</t>
  </si>
  <si>
    <t>本发明提供一种使用电子设备时的交互方法和电子设备，方法包括：检测通过触摸物体操作显示设备而形成的有效触点的第一数量和触摸物体在显示设备上移动的第一运动轨迹，第一数量为大于或等于二的整数；调用有效触点数量、运动轨迹与操作指令间的对应关系，其中，在对应关系中，根据有效触点数量和运动轨迹唯一确定一个对应的操作指令；根据的对应关系，确定第一数量和第一运动轨迹所对应的第一操作指令；执行第一操作指令。本发明的实施例具有以下有意效果，建立了文件夹之间文件浏览的无缝链接；提高了用户在可触摸的电子设备上的预览/浏览速度和操作效率，所提供的操作方式简单易掌握且不易疲劳，人机交互更加自然并提升了用户的浏览体验。</t>
  </si>
  <si>
    <t>一种使用电子设备时的交互方法和电子设备</t>
  </si>
  <si>
    <t>US20090069643A1</t>
  </si>
  <si>
    <t>本发明的实施例提供了一种用于无线健康监测系统的方法和装置,用于通过将启用互联网的无线网络设备(“WWD”)连接到可以是医疗设备的健康监测设备来交互式监测患者的疾病或健康状况。 设备或其他与健康相关的设备,例如健身器。 如有必要,WWD 可以使用可选适配器通过有线连接到 WWD 的通用输入/输出端口直接连接到健康监测设备。 或者,WWD可以无线连接到健康监测设备,例如通过红外线或射频连接,包括使用诸如蓝牙或802.11的协议。 如果需要,无线连接也可以使用适配器。 用户还可以手动将数据输入到 WWD,例如通过小键盘、键盘、触控笔或可选地通过语音命令。 
  使用标准互联网协议将健康相关数据从 WWD 传输到服务器。 服务器使用可以包括算法或人工智能系统的软件程序计算响应,并且可以进一步提供医生或健康专家的审查。 用户可以与服务器交互。 例如,服务器向WWD发送响应,用户可以回答该响应或提供其他信息。</t>
  </si>
  <si>
    <t>将患者数据监测与无线互联网连接相结合的健康和疾病管理方法和装置</t>
  </si>
  <si>
    <t>KR100986160B1</t>
  </si>
  <si>
    <t>本发明涉及一种利用遗传算法和DNA计算生成方法的掩模生成系统。 根据本发明,生成关于随机数的地址的随机数生成器生成随机数(Random Value),并且第一数据通过随机数生成器选择预定地址并且来自随机数生成器的地址,并且 将预先确定的变异概率与通知第二数据的随机数进行比较。 并且掩码过程中拟合值最大的掩码是从运行模块生成的掩码中传递出来的,包括对种群每个地址进行遗传性状变换的变异部分,以及存储拟合值的随机数和存储模块 每个面罩的(健身值)和记忆模块。 复制模块带回该掩码,并将第一亲本数据和第二亲本数据传送至杂交部分。 第一 I 数据和第二 I 数据从杂交部分传递。 它传送到内存模块。 而且在创建掩码的同时,种群的每个地址都对随机数 掩码的拟合值进行了保存。 掩码和生成的拟合值被传送到内存模块。 并且包括控制以将具有大拟合值的掩模传送到掩模中的再现模块的GA控制器(Genetic Algorithm Controller)。 遗传算法,DNA计算,掩码,随机数发生器。</t>
  </si>
  <si>
    <t>使用遗传算法和DNA计算的掩模生成系统和方法</t>
  </si>
  <si>
    <t>CA2634626A1</t>
  </si>
  <si>
    <t>使用 Neural Links 记录以备将来回忆,您可以改变您的体验,首先通过 PRESENT Dual Recording。 1. 真实的/实际的,以防有一天您的用户可能会发现您过去的记忆很有用。 2. 第二个创建合成记忆,(你想如何记住它)不仅来自另一个人的(角色的身份 - 可能是组合的)心智框架(参考)以及通过神经链接与人工智能相结合的价值观和情感 选择性记录,例如。 从记录的体验中屏蔽掉不需要的刺激。 稍后可以由用户查看和调整。 合成体验需要使 Neural Links 体验设计的重点成为并具有真实的感觉(使删除和添加可信 - 尤其是在视觉上的模态)。 该体验模拟了过去遭遇的特征(来源)刺激的删除/添加,正如角色中角色的身份和他当时的心态所体验的那样。 3. 记录另一个人有相同或相似的经历或在相同的经历中也在场(在相似的背景下有相似的刺激)并剪切和粘贴(我们自然会被驱使去关注和被迫去感受的刺激创造经验—— 对)的反应,我们可以打破记忆从第一次相遇的起源到我们认为在未来变得敏感和不堪重负时触发的重要时期的模式,以及 刺激对象/实体/交互/经历真实和/或从过去记忆/推断未来和/或想象和/或概念/无形想法的情绪(例如强度,注意力集中,敏感性) 通过识别实体/对象/交互/体验/概念和关系模型的记忆模型,特别是视觉和理解,作为对真实/实际体验的补充。 其他已知实体/对象/交互/经验/概念的属性/连接/链接/线索。 人工智能可以帮助用户甚至它自己的其他心理应对技术是知道哪些情况不应该解决(以避免破坏)情况。 形成一个最好的情况(带走积极的)并记住以备将来重新体验,带走不想要的消极(刺激和你习得的反应行为 - 打破模式),并保持警惕这种消极的反弹 在注意力不集中和/或精神搜索的时刻进入意识。 最好单独进行心理搜索,这样您就不会将交叉刺激与反应行为/解释和仔细的思维导航混为一谈,因为人工智能可以通过神经链接读取您正在孵化的想法和危险信号 你尽快发现你的一个开口(你当前的搜索路径目的地)是一个不想要的想法,是你想要避免的东西,所以你没有印记(和残留的强迫症)和无法控制的心理反应。 另一种心理应对技巧是放松并让思想运转,注意积极的反应,并对积极的反应脱敏和麻木。 另一种心理应对技巧是通过与谁在一起来定义优质时间的活动。 另一种心理应对技巧是学习在任何时间和地点控制眼睛的焦点,尽管分心。 当你的眼睛从你想要的目标上移开时,轻轻地把它们拉回来,练习首先移动眼球,先朝上,再朝下,然后是一侧,然后是另一侧。 当眼球肌肉获得灵活性并获得力量时,圆圈和反圆圈可以纠正凝视问题。 从我的武术训练中,我发现自己无法控制地瞄准威胁(几乎是下意识地),然后我认为它就像旧 Aatari 电子游戏中的乒乓球游戏,你可以像眼睛目标一样将乒乓球路径的目标击回所需 目标。 此外,意识到我的大脑仍然在用眼睛的侧面和后部瞄准不需要的目标,这对我很有帮助。 还要学会走开,净化自己,承诺已经做出,接受和生活任何你无法公平改变的东西……回到原点意味着:回到最初的相遇,模拟你在相遇中的位置。回到你经历遭遇的同一个参考点。 然后成为你真正想成为的人(如果你在遭遇中是完美的人)。 无论您如何看待(从您最初的角度 - 体验固定的角度),都没有错误的想法(它是刺激),隔间的各个部分,整个环境/隔间。关键是要消除 所有不需要的残余反应痕迹(例如,心理学家使用人们无法摆脱的粉红色大象的例子 - 视觉印记和/或韵律/韵律词和/或短语)。毫无疑问地纠正您的经验 这会导致错误提示(GP 0.5%)。</t>
  </si>
  <si>
    <t>神经链接和人工智能</t>
  </si>
  <si>
    <t>JP5476685B2</t>
  </si>
  <si>
    <t>本发明的一个目的是使得可以使用由用户自由设计的图像来享受模拟比赛。 
  一种用于基于赛道信息、赛车信息和指示赛车性能的参数信息来执行赛车游戏的赛车游戏设备1,包括用于获取图像信息的图像识别单元141,以及获取的图像信息。生成单元142,用于基于获取的图像信息获取参数信息,以及通过基于参数信息控制赛车的运动来进行比赛。其特征在于具有状态存储单元144、状态计算单元145、状态分析单元146,以及用于显示比赛画面的绘图处理单元148。 
  【选型图】图1</t>
  </si>
  <si>
    <t>信息处理装置、图像处理装置、信息处理装置的控制方法、信息处理程序和记录介质</t>
  </si>
  <si>
    <t>CA2629653A1</t>
  </si>
  <si>
    <t>多维网站可以通过为该类型的对象创建方法/技术/选项移动模板来使对象移动。 我们可以开发一个对象类型的数据库,移动时它们的运动部件是什么(例如四肢),例如汽车上的轮胎和/或任何和所有物体内的任何和所有运动部件......例如人类, 关于步行/跑步/跳跃和弯曲躯干运动的常规运动(与按钮能力加速和/或减速的节奏)。 1.) 铰链可以和身体部位的尖端模仿真实的人类模板,以生成任何和所有物体的运动曲目。 和/或插图 - 例如。 漫画用于创建重复动作的模板。 动作的规律性是一样的,例如手,他们通过肘部伸出,有或没有移动,有或没有武器,携带任何物品和/或捡起东西(捡起的速度)。 人体和他们腿部的运动一样。 运动可以通过视频游戏控件和/或 Wii 来控制 - 例如。 复杂的运动,如高尔夫挥杆/手对手格斗技术,可以包括/涉及方向的时间序列~操纵杆,可能在圆形方向上移动压力(超过一次点击按钮)。 我们还可以使用现有的逐帧计算机动画。 我们也可以有(模板)直的附属物/肢体,它们从四肢顺序连接到身体躯干中央。 在更极端的附肢/四肢(例如小腿)和更靠近中央身体躯干(例如大腿)之间,双击附肢/四肢(作为人类公认的身体部位和常规类型(附肢/四肢之间的运动 运动的时间(速度/加速度)、运动的方向和距离——像身体关节的铰链一样摆动/旋转)以及如何将前脚向上和向前抬起以及协作/协调的技术 因为身体的这些部分应该移动或设计具有可记录身体点的模型的定制动画或步态。为了使体验更加有趣,也许可以使用振动技术,例如有垫子和(即使有 人工智能)垫上的不同按钮振动(以及振动强度)并可能在屏幕上用情绪图标点亮作为对用户操作的选择响应......我们可以结合使用 与神经联系的情感(例如。 强度加情绪加)通过神经链接识别响应以移动/改变情绪图标上的脸(这不仅显示您的网上冲浪组,而且当光标移到多维网站上的某个对象上时,该对象的情绪会显示 ) 来表达情绪,这可以点燃强烈的情绪……不同的网上冲浪公共串联网络……而且人工智能也可以用同样的方式表达情绪。 此外,神经链接(以及为用户创建这些事件以供体验的人工智能)心理学可用于生活片段治疗。 从剧集到剧集的变化/转变大体上完全不同; 环境对环境; 一个场景到一个场景——耗尽(刺激/反应)行李……包括休息(享受休息——欣赏)、打开电视频道、改变睡眠模式、改变任务、改变动机、不同的隔间 生活。 不只是改变,而是例行公事/在一个人的周期性生活方式中,例如。 喝茶(作为日常生活)和/或咖啡,和/或洗个热水澡,为那些负担不起按摩师的人减压,基本上是满足/完成一个人日常期望的治疗程序(优质的个人时间) ,并留下不需要的想法,并带走他们玷污体验的能力(这会增强和刷新(GP)/为当天剩余的活动提供补偿),就像逃离不喜欢的现实部分一样。 另一种方法是看电影。电影可以是分段剧集的逃避,这些剧集涵盖时间的流逝(多个未解决的)时间 - 压缩(故事中的关键事件或关键转折点,开场白/挑战/逐集创造和/或重新创造的体验 与角色一起成长的经历,当再次观看电影时,患者可以在电影中注意到他以前从未注意到的新的积极事物,或者 Al 可以提出这样的事情。我们还可以将我们的帽子/头盔电极接收器/ 上面带有一层噪声消除器的发射器,因此放大器可以不受干扰地接收和发送神经信息(GV GP)。我们可以使用此类产品原型开发产品,例如 MicroLux 高精度重型微型铣床或其竞争对手,例如 .: .cndot. 超硬、热处理的铸铁底座、立柱和主轴箱,带有精密研磨的 V 型槽。.cndot. 高精度中心支撑的硬化和精确加工的主轴 花瓣滚柱轴承。 .cndot. 每转 0.050 英寸带可归零刻度盘的工作台进给螺钉。 .cndot. 用于低速扭矩放大的高低齿轮箱。 .cndot. 强大的可调速电机,带有风扇冷却反馈感应功率提升电路。 .cndot. 用于角度铣削/钻孔的倾斜立柱。 .cndot. 杠杆驱动的弹簧辅助主轴箱可轻松执行钻孔操作。 3. 铣床可用于创建 Web 浏览器在网站所有者未锁定的多维网站上遇到的多维对象/实体的比例模型(例如,出于专利/版权/商标和专有原因)。 4. 未直接转化为多维对象/实体的铣床模型可以通过针脚测量器/记录器重新创建,然后在多维网站中为多维对象/实体制作动画。 用于在多维网站对象/实体之间进行设计的进一步模型/原型设计包括 CAD/CAM 设施,包括几台快速原型制作机、大型 CNC 铣床(3 轴路由器)、小型铣床、几台 CNC 激光器、逆向工程设备、真空成型 机,以及范围广泛的传统设备和制造工具。 软件程序包括 SolidWorks、SurfaceWorks、其他实体和曲面建模器,例如 ProEngineer、Alias/Wavefront 和 Maya,以及领先的 CNC 加工程序 MasterCAM。 Neural Links 可用于实时无保护的思想共享脑电图/微波/神经电话/红外线(甚至无线)。 或者可以设置一个警卫,这样用户的反应/消息会记录您的想法并通过发布发送,而不是实时的,可以选择转换为文本,也可以选择显示情绪。 可以练习通过神经链接传递的思想信息,直到你得到一个毫不妥协的思想信息(没有被怀疑或模拟错误/信念意图所污染)。 一旦消息完成得足够好,用户就可以像电影剪辑一样按下发送/发布……。 我们还可以预先录制心灵声音(在 VOIP 等媒体上),录制声音/频率,然后用放大器按下发送按钮,然后另一端(接收器和/或在网站上发布)重播消息 - 心灵体验 - 实时或留心观看以备后用,我们可以使用微波/红外线/改变声音和频率,作为对刺激和环境变化的识别。</t>
  </si>
  <si>
    <t>神经链接/人工智能/计算机/多维技术 iii</t>
  </si>
  <si>
    <t>CA2627156A1</t>
  </si>
  <si>
    <t>多维网站可以通过为该类型的对象创建方法/技术/选项移动的模板来移动对象。 我们可以开发一个对象类型的数据库,移动时它们的移动部件是什么(例如四肢),例如汽车上的轮胎和/或任何和所有对象中的任何和所有移动部件......例如人类, 关于步行/跑步/跳跃的常规动作和弯曲的躯干动作(与按钮加速和/或减速的节奏相一致)。 1.) 铰链可以和身体部位的尖端在真实的人类模板中模仿,以生成任何和所有物体的运动曲目。 和/或图解 - 例如。 漫画用于创建重复动作的模板。 有规律的相同比例的动作,例如通过手肘伸出来的动作,无论有无武器,携带或不携带任何物品和/或拾取物品(拾取速度)。 人体和他们的腿的运动,因为他们。 运动可以通过视频游戏控件和/或 Wii 来控制 - 例如。 复杂的运动,例如高尔夫挥杆/徒手格斗技术,可以包括/涉及方向的定时序列——操纵杆可能在圆形方向上移动压力(超过一次点击按钮)。 我们还可以使用现有的逐帧计算机动画。 我们也可以有(模板)直的附肢/肢体,从四肢依次连接到躯干中央。 在更极端的附肢/四肢(例如小腿)和更靠近身体中央躯干(例如大腿)之间,双击附肢/四肢(作为人类公认的身体部位和常规类型(附肢/四肢之间的运动) 运动的时间(速度/加速度)、运动的方向和距离量(如身体关节的铰链上的摆动/枢转)以及如何以协作/协调的方式向上和向前抬起前脚的技术 因为身体的这些部分应该移动或设计带有可记录身体点的模型的定制动画或步态。为了使体验更加有趣,也许可以使用振动技术,例如有一个垫子和(即使有 人工智能)垫上的不同按钮会振动(以及振动的强度),并且可能会在屏幕上亮起一个情绪图标,作为对用户行为的选择响应......我们可以结合使用 与神经联系的情绪(例如。 强度加情绪加)响应可被神经链接识别以移动/改变情绪图标上的面部(不仅显示您的网上冲浪组,而且当光标移动到多维网站上的对象上/上时,显示对象的情绪 ) 来表达情绪,这可以激发强烈的情绪......不同的网上冲浪公共串联网络......人工智能也可以以同样的方式表达。 此外,神经链接(以及创建这些事件供用户体验的人工智能)心理学可用于生命事件治疗。 从剧集到剧集的完全不同的变化/转变; 环境到环境; 场景到场景 - 耗尽(刺激/反应)行李......包括休息(并享受休息 - 欣赏),打开电视频道,改变睡眠方式,改变任务,改变动机,不同隔间的分歧 生活。 不只是改变,而是日常生活/一个人的周期性生活方式,例如。 喝茶(作为日常生活)和/或咖啡,和/或洗个热水澡以减轻那些负担不起按摩师费用的人的压力,基本上是满足/完成一个人的日常期望的治疗程序(高质量的个人时间) ,并留下不想要的想法并带走他们污染体验的能力(这会增强和刷新(GP)/为一天的其余活动恢复活力),就像逃避现实中不喜欢的部分一样。 另一种方式是看电影。电影可以是分段剧集的逃避,这些剧集涵盖了时间的流逝(多个未解决的)时间 - 压缩(故事中的关键事件或关键转折点,开场白/挑战/创造和/或重新创造的体验一集一集给出 与角色一起成长的经历,当再次看电影时,患者可以在电影中注意到他以前从未注意到的新积极事物,或者 Al 可以提出这些事情。我们也可以排列我们的帽子/头盔电极接收器/ 发射器上方有一层噪声消除器,因此放大器将接收并发送不受干扰的神经信息(GV GP)。我们可以使用此类产品原型开发产品,例如 MicroLux 高精度重型微型铣床或他们的竞争对手,例如 .: .cndot. 超刚性、热处理铸铁底座、立柱和主轴箱,带精密研磨的 V 型槽。.cndot. 高精度向心支撑的淬硬和精加工主轴 合金滚子轴承。 .cndot。 每转台进给螺钉 0.050 英寸,带有可归零的刻度盘。 .cndot。 高低变速箱用于在低速时放大扭矩。 .cndot。 强大的可调速电机,带有风扇冷却反馈感应功率升压电路。 .cndot。 用于角铣/钻孔的倾斜柱。 .cndot。 杠杆驱动的弹簧辅助主轴箱可轻松进行钻孔操作。 3. 铣床可用于创建 Web 浏览器在网站所有者未锁定的多维网站上遇到的多维对象/实体的比例模型(例如,出于专利/版权/商标和专有原因)。 4. 不直接转换为多维对象/实体的铣床模型可以通过将测量器/记录器插入多维网站中的多维对象/实体然后动画化来重新创建。 用于在多维网站对象/实体之间进行设计的其他模型/原型包括 CAD/CAM 设施,包括几台快速原型机、大型 CNC 铣床(3 轴路由器)、较小的铣床、几台 CNC 激光器、逆向工程设备、真空成型 机器,以及广泛的传统设备和制造工具。 软件程序包括 SolidWorks、SurfaceWorks、ProEngineer、Alias/Wavefront 和 Maya 等其他实体和曲面建模器,以及领先的 CNC 加工程序 MasterCAM。 Neural Links 可用于实时非保护式思维共享脑电图/微波/神经电话。 或者可以设置警卫,而不是实时,用户反应/消息记录您的想法并通过发布发送,可选择转换为文本,可选择显示情绪。 可以练习通过神经链接的思维信息,直到你得到一个不妥协的思维信息(没有被怀疑或对错误/信念意图的模拟)。 一旦消息做得足够好,用户按下发送/发布......就像电影剪辑一样。 我们还可以预先录制心灵声音(在 VOIP 等媒体上),录制声音/频率,然后用放大器按下发送按钮,然后另一端(接收器和/或在网站上发布)重播消息 - 心灵体验 - 实时或保存思维查看以供以后使用,我们可以使用微波/红外线/随着声音和频率的变化,作为对刺激和环境变化的识别。</t>
  </si>
  <si>
    <t>心灵体验/多维技术</t>
  </si>
  <si>
    <t>CA2626172A1</t>
  </si>
  <si>
    <t>我们可以将神经链接用于任何和所有互联网通信/体验(模式),无论它是(人类内部系统的一部分;和/或人类环境系统的一部分),并且正在检查的部分/特征的意识 例如。 形状/大小/数量-体积以及对这些刺激的不断变化的需求……Neural Links 可以在线提供电影剪辑和电影库……以及所有娱乐、体育和所有兴趣/互联网网站产品……最新的任何东西 以及任何和所有的经历,例如。 游客网站录音、会议采访和...新闻播报前报纸直接从业余和专业记者现场直播(实时)...任何和所有运动。 A Neural Links 要发布的电影、Neural Links 脸书(发布网站)、Neural Links 虚拟现实、Neural Links 到零售店员零售商店的 Neural Links 电子交易、Neural Links 搜索引擎、Neural Links 社交网站(感兴趣的)、Neural 链接任何和所有软件以进行指导(甚至是具有模态方面的文档最终产品(例如 3 维、触摸、张力、强度、情感、其他/记录者/人工智能的价值观和感知......) (GP .005%) 使用实时神经链接的人工智能还可以帮助用户研究 - 互联网和教科书上的主题,(作为记忆辅助),排序,根据价值挑选重要标准,评估(GP 0.01%)和分析(基于成本和收益)对个人、部门和组织进行战略规划,并基于情景分析得出结论和决策(包括),所有这些都以思想的速度进行,包括实时的思想协作 连接到神经网络的人们的行为。 我们有不止一种用于神经链接头饰的设计。 一个有像自行车头盔内部的条纹(除了围绕头部形状的条纹衬垫)从前到后和/或侧面 - 电极(可能连接到放大器和通过模态信号接收和发送的两种方式 例如,视线(甚至可能用十字准线瞄准和/或跟踪一个物体移动到任何地方,甚至使用 360 度相机)战略性地粘在条纹填充物上——此外,为了防止移动,下巴下面有一条带子。其他可能性, 包括(基础球帽),它们都带有收紧功能,无论是(可调节的)魔术贴、金属纽扣,还是按扣、扣子……从(建筑 GP 8%)到法国退伍军人帽、头巾、渔夫帽的任何和所有帽子, 贝雷帽、遮阳帽......任何和所有款式,(连帽衫 GP 8%)、Stetsons、无檐小便帽/touques、任何和所有高尔夫球帽、任何和所有牛仔帽......通过体验的神经链接发送和接收(模式以及 作为更复杂的想法)对于人们 逃离他们自己的生活/世界...感觉机器人或视频游戏以及所有与其他人的思想/其他人和/或代理身体相关的运动/娱乐/视频游戏肌肉紧张和竞争性手眼协调运动 - 例如练习根据手臂长度/腿长度、身体大小、反应速度以及执行速度和/或任何和所有竞争性游戏/现实进行调整的徒手格斗技术:例如 NASCAR 和/或 F1 和/或 达喀尔赛车甚至在现实生活中的 NASCAR/F1/达喀尔也可以在他们的车里有一张实时数字地图,告诉车手他在哪里——他在所有赛道上的位置——以及即将发生的事情。 在现实世界中,驾驶人工智能可以通过对角线/可能是鱼眼镜头和眼球在汽车的前后和侧面使用摄像头来挤压空间的大小以及您需要多少速度(以及加速多少必要) 当驾驶员开始尝试进入您的挤压车道时,您希望他以多快的速度进入,如果前面的驾驶员眼球,您在侧车道上追上的速度有多快,如果他可以安全地侧滑或完全挡住您,或者 如果为时已晚(你在他身边太远了,那会很危险 - 碰撞让他试图阻挡你 - 他唯一的希望是加速超过你然后阻挡你。阻挡你被定义为夹住你的身边 超车的方式迫使你在他的后方,和/或让你为了安全而刹车以避免碰撞。以及转弯的锐角可以有多急 - 转弯越急,轮胎侧向旋转越多,这会导致轮胎容易失去抓地力,从而导致操控危险,因为高速会切断加速所需的直线路径 转弯会导致轮胎打滑。 我们还可以将量子芯片与神经链接一起放在屏幕眼镜上,并拥有计算机眼镜(JAW 1%)。 3 - 所有计算/人工智能/互联网/视频游戏/电视的维度(下)虽然可以独立但也可以与神经链接一起使用(对于开发人员和用户)。 此外,我们可以创建一个平台(3 维,用户可以使用 360 度旋钮查看网站,以查看网站上的各个方向 - 互联网;视频游戏机;第二人生;Next To Life;Face Book;Utube;Real 时间写博客...)由此(人和/或人工智能)可以开发他们自己的 3 维隔间、建筑物,甚至是世界(例如指环王 - 字面上是一个映射的世界,用户可以在其中旅行和探索)。 ..开发商为一块土地付费(以及灵活的复杂性 - 需要探索的细节)。 随着工作的发展,开发人员可以进行协作(例如文档共享)并保持联系并实时查看彼此的工作。 开发人员开发角色(具有不同的复杂性和交互类型),创建的角色可以交朋友(闲聊)/或打架,杀戮可以通过化身复活,做爱,(浪漫 0.3% GP),分享兴趣(尤其是 有趣的活动;享受共同探索 3 维网站的共同探索(例如文档共享)。对于环境,我们可以通过提供由(年龄/时代)(现实(历史时期)、幻想、对象 (或混合)日期,包括机器人/自动化/半机械人(互换部件和功能)的未来模板--克隆/纳米机器人/外星人/人工智能。像变形金刚、机甲、机器人技术、战斗之星加拉蒂卡、星球大战、星际迷航、 包括适合故事的内容,例如激光枪、激光炮、激光炮塔、手榴弹、光子鱼雷......任何和所有允许游戏玩家/互联网用户开发自己的 3 维世界的视频游戏。 ory 可以是一张宽广的地图,其中(甚至移动速度大多可以预先确定)用户路线/不能四处走动,并且主要局限于特定路径而不是详细的城市......房间里有详细的对象.. . 以及背景和环境包括作为建筑材料模板的对象(用于城市)和/或在幻想的情况下; 山脉/海洋/天空/山谷,蜿蜒的河流——大小和距离不一。 开发人员还可以为世界不同地区的不同居民群体创建全新的文化/历史/信仰价值体系。 和对象从头开始定制创建,和/或 3 维(和/或可选的单个 2 维对象可以粘贴到墙上;或广告牌海报;大脸对象上的图片或按 2-D 和/或 3-的按钮 D 广告被激活/动画,就像旧的互联网网站一样,用户双击广告您打开广告网页/或放大广告(当您通过图片/海报/广告牌后面时,开发商决定放在背面 例如空白;另一个图片/海报/广告牌 - 重点是 2-D 图片/海报/广告牌更容易节省时间和金钱,因此 3-D 网站可以混合一些对象 2-D 和其他 3-D (引人注目 - 高光)....对于没有版权和/或专有的对象,这些 3-D 对象和/或 2-D 图片可以导入/剪切和粘贴(它们也可以是交互式的(GP 1%). 开发商的积木允许并创造一个艺术家可以出售的市场 然后从/图片导入/剪切和粘贴对象(例如。 太空船,人物 - 各种服装的英雄)来自电影。这个世界可以(由他们的世界的开发者不断地完成——我们甚至可以给用户挑选的最佳世界(3-D 网站)的获胜者一个 X 奖——改变也可能是对什么的反应的演变 角色在这些 3-D 世界中所做的事情,这些想象中的世界的变化被任何(包括程序化/自动化的生命形式/AI)生命形式相互作用、日常事件所推动和促成;比如生火做饭或逗留 在海滨度假村/酒店(当地人 - 编程/自动化的生活形式/角色/Al 建议用户可以做的事情)基于他们已经做过的事情(提示要探索的内容 - 基于建议的一般兴趣与用户个人资料,例如工作领域/ 在家庭中的位置(例如,有多少孩子/什么年龄/什么性别)...任何和所有数量和质量的对象,属于创建环境的一部分,而不是用户/玩家。未来的幻想网站可能包括任何和所有飞行器 包括太空船。开发人员可以开发 lop 百老汇剧院互动体验,用户/玩家参与其中。 所有运动 对于在我们的 3 - Dimensional 网站上销售产品的公司。 基本上,用户可以缩小并看到他自己拿着产品(可选字符;由用户创建或不同体型和种族和(年龄 GP)的人的通用表示。回复:时尚/零售体型别针艺术能够容纳 大型和小型。它可以与身体的各个方面互换使用。单位可以出售给家庭使用和零售精品店(时尚) - 以获得精确的外观。别针艺术单位测量所有身体的尺寸 (记录在计算机和/或人工智能上)并发送到互联网,其中 1.)裁缝可以根据用途和时尚(休闲与保守)推荐,2.)买家挑选服装(组合),然后 由人工智能尝试或由销售员手动将衣服放在具有相同身体的人体模型上,3.) 买家使用或可能通过视频会议描述各种组件的颜色 (GP)/款式/尺寸(剪裁 ) 服装/材料 l. 可能有一个可选的辅助(可能更小)引脚形状测量器/记录器,带有更小/更细的引脚来感知/获得更多定义; 更多详情。 购买者可以调用(多种选择)零售时装店的任何和所有环境/场景来尝试服装,例如在海滩散步、正式/休闲/半休闲活动。 引脚形状测量仪/记录仪可用于任何和所有产品(例如电子产品、电器、家具任何和所有尺寸很重要的产品),例如。 iTunes、PDA、短信、电影库、背包电脑、蜂窝、膝上型电脑,买方可通过此缩小查看(该产品相对于处理场景中的人体大小的角色/玩家,例如空中火车站、总统套房 将电视的环境或类似尺寸聚焦到墙壁的尺寸以及扫描墙壁图片的能力,其中相同比例的电视照片叠加,以及另一个示例是洗衣房; 洗衣机/干衣机,其尺寸可以叠加到相同比例的房间(尺寸测量并由潜在买家提交,其中房间的图片在背景中,大型产品可以移动以占据不同的位置。 用户/购买者可以放大越来越多的细节,直到移动电子设备具有真实/实际大小,并且用户/购买者可以(模拟)交互,就好像它是真实的一样,公司甚至可以允许 用户自定义设计和/或尝试一些功能。 背景/背景下降取决于您所在位置的对象/环境的距离和大小。 我们有 3 种对象。 2 - 尺寸对象(数字面 - 正面和背面,高度 Y - 宽度 X),它们是背面平淡的图片/海报/广告牌和/或背面有相同的图片/海报/广告牌。 4 面对象(数字面 - 前/后视图;右/左视图(对角线选项))也可以通过拍摄对象的所有 4 个面来创建; 高度。 3 - 使用左右反射对称的维度,然后使用 3 - D 针测量器/记录器来开发不对称对象的面。然后用户可以使用一般解剖学上正确的颜色(也可以定制服装 - 由人工智能拟合)和/或将身体测量/记录提交给时尚精品店的售货员,他们会将服装放在身体比例相似的人体模型上 - 甚至可能有 可互换的人体模型身体部位(例如符合人体解剖学的人体物体的衣服)或可能从所有四个侧面拍摄穿着衣服的人的照片。 像虚拟现实一样,可以从任何角度 360 度看到重要的对象(特别是有趣的引人注目的对象,这些对象会产生兴趣(给定主题)转化为热门 - 或与竞争或突出能力分开),用户甚至可以拥有(例如。 可能是鼠标旋钮)将所选对象旋转 360 度(对象的模拟视图)。 和/或更便宜和更快的速度来切换(或预编程)前/后 4 面; 左右(对称/反射)取决于您从一个面到垂直面的距离。 建筑形状和设计可以买卖和交换(例如圆顶、漩涡建筑......)以及房屋建筑......根据时代/时代和世界专业地区建造城市......我们可以积累大量 图书馆(例如志愿者人体模型 GP 0.01%),以及(动画虚拟现实)玩具、动物和所有物体。 我们还可以制造量子/纳米(使用如此小的芯片,所以只需要用于神经链接和/或眼镜屏幕和/或耳塞的头戴设备)对讲机、手机、收音机、眼镜屏幕电视和/或计算机等等 可以通过神经链接以及文本消息、互联网、PDA、Ipod、iTunes、电子邮件、视频游戏、记录的神经链接和所有者记录来连接/控制……任何和所有媒体、通信/娱乐/多于一维 对象/交互。</t>
  </si>
  <si>
    <t>神经链接/人工智能计算机、新互联网多维</t>
  </si>
  <si>
    <t>CN101261629A</t>
  </si>
  <si>
    <t>本发明涉及一种基于自动分类技术的特定信息搜索方法。它是首先通过网络蜘蛛收集一些典型的网页构成训练文档集合，再对训练集合中的网页进行人工标注领域相关网页或领域非相关网页，然后利用机器学习算法在训练集合上进行建模并得到网页自动分类器；接着，再通过网络蜘蛛大量收集该领域相关网页，利用前面建立的自动分类器判别网页是否该领域相关网页，并建立基于倒排表的全文索引库将这些相关网页保存下来；最后，提供一个检索接口，方便用户从全文索引库中查询出该领域相关网页；具体操作包含以下三个模块：分类器训练模块、网页采集及索引模块和信息检索模块。本发明的方法相对于通用搜索方法来说，搜索命中率较高，重复信息较少，而且相关信息排列较靠前。</t>
  </si>
  <si>
    <t>基于自动分类技术的特定信息搜索方法</t>
  </si>
  <si>
    <t>CN201182870Y</t>
  </si>
  <si>
    <t>本实用新型涉及一种智能机器人足球比赛专用发光球。一种电子发光球，包括圆形壳体和和固定在壳体内的发光装置，圆形壳体由上壳体(1)和下壳体(8)连接构成，其特征在于发光装置包括圆形线路板(9)，电池(12)，上线路板(13)及其上的光源(4)和上固定柱(14)，下线路板(10)及其上的光源(17)和下固定柱(6)；所述上壳体(1)底部设有开关口(15)和电池充电口(2)。该电子发光球具有结构合理，整体转动灵活的优点。</t>
  </si>
  <si>
    <t>一种电子发光球</t>
  </si>
  <si>
    <t>US8182424B2</t>
  </si>
  <si>
    <t>间接热量计通过定期监测体重和感知体育锻炼(即与体力消耗相关的生理数据和/或运动数据)来估计营养热量摄入,然后可以将其用于从人群回归分析得出的量热模型中(例如, 线性回归、前馈神经网络、高斯过程、增强回归树等)。 用于跟踪锻炼的绑带式用户设备可以检测心率、体温、皮肤阻力、运动/加速度感测(例如,计步器、加速度计)、速度感测(例如,全球定位系统(GPS))和 智能、集成的健身器械(例如跑步机、健身车等)。 为了获得进一步的保真度,用户可以通过在相对较短的时间段内进行基于日志的例行程序或临床量热测量(例如,呼吸量热计)来微调估计值,从而为静息或运动代谢率提供基线。</t>
  </si>
  <si>
    <t>无日记量热仪</t>
  </si>
  <si>
    <t>CA2618651A1</t>
  </si>
  <si>
    <t>量子计算机硬件以及软件和/或人工智能(通过节点网络和项目经理/主要协调员) 其中:运行多个模拟以同时解决同一类型的问题。 (每个都有不同的输入和公式(0.15%),或相同类型的输入变量(隔离变量的类型、数量(0.3%)。多个问题解决规则/关系(变量与已知量)选择和决策) 同时尝试所有选项/决策/策略(策略涉及多个选项和在某些时候正确粗略猜测未来场景的能力)同时(类似于杰拉德的数学语言)-操作/尝试。最终产品的选择 公式将产生(结果)可以推断 最佳远见/预测(导致基于线索相信的最佳决策/选项/策略,其中最好的包括主要驱动因素(需要最少的不可再生资源,产生最有影响的 结果),平衡主要变量及其关系,和/或概述 - 所有因素的集合及其从最终产品的开始时间到结束时间的贡献。 人工智能,多个输入通过逻辑语言系统运行,这些逻辑语言系统通过属性/线索/连接/链接将实体和交互结合在一起(其中多个属性/线索......可以同时搜索),例如。 刺激(规则(价值——随着时间的推移而变化的情绪和人类的自发性可能会增加不可预测的元素)——交互——反应、行动——寻找寻求输出的反应,以及推测和/或意外的其他输出 发现(负面和/或正面)通过改变输入的类型、数量和时间运行多个模拟。一个系统包含的部分有助于对输出条件的影响,操作是交互的(系统或系统部分如何工作) 其适当的行为、输入和动作/反应(以及这些输入通常不需要作为输出特征的成分但需要将输入转换为所需输出形式的催化剂)。相关相互作用的机制类型、数量 收益与不想要的(在使用方面不相信需要;认为不重要;看不到任何重要用途的价值;怀疑其有用性) 一 使用量子计算监测任何和所有基因相关疾病和/或解决方案/治疗中的大量基因:例如监测所有已失活/激活的基因(时间 - 提示因果关系),例如当一批干 细胞已逐步分裂。 然后同时测试每个或组合(以及测序 - 当沿着分裂过程变得失活/激活时)所有基因。 股票市场 - 投资回报率、每股收益、市盈率 - 考虑到公司规模的所有主要因素到重叠(策略)主要投资者池的规模,这些投资者实际上只会将市场推向非此即彼的方向,即购买(无论是逆势 /增长/价值-基本面/地理转换-负相关周期/图表跟踪-更大的时间跨度升值(在时间跨度的峰值处)-考虑到获利回吐、修正/事件驱动和/或时机)推动股价上涨 当主要投资者卖出价格下跌时; 因此,如果投资者是理性的,那么一家具有良好基本面的公司 - 可持续的竞争优势应该会长期升值......电子游戏/人工智能 - 级联(游戏的大部分以及角色和结果的替代演变 - 人造和自然, 改变社会;改变背景)改变资源,改变对象——根据用户在游戏中的选择而改变。 基于(价值观和情绪;逻辑上的策略和情绪反应——正确的想要或想要的相关实体与场景的交互)会发生什么 响应与基于过去遇到的类似刺激类型的响应(上下文相似性)与可能响应的概率列表 掷骰子,在环境中创建半随机时间/地点和字符。当其他角色(由人工智能运行)对用户的方式做出反应时(例如,当用户离开时)会发生什么; 激励措施; 积极各种胡萝卜加大棒; 恐惧; 质量时间(Je 0.01%); 给予/接受; 资产; 感情; 支持他们的不安全感(不确定性); 与其他角色竞争他们如何对待人工智能角色,人工智能角色可能会在你离开时学会没有你(学会独立生活) - 从例如隔间的隔间。 对象性格选择居住。激励 - 消极; 斗争; 争论; 严厉判断; (相对于结盟); 同意加入共同的敌人; (也是荣耀;对群体、人群和人群行为的承诺)。 人工智能(例如办公软件、计算机编程、算法编程;硬件、软件技术支持)可以租用,例如同时运行的多个人工智能,甚至可以自主运行; 或者人工智能可以引导人们操作(输入-交互-输出)任何和所有自动化的机械事物,甚至可以从思想到身体任何和所有可以控制的事物。 我们还可以将量子计算用于我们的多层 Mag Lev Vechicle 物流以及 Sky Highway 和/或机场到飞机着陆和起飞的物流。 在上述所有情况下,我们可以将带有数字和字母组合的标签/代表词(将一个部分专门用于系统主题 - 类似于图书馆杜威十进制电话号码)在每个备选方案上,特别是地标选择/选项标签标记系统然后 实体(输入/输出)/交互/时间场景和数量/质量,组织相关系统(其部分具有紧密的联系/属性/线索/连接/链接/关系...... - 可以通过强度和持久性来选择和评估( 通常是非波动性的)波动区间/周期 暂时强度与稳定的、不断增长的影响关系强度的主要因素与过去的因素相比,关系的一方或另一方也较少(强烈的影响/影响) 作为跨越这种类型关系的周期来影响并变得有影响力 - 还取决于每一方(供应/需求)的敏感性以及需要和分配给 mak 的资源数量 e 通常通过相同的数字/字母系统标签(部分)关联(原因/影响)变化大小的选择。 我们还可以使用 SUDOC 索书号、ISBN/ISSN、OCLC ......用户想要节省内存空间,而不仅仅是包含具有里程碑意义的代表性系统标签/名称/关键字(例如医学 - 治疗)...... 互联网浏览器和用户自己只包括他们想要快速访问的系统部分信息的细节(可能是因为预期的重复使用),例如。 短期记忆。 我的逻辑语言和人工智能创作使用了类似的系统。 不同的部分/章节(记忆)致力于不同形式的人类思维过程。 因此,左侧(大边)数字部分/章节数字(宏大小/位置的指示符)告诉用户占据该位置的进程,进程如何工作; 右手(小边)数字(微型特定数字)将内存用于内容:输入 - 交互 - 输出。 因此,想要处理某个心理过程的程序员可以直接使用专用于该过程的部分/过程调用号。 通信、闲聊、重要内容(例如,识别、重要数据、新闻、消息、信念限定/量化......创建一个关于情绪(响应)的算法,可以对人进行分类,例如攻击性、自信、被动、被动 - 激进)普通人对刺激的反应,考虑到新体验的类型、倾向、当前情绪、背景、在多个事件之间的时间跨度内发生的事件类型,这些事件会导致普通人重新构建/改变视角。量子计算可以 用于不断更新值的外推变化和(给定地点和时间......和其他属性/链接/连接/线索 - 也可以更新这一点)识别刺激和/或反应的特征(可能通过互联网打包升级 - 用于价值观;刺激,对名人重复角色的反应)以及人工 智力感知刺激以及它如何达到我们的期望/我们相信我们希望的程度。 而我们的食欲通常是由这些因素驱动的。 使用实体、交互、质量、数量、理论、故事……下面的互换性唤醒记忆的另一种方法是识别线索/属性/关键词及其特征/链接/连接,已知与实体相关 你正在寻找(例如回顾被追捧的实体的特征 - 已知的环境, - 由主题/主题/属性/相关联在一起的系统部分......;您记得什么以及您的感受/喜欢/ 不喜欢(通常是对特征的反应)线索实体对被追捧实体的程度和系统在被追捧实体中的居住或部分。这种反应感觉可能通过被追捧实体的已知特征匹配,然后与时间框架匹配 (s)、地点和用法——通过个人与过去实体相遇的经验来确定身份的主要常用锚点——乍一看,然后是其他属性/线索……社交互动取决于场景(部分 - 例如。 作为刺激源的对象(以及概念内容))人所拥有的价值观决定了敏感性 - 影响的数量 - 刺激影响我们的能力的产量 1)激情(爱 - 对人最好的期望; 讨厌对人不利),2)冷漠(没有胃口)和3)好奇心(兴趣)......大多数人发展出通常支配正常行为的反应曲目 - 例如。 办公室剧目、家庭剧目、社交剧目,而不是放松一下,只是在周末玩得开心,或者不理性地行事,比如反抗那些告诉你该怎么做的人。 (Ch 0.01%)。 人工智能 许多同时复杂的布尔搜索,例如。 选择最有说服力的词(和/或替代答案)进行表达:包含/拥有/所有权加上数量范围的分组列表 - 通过属性/代表词链接到其他实体/交互/系统/部分的属性 /labels/titles/clues/linkages/connections(质量 - 实体部分的直接组成 - 交互(系统))/用于理解和表示实体的关键字 - 系统(与流行度和摘要相关的标题/标签/流行度相关的关键字) . (任何)帮助(相关)识别(通常是使用驱动,因为人们只对搜索他们想要使用(目的)的东西感兴趣)、特征和/或其他实体/交互的属性/线索/链接/连接 迎合使用或极有可能被确定为唯一唯一地确定最能满足使用的实体/交互的所需特征(尤其适合需要特定数量/质量和/或实体名词/代词名称/标题/的独特要求的情况 标签表示将(拥有)想要的含义保持在特定细节级别的用法 - 关注多个用于定义/描述的词); 加上给定的替代含义,该术语已将其作为替代含义,并且通常与所寻求的单词用法定义相似。 一个有问题的词在含义中包含哪些功能/用途/方面是不能包含的,因此排除了该词的使用。 这是消除的过程,除非替代词在含义上很接近——词表达独特的属性,在相似词之间正确使用(做/交互的应用,与身份/实体或称为系统的多个复杂关系),寻找绝对 完美契合(相对于许多相近的替代品,其中某些品质或不想要的品质由一个和/或高需求的独特/利基供应的组合来表达)已知存在可以追溯到过去遇到的类似情况。当前答案/单词(相对于替代)对表达/经验的需求如何描述/定义寻求的目标答案(或块/系统/图片/场景;单词表示的实体/含义交互)在两者之间的需求足够重要 差异(替代 - 特征之间)和供应(每个答案/单词)如何能够包括所有想要的含义并排除关键含义。 定义在没有替代词的情况下,我们可以开发算法 - 更新自身和/或算法设计程序以更新其他算法 - 类比 - 模型,通过用标签表示部分(对象是无形的),行为 每个部分组合在一起 - 通常按功能作为系统整体操作的一部分,刺激反应(持久和一致性) - 生活具有随机性(尤其是人们的思想)。 类比 - 模型代表答案、它的作用、物理部分以及信念(诸如因果关系、基于事件/预期影响的业务决策等关系;科学假设 - 理论;讲故事 - 用于娱乐价值体验的电影。在 故事讲述了对指环王的一些见解。霍比特人不只是孩子或年轻人,他们很吵闹,喜欢讲故事,他们的身体形状不同,甚至他们的支柱也不同于青少年。此外,每个角色/伙伴 在《指环王》中,有关键点,比如他们的命运是完成一个测试点;观众想知道,他们是否会在时机成熟时挺身而出。他们对共同问题的贡献(获得 /loss) 使更多不同/更容易。我们还可以租用内存和处理软件,共享量子计算机硬件的巨大功能(通过在线提供不同级别的软件和内存 - 互联网(更多成本 e 有效)共享(服务)硬件,甚至是搜索引擎和/或博客……大型客户平台网站(0.55% GP)(1.5%)。</t>
  </si>
  <si>
    <t>量子计算 h/w 和 s/w 以及人工智能</t>
  </si>
  <si>
    <t>CA2618645A1</t>
  </si>
  <si>
    <t>我们从一部新的詹姆斯·邦德电影开始这项发明。 詹姆斯邦德电影的部分魅力在于富人和臭名昭著的生活方式; 每部电影都有不同的异国情调。 在电影中,邦德和他的网络狂热女友注意到第二人生(或类似的虚拟世界平台,也许是我们自己的创造,例如 Next To Life)中发生了一些奇怪的事情,邦德跟随追踪到印度的一个呼叫中心 其中 3 名劫持技术人员使用人工智能闯入了 Second Life Management(安全数据库)。 他沿着这条小路来到日本传送城,在那里他爬上屋顶并与之抗争。 事实证明,这个诡计背后的罪魁祸首是一个多种族的洲际黑客集团(称为 The Allegiance)。 Next To Life 虚拟现实平台带有直接的神经链接(可以与人工智能一起提供,以帮助分类和分析信息作为辅助,也有助于过滤秘密)。 神经链接有一个内部组件——通过模拟(场景和环境)和/或关键词、逻辑语言和/或记忆模型、代表性单词/符号……进行理解,并权衡以决定选择哪个选项——哪个 在 Next To Life VR 平台上任何人都看不到的幕后; 以及一个外部组件,用于以身体/口头方式执行决策。 可以有一个微屏幕或屏幕分区 内部和外部神经思维链接都可以有一个选项列表(下拉菜单),有 3 种导航菜单的方法,(首先从中间开始)方法 1。 一个一个地向上或向下移动每个选择,或方法 2. 中途拆分 - 这涉及从中间的中途距离开始,然后选择在中间的中途距离到一半之间向上或向下移动一半 在最顶部或最底部之间的方式,通过将顶部和底部之间的距离分开一半,最终您会回到该位置或您想要到达的选择。 或方法 3。如果您的选择靠近顶部或底部,您可以选择顶部选项并直接移动到顶部或底部,然后使用导航方法 1 将一个选项向下或向上移动到下一个选项。 Next To Life 虚拟现实平台包含: 1. 3 到 4 个屏幕(使用逻辑语言、系统/部件、记忆模型、代表词/符号/属性/线索/链接/关系)。 2. 可能的 3-D 和 IMAX(联合现场体验)。 3. 神经网络,思想可以直接连接到其他思想以获得最终的亲密体验,或者可以通过将思想分为内部和外部成分来过滤。 因此,Professional Hacking Syndicate 使用人工智能闯入并使用高速(金球)而不是角色 - 球移动得更快并吸收其背后的所有电子踪迹。 通过入侵安全数据库(在每个国家/地区都显示为银行),他们获得身份盗窃信息,他们使用这些信息在被盗身份的信用卡/借记卡下进行虚假买卖。 They break into the Virtual Reality House of the elected President of Next To Life and steal all his high level security codes and use Artfficial Intelligence to block him from using his computer by infecting his computer with a network of mainframes Artificial Intelligence changing coding that is nearly 不可能破解。 詹姆斯邦德在他的女朋友的帮助下进入了 Next to Life 系统,他的女朋友写了一个角色/角色,它是一种能够高速移动的银色液体变形器(如球体)形式。 当他跟随球体进入史密森学会时,他遇到了两只双胞胎小鸡(一个是人工智能植物,另一个是正在做实验的女大学生),人工智能使他们看起来像双胞胎。 他们都和他一起睡在 5 星级夏威夷酒店,这是 Next To Life 虚拟现实平台中的一个地方,用于夫妻探视神经亲密关系。 这些女孩是黑客组织设计的,因为她们听说过詹姆斯·邦德的弱点。 黑客带头,在史密森尼学会,他追溯自己的脚步并加快速度,他化身为变形机器人中的飞行员 - Avro Arrow 追逐球体(Q 给了他眼镜,可以看到半透明的波浪形轨迹流 删除电子踪迹留下的地方)。金色球体采用黑色机甲机器人喷气机的形式,他们与蓝/白/红机甲机器人喷气机作战的美国军队作战。 Next To Life 虚拟现实平台可以有一个 X-Box 门户和 Play Station (2) 门户,供视频游戏玩家通过 Next To Life 虚拟现实平台共同玩互联网上提供的视频游戏。 我们可以创建一个大型/大盒子技术支持(帮助客户找到他们的问题所在)并帮助他们订购零件(例如硬件),他们需要什么安装难度安装是否值得购买安装工具,例如 . 安装升级到 RAM。 我们可以拥有世界上最大的电子零件选择、销售技术零件、服务升级、购买、销售和交易二手零件认证的工人池。 我们可以通过 Next To Life 虚拟现实平台提供这些范围广泛的科技产品和服务。 我们可以与计算机公司联系(按部分排序),例如。 显示器与打印机,通过品牌名称和型号注意它们的可集成性/可持续性。 最终我们甚至可以为自己的音频/视频和技术产品创建自己的品牌名称。 我们想使用图片/印刷品/仿制品创建史密森学会的 Next To Life 虚拟现实平台版本。 我们还计划为名人设立一个名人堂; 科学家和人道主义者(出售纪念品、卡片和签名照片)。 我们也可以有一个商业名人堂。 人们可以购买公司的卡片(如曲棍球卡片)、不同部门副总裁的卡片——他们的统计数据:年龄; 在公司工作多年; 衡量他们当年成功的指标 - CEO 的总裁、董事长甚至底层(最低职位)。 业务统计数据包括市场百分比、估计的市场规模(市场份额超过或低于预期的原因,例如供需因素)、业务分类、主要竞争对手、执行官的教育图片、头衔、 慈善事业,属于什么协会……我们可以在 Next To Life 虚拟现实平台(公平交易的选项)中创建一个投资/投资者匹配服务中心,特别是针对全球穷人。 Next To Life 虚拟现实平台可以加入 NYSE、NASDAQ TMX 和 LSE,会员会收到一顶帽子或徽章,在他们的电脑屏幕上按下按钮显示实时行情。 投资者(会员)可以通过机器人和/或视频会议在交易大厅进行交易,通过流式传输实时出价/要价,在视频屏幕上发布出价/要价份额以供经纪人查看。 当投资者被投资的公司之一预计将发布新版本时,投资者会收到警报,预测是什么(指标),以及如果高于或低于预期时应采取的措施的建议。 他们实时收到分析师的建议。 买入,卖出,哪些股票公司,行业,行业经济,最好的方式来发挥趋势和事件。 有一个数据库取自华尔街日报、路透社、道琼斯和彭博社的文章,挑选出(比如上周)公司名称(或符号),尤其是那些具有高波动性和/或交易量的公司名称(或符号)也按 % 升起和降落。 且整体长期稳中有升势。 我们可以以广告牌的形式出售广告(例如,在建筑物的墙壁上或沿着街道); LED板; 海报; 横幅; 霓虹灯标志 - 所有这些用户都可以打印。 在建筑物内外的墙壁上竖立路牌。 这些标志可以说是 3 或 4 层,通过按下按钮,您可以从一张图片切换到下一张和/或向后切换。 我们还可以创建最新推出的高科技新产品的消费者评级(新创新以及为什么它比当前技术更好,以及是否值得增加成本)。 判断标准——新产品可应用的用途; 在专业、家庭、朋友的领域,它最能满足生活的哪一部分; 列出新产品的作用(功能:新的、旧的、在生活的哪些领域的实用性……),其中创造更多与不同的人可能正在寻找的好处。 我们计划为高端品牌创建一个购物中心(街道类似于罗迪欧大道,有精品酒店休息室和虚拟现实房间,只有那些允许通过可锁定门户的人才能进行夫妻访问。我们想要最时尚的品牌。 我们可以举办时装秀,邀请真实和虚拟现实座位以及秀后视频销售。我们计划设计游客(景点)的场地、服务和产品——在世界各地,我们可以雇用一个携带相机的机器人,在博物馆、艺术画廊中移动……并提供大量的礼品店。 分享休闲去处,例如。 游轮……我们可以举办体育赛事、新上映的电影(电影库)和其他公共活动(如闭路电视)。 处于不同节点(在互联网上会面的不同位置)的人们可以通过微屏幕视频会议和/或屏幕底部的文本在观看相同甚至不同的电影时进行交流。 爱好分享: 1. 园艺师——世界各地的园艺师可以提供现场直播或以前录制的稀有或美丽植物的录像,包括盛开的植物图片,(种子销售)照料需求——甚至是基因工程植物; 安排; 美化环境。 2. 观鸟 - 稀有或非常美丽的鸟类的照片,拍摄地点和时间,鸟类保护区的现场录像带或以前录制的录像带。 3. 模型建筑 - 幻想、太空、电影(电影上映时)、- 历史、汽车、士兵、飞机、轮船。 通过 Next To Life 购买套装出售。 4. 收养/赞助孤儿和/或穷人、无家可归者和/或生病(临终,例如最后的愿望),在捐赠前提供图片,然后提供视频剪辑和视频会议。 还有流浪宠物和动物保护区…… 5. 任何和所有的娱乐和休闲。 6. 运动以及任何和所有的运动和智力活动。 7. 在公园里漫步,穿过水体、雨林、大峡谷、山谷、海洋、河流(海滩)、山脉,在这些地方可以实际安装一个受控相机来捕捉景色,客户可以租用并支付费用 录像和图片。 8. 划船——游轮和帆船、冲浪板、海斗、滑雪... 9. 露营、徒步、登山、蹦极。 10.游乐园。 11. 滑雪、单板滑雪、雪橇、平底雪橇、直升机滑雪-登机、越野滑雪、雪地表演、马和马车。 12. 完整的工作大学。 课程由神经节点网络提供,除非选择视频会议课程:主题包括:景观美化室内设计建筑木工电工管道工蚂蚁和所有承包商项目经理软件/硬件专业知识法学院医学院任何和所有科学遗传学家、生物学家、植物学家。 .. 心理学 社会工作者 历史 政治学 语言 人类学家 戏剧工程师 物理学家 天文学 数学家 随着时间的推移)和视频会议课程以及书面和/或 DVD 教科书、笔记... 关于人/角色/角色的真实信息(可更改/可更新)取决于人(例如。 按下按钮以查看有关他们正在会面和/或感兴趣的人/角色/角色的信息(例如可能的索引),对于不同人可用的个人/亲密信息级别,将有不同级别的安全访问 希望通过此类信息查看和了解的人。 我们还可以绘制拉斯维加斯(GP 1%)、白宫、黄石公园……人们想去的任何地方。 我们还可以有一个论坛,允许用户(与其他用户共享,例如屏幕底部的评论和/或文本行)观看体育赛事或七月四日庆祝活动等活动。 我们还可以在 Next To Life 中开发体育场/体育馆/会议中心,客户可以在那里打曲棍球、篮球、棒球、橄榄球、英式足球、爵士乐场地、音乐会(人工智能可以填补缺席的球员)以及任何和所有 活动,我们可以邀请现实生活中的职业选手。 我们可以让观众按照先到先得的原则观看和付费。</t>
  </si>
  <si>
    <t>互联网模型场地新发明</t>
  </si>
  <si>
    <t>CA2621058A1</t>
  </si>
  <si>
    <t>我们从一部新的詹姆斯邦德电影开始这项发明。 詹姆斯邦德电影的部分魅力在于富人和臭名昭著的生活方式; 每部电影都有不同的异国情调。 在电影中,邦德和他精通网络的女友在一起,当她注意到第二人生(或类似的虚拟世界平台,也许是我们自己的创作,例如 Next To Life)中发生了一些奇怪的事情时,邦德跟随追踪线索前往印度的呼叫中心 3 名劫持技术人员使用人工智能闯入了第二人生管理(安全数据库)。 他沿着小路前往日本传送城市,在那里他爬上屋顶并与之战斗。 事实证明,这个诡计背后的罪魁祸首是一个多种族的洲际黑客集团(称为 The Allegiance)。 Next To Life 虚拟现实平台带有直接的神经链接(它可以与人工智能一起帮助分类和分析信息作为辅助,还有助于过滤秘密)。 神经链接有一个内部组件——通过模拟(场景和环境)和/或关键词、逻辑语言和/或记忆模型、代表性单词/符号......并权衡以决定选择哪个选项 - 哪个 在 Next To Life VR 平台上其他任何人都无法观察到幕后; 和一个外部组件来执行物理/口头执行决策。 可以有微屏,也可以分屏 内外神经思维链接都可以有一个选择列表(下拉菜单),菜单导航有3种方法,(先从中间开始)方法1。 一个一个地向上或向下移动每个选项,或方法 2. 中途拆分 - 包括从中间的中途距离开始,然后选择在中途距离到中途之间的中途上移或下移 - 在最顶部或最底部之间的距离,通过将顶部和底部之间的距离分开,最终你会回到你想要到达的地方或你想要的选择。 或方法 3。如果您的选择靠近顶部或底部,您可以选择顶部选项并直接移动到顶部或底部,然后使用导航方法 1 向下或向上移动一个选项到下一个选项。 Next To Life 虚拟现实平台包含: 1. 3 到 4 个屏幕(使用逻辑语言、系统/部件、记忆模型、代表词/符号/属性/线索/链接/关系)。 2. 可能的 3-D 和 IMAX(联合现场体验)。 3. 神经网络,其中思想可以直接连接到其他思想以获得最终的亲密体验,或者可以通过将思想分为内部和外部组件来过滤。 因此,专业黑客集团使用人工智能来闯入并使用高速(金球)而不是角色——球体移动得更快,并吸收其背后的所有电子痕迹。 通过侵入安全数据库(在每个国家/地区显示为银行),他们获得了身份盗用,他们使用这些身份盗窃来伪造被盗身份的信用卡/借记卡下的物品买卖。 They break into the Virtual Reality House of the elected President of Next To Life and steal all his high level security codes and use Artificial Intelligence to block him from using his computer by infecting his computer with a network of mainframes Artificial Intelligence changing coding that is nearly 不可能破解。 詹姆斯邦德在他的女朋友的帮助下进入了 Next to Life 系统,他的女朋友写了一个角色/角色,这是一个能够高速移动的银色液体变形器(如球体)形式。 当他跟随球体进入史密森学会时,他遇到了两只双胞胎小鸡(一个是人工智能工厂,另一个是正在做实验的女大学生),人工智能让他们看起来像双胞胎。 他们都和他一起睡在 5 星级夏威夷酒店,这是 Next To Life 虚拟现实平台中的一个地方,用于夫妻访问神经亲密。 这些女孩是由黑客设计的,因为他们听说过詹姆斯邦德的弱点。 黑客取得领先,在史密森尼研究所,他回溯他的脚步,并加快速度,他在变形机器人中扮演飞行员的形式 - Avro Arrow 追逐球体(Q 给了他眼镜,可以看到半透明的波浪轨迹 删除电子痕迹留下的地方)。金色球体采用黑色机甲机器人喷气机的形式,它们与蓝色/白色/红色机甲机器人喷气机的美国军队作战。 Next To Life 虚拟现实平台可以具有 X-Box 门户和 Play Station (2) 门户,供视频游戏玩家共同玩可通过 Next To Life 虚拟现实平台在互联网上获得的视频游戏。 我们可以创建大规模/大盒子技术支持(帮助客户发现他们的问题)并帮助他们订购零件(例如硬件),他们需要什么安装难度安装是否值得购买安装工具,例如 . 安装升级到 RAM。 我们可以拥有世界上最大的电子零件选择、销售技术零件、服务升级、购买、销售和贸易二手零件认证的工人池。 我们可以通过 Next To Life 虚拟现实平台提供这些广泛的科技产品和服务。 我们可以与计算机公司联系(按部分排序),例如。 显示器与打印机,按品牌名称和型号指出它们的可集成性/可持续性。 最终,我们甚至可以为我们自己的音频/视频和技术产品创建自己的品牌名称。 我们想使用图片/打印/仿制副本创建史密森学会的 Next To Life 虚拟现实平台版本。 我们还计划为名人设立一个名人堂; 科学家和人道主义者(出售纪念品、卡片和签名图片)。 我们也可以有一个商业名人堂。 人们可以购买公司卡(如曲棍球卡)、不同部门副总裁的卡 - 他们的统计数据:年龄; 在公司工作年限; 衡量他们当年成功的指标——CEO 的总裁、董事长,甚至是底层(最低职位)。 业务统计数据包括市场百分比、估计市场规模(市场份额超出或低于预期的原因,例如供应和/或需求因素)、业务分类、主要竞争对手、高管教育图片、头衔、 慈善事业,属于什么协会……我们可以在 Next To Life 虚拟现实平台(公平交易的选择)中创建一个投资/投资者匹配服务中心,特别是针对全球贫困人口。 Next To Life 虚拟现实平台可以加入纽约证券交易所、纳斯达克 TMX 和伦敦证券交易所,会员收到一顶帽子或徽章,在他们的电脑屏幕上按下按钮以显示实时收报机磁带。 投资者(会员)可以通过机器人和/或交易大厅的视频会议通过流式实时买/卖,在视频屏幕上发布买/卖股票供经纪人查看。 当预期他们的投资公司之一发布新版本时,投资者会收到警报,预测是什么(指标),以及如果它高于或低于预期该怎么做的建议。 他们实时接收分析师的建议。 买入,卖出,哪些股票公司、行业、部门经济,最好的方式来发挥趋势和事件。 有一个数据库取自华尔街日报、路透社、道琼斯和彭博社的文章,其中挑选出(比如上周)公司名称(或符号),尤其是那些具有高波动性和/或交易量的公司名称(或符号)也按以下方式排序和排序 % 升起和降落。 且整体长期稳中有升趋势。 我们可以以广告牌的形式出售广告(例如,在建筑物的墙壁或街道上); LED板; 海报; 横幅; 霓虹灯标志 - 用户可以打印所有这些。 在建筑物的内外墙上竖立路牌。 这些标志可能有 3 或 4 层,通过按下按钮,您可以从一张图片切换到下一张和/或向后切换。 我们还可以为新产品的最新高科技推出创建消费者评级(新创新以及为什么它优于当前技术以及是否值得增加成本)。 判断标准——新产品可以应用的用途; 在专业、家庭、朋友的领域,它最能满足谁的生活的哪个部分; 列出新产品的作用(功能:新产品、旧产品、在生活中的哪些领域……)其中创造了更多不同的人可能正在寻找的好处。 我们计划为高端品牌创建一个购物中心(街道类似于 Rodeo Drive,设有精品酒店休息室和虚拟现实房间,只有那些通过可锁定门户允许的人才能进行夫妻访问。我们想要最时尚的品牌名称。 我们可以举办时装秀,邀请真实和虚拟现实座位以及秀后视频销售。我们计划设计游客(景点)的场地、服务和产品——我们可以在世界各地租用一个携带相机的机器人,穿梭于博物馆、艺术画廊……并提供广泛的礼品店。 分享休闲场所,例如。 游轮......我们可以举办体育赛事、新上映的电影(电影库)和其他公共活动(如闭路电视)。 不同节点(不同地点在互联网上开会)的人们可以在观看相同甚至不同的电影时通过微屏视频会议和/或屏幕底部的文本进行交流。 爱好分享: 1. 园艺家 - 世界各地可以提供活生生的或以前录制的录像带的稀有令人垂涎或美丽的植物,包括开花植物的图片,(出售种子)照料需求 - 甚至是转基因植物; 安排; 美化环境。 2. 观鸟 - 稀有或非常美丽的鸟类的照片,拍摄地点和时间,鸟类保护区的录像带,现场或以前录制的。 3. 模型建筑——奇幻、太空、电影(电影何时上映)——历史、汽车、士兵、飞机、轮船。 套装通过 Next To Life 购买出售。 4. 收养/赞助孤儿和/或穷人、无家可归者和/或生病的人(即将死去,例如最后的愿望),捐赠前提供图片,然后提供视频剪辑和视频会议。 还有流浪宠物和动物保护区... 5. 全职工作大学。 除非选择了视频会议课程,否则课程将通过神经节点网络进行: 主题包括:景观美化 室内设计 建筑 木工 电工 水管工 Ant 和所有承包商 项目经理 软件/硬件专业知识 法学院 医学院 任何和所有科学 遗传学家、生物学家、植物学家。 .. 心理学 社会工作者 历史 政治学 语言 人类学家 戏剧工程师 物理学家 天文学 数学家 注册可以通过函授方式进行,除了实时神经节点教学(可能还有人工智能)之外,还可能有录像课程(可能需要更新 随着时间的推移)和视频会议课程以及书面和/或 DVD 教科书、笔记......我们可以将每个角色/角色与个人资料(例如姓名年龄、兴趣)和图片等面子书联系起来,基本上是个人的曝光 关于人/角色/角色的真实信息(可更改/可更新),取决于人(例如。 按下按钮以查看有关他们正在会面和/或感兴趣的人/角色/角色的信息(例如,可能的索引),对于不同的人可用的个人/亲密信息的级别,会有不同级别的安全访问 谁想通过这些信息查看和了解。 我们还可以绘制出拉斯维加斯(GP 1%)、白宫、黄石公园……人们想去的任何地方。 我们还可以有一个论坛,允许用户(与其他用户共享,例如屏幕底部的评论和/或文本行)观看体育赛事或七月四日庆祝活动等活动。</t>
  </si>
  <si>
    <t>紧挨着生活第二版</t>
  </si>
  <si>
    <t>US7525546B2</t>
  </si>
  <si>
    <t>通过使用混合模型来确定人工智能驾驶员在赛道的给定路段要遵循的动态规定的赛车路线,从而提高了赛车或运动相关游戏中计算机对手的类人真实感。 这条动态规定的赛车线可能会因段和圈而异,大致遵循具有一些变化的理想线。 因此,在整个比赛过程中,人工智能车手似乎并没有完全按照理想路线静态行驶。 取而代之的是,在球场的每一段内,人工智能驾驶员的路径可以平滑地遵循相对于至少一条规定的赛车线定义的概率确定的赛车线。</t>
  </si>
  <si>
    <t>KR100955539B1</t>
  </si>
  <si>
    <t>在本发明中,公开了一种高尔夫挥杆姿势分析系统和使用该系统的姿势分析方法。 高尔夫挥杆姿势分析方法包括以下步骤:从安装在佩戴光敏识别标记的教练员的正面、侧面和上表面的成像装置获取捕捉教练员挥杆动作的连续图像,获取的连续图像识别高通过对图像应用图像识别算法,提取包括识别标记的亮度或低亮度图案,使用识别的亮度图案提取瞄准姿势、后摆姿势和击球姿势的图像,包括以下步骤:检测旋转角度从提取的图像中提取左肩,根据检测到的旋转角度获取标本的理想姿势数据,并显示标本的姿势。 
  根据本发明,提供了一种姿势分析系统和使用该姿势分析系统的姿势分析方法,该姿势分析系统通过提供通过比较和分析指导者自己的挥杆姿势与理想姿势而获得的图形信息来纠正错误的姿势并引发姿势校正.</t>
  </si>
  <si>
    <t>高尔夫挥杆姿势分析系统及使用该系统的姿势分析方法</t>
  </si>
  <si>
    <t>KR1020090072238A</t>
  </si>
  <si>
    <t>提供了一种体育视频的图像识别系统和方法。 多台摄像机中: 管理服务器:处理多台摄像机拍摄的图像,管理服务器根据本发明实施例的体育视频图像识别系统,对不同的场馆进行拍摄,管理服务器 显示处理后的图像的显示部分包括图像转换部分,转换具有分析部分的颜色:搜索器:集成部分:集成部分中集成的含义统一每个图像中具有含义的颜色 在搜索器中搜索赋予提取的颜色含义和确定的颜色,因为它搜索玩家的运动并且运动具有含义提取转换部分的每个图像中使用的颜色:从转换单元转换的数字数据 使用 HSV colo 将多台相机拍摄的照片转换为数字数据的图像 r 直方图提取方法和分组缩略图。</t>
  </si>
  <si>
    <t>体育视频图像集成系统及方法</t>
  </si>
  <si>
    <t>US7780450B2</t>
  </si>
  <si>
    <t>在学生进行体育活动时,向学生显示学生的实时摄像机图像。 学生可以通过重新聚焦他的眼睛在看到他的自然视野和实时视频图像之间切换。 此外,教学信息可以叠加在实时视频上,从而增强学习过程。</t>
  </si>
  <si>
    <t>运动技能教学视频教学系统及方法</t>
  </si>
  <si>
    <t>CA2608174A1</t>
  </si>
  <si>
    <t>我们计划种植藻类、竹子、甘蔗和玉米来制造乙醇。 甘蔗将被切碎,并将其液体挤出用于乙醇。 剩余的纤维将被切碎并切成最佳长度以供农业使用。 糖是肥料的一种形式。 这些纤维将在粪茶中煮熟(搅拌均匀以灌输施肥效力 - 更广泛的营养混合)并在粪茶中滚动和挤压和烹饪(搅拌均匀以灌输施肥效力 - 更广泛的营养混合)滚动和挤压(取决于 关于这样一个过程的结果 - 高质量的有机肥是否值得)。 肥料甚至可以造粒。 茶粪和甘蔗粉都可以用来种植藻类。 藻类可以用透明袋子装袋,袋子下面的太阳能电池板可以通过产生能量进一步充分利用该场地; 太阳能电池板能量和藻类转化为乙醇。 藻类自酿培养基包括葡萄糖、Na2HPO4、KH2PO4、NH4Cl、NaCl、MgSO4、CaCl2……甘蔗纤维以及玉米丝也可用于制作土壤基质(GP 0.05%)以及 可生物降解的播种和移植以及所有种植盆、可生物降解的包装、袋子、人造纸板、纸浆和纸张、信封、书籍,用防腐剂处理并与粘合剂混合并压缩以生产一种形式的石膏; 纤维板、人造木橱柜、门、框架、柱子、外饰、所有建筑用途,包括木地板、木天花板、屋顶、百叶窗、壁橱门、人造木家具 2%、所有住房、所有办公室、所有房地产、 所有公寓、所有摩天大楼、所有公寓、所有木饰面、所有架子(所有装饰 5%)、所有木甲板、所有凉亭、所有木结构、所有棚屋、所有额外木结构(例如泳池房或树屋 ), 甘蔗纤维粉和玉米壳粉可与树脂混合; 除了 3D 模型打印机,我们还可以构建塑料/树脂(可能与颗粒/石膏板混合)或胶水/粘合剂结构。 我们是第一个制造和销售以下新产品的公司,因为它们将使用与纳米颗粒或纳米纤维或可生物降解物质(如玉米壳丝和粉末)混合开发,可能会喷涂或纺丝/编织,并且)产生坚固/耐用和 灵活(如果需要)和轻量级产品(其中添加纳米材料或 3 维模型创建器可用于制造更好的产品 - 或至少是利基市场)。 新产品包括所有运动物品/配件、所有建筑材料和所有飞机(飞行)零件、所有划船零件、所有电子零件和配件、所有家具、所有基础设施(例如道路和桥梁)材料、地毯、所有玩具、所有 织物、所有框架和笼子、所有浮动装置、所有容器、所有包装材料、喷涂胶原蛋白或其他用于组织培养的可生物降解结构产品、所有窗户、所有金属框架、所有机械部件、所有厨具和器具、所有电器、 所有加热器/所有空调、骨架结构、所有固定装置、所有墨水-照片和激光和喷墨质量、所有企业对消费者、所有企业对企业、所有基础设施产品、所有硬件-软件-通信产品,所有 覆盖物、人造结构和装饰物、所有把手、锁、所有玻璃和玻璃替代品、所有车辆零件、所有消费品、所有工业零件和机器以及安全装备,等等 l 杯子-勺子-叉子-刀-马克杯--眼镜、所有架子、所有衣架、所有储物箱、照明灯-路灯到糖果到灯泡、熔炉、割草机零件、吸尘器、发动机外壳、发动机零件、室内 /户外家具及其零件、砖和灰浆——烧烤和建筑物、所有车轮、所有轮胎、所有内胎、链条、化妆品、盥洗用品、所有电线、所有电缆、所有电视机——所有电子音频/视频娱乐产品、所有建筑 工具,所有松紧带,所有系绳,所有橡皮擦,所有固定装置,例如。 所有铅笔、所有钢笔、所有铅笔盒、所有液体纸……所有棋盘游戏零件、所有镜片、所有眼镜框、所有用于组装此处列出的所有产品的零件的装配工具、所有隐形眼镜、所有擦拭衣服 用于防风罩和护目镜,用于 CD 和 DVD 的所有擦拭布,用于所有产品的手提箱,从软(例如。皮革或其他皮肤)到人造毛皮、所有金属和塑料按钮、所有激光和相机及其所有组件、所有垃圾箱、所有收音机、所有 DVD 播放器、所有 CD 播放器、所有服务器……所有的铁路,所有的单轨列车(城际),所有的高速列车,所有的货运列车,所有的货船,所有的游船,所有的渔船,所有的游轮,所有的游艇,一艘小船/小船,所有的救生艇,所有的救生衣, 所有潜水服、所有塑料和所有纸袋、所有塑料外壳(Ch; GV)(例如卷笔刀或铅笔盒)商品、所有刀片、所有铝外壳产品、所有剪刀、所有扫帚、从防冻剂到高性能的所有液体 添加剂、粘性液体、所有粘合剂、所有订书机、所有专业桌子和办公桌、所有分隔器(所有专业家具)、所有视频会议、所有移动电池、所有手机、所有固定电话和所有无线电话、所有 PDA , 所有的 itune 设备, 所有的短信设备, 所有的电子阅读器, 所有的移动视频设备, 所有的灯泡, 所有的等离子和所有的高清电视, 所有的园艺浇水和所有的软管和所有的容器, 所有的塑料和所有可生物降解的罐子, 所有的陶罐和 所有喷枪,所有花园设备 耳鼻喉科,所有电脑和所有电子和移动设备的外围设备和配件,所有防护服(特别是重型),所有鞋子,所有钓鱼工作服,所有靴子,所有胶靴,所有雪地靴,所有滑雪板,所有滑雪板,整个冬天 靴子,所有夹克,所有冬季裤子,所有曲棍球和足球,防护装备,所有护齿,所有头盔,所有练习设备,所有守门员网,所有高尔夫球杆,所有高尔夫球车,所有高尔夫球,所有高尔夫球袋,所有球棒 ,所有手套,所有棒球,所有网球拍,所有网球,所有篮球,所有篮球网和篮筐和背板,所有足球和所有板球,所有板球棒和所有板球垫,以及所有体育场和所有 球场、所有床单 (Ja)、所有被子、所有枕头、所有床垫、所有床上用品、所有毯子、所有腰带、所有防水服、所有潜水服、所有尿布(可能可生物降解)、所有瓶子、所有 ATM 机、所有 快餐厨房单元,所有加热 - 冷却外壳, 用于展示前面是玻璃的食物,顾客可以选择他们想要的东西,所有快餐袋,所有饮料杯,所有杯架,所有食品快餐包装,所有饮水机,所有水龙头机器,所有重型 所有餐厅流苏、所有冰柜、所有炉灶/煎炸面、所有重型洗碗机、所有微波炉、所有信封、所有油毡、所有壁板、所有碟子、所有碟子、所有盘子、所有碗、所有切割工具、所有磨刀器 工具,所有主机(零件),所有 CD 和 DVD,所有金属丝网,所有金属烤架,替代甲板材料,所有锅,所有平底锅,所有陶瓷,所有链条,所有链锯,所有铁锹,所有铲子,所有 重型卡车、所有重型牵引拖车、所有书籍装订本、所有活动房屋/休闲车、所有汽车蜡、屋顶、所有吸水材料、所有 gerters、所有拖鞋、所有喷气发动机、所有助推火箭、所有弹簧、所有 系绳,毛皮上的所有防腐剂,所有小动物 所有的工具、所有的把手、所有的铆钉、所有的螺丝、所有的钉子、所有的修枝锯、所有的梯子、所有的高臂剪、所有的扳手、所有的接头、所有的钳子、所有的螺丝刀、所有的胶带、所有的扳手、所有的钳子、所有的杂草 - 食器、所有堤墙和所有沙袋材料、所有用于充气橡胶、所有直升机、所有螺旋桨飞机、所有船用发动机、所有隧道掘进机、所有专业电影以及业余电影制作和编辑设备以及所有编号的像素投影仪 ,以及所有形式的电影放映机,所有中型电影和所有微缩胶片,所有玩具,所有锯子,从木匠的带锯到所有锯木厂,所有覆盖物,所有纸浆和纸张,所有堆肥消化器,所有 wifi 和所有集线器 设备,所有路由器,所有纸盘(Ch),所有塑料器具,所有木制和金属刮刀; 搅拌勺、所有长柄勺、所有筷子、所有管道和所有连接器、所有水龙头控制装置、所有焊接混合物、所有坐垫材料、所有由材料制成的沙发、所有使用的椅子和所有桌子材料、所有使用的汽车座椅材料、所有儿童用品 汽车座椅和所有婴儿车材料,所有塑料花盆,所有门把手和所有插座,所有 RIFD,所有微芯片,所有半导体,所有毛毡,所有蜡笔,所有熔炉,所有通风材料,所有通风风扇 所有的建筑物,所有的水床,所有的救生圈,所有的充气设备……, 所有饮水机, 所有滤水技术, 所有海水淡化厂设施, 所有水容器, 送热水瓶, 所有热水容器, 所有水壶, 所有桌布, 所有户外活动, 所有排球和所有网以及所有羽毛球拍 、旋塞和网、所有帐篷织物、固定肋骨、所有钓鱼竿组件、所有诱饵(可能注入了强烈的气味,例如鲱鱼)、所有消防棒和鼓风机、所有火烤架、所有自行车组件、所有皮划艇 ,所有地形车辆零件,所有 seadoos,所有skidoos,所有围栏(木制,金属到混凝土......),所有聚苯乙烯泡沫塑料,所有自动售货机,所有垃圾袋,所有框架,例如。 用于门或图片、所有壁炉和所有烟囱、所有砖块、所有浴缸、所有水桶、所有薄纸、所有扩音器、所有打桩机、所有毛巾、所有尿布、所有地毯、所有纸巾、所有肥皂、所有糖果包装纸 , 所有动力棒, 所有货车, 所有运动型多功能车, 所有中型车辆, 所有一般车辆, 所有杀虫剂, 所有珠宝, 所有手表, 所有链条, 所有项链, 所有吊坠, 所有水晶 (个人和枝形吊灯), 所有 瓷器、所有高档(高档)饮料容器(例如 XO 容器)、所有挂锁、所有绷带、所有医疗设备(所有机械、所有 X 光机、所有 MRI 所有 PET、所有手术机器人、所有血液检测 设备...)以及所有医疗材料和所有用品、所有画布、所有 VHS、VCR 设备及其所有磁带、所有吹风机、所有喷雾瓶/罐、所有床、所有头发护理物质、所有摩丝和所有发胶 , 所有的洗发水, 所有的护发素, 所有的糖果, 所有的护唇膏, 所有的滑雪板, 滑雪板架, 所有的 tr 副翼,所有独木舟,所有帆船组件,所有旗帜,所有 GPS 设备,所有浮标,所有货架,所有核反应堆零件,所有风车,所有重力链机器,所有飞机,所有称重秤,所有行李带,所有 行李材料、所有便携式旅行容器、所有公文包、所有笔记本电脑和所有笔记本电脑、所有衬里纸、所有笔记本及其所有手提袋、所有烟斗、所有假烟和所有烟嘴和打火机所有火柴(软的和 hard)、所有消防栓、所有下水道管道、所有水表、所有停车咪表、所有借记卡和信用卡刷卡器(验证器)、所有嵌入所有支付卡的微芯片、所有读票器; 处理器; 分配器(例如单轨列车、火车站和机场)、所有酒、酒和香槟、瓶子和玻璃杯、所有餐巾纸、所有餐巾纸架、所有可能被纳入所有餐厅、所有咖啡馆和所有台面的材料 所有家庭厨房(例如,纳米颗粒制作更好(更耐切割)的砧板,而像木砧板一样不会钝刀并且仍然具有装饰性......所有砧板,所有瓶盖,所有钓具箱, 所有工具箱,所有工具箱或工具袋中的工具,所有工具袋,所有钢头靴,所有可移动工具(例如焊接装置),所有大型机器,所有魔术贴,所有隧道墙,所有桥梁部件 , 所有起重机, 所有叉车, 所有机器人, 所有拉链, 所有衣服补丁, 所有靴子/鞋底, 鞋带和纳米纤维胶来修复它们, 所有帽子, 所有安全帽, 所有棒球帽和所有头盔, 所有高尔夫球帽 , 所有牛仔帽, 所有钓鱼帽, 所有贝雷帽, 所有扬声器, 所有低音喇叭, 所有 调整器,所有均衡器,所有音响机器,所有汽车音响设备,所有汽车玻璃和摩天大楼玻璃,所有门,所有屋顶和人行道用焦油,所有道路材料和设备,人造石建筑材料,所有池塘防水材料,所有 洒水器、人造木建筑材料、所有电线杆,或所有环绕或支撑旧电线杆的带子,所有用于风筝的塑料,所有用于园艺蔓藤的塑料棒,所有框架和中间用于园艺蔓藤的网,所有材料 适用于露台和甲板、所有烧烤、所有楼梯,包括木材、金属、所有制冰机、所有雨水应用(例如。播云,抑制-抗播龙卷风,从上方或在充足时将雨水收集到水箱中,以防止这种宝贵资源的蒸发和损失),温室的所有透明表皮(温室的所有玻璃),所有花园软管滚筒 /轮子,所有手套/手套-冬天或园艺或时尚,所有无边帽,所有护目镜,所有围巾,防暴风雪的面部保护装置,所有衣服,所有织物,所有计算机扫描仪,所有条形码扫描仪,所有电池,所有锡容器 ,所有人造木板,所有人造木原木,所有窗帘和所有窗帘,以及所有悬挂组件(杆),所有可伸缩屏幕,所有百叶窗,所有百叶窗,所有迷你酒吧,所有枕头,所有时钟,所有手表 (数字或模拟)、所有自行车和所有自行车车架和所有自行车部件、所有极限骑行防护装备(Ra 1%)、所有摩托车零部件和配件、所有视频游戏控制台和控件、所有视频卡带/光盘, 人 l 耙子,所有锄头,所有绝缘材料(Je 0.5% GV 在较早的专利中),所有衣服绝缘材料,所有夹克衬里,所有钱包,所有层压板和所有层压机,所有烤面包机和肉鸡烤箱,所有冰箱的架子,以及 所有冰柜、所有刮冰机、所有冰镐、所有登山装备、所有绳索、所有金属夹、所有钉鞋、所有越野车、所有混合动力车、所有生物燃料(例如。 乙醇和/或椰子)车辆和零件/组件,所有氢燃料车辆,所有卫星组件,始终是最新版本的音频/视频,电子设备,所有武器,所有潜艇和所有潜水器,所有人造花,所有人造植物,所有特殊 效果(例如面部雕刻,伪装下的机器人......)电影,所有人造树,所有人造食物,所有人造,水果,所有人造万岁植物,所有胶带(例如,所有电子胶带,遮蔽胶带,透明胶带, 管道胶带...),地毯下的所有垫层,所有瑜伽/普拉提垫,所有阻力和所有自由和通用重量和所有平衡练习的所有举重版本,所有健身房和一般情况下,机构储物柜的墙壁/ 门和钥匙,所有锁和钥匙,所有密码锁,所有安全/安保,例如关闭公园的链条,所有混凝土混合物,所有泡沫或胶水填充裂缝和撕裂,所有汽车地面阻塞装置,所有砖块,所有 室外/室内灯具、所有灯笼、所有室外取暖器、所有汽车 ts,所有报纸推车,所有杂货推车,所有旅行推车,所有推车,所有赛车的组件/零件(例如。 Daytona, Formula 1)、所有水、所有货币、所有硬币(更轻、更耐用的硬币)和更轻和所有金融票据(更轻、更耐用)、所有网格、所有烤架、所有通风口、所有钓鱼线、所有钓鱼线轴 ,所有狩猎设备,所有汽油容器,所有油轮和泵(由组件组成),所有油轮,所有大型钻井平台,所有平床,所有一吨,所有火车和所有船舶货油轮,所有驳船,所有吹雪机和 所有铲雪车、所有个人报纸打印机、所有拖船、所有相机、所有手机、所有移动电子邮件设备、所有 PDA、所有短信、所有信息亭推车(例如咖啡、热狗、甜甜圈)、所有车库门材料、所有面包机组件和所有果汁机组件、所有冲浪板、所有冲浪板、所有排水管、所有钓鱼声纳组件、所有船舶导航设备、所有船舶发动机和 组件/零件, 所有跑步机, 所有 elypitical 机器, 所有固定式自行车, 所有楼梯机, 所有滤水器, 用于饮用, 用于鱼缸和池塘, 用于游泳池, 所有心脏起搏器, 所有人造心脏, 所有大脑微芯片, 所有电极组件和所有神经元——神经贴片部件和所有心灵声音、机器、所有冰箱磁铁、所有塑料、所有玻璃、所有陶瓷、所有粘土、产品,包括所有杯子、所有瓶子和所有盖子、所有生物技术和 高科技(B2B、B2C 和基础设施)、所有医疗保健设备和机器、所有空气清新剂、所有驱虫剂、所有杀虫剂、所有金属探测器、所有旗杆、所有电饭煲、所有打孔碗、所有热垫、所有烤箱 手套,所有 s 泡沫塑料杯、所有橡胶球、所有宠物玩具、所有宠物食物和水碗、所有石油和天然气和煤炭技术和设备的添加剂、风车和重力链机器的所有部件(和更新版本)、所有订书机-订书钉 、所有夹子、所有清洁剂、所有温度计和所有温度计、所有凝胶、所有需要的精细擦洗剂(可能与溶剂混合——以分散油脂和污垢; 窗户/镜子/餐具清洗机; 车库地板...或闪亮的抛光解决方案),所有街机游戏组件,包括独特的互动机制/功能,所有高尔夫视频练习游戏和练习场摄像头,所有需要的溜冰场机械,所有工业机械 - 控制台,机器人, 用于搜索、分析、挖掘和生产所有矿物、所有塑料容器、所有床头柜、所有桌子、所有抽屉、所有凳子、所有卧室家具、所有会议室家具、所有隔板、所有浴缸的齿轮和加工设备, 所有按摩池、所有桑拿房材料、所有蒸汽房材料、所有工业产品公司——垂直链上的任何地方、所有咖啡机、所有咖啡过滤器、行李袋、所有资产、所有电器、所有洗衣机、所有烘干机、所有盘子 垫圈、所有水槽和水槽产品、所有扳手、所有钉子、所有钳子、所有建筑工具和所有材料、所有钉子、所有螺丝、所有螺母、所有螺栓、所有螺丝驱动器、所有相纸、所有环境 私奔,所有照片墨水,所有日本纸墙隔板,所有人造石头,所有光面纸(例如。 杂志),所有人造石头,所有人造大理石,所有人造建筑大理石,所有人造鹅卵石,所有大型真空吸尘器零件和组件,所有人造地毯清洁解决方案,所有冰壶设备,所有曲棍球棒,所有冰球,所有街头曲棍球设备 , 所有植物用塑料盆, 所有塑料碗, 所有自行车头盔, 所有木炭穿孔袋, 所有氨去除剂穿孔袋, 所有穿孔茶包, 所有赌场筹码, 所有赌场赌桌, 所有台球桌, 所有台球桌, 所有老虎机,体育场的所有座位,飞机和公共汽车上的所有椅子,所有公共汽车的组件和零件,飞机、直升机和悬停车辆、风车上的所有叶片和机械、所有数字板、所有手腕电话、所有助听器 (例如,没有手机、放大器或音乐)、所有 mp3 播放器、所有便携式 CD、DVD 播放器、所有 LED、等离子、高清电视、所有厨房铲、所有排水碗、所有草皮、所有假草、所有马桶 , 所有的小便池, 所有的书纸 rs 和所有绑定和所有绑定胶水,所有封面,所有防弹封面,所有乙烯基,所有游戏板和所有部件,所有机械车库设备,例如。 轮胎拆卸器,液压升降机,以及诊断和维修工具......,所有点菜餐车和所有公共汽车推车,所有安全的墙壁和门和锁,所有更好的耐热(和/或冷维护)塑料产品(例如咖啡杯) - 一种可能性是在塑料在外部的地方分层和 内层和中间的空间是塑料和纳米材料的固体混合物,所有水加热垫,所有露营冷却器,所有水桶,所有水箱,所有饮料冷却器,所有制冰机,所有书籍纸张,装订,装订 胶水,所有打孔机,所有封面,所有卷尺,所有锤子,所有木槌,所有电动切菜机,所有面包机,所有切肉机,所有太空弹簧,所有新电脑,所有背包电脑,所有电影 按需 - 设备所有零件和组件、所有漫画、所有运动和电影卡、所有最具交互性的计算机、所有人工智能,例如。 硬件 - 电视控制台/适配器...、所有洗衣篮、所有暖气通风口、所有电梯、所有起重机、所有家具轮子、所有油漆、所有清漆、所有防水(Ch 0.5%)、所有室内和室外油漆、所有 搪瓷及其所有应用,所有砂光机,所有缓冲器,所有洗车设备和材料和机器,所有太空弹簧,所有新电脑,所有背包电脑,所有电影点播 - 设备所有零件和组件,所有漫画,所有运动 和电影卡...除了上述用途外,玉米壳粉,可用于所有(因为其安全(无毒)和可生物降解的性质)饲料和填料(食品和饮料行业)用于所有农业/制药 /整体饮食补充剂/需要将玉米壳粉(混合到其材料中)特性作为成分/添加剂(例如作为烘焙或汤或香肠成分安全)但为了保护环境(或安全摄入)的消费品 不需要 持久耐用的最终产品(化妆品、纸袋、食品配料和添加糖果以保持稠度和体积,以及所有个人卫生,所有纸张 - 电话簿和广告(海报)的所有纸张,所有快餐杯 - 餐具 -筷子、所有日历、所有便利贴及其所有粘合剂、所有支架和所有自动售货机食品、所有薄纸,也许是所有啤酒/麦芽酒/和其他饮料的添加剂(例如。 所有苏打水,所有咖啡,所有茶),所有墨西哥食品的散装混合或替代玉米粒(例如玉米饼......),所有医疗用品(Je; GV),所有过期食品的所有保质期包装 包装可生物降解的性质开始降解,所有货架、所有家具(可能是一次性户外家具,只能使用一个季节)、所有外壳和包装以及电子设备的其他部件,一旦合同到期或版本有 过时的旧版本,所有牛奶和其他饮料纸盒,所有蜡纸容器的替代品,所有香烟填充物,所有烟草(例如所有雪茄和所有烟斗),所有日常消费品,所有你只计划的衣服 使用一个季节,所有巧克力或糖果的容器,玉米壳切碎并压成颗粒或压缩成标准尺寸的原木并燃烧以获取能量,玉米壳粉末,可用于填充胃部并为消化提供褶皱的散装食物,可以 调味 例如。 用肉类替代品,或在用作增稠剂的奶昔(Ch 1%)中饮用,而热量摄入量低,所有人造花,所有人造植物,所有特殊效果(例如面部雕刻,伪装下的机器人......)电影,所有人造树,所有人造食品,所有人造,水果,所有人造万岁植物,(以及以下低脂高褶皱的增稠剂或主要成分)所有冰淇淋,所有冰淇淋(Ch),所有甜甜圈, 所有的酸奶、所有的松饼、所有的奶茶、所有的咖啡、所有的肉末、所有的巧克力、所有的冰沙、所有的蛋糕、所有的甜点、所有的糕点、所有的肉汁、所有的调味料、所有的热狗、所有的奶精 ,所有面糊,所有酥脆层或覆盖物,与所有酱汁(Ch)混合,所有具有风味和香气的食品和饮料都吸收在粉状玉米壳中,然后与其他成分混合,制成低脂饮食的新食品和饮料,添加到 所有手指食品和所有正式食品,所有民族食品,所有融合食品,所有洗涤剂,所有肥皂,所有沐浴油,所有洗发水和所有护发素,所有发胶,所有摩丝,所有凝胶,可生物降解(可安全摄入 ) 洗涤/擦洗溶液或添加剂,所有纸巾,所有纸巾 , 所有餐巾纸, 与塑料混合形成半生物降解容器的粉状玉米壳, 粉状玉米壳也可以在大规模消化器中堆肥, 以用作肥料(可能与液体浸渍混合或与化学或其他更天然的肥料干燥混合) 、所有麦芽、玉米壳的颗粒和原木(以及混合物,例如。 与雪松)可用于烧烤、篝火和/或壁炉和炉灶、所有家居用品、与所有格兰诺拉麦片棒混合、与所有米片混合、与所有谷物混合(低脂肪,但可填饱肚子)、混合 所有蛋白质奶昔、所有牛奶增稠剂、所有书籍纸张和所有装订和所有装订胶水、所有封面、所有桶、所有压酒机及其组件和零件、所有面包、所有鸡肉、火鸡和牛肉馅饼、​​所有糕点 ,所有咖喱角,所有土豆泥,所有需要粘合的食物(其成分可以与粉状玉米壳混合),所有索尔兹伯里牛排,所有肉饼,所有蛋糕,所有已准备好的食物,所有汤罐头(西红柿,奶油。 ..),所有的金枪鱼罐头,所有的鲑鱼罐头,所有的沙丁鱼罐头,所有的牡蛎罐头,所有的炸鸡和薯条,所有需要结皮的食物……更长的甘蔗纤维可以用来制作扫帚,而更细的纤维可以用来制作扫帚。 用于绘画(0.5%)。 竹子可用于建筑,它可以生长在阴影区域,例如围绕我们的高重力电力发明 (2,602,133)。 我们可以在它的土壤上施用甘蔗纤维(灌输肥料茶的营养成分)、普通的肥料茶和茶袋中的剩余肥料,这些肥料可以与甘蔗纤维和/或泥炭藓混合。 我们可以根据我们的藻类作物和玉米作物(乙醇的供需市场)和太阳能电池板以及袋装肥料茶的成功程度对糖(市场供需)和乙醇(和能源)市场进行对冲 收集甲烷的材料,以及对电力的高重力发明(能源的市场供应和需求)和市场供应 - 竞争替代产品,并基于质量、成本……对副产品的需求 由甘蔗渣和玉米壳制成。</t>
  </si>
  <si>
    <t>农产品</t>
  </si>
  <si>
    <t>CN101158883B</t>
  </si>
  <si>
    <t>本发明公开了一种基于计算机视觉的虚拟体育系统及其实现方法，用于一通用计算机，所述系统包括：一图像获取模块，用于获取指定监控区域的数字视频图像数据；一图像处理及空间坐标获取模块，用于对所获得的数字视频图像数据进行处理，得到在体育器械和人体上的标志点空间坐标；一动作识别模块，用于采集各类动作模式的运动轨迹数据，进行分类学习，并对待识别的动作识别其分类；一虚拟体育环境模块，根据识别出的动作，处理显示交互的动作状态。本发明系统及其实现方法由于可在通用计算机上实现虚拟体育处理，其实现成本降低，利用该系统可以进行体育锻炼，并可普及到普通家庭，并具有良好的实时性和扩展能力。</t>
  </si>
  <si>
    <t>一种基于计算机视觉的虚拟体育系统及其实现方法</t>
  </si>
  <si>
    <t>CA2603232A1</t>
  </si>
  <si>
    <t>新运动——高速悬停(可能使用喷气发动机)、在平地、泥地、雪、冰、(不同大小的)颠簸、水上比赛的车辆……在喷气式飞机的情况下,我们可以沿着 直线轨道(如犹他州或其他沙漠),我们可以尝试所有形状的轨道的可行性。 我们可以根据车辆的大小以及有无裙板(Ja 5%)进行分类。 可以创建用于所有机器人的气垫船(例如拆除德比)(GV 30%)......它们可以由人工智能控制(GV 60%)。</t>
  </si>
  <si>
    <t>高速悬停喷射赛车</t>
  </si>
  <si>
    <t>CA2600572A1</t>
  </si>
  <si>
    <t>首先,我们从已知的地标开始,我们知道我们有多了解它,以确定它是否正是我们正在寻找的东西(例如实体;交互;解释;描述;定义;限定词量词 - 作为构建块)。 如果关于该事物的已知(意识)信念可用信息不足以进行仔细检查,那么我们将使用模型搜索技术。 我们需要根据搜索范围选择或组合搜索某物的身份。 您是否满意一般/通用组或类别与详细的、定制的、独特的答案。 备选方案 1. 首先,我们可以使用所寻求事物的属性/联系/线索/链接模式的概述 (1) 类型和 2) 任何属性/联系/线索的每个(以及 3)数字的排名优势 /导致事物的联系 - 具有高概率匹配的答案(以可能有或可能没有的同行为基准,如果不值得检查这个东西及其独特性和它与属性/联系/线索/联系的关系(取决于相同的 高概率匹配可能相同的类型;数量;和优势;作为具有相同 3) 特征的对等事物将得出逻辑系统/类别,即所追寻的事物与其他可比对等事物的相对模式,由逻辑系统组织 所寻求的事物按类别分组或根据以下 3) 可以观察或猜测的特征的差异被挑选出来,与逻辑系统的其他成员不同。 备选方案 2. 模型搜索技术还涉及使用所寻找事物的已知信息(作为起点)来通过属性/联系/线索/链接 1) 追踪到其他事物,其自身的属性/联系/线索模式/ 联系 1) 类型 2) 排名优势 3) 每个自己的属性/联系/线索/联系的高概率匹配数(基准测试以检查其组类别中其他同行的相同模式 - 逻辑系统),如果此模式( 眼球/猜测/称重)被认为是支持身份/存在和可能相互重叠参与的强大的两种(或更多导致相同的寻求答案)方式。 备选方案 3. 向下搜索属性/联系/线索/链接类型的列表,这些属性/联系/线索/链接可以导致记住所寻找的事物的身份和/或匹配的属性/联系/线索/链接的组合(通过验证 - 识别 - 意识)所寻求的答案具有这些特征,尤其是在多种组合形成独特匹配的情况下。 特征包括属性/连接/线索/链接以及与事物(它们连接到)具有强相关性的事物,例如 1)类型 2)排名优势 3)每个属性/连接/线索/链接的高概率匹配数 (以检查其组类别中其他同行的相同模式为基准 - 逻辑系统)。 为了翻译思想(神经元模式),我们可以让计算机/人工智能或机器人测量识别强度,随着可视化的展开,可能还有使其展开的兴奋 - 以及确定性; 知道正确答案与错误答案有何不同(见上文)。 为了翻译内容(系统的意识),我们注意到引起通常用于识别的反应的部分; 通过观察大脑对以下任何因素(人们的大脑自然注意到的部分和观察顺序)做出反应的模式(将每个反应与另一个反应分开——大脑在识别和持续意识到这些部分时的模式差异) 意义 - 甚至记录大脑模式的变化,因为对该部分的意识下降(特别是当学习已经使头脑饱和时 - 例如大学全部课程负荷)并且暂时被遗忘,以及什么线索被编程来重新触发思想回来 未来(例如任务 - 时间 - 地点)(我们也可以在多任务处理时区分由大脑模式的一部分控制的内容和控制另一部分的内容,当一个想法在注意力从 其他 - 例如。搜索记忆会在我们的内容中创建一个空槽,其他多任务的想法(甚至是被压抑的想法)可能会活跃起来)我们可以使用这些技术来阅读思想,并发展心灵与心灵的联系(例如通过互联网 GP 5%) 允许人工智能通过思想进行交流甚至制作计算机或电视(通过 AI 或其他控制台):投影图片 1. 预先形成触及逻辑价值神经的重要信念。 2. 实时动态情绪反应中注意力窃取/捕捉最多的部分)。 3. 为什么你重视,你的标准,为什么你感到联系/情感,例如。 逻辑价值、有趣、好奇、怀旧、感伤、新(经验-好奇)相对于理智的安全、娱乐,例如理解故事、想看完整故事、因果悬念,谁干的? 以及它是如何结束的,充满激情——转向触动你内心的东西,除了有时当你的思路松散、投入另一个想法时会分心; 还有触动您心灵的重要信念,例如。 运动和/或户外活动。 4. 主要部件相对于人类或其其他部件(如果可观察到)的尺寸对整体操作至关重要,还有最吸引人的颜色(图案)、引人入胜的动作和声音通常或当时的口味 一个人当时的满足感以及他们在几天、几周、几个月内的一般强迫食欲模式…… 5. 改变、添加和搁置触及逻辑的重要信念(可能会被添加、替换或全新) 价值神经。 最终,如果我们可以创建一个数据库或人工智能或计算机算法,它可以读取健康人的神经元的一般/一般大脑模式,每次识别、记忆识别-意识-退化-重新触发,可能通过追踪强度/ 答案路径的确定性(答案)例如。 计算机屏幕上或现实生活中的图片甚至对象、实体、交互、限定词、量词,并在大脑受损的受害者(像正常健康人一样在时间上正确)对越来越多的类似事物产生越来越好的反应时奖励他 一个正常健康的人脑。 我们还可以临时植入一个微芯片(或综合脑电极——或用于脑后部的腺体),当大脑发出脉冲、或读取或同时脉冲(作为奖励——或刺激)或读取(放大 GP2%)信号时 大脑受损的受害者会感觉到刺激,这种刺激与人头部外的一堆可能的干细胞和组织培养的神经元有关。 我们可以放大脑损伤者的声音来刺激一堆组织培养的神经元,这些神经元又连接到电脑屏幕或现实生活中的刺激物,来自脑损伤者大脑的信号最终与组织培养的神经元协作以控制 并操纵电脑。 我们期望干细胞和神经元组织培养物最终可以被注射到微芯片的位置或代替受损的脑细胞。 人工智能可以在读取一个人的想法时提供反馈以指导/建议要求澄清和验证 - 人类、人工智能和计算机之间的心理协作都以思维的速度进行。 对于更容易出现心理错误的人来说,他们的想法可以被过滤,他们的通信/指令/响应的预先实时反馈 - 例如。 特别是保守的秘密和可能令人反感的情绪反应。</t>
  </si>
  <si>
    <t>读心者</t>
  </si>
  <si>
    <t>CA2601822A1</t>
  </si>
  <si>
    <t>我们计划制作播放 1) DVD 和 2.) 同时播放的设备,可以从庞大的电影库(例如,有线电视或 ADSL 或 T1)的数据库/库中订购,除了设备不能复制按需订购的电影和 电影库除了到电视外没有输出,并且电视输出必须指向电影点播/DVD控制台,这将验证通过反馈电影库没有被复制,只有在验证反馈时 没有替代设备(例如 VCR 或 CD 播放器)录制电影库将正常工作(可能对信号进行解扰)。 鉴于我们的设备已经提供了上述服务,我们还可能(或作为可选附加组件)允许用户订购通过电缆付费的电影,这些电影可以录制/复制/刻录到 DVD、VCR 或 CD 中。 为电视制造商或我们自己的公司输入的独特电视插孔申请专利,该插孔可以安装到仅适合我们(也想申请专利)控制台/模块(带有全球定位卫星芯片)的电视中 - 如果不拆开就无法移除 整个电路板并触发蜂窝警报信号),以解码从有线电视公司的电影数据库/库到电视的视频/音频。 根据与被许可方的合同,此电视专用终端不提供给 VCR/DVD/CD 制造商,以免盗版。 基本上这个想法的新颖之处在于,为了避免用户复制电影库,设备垄断了所有(输入?)/输出插头我们可以有一个适配器(电缆/输入)(或模块)来检测输出是否来自 我们的设备直接插入电视或插入 VCR 或 CD,如果 VCR 或 CD 正在录制或刻录(我们希望避免这种情况)。 或者可能是带有警报信号的锁和钥匙防篡改功能,该警报信号会告诉有线电视公司何时将电视输入上的适配器/模块从电影库的输出直接插入电视或二次录制 /burning 设备 - 我们正在努力避免。 我们的目标是将电影库设备的输出严格插入电视输入和仅电视。 购买和设置电影点播设备时,技术支持人员可以安装带有警报的有线电视公司监控中心的锁和钥匙适配器我们在设备中还有 DVD 的原因是用户仍然可以订购 DVD 电影 但不能以复制电影库的方式插入他们的 DVD 接线(也许有一天,当技术允许且价格值得时,我们可以在互联网上提供电影点播数据库/图书馆,一个大型电影数据库 不下载任何电影但坚持流媒体视频的网站,希望用户无法复制电影)此外,该设备还具有直接输出到电视的视频/音频输入,允许其他设备( 如 VCR、CD 等)通过在电视中共享我们设备的输入来严格播放它们的材料。 避免在库中录制/刻录电影的另一种方法是夹紧电缆末端的电缆末端,该末端位于电视的馈电输入插头上。 夹子在电视输入插头的螺纹周围收紧,如果密封破损,将向有线电视公司发出警报。夹子也可以是一个迷你手铐,用于收紧电视输入插头螺纹的背面/内部区域, 可以拧紧和锁定,如果被篡改,电缆公司会发出警报。 另一种方式是具有磁性的内螺母和包围整个内螺母的外螺母。 为了移除/撤消/拿到内螺母,您必须先松开外螺母,外螺母也是磁性的,当磁铁分开时,电缆公司办公室会发出警报。 另一种方法是用一个外护罩将插头一直覆盖到输入电视插头的末端,拧在内插头的外螺纹上,以防止(此选项可与上述安全措施相结合)人们切割 整个电视插孔/插头。 我们还可以创建一个系统,其中每个设备都可以识别自己,例如。 只有有线电视公司知道的数学代码、条形码/家庭密码,因此盗版者无法篡改设备。 并且可以识别重复的设备(可能在人工智能的帮助下)。同样,技术人员可以根据客户的要求安装和拆除。 当设备为客户准备好时,可以用家庭的地址或组合条形码或序列码对设备进行编码,以及它是否是该家庭的第一、第二……设备,每个设备都有会计处理, 没有盗版设备可以使用我们的系统。 或者技术人员可以进来并在电视上安装一个全新的输入插头,如果锁定机制被篡改,它也会提醒有线电视公司。 我们可以按类型、字母顺序和发布日期或流行度或关键字或布尔​​(兴趣)搜索来组织电影,我们还可以按发布日期和流行度来细分价格。 我们还可以按主要演员/女演员和制片人/导演或电影公司以及评论/收视奖(和提名)对电影进行分类/访问。 我们还可以提供电影评分和故事摘要,而不会泄露悬念和曲折或情节。 我们还可以通过便携式屏幕(可能与电子邮件和文本消息以及蜂窝电话、PDA、寻呼或可选组合)将我们的电影实时馈送到移动电子电视或移动计算,用户可以通过无线从我们的数据库中选择电影 (不录制电影以避免盗版)实时,与其他设备一样,可以选择暂停。 此外,我们可以允许用户选择暂停和(可能在我们的交付中心标记用户离开的地方,然后从用户离开的地方重新开始。我们还可以使用上述设备作为与我们的人工智能交互的媒介 甚至将它们结合起来。我们还可以将电影实时馈送到所有可观看但不可复制/可录制/可刻录的计算机(GV;Ch 1% - 计算机),并且不下载任何电影材料,也许可以下载和 复制/录制/刻录预告片。我们可以使用安装在计算机硬件中的微芯片(单元)(专利),甚至可能使用可以通过互联网更改的数学代码对信号进行解扰的软件(致电 中心)更新或由技术支持人员来更新微芯片(单元)或软件,特别是我们自己的无法复制/记录/或刻录的查看软件;如果盗版者试图复制(或篡改)微芯片 p 或尝试解扰代码。 此外,微芯片(单元)可以装在一个可以打开(背面铰链)并在前面翻开(或滑动盖)的外壳中,打开时可以在开口侧的顶部和底部都有磁铁 ,提醒有线电视公司。 或者输入到微芯片(单元)的电线可以如上所述具有内螺纹夹,并且在内部顶部是外壳。 为了解开电线,您需要先解开外壳。 内螺纹夹和外壳将是磁性的,如果外壳被移除,电缆公司将收到警报。 同样,这种插头/锁定机制将由前往房屋的技术支持人员安装。 插头/锁定机构也可以位于微芯片(单元)外壳内,以使其具有双重防篡改功能。 此外,如果微芯片(单元)在安装之前打开,通过电缆进行安全反馈; 警报将通过单一用途的蜂窝电话向有线电视公司的安全部门发出。 一种更好地为计算机客户服务的方法,因为没有内存下载,我们可以让客户在支付电影费用后,重新启动电影说 5 到 10 次,或者选择从较早的章节重新启动以补偿中断/中断 到实时供稿。 我们还可以申请一种特殊的独特端口形状和仅适合我们的微芯片(单元)的插脚,我们的微芯片(单元)专利是唯一适合端口(输入和输出)的尺寸。 微芯片(单元)可以配备全球定位卫星芯片 - 如果不撕开整个电路板并触发蜂窝警报信号,就无法移除该芯片。 此外,我们可以为每个出售的单元提供一个条形码或一个序列号(或有线电视公司分配给每个单元的密码,只有有线电视公司知道),这些代码附加/许可/分配给特定的家庭或 c:/drive 用户。 如果该设备试图从另一个家庭或 c:/drive 访问,有线电视公司将收到警报。当为客户准备单元时,可以用家庭的地址或组合条形码或序列码对单元进行编码,以及它是否是该家庭中的第一,第二......单元,每个设备都占, 没有盗版单位可以使用我们的系统。 除了每个家庭和移动设备,我们还可以提供小型房间影院、家庭影院、餐厅、卡拉 OK、人群聚集的任何地方的酒店(GP 0.4 %;GV)、啤酒花园、酒吧、会议室、中心、体育比赛 , 游轮室和聚会场所, 赌场... 一个可选功能是允许设备在任何时候暂停和打印电影中的静止照片, 用户将被收取价格费用 版权持有人。 这些印刷品可以在纸、照片或丝网印刷机上。 我们也在寻找一种以合理的价格打印海报尺寸页面的打印机。 例如,当我们想受到启发时,我们还可以允许剪辑剪辑(GV;Je 1%)重播。 我们还可以在影院放映电影库设备或计算机微芯片(单元),提供大规模、非常好的质量、舒适的体验,尤其是良好的音响系统。 由于剧院公司可以挑选电影,因此客户可以选择他们想看的电影,并且在电影订婚之前,一旦计票,客户就会通过电子邮件收到有关电影在哪个房间放映以及选择该电影的客户可以 预订一张票,而选择另一部电影的顾客没有满足大多数人的要求,可以选择从获胜的电影或播放其他房间的电影中购买门票。 为了使该技术适用于剧院的大屏幕,也许我们可以使用多镜头相机,专门设计用于将胶卷重新录制叠加到点播电影或计算机媒体上,该设备将创建更清晰的图像(可以翻译 到更详细的像素),从而在为剧院屏幕放大(放大)时产生更清晰的图像。 当价格允许阅读被切断书脊的扫描书籍、书面材料(Je 1.3%; GV)、图像、图片时,也可以使用此设备...我们可能需要创建新的硬件/软件来处理这些高像素电影 提供与传统胶卷相同的质量。 这款多镜头摄像机可用于体育、会议、歌剧、音乐会、所有艺术活动(剧院)等所有大型聚会的实时拍摄和播放节目,在大屏幕上播放,这是它的新颖和操作秘诀。 相机在任何可以使用大屏幕的地方(Ch; 0.1% 户外,已经系统分类与部分 - 如果没有我们的多镜头相机可能不可行),我们可以出租这些设备。 我们还可以将电影投影到屏幕上,例如幻灯片演示。 我们还可以在圆形剧场(1%Ch;GV)、Imax、drive-ins 中玩。 我们还可以开发我们自己的电视,只需一根电缆即可输入常规电视节目以及来自我们综合数据库/图书馆的点播电影。 一旦由有线电视公司技术支持人员安装,除非有线电视公司技术支持人员进来并将其删除,否则无法将其删除。 如果电线被切断(中断对有线电视公司的反馈)或内部解码微芯片(单元)外壳被打开(破坏磁性警报 - 密封),有线电视公司将发出警报。 为了避免人们拆开我们的电视和内部微芯片(单元)解码器,最初出售时可能带有磁警报(带全球定位卫星),如果电视在安装之前打开,则通过电缆进行安全反馈; 警报将通过单一用途的蜂窝电话向有线电视公司的安全部门发出。 进一步的安全措施包括一个密码,用于识别只有有线电视公司知道的与用户家庭相关联的每个微芯片(单元)(连同全球定位卫星芯片)。 这样,有线电视公司可以匹配传入的电影请求,并验证它来自正确的家庭。 可选功能包括从 VCR/DVD/CD 向电视输入此电视。 我们不会让电视输出,以避免点播电影的盗版。 作为一项额外的安全措施,用户可以验证信用卡或借记卡号码和有效期。虽然如果他们有客人,他们可能不想透露他们的信用卡号码。 跟随普通有线电视提供商并每月发送账单似乎更简单。 额外的安全功能是黑色胶水(Ch1%),让海盗无法看到或触及的秘密部件,除非撕开秘密部件以获得秘密部件,还是油漆炸弹? 除了电影库之外,我们的设备还可以连接到集线器以输入 DVD、VCR、CD 并通过单独的插头(集线器上的单独按钮;连接到控制台/模块;微芯片(单元))发送 选定的信号通过同一根电缆连接到电视及其独特的插座/端子。 此外,我们可以选择用户选择他们想要复制/刻录/录制的电影可用的计费计划,但购买整部电影的账单由用户收取。 其他选项是提供卫星电视频道和广播卫星频道(4%)(按语言和国家/地区排序...或选择电台或频道捆绑,按兴趣)也许选择按月订阅和百分比计费的频道类型 收入基于我们订阅该频道的客户数量,支付给该频道的制作公司。 卫星电视频道和广播卫星频道可以从电缆输入(电缆直接连接到集线器)并从集线器输出到任何 DVD 或 CD 刻录机/复印机或 VCR 刻录机,DVD/CD/VCR 播放器将 然后将集线器中的反馈连接到控制台/模块/适配器/微芯片(单元)。 在这种设计中,可能会有延迟等待时间,因为我们可能需要遵守频道版权法,并且只有用户订阅的频道才能被查看。 我们需要控制台/模块/适配器/微芯片(单元)来跟踪允许观看的频道。 解决此问题的一种方法是在集线器中放置一个芯片,以跟踪订阅的频道。 我们可以将中心证券化,例如。 一旦安装(还有控制台/模块/适配器/微芯片(单元)的专利插孔),如果从电缆输入端连接的线路被切断,电缆公司将收到警报,或者如果外壳被切断并且秘密部件周围还有黑色胶水 例如电缆插孔/插座和全球定位卫星芯片。 或者一种可能更便宜的方法,电视/广播卫星频道的输入可以从电缆输入连接到控制台/模块/适配器/微芯片(单元),它可以有两个独立的输出插孔/插座,可以发送到任何 DVD 或 CD 刻录机/复印机或 VCR 录像机,它们将输入集线器,然后根据您在集线器上按下的按钮,设备将通过电缆将其馈入电视。 此外,控制台/模块/适配器/微芯片(单元)可以录制喜欢的电影库(3% Ch)、卫星电视(和计算机)和卫星广播。 我们可以通过视频商店(Ch 1%)、手机零售店和电子产品商店出租、租赁或出售这些控制台/模块/适配器/微芯片(单元)。 我们可以将它与人工智能打包在一起。 我们甚至可以通过在高峰时段提高价格并在非高峰时段降低价格来为发送的电影定价。 如果消费者在特定日期之前购买了一定数量的免费观看时间,我们甚至可以为他们提供。 我们还可以让消费者在看完电影后,给推荐电影的朋友发送一封带有评论部分的电子邮件,甚至每次推荐电影后给客户的朋友打折。 我们还可以提供电子编码礼品卡,将免费电影作为礼物送给朋友。 我们还可以提供奖品,例如航空里程或汽车……我们还可以在大型剧院提供奖品,每个座位的前面都有一个屏幕和耳机(床和躺椅设计符合人体工程学并允许多个用户使用 在咖啡馆、餐馆(还有电子点唱机)或迷你房间里,顾客也可以选择他们想看的电影。重申一下,作为我们将按需提供电影库(综合)的设备的一部分,我们将拥有正常的有线电视、电影库,尤其是最新电影的开放日期——我们甚至可以有一个专门的新闻局来覆盖红地毯 开幕电影活动(和电影放映)——利用家庭观众的舒适度(我们可以收取足够的费用,让版权持有者每名观众获得相同的利润)以及独家体育和游戏以及卫星电视频道和卫星广播频道。 我们的设备将提供所有这些服务,但具有上述安全措施以防止侵犯版权。 我们还可以提供会员专用卡,您可以刷卡 (5%) 或 pay pal 类型的系统,或者只提供用户确认其信用卡(VISA、MASTER CARD、AMEX 或借记卡)号码的信用卡系统和 到期日... 卡的问题是它们可以被欺诈性地复制,并且每个家庭都有一个刷卡器很昂贵,并且系统可能被盗。 也许我们可以使用上述安全措施的组合。 我们可以通过建造天线和(可能需要卫星集线器来防止我们的信号被盗用)来开发我们自己的天线主干——一种方法是在有卫星集线器的地方,我们可以使用非常强大的计算机来使用如此复杂的不断变化的编码系统 他们不值得花时间窃取信号)在我们可以为业主的电影和/或账单提供折扣(Aa; 7%)或简单地使用光纤电缆连接到本地集线器的房产上...... (除了电缆和 ADSL 和 T1)。 我们可以按照电影内容所涉及的兴趣对电影(除了类型)进行排序,包括新闻、爱好、休闲、健康(GP)、自然疗法/健康/身体、体育、精神、科学(创新)、商业、政治、 世界舞台到地方舞台、汽车、护理人员、分类广告、有趣的事件、从国家到个人问题的重要高风险、娱乐(JW、GV)、电影评论、最受欢迎的音乐类型和当地娱乐活动、园艺、技术,例如 . 计算机,智力事件,例如。 国际象棋...可能通过布尔搜索。</t>
  </si>
  <si>
    <t>电影库设备</t>
  </si>
  <si>
    <t>PH12007000290A1</t>
  </si>
  <si>
    <t>本发明涉及一种由摄像头视觉组成的智能机器人系统; 带有图像处理和视觉系统程序的AI软件的主机; 射频通信系统; 以及展示社交和合作行为的多个自主移动机器人。 机器人结构是两个轮子,满足前进、后退、左转和右转的要求,以提供舞蹈和运动等社交和合作行为。 因此,机器人可以随着音乐的节拍与伙伴共舞,并执行组同步动作。 该机器人可以进行足球、高尔夫、摔跤等运动,可以进行躲避和征服,跟踪个人和团队接力赛。</t>
  </si>
  <si>
    <t>舞蹈运动机器人系统</t>
  </si>
  <si>
    <t>CN201079678Y</t>
  </si>
  <si>
    <t>本实用新型提供一种娱乐健身机。该娱乐健身机包括依次连接的机台底座、机身和处理装置，该娱乐健身机还包括投掷物，所述机身设置有投掷板，所述处理装置用于响应通过向投掷板投掷所述投掷物产生的投掷信号，在所述投掷板上显示相应的显示画面。通过本实用新型公开的娱乐健身机，通过计算机等设备形式的处理装置的控制，使使用者在健身过程中实现了远距离人机交互；使使用者的体力运动和脑力运动相结合，有利于使用者的身体健康，提高使用者的体力；使使用者在操作过程中远离显示屏幕，避免视觉疲劳；以及有利于锻炼使用者的眼力和判断能力。</t>
  </si>
  <si>
    <t>娱乐健身机</t>
  </si>
  <si>
    <t>CN101327373B</t>
  </si>
  <si>
    <t>本发明公开了一种娱乐健身机，包括依次连接的操作台、机台底座以及处理显示装置，该娱乐健身机还包括投掷物；其中，所述处理显示装置用于响应通过投掷所述投掷物产生的投掷信号，显示相应的引导界面。通过本发明公开的娱乐健身机，通过计算机等设备形式的处理显示装置的控制，使使用者在健身过程中实现了远距离人机交互；使使用者的体力运动和脑力运动相结合，有利于使用者的身体健康，提高使用者的体力；使使用者在操作过程中远离显示屏幕，避免视觉疲劳；以及，有利于锻炼使用者的眼力和判断能力。</t>
  </si>
  <si>
    <t>CN201079679Y</t>
  </si>
  <si>
    <t>本实用新型公开了一种娱乐健身机，包括依次连接的操作台、机台底座以及处理显示装置，该娱乐健身机还包括投掷物；其中，所述处理显示装置响应通过投掷所述投掷物产生的投掷信号，并输出相应的引导界面。通过本实用新型公开的娱乐健身机，通过计算机等设备形式的处理显示装置的控制，使使用者在健身过程中实现了远距离人机交互；使使用者的体力运动和脑力运动相结合，有利于使用者的身体健康，提高使用者的体力；使使用者在操作过程中远离显示屏幕，避免视觉疲劳；以及，有利于锻炼使用者的眼力和判断能力。</t>
  </si>
  <si>
    <t>CN101327372B</t>
  </si>
  <si>
    <t>本发明提供一种娱乐健身机。该娱乐健身机包括依次连接的机台底座、机身和处理装置，该娱乐健身机还包括投掷物，所述机身设置有投掷板和与所述处理装置连接的投影机，所述处理装置用于响应通过向投掷板投掷所述投掷物产生的投掷信号，并通过所述投影机在所述投掷板上显示相应的显示画面。通过本发明公开的娱乐健身机，通过计算机等设备形式的处理装置的控制，使使用者在健身过程中实现了远距离人机交互；使使用者的体力运动和脑力运动相结合，有利于使用者的身体健康，提高使用者的体力；使使用者在操作过程中远离显示屏幕，避免视觉疲劳；以及有利于锻炼使用者的眼力和判断能力。</t>
  </si>
  <si>
    <t>CN101091828B</t>
  </si>
  <si>
    <t>本发明涉及拳击综合训练系统的拳重测量方法，属于体育电子领域。拳击综合训练系统由上位机(1)和下位机(2)组成；下位机(2)由人形的气囊(18)、中央处理器(3)、击打点部分(4)、人机交互部分(5)、数据存储器(6)、压力传感器(7)、通信模块(8)、JTAG部分(9)组成。中央处理器中的ADC转换器依靠气体压力传感器获得拳击运动员击打气囊时气压的变化，在训练时依靠公式Fmax＝kt(Vmax-V0t)测量拳重的大小。本发明解决了目前教练不能通过具体的训练数据进行纵向和横向的比较，不利于训练与实战的互相参照的缺陷，使拳击运动员能够了解自己的优缺点。</t>
  </si>
  <si>
    <t>拳击综合训练系统的拳重测量方法</t>
  </si>
  <si>
    <t>CN201088819Y</t>
  </si>
  <si>
    <t>本实用新型涉及一种拳击综合训练系统，属于体育电子领域。由上位机(1)和下位机(2)组成；下位机由机械部分和电路部分组成；包括人形的气囊(18)、中央处理器(3)、击打点部分(4)、人机交互部分(5)、数据存储器(6)、压力传感器(7)、通信模块(8)、JTAG部分(9)。击打点部分包括击打键(10)、提示灯(11)、击打键锁存电路(12)和提示灯驱动电路(13)；人机交互部分包括液晶(14)、打印机(15)、音频控制电路(16)和键盘(17)；本实用新型解决了目前教练不能通过具体的训练数据进行纵向和横向的比较，不利于训练与实战的互相参照的缺陷，使拳击运动员能够了解自己的优缺点。</t>
  </si>
  <si>
    <t>拳击综合训练系统</t>
  </si>
  <si>
    <t>JP2009542407A</t>
  </si>
  <si>
    <t>待解决问题:根据锻炼者的锻炼速度自动控制跑带的速度调节,无需手动调节速度。 
  本发明涉及一种使用压力传感器阵列的自动速度控制跑步机及其操作方法。 这种自动调速跑步机由跑带、由大量压力传感器组成的压力传感器阵列组成,这些压力传感器检测锻炼者脚部的负荷并将其作为负荷传感信号输出,以及锻炼者步幅的变化量步速和步速。利用存储步速和负荷传感信号的步速状态存储单元计算锻炼者的步速后,计算上一次步速与当前步速的差值作为步速变化在计算出上述的运动中心点之后,控制单元包括用于考虑步幅速度变化量和运动中心点按比例加速/减速步行带的驱动速度的算法。 
  【选型图】图4</t>
  </si>
  <si>
    <t>带压力传感器阵列的自动速度控制跑步机和模糊逻辑</t>
  </si>
  <si>
    <t>US20090176629A1</t>
  </si>
  <si>
    <t>本发明涉及一种使用压力传感器阵列的自动速度控制跑步机及其操作方法。 该自动控速跑步机包括步行带、包括压力传感器的压力传感器阵列,用于检测锻炼者脚的负荷并将检测到的脚的负荷作为负荷检测信号输出,配速状态存储单元,用于存储配速和 锻炼者步速的变化,以及设置有算法的控制单元,该算法使用负载检测信号计算锻炼者的步速,计算先前步速和当前步速之间的差作为步速的变化, 计算锻炼者的运动中心,并根据步速和运动中心的变化按比例加/减慢跑带的驱动速度。</t>
  </si>
  <si>
    <t>使用压力传感器阵列和模糊逻辑的自动速度控制跑步机</t>
  </si>
  <si>
    <t>CN101421008B</t>
  </si>
  <si>
    <t>本发明涉及一种利用压力传感器阵列的自动控速跑步机及其操作方法。自动控速跑步机包括：步行带；压力传感器阵列，其具有用以检测锻炼者的脚部的负载并将检测到的脚部负载作为负载检测信号输出的压力传感器；步速状态存储单元，其用以储存在步行带上锻炼的锻炼者的步速和步速变化；和提供运算法则的控制单元，其用来使用负载检测信号计算锻炼者的步速，计算前一个步速和当前步速的差异作为步速的变化，计算锻炼者的锻炼中心位置，并根据步速和锻炼中心位置的变化按比例地提高/降低步行带的驱动速度。</t>
  </si>
  <si>
    <t>利用压力传感器阵列和模糊逻辑的自动控速跑步机</t>
  </si>
  <si>
    <t>NZ573184B</t>
  </si>
  <si>
    <t>专利 573184 公开了一种用于运动场合的运动场 (1)。 场地标有与在比赛场地上进行的运动相关的标记线 (2); 以及大致均匀分布的标志(5、5……),或者成排或者按照指定的模式,布置在至少大致整个运动场上。 选择标志的对比度强度和尺寸,使得标志中的个别标志仅可通过相机拍摄的特写图像识别,这取决于图片传输系统的分辨率和观看者的视觉敏锐度。 标记线的对比强度大于标志的对比强度。</t>
  </si>
  <si>
    <t>静止表面,例如运动场,以及在静止表面上提供标志的方法</t>
  </si>
  <si>
    <t>EP2038020A4</t>
  </si>
  <si>
    <t>本发明涉及一种使用压力传感器阵列的自动速度控制跑步机及其操作方法。 该自动控速跑步机包括步行带、包括用于检测锻炼者足部负荷并将检测到的足部负荷作为负荷检测信号输出的压力传感器阵列、用于存储步速和步速的步速状态存储单元。 锻炼者步速的变化,以及设置有算法的控制单元,该算法使用负载检测信号计算锻炼者的步速,计算先前步速和当前步速之间的差作为步速的变化, 计算锻炼者的运动中心,并根据步速和运动中心的变化按比例加/减慢跑带的驱动速度。</t>
  </si>
  <si>
    <t>WO2008007856A1</t>
  </si>
  <si>
    <t>CN101129151A</t>
  </si>
  <si>
    <t>“多功能健身茶”是根据中西医理论，从《中药大辞典》、《中华药海》中筛选了数十种对人体有保健和治疗作用的中药，经过多年反复研究、实验，最后确定数种进行配伍，制成饮品、粉剂或丸剂。其配方为：人参2－4g、五味子4－6g、刺五加8－10g、黄芪10－12g、枸杞子8－12g、茶叶3－6g、白糖20－30g、凉水1100ml。前述中药、或加适量蜂蜜，或前述中药加凉水600ml。此物品有如下特点：(1)有改善人的智力、增强学习记忆能力的作用。(2)有提高人的耐力、体力，提高工作效率的作用。(3)有消除疲劳，促进体力恢复的作用。(4)有增强机体的免疫能力的作用。(5)有改善机体对物质的代谢的作用。因此它能提高人类的生存质量，具有市面上其它饮品无法替代的优点，同时它具有新颖性、科学性、适用性、经济性等特点。</t>
  </si>
  <si>
    <t>多功能健身茶</t>
  </si>
  <si>
    <t>CN201034771Y</t>
  </si>
  <si>
    <t>本实用新型公开了一种基于柔性压力阵列传感器的压力分布采集系统。其结构为多个传感器单元置于起保护作用上塑胶层和下塑胶层之间，传感器单元由行引线和列引线连接，构成传感器采集节点，多个传感器采集节点与上塑胶层和下塑胶层、现场总线单元连接构成压力分布采集单元模块，传感器密度为1点/cm2。采集接触面的静态与动态压力分布信息，包括接触的形状、压力变化、时间等，这些信息通过现场总线传送到计算机进行分析、存储。因系统采用柔性材料制备，所以为测量各接触面之间的压力分布提供了更好的技术手段，该系统可广泛应用于人机交互过程分析、工业制造设计、竞技体育运动技能诊断等领域。</t>
  </si>
  <si>
    <t>基于柔性压力阵列传感器的压力分布采集系统</t>
  </si>
  <si>
    <t>US20070238077A1</t>
  </si>
  <si>
    <t>计算机化交互式教学工具系统( 10 ) 用于技术的交互式学习,尤其是阅读速度和理解力。 主菜单( 12 ) 包括一个阅读健身房 ( 18 ) 和阅读剧院 ( 20 ) 以及其他活动区域 ( 14 )。 活动区域( 14 ) 允许用户选择各种练习、游戏和测试。 系统 ( 10 ) 涉及显示文本的创新和交互式方法 ( 86 ) 以提高用户的阅读速度和理解力的方式,同时提供视觉和音频背景以增强学习。</t>
  </si>
  <si>
    <t>互动阅读教学工具系统</t>
  </si>
  <si>
    <t>FR2913344A1</t>
  </si>
  <si>
    <t>该设备具有带语音识别设备(16)的数字发射器(33),用于基于语音从一组玩家中选择玩家以向玩家发送建议和命令。 玩家携带的数字微型接收器,用于接收建议和命令。 遥控器 (34) 选择两个团队中的一个。 遥控器具有激活的键(35-37、40、41),用于通过特定代码将教练的消息传送给玩家。 当教练松开按键时,演奏者和教练之间的交流就会停止。</t>
  </si>
  <si>
    <t>在练习期间使用的无线训练设备,例如 橄榄球,具有激活键的遥控器,可将教练的信息传输给球员,当教练松开按键时,球员和教练之间的通信将停止</t>
  </si>
  <si>
    <t>CN101002989A</t>
  </si>
  <si>
    <t>本发明公开了一种基于USB接口的可编程机器人玩具及其控制方法。该机器人玩具主要包括机械装置、传感器单元、中心控制处理单元、LCD显示单元、音频输入/输出单元、电源管理单元和USB接口单元，所述机器人玩具的头部、手臂、腰部、腿部等部位装有机械装置以实现机器人玩具的肢体运动；位置传感器单元通过数据接口将肢体运动的状态信息传递给中心控制处理单元；中心控制处理单元具有根据肢体状态信息进行口令语音播放的功能，并通过与机械装置的控制电路控制机械装置的动作。本发明采用了机械控制技术、语音识别技术和USB接口技术，使机器人玩具实现了根据预设的指令集，边做运动体操边播放节拍口令，同时还具有语音识别、报时、事务提醒的功能。</t>
  </si>
  <si>
    <t>基于USB接口的可编程机器人玩具及其控制方法</t>
  </si>
  <si>
    <t>US20070129648A1</t>
  </si>
  <si>
    <t>基于自然产生的中央模式发生器运动控制器的人工中央模式发生器(CPG)可以构造为自适应的行走、跑步、游泳和飞行动物,通过提供人工 CPG,可以是芯片 ,根据感官反馈调整其行为。 据信,这是自适应CPG芯片的首例。 这种具有人工 CPG 的感官反馈系统可用于机械应用,例如跑步机器人腿、步行、飞行和游泳机器,以及微型和大型机器人,以及生物系统,例如代理神经网络 脊柱损伤患者的系统。</t>
  </si>
  <si>
    <t>仿生节奏运动控制器</t>
  </si>
  <si>
    <t>CN101222543A</t>
  </si>
  <si>
    <t>为克服普通固定电话完成IVR业务比较难，从而导致IVR业务推广应用困难，本发明提出在中文智能电话机上，对IVR最终业务完成所需要拨出的一连串号码和人机交互选择动作，做出形式化的定义和规范，并最终解释执行。IVR业务号码串，其中在号码段的定义中，不仅包括0～9、*、#，还包括+、P、－，作为基本的动作要素，从而形成规范的IVR业务号码串，两者结合形成IVR业务名片。具体操作是拨号流程将离线编辑的数据，置换到IVR业务号码串中，形成实际需要拨号的IVR业务号码，最后解释执行{P、0～9、*、#}的系列字符串，直到拨号成功，以实现IVR目标业务。</t>
  </si>
  <si>
    <t>可离线编辑实现IVR最终业务一键拨通的中文智能电话</t>
  </si>
  <si>
    <t>US20070293733A1</t>
  </si>
  <si>
    <t>本发明的实施例提供了一种用于无线健康监测系统的方法和装置,用于通过将启用互联网的无线网络设备(“WWD”)连接到可以是医疗设备的健康监测设备来交互式监测患者的疾病或健康状况。 设备或其他与健康相关的设备,例如健身器材。 如有必要,WWD 可以使用可选适配器通过有线连接到 WWD 的通用输入/输出端口直接连接到健康监测设备。 或者,WWD可以无线连接到健康监测设备,例如通过红外线或射频连接,包括使用诸如蓝牙或802.11的协议。 如果需要,无线连接也可以使用适配器。 用户还可以手动向 WWD 输入数据,例如通过小键盘、键盘、触控笔或可选地通过语音命令。 使用标准互联网协议将健康相关数据从 WWD 传输到服务器。 服务器使用可以包括算法或人工智能系统的软件程序计算响应,并且可以进一步提供医生或健康专家的审查。 用户可以与服务器交互。 例如,服务器向WWD发送响应,用户可以回答该响应或提供其他信息。</t>
  </si>
  <si>
    <t>JP2008165079A</t>
  </si>
  <si>
    <t>[问题] 方便进行团体歌唱比赛时注册歌曲的操作,可以充分享受歌唱比赛的精彩,而不必去关注确定歌曲由哪个组演唱。 
  解决方案:语音识别装置 1,集成在具有歌唱评分功能的卡拉 OK 设备中,根据当前从麦克风 7 输入的歌声数据和预先准备的语音参考分析语音数据。歌手属性确定装置 2确定分析后的音频数据的歌手属性,预定算法根据所唱歌曲的演唱评分结果生成采集点,确定后的歌手评分结果管理装置3根据该属性对各歌手属性组进行管理,管理信息显示装置4根据管理的获得点数在显示装置6上显示每个歌手属性组的优势评价。准备。 
  【选型图】图1</t>
  </si>
  <si>
    <t>歌手属性大赛歌唱对战系统</t>
  </si>
  <si>
    <t>CN101699502A</t>
  </si>
  <si>
    <t>一种健身器材与保健器材网络出售系统，访问者通过操作计算机网络登录到人机交互界面为三维界面的健身器材与保健器材网络出售空间站系统，通过操作计算机键盘或鼠标设备完成上述整个过程。选择合适的物品后支付所需费用，再之后使用者收到自己的健身器材与保健器材货物，完成健身器材与保健器材网络出售过程。本发明大大提高了人们购买健身器材与保健器材的便利性，具有明显的实用性、具有巨大的社会价值和经济价值。</t>
  </si>
  <si>
    <t>一种健身器材与保健器材网络出售系统及其使用方法</t>
  </si>
  <si>
    <t>CN101202994B</t>
  </si>
  <si>
    <t>一种辅助用户健身的装置，包括存储器、显示单元、键盘、扬声器、电源模块，还包括：摄像模块，用于将外界的景物转换成相应的数码图像文件；图像识别模块，用于识别图像中的人体动作，并提取人体动作的特征；主处理模块，用于控制各模块的动作并输出比较的结果。本发明的装置配备人体动作识别系统，将人们的健身动作与标准动作模板相比较，可以随时随地为用户提供类似于健身教练般的指导，用于指出用户健身动作中的不规范之处，帮助用户达到理想的健身效果。</t>
  </si>
  <si>
    <t>辅助用户健身的方法和装置</t>
  </si>
  <si>
    <t>KR100853185B1</t>
  </si>
  <si>
    <t>根据本发明的使用图像信息和无线传感器网络的物体识别和定位方法和装置以及基于物体提供的数据识别和测量位置的装置使用图像信息和无线传感器网络识别物体的方法用于定位,包括:获取待测位置的物体的ID,然后根据所述ID获取物体的信息; 使用与附在物体上的电子标签的无线通信来估计物体的位置; 获取物体估计位置附近的图像; 并从获取的图像中重新计算物体的位置;其特征在于,由于可以掌握空间中存在的各种物体的ID和准确的位置信息,以此为基础,可以进行物体操纵、运送等智能机器人。应用于服务开发。</t>
  </si>
  <si>
    <t>利用图像信息和无线传感器网络的目标识别与定位方法及其装置</t>
  </si>
  <si>
    <t>DE102006037734A1</t>
  </si>
  <si>
    <t>语音控制单元具有被激活的语音识别装置。 提供麦克风并输入语言。 语音作为录音临时存储在语音识别设备的存储器中。 使用可用的语音识别设备分析录制的语音。 提供了控制单元,该控制单元使用用户导出的语音命令、语音识别设备并发送已在运动员数据库中检测到的来自语音分析单元的记录的和进一步的信号。 包含静态条件采集和控制单元的独立权利要求。</t>
  </si>
  <si>
    <t>语音控制 用于自动生成运动员数据库,具有已激活的语音识别设备,提供麦克风并输入语言</t>
  </si>
  <si>
    <t>KR100838033B1</t>
  </si>
  <si>
    <t>[0001] 本发明涉及一种计算涡轮控制系统中转子膨胀距离测量误差的方法,以最小化涡轮控制系统中测量转子膨胀距离时产生的测量误差。测量传感器,包括:第一过程,从用户接收测距传感器的特征数据和涡轮机的安装数据; 第二步,将接收到的距离测量传感器的特征数据应用于遗传算法计算控制常数; 第三步,使用从第一和第二测距传感器输出的电压值和计算出的控制常数计算第一和第二测距传感器与跑步者之间的距离; 在使用计算出的第一和第二距离测量传感器与转轮之间的距离和涡轮的安装数据计算距离测量误差之后,在屏幕上输出计算出的距离测量误差的第四过程通过执行此操作,可以最小化使用控制常数来计算测距传感器测量的数据的误差程度,并计算和检查误差程度,以便用户评估测距传感器测量的数据的可靠性。</t>
  </si>
  <si>
    <t>汽轮机控制系统中如何计算转子膨胀距离的测量误差</t>
  </si>
  <si>
    <t>US20070299713A1</t>
  </si>
  <si>
    <t>公开了一种能够生成和/或修改活动模板的系统。 活动模板描述了与活动相关的整体操作和资源。 该系统可以自动将活动日志转换为配方,从而减少活动再现的工作量。 可以通过基于机器学习的算法进行自我调整,从而根据正在进行的或历史的用户动作动态地改变模板。</t>
  </si>
  <si>
    <t>捕获用户活动的过程知识</t>
  </si>
  <si>
    <t>JP2007308887A</t>
  </si>
  <si>
    <t>本发明的目的在于提供一种车辆用门开闭体操作装置,能够防止用户的无意的开闭操作,并且不会因踩踏不当而增加用户的负担而进行车门的开闭。 
  解决方案:车载设备 3 配备有多个方向布置的外部天线 31,以便在与便携式设备 4 建立通信时检测便携式设备 4 的位置范围,并且外部天线 31 布置在多个方向。,语音识别传感器2被布置在多个方向上,并且只有在与便携式设备的位置对应的位置处的语音识别传感器2被启用。 
  【选型图】图1</t>
  </si>
  <si>
    <t>车门开闭体操作装置</t>
  </si>
  <si>
    <t>KR1020080025372A</t>
  </si>
  <si>
    <t>目前,入侵检测系统是指占用者希望减少误报误报给入侵者,误报频繁发生。 本发明包括使用各种软件算法的处理器。 处理器接收信号超过该时间段。 软件算法对各种操作进行统计识别,减少误报和漏检。 它被调整到检测到软件算法的操作级别,并且可以预先确定虚警模数。 因此,处理器和软件算法构成了人工智能系统。 它可用于体育场入侵和车辆报警系统,其中该人工智能系统由内部的多个探测器和那个探测器组成。 本发明的第二种类型可以是用于该人工智能的改进的次声检测方法。 入侵检测、处理器和软件算法。</t>
  </si>
  <si>
    <t>用于入侵检测的系统和方法</t>
  </si>
  <si>
    <t>CN2865786Y</t>
  </si>
  <si>
    <t>一种智能机器人带编码的红外线足球专用发光球，包括球形壳体以及设于球形壳体内的红外发光器和电源，其特征是：所述球形壳体内还设有编码发生器和驱动电路，编码发生器与电源连接，编码发生器的信号输出端与驱动电路的输入端连接，驱动电路的输出端与红外发光器的一极连接，红外发光器的另一极与电源相应的极连接。本实用新型由于能够发射带有编码信息的红外线，使智能机器人足球竞赛不受环境光的干扰，因此竞赛可以在明亮宽敞的场地进行，也可以用摄像器材进行拍摄，有利于提高竞赛的观赏性，也有利于此项活动的推广。本实用新型与设置有带解码功能的传感器机器人结合，可以为竞赛水平的提高提供良好的基础，增强竞赛的可观赏性。</t>
  </si>
  <si>
    <t>智能机器人带编码的红外线足球专用发光球</t>
  </si>
  <si>
    <t>CN200960383Y</t>
  </si>
  <si>
    <t>本实用新型提供一种“人工智能监测乒乓球台”，它的主要特征是：以公知的标准乒乓球台或侧边锐角乒乓球台为基础，在乒乓球台的边缘线上安装激光发射管和激光接收管、压电条以及摄像头进行检测，通过这三种技术手段检测出“擦边球信号”，然后将信号发送到微型计算机处理，再将微型计算机处理后的数据和作为信号和记录，分别送到声、光、影显示设备上进行监测。</t>
  </si>
  <si>
    <t>人工智能监测乒乓球台</t>
  </si>
  <si>
    <t>CN1804868A</t>
  </si>
  <si>
    <t>一种机器自动图像识别方法及装置，采用利普视觉公司研发的骨龄识别模块、骨龄图谱数据库、骨龄图像压缩模块、存储技术，以及网络传输技术，骨龄专家识别与计算机自动识别有效结合，节约时间，提高识别效率，能够准确可靠地识别评估骨龄。硬件包括高精度图片扫描仪[1]，主控机[2]，显示器[3]，打印机[4]，骨龄中心数据库服务器[5]。应用于医院、青少年体育培训中心，学校等应用骨龄评估测定的场所。本发明的方法及装置具有优异的性价比；既可当地也可远程操作和控制。</t>
  </si>
  <si>
    <t>机器自动图像识别方法及装置</t>
  </si>
  <si>
    <t>ES2324054T3</t>
  </si>
  <si>
    <t>一种多功能虚拟现实健身设备,供用户选择一个用户单独锻炼或多个用户通过互联网与他人一起参与在线网络竞技游戏的模式,具有可拆卸的配备单片机的交互机械手,作为 传统健身器材与个人电脑的耦合接口,使传统健身器材成为具有互联网3D虚拟仿真功能的新型人机交互健身器材,可拆卸交互机械手与个人电脑的通讯通过以下方式实现 采用公对母插头连接方式,根据国际标准通信协议,当可拆卸交互机械手与个人电脑和健身器材连接时,如果信息正确,则自动检测个人电脑软件程序 是 d 届时,健身器材将设置为具有互联网3D虚拟模拟功能的3D虚拟模拟模式,用户可以选择该模式通过互联网与他人进行在线网络竞技游戏,但是, 如果没有检测到个人电脑的软件程序,该健身器材仍作为常规健身器材为用户单独锻炼提供服务。</t>
  </si>
  <si>
    <t>具有可拆卸交互式模拟机械手的多功能训练装置</t>
  </si>
  <si>
    <t>AT426209T</t>
  </si>
  <si>
    <t>一种多功能虚拟现实健身设备,供用户选择一个用户单独锻炼或多个用户通过互联网与他人进行在线网络竞技游戏的模式,它具有一个可拆卸的交互式机械手,配备单片机,用作 将常规健身器材与个人电脑耦合的接口,使常规健身器材成为具有互联网3D虚拟仿真功能的新型人机交互健身器材,可拆卸交互机械手与个人电脑的通讯通过以下方式实现 采用公对母插头插座连接方式并符合国际标准通信协议; 当可拆卸交互机械手与个人电脑和健身器材连接时,对个人电脑软件程序进行自动检测,如果检测到正确的信息,健身器材将设置为3维虚拟仿真模式,能够 进行互联网3D虚拟模拟功能,用户可以选择该模式通过互联网与他人进行在线网络竞技游戏,但如果没有检测到个人电脑的软件程序,健身器材仍作为 一种传统的健身器材,供用户单独锻炼。</t>
  </si>
  <si>
    <t>交互式模拟中的多功能机械臂</t>
  </si>
  <si>
    <t>EP1688854B1</t>
  </si>
  <si>
    <t>CN2836875Y</t>
  </si>
  <si>
    <t>本实用新型针对目前的机器人足球竞赛系统存在的成本高、参与门槛高、难以普及推广的问题，公开了基于计算机图像识别的智能游戏系统，它包括一个游戏工作台(1)，游戏工作台(1)的上方安装有摄像机(2)，摄像机(2)的输出接图像采集卡(3)的输入，图像采集卡(3)的输出接作为比赛服务器的计算机(4)，计算机(4)与无线遥控发射器(6)相连，无线遥控发射器(6)通过无线电与游戏工作台(1)上的安装有无线接收器的参赛装置(7)无线相连。具有结构合理、参与成本低、参与者能力要求不高、易普及、趣味性强、知识性强的特点。</t>
  </si>
  <si>
    <t>基于计算机图像识别的智能游戏系统</t>
  </si>
  <si>
    <t>JP2007143748A</t>
  </si>
  <si>
    <t>通过包括手臂和上半身在内的全身运动消耗的更准确的卡路里值会通知球员,以支持健身。 
  具有特定颜色和尺寸的目标部件2附在玩家的手或膝盖上,并且成像装置1捕获玩家的图像。 颜色提取单元32从来自成像装置1的输入图像数据中提取特定颜色及其尺寸的图像,并检测玩家的腿和手臂的运动。 另外,健身动作指示部36通过显示控制部37生成动作引导图像,并显示在监视器4的画面上。 当玩家根据显示屏上的动作引导图像进行手足运动时,动作检测单元34计算彩色图像大小的变化、运动量和变化时间,并模拟卡路里消耗计算器35计算模拟卡路里消耗,计算当前总卡路里值,显示在屏幕上,并通知玩家。 
  【选型图】图2</t>
  </si>
  <si>
    <t>图像识别装置、健身支持装置、健身支持系统、健身支持方法、控制程序和可读记录介质</t>
  </si>
  <si>
    <t>IES84262B2</t>
  </si>
  <si>
    <t>移动设备浏览器访问 (2) 代理服务器,用户选择网页的首选类别。 这是使用由代理服务器的反馈机制生成的图形界面来完成的。 代理服务器的配置文件机制结合了人工智能引擎,并在客户配置文件中维护一个首选类别表。 移动设备访问(3)推荐站点。 移动运营商服务器下载 (4) 指令到移动设备以使其显示工具栏。 用户选择工具栏上的一个图标来指示站点是被批准还是被拒绝。 如果点击批准图标,服务器会自动下载(5)一个用于发表评论的页面。 页面或表格包括选项列表,用户可以勾选以指示首选主题领域,例如科学、铃声、娱乐、体育、技术和新闻。 此外,通过使用已批准站点的当前数据库,自动将 (6) 通知发送给其他用户。 如果未获批准,则对下一个站点重复上述步骤。 服务器的反馈机制被配置为通过添加工具栏来实现移动内容的转换。 服务器的分析机制对移动设备的内容访问进行实时监控,并确定其得分是否足够高才能成功。</t>
  </si>
  <si>
    <t>移动设备上网</t>
  </si>
  <si>
    <t>IE20050763A1</t>
  </si>
  <si>
    <t>移动设备浏览器访问 (2) 代理服务器,并且用户选择网页的首选类别。 这是使用代理服务器的反馈机制生成的图形界面来完成的。 代理服务器的分析机制包含一个人工智能引擎,它在客户档案中维护一个首选类别表。 移动设备访问 (3) 推荐站点。 移动运营商服务器将指令下载 (4) 到移动设备以使其显示工具栏。 用户选择工具栏上的一个图标来指示站点是被批准还是不被批准。 如果单击批准图标,则服务器自动下载 (5) 用于发表评论的页面。 该页面或表单包括用户勾选的选项列表,以指示首选主题领域,例如科学、铃声、娱乐、体育、技术和新闻。 此外,服务器通过使用批准站点的当前数据库自动向其他用户发送 (6) 通知。 如果未获批准,则对下一个站点重复上述步骤。 服务器的反馈机制被配置为通过添加工具栏来实现移动内容的转换。 服务器的分析机制对移动设备的内容访问进行实时监控,并确定它是否得分高到足以成功。</t>
  </si>
  <si>
    <t>WO2006054276A1</t>
  </si>
  <si>
    <t>EP1657693A3</t>
  </si>
  <si>
    <t>描述了用于构建基于统计机器学习的预测模型的系统和方法,该模型可以基于将交通系统抽象为一组随机变量(包括表示直到 关键故障点会出现拥堵,直到拥堵得以解决。 观测数据包括交通流量和动态,以及其他上下文数据,例如一天中的时间和一周中的某一天、假期、学校状况、体育赛事、天气报告、交通事故报告以及建筑和 关闭报告。 预测方法用于警报、在移动设备上的桌面上显示有关拥堵预测的图形信息,以及离线和实时的自动路线推荐和规划。</t>
  </si>
  <si>
    <t>使用概率相互依赖性和上下文数据建模和分析的交通预测</t>
  </si>
  <si>
    <t>CN1776739B</t>
  </si>
  <si>
    <t>本发明描述了基于统计的机器学习构造预测模型的系统和方法，这些预测模型可基于将交通系统抽象成一组随机变量来进行关于交通流量和拥塞的预报，这组随机变量包括表示直至关键的麻烦多的地点处会有拥塞、及拥塞将解除的时间量的变量。观测的数据包括交通流量和动态，以及诸如一天中的时间和一周中的日子、假期、学校状况、诸如体育比赛等大型集会的时间安排和性质、天气报告、交通事件报告、和建设与封路等其它环境数据。该预报方法用于报警，即在移动设备或桌面上显示关于拥塞的预测的图形信息，并用于离线和实时的自动路线推荐和计划。</t>
  </si>
  <si>
    <t>使用对概率相关性和环境数据的建模与分析的交通预报</t>
  </si>
  <si>
    <t>JP2006146889A</t>
  </si>
  <si>
    <t>目标是根据一组抽象交通系统的随机变量来确定交通流量,包括表示发生拥堵所需时间的变量和主要问题位置清除拥堵所需时间的变量。提供用于构建基于统计机器学习的预测模型的系统和方法,这些预测模型可以对交通和拥堵进行预测。 
  观测数据包括交通流量和交通动态,以及其他背景数据:一天中的时间、星期几、假期、学校状况、大型集会的时间和性质,例如体育赛事、天气预报、交通事故报告。、施工和道路封闭的报告。 这种预测方法用于通过移动设备桌面上的图形显示信息来提醒有关拥堵的预测,以及离线、实时的自动路线推荐和规划。 
  【选型图】图1</t>
  </si>
  <si>
    <t>使用概率相互依赖和上下文数据建模和分析的交通预测</t>
  </si>
  <si>
    <t>KR1020060092909A</t>
  </si>
  <si>
    <t>公开了一种系统和方法,它基于将交通系统抽象为一系列随机变量,显示时间到拥堵的时间和拥堵解决的时间,用于包括该变量的主要会议停滞区域,并用于构建 基于统计机器学习的交通流量和拥堵预测模型。 观察数据包括交通流量、动态(dynamics)、时间、日期、假期、学校状态,以及各种上下文数据(contextual data)等,它看主要会议的时间和属性 ,天气预报,交通事故报告,包括体育赛事在内的施工和关闭等。实时显示关于拥堵预测的图形信息,离线报警,自动路线推荐和计划是 在移动设备上发出警报,但在桌面上使用此预测方法。 交通预测、预测模型、上下文数据、案例库。</t>
  </si>
  <si>
    <t>使用概率相互依赖和上下文数据的建模和分析进行交通预测</t>
  </si>
  <si>
    <t>IN2543DEL2005A</t>
  </si>
  <si>
    <t>描述了基于统计机器学习构建预测模型的系统和方法,这些预测模型可以基于将交通系统抽象为一组随机变量(包括表示时间量的变量)来预测交通流量和拥堵 关键故障点会出现拥堵,以及拥堵解决的时间。 观测数据包括交通流量和动态,以及其他背景数据,例如一天中的时间和一周中的某天、假期、学校状况、体育赛事等主要聚会的时间和性质、天气预报、交通事故报告以及建筑和施工 关闭报告。 预测方法用于警报,在移动设备上的桌面上显示有关拥堵预测的图形信息,以及离线和实时自动路线推荐和规划。</t>
  </si>
  <si>
    <t>“使用概率相互依赖性和上下文数据建模和分析的交通预测”</t>
  </si>
  <si>
    <t>US7811200B2</t>
  </si>
  <si>
    <t>具有可拆卸交互机械手的多功能虚拟现实健身设备</t>
  </si>
  <si>
    <t>CN1731316A</t>
  </si>
  <si>
    <t>虚拟猿戏的人机交互方法，采用运动捕获设备获取真实运动员表演猿戏的运动数据，然后构造出3D虚拟环境和虚拟人，并通过3D图形引擎，将真实人的运动数据赋予到虚拟人身上，实现猿戏的虚拟再现；在猿戏的虚拟再现过程中，根据猿戏动作设定了三个关卡，利用计算机视觉技术，实时拍摄、识别参与者的动作信息，如果参与者模仿正确，则通过该关卡，并利用变形技术将参与者动作影像变形到有相应动作的猿上；三个关卡都通过后，系统结束，返回初始状态；如果在给定时间范围内，参与者不能正确模仿，则整个模仿过程失败，系统返回初始状态。本发明不需要参与者穿戴任何交互设备，从而实现参与者与虚拟猿戏自然的人机交互，达到寓教寓乐的目的。</t>
  </si>
  <si>
    <t>虚拟猿戏的人机交互方法</t>
  </si>
  <si>
    <t>US20050271266A1</t>
  </si>
  <si>
    <t>一个系统用数字化图像代替人类视觉,以确定公共游泳海滩的海水波浪模式中是否存在激流。 这些图像的计算机分析涉及图像预过滤,可在处理数字数据以分类为 NORMAL 或 RIP TIDE 之前增强激流的迹象。 分类本身可以由专家系统进行,这些系统模仿人类观察者执行检测的方式; 或者通过建立一个神经网络,确定它自己的分类标准来识别潮汐。</t>
  </si>
  <si>
    <t>自动裂口电流检测系统</t>
  </si>
  <si>
    <t>JP2007049662A5</t>
  </si>
  <si>
    <t>Kind Code: A1 一种方法和设备,用于通过互联网通信网络从终端设备接收获取运动的运动图像信息的请求,并将所请求的运动图像信息发送到终端设备。 
  生成体育视频信息的步骤;生成与体育视频信息场景对应的场景标识信息的步骤;从体育视频信息中生成与场景标识信息对应的结果,表示场景标识信息中的结果播放。提取播放视频信息的步骤;将得到的播放视频信息与场景标识信息对应存储的步骤;从存储的结果播放视频信息对应的信息获取请求对应的场景标识信息中读取得到的播放视频信息。场景标识信息,生成视频传输信息;发送传输信息。 
  【选型图】图2</t>
  </si>
  <si>
    <t>一种通过互联网通信网络从终端设备接收体育运动图像信息的信息获取请求,将所请求的运动图像信息发送到终端设备,并确定比赛操作结果的方法和装置。比赛图像识别方法结束时间</t>
  </si>
  <si>
    <t>US20050250995A1</t>
  </si>
  <si>
    <t>US7698055B2</t>
  </si>
  <si>
    <t>JP4423241B2</t>
  </si>
  <si>
    <t>【任务】 
  本发明仅在喜爱的运动队获胜时才提供与该运动队相关的音乐推荐信息,使用户能够高效、快速地选择音乐,并优选提供最新比赛结果的胜利。确认,激发唱歌的欲望,高效快速地选择音乐。 
  [解决方案] 
  用户ID获取装置(3)、运动队对应音乐登记装置(15)、用户特定运动队登记装置(16)、比赛结果输入管理装置(17)、对应音乐推荐装置(18)、当前登录-in 用户喜欢的球队登记在用户专属运动队登记表(T2)中,参照比赛结果管理表(T3),登记的球队只有当球队获胜时,根据对应的歌曲登记表(T1),我们构建了一个系统,在适当的时间显示与团队相关的歌曲的推荐信息。 
  【选型图】图1</t>
  </si>
  <si>
    <t>运动队音乐推荐系统</t>
  </si>
  <si>
    <t>JP2006327367A</t>
  </si>
  <si>
    <t>本发明的目的是更可靠地提取轮胎性能。 
  Kind Code:A1 取得赛前车辆的行驶状态信息即赛前行驶状态信息(步骤ST1),构筑并存储神经网络(步骤ST2)。 另外,获取当前的比赛中的行驶状态即比赛中的行驶状态信息(步骤ST5)。 另外,由于赛前驾驶状态信息构成了神经网络,从赛前驾驶状态信息中,最快LAP时的驾驶状态信息,也就是电路运行在最快LAP时间时的驾驶状态,导出(步骤ST9)。 最快LAP的制动时机是从最快LAP的跑步状态信息和比赛的跑步状态信息导出的(步骤ST10)。 如此一来,就可以在这个最快的LAP制动时机进行制动,在行驶的过程中尽可能地提取轮胎的摩擦力。 结果,可以更可靠地发挥轮胎性能。 
  【选型图】图6</t>
  </si>
  <si>
    <t>竞赛驾驶中的最佳制动控制方法、竞赛驾驶中的最佳制动控制计算机程序、以及竞赛驾驶中的最佳制动控制装置</t>
  </si>
  <si>
    <t>US20060211495A1</t>
  </si>
  <si>
    <t>一种人机交互虚拟游戏控制装置,包括检测器和控制箱。 检测器由感应踏板和感应侧板组成,感应踏板包括供操作者踩踏的压力感应装置,用于检测前进、后退、左转和右转的行走和跑步动作,以及安装在感应踏板上的光电装置。 感应侧板可以检测操作者手脚的运动轨迹和跳跃动作。 每一个检测信号都被传送到安装在控制箱内的微处理器单元,以产生相应的信号,从而通过通讯接口控制游戏中对应的虚拟人,从而替代传统游戏控制器的传统箭头按钮或 其他仪器。 因此,操作者能够与游戏进行交互以增强游戏的真实性。</t>
  </si>
  <si>
    <t>人机交互虚拟游戏控制装置</t>
  </si>
  <si>
    <t>US7698237B2</t>
  </si>
  <si>
    <t>提供了用于针对具有相关联的一组问题特征的感兴趣问题生成和评估多个行动方案(COA)的系统和方法。 基于案例的推理器根据相关的问题特征生成一组初始的行动方案。 每个行动过程包括多个 COA 包和一组相关的健身参数。 遗传算法根据一组全局影响值细化初始的一组行动方案,以产生至少一个优化的行动方案。 用户界面允许用户从与每个优化的行动过程相关联的一组全局影响值和一组适应度参数中调整至少一个值。</t>
  </si>
  <si>
    <t>使用基于案例的注入遗传算法的交互式行动过程分析工具</t>
  </si>
  <si>
    <t>KR1020060087617A</t>
  </si>
  <si>
    <t>在脱氧向上社会,企业价值要根据范式转换到知识信息时代,并使像通用、杜邦、松下、通用电气这样的公司所开发的称为财务的控制系统发生了巨大的变化 根据20世纪末信息的出现,ed管理了工业社会的简单金融,以及被称为金融的有形有形资产控制系统,用于加速和监控金融,以及工业社会中物质资本的有效分配 随着在竞争中获得持续优势的时代它认识到它忽视它的新能力越来越多的革命者在信息时代的环境中出现购买的必要性特别是信息时代的制造(公司)类别对于积极 和负/财务和服务部分(公司)与制造/企业时间如果是正 ve 和 negative / finance / service 部分和获得胜利的比赛是必需的。 经过推导成功的核心要素(CSF:Critical Success Factor)内部因素自身公司能力和外部环境变化管理和任务创新战略企业建立正反两方面成为成功要素 比考虑对任何类型的组织、企业或它们的类型进行投资的能力,以及它在其中建立业务活动的有形资产到设计业务印记的战略行动项目的能力更具决定性 系统(WBS:Work Breakdown Structure)根据任务创新战略调动内容并利用ed,制定绩效衡量指标,实时对实际结果数据执行,提高绩效/实施结果 围绕集成数据进行评估和持续开发的业务活动 通过持续的Plan Do See实体,以及BSC(Balanced Score Card)参考步骤为衡量方法制定任务创新管理绩效的财务和企业绩效商业模式企业 经过分析,企业必须追求的愿景。 包括时间和成本的实际结果数据称为/固定数量关于单位业务在三维空间坐标上执行活动称为,工作包和描述性数据分类系统,以及执行相同和评估测量的典型/非正式 它定性执行组织/成员分类系统(OBS) 执行办公室/工作分解结构(FBS) 围绕执行过程/主题/活动分类系统(PBS)设计印记传导业务系统(WBS:Work Breakdown Structure) task innovation and package mount / education are performed in : task innovation build-up stage the ,1 difference, and second KPI index are designed the key performance indicator (KPI : Key Performance indicator) is defined it strategic, quality etc, 门户网站 和包教育智能门户的解释和个人和主题我是设计的 in :智能门户建立阶段,同时积累到实时。 企业内部/外部的追踪(Case Tracking)、过程创新(Process Innovation)、分析改进(Activity Improvement)事件的持续活动的测量(Monitoring) )、任务创新活动、必要的信息查询概念搜索、人工智能分类系统、以及相似性相关数据收集的智能门户都建立在过程协作(Collaborate)系统中,并与其平行并垂直地进行业务活动。任务创新策略技术包括基于活动的成本核算/管理控制(ABC/M)的财务观点的结果评估管理(BSC),根据价值创造管理(VBM)的客户观点以及愿景和任务创新 战略、内部流程观点、学习、成长观点和现有Legacy系统提供等进行评估,提供个性化知识库的智能门户进行改进,分析和核心业务 评估活动:通过任务创新模型和智能门户管理成果评估阶段,提供成果业务模型的任务创新管理和集成到印记中的解决方案(BPF:业务绩效融合)和任务创新策略 技术反映企业的任务创新战略。 这样,企业绩效管理(e CPM:扩展的企业绩效管理)得到了进一步扩展。 [指标项] - Work Package: 单位业务执行活动(Activity(x,y. z) 策略的结果评估:业务活动调和函数的3D航拍图像传导 - BPF:业务绩效融合 - e CPM:扩展企业 绩效管理-BI:Business Intelligence商业知识/智能-SEM:Strategy Enterprise Management企业运营管理-BSC:Balanced Score Card平衡归因分类体系-WBS:Work Breakdown Structure印记传导业务系统(数据传导业务系统) 存在以下模型)-执行组织/成员分类系统(OBS)操作功能/任务/职业分类系统(FBS)执行活动/过程/主题分类系统(PBS)拥抱/垂直协作(Collaborate)系统 - KPI:关键绩效指标主要成果指数它平行记录 - ABC / M:基于活动 Costing / Management activity based costing / management control - VBM : Value Based Management 价值创造管理 - RTE : Real Time Enterprise 时间企业(数据处理)-。</t>
  </si>
  <si>
    <t>旨在扩展 CPM(企业绩效管理)的政府、金融和企业业务创新</t>
  </si>
  <si>
    <t>US20050209982A1</t>
  </si>
  <si>
    <t>本发明的一个实施例提出了一种进化优化方法。 第一步,建立初始个体群体并应用原始适应度函数。 然后选择具有高评价质量值的后代个体作为父母。 在第三步中,复制父母以产生多个后代个体。 后代个体的质量通过适应度函数进行评估,其中选择性地使用原始或近似适应度函数。 最后,该方法返回到选择步骤,直到满足终止条件。 根据一个实施例,评估后代个体的质量的步骤包括将所有λ个后代个体分组为簇,为每个簇选择一个或多个后代个体,从而得到总共ξ个选择的后代个体,评估ξ个选择的后代 个体通过原始适应度函数,并通过近似适应度函数评估剩余的 λ-ξ 后代个体。</t>
  </si>
  <si>
    <t>使用聚类技术和神经网络集成减少健身评估</t>
  </si>
  <si>
    <t>US7587404B1</t>
  </si>
  <si>
    <t>Processing 使用 COTS 计算软件和硬件提供高水平的自动化决策支持。 通过组合从多个结构化和非结构化数据源收集的信息并将其转换为与条件决策逻辑共享的通用协议,操作员可以从持续监控情况以符合预先制定的规则的任务中解放出来。 通过以分层方式组织系统的条件和模拟逻辑,将规则应用于基于数据的实体、它们的交互和整体操作情况,然后应用于已建立的程序。 条件逻辑的分层组织允许对聚合复杂的基于规则的处理进行高度控制,并提供动态行为,允许基于最简单的人机交互或一个状态的单一变化来修改整个系统处理 系统收集的数据项。</t>
  </si>
  <si>
    <t>使用融合的多个不同数据源增强动态决策支持处理</t>
  </si>
  <si>
    <t>KR100791024B1</t>
  </si>
  <si>
    <t>本发明涉及一种使用语音识别的语言学习方法和系统,学习者可以通过使用语音识别的游戏积极参与和学习乐趣。 本发明的系统包括内容数据库,用于存储会话学习内容文件、电影学习内容文件、发音强化内容文件、测试内容文件等学习所需的内容; 存储学习者客户信息的客户数据库; 一种以网络方式提供语言学习服务的网络服务器; 使用语音识别技术存储各种语言学习游戏内容的游戏数据库; 游戏服务器利用游戏数据库的游戏内容提供语言学习游戏,使有线终端学习者或无线终端学习者可以通过有线/无线互联网访问语言学习服务系统。 
  因此,根据本发明,通过网络连接的多个学习者以游戏的方式进行语言学习,通过比赛引发学习动机,还可以通过戏剧游戏等多种方式提供学习动机,自然地提高游戏的语言技能。参与者。有些效果是可以做到的。</t>
  </si>
  <si>
    <t>使用语音识别的在线语言学习方法和系统</t>
  </si>
  <si>
    <t>CA2490220A1</t>
  </si>
  <si>
    <t>一种用于使用基于电话的设备促进访问交互式体育比赛的多模式界面,包括交互式语音识别系统和中央处理单元,其可以提供对参赛者数据库和感兴趣的玩家数据库的访问,其中 互动体育竞赛中的参赛者可以通过多模态界面进行报名、选择虚拟选手队伍、管理队伍。 由于基于电话的设备无处不在,参赛者可以及时、用户友好并可能以个性化的方式与互动体育竞赛(如梦幻体育联赛)进行互动。 多模式界面可以配置为接受来自参赛者的纯语音命令,以及以预定的时间和频率向参赛者提供统计或事件的通知。 也可以使用基于电话的设备特定格式发送通知。</t>
  </si>
  <si>
    <t>用于促进访问幻想体育联盟的方法和接口系统</t>
  </si>
  <si>
    <t>US20050159220A1</t>
  </si>
  <si>
    <t>一种用于使用基于电话的设备促进访问交互式体育竞赛的多模式界面,包括交互式语音识别系统和中央处理单元,其可以提供对参赛者数据库和感兴趣的玩家数据库的访问,其中 互动体育竞赛中的参赛者可以通过多模态界面进行注册、选择虚拟选手队伍和管理队伍。 由于基于电话的设备无处不在,参赛者可以及时、用户友好并可能以个性化的方式与互动体育竞赛(如梦幻体育联赛)进行互动。 多模式界面可以配置为接受来自参赛者的纯语音命令,并以预定的时间和频率向参赛者提供统计或事件的通知。 也可以使用基于电话的设备特定格式发送通知。</t>
  </si>
  <si>
    <t>KR1020060054625A</t>
  </si>
  <si>
    <t>本发明涉及一种使用便携终端测量视力的方法,尤其涉及作为便携终端的视力。 为此,本发明包括语音识别部分,根据存储音频数据的存储单元识别语音答案,该存储单元存储并根据视力测量值和视力测量值组成的用于测量的字符的视力测量值 测距部分的视力 测量和验光师和清晰地显示与验光师的距离 控制单元根据测量结果控制整体操作 视力和显示单元指示视力测量值 控制单元和指示检查员的视力 根据测量视力。</t>
  </si>
  <si>
    <t>可测量视力的便携式终端及使用该终端的视力测量方法</t>
  </si>
  <si>
    <t>US20050130741A1</t>
  </si>
  <si>
    <t>本发明基于使用气动系统来转换儿童游戏的人力。 压缩空气的能量可以转化为电能,用于照明和通讯等用途。 这提供了一种低成本、低资源的发电方式,尤其适用于发展中国家。 该实施例是本发明的扩展,通过在玩视频游戏时从健身自行车的蹬踏动作产生电力,并且包括使用固定健身自行车、视频游戏系统、监视器、包括按钮/操纵杆的游戏控制器 自行车、机电和生物医学传感器、用于控制器信号的基于人工智能的预处理器,以及用于发电的气动或机电能量转换装置。 产生的电力可用于量化所涉及的游戏或锻炼,并提供激励以鼓励持续的游戏或锻炼。</t>
  </si>
  <si>
    <t>基于电动自行车游戏的人力转换系统</t>
  </si>
  <si>
    <t>WO2005037103A1</t>
  </si>
  <si>
    <t>一种用于测量地面反作用力和分析运动员表现的系统,其中力传感器位于运动员鞋内,三维加速度计位于运动员重心附近,并记录来自加速度计和力传感器的信号,并 用于推导地面反作用力 (GRF) 的三个正交分量。 人工神经网络用于通过学习算法推导出 GRIF 的三个正交分量。</t>
  </si>
  <si>
    <t>测量田径运动中的力量</t>
  </si>
  <si>
    <t>US20070068244A1</t>
  </si>
  <si>
    <t>一种用于测量地面反作用力和分析运动员表现的系统,其中力传感器位于运动员鞋内,三维加速度计位于运动员重心附近,并记录来自加速度计和力传感器的信号,并 用于推导地面反作用力 (GRF) 的三个正交分量。 使用人工神经网络推导出 GRIF 的三个正交分量</t>
  </si>
  <si>
    <t>EP1675509A1</t>
  </si>
  <si>
    <t>EP1731203A1</t>
  </si>
  <si>
    <t>本发明涉及一种用于将靴子绑定到电磁控制系统的自主电磁控制系统,用于将靴子绑定到滑雪板、滑雪板或通常用于运动的任何板、冲浪板或冲浪板。 本发明的系统设置在运动员的衣服和靴子上以及板上,以确保所述运动的安全练习。 根据本发明,该系统包括可充电电池; 电动或太阳能充电器; 电源开关; 每个靴子中提供的电磁夹持元件或电磁体; 板坯; 铁磁材料的薄片或颗粒,它们装在定位和固定靴子的板上; 以及可选地,使用电磁波或红外线来发送/接收命令的系统,用于控制上述开关并且可以配备语音识别装置。 以这种方式,配备任何可选系统配置(包括西装/靴子和板或板)的运动员可以安全地在相应的表面上滑动并具有最佳控制。 此外,该系统使用户能够快速、方便、远程和自主地从板子上脱离,而不需要不受用户控制的自动板子释放系统。</t>
  </si>
  <si>
    <t>用于将靴子绑定到滑雪板、滑雪板或类似物的自主电磁控制系统</t>
  </si>
  <si>
    <t>WO2005092454A1</t>
  </si>
  <si>
    <t>本发明涉及一种用于将靴子绑定到滑雪板、滑雪板或通常用于运动的任何板,例如滑板或冲浪板的自主电磁控制系统。 本发明的系统设置在运动员的衣服和靴子上以及板上,以确保所述运动的安全练习。 根据本发明,该系统包括:可充电电池; 电动或太阳能充电器; 电源开关; 每个靴子中提供的电磁吸力元件或电磁铁; 铁磁材料的板、片或颗粒,它们被安置在靴子定位和固定在其上的板上; 以及可选地,用于使用电磁波或红外线发送/接收命令的系统,用于控制上述开关并且可以配备语音识别装置。 通过这种方式,配备任何可选系统配置(包括套装/靴子和板或板)的运动员可以在相应的表面上安全地滑动,并具有最佳控制。 此外,该系统使用户能够快速、方便、远程和自主地从电路板上脱离,而不需要不受用户控制的自动电路板释放系统。</t>
  </si>
  <si>
    <t>CA2547981A1</t>
  </si>
  <si>
    <t>本发明涉及用于将靴子绑定到滑雪板、滑雪板或通常用于运动的任何板,例如滑板或冲浪板的自主电磁控制系统。 本发明的系统设置在运动员的衣服和靴子上以及板上,以确保所述运动的安全练习。 根据本发明,该系统包括:可充电电池; 电动或太阳能充电器; 电源开关; 每个靴子中提供的电磁吸力元件或电磁体; 铁磁材料的板、片或颗粒,它们装在定位和固定靴子的板上; 并且,可选地,使用电磁波或红外线来发送/接收命令的系统,该系统用于控制上述开关并且可以配备语音识别设备。这样,运动员配备了任何 可选的系统配置,包括西装/靴子和板或板,可以安全地在相应的表面上滑动并具有最佳控制。 此外,该系统使用户能够快速、方便、远程和自主地从板子上脱离,而不需要不受用户控制的自动板子释放系统。</t>
  </si>
  <si>
    <t>US20070080518A1</t>
  </si>
  <si>
    <t>本发明涉及一种用于将靴子绑定到电磁控制系统的自主电磁控制系统,用于将靴子绑定到滑雪板、滑雪板或通常用于运动的任何板、冲浪板或冲浪板。 本发明的系统设置在运动员的衣服和靴子上以及板上,以确保所述运动的安全练习。 根据本发明,该系统包括:可充电电池; 电动或太阳能充电器; 电源开关; 每个靴子中提供的电磁夹持元件或电磁体; 板坯; 铁磁材料的薄片或颗粒,它们装在定位和固定靴子的板上; 并且可选地,使用电磁波或红外线来发送/接收命令的系统,用于控制上述开关并且可以配备语音识别装置。 以这种方式,配备任何可选系统配置(包括西装/靴子和板或板)的运动员可以安全地在相应的表面上滑动并具有最佳控制。 此外,该系统使用户能够快速、方便、远程和自主地从板子上脱离,而不需要不受用户控制的自动板子释放系统。</t>
  </si>
  <si>
    <t>JP2007530112A5</t>
  </si>
  <si>
    <t>一种自主电磁控制系统,可将靴子耦合到用于单板滑雪、滑雪、滑板运动或冲浪板运动等运动中的板。 它被放置在运动员的衣服和靴子上以及用于安全练习这项运动的板上。 该系统包括可充电电池、电或太阳能充电器、电源开关、每个靴子上的电磁吸引器元件或电磁铁、板、片或铁磁材料,其安置在靴子定位和固定在其上的板上。它包括用于使用粒子发送/接收命令的系统,可选地是电磁波或红外线,用于控制所述开关,并且可以包括语音识别设备。 因此,具有可选系统配置(包括套装/靴子和滑板)的运动员可以安全地滑冰并以最佳控制方式滑行。 该系统允许用户快速、方便、远程和自主地从自己身上移除电路板,而不需要不受用户控制的自动电路板释放系统。</t>
  </si>
  <si>
    <t>用于将靴子固定到滑雪板、滑雪板等的自主电磁控制系统</t>
  </si>
  <si>
    <t>KR1020060029529A</t>
  </si>
  <si>
    <t>自然系统的组成状态是每一个大气压力、温度、湿度、风的方向它不断作用于环绕地球的天体(空间)山川河流(自然)相自然系统解释围绕人类就是人类的世界 还有,风、滚动(云)、比例(雨)、眼睛(雪)、温暖(热天气)、寒冷(寒冷天气)等被称为物理状态的变化,同时受到惩罚, 被统治而万物在自然界的物理运动法则中管理生命它作为植物(植物)而生活,以及动物(动物)等所有世界的聚集所有自然生态系统在空间上不会停止 时间。 在被称为地球的有限环境容量(动态容量)中产生的环境污染物,它不能回到人类的动力中,因为可以用风速(the velocity of wind)等进行测量。它可以知道它们的质量和 数量不是固定的,而且,时间变化为加速的扩张,包括快速汽车使用和工业建设水等的增加,成为真正的问题是个人或社会组织和部分的限制性问题 国家适当的大气净化能力损失(地球的承载能力)和再生浴年 24 年的大鸨限制在自然物理系统的循环顺序中超出了自身和异常气候,并且唤醒了 异常气候对未来人类生存的严重危机构成并持续存在的问题,而w 车祸(机动车事故)中的各种原因和现象不断增加,尊贵的人类在生活中不断产生的损失和有限的地球资源(全球视角)是不耐烦的 现实是人类的笼子这将是事实这将是指定的任务(on appointed task),它在其中持续它是共同(commonness)人对笼子人类(man kind)的主题(任务) ) 每一个人都因为存在而无法不背负的存在死亡(命运),而且,人类绝对如此。 因此仅限于固有技术的创造性工作领域。 努力是汽车技术发展中为解决问题而考虑的手段。 以及任何人将是与半球数没有的交通事故 (a motoring accident) 出自与道路 (a road) 相发生的汽车碰撞 (a collision) 关于车辆 (automobile) 笼子的非常明显的行动 人类制造的是安全的,平稳的运动是为了让所有人类一直保持产品作为它所考虑的结果被观察到并被各种人类哲学所吸引,从而在研究内部实现综合。 自然系统 地球上所有生命体、人类和人类创造的所有人类历史的物理条件和状态变化。 因一时疏忽大意,不耐烦西方气候环境变化,一般自然环境白天(day time)和夜晚(the night time)(光的环境变化)春天 , 夏季, 秋季, 和冬季 (四个季节) (温度变化) 车辆在高速公路上使用按照原来的使用方法与制造状态成正比这将是它非常告诉的措施 对车辆而言,理想的是设计安全和保卫财产安全的功能单元,其中意志和能力是人无法达到的不可抗拒的力量范围内的区域,并且预先对交通造成交通事故 在汽车碰撞事故的天气条件下可能发生的事故是自然的在人类中它是物理上的它是在与汽车驾驶的结合关系中产生的 环境变化它是人工的它是自然的。根据汽车运输情况和使用它的汽车驾驶的比例(雨)、风、雾(雾)、异常气候情况包括对称为道路的操作者、人类来说无穷无尽的不可预见的问题 眼睛(雪)等自然环境的变化在车辆中是人为的关于道路驾驶可以指所有技术(新技术)中的目的(对象)中的基础(基本),而不仅仅是车辆中的 根据其造成的人类安全保障方法的介绍以及人类拥有的所有人类历史,由于这种人和车的问题,在无数人中开展了哪些努力。 此外,在被称为现代汽车的技术集成中,被称为晶体的众多安全功能的研究和开发被称为连续制造的事实可能被称为事实。 和功能由传感器操作而不是被动指示操作到自动(自动动作)的技术集成链条车使用方法和它由人的意志操作到被动(手工)指示操作是目前的 不根据由于人为原因的被动指示操作可能是偶然的时间有机系统在每个角度关于悬架的操作根据道路行驶在车辆移动后,在汽车发动机(引擎)和动力机器中 关系(测力计)。 人工物理作用现象,雨水作为一般可观察到的现象,自然物质通过摩擦(frictional)与旋转运动向后散落在汽车行驶方向(固定方向)上称为相反方向(in the appose direction) 车轮在轮胎部分的旋转运动产生的力和在高速公路上行驶的车辆在道路上堆积的自然物质在高速公路上自然散布在人身上的自然物质的比例(雨)是微小的,称为停止时间 在异常气候产生时间如眼和比的天气中,此外,异常气候时间如果功能是均衡装置(灯装置)信号装置(光信号装置)和制动装置(阻尼装置)等。 车辆行驶状态一般在高速公路上通过被动指示操作观察车辆行驶状态,当眼睛(雪)等 c.落在路面上的落差在车辆后方均质的特性上因物理作用而人为地产生前表面涡虫石现象。 对于 b 车辆中的操作员来说,在这种手表故障状态下,先天(本能)前方视野安全状态(看不见)向前方向手表在微小尺寸状态下急剧下降 整理成在高速公路上出现的普遍现象,如图 1 所示,在相同方向(固定方向)连续的相同方向(固定方向)的车道(交通区)中确认了这一点 根据驾驶汽车行驶的固有现象是b车在基期牵引,b车在全向行驶中以自然材料轮子向b车行驶。 自发生成的自然环境变化后,应用于所有放置的车辆,是关于a和b的物理位置运动关系,是设备开关ON的指示操作动作,使设备(雨刷机构)中的清洁窗口为 执行清洁窗口的操作。 考虑到在尾灯开启状态下驾驶车辆,车内操作者根据汽车行驶路况锻炼车辆能力即车辆在尾灯开启状态下具有两种特征 用法(两种类型)是一种是它具有的向后方向显示均衡装置(尾灯机构),另一种是在尾灯关闭激活状态下适用于有关用法的一般解释的车辆。尾灯称为后向热灯,可以指操作者根据情况主动将使用先进预防安全措施的方法应用到可在向后向后向显示均衡装置中产生的汽车碰撞中。 通过尽一切努力保持安全距离安全,因为它对感应(感知)做出反应,它确定自己车辆中的信号,它点亮并使用它清楚地识别正在向同一方向前进的后方车辆 操作者为了要求更主动的安全驾驶是可能的与关系阶段汽车碰撞与后方车辆位置关系并且通过向后方汽车驾驶员发送刺激到时间( 视觉)称为特殊感觉(special sensation)的感光管接受信号(a 信号)来自较远跌倒的地方根据可见距离安全保持关系,必须稳定地注视运动状态,并且必须确认对汽车防撞安全距离安全的关系,以获取对后方汽车驾驶员的安全 从人体从条件根据高速公路行驶环境。 另一个可能是,或者相反,因为它不能用下肢。 并且(认识到)它绝对的必要性是在时间防御物理运动状态概念(一种防御措施)中,这种自动驾驶者必须反映到由于打滑(滑过雨,滑过雪)而增加的制动距离 根据状态和车辆对汽车行驶绘图由于自然环境变化对汽车行驶的物理动作状态变化和潮汐(机会)根据它,以及情况(事物的状态)适当的仪器操作能力 将操作员称为不足的新操作员 人体运动能力是下降状态 it spirits it physicals 年龄变老 此后 autoist 清楚地认识到高速公路 自然环境中的上部 在体验中问题由 任何气候异常的人在该行驶状态下驾驶车辆的身体行为特性和风险驾驶此外,对于可见距离s 安全位置关系相位视觉确认通过眼睛(眼睛)称为显示器中的任何一个在两种用法中,轻松地,在自己的感光管全方位车辆在尾灯点亮状态和灯光关闭状态的情况下 是全方位车辆的后侧指示灯 高速公路(高速公路),它可以知道尾灯点亮的情况,车辆更容易做出反应,高速 行驶(高速)做的很长,车距可以参考使用功能,使用时必须点亮尾灯上的均衡,称为后向显示均衡,更处于维持到年的状态 由于在道路交通法 31 准备 1 索赔中规定了夜间使用,因此伤害通过它是强制性的。 而在 but, Ji GeumGeot 的情况下,它在逻辑上可以解释为操作员要求车辆中的前视野安全的情况,其中设备(雨刮器机构)到无法效率的操作状态 由于被称为人的操作者具有被动指示操作动作,因此车辆将能够进行车辆驾驶中的清洁车窗的使用 平面位置关系阶段(维度分析)前 驾驶类型,其中它可以继续识别退化关于身体动作状态变化到具有低状态的状态这种操作者状态是在根据前视故障和前向车辆的道路条件下驾驶的汽车中的浓度(concentrate) 到快速制动和类变道(急转弯)等,并在道路运输阶段车辆中继续进行。,以及之后。左右通用,车辆可以做照明对于道路运输的操作员和汽车安全来说非常需要它是平滑的天然材料,包括在上部堆积的眼睛(雪)背部 或雨水(雨水)等排放到尾灯在有关尾灯的危险情况下使用称为车辆后向显示均衡装置需要通过它的方法来打开尾灯的目的 后向热灯之间的自动控制操作员是否按比例认识到尾灯照明的需要或操作员无法在设备中需要作为操作时间来制作干净的窗口至于 Ji GeumGeot 的情况操作定义与 异常气候的轮胎或车轮(旋转系统)随后在道路上以摩擦力(以恒定速度***费)在前进方向车辆中旋转 沿切线方向移动),由于汽车后前窗的碰撞,后方操作员的前方视线不好。 关于各种(自由度)车祸(汽车事故)的预防和顺畅交通的单调使用方法以及关于特定汽车驾驶的状况(自然环境)和固有车辆构成的情况(自由度) 在工程开发(技术开发)进步(进步)通过新的有效工程开发预防车祸必要时它是非常低效的它激活了辅助汽车后部碰撞的汽车驾驶安全的功能 可提前产生它通过灯光实现视觉刺激(发出信号)进行信息传递,根据距离和位置变化、安全距离和停车等信息的判断,适用于后方操作人员采取事前警示措施 它使尾灯的距离称为后向显示均衡器的时间 在雨天道路或注意高速公路交通时,要求在设备(刮水器机构)中使用自动开/关(自动照明)以本能(instinct)清洁车窗以确保前方视野安全。 车内向操作者提供有关汽车行驶的信息的功能(一种防御措施)形式称为防御,它优先为人提供给行驶状态(人为环境)中的装置(雨刮器机构) 用指令行为(命令)告诉珠宝商在相同的向后方向上保持稳定的时间 驾驶(试运行)与下一次相同 根据前向视线安全清洁窗户 是人的操作者叫这个名字的智能汽车驾驶安全电路虽然发号施令的无源开关操作动作不在后向显示尾灯中它自己判断车辆和后向显示尾灯是 与自动开/关(自动照明)一起订购。 而这可能是围绕以各种类型存在的车辆形成的信息中的过程概念的逻辑开发设计。 而这可能是汽车动力锅炉在停顿或厄运前的状态下,根据对运行变化(时间顺序)的分析,及时对运行关系进行逻辑设计。 与人在各个角度不同维度的操作关系阶段的心理状态(心理状态) 载具(机构),以及它逻辑上关于中西动作形成信息循环群(周期)的电 操作仪的操作包括人的心理状态根据物理变化状态(状态变量)、连接到精神(mind)、行动精神、动作等。sequentials in one 它是分析设计 它在操作员中可视化 与车祸(机动车事故)原因的组合关系 建立 它及时在车辆中根据原因排序(主要原因) 复合动作(交互)与 metergasis 寻找各种刺激自然系统(自然环境)所产生的现象的信息,如前视失效状态和异次元(自由度)中雨水和眼睛等材料中残留的状态后的状态 根据动议中的原因探索性(中间步骤)考虑到从过程到状态的时间变化。 x 集合是以人为元素的集合、交通工具、自然系统天气集合(集)称为形式信息的排列,是指提供多维自然的功能设计 system wake up(自然环境),road see(人造环境),human(人类),vehicle(汽车),traffic accident(汽车事故)这是借用了数学工具的形式bonded 对部件进行转换,在电子(电子系统)系统中归纳出运算值(数据),可以组织成实例中能够解释的形式,实际上是电气和电子根据形状排列一致的 该信息是不同维度(自由度)的实体(个人)中的集合(集合)。 道路、车祸等元素所赋予的意义不同的元素(a element)是维度是集合(set)等元素所赋予的可参照容易知道的元素 所包含的基本要素 它是可靠的 它是基本原因的集合 在其中,下面的命题可以是 X 集合导致它得出的车祸,这个命题是真理出现在所有共同完成车祸的现象中 而且,如果假设因为要素不在一个,车祸就不会发生,然而这又在逻辑上证实了中心。可以理解为车祸引出的事故常识知识,其中自然空间在车内是不存在的。 事故性质天气天气,其中人不存在或不相关的车祸车辆不存在或不相关,换句话说,不成形或 这与哪条道路不存在无关,或者与不可能与这些无关,X 聚会的集合将能够从中确认这是它得出的车祸的根本原因,并且此类聚会必须 元素和它的思想意义做这样的集合在物理概念上共同对应于维度下它物理关于维度的定义是指物理量可以变化的种类数,而且在不同实体之间松散了复杂的问题。 不分单位或数量的汇总的把握可以参考x集合是通用概念(遗传学家)和维度中的集合因为在做它时有用地使用它非常重要它得出关于集合解释与这些 适用于综合扩展的原则(generic extension principle)。 而人类(a human)它有任何一种中枢神经(central nervous system)先天神经网络阶段在人类中被称为释放机制。 当受到关键刺激产生的影响的推动时,通过神经和肌肉引起连续反应(连续反应)。汽车是通过起动对能量的作用,一般是吸气(进气冲程)、压缩(压缩冲程)、爆炸(膨胀冲程)随着汽车机械结构起动机的旋转而在驱动发动机中运转 马达(starting motor)它假设在人类中称为所有操作者,根据解释它显示这一系列的反应作为本能调整的行为作为定位(Orienting)固定动作模式(Fixed Action Patten)已经诞生了 它所具有的作用 它意味着操作员组在一个但换句话说,所有人类这样的操作员简单地定义,因为相同的以下采样自然系统天气(自然环境)和天气雨水(雨) ,眼睛(雪),温暖(炎热的天气),寒冷(寒冷的天气)等属于关于地球和大气层(大气层)物理变化的空间现象 情感。 并且,在运转中的、与反复进行的曲轴(crankshaft)的旋转运动(rotational motion)相关联的驱动引擎和机电设备中,仪器物理作用能量再次转换为电力 继续是四种重复的循环过程(循环)称为通风(排气冲程)在发动机内结合化学燃料与活塞的燃烧到动力传输装置之前而且,发动机提供平稳的电力 对与发动机相关的进气系统、与排气系统相关的传感器和各种装置的操作和操作者具有便利装置、控制机(controls)和各种指示装置。 它假设 s 完成对有机制造的循环过程,并暗示所有安装在汽车部件内部的功能固有规则,随着时间点的扩大将在人类之后的空间位置运动中与它相关的元素 是指如果通过神经将外部能量通过加速器传递给身体运动,则操作者可以从一个位置点移动到另一个位置点在汽车内部运动能量场中称为控制机器 操作员的变化量障碍物(障碍物),其中高速公路向后改变,并且,实时上部的其他车辆覆盖物(交通标志),信号(交通控制信号 )等调和,运算符对内部不断变化的不确定事物做物理动作,定义词的概念相义意义t 他喜欢用不同的维度组成交通事故现象。 对这一点进行理性认识的要素,一般人根据通过生物感光管(躯体感受器)通过逻辑系统(智力构造)收集到的信息,成为情感上可能的这一点,在X收集中有收集Y的可能 指的是在人称为用户的结构中实现操作关系的事物中的集合在车内诱导关系肋(relational)的领域的替代(correspond)。并且根据四个元素中的相互作用导致组合关系的开始完成交通事故的开始,并且以启动功能为基础,在 X 集合元素中使用磷来诱导与被称为汽车的人的开始。 实际上在具有这种结构的车辆中制造一般人任何人或确认成为可能 Y 收集实现和解释是由于人类有意志而完成同时,为自己关系所需的法人团体(债券能量) 建立关于车辆的正常停止关系是由于由于人类由于意志人类是 X 集合中的元素可以指这样的状态,其中它的尺寸它打算对组件的拓扑排序(尺寸分析)到 必要时随心所欲的行动和根据人的自由意志而采取的行动 onals 它使结合关系是独立的 汽车内部零件对于人和车来说是整体结合关系 表示与维度(自由度)人的内部属性或它所具有的成分(component)结合。 而随后包含人在车辆中的独立意志和综合束缚状态的成分变化可能是神经系统在操作能力上的纽带它在汽车机体运动能力和人的身体学上这可以使车辆与启动或 cranking (a crank) 驱动引擎和子系统组中的操作到初始点的操作 it somatologicals in human the function (health state) those has has to think the time when as after in the vehicle in the physical 行动能力部门通过处于同一状态的关系来得到。 此外,汽车机械结构的起动马达(起动马达)旋转,伴随着驱动引擎的运转,通常是吸气(进气冲程)在动力源处的电力作用,以及 压缩(compression stroke) 人的马达启动器的被动动作在启动时完成的内脏动能组称为Y集合元(一个元素) 可以写在X集合元素中 它在 物理作用在车辆中是这样的,人是Y聚集的开始,车辆与制造阶段相关的内在运动能力成正比,而它及时的时间点是与循环(周期)相关的。 仪表物理作用能量在发动机中再次转化为电能,传感器将平稳的电能提供给与行驶相关的进气系统。 发动机、排气系统相关传感器和各种机电设备,这些机电设备在每个角度之前都与动力传输设备进行连接,并与结合在活塞上的曲轴(crankshaft)的旋转运动(rotational motion)重复进行 由化学燃料燃烧并同时在称为爆炸(膨胀冲程)和通风(排气冲程)的四种重复驱动发动机内持续,此外,驱动发动机具有操作和操作员的便利装置和控制机器( 控制)和各种指示装置。 并且它假设s完成对有机制造的循环过程并暗示安装在汽车部件内部的所有功能固有规则随着时间点的扩大将有意在人类之后的空间位置运动。由于车辆在通过神经后动能组内部的称为控制机的加速器将运动传递给身体运动的同时进行保管,从而使外部能量的独立运动进入 开始它在位置道路的一个点到另一个位置点沿着高速公路蠕动的开始方向确定车辆应该做的运动图像的自由度。 很难(difficult)避免在解释上根据各种标准来解释车辆行驶的道路,只假设一个变量解释。 一致性的正确解释是更节省车辆可以通过速度指示器(转速表)通过视觉(视觉)在操作者自己的内部知道车辆中出现的矢量开始它可以做内部部分 ) 与识别 (recognize) 表示法可以在这种速度指示中表示为模拟和数字。 但指称语义相同,关于速度指示器(转速表)的变化车辆实际上意味着车辆在该位置道路上的驾驶重任。 一般情况下,车速(转速计)组内部的电能知道X集合元素,车和人进入时对应的状态inrush时间,就可以解释为这里面的状态关系 其内的道路运输情况在观察(观察)时向该车辆内的操作员指示。 电子车速表(electronic tachometer)由机械和电子组成,其过程以电子为基础进行说明,通过安装电场传感器得到的电脉冲通过施密特触发器变成矩形脉冲形式。 在车轮(车轮)等或感应传感器(感应传感器)等处,与行驶速度成正比,这消除了车辆中低通滤波器的噪声系数。 而这个球形脉冲波变换成与单稳态多谐振荡器中相同长度的方波的动圈式仪表是模拟速度比例子Indecation的关系(系统 比例表示法)归纳到称为速度(速度)的元素,称为 Y 集合中的元素 它可以看到关于车辆的独立运动称为元素,操作员确认视觉指令超级变化作为处理积分的过程 (积分函数)在操作员有时间点在X采集和称为Y采集的元素里面速度包括在车辆中的物理动作分量解释后给了X采集元素中的偏好与自然系统天气(的变化 自然环境),以及驾驶条件中的情况(人为环境)在任何情况下都是好的simuta 在X集合中引入了两种自然系统中的元素,因为描述了自然系统中的天气天气在车辆中产生的雨水和眼睛等自然现象后,首先建立了驾驶安全防御系统 自然系统执行操作之前寻找理解的意义根据内容门中的生成(同时)作为空间概念到无形作为内容中的状态在无形中视觉确认是可能的它 任何人都可以知道它所处的地方如大气层是空间中公认的称为大气层的地方,蒸汽被包括在概念阶段由于地球引力而形成的大气层聚集的配置原子(微观点 的观点)和成分是氮气78%,氧气21%,氩气0.9%,二氧化碳0.03%等t 组件组织热力学能量循环(循环)使温度变化要求温度随太阳光(太阳光)通过空间产生的温度变化从太阳到温度等。在车辆外表面的内部方向。 当操作员在汽车部件的内部作为原因(原因)要求适当的反应时,在其中不显示生物(身体)感光管(躯体受体)的作用元件的名称下 ) 操作员决定与操作员的操作关系 自然系统温度状态面向被称为冷度的方向在汽车内部由热量在自然站立的车辆恒温器操作的内部空间对于操作员,被做 温暖方向(炎热的天气)。 如果自然系统温度朝暖方向确定在车辆使用中,操作者可以知道车辆恒温器管理尝试的内部空间遵循冷方向(寒冷天气)应用在有关反应定律中 根据外界温度状态动作。 如果这个替代方面(一年中的时间),如果温暖说继续,汽车父线内部的低温与空调组(冷却)循环保持一致。 被称为元素的自然系统天气气候条件是人体操纵结果的 X 收集关于自然系统天气天气它是这样的汽车零件组内部状态的状态是人类保持高温 通过汽车内部的暖气组(暖气)循环相反,如果寒冷可以说是冬天,两者是一样的,换句话说,暖气(空调)是开启的 根据配置的功能,接下来,它记录在 Y 收集加热器(空调)和传导。 并且加热空气它使用驱动引擎(发动机)冷却水大部分通过的热交换器(heater radiator)和水冷式(液体冷却引擎)的情况,一些不同是在驱动引擎(引擎)中 (换句话说,文中只说明加热器,电气元件(电)一起有两个关于操作,但它是相同的。)根据形式和空气的水冷式(液体冷却发动机)的加热方法 冷却方法(风冷发动机)可参考加热方法 必须和定量的调节方式是在风中是雨水称为材料在材料中发展的假设在此内容仅结果根据 它每天观察它是关于元素的,它是在现在 X 中保留的元素之间的高速公路情况收集现在写在 Y 聚合中的加热设备包括我们的自然系统 ather在X集合中的元素中,温度属性的变化意味着在天气中,根据对共同点(commonness)的操作,应用控制(control)而变成的形式,并在其中表达返回累积到 根据自然系统天气现象中的内容阶段描述的认识与上部的雨水(rain),以及关于眼睛(雪)或完成后及时发生的现象是理论材料定义的情况 以及上面描述时累积到图上的状态限制在电动鼓风机电机(空气(DP n=“21”类型=“SOFT”/)调节的关于车辆运动的动作内 车辆)它是在空冷方式(空冷发动机)中在空气中设置在排气管部分的热交换器(加热器散热器)加热的方法 经过。它与玻璃部分(挡风玻璃)和碰撞(元素粒子之间的碰撞)是操作者在前表面中的视线安全区域在最终动作链条车轮胎(车轮)中的旋转运动(rotational motion) 根据动力传输系统和相关的车辆,其中根据与轮胎部分和材料组织的接触的物理运动能量被传递到汽车轮胎外部的中心点(中心点),并且在其中 来自现象(沿切线方向以恒定速度飞走)向与汽车行驶方向相反的方向发射的现象的产生,并在同一道路线上连续运动。 眼脊是在车辆(汽车)中的物理运动的作用(交互)关系中,它可见的透光率(千里眼)急剧下降造成的。 操作者可以知道窗***装置(雨刮器机构)在雨水中操作的现象,以及操作者在超时眼脊操作是基于窗***器(雨刮器机构) ) 对在车上的操作者在汽车内部部件上的开关操作值。 此外,车窗装置中的开关***装置实际上诱导了车内对装置(雨刷机构)的替代,因为汽车行驶道路所见的清洁窗在X组元素中的Y集合一般窗* ** 设备系统(挡风玻璃雨刷系统)按配置工作原理分为电动式和气动式,由电机(雨刷电机)、连杆、癌(雨刷臂)、叶片( 雨刮片)对于一般的电动式可指ON时安装材料连接到键面的形式,具有旋转运动(rotational motion)能力的电机对旋转运动部分强制去除车内材料的形式 与等分试样对应的区域中的前玻璃区域。 并且,主要部分能量(功率)中的形式成为元素中衣领中的组件,其中 Y 聚集现在在 X 聚集中是维度的,所以它是电和关系中的形式,它是可见的 其中替代的存在实际上可以在日常生活中通过车辆阶段的确定来确认。 而且它还能做人,因为它是精神状态物理量(psychophysical quantity)的事物,连接到精神状态(a mental state),精神(mind),身体,机能作为这些意义的结果 X集合元素的原因和归纳,X中的最终工作状态值根据操作定义(a definition)因为如果它能知道是状态,它就可以知道根据时间变化的顺序出现 车上使用Y集合元素被操作的情况代入时间分析未接收到应用程序以信息模式处理在处理应用程序使处理器模式处于连续状态的功能 包含 可能 应用程序将被促进 可以征求理解 这些被定义为信号,其中及时订单被明显区分为 由于以集合元素中的每个cupule种Y集合元素为组成部分,按照同样的逻辑设计进行逻辑设计,而且系统设计由Z集合元素及时包含固有属性 元素铭文方式以通用阿拉伯数字记载的内容是启动、速度(velocity)、加热器(heating)、窗口(window)为四项的待洗装置(wiper mechanism),但元素如前所述 聚会可称为首发,优惠,它是基础。 这意味着人与车之间的联系。并且,关于一辆车行驶的物理运动准备步骤 代替元素4的集合Z 装置元素被安排在Z集合中是由于所有车辆内部能量的平均循环 组 Y 集合元素开始替代 Z 集合元素 1 在下一次开始 Y 集合中清洁窗口称为最终汽车行驶道路看操作是否可以根据操作者(驾驶员)的自由意志确定为随机顺序但车辆 就是在上面描述的驾驶中的装置(wiper mechanism)来实际清洁车窗的速度(velocity),加热器(heating),以及车窗中的车窗可以知道速度(velocity)是二阶的 Y组元件速度替代Z组元件2其后Y组元件(一个元件)加热器作为下一个,适合Z组元件3作为自然系统天气气候条件是逻辑顺序(顺序)根据t he purpose X, and Y. Z gathering 可以简称Y gathering 是在车内action element about the reason中设置的顺序 关于交通事故(机动车事故)的要素 如果它组织 此外,Z集合可能是关于汽车及时使用它的操作顺序(时间顺序)。 而一般情况下,通过日常钥匙和电的旋转的方法,因为在车辆的制造形式上实际确认了车辆中的配置和,可以知道每个角度都具有Y集合元素上的电属性作为相同的属性,如果组件 从各个角度分析 启动实际上需要解释车辆中动态机器关系(发动机系统)和启动装置组(启动系统)的关系,因为是由电子引起的运动 无线电系统和汽车内部零件的集合,在运动马达(electric motor)中的电力模式与初始驱动引擎中的旋转(rotational motion)不同,由相同的主要能量构成 操作是电力整个操作活力一共可以知道(电功率)在另外,驾驶与身体运动有关amo unt (physical quantity) 车内各传感器(induction (DP n="25" type="SOFT"/)sensor)中欲达到的速度(velocity),以便操作者清楚地识别汽车内部的物理动作状态 部分在珠宝商 Km/h 单位状态下最终要标明。 这是配置。 以电为基础,电子行为在这,再说结构。 冷却和加热(通风系统)它可以知道以能量形式相电功率(电功率)在操作原理上的基础。 冷却(冷却水)和加热的原点打开方向不同。 并且由于是旨在改变室内温度的配置组,因此调节控制使用热交换器(加热器散热器)加热的空气,其中加热基础期间和驱动发动机(发动机)冷却水通过 汽车零件的构成,由鼓风机马达(fan motor)构成,满足车内的室内供暖。 并且它可以知道主要的能量,就好像它可以根据电力开关操作了解鼓风机电机,而且,该操作是基于电力(电力)的操作形式 使装置(刮水器机构)是配置组(系统),其中它根据驾驶条件在操作员中可视化操作开关位于汽车部件内部以确保视线安全到目标重要性功能的清洁窗口,并且 电机旋转(发电)通过电作用和连接到其上的仪器构成,此外,通过电力的操作以去除与玻璃表面(挡风玻璃)接触的状态的材料(雪或雨) ) 在车辆方面,它定性地组织在种类集合元素 Y 集合元素具有电气属性。并且固有组可以知道电力接合对于循环和运行各元件与暂停和运行状态如该OFF或暂停(停止)电量(电(DP n="26" type=" SOFT"/)电流)流动。 如果可以知道运行状态和逻辑相位 ON “0” OFF 可以记录在 “1” 并且可以知道反向(相反)是可能的 安排是在事物中完成的基础和智能汽车 行车安全电路由转动智能汽车行车安全电路组成 1、在车内操作的继电器可以称为4pin型继电器 电路图可以从整体概念上看懂 与一般继电器或与发动机系统配置多级、车速表(转速表系统)、侧线(空调系统)出现、智能汽车驾驶安全电路及动作中的动作(动作) Re4各S1端子通过输入端子A、B、C、D连接到Re1至下部的设备系统,使发动机系统、转速表、热 ting 和 window 内部继电器由每个 Re1,Re2,Re3,Re4,Re5 组成 它说明电压 (voltage) 和电流 (electric current) 一共假设它是相同的 并联线 (空调系统) 连接到 设备系统(windshield wiper system) 它使车窗清洁的方法如下。 而继电器可能是四个端子各一个B,而S1、S2、L端子是完全一样的。 并且 b 端子连接到 Re1 到电源(电池),启动器以此启动,并且使用目的是和操作员实际上在汽车部件内部的车辆上。 如果启动(engine starting)启动,驱动发动机(发动机系统)组固有的能量场构成循环电,电子信号输入到输入端a,在Re1通过 S1端子与输入(input)之间的电流流过S1,S2之间的电流称为Re1 B端子根据两相和操作这是继电器内部固有的L端子S2端子通过S2连接 终端到地球它成为输出因此电磁铁(电磁铁)的刺激吸引电枢并将其推到接触点(接触点)上并且它上升并且电流流过B端子其中 接点 B. L 电路连接到电源,根据 S1、S2 闭合(关闭)的原理,在信号输入到 L 端子的状态下进行操作 连接到B端子到Re2但L端子从1中的电源获得多级与Re。 是 Re2。操作员启动后是在大气中的运动 这可以称为智能汽车驾驶安全电路仅处理有关启动(发动机启动)的信息(启动信息)的状态,并在B端识别(recognize) 接触状态可以指它想要的状态,信号通过输入端b输入到速度计中,输入自知在速度计(转速计系统)作为操作对应于车辆运动状态量变化时的动作 将S1端与Re2相连的预定量信号通过输入端b输入到智能汽车驾驶安全电路,输出到S2端信号流向大地表示车辆出现动能 在Re2中,电流在B端自行输出到L端,L端连接到B端到t he Re2 to Re3 其中两种信息处理的状态包括车辆在启动(engine starting),车速(velocity)等处理的信息是state is the starting(engine starting)在车辆中 B端的Re3在处理等待信号,根据信息,尚未输入到Re3的附加状态,根据加热装置组的开关操作,内部能量循环开始后 汽车部件根据自然系统蒸发器状态向后根据汽车行驶在操作员中与位移有关的温度变化(温度变化)在车辆中操作员将信号流向地球信号进一步在内部流动 ,S1和S2中的Re2与操作相同,电流在B端的Re3输出到L端,电流在Re4到B端输出,经处理 速度(velocity)的状态下的信息,以及根据自然系统蒸发器状态向后输入的信息(data)被处理,是Re4中B端子的待机状态。 并在该信息处理状态下,操作者根据汽车行驶路况意欲前向视线安全看到 输入端d为Re4 S1端 信息信号通过输入端d输入 设备系统由循环组成 车窗清窗是设备系统固有的开关操作 车窗清窗可参考继电器Re4中的L端 B端Re5中S1端Re5和L端SW1中区间 a'b'中每一个a'b'的另一端是尾灯点亮开关(tail lamp switch)与S1端相连,输出到S2接地,工艺步骤就这样完成了 它吸收所有信息(数据)与其连接,它在输入时输出到 S2 的信息,并在 Re4 B 终端信息流到地球时排队,输出到 L 终端 L term Re5中的inal,因此,预期的功能是信号流入Re5 in 2 with S1 S 尾灯是点亮(on lighting),因为B端是导通的,可以参考智能中的操作方法 它所执行的汽车行驶安全电路的内容和说明设计如图1所示。 1 AND形式的信息处理以逻辑和动作为基础的模式。 而如果反向相同则旋转2实际上与汽车制造技术水平的车辆驾驶安全电路盒的操作和动作相吻合并且有效性(效率)反映到产品制造和功耗半导体中的键合 器件(三极管)和电阻、继电器应按电路设计。 并且,输入信息构造型的情况下,内容阶段信息处理和逻辑流程在2中以AND运算为目的的形式。 1 和差异不在于那些,它提供输出功能的动作根据信息处理和那个旋转在相同的意义。如果可以反转,则旋转电路分为2个信息处理阶段s1输入单元、s2处理单元和s3输出单元。输入单元对应的S1接电阻单元R1, R2、R3、R4接元件配置相输入端A、B、C、D各上端。 与设备系统(windshield wiper system)和描述A相连接到每个角它与输入端子下部与启动组(starting system)、速度表(tachometer system)、加热组(空调系统) ), window 包括称为旁线(空调系统)的晶体管,其中的启动组(starting system),B speedmeter(转速表系统),C 和 S2 内置在设备系统(挡风玻璃刮水器)中 与连接,D 使清洁窗口和它解释但它是允许的,虽然连接关系并不重要,除了重要的是处理单元是 T1,T2,T3 和 T4 四个半导体设备。 对于所包含的半导体器件所针对的功能子句类型,对于选用不同形式的物炉是NPN型三极管,本电路中三极管基本为双极串联,可以换表示 B 连接到 T1 到 R1 的下部,每个角的端子表示为发射极、基极和集电极,发射极、基极和集电极分别表示为 E、B 和 C 象征。 E包括T2中的B是下部的R2它连接到GND(大地)和继电器其中元件配置连接到R5,R6,R7,R8和输出端F而E连接到 接地转移,同时 E B 连接到 GND(大地)到 T4 到下部到 R4 而 E 连接到 GND(大地)同时连接 B 连接到 T3 到下部到 R3 输出单元属于 S3。 而R5、R6、R7、R5、R6、R7、R8在继电器和电阻单元L端分别连接到各个尾灯点亮开关(tail lamp switch)中的R5、R6、R7、R8多级它包括到那些各个R5是 连接到下部关于连接到 T1 到集电极端子 R6 连接到下部到 T2 到集电极端子 下部连接到 T3 到集电极端子 R7 在下部绘制和 R8下部接T4接集电极正向电压,关于D1关于T1或T1与T2、T3的内部结构关系有助于理解,因为D2是 反向电压 虚线方向的电流不流动 这个解释是因为NPN型三极管内部结构上安装了两个二极管 但电压悬垂 s 电流在集电极端到发射极到T1的流动状态 基础而 R8 i s连接到输出端F的上部电压与R9的电压挂起电路分析关于电路中反向操作的原因是电路中电路以R4为基础的输出单元。 它是与操作员打算在车辆中使用此状态的 T4 相同的状态。 如果信息(数据)是通过基极端子输入的,那么在 T1 中就是启动(发动机启动)电压降由基极和发射极之间的 T1 组成。 电流(electric current)在基极和发射极之间流动可能是基极,而发射极内部的二极管是正向利器,因为。并且电流(电流)由于在二极管D2中流动而流动并且电流超过集电极和发射极之间无法流动的电流,在基极和发射极之间通过测量此时的流量,至于 这个,电流实际上可以在集电极和发射极之间确认 因此,T1 具有速度(速度),并且输出继电器中的操作根据旁路(空调系统)中的处理出现并且 尾灯点亮(on lighting)开关是工作值在ON压降输入到各个T2,T3,T4 信息通过各个输入端子B输入到设备系统(挡风玻璃刮水器系统), C、D it make clean window the operation is not included in the relay which aimed the information element of the current is not the current input between base, and emitter to flow between collector, and the emitter on 基极和发射极之间的电流流动 整个电路对力的处理是在信息(数据)中进行的处理是启动(引擎启动)它利用流动晶体管的特殊作用区。 而本发明的智能汽车驾驶安全电路中的眼睛,在操作者日常被动尾灯点亮开关操作之前变成了电路,因此该电路执行了预期的功能,可以对以下方面产生超前预防效果(prevention effective) 碰撞事故包括在向后方向车辆中滑倒(滑过雪地)的道路眼睛雨天道路等当假设 1 秒的指令行为周转时间打算采取行动并且是向后方向热灯照明挂起时 开关操作挂起是因为平移距离实际上可以在车辆标准为 100 Km/h 的道路上驾驶操作员知道在车辆以指示操作时间每秒 1 具有在 27.7m 移动之间首先 27.7m 快速提供功能 自车到人车距离对应的车距 安全作为通过眼睛(眼睛)在操作员中避免碰撞的动作 自动驾驶,其中操作员返回 雨天道路 上部继续驾驶 车辆在上部在其内部环境中激活 机器(刮水器机构)在开关 ON 操作后,可以在自己的后方发生交通事故,为了安全它使干净的窗户前视野安全是为了它的视觉效果。 此外,在这种情况下,由于必须对初学者(初学者)和老年人使用,并且根据关于使用的解释,在热光中积极补充防御驾驶的操作能力。 可以在西部发生的危机,以及车辆先前在危险情况下活动的后方或最佳防御被强制渗透,并提供通过事故预防为人类生命保护做出贡献的效果(有效) 位置道路平稳车辆。 填本应用和词义的参考书,电子信息通信工程大辞典:出版腿,听觉坑糯米理化大辞典:大光书店,2004年大典 laws: the code of laws publisher, and the microelectronic circuit design: the electric generation study corp., and the life science prior: the Academy Book, and the electronics thesaurus: the teaching corp., and the Human Physiology: 出版孝 任务,生物学:幽门美,英韩医学大辞典:水门社。 .</t>
  </si>
  <si>
    <t>智能汽车行车安全电路</t>
  </si>
  <si>
    <t>JP2006099539A</t>
  </si>
  <si>
    <t>本发明提供一种通过使寻找可以发挥人才的工作场所的人才的要求与寻找有前途的人才的娱乐制作公司等的要求相匹配来增加利润的系统。 
  [解决方案] 一家网站管理公司在 Internet 上的服务器上存储了一个按类型分类的名人列表,其中包括在体育、娱乐等领域寻找工作的名人。建立一个推荐网站。 此外,通过人才招聘和申请受理,获取上述视频和音乐内容的人才列表数据和数字数据,并管理和运营上述人才介绍网站。 人才介绍网站是将艺人的影像、音乐内容通过因特网向互联网用户发行,并向互联网用户收取发行该影像、音乐内容的预定金额的影像、音乐发行手段。 . 它配备了计费手段 
  【选型图】图1</t>
  </si>
  <si>
    <t>人才推荐系统</t>
  </si>
  <si>
    <t>US20060178209A1</t>
  </si>
  <si>
    <t>在示例性实施例中,一种用于parimutuel游戏的系统包括手提袋系统、网关、以及至少一个语音识别单元和视频或视觉图形服务器。 每个语音识别单元可通信地连接到能够显示伴随的视频或可视图形图像的公共电话网络,并且通过投注者的语音可通信地连接到托特投注者,将投注者的语音转换为命令,将命令发送到 tote系统通过网关接收tote系统对所述命令的响应,将响应转换为音频消息,并将音频消息与视频或视觉图形图像一起发送给投注者。 该系统还包括可通信地连接手提箱系统、网关和视频/可视图形服务器的第一高速网络; 第二高速网络将网关和每个语音识别单元与视频/视觉图形服务器通信连接。 该系统还可以配置用于任何类型的体育赛事的体育博彩投注,包括但不限于对拳击比赛、棒球、足球、篮球和足球比赛的投注,同时在投注者的手持游戏设备或蜂窝网络上显示体育赛事的视觉显示 能够显示所投注游戏的视频或视觉图形图像的电话。 该系统还可以配置用于基于蜂窝电话的电子娱乐场类型游戏,包括但不限于视频老虎机、视频扑克、视频二十一点、视频轮盘赌、视频基诺或其他类型的电子游戏, 显示在投注者的手持游戏设备或能够显示正在玩的游戏的视频或可视图形图像的手机上。</t>
  </si>
  <si>
    <t>使用语音识别的电子游戏</t>
  </si>
  <si>
    <t>CN1816375B</t>
  </si>
  <si>
    <t>基于赛车的计算机游戏通常包括这样一种模式，其中一个或多个人类玩家可与一个或多个计算机控制的对手竞赛。例如，人类玩家可驾驶虚拟赛车与假想为由Mario Andretti或某一其它赛车手驾驶的计算机控制的虚拟赛车进行比赛。这样的计算机控制的对手可以通过将人类主体的实际游戏行为的采样包括到对手的人工智能控制系统中来增强。这一采样可允许游戏系统个性化计算机控制的对手的行为来仿真人类主体。</t>
  </si>
  <si>
    <t>虚拟现实环境中计算机控制的虚拟形象的个性化行为</t>
  </si>
  <si>
    <t>KR1020050080534A</t>
  </si>
  <si>
    <t>本发明的目的是在最佳利用二维显示设备的情况下,提供实现三维效果的智能布置和学习方法。 虽然设计了向二维显示设备提供的屏幕提供 3 维效果的显示设备,但它使用相同的方式并可以实现 3D 立体效果。 控制这种效果的 3D 立体效果的过程是操作员需要的。 立体效果不平衡的不便是在使用该设备观看比赛或实时3D立体的情况下造成的。 而不是专家的一般人在使用上受到很大的限制。 本发明涉及根据用户品味的3D效果程度的最佳条件3维效果,其设计是为了消除这种限制和环境条件。 并且在将其控制的二维图像转换为3D的过程中,将智能技术引入到选择摄像机位置的方法中以最佳条件控制立体效果并提供。 并且同时,由于对立体图像的感觉效果程度不同,提供了用户可以使用的技术,而且,非专业人士的一般人也可以轻松接收立体图像。 在最佳条件下获得所需图像的效果。 三维图像,立体效果,焦距,模糊逻辑,神经回路网络。</t>
  </si>
  <si>
    <t>摄像头位置智能定位技术优化3D立体效果</t>
  </si>
  <si>
    <t>JP2005204975A</t>
  </si>
  <si>
    <t>[问题] 通过提供用于注册玩家发出的想象旋转或停止的任意语音命令的环境来改进在注册游戏之前所需的语音命令时的可操作性。 
  解决方案:通过在游戏机中安装语音识别设备(语音识别引擎115),开始和停止旋转卷轴旋转的操作指令由语音而不是手给出,并控制旋转卷轴的旋转.我愿意。 此外,还提供了一个环境,用于记录玩家在比赛前发出的任意语音命令,想象旋转和停止。 进一步地,上述语音登记功能与语音识别装置一起安装在独立于主控制板安装的子控制板上。 
  【选型图】图7</t>
  </si>
  <si>
    <t>游戏机</t>
  </si>
  <si>
    <t>JP4336776B2</t>
  </si>
  <si>
    <t>Kind Code: A1 在导师不在场的情况下,可以进行类似导师指导的训练。 
  本实施方式的技能训练装置是进行左右移动手柄21以使虚拟倒立摆不落下的训练的装置。 然后,打开开关14,切断教练神经网络模块(以下简称Nc模块)11的输出,以及教练T操作手柄22时学员P的操作。检测力fl的力传感器23、检测指导员T的第二修正力ft的力传感器24、检测虚拟倒立摆下端位置的解析器27、学习模块15、更新Nc模块11,使得Nc模块11计算出的修正力信号fcs接近第二修正力ft,并通过滑块27将Nc模块11计算出的修正力信号fcs施加给受训者P。第一修正力 fc 施加于其上。 
  【选型图】图2</t>
  </si>
  <si>
    <t>技能训练装置</t>
  </si>
  <si>
    <t>KR1020050047024A</t>
  </si>
  <si>
    <t>本发明涉及一种使用图像识别和舞蹈游戏方法的街机舞蹈游戏装置。 CCD相机:照明设备:位图提取程序:通过位图提取程序将图像信号转换为位图数据,通过回调函数将CCD相机识别的图像信号转换为位图数据 播放器 它发出灯 CCD 相机识别播放器的操作 清楚地识别播放器的操作和像素的颜色数据和图像输出单元: 声音输出部分: 电脑游戏板: 游戏软件: 产生音乐 识别的图像是 比较分析通过CCD摄像头对每一帧它所表现出来的合成游戏进程图像进行比较。 并且包含判断玩家有无动作的身体识别算法 游戏进程步骤:最终比分指示步骤,配合游戏进程步骤中音乐的节拍和速度,区分游戏的图像效果和声学效果 directed phase moving stage: 运动检测步骤: 运动检测步骤,根据运动检测的有无,判断定向相位到达目标时,是否在目标区域感应到玩家的操作; 操作反应步骤的第四步: 视频合成输出阶段 给出游戏点数并显示 屏幕中的移动 5 方向以上使用玩家的双臂朝向预定目标的定向阶段移动 其中哀号结束 最终比分 比赛进行第三步 比赛曲调确定步骤:视频合成输出阶段 确定外力 ng玩游戏作为游戏开始阶段的第二步:游戏难度确定步骤:视频合成输出阶段确定游戏难度作为视频合成输出阶段第一步:视频合成输出阶段 它开始输出到屏幕 它合成玩家的图像和游戏屏幕 用 CCD 相机拍照 游戏开始 它投入硬币。 本发明将玩家获得高分作为视频合成输出阶段的第五步,其优点是通过CCD摄像头将玩家的真实形象显示在游戏上。 通过位图分析算法清楚地识别玩家的操作并进行游戏。 在舞蹈游戏中,一边看到游戏进行的图像与自己的真实图像合成,一边体验现实和游戏上的虚拟空间被嫁接的虚拟现实。 并且游戏的模式是本能的,因为通过其自己的实际人物的操作来控制游戏,其中用户不使用单独的游戏控制机并且在屏幕上表现出来,并且由于部队输入装置,结构简单 无需外置 CCD 摄像机,安装即可。 此外,本发明的优点在于,由于使用了CCD相机,使得图像的处理速度更快。 并且通过本发明中呈现的图像位图分析线,可以快速且有效地感知用户的运动模式。 CCD摄像头、舞蹈游戏、体感游戏、虚拟现实游戏、人体识别、视频合成。</t>
  </si>
  <si>
    <t>使用图像识别的街机舞蹈游戏装置及舞蹈游戏方法</t>
  </si>
  <si>
    <t>US20040152058A1</t>
  </si>
  <si>
    <t>用于教授运动技能的视频教学系统和方法</t>
  </si>
  <si>
    <t>CN2649274Y</t>
  </si>
  <si>
    <t>一种桌上曲棍球机器人系统，包括：视觉系统，用于观察桌上曲棍球的位置；计算机控制系统，用于处理视觉系统采集的图像，预测球体运动轨迹，控制机械手的运动；机械手，用于完成击球动作。本实用新型一方面可以推进这项娱乐体育运动的发展，另一方面可以为各研究机构提供开发图像处理、人机交互、学习、智能控制等算法的试验平台。该成果可以作为体育运动与高科技结合的展示平台。</t>
  </si>
  <si>
    <t>桌上曲棍球机器人系统</t>
  </si>
  <si>
    <t>CN100389845C</t>
  </si>
  <si>
    <t>一种桌上曲棍球机器人系统，包括：视觉系统，用于观察桌上曲棍球的位置；计算机控制系统，用于处理视觉系统采集的图像，预测球体运动轨迹，控制机械手的运动；机械手，用于完成击球动作。本发明一方面可以推进这项娱乐体育运动的发展，另一方面可以为各研究机构提供开发图像处理、人机交互、学习、智能控制等算法的试验平台。该成果可以作为体育运动与高科技结合的展示平台。</t>
  </si>
  <si>
    <t>JP2005114521A</t>
  </si>
  <si>
    <t>本发明的目的在于,能够简单且直接地将呼叫方给出的地名或设施名设置为目的地。 
  解决方案:当从呼叫方发送的语音被接收为接收语音时,车载语音识别系统 1 识别接收的语音,并识别地名或设施名称(“○○棒球场”)设置为目的地。 可以在不进行数据通信的情况下将对方给出的地点名称或设施名称简单地直接设置为目的地,从而提高便利性。 
  【选型图】图1</t>
  </si>
  <si>
    <t>车载语音识别系统</t>
  </si>
  <si>
    <t>KR100524015B1</t>
  </si>
  <si>
    <t>本发明涉及一种使用扫描数据的便携式查询器,不受地点限制,便于携带和往返,准确区分野外通缉犯、逃犯、逃兵等。 在较短的时间内通过被逮捕人物的身份证查询被逮捕及其方法。 并且该装置根据MICOM的控制信号将字符/数字/图像识别部分中识别的结果传输到中央终端,该MICOM控制内部和图像输入部分的整体操作,该部分进入到操作模式 根据用户的操作,输入包括被逮捕人物的居住证、驾驶证、社会保障卡或其他社会地位卡等图像,并进行字符/数字/图像识别部分:分析输入 带有图像输入部分的图像并清楚地识别字符/数字/图像等,并提供与 MICOM 和 MICOM 相关的识别结果,并请求被逮捕字符的识别查询提供从接收到的识别查询结果的收发器 与 MICOM、显示单元、控制信号输入有关的中央终端 ut部分用于在罚款处分中输入被逮捕人物的签名等是否由用户输入各种控制信号或使装置进入操作模式,以及打印部分打印包括罚款在内的各种结果 包括根据 MICOM 控制信号的拼版账单等。 显示单元根据MICOM的控制信号显示设备的运行状态和识别查询结果等。</t>
  </si>
  <si>
    <t>使用扫描数据的便携式背景检查设备和方法</t>
  </si>
  <si>
    <t>JP3705794B2</t>
  </si>
  <si>
    <t>Kind Code:A1 在模拟篮球的游戏等多个角色同时发声的游戏中,可以实现多个角色同时发声,而不用同时发声无法听到的多个角色的发声。提供一种用于根据游戏输出声音的游戏装置、使用该游戏装置的声音输出方法、计算机程序和记录介质。 
  将多个用于记录识别角色要发出的语音的语音识别信息的语音提示列为队列,例如,确保10个篮球运动员中的每一个对应的10个提示(S101),当每个角色有发言的机会时,根据预先设置在语音识别信息中的属性,判断是否需要记录到语音提示中(S108),在进行优先级处理(S110)后,将其记录到语音提示中(S113)并输出。 
  【选型图】图5</t>
  </si>
  <si>
    <t>游戏装置、使用游戏装置的声音输出方法及计算机程序</t>
  </si>
  <si>
    <t>US7260560B2</t>
  </si>
  <si>
    <t>在虚拟现实环境中,计算机控制的虚拟车辆的行为可以通过增加人工智能驾驶员对环境刺激(例如物理刺激(例如,检测轮胎牵引力的丧失、音频警告信号)的反应时间)变得更像人类 、烟雾、虚拟疲劳、天气变化等)或“视觉”刺激(例如,计算机驾驶员对路径中的转弯或障碍物、环境照明差异等的虚拟视觉检测)。 反应时间可以通过在人工智能运动控制系统接收刺激时引入延迟、通过在物理引擎接收控制信号时引入延迟、或通过修改控制信号以降低其近似规定比赛的准确性来增加 线。</t>
  </si>
  <si>
    <t>为虚拟现实环境修改运动控制</t>
  </si>
  <si>
    <t>US7358973B2</t>
  </si>
  <si>
    <t>WO2003099402A1</t>
  </si>
  <si>
    <t>模拟模块(10)基于例如车辆的当前相对位置、车辆和驾驶员属性以及车辆的当前游戏统计来模拟在警示期间可能发生的事件,并且编译在恢复比赛中使用的新统计和属性 . 还提供了完整的比赛模拟选项和部分比赛模拟选项。 例如,在赛季模式中,模拟模块模拟可能在比赛期间发生的事件并编译可以稍后使用的统计数据,例如,在以后的比赛中,用于赛季排名等。可以模拟完整的比赛,或者 可以模拟部分比赛,例如,如果用户希望在比赛结束之前终止比赛,则使用编译的统计数据和编译的一组新统计数据来跟踪模拟的比赛事件。 现实世界的统计数据被导入并在某些方面使用。 例如,现实世界的排名、性能统计和属性信息存储在数据库中,并作为人工智能控制车辆性能和人工智能生成模拟结果的基础。</t>
  </si>
  <si>
    <t>用于模拟响应中断条件的游戏状态变化的系统和方法</t>
  </si>
  <si>
    <t>AU2003241371A1</t>
  </si>
  <si>
    <t>用于响应中断条件模拟游戏状态变化的系统和方法</t>
  </si>
  <si>
    <t>US20040030226A1</t>
  </si>
  <si>
    <t>US7515735B2</t>
  </si>
  <si>
    <t>一种图像识别设备,用于根据包含运动员在由诸如网之类的障碍物划定的区域进行比赛的运动的内容来识别运动员的运动,包括用于获取表示运动员运动的视频信息的视频信息获取部分 从内容看比赛中的选手,隐藏状态判断单元,用于判断诸如球之类的在区域之间移动并且作为得分对象的使用工具是否处于被预定对象隐藏状态的隐藏状态判断单元,命中时间信息确定部分 用于根据隐藏状态判断部分判断使用工具隐藏的隐藏开始时间和隐藏停止判断的隐藏停止时间来确定使用工具命中的时间, 规则信息存储部分,其中存储关于运动的规则信息,以及图像内容识别部分,用于识别包括运动员动作的图像内容代表 根据视频信息获取部分获取的视频信息,由视频信息输入的使用工具在命中时间信息确定部分确定的命中时间的位置,以及存储在规则信息存储部分中的规则信息 .</t>
  </si>
  <si>
    <t>图像识别系统和图像识别程序</t>
  </si>
  <si>
    <t>AU2003227491A1</t>
  </si>
  <si>
    <t>一种图像识别装置,用于根据包含运动员在以网等障碍物划定的区域内进行的运动的内容来识别运动员的动作,包括用于获取表示运动员的动作的视频信息的视频信息获取部。 隐藏状态判断单元,用于判断在区域之间移动并且作为得分对象的球等使用工具是否处于预定对象的隐藏状态,击球时间信息确定部分 用于根据隐藏状态判断部分判断为隐藏使用工具的隐藏开始时间和判断为停止隐藏的隐藏停止时间确定使用工具命中的时间, 规则信息存储部分,其中存储有关运动的规则信息,以及图像内容识别部分,用于识别包括运动员代表的动作的图像内容 基于由视频信息获取部分获取的视频信息、由命中时间信息确定部分确定的命中时间的使用工具的位置以及存储在规则信息存储部分中的规则信息,由视频信息发送 .</t>
  </si>
  <si>
    <t>JP4482690B2</t>
  </si>
  <si>
    <t>一种图像识别装置,用于从记录由网等障碍物划分的区域之间的体育比赛的内容中识别运动员的动作,并从该内容中获取表示运动员在比赛期间的动作的视频信息。视频信息获取单元;隐藏状态确定确定在区域之间移动并计分的球等使用的工具是否处于被预定目标物体隐藏的状态的单元; 确定设备的击球时间的击球时间信息确定单元基于状态判断单元判断为隐藏使用中的设备的隐藏开始时间和判断为未隐藏的隐藏解除时间的隐藏开始时间;以及存储在规则信息存储单元中的规则,由视频信息获取单元获取的视频信息、由击球时间信息指定单元指定的击球时的工具位置、以及用于识别包括动作的图像内容的规则信息存储单元和图像内容识别单元基于该信息的视频信息所指示的播放器。</t>
  </si>
  <si>
    <t>EP1617374A4</t>
  </si>
  <si>
    <t>一种图像识别系统,其根据记录在由诸如网等障碍物划分的区域之间进行的运动的内容来识别运动员的动作,该图像识别系统包括视觉信息获取部分,该视觉信息获取部分从图像中获取显示在比赛期间的运动员的动作的视觉信息。 内容,确定在区域之间移动并且作为计分对象的诸如球等使用材料是否处于被预定对象主体隐藏的状态的遮挡状态确定部分,指定击球时间信息 基于当遮挡状态确定部分确定使用的材料被对象隐藏时的遮挡开始时间和当遮挡状态确定部分确定使用的材料时的遮挡释放时间来指定击中使用的材料时的影响时间的部分 从遮挡状态释放,规则信息存储部分,存储相关spor的规则信息 t,以及图像内容识别部分,该图像内容识别部分基于由视觉信息获取部分获得的视觉信息,识别包括由视觉信息显示的玩家的动作的图像内容,在由 影响时间信息指定部分和存储在规则信息存储部分中的规则信息。</t>
  </si>
  <si>
    <t>WO2004093015A1</t>
  </si>
  <si>
    <t>一种图像识别装置,其特征在于,根据包含选手在以网等障碍物为界的区域进行比赛的运动的内容,识别选手的动作,其特征在于,具备取得表示选手的动作的影像信息的影像信息取得部。 从内容看比赛中的选手,隐藏状态判断单元,用于判断诸如在区域之间移动并且作为得分对象的使用工具是否处于预定对象隐藏状态的隐藏状态判断单元,击中时间信息确定部分 用于根据隐藏状态判断部分判断使用工具隐藏的隐藏开始时间和隐藏停止判断的隐藏停止时间来确定使用工具命中的时间, 规则信息存储部分,其中存储关于运动的规则信息,以及图像内容识别部分,用于识别包括运动员代表的动作的图像内容 由视频信息根据视频信息获取部分获取的视频信息、命中时间信息确定部分确定的使用工具在命中时间的位置以及规则信息存储部分中存储的规则信息发送 .</t>
  </si>
  <si>
    <t>ES2245546B1</t>
  </si>
  <si>
    <t>淋浴房、迷你游泳池、水疗或漩涡浴缸包括用于语音识别的软件模块、根据识别的语音发送控制信号的控制模块以及用于连接控制模块和淋浴间控件的集成硬件 、迷你游泳池、水疗中心或漩涡浴缸。</t>
  </si>
  <si>
    <t>声控淋浴房、迷你游泳池、水疗或漩涡浴缸具有语音识别软件模块、根据识别语音发送控制信号的控制模块和集成硬件</t>
  </si>
  <si>
    <t>KR1020040070381A</t>
  </si>
  <si>
    <t>本发明涉及跑步机的驱动控制装置。 更具体地,涉及使用语音识别系统的跑步机驱动控制装置,其中可以进行跑步机的驱动、暂停、倾斜角的调制和速率控制等,并且可以进行跑步机的快速制动 在瞬时发生的安全事故中用语音指令,通过简单的语音指令就可以预防安全事故。 一种通过键程控制跑带的坡度和过渡速度的跑步机,其中采用本发明的语音识别系统的跑步机驱动控制装置设置在一侧的跑带控制单元中。 跑带控制单元 (30)。 跑步机操作/功能控制的音频信号是将跑步机的操作控制和各种功能控制转换为麦克风(40),通过输入用户请求的语音产生跑步机操作/功能控制的音频信号, A/D转换部分(60),将模拟信号转换为放大器(50)的音频信号,将从麦克风(40)输入的用于跑步机操作/功能控制的音频信号放大到预定大小,并且 从放大器(50)放大到输入的固定电平到数字信号的跑步机操作/功能控制和从A/D转换部分(60)输入的数字信号被分成像短单元的信号(帧) 音节。 声音区间提取单元(70)的音频信号帧的特征,在划分的每个帧中仅检测出真实音频发生的帧和检测到的从提取单元输入的跑步机操作/功能控制( 70)可参考配置包括倾角驱动的控制方法(120)和控制单元(140)控制具有标准模式信号存储(90)和特征匹配的相应标准模式信号的功能 并且与测试模式信号最相似。 特征检测部分(80),将其提取的测试模式信号和从特征检测部分(80)输入的测试模式信号与模式匹配部分(100)对应的跑步机操作/功能控制信号进行处理, 从相同的模式匹配块(100)中提取和输入相应的标准模式信号。 跑步机,语音识别,控制执行,模式,匹配,检测,DTW。</t>
  </si>
  <si>
    <t>采用语音识别系统的跑步机驱动控制装置</t>
  </si>
  <si>
    <t>JP2004233541A</t>
  </si>
  <si>
    <t>Kind Code: A1 没有使用内容中的音频信息来构建内容的方法,特别是更准确有效地自动检测体育转播的精彩场面。 
  一种语音识别装置,用于通过参考预先创建的声学模型和语言模型执行输入语音的语音识别来提取单词,以及提取的单词中与表征重要场景的关键字相匹配的关键字。以及重要场景检测装置用于检测在匹配关键字的词中存在音频功率超过预定阈值的词的场景作为亮点场景。 
  【选型图】图1</t>
  </si>
  <si>
    <t>高光场景检测系统</t>
  </si>
  <si>
    <t>KR1020040045549A</t>
  </si>
  <si>
    <t>本发明提出了一种定制事件推荐系统和方法。 更具体地,根据本发明的系统包括: (a)用户终端输入/输出模块,形成用于与用户终端相互通信的网络接口; (b)个人数据和日程管理模块,用于构建通过用户终端输入/输出模块从用户终端输入的个人信息和日程信息的数据库; (c)使用内置于数据库中的日程信息,从已构建的事件数据库中计算出与用户日程不冲突的事件信息列表后,对每个事件使用数据库中内置的用户个人信息, 根据个人信息计算出适合度的事件推荐,通过根据个人信息项获取每个适应度值,并将预先确定的预定权重比率反映到每个适应度值,然后依次计算出预定数量的定制事件信息列表健身模块; (d)事件信息发送模块,用于将定制的事件信息列表通过通信网络发送给用户终端。</t>
  </si>
  <si>
    <t>定制事件推荐系统及其方法</t>
  </si>
  <si>
    <t>KR1020040041743A</t>
  </si>
  <si>
    <t>可以提供一种能够存储获取的信息并使用存储的信息以各种方式控制其驱动的机器人。 机器人可以以机器人的形式提供,其通过一定的检测手段识别外部物体,特别是另一个机器人并与之通信,计算相应获得的信息,并将其反映在后续的驾驶中。 另外,通过对获取的信息进行不断的计算和积累,并将结果反映到机器人的驱动中,可以提高机器人的人工智能,从而可以提高机器人的驱动控制。 为了提供具有上述特征的机器人,根据本发明的机器人包括用于检测来自外部的物理信息的检测装置、包括发送装置和/或接收装置的通信装置、由检测装置检测的信息、用于存储一个或多个接收到的信息的传输或存储装置、用于基于存储在存储装置中的信息控制机器人的驱动和操作的控制装置、以及由控制装置控制的驱动装置,其中控制装置可以包括计算存储信息并将其反映到机器人后续驱动的程序。 机器人的这种配置特别适用于两个或多个机器人相互竞争的格斗型机器人。 通过实现这样的机器人装置,可以提供一种比赛用机器人,其中比赛的结果容易被识别而不会损坏机器人,机器人的操作可以以多种方式控制,并且机器人获得的信息是真实的。计算后计算结果,也可以通过反思驾驶,不断计算积累信息,提高机器人的人工智能。 此外,本发明可以提供一种通过将机器人装置用作竞赛型机器人来实现竞赛和/或训练模式的控制方法。</t>
  </si>
  <si>
    <t>格斗机器人装置及其控制方法</t>
  </si>
  <si>
    <t>JP3986009B2</t>
  </si>
  <si>
    <t>Kind Code:A1 一种能够实时为体育广播等带有观众声音背景噪声的节目的音频添加字幕的字幕生成方法,以及用于实现该方法的字符数据校正装置、其方法和喜欢。提供程序。 
  当通过语音识别将节目内容的语音转换为文本数据而获得的字符串与语音不匹配时,字符数据校正设备50使操作员通过错误指示装置52a来指示该字符串。因此,由校正单位设定单元55b设定的校正单位成为字符串的校正对象,由文本数据校正单元52b输入正确的字符串,作为字幕输出。 
  【选型图】图2</t>
  </si>
  <si>
    <t>字符数据校正装置、其方法、其程序和字幕生成方法</t>
  </si>
  <si>
    <t>KR1020040035515A</t>
  </si>
  <si>
    <t>本发明涉及一种具有免提功能的移动通信终端及其控制方法,具体地,通过为移动通信终端提供语音识别功能和免提功能,用户可以进行和接收驾驶时无需用手打电话。其目的是实现通信。 为此,本发明提供了用于输入电话号码、设置免提功能以及输入与呼叫相关的键的键输入单元110,用于在手持设备中输出呼叫方语音的免提电话160。自由模式,以及电话通话的整体操作。在控制中,确认用户对麦克风140的语音输入,在呼出或呼入之前通过语音引导对方的姓名或电话号码,以及呼叫继续与用户的与呼叫许可相关的语音输入。微型计算机120被提供以通过与呼叫终止相关的语音输入来终止呼叫,并且在语音输入的情况下执行与对方的呼叫拒绝响应相关的操作与接听电话时的来电拒接有关。</t>
  </si>
  <si>
    <t>具有免提功能的移动通信终端及其控制方法</t>
  </si>
  <si>
    <t>KR100457319B1</t>
  </si>
  <si>
    <t>本发明涉及一种人工智能温控纤维,其特征在于纤维截面上分散有含有相变材料的微胶囊(1),纤维表面形成有微孔(2)。 本发明的保温性和舒适性优异,可用于运动服、床上用品等体育用品。 
  索引词 
  人工智能,相变,微胶囊,潜热,微孔</t>
  </si>
  <si>
    <t>温控人工智能纤维</t>
  </si>
  <si>
    <t>KR100478109B1</t>
  </si>
  <si>
    <t>本发明涉及一种人工智能跑步机,其在健身器材中的跑步机上锻炼时,为用户提供显示器上的视频画面,特别是允许跑步机结合显示器画面中的环境进行驱动。 这种人工智能跑步机包括控制模块,其根据用户的输入将图像数据从计算机输出到显示器,并将与图像数据相关联的驱动信息输出到驱动机构; 具有多个触摸开关的显示器能够输入用户命令并显示来自控制模块的图像数据; 计算机,用于存储图像数据和声音信息,并将图像数据和行车信息输出给控制模块; 它由一个驱动机构组成,该机构通过控制模块接收与输出到显示器的图像数据相关联的跑步机驱动信息,并根据驱动信息驱动跑带。</t>
  </si>
  <si>
    <t>人工智能跑步机</t>
  </si>
  <si>
    <t>JPWO2004013812A1</t>
  </si>
  <si>
    <t>本 发明提供一种图像处理装置,用于从记录运动员在由网等障碍物划分的区域之间进行比赛的运动的内容中识别运动员的动作,并从该内容中获取表示至少一个运动员的动作的视频信息。 ;音频信息获取单元103,从内容中获取与视频信息同步的音频信息,例如当击打诸如在区域之间移动的球等工具时产生的击球声音;以及音频信息。存储单元102,用于存储运动的规则信息、视频信息、击球时工具的位置,以及图像内容识别单元106,用于识别图像内容,该图像内容包括由图1所示的运动员的动作。基于规则信息的视频信息。</t>
  </si>
  <si>
    <t>AU2002323734A1</t>
  </si>
  <si>
    <t>一种图像处理设备,用于从记录了在由诸如网之类的障碍物划分的区域之间进行的运动的内容中识别玩家的行为。 该装置包括:视频信息提取块,用于提取至少具有播放器之一的视频的视频信息;声学信息提取块(103),用于从内容中提取与视频信息同步的声学信息,例如当当 击打在区域之间移动的球等乐器, 击打时间信息识别块(105),用于根据声学信息识别击打乐器时的击打时间, 规则信息存储块(102),用于存储规则信息 图像内容识别模块(106),用于根据视频信息、击球时的器械位置和规则信息识别包括视频信息所指示的运动员行为的图像内容。</t>
  </si>
  <si>
    <t>WO2004013812A1</t>
  </si>
  <si>
    <t>一种图像处理装置,用于从记录了在由诸如网之类的障碍物划分的区域之间进行的运动的内容中识别运动员的行为。 该设备包括:视频信息提取块,用于提取至少具有其中一名选手的视频的视频信息;声学信息提取块(103),用于从内容中提取与视频信息同步的声学信息,例如当击球时产生的击球声。 击打区域间移动的球等乐器, 击打时间信息识别块(105),用于根据声学信息识别击打乐器时的击打时间, 规则信息存储块(102),用于存储规则信息 图像内容识别块(106),用于根据视频信息、击球时器械的位置和规则信息,识别包括视频信息指示的运动员行为的图像内容。</t>
  </si>
  <si>
    <t>EP1531421A4</t>
  </si>
  <si>
    <t>一种图像识别装置,用于从记录体育比赛或游戏的内容中识别运动员在体育比赛或游戏中的动作,其中运动员在以网等障碍物划分的域之间相互比赛,该图像识别装置包括:图片 信息获取部分被配置为从内容中获取包含至少一个玩家的运动图像的图片信息; 声音信息获取部103,用于从内容中获取与图像信息同步生成的声音信息,该声音信息包括关于在域间移动的球等乐器的击打时产生的击打声音的信息。 击球时间信息指定部分105,被配置为基于声音信息指定乐器被击球的击球时间; 规则信息存储部分102,被配置为存储用于进行运动比赛或游戏的规则信息; 图像实体识别部分106,被配置为基于图片信息、在指定击球时间的乐器的位置和规则信息识别包含图片信息提供的演奏者运动的图像的图像的实体。</t>
  </si>
  <si>
    <t>US7436983B2</t>
  </si>
  <si>
    <t>一种图像识别装置,用于从记录体育比赛或游戏的内容中识别运动员在体育比赛或游戏中的动作,其中运动员在以网等障碍物划分的域之间相互比赛,该图像识别装置包括:图片 信息获取部分被配置为从内容中获取包含至少一个玩家的运动图像的图片信息; 声音信息获取部分 103 配置为从内容中获取与图像信息同步生成的声音信息,该声音信息包括关于在区域之间移动的球等乐器击打时产生的击打声音的信息; 击球时间信息指定部分 105 用于根据声音信息指定敲击乐器的敲击时间; 规则信息存储部分 102 用于存储进行体育比赛或游戏的规则信息; 和图像物质识别部分 106 用于基于图片信息、指定击球时间的乐器位置和规则信息,识别包含图片信息提供的玩家运动图像的图像的实体。</t>
  </si>
  <si>
    <t>AU2002368117A1</t>
  </si>
  <si>
    <t>一种以合理成本具有高图像识别率的图像识别装置。 图像识别装置(1)从正在广播的节目或广播前的素材视频或记录在诸如网之类的障碍物的记录介质上的内容中识别在由诸如网的障碍物划分的区域中进行的运动中的运动员的行为。 作为录像机。 该装置包括:分数信息获取块(101),用于随着时间流逝获取表示玩家分数的分数信息;游戏事件信息获取块(107),用于从障碍物和玩家中获取表示玩家行为特征的游戏事件信息。 包含在内容中的和显示在屏幕上显示的分数信息的视频信息,以及图像内容识别块(108),用于比较播放事件信息生成时间之前的分数信息和紧接在该时间之后的分数信息 参考播放事件信息的结果,以识别播放事件信息所显示的图像内容。</t>
  </si>
  <si>
    <t>WO2004012150A1</t>
  </si>
  <si>
    <t>EP1536376A4</t>
  </si>
  <si>
    <t>本发明的目的在于提供一种图像识别率高且价格相对低廉的图像识别装置。 本发明提供的图像识别装置1用于从包括正在播放的显示体育比赛或比赛的电视节目的内容中识别在体育比赛或比赛中用网等障碍物划分的区域之间相互匹配的运动员的动作, 图像识别装置1包括用于播放的未完成状态的图像素材和记录在诸如VTR的记录介质中的内容,图像识别装置1包括:得分信息获取部分101,被配置为获取表示各个玩家的得分的得分信息,该得分信息随着比赛的进行而变化。 体育比赛或比赛收益; 比赛事件信息获取部分107,用于从内容中包含的图片信息、包含障碍物和玩家各自图像的图片信息、屏幕上显示的得分信息等中获取每个玩家的特征动作 图片; 以及图像实体识别部分108,被配置为在播放事件信息的生成时间点之前获得的得分信息项与在该时间点之后获得的得分信息项之间进行比较,并参考带来的结果 通过播放事件信息,从而识别由播放事件信息提供的图像的实质。</t>
  </si>
  <si>
    <t>US7590286B2</t>
  </si>
  <si>
    <t>提供高图像识别率的相对便宜的图像识别装置。 图像识别装置识别在被障碍物划分的域之间相互匹配的运动员的运动,这些内容包括正在播放以显示体育比赛或比赛的电视节目、用于广播的未完成状态的图像材料以及记录在诸如以下的记录介质中的内容 录像机,图像识别装置包括:得分信息获取部分; 比赛事件信息获取部分从图片信息获取玩家的动作,图片信息包含障碍物和玩家的图像,屏幕上显示的得分信息; 以及图像内容识别部分,将在比赛事件信息中紧接在时间之前获得的得分信息项与在时间之后获得的得分信息项进行比较,从而识别由比赛事件信息提供的图像的内容。</t>
  </si>
  <si>
    <t>用于识别图像内容的图像识别装置和程序,特别是在电影环境中</t>
  </si>
  <si>
    <t>JP4200219B2</t>
  </si>
  <si>
    <t>为了提供一种相对便宜且具有高图像识别率的图像识别装置,在运动中或在运动广播之前,将运动员在由诸如网等障碍物分隔的区域中进行比赛的运动记录在节目中图像识别装置1用于识别记录在诸如素材视频或VTR的记录介质上的内容,得分信息获取单元101用于随着比赛的进行获取表示玩家之间的得分内容的得分信息,以及得分信息获取单元101比赛事件信息获取单元107从表示障碍物的视频信息、选手和显示在屏幕上的得分信息以及比赛事件信息发生的时间获取表示选手的特征动作的比赛事件信息。图像内容识别单元108,用于通过对比播放事件信息之前和之后的评分信息,并参考播放事件信息带来的结果,识别播放事件信息指示的图像内容。</t>
  </si>
  <si>
    <t>US6881067B2</t>
  </si>
  <si>
    <t>当学生进行体育活动时,向学生显示学生的实时摄像机图像。 学生可以通过重新聚焦眼睛在自然视野和实时视频图像之间切换。 此外,教学信息可以叠加在实时视频上,从而增强学习过程。</t>
  </si>
  <si>
    <t>US20040204207A1</t>
  </si>
  <si>
    <t>一顶帽子或棒球帽,经过修改以包括具有扬声器和麦克风的可拆卸耳机以及用于容纳手机的后部安装口袋,该帽子具有内部翻盖。 由 VELCRO 固定,并在耳机和手机之间设置用于运行线的狭缝。 耳机卡在帽子上以悬垂在佩戴者的耳朵上。 扬声器位于耳朵附近,并提供了可旋转的麦克风臂。 麦克风上的按钮允许佩戴者接听电话、挂断电话或激活电话语音识别以拨打电话。 通过拉开电线固定盖、将其与手机断开连接、将手机从口袋中取出并从帽子上取下耳机,即可轻松取下耳机和手机进行清洁。 电话和耳机系统可以重新安装在类似的帽子上。</t>
  </si>
  <si>
    <t>免提电话操作帽</t>
  </si>
  <si>
    <t>FR2839362B1</t>
  </si>
  <si>
    <t>跟踪设备装在一个可由训练员或骑师携带的盒子中,并测量与马匹的表现和/或身体状况相关的数据。 来自喉部麦克风的语音识别用于控制设备的操作,语音合成用于通过听筒将信息返回给教练或骑师。</t>
  </si>
  <si>
    <t>在训练和比赛期间跟踪马匹的表现和身体资源,使用由骑师或训练员使用语音识别控制的电子测量设备,并返回声音信息</t>
  </si>
  <si>
    <t>KR1020020035512A</t>
  </si>
  <si>
    <t>本发明涉及一种利用人工智能预测运动(赛马、自行车赛、赛车、足球、篮球、棒球等)胜负的系统和方法。 本发明提供了一种提供程序(10),用于接收数据库的收集数据,为此目的,在该数据库中存储了赛马协会和赛马场的过去赛马赔率和红利; 赛马预测服务器11连接供应商,通过第一人工智能预测单元的赛马分析单元预测获胜马匹,并接收预测结果。 网关12,连接赛马预测服务器,同时接收来自赛马预测数据传输单元的赛马预测数据; 与网关相连的无线网络13,为通信公司的无线通信使用和计费系统联动提供支持; PDA终端(14),连接到无线网络并接收第二人工智能预测单元,预测获胜马匹作为赛马场的比赛分析元素; PDA终端被配置为使得用户购买投注票并最终预测获胜马匹。 在如上所述配置的本发明中,如果将过去和现在的数据以及基本内容提供给系统,则系统基于后台数据利用人工智能分析和处理当天的预报数据,以将实时信息传送到个人便携终端,如果用户看到这个并在可预测的地方下注,他可以以最好的赔率赢得赛马、自行车赛、其他赛车、足球、篮球、棒球等比赛的冠军。</t>
  </si>
  <si>
    <t>一种人工智能预测体育赛事冠军的系统及其操作方法</t>
  </si>
  <si>
    <t>JP3710748B2</t>
  </si>
  <si>
    <t>[课题] 实现一种交通控制系统,该交通控制系统在早期以高精度确定事件等的结束并将结果反映在交通控制中。 
  解决方案:成像设备 CAM 拍摄行人 WLK 通过场地和体育场的出口和过道的运动。 图像识别装置IP使用从成像装置CAM输入的图像,以图像中根据行人WLK的流量而变化的亮度变化区域的面积为特征,掌握行人WLK的拥堵情况当拥挤情况达到预定水平时,确定在大厅和体育场举行的活动等已经结束。 事件的结束等由发送装置TRN发送到交通管制设施CTRL,根据事件的结束等进行交通管制。</t>
  </si>
  <si>
    <t>交通控制系统</t>
  </si>
  <si>
    <t>KR1020020006505A</t>
  </si>
  <si>
    <t>本发明涉及一种在跑步机和自行车等室内运动用电子有氧运动设备中控制运动负荷的方法和装置。 本发明的一个目的是在传统的有氧运动设备中,通过手动操作按钮来锻炼运动过程中的速度、倾斜度、转数和旋转阻力等负荷,这使得运动过程中难以操作设备。不舒服并改善它,以最大限度地减少运动过程中的不适并最大限度地提高运动效果。 本发明包括有线/无线传输/接收耳机,其包括用于声音接收的扬声器、用于传输运动者的语音命令的麦克风以及脉搏率测量装置; 用于通过有线或无线方式接收表示语音命令的语音信号的接收器,以及用于通过使用与说话者无关的语音识别方法识别命令的语音信号并将语音命令转换为机器语言来控制负载的语音识别装置单元控制单元控制实际设备中传输的机器语言命令; 它包括接收控制命令并进行锻炼的有氧运动设备负载装置单元。 根据本发明,在使用电子有氧运动机,即步行和跑步机(跑步机)或骑自行车运动的同时,通过用手操纵连接到运动机的控制面板的操作按钮进行锻炼的人. 所有的指令都是通过耳机的喇叭通过语音传送给机器,无需执行,语音指令在机器部分内部被识别,并将此指令再次传送到机器操作部分,从而使操作现有设备的操作。通过手部操作来进行操作,通过在没有不适或危险的情况下进行锻炼,因为手不会在之前或期间操作或调整设备,因此具有大大提高锻炼的有效性和安全性的优点练习。</t>
  </si>
  <si>
    <t>电子有氧运动器械运动负荷控制方法及装置</t>
  </si>
  <si>
    <t>US6599243B2</t>
  </si>
  <si>
    <t>一种安装在机动车辆中的系统,用于从车身传感器和与车辆位置和操作相关的环境数据推断车辆操作员的压力水平。 该系统在训练阶段运行,使用机器学习技术推导出个体操作员对车辆运行环境的压力反应模型,并且使用该训练阶段的结果,该系统随后用于预测压力水平以 根据驾驶员的生理状态预测,当某些交通状况迫在眉睫时,这是可以预料的。 个体驾驶员的这种压力水平预测的结果用于控制或警告驾驶员关于诸如蜂窝电话的注意力转移设备的操作和调度。</t>
  </si>
  <si>
    <t>使用地理数据库的个性化驾驶员压力预测</t>
  </si>
  <si>
    <t>KR1020030026025A</t>
  </si>
  <si>
    <t>本发明涉及一种用于具有语音识别功能的机器人玩具的犯罪预防装置。 所公开的发明包括用于传送语音命令和安全模式数据的代码值的传送装置; 第一高频接收装置,安装在机器人内部,接收发送的数据; 红外传感器组,检测机器人向左或向右的碰撞、坠落、坠落; 人体检测装置,用于在机器人自由移动时检测人体; 微处理器根据从第一高频接收装置接收到的数据和从红外传感器组和人体检测装置获得的传感信号来控制机器人的整体操作; 电机驱动装置,在微处理器的控制下,通过驱动安装在机器人每条腿关节和颈部关节上的多个电机,实现机器人的自由运动和运动反应; 高频发送装置,当在设置了犯罪预防模式的状态下检测到人体时,用于从微处理器接收和发送警报数据; 它包括安装在距离机器人近距离的报警装置,接收发出的报警信号产生报警,拨打预先指定的号码,发送语音信息。相应地,通过语音指令控制机器人的运行,它可以为机器人玩具提供很多兴趣和依恋,并且还具有通过机器人执行犯罪预防模式而不必安装单独的安全报警装置的优点。</t>
  </si>
  <si>
    <t>具有语音识别功能的机器人玩具的犯罪预防装置和方法</t>
  </si>
  <si>
    <t>KR200259671Y1</t>
  </si>
  <si>
    <t>本发明涉及一种跳远记录仪,其形状为规定长度的条形,上表面等间隔刻度,第一主体部(10)一端形成有凸起11。 ),呈预定长度的杆状,上表面等间隔刻度,一端为卡合槽,卡合槽与第一本体部10的凸起11相卡合(21)形成,其中心联接有可转动的铰链轴31,一端安装在第一主体部分10的一端,另一端联接在第二主体部分10上,由安装的铰链件30组成在本体的一端连接并折叠第一和第二本体部分10和20,使得第一和第二本体部分10和20铰接。它绕铰链轴31旋转并且可以折叠,从而它是方便存放和携带。 
  此外,由于第一和第二身体部分10和20在直线上伸展和使用,因此用户可以准确地测量跑步距离。 
  - 一 - 
  另外,位置可变的、不同颜色的各级晋级旗杆件40连接到第一和第二主体部分10和20,并且每级晋级旗杆件40根据学业成绩水平定位。 ,让学生可以直接查看自己的学习成绩水平,从而增强学习欲望和学习效果。</t>
  </si>
  <si>
    <t>跳远记录</t>
  </si>
  <si>
    <t>WO2002017112A1</t>
  </si>
  <si>
    <t>用于分析直销问题的遗传算法过程(图 2)。 该过程包含根据训练数据库创建和评估初始模型群体的步骤; 通过从初始群体中移除适应度函数相对较低的模型来创建工作模型群体(114); 选择具有相对较高适应度的模型作为后续模型生成的基础(116); 迭代地修改所选模型以生成一组模型,从中选择最高值的适应度函数。 自动遗传程序过程结合界面(200)操作,界面(200)显示当前模型形式以及遗传过程适应历史和累积提升值。 该界面与自动遗传程序过程交互,以允许用户修改用作遗传程序过程基础的模型的形式。 因为用户可以访问模型的健身历史和提升评估,用户可以指导模型创建过程更有效地分析直销问题。</t>
  </si>
  <si>
    <t>进行直接营销的遗传编程</t>
  </si>
  <si>
    <t>AU2001285191A1</t>
  </si>
  <si>
    <t>进行直接营销的基因编程</t>
  </si>
  <si>
    <t>AU2001085191A1</t>
  </si>
  <si>
    <t>用于分析直接营销问题的遗传算法过程(图 2)。 该过程包括针对训练数据库创建和评估初始模型群体的步骤; 通过从具有相对较低适应度函数的初始种群中移除模型来创建工作模型种群 (114); 选择具有较高适应度的模型作为后续模型生成的基础(116); 迭代修改所选模型以生成一组模型,从中选择最高值的适应度函数。 自动遗传程序过程结合界面(200)进行操作,界面(200)显示当前模型形式连同遗传过程适应性历史和暨提升值。 该界面与自动遗传程序过程相互作用,以允许用户修改用作遗传程序过程基础的模型的形式。 因为用户可以访问模型的健身历史和暨提升评估,所以用户可以指导模型创建过程以更有效地分析直接营销问题。</t>
  </si>
  <si>
    <t>DE10137348A1</t>
  </si>
  <si>
    <t>为了确保使用移动或固定电信终端从嘈杂环境(例如机场或体育场)进行自然语音传输,这种类型的方法是必不可少的。 语音控制设备也需要降噪,以提高语音识别的质量。 在用于降噪的已知频谱减法方法中使用维纳滤波器1.1,通过使用压缩器2和扩展器3显着扩展了频谱减法的动态范围。 通过对维纳滤波器的传递函数 H(b,n) 的高估因子 o 和背景噪声 c 进行非线性控制,可以在语音信噪比非常不同的情况下实现语音清晰度的质量改进与已知的现有技术相比,S 和噪声 NL。</t>
  </si>
  <si>
    <t>语音通信设备中的噪声滤波方法,涉及根据语音和噪声信号的比率控制维纳滤波器传递函数中的高估因子和背景噪声变量</t>
  </si>
  <si>
    <t>US6931144B2</t>
  </si>
  <si>
    <t>一个系统用数字化相机图像代替人类视觉,以确定公共游泳海滩的海水波浪模式中是否存在激流。 这些图像的计算机分析涉及图像预过滤,可在处理数字数据以分类为 NORMAL 或 RIP TIDE 之前增强激流的迹象。 分类本身可以由专家系统进行,这些系统模仿人类观察者执行检测的方式; 或者通过建立一个神经网络,确定它自己的分类标准来识别潮汐。</t>
  </si>
  <si>
    <t>自动裂潮检测系统</t>
  </si>
  <si>
    <t>AU2001262771A1</t>
  </si>
  <si>
    <t>一种会说话的人型时钟,除了传统的时间显示和闹钟功能外,时钟会根据相关情况以人声响应,从而给孤独的人带来愉快的亲切感。 . 此外,可以存储和输出人们喜欢的舞台表演者或体育明星的声音,并且可以进行人类智能型训练。 根据本发明的能够相互对话的人型时钟包括以下元件。 即在中央处理器(301)中加载总控程序,在其中安装时间功能,在数据存储器(303)中存储语音信息。 语音识别部分(304)通过麦克风(305)接收用户的语音以识别语音,语音输出部分(306)根据相关情况通过扬声器(308)输出语音数据。 通信接口(311)能够与PC、手机或IMT2000等通信终端收发数据,不仅可以通过传统的有线互联网进行数据传输,还可以通过无线网络进行数据传输。 互联网。</t>
  </si>
  <si>
    <t>可通过电信进行双边对话的仿人时钟及其数据供应系统及其互联网业务方法</t>
  </si>
  <si>
    <t>US20040008584A1</t>
  </si>
  <si>
    <t>可通过电信进行双向对话的仿人时钟、其数据提供系统及其因特网商业方法</t>
  </si>
  <si>
    <t>DE10122087C1</t>
  </si>
  <si>
    <t>一种语音/语音训练系统(10)通过使用三个语音/语音试验数据库(13A-13C)相对独立的训练阶段训练语音/语音识别模型(11)由控制装置(15)控制进行序列训练操作 . 语音/语音试验数据库是在不同的声学条件下产生的,以满足典型的操作环境。 独立权利要求还包括具有设计为隐马尔可夫模型的语音/语音模型的语音/语音识别设备和用于执行本发明的方法的语音/语音识别设备训练系统。 - ABST[DE] Verfahren zum Training und Betrieb eines Spracherkenners, insbesondere zur sprecherunabhängigen Spracherkennung, mit einer Mehrzahlvon Sprachproben-Datenbasen, des Trainings ein Gesamtmodell gebildet, wobei mindestens ein Teil der Sprachproben-Datenhbasen in Abstimmungauf jeweils eine vorbestimmte typische Betriebsumgebung des Spracherkenners gebildet ist und der Spracherkenner in relativ selbständigenTrainingsphasen zur Gewinnung von Referenzen jeweils separat mit diesen Sprachproben-Datenbasen trainiert wird。</t>
  </si>
  <si>
    <t>一种语音/语音识别设备的训练和操作方法,用于独立于说话者识别说话者的语音/语音,使用多个语音/语音试验数据库来形成整体操作模型。</t>
  </si>
  <si>
    <t>US20030120385A1</t>
  </si>
  <si>
    <t>AU2001061142A1</t>
  </si>
  <si>
    <t>人工中央模式发生器(CPG)基于自然产生的中央模式发生器运动控制器,用于行走、跑步、游泳和飞行的动物,通过提供人工 CPG,可以构造为自适应 CPG,其可以是芯片 ,根据感官反馈调整其行为。 据信,这是自适应CPG芯片的首例。 这种具有人工 CPG 的感官反馈系统可用于机械应用,例如跑步机器人腿、步行、飞行和游泳机器,以及微型和大型机器人,也可用于生物系统,例如代理神经网络 脊柱损伤患者的系统。</t>
  </si>
  <si>
    <t>US20020145626A1</t>
  </si>
  <si>
    <t>通过使用基于软件的交互式游戏和工具来提供个人、管理培训和发展以及组织能力的各种方法。 根据一个实施例,该方法包括通过使用交互式计算机软件工具来识别个人的个人网络风格和能力。 根据第二实施例,该方法通过使用交互式计算机软件来提供关于个人、人类网络的指导。 根据第三实施例,该方法通过交互式软件程序工具提供个人指导,该工具通过使用人性化的虚拟教练在人类环境中传递所述指导。</t>
  </si>
  <si>
    <t>人机交互方法及系统</t>
  </si>
  <si>
    <t>JP2002236843A</t>
  </si>
  <si>
    <t>[问题] 培训潜水员,使用移动设备和网络服务器等交互式通信系统进行学术讲座,集体管理和培训成员的潜水技能,并将教练成员的评估与他们联系起来。提供一个水肺潜水指导组织管理系统,使用能够呈现会员提供的服务的信息系统。 
  教练评价系统和服务介绍系统通过信息系统连接到水肺潜水教练会员和会员,教练会员在教练评价系统和服务介绍系统中注册服务内容,教练评级系统和服务推荐系统提供带有服务指示和讲师等级的成员。</t>
  </si>
  <si>
    <t>使用信息系统的水肺潜水指导组织管理系统</t>
  </si>
  <si>
    <t>KR100397178B1</t>
  </si>
  <si>
    <t>本发明的目的在于提供一种健身器的人工智能控制系统和控制方法,最能根据运动曲线在运动过程中,考虑到运动者使用体育用品和运动的最大耗氧量,向运动者指示适当的运动曲线。 指出了运动员。 本发明的目的包括在心率测量步骤中测得的心率个人信息:心率测量步骤,根据预先存储的运动程序,测量运动员运动时两个时间点的心率。 商品,运动员预存于健身机控制系统中,更新阶段在最大耗氧量生产步骤中检测预存最大耗氧量对应的运动程序:健身机控制系统确定最大耗氧量 消耗与两个时间点的运动负荷状态和在最大耗氧量产生步骤中计算的最大耗氧量从与运动程序对应的数据库存储并更新为运动员的新运动程序。 运动程序、心率和人工智能。</t>
  </si>
  <si>
    <t>人工智能运动器材控制系统及方法</t>
  </si>
  <si>
    <t>US20010032071A1</t>
  </si>
  <si>
    <t>根据第一设计示例的便携式数据记录和/或数据回放设备包括头带(1),该头带(1)包含所有功能部件,例如扬声器(2)、麦克风(6)、电源(4)、录音/ 播放单元(3、5)和操作元件(8)。 便携式数据记录和/或数据回放设备可以配备语音识别功能(5、6、14),从而消除了设备的繁琐手动操作。 因此,用户的整体操作舒适度将得到显着改善。</t>
  </si>
  <si>
    <t>便携式数据记录和/或数据回放设备</t>
  </si>
  <si>
    <t>US20010047125A1</t>
  </si>
  <si>
    <t>本发明的实施例提供一种用于无线健康监测系统的方法和装置,用于通过将启用互联网的无线网络设备(“WWD”)连接到可以是医疗设备的健康监测设备来交互式监测患者的疾病或健康状况。 设备或其他与健康相关的设备,例如健身器材。 如有必要,WWD 可以使用可选适配器通过有线连接到 WWD 的通用输入/输出端口直接连接到健康监测设备。 或者,WWD可以无线连接到健康监测设备,例如通过红外线或射频连接,包括使用诸如蓝牙或802.11的协议。 如果需要,无线连接也可以使用适配器。 用户还可以手动向 WWD 输入数据,例如通过小键盘、键盘、触控笔或可选地通过语音命令。 使用标准互联网协议将健康相关数据从 WWD 传输到服务器。 服务器使用可以包括算法或人工智能系统的软件程序计算响应,并且可以进一步提供医生或健康专家的审查。 用户可以与服务器交互。 例如,服务器向WWD发送响应,用户可以回答该响应或提供其他信息。</t>
  </si>
  <si>
    <t>KR100381739B1</t>
  </si>
  <si>
    <t>目的:提供一种通过游戏打字学习系统及其学习方法,通过打出喜爱歌曲的歌词来增强学习效果。 组成:打字游戏管理系统(2)包括打字学习区(6)、游戏区(12)和粉丝俱乐部区(14),因此学习者(4)在数据通信网络中与系统公开联系 . 打字游戏管理系统提供通过搜索选择的最喜欢的歌曲的学习者单词。 然后,学习者选择打字速度的比赛区(10),与其他人进行在线游戏比赛。 届时,学习者选择特定的一个,特定的一个接受提议,然后游戏开始。</t>
  </si>
  <si>
    <t>游戏打字学习系统及其打字学习方法</t>
  </si>
  <si>
    <t>KR200230879Y1</t>
  </si>
  <si>
    <t>本发明涉及一种使用图像识别技术的高尔夫练习装置,更具体地说,当练习者击球时,通过速度测量传感器测量高尔夫球的速度,以及高尔夫球的飞行方向和球的形状。练习者使用图像记录设备进行测量。通过识别高尔夫球的准确飞行距离和落点测量以及挥杆姿势,并显示结果,以便练习者自己纠正姿势,可以享受游戏的游戏程序,以及用于存储游戏程序的存储器除了媒体之外,在前面还安装了用于显示游戏内容的屏幕,以提供与在实际高尔夫球场上的回合相同的图像,以便无论何时何地都可以进行高尔夫练习. 一种用于测量的测量装置,用于拍摄练习者挥杆姿势和高尔夫球飞行方向的记录装置,用于分析从测量装置和拍摄装置输入的数据的处理装置,以及用于存储这些数据的游戏程序处理后的数据由存储此数据的存储设备、显示处理设备处理结果的监视器以及根据比赛进程显示高尔夫球场前景的屏幕组成。由于结果已确认,可以获得与在理想的高尔夫球场打一场球相同的效果,并且由于识别挥杆姿势并显示校正数据,因此可以校正自己的姿势并避免时间和空间的限制。它是另一种运动环境无需接收即可练习,可防止或抑制因设置高尔夫球场和练习场而造成的环境污染,具有减少对自然环境破坏的作用。</t>
  </si>
  <si>
    <t>使用图像识别技术的高尔夫练习装置</t>
  </si>
  <si>
    <t>FR2807276A1</t>
  </si>
  <si>
    <t>公开了通过语音识别操作便携式电话的方法和系统,其可以通过识别语音命令来拨打电话号码、拨打电话和接听电话。 便携式电话的语音识别系统包括语音识别处理器,用于通过测量预定参考模式与通过从包括语音命令和电话号码的语音信号中采样特定参数获得的输入模式之间的相似性来识别输入的语音; 接口单元连接到语音识别处理器、手机按键输入单元和机盖开关,接口单元逻辑组合机盖开关的输出信号值或具有对应于机盖开关识别的信号值的功能的手机按键输入单元 语音识别处理器; 以及控制单元,用于根据来自接口单元的组合信号来控制与存储和擦除识别的电话号码、拨打电话号码、开始通话和结束通话相关的便携式电话的整体操作。</t>
  </si>
  <si>
    <t>通过语音识别操作手机</t>
  </si>
  <si>
    <t>GB2361149A</t>
  </si>
  <si>
    <t>公开了通过语音识别操作便携式电话的方法和系统,其可以通过识别语音命令拨打电话号码、拨打电话和接听电话。 便携式电话的语音识别系统包括语音识别处理器,用于通过测量预定参考模式与通过从包括语音命令和电话号码的语音信号中采样特定参数获得的输入模式之间的相似性来识别输入的语音; 接口单元连接到语音识别处理器、听筒按键输入单元和盖板开关,接口单元逻辑组合盖板开关的输出信号值或具有对应于由语音识别处理器识别的信号值的功能的听筒按键输入单元 语音识别处理器; 以及控制单元,用于根据来自接口单元的组合信号来控制与存储和擦除识别的电话号码、拨打电话号码、开始通话和结束通话相关的便携式电话的整体操作。</t>
  </si>
  <si>
    <t>通过语音识别操作便携式电话</t>
  </si>
  <si>
    <t>JP2001331407A</t>
  </si>
  <si>
    <t>能够使网站语音友好的语音浏览器和转换系统。 
  语音浏览器和转换系统包括用于阅读网页的文本到语音转换软件和通过简单的击键或语音识别导航到下一页的机制。 最终用户可以通过基本电话请求访问计算机并浏览计算机网络,并通过在页面上创建掩码来搜索自定义新闻和其他信息。可以访问特定请求的网页。 每个最终用户都可以定制一个个人页面,其中可以包括体育、天气等关键信息,并通过电话或其他设备(如个人数字助理)访问他们自己的个人页面。</t>
  </si>
  <si>
    <t>一种用户可访问网页的转换方法;一种使用智能代理进程自动转换用户可访问网页的方法;语音浏览器和转换系统;如何制作掩码</t>
  </si>
  <si>
    <t>DE10047613A1</t>
  </si>
  <si>
    <t>指定了一种使用语音识别来操作便携式电话的方法和系统,其中可以通过识别语音命令来拨打电话号码、发起呼叫和接听呼叫。 DOLLAR A 便携式电话的语音识别系统包括语音识别处理器,用于通过测量预定参考模式与输入模式之间的相似性来识别语音输入,该输入模式通过从包括语音命令和语音信号的语音信号中采样某些参数而获得电话号码、接口单元,连接到语音识别处理器、手机按键输入单元和快门开关,其中接口单元逻辑组合快门开关或具有对应功能的手机按键输入单元的输出信号值。由语音识别处理器识别的信号值,以及一个控制单元,用于控制便携式电话的整体操作,以存储和删除识别的电话号码、拨打电话号码、发起呼叫和结束呼叫。 与来自接口单元的组合信号一致。</t>
  </si>
  <si>
    <t>通过语音识别操作便携式电话的方法和系统</t>
  </si>
  <si>
    <t>SE0003366L</t>
  </si>
  <si>
    <t>KR1020020022844A</t>
  </si>
  <si>
    <t>配备有根据本发明的使用语音识别的用户锁定装置的移动通信终端控制整体操作并且包括主控制单元,主控制单元设置有用于根据输入数字信号的频带分析信号模式的声码器单元; 接收用户语音信号的语音输入单元; 音频输出单元,用于向外部输出音频信号; 编解码单元,将从音频输入单元输入的音频信号转换成数字信号传输给主控单元,并将主控单元传输的数字信号转换成语音信号传输给音频输出单元; 存储单元从主控单元接收声码器分析的信号模式,并记录分析后的信号模式; 用户锁定装置控制单元执行对应于用户的语音命令的控制。 此外,根据本发明的配备有使用语音识别的用户锁定装置的移动通信终端的控制方法包括以下步骤:用户按下语音命令输入按钮; 输入用户锁是指语音控制命令; 终端判断用户输入的语音控制命令与内存中记录的控制命令的信号模式是否相同; 当用户输入的语音控制命令的信号模式与存储器中记录的控制命令的信号模式相同时,终端执行用户锁定表示用户输入的控制命令。</t>
  </si>
  <si>
    <t>配备有使用语音识别的用户锁定装置的移动通信终端及其控制方法</t>
  </si>
  <si>
    <t>CA2319997A1</t>
  </si>
  <si>
    <t>NO20004691A</t>
  </si>
  <si>
    <t>公开了一种通过语音识别操作便携式电话的方法和系统,其可以通过识别语音命令来拨打电话号码、拨打电话和接听电话。 便携式电话的语音识别系统包括语音识别处理器,用于通过测量预定参考模式和通过从包括语音命令和电话号码的语音信号中采样特定参数而获得的输入模式之间的相似性来识别输入语音。 接口单元,与语音识别处理器、手机按键输入单元和盖板开关连接,接口单元将盖板开关的输出信号值或手机按键输入单元的输出信号值逻辑组合,其功能与识别的信号值相对应。 语音识别处理器; 控制单元,用于根据来自接口单元的组合信号控制与存储和删除识别的电话号码、拨打电话号码、开始通话和结束通话有关的便携式电话的整体操作。</t>
  </si>
  <si>
    <t>SG99317A1</t>
  </si>
  <si>
    <t>KR1020020021759A</t>
  </si>
  <si>
    <t>1.权利要求所述的发明所属的技术领域本发明涉及步行、步行、慢跑、马拉松等运动过程中的步数、运动距离、运动时间、运动速度、卡路里消耗和体脂。 .它涉及一种测量消耗量等的装置和方法。 2、本发明要解决的技术问题本发明测量步行、步行、慢跑、马拉松等运动过程中的步数、运动距离、运动时间、运动速度、热量消耗、体脂消耗。是提供一种计算机可读记录介质,记录实现该装置及其方法的程序,提供所研究的运动量统计数据、测量系数和计算公式,以及方法。 3、发明方案概要本发明提供一种数据输入装置,用于接收锻炼者的性别、年龄、体重、步幅等身体状况; 选择装置,用于选择步行、步行、慢跑、马拉松等运动类型; 计步装置,用于统计锻炼者步行、步行、慢跑、马拉松等步数; 显示装置,用于显示步数、运动时间、运动距离、运动速度、卡路里消耗、体脂消耗等运动结果; 存储装置,用于接收和存储基于实测和研究统计数据的卡路里消耗测量系数和计算公式、体脂肪消耗测量系数和计算公式等数据; 通过数据输入装置输入的性别、年龄、体重、步幅等体能状况,以及步数统计装置统计的步数、运动时间、运动速度等运动量,以及消耗的卡路里量存储在存储装置中。基于测量系数、计算公式和体脂肪消耗测量系数和计算公式计算根据运动量的卡路里消耗和体脂肪消耗,以及步数、运动时间、运动距离、运动速度、卡路里消耗、体脂率通过显示装置和中央处理装置控制上述各部件进行计算,显示消耗等运动结果。 4.本发明的重要用途本发明作为步行、散步、慢跑、马拉松等运动的测量装置使用。</t>
  </si>
  <si>
    <t>用于步行/报警/慢跑/马拉松的人工智能运动测量装置及方法</t>
  </si>
  <si>
    <t>KR1020020019131A</t>
  </si>
  <si>
    <t>本发明涉及一种带有微处理器的具有高速联网和人工智能逻辑功能及高级多媒体功能的超小型多网络计算机系统的制造和应用。 本发明的特点是通过在先进的多媒体系统中增加先进的功能,提供数据通信、移动通信、语音识别、和控制命令执行,由发明的软硬件资源组成,实现多媒体的多功能。 为了实现这些多功能,通过应用发明的新的软件和硬件算法开发技术以及发明和配置本发明所必需的硬件和软件,发明了一种新的下一代数字半网络计算机,目前是世界上最普遍和广泛使用的通用商务计算机和个人终端计算机之间具有完美的兼容性,可以实现特殊功能,可以实现使用IC卡和指纹识别系统的上网安全功能,视频信息传输和接收功能、个人信息存储和管理、文件存储管理、数字购物、具有金融、文化、学术和艺术功能的BTB、BTC互联网设备运行和系统构建实现技术及其制造方法。 本发明的超小型多网络计算机(e-biz)系统实现与构建技术是一种个人终端计算机系统,用于互联网上的个人信息管理和信息搜索、数字金融、用户之间的视频通话、网民的多边群组。或企业业务,配置该系统可实现视频会议、演示等各种信息收发。 基于该技术构建的系统具有多种用途,因此将个人携带或在家中或办公室使用的终端系统称为客户端,即最终终端计算环境的系统,简称终端系统。在下文中作为客户。 为此设计发明了以各种方式使用的终端系统,使数据修改、添加、信息传输、安全管理、财务等整体操作的权限由用户决定,并在终端层进行处理和操作。 此外,终端运营商有权决定向终端系统分配新的系统功能(主要 BIOS 系统和应用软件)。 下层终端用户发送和接收所需的信息,而不管在地球上传输的计算机和网络系统的规格和性能如何,并配备交互式操作软件和通信网络系统,与计算机共享和提供无限的信息下层. 已建成 下层的终端分为激活系统的系统程序和运行为方便终端使用而构建的应用程序的操作系统,终端系统的初始运行由两个操作系统组成。 配置应用的操作系统加载了识别Linux和Microsoft操作系统(MS-Dos、Windows)的操作系统,并配置为用户可以根据自己的喜好选择使用。 终端用户使用的终端系统包括接入互联网的互联网浏览器程序、对用户进行身份验证和信息安全保护的认证系统软件、由硬件组成的IC卡、识别和存储用户图像的数码CCD相机指纹识别系统的组成、语音识别单元和能够识别语音信息的处理单元、显示接收图像的TFT-LCD数字屏处理单元、放大和输出语音信息的声音处理单元键盘、鼠标、遥控器和数据输入文本information 安装了便于移动的存储设备软盘,作为主要存储设备的硬盘配置为不需要大容量。 即用户随时驱动终端计算机系统,通过互联网访问主服务器,通过语音指令或文本指令搜索、存储、编辑、输出必要的信息,通过电子邮件发送和接收必要的信息,构造成可以存储在主计算机的存储空间中,以便在搜索学术和文化信息等各种内容信息后存储必要的信息。 没有用户验证码无法读取主机中存储的信息,拥有该信息的用户即使不是特定区域或他或她的计算机也可以访问Supermini多网络计算机(e-biz)系统或终端访问信息。您可以搜索、发送/接收、删除和编辑。 至于连接方法,可以使用使用IC卡或指纹识别系统的验证并输入用户的数字验证码。 IC卡信息和指纹识别信息的用户认证码被设计为地球上只有一个数字,IC卡是便携的,只要有终端系统,任何人都可以轻松使用。在没有识别器的计算机的情况下, 它的构建使得可以使用给定的数字身份验证代码对其进行访问。 Supermini Multi-Web Computer (e-biz) 系统的特点包括利用现有的数据卫星通信网络、无线数据通信网络如TRS、CDMA、TRS和有线TRS(TRS、xDSL、ISDN、专线),为了在传输效率和互联网上发送和接收稳定的信息,其特点是在调制和解调模块中对数据进行数字编码和压缩和恢复的系统单元技术,以及读取和操作数据的驱动软件. 特别是,执行和处理这些功能的终端系统不同于迄今为止使用该技术开发的模拟监视器(Analog Signal RGB Monitor),并且不同于可以检查数据、编辑和视频通话的传统监视器输出方法,有提供了四种新构思、发明和开发的图像,以便用户可以使用它们而不管特定的显示器。 这些按部门总结如下。 首先,它支持模拟显示器(RGB)环境,即当前的计算机数据显示器,其次,它提供视频信号(NTSC/PAL-Composite)和语音,以便它可以利用模拟电视显示器,这是一种空气波接收器,三是提供模拟电视,提供超级视频(S-VHS)视频,可以显示中高分辨率视频和音频信号,四是有数字输入/输出接口端子,可以显示数字视频。它的优点是易于连接和使用。 基于数字调制/解调、加密、压缩和传输系统设备的功能以及展示这些高级和复杂功能的驱动软件,以复杂方式管理的信息驱动终端层系统,主要是各种信息系统。 主机服务器综合管理主系统的功能,对使用互联网信息终端系统的用户的数字认证码、包括网民信息的认证码、各种实用程序和应用程序进行综合管理,并实时显示这些功能和项目具体数据.搭载人工智能数字互联网搜索引擎,满足用户多样化需求。 此外,用于数据处理处理的大型运算设备和存储设备能够处理许多下层终端所需的信息,信息传输系统和连接到公司和公司的专用大型存储设备,并能够响应需求各种下层 由高速数据和网络交换系统和认证设备组成。 此外,工业设施和工业现场所需的工业自动化程序、手册和高速主计算机连接到金融部门、数字安全认证系统和与大众媒体媒体连接的多媒体系统。它被构建为传输所需的信息通过集成数字)广播高清电视(HDTV),地面媒体,点播VOD和复杂的综合娱乐,在各个层次上实时进行。 此外,它是一个系统,包括一个系统,该系统可以链接和控制从人造卫星发送和接收的信息,以实现高效的信息发送和接收,并具有广泛的实时使用范围。 此外,主系统提供的信息开发了适应移动通信网络和数据传输协议的新算法,例如开发具有高级功能的移动视频电话和地球上目前正在建设的移动通信网络,以及IMT2000。它的构思和发明是为了实现复杂的功能,这样信息就可以在没有 为此,Supermini 多网络计算机(e-biz)系统的功能结构由主服务器即主计算机设备、主存储设备、信息输入/输出设备和下层组成。操作系统。 下层系统从终端系统接收用户所需的工作命令,从主服务器接收鉴权,并向用户提供必要的信息。 此外,为了更新信息,还发明了通过将高层信息从下层终端传输到服务器来更新高层信息。 为了实现这样的功能技术,硬件和操作软件算法的设计和实现最适合每个特性。此外,Supermini Multi-Web Computer (e-biz) 系统的前控制面板有一个命令控制键,可以在没有遥控器或键盘的情况下输入各种命令,TFT-LCD 显示器和 LED-VFD 图标设备,可以掌握正在操作和处理的信息一目了然,以图形图标和数字显示,功能上象征着当前终端状态,前控制面板搭载晶振高性能自动灵敏度控制功能,可通过语音传递命令麦克风单元。 将最先进的微处理器控制技术、数字数据通信系统、控制主处理单元主存储器技术的人工智能算法应用到系统中,发明了与操作系统无关的软件。下层的主要服务器和终端系统,控制通信、数字信息输入输出、搜索、校正、编辑、电子邮件发送和接收、数字图像MPEG-IV、数字音频记录、录音和回放是可能的。</t>
  </si>
  <si>
    <t>Supermini多网络计算机系统开发与控制装置实现技术制造方法</t>
  </si>
  <si>
    <t>KR1020020018843A</t>
  </si>
  <si>
    <t>[0001] 本发明涉及一种使用语音识别装置的铃声降低信息系统、语音识别装置和数据处理装置,该语音识别装置可以通过使用发送器和接收器容易地将移动电话的铃声改变为语音。 总的来说,股票信息、体育信息、运势信息、成人信息、相亲信息、约会信息、性咨询信息、活动信息、旅游信息、铃声下载信息等大量信息。 本发明涉及上述服务中的铃声下载信息,解决了使用语音识别装置通过各种评论增加话费收入,根据传统的备注操作手机按键下载铃声的不便。当打电话后用语音说出歌手的歌曲时,语音识别装置识别语音,并根据识别的信号,传输数据处理装置中内置的歌手歌曲,并可以下载铃声。它是这样开发的那</t>
  </si>
  <si>
    <t>使用语音识别设备的铃声信息系统</t>
  </si>
  <si>
    <t>KR1020020009374A</t>
  </si>
  <si>
    <t>本发明包括基于计算机的模拟游戏和网上商城,它们是生活在21世纪的现代人的必需品。 也就是说,没有真正生过孩子的未婚男女,在网络上养自己的网娃,就像养宠物一样,从怀孕3个月到8岁不等,周期9年。实际比赛中,这9年养一个月。 随着游戏的进行,提供育儿所需的信息和常识,对真正的宝宝的养育有很大帮助,是一个游戏结合的商城网站,用户可以直接购买游戏中消费的商品。 为此,本发明提供了12岁接入人工智能养网娃游戏步骤、人工智能养网娃程序制作步骤、养育过程中必备的管理程序步骤。一个婴儿,并提供育儿常识和信息。它由一个玩游戏的程序阶段和一个可以直接购买游戏中消费的产品的商城程序组成。</t>
  </si>
  <si>
    <t>互联网网络育婴游戏和购物中心</t>
  </si>
  <si>
    <t>JP2002044654A</t>
  </si>
  <si>
    <t>[问题] 提供一种赛艇解说广播设备,用于在赛艇跑道的监视器上拍摄显示运行和比赛的现场视频,而无需操作员干预。 
  解决方案:语音识别单元 103 可以识别诸如“第一场比赛的表演开始”或大厅中播放的号角声之类的声音,并通知现场解说开始。 被通知的直播控制部105确认存储在日程存储部101中的比赛节目时间,指示摄像机切换控制部110开始拍摄。 图像识别单元104识别在展览巡航期间拍摄的船只的船号。 显示图像制作部106从赛艇信息存储部102中读出参赛者的姓名和船号,制作显示图像。 显示控制单元111将显示图像与小船的图像一起叠加在监视器112上。 当比赛在进行时,图像识别单元104识别领先的船并且通知摄像机切换控制单元110切换用于拍摄分割区域的摄像机的指令。 显示控制部111显示追踪到先头船的图像。</t>
  </si>
  <si>
    <t>赛艇解说广播装置</t>
  </si>
  <si>
    <t>JP2002030696A</t>
  </si>
  <si>
    <t>[问题]在工程机械中,将语音指令转换为语音代码,实现语音联动操作。建筑机械。 
  解决方案:在语音联动操作装置 2 中,语音识别装置 2a 能够对分配给身体运动的语音代码进行语音识别,并且保持装置 2b 能够保持代表有关身体运动的指令的命令具有语音代码的识别装置2c连接到语音识别装置2a和保持装置2b并且能够通过对应于语音代码的命令输出与飞行器操作控制相关的识别信号;以及能够控制操作的控制装置2d .</t>
  </si>
  <si>
    <t>工程机械语音联动操作装置及语音联动操作方法</t>
  </si>
  <si>
    <t>GB2364480A</t>
  </si>
  <si>
    <t>使用语音识别来启动无线设备 1 和信息网络 5 之间的无线应用协议 (WAP) 会话的方法和系统,其中语音识别在远程服务器 7 上执行,而不是在无线设备 1 上。 无线设备 1 用户可以向语音识别服务器发起呼叫,例如 S-WAP服务器7结合了VoiceXML应用程序,并通过语音请求所需的内容/信息。 服务器7继而联系一个或多个网站5以获取内容/信息并将找到的内容/信息发送到WAP网关3以启动与无线设备1的WAP会话。服务器7可以将语音请求转换为 或更多可搜索的字符串和多个请求,而不必每次都向语音识别服务器发起呼叫。 内容/信息可以由无线设备1中的浏览器显示并且可以通过网络警报特征推送到设备。 应用包括互联网内容、电子邮件、客户服务、统一消息、天气和交通警报、新闻、体育、电子商务、银行、地址簿和目录服务。</t>
  </si>
  <si>
    <t>使用语音识别启动 WAP 会话</t>
  </si>
  <si>
    <t>JP2002000941A</t>
  </si>
  <si>
    <t>本发明的目的在于使游戏内容多样化,提高趣味性。 
  解决方案:语音识别游戏机的中央处理单元 21 根据语音识别处理单元 18 的识别结果和控制器单元 15 输入的玩家命令生成要在显示单元 12 上显示的 CG 图像和语音。在存储单元19中搜索从输出单元14输出的音频数据、音乐数据等,控制个人数据输入单元16中的读取和写入操作,并控制通信单元20中的通信操作等。 玩家通过语音输入来学习命令以便使显示在显示单元12上的角色执行预定动作。 中央处理器21根据角色学习的一种动作或多种动作的组合来设置角色可以参加的比赛。</t>
  </si>
  <si>
    <t>语音识别游戏装置及记录媒体</t>
  </si>
  <si>
    <t>KR1020010107039A</t>
  </si>
  <si>
    <t>具体地,本发明将人工智能赋予以图形制作的网络赛马或自行车比赛角色,从而通过互联网传输网络提供网络游戏的转播、购买权的发行和购买、销售收益和分红的自动转移。不分时间、地点,涉及一种休闲网络运动的运营方式,旨在扩大网络运动人群的基数,更安全、便捷地享受赛马、自行车运动。赛车手和通过互联网显示电子积分红利; 用户根据转发内容,通过互联网网络浏览器为购买标记(mark)投票,投票人的购买信息存储记录在经营者的主服务器中; 并根据中继网络游戏的结果,累积选民的购买电子点数和分红点数,达到一定点数的选民将获得奖金和商品奖励。</t>
  </si>
  <si>
    <t>如何利用互联网经营赛马和自行车赛</t>
  </si>
  <si>
    <t>WO2000040309A9</t>
  </si>
  <si>
    <t>AU2000025988A1</t>
  </si>
  <si>
    <t>AU2000022078A1</t>
  </si>
  <si>
    <t>本发明基于先前关于宏观进化中的消光模式的理论工作引入了一种优化问题的新方法。 我们将它们命名为宏观进化算法 (MA)。 与标准遗传算法中使用的种群水平进化不同,更高分类群水平的进化被用作潜在的隐喻。 该模型利用了“物种”之间存在的联系,这些联系代表了优化问题的候选解决方案。 为了测试其有效性,我们比较了 MA 与遗传算法 (GA) 与锦标赛选择的性能。 该方法被证明是标准 GA 的一个很好的替代方案,即使对于非常小的人口规模,它也能在解空间上进行快速单调搜索。 提出了一种平均场理论方法,表明 MAs 的基本动力学接近于多物种竞争的生态模型。</t>
  </si>
  <si>
    <t>一种对健身景观进行优化的方法和系统</t>
  </si>
  <si>
    <t>WO2000038079A1</t>
  </si>
  <si>
    <t>本发明引入了一种基于先前关于宏观进化中的灭绝模式的理论工作的优化问题的新方法。 我们将它们命名为宏观进化算法 (MA)。 与标准遗传算法中采用的种群水平进化不同,更高分类群水平的进化被用作潜在的隐喻。 该模型利用代表优化问题候选解决方案的“物种”之间存在的联系。 为了测试其有效性,我们将 MA 与遗传算法 (GA) 的性能与锦标赛选择进行了比较。 该方法被证明是标准 GA 的一个很好的替代方法,即使对于非常小的人口规模,也能在解决方案空间上进行快速单调搜索。 提出了一种平均场理论方法,表明 MA 的基本动力学接近于多物种竞争的生态模型。</t>
  </si>
  <si>
    <t>JP4763112B2</t>
  </si>
  <si>
    <t>[问题]一种计算机利用遗传算法求解优化问题的方法,保持解种群的多样性,防止候选解集中在解空间的一个狭窄子集中,提高处理速度和体质得到提高,目的是增加 
  SOLUTION: 岛屿模型是由遗传算法结合现有算法组成的,岛屿模型的每个岛屿都与不同的现有算法相关联,岛屿模型中的岛屿之间为每个预定的世代产生一个个体。通过交叉等。 在这种交换中,一个由岛上的个体育成的子个体,其具有不同的预先存在的算法,被放入其父母之一或具有不同于父母的另一种预先存在的算法的岛屿。</t>
  </si>
  <si>
    <t>混合遗传算法孤岛模型优化问题处理方法及其处理程序记录介质</t>
  </si>
  <si>
    <t>US6154140A</t>
  </si>
  <si>
    <t>本发明涉及一种智能个人水下监控系统,该系统识别游泳者何时遇到麻烦并发送警告信号。 该系统包括游泳者佩戴的装置,该装置感测水压并在游泳者经过预定深度时发送第一信号。 该系统还包括用于接收由游泳者佩戴的装置产生的信号的装置和用于处理信号并产生表示游泳者是否处于麻烦中的输出信号的神经网络处理器以及警报信号产生装置。</t>
  </si>
  <si>
    <t>智能个人水下监测装置</t>
  </si>
  <si>
    <t>KR100347960B1</t>
  </si>
  <si>
    <t>本发明涉及一种视频游戏设备及其控制方法,其可以通过使用图像识别技术智能地检测玩家的动作并确定该动作是否与预定动作一致来控制游戏。 为此,本发明包括用于捕捉玩家的动作并将其转换为数字信号的图像输入装置,以及用于输出图像的显示装置,以及用于指示玩家执行预定操作的视频对象由指定的游戏程序,其中从通过图像输入装置输入并输出到显示装置的图像输入信号中识别玩家的动作,并将识别的玩家动作是否与预定动作相比较的游戏控制比赛或计分过程的继续。包括控制手段。 因此,本发明在根据玩家做出的动作是否与视频对象的动作匹配来计算分数的同时进行游戏,从而不仅提供娱乐和游戏,而且提供有氧体操、舞蹈课,它可以应用于跆拳道、剑道、高尔夫等所有运动项目的自学和纠错。</t>
  </si>
  <si>
    <t>视频游戏装置及其控制方法</t>
  </si>
  <si>
    <t>KR1020010019786A</t>
  </si>
  <si>
    <t>目的:提供用于在移动通信系统中识别语音和显示字符的装置和方法,以对语音信号执行语音识别,将信号转换为字符数据并通过无线终端显示数据。 组成:控制单元(110)控制移动无线终端的整体操作。 存储器(140)存储用于控制识别语音和显示字符的方法的程序,由ROM、EEPROM和RAM组成。 存储器包括将语音数据转换为字符数据的转换表。 显示单元(120)显示移动无线终端的状态或程序的进行状态。 由多个数字键和功能键组成的键输入单元(130)通过外部操作将键输入数据输出到控制单元(110)。 语音识别和字符转换单元(150)参照转换表,将语音信号转换为语音数据,然后转换为字符数据。 RF单元(160)对从模拟基带单元(170)输入的信号进行上变频,并通过天线(190)将其无线输出到基站。 RF单元(160)对通过天线(190)接收的信号进行下变频并将其输出到模拟基带单元(170)。 模拟基带单元(170)将从控制单元(110)输出的信号输出到RF单元(160)。 控制单元(110)对从模拟基带单元(170)输出的数字信号执行信道解调和解码。 控制单元(110)将语音数据输出到语音信号处理单元(180)。 语音信号处理单元(180)对语音数据进行压缩和解压缩,将数据转换成音频语音信号输出给用户。</t>
  </si>
  <si>
    <t>用于移动通信系统中语音识别和文本显示的装置和方法</t>
  </si>
  <si>
    <t>US6656055B1</t>
  </si>
  <si>
    <t>本发明是一种机器,用于学习在高尔夫比赛中称为挥杆的身体位置和运动,以根据球员的身高,更具体地说,球员从臀部到地面以及从肩部到膝盖的距离来形成正确的高尔夫球姿势。 臀部和高尔夫挥杆过程中的动作。 机器学习高尔夫球手击球时的身体位置和动作。 该机器包括两个板,它们排列成可以在柱子上移动,一个在玩家臀部的高度,另一个在肩膀的高度,后者的手臂离开所述板并以铰链带结束,用于固定臀部 另一个具有下臂和上臂,其终止于肩杆,用于支撑玩家的肩膀。</t>
  </si>
  <si>
    <t>学习高尔夫挥杆的机器</t>
  </si>
  <si>
    <t>KR100286742B1</t>
  </si>
  <si>
    <t>本发明涉及一种对压缩体育新闻视频进行高效索引的方法,更具体地说,涉及一种检测压缩域中的转换和新闻文章的方法。 在本发明中,通过将第n个I帧和第n+1个I帧之间的亮度差(ΔY)和色差相关性(ρ)应用于伪神经网络来检测场景变化的可能性的第一步; 在检测到场景变化可能性的第n组图片(GOP)中包含的所有P帧中,帧内宏块数除以前向预测宏块数得到P帧常数(R在第二步获取 )中,在检测到场景变化可能性的第n个geophy中包含的所有B帧中,将后向预测宏块的个数除以前向预测宏块的个数,得到一个B -场景变化检测所需的帧常数(获取R的第3步),第4步在GeoP中检测准确的场景变化帧,其中使用P帧常数和B帧常数检测场景变化的可能性,以及第四步中准确的场景变化提供了一种检测压缩新闻图像的场景变化的方法,包括第五步,如果帧是特殊的编辑效果检测算法,则通过应用特殊编辑效果检测算法来检测摄像机的特殊操作帧。没有检测到。</t>
  </si>
  <si>
    <t>压缩新闻视频的场景变化及文章检测方法</t>
  </si>
  <si>
    <t>KR1019990037776A</t>
  </si>
  <si>
    <t>本发明接收第一语言和第二语言的语音,通过语音识别将它们转换成文本,将输入者与转换后的文本区分开来,将它们显示在液晶显示器上,并将翻译后的文本翻译成另一种语言。它涉及一种语音识别自动翻译口译装置,用于显示、转换语音信号并输出​​给对方。 如上所述的本发明提供了用于输入/输出第一和第二语音的语音输入/输出装置,用于显示识别语音和翻译文本的文本的LCD监视器,用于操纵整体操作的操纵单元,以及操纵单元,它包括主体包括通过操作信号控制整个操作的主控单元和配备可充电电池的电源单元,并内置需要相互翻译的第一语言和第二语言的语音识别和翻译程序,和语音到文本的转换。以及用于翻译控制的控制单元,第一和第二语音到文本转换单元,第一和第二翻译单元,以及通过关联第一和第二语言的样本数据构建的第一数据库。 with characters; ,其特征在于,它由语音识别和翻译ROM包组成,包括第二语言语音文本数据库和第一语言和第二语言的翻译数据库。</t>
  </si>
  <si>
    <t>语音识别自动翻译口译装置</t>
  </si>
  <si>
    <t>US20030044757A1</t>
  </si>
  <si>
    <t>KR100399590B1</t>
  </si>
  <si>
    <t>根据本发明,当使用耳机观看电视广播时,环境声音被转换成文本并显示,使得使用有线或无线耳机的观众识别与显示的环境声音相关的文本以确定周围情况。识别环境声音以与耳机一起使用,包括:耳机输出装置,用于有线或无线地传输接收和处理的音频信号;OSD单元50,用于显示和处理OSD字符;在配备有控制耳机输出单元的微型计算机20的电视机中,以及OSD 单元 50 和控制电视机的整体操作,麦克风 90 拾取外部声音并将其转换成电信号输出,以及麦克风 微型计算机包括滤波器单元 100,从来自的信号中提取家庭频带(90)语音识别单元100,将滤波单元100的音频信号转换为数字信号,进行语音识别处理。</t>
  </si>
  <si>
    <t>带有环境声音识别功能的电视,适合耳机使用</t>
  </si>
  <si>
    <t>KR1020000039405A</t>
  </si>
  <si>
    <t>1.权利要求中描述的发明所属的技术领域本发明涉及一种使用遗传算法的二叉树排列方法。 2.本发明要解决的技术问题在诸如机器学习系统之类的应用程序中,最终结果以具有任意数量和配置的节点的二叉树的形式呈现,结果的可视化使用遗传算法。通过显示与 形成平衡排列的坐标,我们想提供一种二叉树排列方法,为用户提供一个好看的结果。 3.发明方案概要本发明将作为问题给出的二叉树表示为染色体,但第一步是将坐标初始化为任意值; 第二步,通过交叉计算和变异计算重复进化,利用评价因子评价适应度,通过修改染色体编码形成适应度更高的基因组; 以及适当地选择进化世代作为生成数量的第三步,根据健身评估标准开始收敛阶段,并选择具有该一代最大适应性作为问题解决方案的染色体。 4.本发明的重要用途本发明用于机器学习系统等。</t>
  </si>
  <si>
    <t>使用遗传算法的二叉树放置方法</t>
  </si>
  <si>
    <t>CN2336836Y</t>
  </si>
  <si>
    <t>人工智能保龄排瓶机械手属于体育用品领域，其特征在于：装有两台步进电机(3)和(4)，并通过内存相关指令的控制器(5)的指控，经相应传动系统，分别驱动控制排瓶机械手(2)的纵向位移和水平转动；同时，还配装有余瓶(18)的回瓶系统；有益之处在于：可以根据球手指令，实现从1至10个瓶的各种组合排瓶中，随时按需有选择地去指令任意一组组合排瓶；尤其是有利于专业球手提高训练难度和强度及技术水平，创造好成绩。</t>
  </si>
  <si>
    <t>人工智能保龄排瓶机械手</t>
  </si>
  <si>
    <t>DE19844179B4</t>
  </si>
  <si>
    <t>在向游泳池水或沐浴水中添加消毒剂特别是氯和氯化合物的过程中,测量水中的游离氯、氧化还原电位和 pH 值。 氯和氧化还原电势值由通过公共模糊逻辑电路连接的传感器同时获取。 消毒剂的量由氧化还原电位决定,并且在取决于所测量的游离氯的范围内。</t>
  </si>
  <si>
    <t>调整水中消毒剂添加量的程序</t>
  </si>
  <si>
    <t>IN160BOM1998A</t>
  </si>
  <si>
    <t>在八个摄像头和两个麦克风的帮助下,每个板球交付以相同的时间间隔捕获(采样)八个二维数字视频图像和两个数字音频。数字视频图像经过摄影测量映射以得出球在不同位置的 XYZ 距离 在一秒钟内划分的时间间隔和最少四个这样找到的 XYZ 距离可用于使用具有空气阻力的轨迹方程和简单抛物线方程来估计三个维度中的轨迹路径,此外,数字音频记录是针对时间映射的幅度, 并用于获取有关各种所需视频帧的声音幅度级别的信息,该帧的级别增加超过阈值表示影响。板球人工智能和决策给出模型是根据 ICC 法律准备的,并用于程序中以减少计算时间 在视频图像中查找板球时需要,在查找中心时使用霍夫变换 球。所有实际工作,从捕捉到做出决定,都是由计算机软件在所有硬件和快速 CPU 的实时捕捉工作的帮助下,在近乎实时的条件下执行的。</t>
  </si>
  <si>
    <t>视频图像处理和音频数字信号的使用</t>
  </si>
  <si>
    <t>US6039650A</t>
  </si>
  <si>
    <t>本发明涉及一种扑克牌发牌盒设备、系统和方法,其中发牌盒具有纸牌扫描仪,当发牌者的操作使纸牌沿着并移出发牌盒的滑槽时,该扫描仪扫描纸牌上的标记。 扫描仪包括一个与神经网络结合使用的光学传感器,该神经网络使用误差反向传播进行训练,以在纸牌移动经过扫描仪时识别纸牌花色和纸牌价值。 结合中央处理单元 (CPU) 的扫描过程确定游戏的进行,并通过识别游戏玩家使用的算牌系统或基本游戏策略,提供限制或防止赌场损失的方法 并计算赌场的理论赢率,从而也提供了一种准确的质量方法,用于计算给予特定玩家的补偿金额。 该鞋还配备了附加装置,可以简单方便地访问、记录和显示与比赛相关的其他数据。 这些包括用于容纳“客户跟踪卡”的装置,该卡从卡上的磁条读取每个玩家的帐户信息,从而提供对存储在娱乐场计算机系统和一个或多个字母数字键盘上的玩家客户数据文件的访问 用于输入和检索玩家和游戏信息的 LCD 显示器。 还包括游戏桌上的键盘,因此每个玩家都可以使用自己的键盘单独选择各种游戏或下注选项。</t>
  </si>
  <si>
    <t>具有扫描装置的发牌盒、系统及其方法</t>
  </si>
  <si>
    <t>KR1019990050056A</t>
  </si>
  <si>
    <t>本发明是一种个人计算机密码,允许您通过语音设置密码以防止复制或错误密码设置密码以防止在连接到 Internet 时进行通信,或使用机密文件或特定程序。它涉及一种输入一种装置,包括采集用户语音的麦克风(1)、从采集到的语音中读取用户特征部分并转换为数字信号的语音识别芯片(2)和语音存储单元(3)。语音比较单元 4 将在 ) 中学习和存储的语音与输入的用户语音进行比较,以及 CPU 5 确定个人计算机的整体操作或根据比较单元 4 ) 的输出确定是否执行相应的程序,其特征在于因为它包括。</t>
  </si>
  <si>
    <t>个人电脑密码输入装置</t>
  </si>
  <si>
    <t>EP0833263A3</t>
  </si>
  <si>
    <t>对于体育活动等应用,数据库 ÄDFÜ 包含与加速度、最大速度和功率相关的信息。 定义的隶属函数 ÄMF11-MF13Ü 例如 以高、中、低加速度值定义的加速度,与参数相关,由模糊逻辑处理器 ÄULEÜ 使用,该处理器具有带嵌入式规则的模糊推理单元 ÄF1Ü。</t>
  </si>
  <si>
    <t>数据库、创建数据库的方法和查询数据库的方法</t>
  </si>
  <si>
    <t>US6011854A</t>
  </si>
  <si>
    <t>音频处理系统搜索通过一个或多个无线电台广播的信息报告或更新(例如交通、天气、时间、体育、新闻等)。 搜索基于用户预选的至少一个关键字(例如“交通”、“天气”、“时间”、“体育”、“新闻”,取决于所需的报道),并输入到音频处理中 系统。 当音频处理系统使用的语音识别软件扫描无线电台以获取请求的信息报告时,用户可以收听其他音频源(CD、磁带、另一个无线电台广播等)而无需监视(即 是,听)来自那些音频源的信息内容。 一旦根据输入的无线电广播中使用的关键字检测到请求的信息报告,音频处理系统将其音频输出切换到发送所需广播的无线电台,以便用户可以及时方便地收听交通、天气、 时间、体育和/或新闻报道或更新。</t>
  </si>
  <si>
    <t>广播节目中音频信息的自动识别</t>
  </si>
  <si>
    <t>US6185547B1</t>
  </si>
  <si>
    <t>一种用于计算集合覆盖问题的试解的适应度值的适应度函数电路加速遗传算法的执行速度,该遗传算法具有矩阵电路,用于输出由对应于染色体中的位的行信号覆盖的列信号, 列信号计数器,用于对列信号进行计数,减法器,用于计算列信号的计数与所有元素的数量之间的差,并将差作为未覆盖的元素的数量输出,进位保存加法器,用于输出有效的数量 行信号作为染色体成本,一个聚合成本寄存器,用于保存未覆盖元素的数量作为总成本的更重要部分,染色体成本作为总成本的不太重要的部分并输出总成本,用于反转的逆变器 总成本的值并输出反转值作为适应度值。</t>
  </si>
  <si>
    <t>健身功能电路</t>
  </si>
  <si>
    <t>KR1019980027283A</t>
  </si>
  <si>
    <t>根据本发明,图像识别处理设备仅处理需要图像信息的感兴趣区域的图像信息,例如根据驾驶检测到的车道,从而提供图像识别处理中的速度以确保稳定的驾驶。 [0001] 本发明涉及用于输入行驶道路的车道图像并输出预定电信号的图像输入单元、用于控制处理输入图像信号的整体操作并控制输入图像信号的控制单元。存储器装置,用于根据装置的控制信号仅获取感兴趣区域的图像并将其存储在预定位帧中,以及驾驶信息检测装置,用于检测关于方向盘角度变化的驾驶信息和根据行驶改变行驶速度;其特点是具有DSP,对检测到的视频信号和检测到的行驶信息进行比较分析,分析是否存在车道偏离、变道危险等,以及显示装置用于显示从存储装置应用的预定帧单元的图像。</t>
  </si>
  <si>
    <t>车辆图像识别处理装置</t>
  </si>
  <si>
    <t>DE19639349A1</t>
  </si>
  <si>
    <t>对于体育活动等应用,数据库 ÄDFÜ 具有与加速度、最大速度和功率相关的信息。 定义的隶属函数 ÄMF11-MF13Ü 例如 以高、中、低加速度值定义的加速度,与参数相关,由模糊逻辑处理器 ÄULEÜ 使用,该处理器具有带嵌入式规则的模糊推理单元 ÄF1Ü。</t>
  </si>
  <si>
    <t>数据库、导出数据库的方法和查询数据库的方法</t>
  </si>
  <si>
    <t>JP1998055347A</t>
  </si>
  <si>
    <t>提供一种以小的存储容量和计算复杂度抑制遗忘的顺序学习装置。 
  解决方案:用于输入要学习的数据的输入单元 1,用于存储输入数据的数据存储单元 2,用于保存过去学习的权重的权重存储单元 3,以及存储在权重存储单元 3 中的权重。学习单元考虑到过去的权重来学习存储在数据存储单元2中的数据并将学习的权重存储在权重存储单元3中的单元4,以及输出学习单元4的学习结果的输出单元。 5和控制整体操作的控制单元6。</t>
  </si>
  <si>
    <t>神经网络型顺序学习方法及装置</t>
  </si>
  <si>
    <t>KR1019970057455A</t>
  </si>
  <si>
    <t>本发明涉及一种配备有通过语音识别的广播频道选择功能的电视,包括代码数据提取装置,用于从广播站发送的预定 ID 信号中提取预定广播节目的代码数据,并提取提取的控制单元根据代码数据,将内部存储设置的代码数据进行比较,如果正确,则存储装置存储它和根据代码数据提取装置接收到的预定广播节目,用于例如,为每个项目选择新闻、戏剧、体育、电影等。其特征在于,它被配置为包括广播数据存储单元,该存储单元按每个片段顺序存储,此外,当观众口头宣布存储在广播数据存储单元中的预定项之一,确定输入语音信号的控制单元。其特征在于包括控制装置,用于从广播数据存储装置中读取预定项之一并将其输出到CRT OSD 生成器、混音器和 CRT 驱动程序。</t>
  </si>
  <si>
    <t>通过语音识别配备广播频道选择功能的电视</t>
  </si>
  <si>
    <t>US5720004A</t>
  </si>
  <si>
    <t>当前模式的汉明神经网络具有 N 个二进制输入,并具有模板匹配计算子网和赢家通吃子网。 模板匹配计算子网包括M个第一神经元,其中分别存储了M个样本模板。 每个第一神经元由分别连接到N个二进制输入并受其控制的电流镜组成,以生成模板匹配电流信号,该模板匹配电流信号基本上与N个二进制输入和相应存储的示例模板之间的匹配位数成正比。 赢家通吃子网络包括M个第二神经元,每个第二神经元包括M个晶体管,它们的栅电极连接在一起形成一个模板竞争节点,它们的源电极接地,它们的漏电极分别连接到模板竞争节点。 模板竞争节点分别耦合并接收模板匹配电流信号,使得连接最大模板匹配电流信号的模板竞争节点最终处于较高的电压电平,而其他模板竞争节点处于较低的电压电平 电压水平,经过比赛。</t>
  </si>
  <si>
    <t>电流模式汉明神经网络</t>
  </si>
  <si>
    <t>JP3595043B2</t>
  </si>
  <si>
    <t>种类代码:A1 在遗传算法的求解操作中的染色体操作中,通过固定染色体的一部分来减小寻找最优解的搜索空间,从而可以在短时间内执行操作。 
  一种优化问题求解方法,包括多个子群优化装置,该装置具有用于计算解的固定部分的部分解固定部分,以及用于在子群优化装置中传输解信息的子群通信装置。固定单元设置有频率计算装置2,用于计算一部分溶液的图案状态的频率,以及固定部分计算装置3,用于根据该频率计算固定部分。</t>
  </si>
  <si>
    <t>优化问题解决者</t>
  </si>
  <si>
    <t>CA2155887C</t>
  </si>
  <si>
    <t>促销节目是通过神经网络从多个节目中动态选择以在节目展示单元中展示的,该神经网络基于首先检测人是否在紧邻节目展示单元周围的区域中进行选择,然后选择一般 如果在附近区域没有检测到人,则使用一组预定的系统标准,使用经过训练的神经网络吸引循环促销程序,或者如果在附近区域检测到至少一个人,则选择特定的循环促销程序。 通过选择运行的一般吸引循环程序然后收集指示响应一般吸引循环的人数的数据以及通过选择如果有人在附近区域中运行的特定循环程序来训练神经网络,然后 收集指示对特定循环程序的响应的数据。 因此,收集的数据代表了各种销售计划在吸引和吸引人们注意力方面的成功。 收集的数据以神经网络典型的多种训练方案中的任何一种提供给神经网络,然后向受训的神经网络提供当前的实时选择数据,以便受训的网络可以选择最合适的销售 跑步推广计划。 网络可以定期重新训练或响应销售数据或收集数据的变化。</t>
  </si>
  <si>
    <t>用于自动选择和展示促销计划的方法和装置</t>
  </si>
  <si>
    <t>JP1996240854A</t>
  </si>
  <si>
    <t>本发明涉及一种摄影图像归档装置,其目的在于提供一种摄影图像归档装置,不仅可以显示和输出摄影位置信息,还可以根据需要对拍摄的摄影图像显示输出地图信息。 
  [构成]一种图像读取单元,用于从照片图像和/或胶片中读取图像信息,包括图像记录单元和字符记录单元,图像识别单元,用于从图像读取单元读取的图像中识别图像,图像读取单元;字符识别单元,用于从控制器读取的图像中识别字符;控制单元,用于控制整体操作;它包括文件、存储地图信息的地图数据库、用于输出的输出装置文件信息,以及用于将字符识别部分读取的拍摄位置信息转换成地图数据库上的位置的转换部分。</t>
  </si>
  <si>
    <t>照片影像归档装置</t>
  </si>
  <si>
    <t>US5504675A</t>
  </si>
  <si>
    <t>促销节目是通过神经网络从多个节目中动态选择的,以在节目呈现单元中呈现 如果在附近区域没有检测到任何人,则使用一组预定的系统标准,或者如果在附近区域中检测到至少一个人,则选择特定的环路促销程序,从而使用训练有素的神经网络吸引环路促销程序。 神经网络通过选择运行的一般吸引循环程序然后收集指示响应一般吸引循环的人数的数据以及通过选择如果有人在附近区域则运行的特定循环程序来训练神经网络然后 收集指示对特定循环程序的响应的数据。 因此,所收集的数据代表了各种销售计划在吸引和保持人们注意力方面的成功。 收集到的数据以神经网络典型的多种训练方案中的任何一种提供给神经网络,之后为训练有素的神经网络提供当前的实时选择数据,使得训练有素的网络可以选择最合适的销售 跑步的推广计划。 可以定期或响应销售数据或所收集数据的变化对网络进行再培训。</t>
  </si>
  <si>
    <t>EP0627837A1</t>
  </si>
  <si>
    <t>描述了一种新的电话服务,该服务在相互想要相互通信的人之间进行呼叫。 电话或其他网络将希望接收来自其他用户的呼叫的用户列表与类似列表相匹配。 关联列表可以基于家人、朋友、网球伙伴、讨论组成员或同事。 语音识别和键控技术用于准备存储在数据库中的列表。 数据库比较用于指导关联组中已指示其可用性的用户之间的呼叫完成。</t>
  </si>
  <si>
    <t>根据双方商定的标准完成电信呼叫</t>
  </si>
  <si>
    <t>CA2123670A1</t>
  </si>
  <si>
    <t>电信呼叫完成基于相互同意的标准摘要描述了一种新的电话服务,可以在相互希望相互通信的人之间进行呼叫。 电话或其他网络匹配希望接收来自具有类似列表的其他用户的呼叫的用户列表。亲和力列表可以基于家庭、朋友、网球合作伙伴、讨论组成员或同事。 语音识别和键控技术用于准备存储在数据库中的列表。 数据库比较用于指导完成亲和组中已指示其可用性的用户之间的呼叫。</t>
  </si>
  <si>
    <t>JP2697603B2</t>
  </si>
  <si>
    <t>本 发明提供一种游戏装置,能够通过与社会公认的独特性、有效区分的特定显示器进行比赛判定来确保安全性。 
  [结构] 通过将游戏盒(外部存储装置)18安装在游戏机主体10中,根据存储在游戏盒18中的游戏程序信息进行游戏的游戏装置。当安装游戏盒18时,游戏盒 18 读取预定部分 20 和从图像识别传感器 21 输入的信息的图像识别传感器 (图像识别装置) 21 确定特定显示 M 是否显示在预定部分 20 中,以及特定显示 M 的存在显示M被确定,如果是,图像确定单元(图像确定装置)22用于将游戏程序信息发送到游戏机主体10。</t>
  </si>
  <si>
    <t>用于玩游戏的装置和用于存储游戏程序的存储装置</t>
  </si>
  <si>
    <t>DE4338958A1</t>
  </si>
  <si>
    <t>确定与所需心率相对应的最佳努力的方法包括使用自行车测力计 (1) 和两个踏板 (2)、车座 (3)、车把 (4)、脉搏计 (5) 和踏板力调节器 (6). 静止脉搏率是在努力的初始阶段根据所需脉搏率和允许年龄、性别、体重的统计关系测量的。 和体型,以及全身脂肪。 测量值被输入到一个多变量模型方程中,从中可以计算出最佳工作量。 用途/优势 - 在跑步机运动训练或身体压力调查中,允许用户在重复锻炼中施加不同的努力以达到最佳值。</t>
  </si>
  <si>
    <t>确定最佳运动努力对应。 到所需的脉搏率 - 在关系建模中使用神经网络或多变量分析来评估连续练习的测量值</t>
  </si>
  <si>
    <t>US5600765A</t>
  </si>
  <si>
    <t>一种接受多媒体操作命令的方法,其中,当用户通过指点输入设备指向图形显示系统的显示屏幕上的显示对象或显示位置时,用户命令图形显示系统在图形上引起事件 显示,通过语音输入设备; 包括第一步,允许用户执行指向手势,以输入一串坐标点,这些坐标点围绕显示对象和任何期望显示位置的一个区域; 第二步,允许用户连同指向手势一起给出语音命令; 第三步,响应于语音命令,通过语音识别过程识别语音命令的命令内容; 第四步,根据第三步的识别结果识别指向手势的命令内容; 第五步,根据语音命令的命令内容和指向手势在图形显示器上执行事件。 因此,该方法提供了一种人机界面,其利用语音和指示手势的多种媒体,为用户提供了高可操作性,并且利用其可以容易地编辑插图等。</t>
  </si>
  <si>
    <t>能够通过使用语音和手势输入来接受用户命令的显示系统</t>
  </si>
  <si>
    <t>EP0594129B1</t>
  </si>
  <si>
    <t>一种接受多媒体操作命令的方法,其中,当用户通过指向输入设备指向图形显示系统的显示屏幕上的显示对象或显示位置时,命令图形显示系统在图形上引起事件 通过语音输入设备显示; 包括允许用户执行指向手势以输入围绕显示对象和任何期望显示位置的一个区域的一串坐标点的第一步; 第二步,允许用户连同指向手势一起给出语音命令; 第三步,响应语音命令,通过语音识别过程识别语音命令的命令内容; 第四步,根据第三步的识别结果,识别指向手势的命令内容; 第五步,根据语音命令和指向手势的命令内容,在图形显示器上执行事件。 因此,该方法提供了一种人机界面,该人机界面利用了语音和指向手势的多种媒体,为用户提供了高可操作性,并且利用该人机界面可以容易地编辑插图等。</t>
  </si>
  <si>
    <t>JP2644350B2</t>
  </si>
  <si>
    <t>目的:通过自动标记和评估受训者的有声指点和显示他的点来减轻教练的负担,实现操作训练的自学。 组成:声音采集部分 4、语音识别部分 5、评估部分 6、输出控制部分 7、CRT 8 和打印机 9 添加到驾驶训练模拟器部分 10。评估部分 6 接收编码的浊音 来自语音识别部5的指示内容,并与预先存储在评估部中的视觉确认评估基准值和来自操作训练模拟器部10的工厂状态值进行比较和评估。然后确定受训者是否 以操作时间间隔确认需要目视确认的项目,即在每一步目视确认点,他的活动被标记并显示为点。 从而大大减轻了教练的负担,学员可以自己训练。</t>
  </si>
  <si>
    <t>驾驶训练模拟器装置</t>
  </si>
  <si>
    <t>JP2683832B2</t>
  </si>
  <si>
    <t>目的:通过设置盲区的大小来执行稳定的转向控制,盲区的大小在决定索引 9 的识别图像位置是否从设置的参考位置偏移时设置,以便距离越远 从跑步机体1的指标来看,上述尺寸越小。 组成:一个死区的大小,它是在决定相对于索引9的参考位置进行图像识别处理的移位量时设置的,以便离索引9的距离越近,所述尺寸越大 变成。 即,当设置死区α的尺寸时,跑步机体1离分度9越远,所述尺寸变得越小,并且所述机体越接近,所述尺寸变得越大,这样的故障如下: 跑步机主体1离指标9越近,转向控制越灵敏,越远,该控制越不灵敏,在不发生恒定的情况下,转向控制 可以高精度执行。 以这种方式,即使在使用不需要变焦功能的照相机的情况下,也可以执行直接的高控制。</t>
  </si>
  <si>
    <t>作业车自动转向系统</t>
  </si>
  <si>
    <t>EP0314650B1</t>
  </si>
  <si>
    <t>一种需求驱动的人工智能生产系统,利用 RETE 网络在条件/数据匹配、规则选择和规则触发执行周期中进行比较匹配,其中修改 RETE 网络以维护满足匹配条件的实例列表 RETE 网络的每个节点,在比较匹配时将令牌传递给后代节点,维护令牌已通过的所有祖先节点的模式,并将模式遍历为避免先前匹配和之前匹配之间冗余的那些 RETE 模式匹配的路径 当前正在进行的比赛。</t>
  </si>
  <si>
    <t>模式导向、基于规则的人工智能生产系统中优化网络模式匹配的方法</t>
  </si>
  <si>
    <t>US4849905A</t>
  </si>
  <si>
    <t>一种需求驱动的 AI 生产系统,利用 RETE 网络在条件/数据匹配、规则选择和规则触发执行周期中进行比较匹配,其中 RETE 网络被修改以维护满足表达式中表示的匹配条件的实例列表 RETE 网络的每个节点,在比较匹配时将令牌传递给后代节点,维护令牌通过的所有祖先节点的模式,并遍历模式作为避免在先前匹配和之前的匹配之间冗余的那些 RETE 模式匹配的路径 正在进行的当前比赛。</t>
  </si>
  <si>
    <t>在模式导向、基于规则的人工智能生产系统中优化 RETE 模式匹配的方法</t>
  </si>
  <si>
    <t>US4768777A</t>
  </si>
  <si>
    <t>一种用于锻炼、训练、康复和人机交互的双功能健身车,具有两把椅子、两个车把框架和两组踏板,以提供相反方向的旋转力以共同驱动阻尼装置或发电机,并具有调节装置 调整驱动系统元件之间的张力。 该自行车还包括至少一个操作反应训练装置并且可以包括用于产生电力以用作驱动装置的发电机。 该自行车可以体现为五轴或三轴结构,每个结构都带有摆动式调节装置。 五轴和三轴结构还具有包括主动齿轮和从动齿轮、至少两个链轮和链条的驱动系统以及诸如飞轮的阻尼装置。</t>
  </si>
  <si>
    <t>用于锻炼和训练的双功能健身车</t>
  </si>
  <si>
    <t>US4565527A</t>
  </si>
  <si>
    <t>感应框架的位置使得当罚球手将篮球射向球门时,篮球将穿过感应框架中的矩形开口。 传感框架有一束光在篮球所需路径的顶部上方穿过它以使篮球进入球门,第二束光在篮球所需路径下方穿过它以进入球门。 如果这些光束中的任何一个被破坏,不同的警报信号会向射手指示篮球的路径是高还是低。 传感框架可垂直和围绕水平轴调节,以实现传感框架相对于射手的所需定位。</t>
  </si>
  <si>
    <t>通过反馈增强学习训练人类的方法和装置</t>
  </si>
  <si>
    <t>US4569026A</t>
  </si>
  <si>
    <t>一种视频娱乐系统,人类观众通过该系统在电视屏幕上显示的分支故事游戏中与屏幕演员或卡通人物进行模拟语音对话。 演员和卡通人物用口型同步的声音回应观众所说的话。 从视盘和数据存储器生成不同的音频和视频帧,以根据观众对语音识别单元所说的话,在游戏中的每个分支点提供几个备选答复或备选动作之一。 可以使用简单的语音识别单元,因为在每个分支点要识别的单词数量仅限于几个单词。 提示词菜单显示在手持单元上,以告知观众他们可以在每个分支点使用哪些词。 提示词被编程为在语音上是不同的,以便于彼此区分。 观众可以通过说出代表整个句子的显示代码字来输入问题或发表其他评论。 按下手持单元上显示的句子旁边的按钮可以使所显示的句子的录音被播放以代替观众说出它。 观众可以与名人的模拟图像聊天,在球赛中进行比赛,以国王或将军的身份做出行政决策,并与有趣的游戏角色一起参与模拟冒险,这些角色会对每个观众的话做出回应并做出回应。</t>
  </si>
  <si>
    <t>顶嘴的电视电影</t>
  </si>
  <si>
    <t>US4333152A</t>
  </si>
  <si>
    <t>一种视频娱乐系统,人类观众通过该系统在电视屏幕上播放的预先录制的分支电影中与屏幕演员或卡通人物进行模拟语音对话。 演员和卡通片以口型同步的声音回应观众所说的话。 根据观众对语音识别单元所说的内容,在视频盘上寻址不同的音频和视频帧,以在电影中的每个分支点提供几个备选答复或备选动作之一。 可以使用简单的语音识别单元,因为在每个分支点要识别的单词数量仅限于几个单词。 提示词菜单显示在手持单元上,以告知观众他们可以在每个分支点使用哪些词。 提示词被编程为在语音上是不同的,以便于彼此区分。 观众可以通过说出代表整个句子的显示代码词来输入问题或发表其他评论。 按下手持单元上显示的句子旁边的按钮可以使所显示的句子的录音被播放以代替观众说出它。 观众可以与名人的模拟图像聊天,在球赛中进行比赛,以国王或将军的身份做出行政决策,并与有趣的角色一起参与模拟冒险,这些角色会对每个观众的话做出回应并做出回应。</t>
  </si>
  <si>
    <t>1. Design product name: Display screen panel with sports graphic user interface. 2. The purpose of designing products in this exterior: The design of the product is used to display the interface content of the graphical user interface to complete the human -machine interaction. 3. Design of the design of the product in this exterior: lies in the content of the graphic user interface in the product screen. 4. Pictures or photos that can most indicate design points: main view. 5. Other views designed in this exterior have no design points, omitting other views. 6. The purpose of the graphical user interface: The graphic user interface of the product is the user interaction interface of the motion on the display. 7. Human -computer interaction method of graphic user interface: By sliding the interface of the main view view, the interface is switched from the main vision to the interface change state Figure 1; the interface of the interface of the interface changes is changed, so that the interface changes from the interface state. To the interface change state Figure 2; through the interface of the changing state of the sliding interface, the interface of the interface is changed from the interface change state. 2 switch to the interface change state. 3 Switch to the interface change state Figure 4; by sliding the interface of the transformation of the interface Figure 4, the interface is switched from the interface change state to the interface change state. State Figure 5 Switch to the interface change state Figure 6; by sliding interface changes in the interface of the state 6, the interface is changed from the interface change state to the interface to change to the interface changes. Interface change state Figure 7 Switch to the interface change state Figure 8; by sliding the interface changes in the interface, the interface of the interface 8, the interface is changed from the interface state change to the interface change state. The interface is switched from the interface change state to the interface change state Figure 10; by sliding the interface changes in the interface of the interface, the interface 10 is switched from the interface change state to the interface change state. , Switch the interface to the state change state from the interface change to the interface change state. The interface that makes the interface change from the interface change state Figure 13 to the interface change state. Figure 14; through the changing state of the sliding interface, the interface 14 is switched from the interface change state to the interface change state. The interface in Figure 15 makes the interface change from the interface change state Figure 15 to the interface change state. Figure 16; by the change of the interface changes in the sliding interface Figure 16, the interface is changed from the interface state change to the interface changes. Figure 17; through sliding the interface interface The interface of the change state Figure 17 makes the interface change from the interface change state Figure 17 to the interface change state. Sliding interface changes in the interface 19, so that the interface is changed from the interface change state figure 19 to the interface change state Figure 20; the interface of the transformation of the interface is changed, so that the interface changes from the interface change to the interface change state. ; By sliding interface changes, the interface of Figure 21, so that the interface is changed from the interface change state Figure 21 to the interface change state. Figure 23; By sliding the interface changes in the state of the interface 23, the interface is changed from the interface change state Figure 23 to the interface change state Figure 24; the interface of the changing state of the sliding interface Figure 24, the interface changes from the interface state Figure 24 to the interface to the interface Change status Figure 25; By sliding interface change state Figure 25, the interface changes from the interface change state Figure 25 to the interface change state Figure 26; by sliding the interface changes in the interface of the interface 26, the interface changes from the interface state Figure 26 Switch To the interface change state Figure 27; By sliding the interface changes in the interface of the interface 27, the interface is changed from the interface change state Figure 27 to the interface change state Figure 28. Enter the interface change state by clicking the "Add Training" in the interface change state. The interface of the state Figure 30 makes the interface change from the interface change state Figure 30 to the interface change state Figure 31. Click the main view, interface change state Figure 1 to the interface change state Figure 28 Ren "Settings" icon on the right side of the interface enter the interface change state. Figure 32. Click the "calories" in the interface change status to enter the interface change state. Figure 33, click or long press the interface change state in Figure 33 to increase the value of the calorie data, click or press the interface changes in the state of the interface.的 "reduce the value of the calorie data. Among them, the value of the calories can be adjusted within the range of 0‑9999. Click the" completion "return interface change state in the interface change state. 32. If the positioning is not turned on, click "Outdoor Walk" in the main view to enter the interface change state Figure 34, click the interface change status Figure 34 to enter the interface change state. Later, for example, the interface of the interface change status Figure 36 After 2 seconds, the interface is changed from the interface change state. Figure 36 to the interface change state. In the interface, the interface of the interface change state Figure 36 After the preset time, for example, the interface of the interface change state Figure 36 After 2 seconds, the interface is switched from the interface change state to the interface of the interface change state. Figure 37. If in the state of the display screen surface of the display screen, and the user is running, the display screen panel is on and entering the interface change state Figure 35, click the interface change state of the "start" into the interface change state of the interface. The interface of the interface change status Figure 36 After the preset time, for example, the interface changes in the interface. Figure 36 The interface after 2 seconds, the interface is switched from the interface changes to the interface of the interface change state. The interface of 37 makes the interface change from the interface change state Figure 37 to the interface change state Figure 47. Click the "outdoor cycling" in the interface change state into the interface change state. Figure 38; the interface of the transformation state of the sliding interface Figure 38 makes the interface change from the interface state change to the interface change state Figure 47. Click the "dynamic bicycle" in the interface change state to enter the interface change state. Figure 39; by sliding the interface change state of the interface 39, the interface is changed from the interface state change to the interface change state. Figure 47. Click "Open Water Swimming" in Figure 4 to enter the interface change state in Figure 4; Figure 40; by sliding interface changes in the interface 40, the interface is changed from the interface change state. 40 to the interface change state Figure 47. Click the "rowing machine" in the interface change state to enter the interface change state. Figure 41; the interface of the transformation state of the sliding interface Figure 41, the interface is changed from the interface state change to the interface change to the interface change state Figure 47. Click the "climbing" into the interface change state in Figure 5 in Figure 5 in Figure 5; by changing the interface of the interface to the left or to right, the interface 42 is changed from the interface change state. 42 to the interface change state. The interface of the transformation of the interface in the upward or downward dynamic interface Figure 42 makes the interface change from the interface changes. Figure 42 Switch to the interface change state Figure 43. Click the "yoga" in the interface transition state to enter the interface change state. Figure 44; by sliding the interface changes in the interface 44, the interface is changed from the interface change state. 44 to the interface change state Figure 47. Click the "dumbbell training" in Figure 12 of the interface changes to enter the interface change state. Figure 45; by sliding the interface changes in the interface 45, the interface is changed from the interface change state. 45 to the interface change state Figure 47. Click the "Muay Thai" in the interface 17 to enter the interface change state. Figure 46; by sliding the interface change state of the interface Figure 46, the interface is changed from the interface state change to the interface change state Figure 47. Click on the interface change state Figure 47 to enter the interface change state Figure 48, by the change of the states of the sliding interface Figure 48, the interface changes from the interface change to the interface change state. The interface makes the interface change from the interface change state. 49 Switch to the interface change state Figure 50. Click the "completion" of the interface change state Figure 50 to return to the main view. 8. Other situations that need to be explained and other descriptions: The display screen panels designed here are used for smart watches, smart bracelets, mobile phones, computers or tablets.</t>
  </si>
  <si>
    <t>1. Design product name: Smart watch screen with graphical user interface with sports information.
 2. Design products in appearance: used to display and human -computer interaction.
 3. Design of design products in this exterior: It is to display the graphical user interface content of the smart watch screen.
 4. Pictures or photos that can best show design: Design 1 main view.
 5. Specify design 1 is the basic design.
 6. The purpose of the graphical user interface: display and operate the function of sports information.
 7. Change state description of the graphic user interface: Design 1 The main vision map shows the movement time Tile interface displayed by the watch in the sports scene. Screen status.
 The button on the side of the rotating watch is unlocked above 180 degrees, and the design 1 interface changes are presented in turn.
 In the design 1 main view, the arrow above the interface indicates the positioning state, the arrow flashes indicating the positioning, the disappearance of the arrow indicates that the type of movement does not support GPS, and the design 1 interface changes. 8.
 Sports support step frequency from step icons and data switching to step icons and data, presenting the design 1 interface change state Figure 9.
 The number of steps and data disappear if the movement does not support the number of steps.
 In the middle of the interface, the motion duration is displayed, and the exercise time is more than one hour to present the design 1 interface change state Figure 10.
 The exercise time is more than 10 hours to present the design 1 interface change state. 11.
 Time setting 12 -hour and 24 -hour system, setting to 24 -hour exercise time more than 10 hours to present design 1 interface change state Figure 12.
 When the exercise is suspended, the interface movement is flickering.
 Design 2 The main vision map shows the default interface of the sports time displayed in the watch scene, unlock and switch to the motion distance Tile, and after locking, the design 2 interface changes state Figure 1.
 The interface displays the motion status indicator, the GPS positioning status, the current time, the number of steps, the heart rate, the power, and the lock screen status.
 The buttons on the side of the rotating watch are unlocked above 180 degrees, and the design 2 interface changes are presented in turn. Figure 2‑8, and the rotation 90 degrees (clockwise or counterclockwise) to switch different sports Tiles.
 In the design 2 interface change state Figure 1, the arrow above the interface indicates the positioning state, the arrow flashes indicating the positioning, the arrow disappears indicates that the type of motion does not support GPS, and the design 2 interface change state Figure 9.
 Sports support step frequency from step icons and data switching to step icons and data, presenting the design 2 interface change state Figure 10.
 The number of steps and data disappear if the movement does not support the number of steps.
 In the middle of the interface, the motion distance is displayed, and below the value indicates that the icon of the movement distance of the tile is on.
 When the exercise distance exceeds 100km, the design 2 interface changes are displayed.
 The movement distance Tile supports the kilometer (KM) and mile (mi). When it is set to mile (mi), the design 2 interface changes are displayed. 12.
 When the movement distance exceeds 100 &amp; nbsp; mi, the design 2 interface changes are presented in Figure 13.
 When the motion is suspended, the distance between the interface is flickering.
 Design 3 The main vision map shows the default interface of the sports time displayed in the watch scene, unlocked and switched to the heart rate Tile.
 The interface displays the motion status indicator, the GPS positioning status, the current time, the number of steps, the heart rate, the power, and the lock screen status.
 The button on the side of the rotating watch is unlocked above 180 degrees, and the design 3 interface changes are presented in turn. Figure 2‑8. After unlocking, the rotation of 90 degrees (clockwise or counterclockwise) switch different sports Tiles.
 In the design 3 interface change state Figure 1, the arrow above the interface indicates the positioning state, the arrow flashes indicating the positioning, the arrow disappears indicates that the type of movement does not support GPS, and the design 3 interface changes. 9.
 The number of steps and data disappear if the movement does not support the number of steps.
 In the middle of the interface, the heart rate value is displayed. Below the value indicates that the icon of the heart rate Tile lit up, and the heart rate icon and numerical value of the heart rate icon and value in the lower right of the interface disappear.
 When the heart rate is not detected, the design 3 interface changes are displayed, and the "‑‑" flickering in the interface.
 Heart rate detection results and update value, presenting the design 3 interface change state Figure 11.
 When the heart rate detection value exceeds 200, the design 3 interface changes are displayed. 12.
 The heart rate in the interface flickered when the interface was suspended.
 Design 4 The main vision map shows the default interface of the sports time displayed in the watch scene. After unlocked, it is replaced to the pace Tile.
 The interface displays the motion status indicator, the GPS positioning status, the current time, the step, the heart rate, the power volume and the lock screen status.
 The button on the side of the rotating watch is unlocked above 180 degrees, and the design 4 interface changes are presented in turn. Figure 2‑8. After unlocking, the rotation 90 degrees (clockwise or counterclockwise) switch different sports Tiles.
 In the design 4 interface change state figure 1, the arrow above the interface indicates the positioning state, the arrow flashes indicating the positioning, the arrow disappears indicates that the type of movement does not support GPS, and the design 4 interface changes are in graph 9.
 Sports support steps from step icons and data switching to the number of step icons and data, showing the design 4 interface change state Figure 10.
 Sports do not support step -frequency icons and data disappear.
 In the middle of the interface, the pace value is displayed, and below the value represents the icon of the pace Tile.
 The pace Tile supports (/km) and (/mi) per kilometer -time use (/km) per kilometer, and the design 4 interface changes are presented at the time (/mi) per miles of use (/mi).
 When there is no pace or too low, the design 4 interface changes are displayed. 12.
 When the motion is suspended, the pace of the interface flickering.
 Design 5 The main vision chart shows the default interface of the sports time displayed in the watch scene, unlocked and switched to the speed Tile.
 The interface displays the motion status indicator, the GPS positioning status, the current time, the number of steps, the heart rate, the power, and the lock screen status.
 The buttons on the side of the rotating watch are unlocked above 180 degrees, and the design 5 interface changes are presented in turn. Figure 2‑8. After unlocking, the rotation 90 degrees (clockwise or counterclockwise) to switch different sports Tiles.
 In the design 5 interface change state Figure 1, the arrow above the interface indicates the positioning state, the arrow flashes indicating the positioning, the arrow disappears indicates that the type of motion does not support GPS, and the design 5 interface changes. 9.
 Sports support step frequency from step icons and data switching to step icons and data, presenting the design 5 interface change state Figure 10.
 The number of steps and data disappear if the movement does not support the number of steps.
 The speed value of the interface is displayed in the middle area, and the icon of the speed tile is on below the value.
 When the speed value is 0, the design 5 interface changes are presented.
 At the speed value greater than 10, the design 5 interface changes are displayed. 12.
 When the speed value is greater than 100, the design 5 interface changes are displayed. Figure 13.
 Speed ​​Tile supports kilometers/hours (km/h) and miles/h (mi/h). When setting to miles/h (mi/h), the design 5 interface changes are displayed. Figure 14.
 The middle speed of the interface flickering when the exercise is suspended.
 Design 6 The main vision chart shows the default interface of the sports time displayed in the watch scene. After unlocked, it is replaced to the tile in the sports calorie.
 The interface displays the motion status indicator, the GPS positioning status, the current time, the number of steps, the heart rate, the power, and the lock screen status.
 The button on the side of the rotating watch is unlocked above 180 degrees, and the design 6 interface changes are presented in order.
 In the design 6 interface change state Figure 1, the arrow above the interface indicates the positioning state, the arrow flashes indicating the positioning, the arrow disappears indicates that the type of movement does not support GPS, and the design 6 interface changes. 9.
 Sports support step frequency from step icons and data switching to step icons and data, presenting the design 6 interface change state Figure 10.
 The number of steps and data disappear if the movement does not support the number of steps.
 In the middle area of ​​the interface, the calorie value consumed by the current sports is displayed, and below the value, the icon of the tile in the motion calories is on.
 Caliba value 4 digits presentation 6 interface change state Figure 11.
 Caliba value 5 digits presentation 6 interface changes in the design 6 interface figure 12.
 When the motion is suspended, the value of the interface is flickering.
 Design 7 The main vision chart shows the default interface of the sports time displayed in the watch scene in the sports scenario, unlocked and switched to counting Tile.
 The interface displays the motion status indicator, the GPS positioning status, the current time, the number of steps, the heart rate, the power, and the lock screen status.
 The button on the side of the rotating watch is unlocked above 180 degrees, and the transformation state of the design 7 interface is presented in turn. Figure 2‑8, and the rotation 90 degrees (clockwise or counterclockwise) to switch different sports Tiles.
 In the design 7 interface change state Figure 1, the arrow above the interface indicates the positioning state, the arrow flashes indicating the positioning, the arrow disappears indicates that the type of movement does not support GPS, and the design 7 interface changes are displayed. 9.
 The number of steps and data disappear if the movement does not support the number of steps.
 Counting can be counted, such as the number of running circles, the number of swimming trip, the number of skipping rope, and the number of HIIT movements (such as the opening jump).
 The number of counts in the interface flickering in the middle of the interface when the exercise is suspended.
 Design 8 The main vision chart shows the default interface of the sports time displayed in the watch scene, unlocked and switched to the current altitude/cumulative rise/cumulative decrease of Tile.
 The interface displays the motion status indicator, the GPS positioning status, the current time, the number of steps, the heart rate, the power, and the lock screen status.
 The buttons on the side of the rotating watch are unlocked above 180 degrees, and the design 8 interface changes are presented in turn. Figure 2‑8. After unlocking, the rotation 90 degrees (clockwise or counterclockwise) to switch different sports Tiles.
 In the design 8 interface change state Figure 1, the arrow above the interface indicates the positioning state, the arrow flashes indicating the positioning, the arrow disappears indicates that the type of movement does not support GPS, and the design 8 interface changes. 9.
 Sports support step frequency from step icons and data switching to step icons and data, presenting the design 8 interface change state Figure 10.
 The number of steps and data disappear if the movement does not support the number of steps.
 In the interface, the current altitude/cumulative increase/cumulative decrease value is displayed in order. Automatically switching per interval between 2 seconds, and the corresponding icon is on when the value switching, showing the design 8 interface change state. 11‑13.
 The current altitude/cumulative rise/cumulative Tile supports two units: M &amp; Nbsp; or &amp; Nbsp; FT). The switch to the British unit is displayed in turn to display the design 8 interface change state. 14‑16.
 The current altitude is a negative altitude. Public units present a design 8 interface change state. Figure 17.
 Switch to the British unit to present the design 8 interface change state Figure 18.
 At the time of exercise, the current altitude/cumulative rising/cumulative decrease in the interface flickering.
 Design 9 &amp; nbsp; The main vision shows the default interface of the sports duration displayed in the watch in the sports scenario, unlock and switch to the compass Tile.
 The interface displays the motion status indicator, the GPS positioning status, the current time, the number of steps, the heart rate, the power, and the lock screen status.
 The buttons on the side of the rotating watch are unlocked above 180 degrees, and the design 9 interface changes are presented in turn. Figure 2‑8. After unlocking, the rotation 90 degrees clockwise or counterclockwise) Switch different sports Tiles.
 In Figure 1 in the design 9 interface change state, the arrow above the interface indicates the positioning state, the arrow flashes indicating the positioning, the arrow disappears indicates that the sports type does not support GPS, and the design 9 interface changes. 9.
 Sports support step frequency from step icons and data switching to step icons and data, presenting the design 9 interface change state Figure 10.
 The number of steps and data disappear if the movement does not support the number of steps.
 In the middle of the interface, the value of the numerical represented by the value is not detected. The value of the design 9 interface changes has not been detected.
 The angle value is 2 digits to present the design 9 interface change state. 12.
 The angle value is 3 digits to present the design 9 interface change state Figure 13.
 The design 9 interface change state is required when calibration is required to make a prompt.
 When the motion is suspended, the interface pins are flickered.</t>
  </si>
  <si>
    <t>1. Design product name: Display screen panel with corporate financial management graphic user interface. ; 2. Design products for designing products: used to display graphical user interface. ; 3. Design of the design of the product in this exterior: lies in the graphic user interface in the screen. ; 4. The picture or photo that can most indicate the point of design: The interface changes state Figure 6. ; 5. There is no design point for other views, omitting other views. 6. The purpose of graphical user interface: The interface is used for corporate financial management, approval, requests, reimbursement, data display and other purposes. 7. Human -computer interaction method of graphical user interface: The graphic user interface displayed by the main view is to open the start interface of the program; 1; Interface change status Figure 2: In the interface change state Figure 1 "Please enter your registered mobile phone number" in the input box in the input box, enter the any mobile phone number in the input box and click the "Access Verification Code" button below to pop up the interface change state. ; Interface Change State Figure 3: Click the "LDAP Login" button in the center of the main screen to enter the interface change state. 3; ; Interface Change Status Figure 5: Figure in the main view, interface change status diagram 1. Interface change status Figure 3 Login method to enter the necessary login information and click the "Login" button to enter the interface change state diagram 5; interface changes status diagram 6: Click the "Enter Enterprise" button at the bottom right of the "Enter the Enterprise" button to enter the interface change state. 6; 7; Interface change state Figure 8: Click the interface change state Figure 6 The "XX" button in the upper right corner of the interface pops up the interface change state. 8; Change state figure 9; interface change state Figure 10: In the interface change state Figure 6 The main menu on the left side of the left main menu first click the "My" button to expand the sub -menu before clicking the "My Datram" button to get the interface changes. Figure 11: Click on the interface change state Figure 10 The "new" button on the left at the top of the left side pops up the interface change state. 11; The changing state changes of the interface figure 12; the interface change state Figure 13: Click the interface change state Figure 10 The "screening" button on the left at the top of the left side pops up the interface change state. 13; To send the meal "button to get the interface change state Figure 14; the interface change state Figure 15: Click the interface change state Figure 14 The bottom center of the" View the ortaisable borrowing of XX "button pops up the interface change status graph 15; interface change state Figure 16: Click the interface change state Figure 14 The "green" graphic button in the central center pops up the interface change state Figure 16; the interface change state Figure 17: Click the interface change status Figure 14 The "approval process" button at the top of the central center to obtain the interface change state Figure 17 Figure 17 ; Interface Change State Figure 18: Click the interface change state Figure 10 The "Handle" button of the main menu on the left main menu enters the interface change state Figure 18; The button pops up the interface change state diagram 19; the interface change status diagram 20: Click the interface change status Figure 10 The "My Borrowing" button on the left main menu to enter the interface change state Figure 20; The "field -shaped" graphics button of the horns gets the interface change state Figure 21; interface change state Figure 22: Click the interface change state Figure 10 The "application items" button on the left main menu to enter the interface change state Figure 22; interface change state Figure 23: Click the "Project Account" button of the left main menu to enter the interface changes in the interface change state. After clicking the "Waiting for Me" button to get the interface change state Figure 24; the interface change state Figure 25: Click to check the interface change state Figure 24 The "small block" graphical button on the left upper right corner to get the interface changes. ; Interface change state Figure 26: Click the interface change state Figure 25 The "罒 -shaped" graphic button in the upper right corner of the "Lightning Approval" in the upper right corner pops up the interface change state of the interface. "The" 1233 "button under the label pops up the interface change state Figure 27; the interface change state Figure 28: Click the interface change state Figure 27 The" approval process "button on the top right to obtain the interface changes. Interface Change State Figure 24 The "To Print" button on the left main menu to enter the interface change state Figure 29; interface change state Figure 30: Click the interface change status Figure 24 Figure 30; interface change status Figure 31: Click the "Details dimension" button in the upper right corner of the interface change status. Send the "button to enter the interface change state Figure 32; interface change state Figure 33: Click the interface change status Figure 24 The" waiting for me to receive "button to enter the interface changes in the interface. State Figure 24 The "copy of my" button on the left main menu enters the interface change state. Figure 34; the interface change state Figure 35: In the interface change state Figure 6 The main menu on the left side of the left side of the "document management" button to expand the sub -menu before then then Click the "Reimbursement Management" button to get the interface changes. Figure 35; the interface change state Figure 36: Click the interface change status Figure 35 The "3333" button under the "title" label to pop up the interface change state. Click the interface change state Figure 35 The "Unified Ventaging" button of the left main menu to enter the interface change state Figure 37; interface change state Figure 38: Click the interface change state Figure 35 The "To Invoice" button to enter the interface change state Figure 38; interface change status Figure 39: Click the interface change status Figure 35 The "Invoice use specification" button of the left main menu to enter the interface change state. 39; Invoice verification "Click the" Edit "button on the far right of the level to pop up the interface change state. Figure 40; interface change state Figure 41: Click the interface change status Figure 35 The" Import Settings "button of the main menu on the left side Status Figure 42: Click the interface change Status Figure 35 The "Price and Tax separation" button of the left main menu enter the interface change state Figure 42; interface change state Figure 43: In the interface change state Figure 6 The left main menu on the left first click "Payment Data" first After the button is expanded, click the "To Pay" button to get the interface changes. Figure 43; the interface change state Figure 44: In the interface change state Figure 6 The main menu on the left side of the left side Package management "button to get the interface change state Figure 44; interface change state Figure 45: click the interface change state Figure 44 The" orange "graphic button in the upper left corner of the left corner to enter the interface change state. 45; 45 The "Copy Budget" button on the bottom right to pop up the interface change state Figure 46; the interface change state Figure 47: Click the interface change state Figure 45 The bottom right "batch settings" button pops up the interface change state. 47; : In the interface change state Figure 6 The main menu on the left side of the left main menu first click the "Credit Management" button to expand the sub -menu before clicking the "Credit Rules" button to get the interface change state. 48; "Basic Credit Rules" click the "Edit" button on the far right of the level to pop up the interface change state. Figure 49; interface change status Figure 50: Click the interface change status Figure 48 The "credit data" button of the main menu of the left main menu enters the interface changes. Change status Figure 51: Click the interface change status Figure 50 The "XX" button under the label of the left person label to pop up the interface change state. 51; Set the "button to expand the sub -menu and then click the" address book "button to get the interface change state. Figure 52; the interface change state Figure 53: Click the interface change status Figure 52 The" character "button of the left main menu to enter the interface change state Figure 53; interface interface; interface Change status Figure 54: Click the interface change state Figure 52 The "order setting set" button of the left main menu to enter the interface change state. 54; Enter the interface change state Figure 55; interface change state Figure 56: Click the interface change status Figure 52 The "Security Settings" button of the left main menu to enter the interface changes. 56; The "Message Center" button of the main menu enters the interface change state Figure 57; the interface change state Figure 58: In the interface change state Figure 6 The main menu on the left main menu first click the "Auto Reimbursement" button to expand the sub -menu before clicking the "Fee Generation Settings" button Get interface change state Figure 58; interface change status Figure 59: In the interface change state Figure 58 The upper left of the left "cost 1" click the "edit" button on the far right of the level to pop up the interface change state. 59; State Figure 6 The left main menu on the left side first click the "File Settings" button to expand the sub -menu and then click the "Cost Type" button to get the interface change state. 60; Field "button to get the interface change state Figure 61; interface change state Figure 62: Click the interface change status Figure 60 The" Application Field "button at the top of the central center to get the interface change state Figure 62; The "currency settings" button on the left main menu enters the interface change state Figure 63; the interface change state Figure 64: Click the interface change state. 60 The "urban management" button of the main menu on the left main menu enters the interface changes. Figure 65: In the interface change state Figure 60 Sliding upward on the left main dish of the main dish and click the "Payment Account" button to enter the interface change state. 65; ) "The button pops up the interface change state Figure 66; the interface change state Figure 67: Click the interface change status Figure 65 The" Supplier File "button of the main menu on the left main menu enters the interface change state Figure 67; Figure 6 The left main menu on the left first click the "Document Settings" button to expand the sub -menu, and then click the "Field Settings" button to get the interface change state. 68; Template "button enter the interface change state Figure 69; interface change state Figure 70: Click the interface change state Figure 68 The" approval flow "button of the main menu on the left main menu enters the interface change state. 70; 6 The main menu on the left first click the "Division Settlement Center" button to expand the sub -menu and then click the "Supplier Account" button to get the interface change state. 71; The "Supplier Bill" button enters the interface change state Figure 72; interface changes status Figure 73: Click the interface change state Figure 71 The "reconciliation settlement" button on the left main menu to enter the interface change state Figure 73; Interface change state Figure 71 The "Settings" button of the left main menu to enter the interface change state Figure 74; interface change state Figure 75: In the interface change state Figure 6 The main menu on the left side of the left main menu first click the "Public Payment Management" button Click the "Payment Management" button to get the interface change state Figure 75; the interface change state Figure 76: Click the interface change status. 75 to enter the first "details" button to enter the interface change state. 76; interface changes status diagram 77: Click the "Framework Contract 1" button in the central figure of the interface change state. Interface change state Figure 79: Click the interface change state Figure 78 The "System Log" button on the left main menu to get the interface change state Figure 79.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 ; 1. The name of the design of the product in this exterior: the display screen panel with the financial management graphic user interface with the enterprise. ; 2. Design products for designing products: used to display graphical user interface. ; 3. Design of the design of the product in this exterior: lies in the graphic user interface in the screen. ; 4. The picture or photo that can most indicate the point of design: The interface changes state Figure 6. ; 5. There is no design point for other views, omitting other views. 6. The purpose of graphical user interface: The interface is used for corporate financial management, approval, requests, reimbursement, data display and other purposes. 7. Human -computer interaction method of graphical user interface: The graphic user interface displayed by the main view is to open the start interface of the program; 1; Interface change status Figure 2: In the interface change state Figure 1 "Please enter your registered mobile phone number" in the input box in the input box, enter the any mobile phone number in the input box and click the "Access Verification Code" button below to pop up the interface change state. ; Interface Change State Figure 3: Click the "LDAP Login" button in the center of the main screen to enter the interface change state. 3; ; Interface Change Status Figure 5: Figure in the main view, interface change status diagram 1. Interface change status Figure 3 Login method to enter the necessary login information and click the "Login" button to enter the interface change state diagram 5; interface changes status diagram 6: Click the "Enter Enterprise" button at the bottom right of the "Enter the Enterprise" button to enter the interface change state. 6; 7; Interface change state Figure 8: Click the interface change state Figure 6 The "XX" button in the upper right corner of the interface pops up the interface change state. 8; Change state figure 9; interface change state Figure 10: In the interface change state Figure 6 The main menu on the left side of the left main menu first click the "My" button to expand the sub -menu before clicking the "My Datram" button to get the interface changes. Figure 11: Click on the interface change state Figure 10 The "new" button on the left at the top of the left side pops up the interface change state. 11; The changing state changes of the interface figure 12; the interface change state Figure 13: Click the interface change state Figure 10 The "screening" button on the left at the top of the left side pops up the interface change state. 13; To send the meal "button to get the interface change state Figure 14; the interface change state Figure 15: Click the interface change state Figure 14 The bottom center of the" View the ortaisable borrowing of XX "button pops up the interface change status graph 15; interface change state Figure 16: Click the interface change state Figure 14 The "green" graphic button in the central center pops up the interface change state Figure 16; the interface change state Figure 17: Click the interface change status Figure 14 The "approval process" button at the top of the central center to obtain the interface change state Figure 17 Figure 17 ; Interface Change State Figure 18: Click the interface change state Figure 10 The "Handle" button of the main menu on the left main menu enters the interface change state Figure 18; The button pops up the interface change state diagram 19; the interface change status diagram 20: Click the interface change status Figure 10 The "My Borrowing" button on the left main menu to enter the interface change state Figure 20; The "field -shaped" graphics button of the horns gets the interface change state Figure 21; interface change state Figure 22: Click the interface change state Figure 10 The "application items" button on the left main menu to enter the interface change state Figure 22; interface change state Figure 23: Click the "Project Account" button of the left main menu to enter the interface changes in the interface change state. After clicking the "Waiting for Me" button to get the interface change state Figure 24; the interface change state Figure 25: Click to check the interface change state Figure 24 The "small block" graphical button on the left upper right corner to get the interface changes. ; Interface change state Figure 26: Click the interface change state Figure 25 The "罒 -shaped" graphic button in the upper right corner of the "Lightning Approval" in the upper right corner pops up the interface change state of the interface. "The" 1233 "button under the label pops up the interface change state Figure 27; the interface change state Figure 28: Click the interface change state Figure 27 The" approval process "button on the top right to obtain the interface changes. Interface Change State Figure 24 The "To Print" button on the left main menu to enter the interface change state Figure 29; interface change state Figure 30: Click the interface change status Figure 24 Figure 30; interface change status Figure 31: Click the "Details dimension" button in the upper right corner of the interface change status. Send the "button to enter the interface change state Figure 32; interface change state Figure 33: Click the interface change status Figure 24 The" waiting for me to receive "button to enter the interface changes in the interface. State Figure 24 The "copy of my" button on the left main menu enters the interface change state. Figure 34; the interface change state Figure 35: In the interface change state Figure 6 The main menu on the left side of the left side of the "document management" button to expand the sub -menu before then then Click the "Reimbursement Management" button to get the interface changes. Figure 35; the interface change state Figure 36: Click the interface change status Figure 35 The "3333" button under the "title" label to pop up the interface change state. Click the interface change state Figure 35 The "Unified Ventaging" button of the left main menu to enter the interface change state Figure 37; interface change state Figure 38: Click the interface change state Figure 35 The "To Invoice" button to enter the interface change state Figure 38; interface change status Figure 39: Click the interface change status Figure 35 The "Invoice use specification" button of the left main menu to enter the interface change state. 39; Invoice verification "Click the" Edit "button on the far right of the level to pop up the interface change state. Figure 40; interface change state Figure 41: Click the interface change status Figure 35 The" Import Settings "button of the main menu on the left side Status Figure 42: Click the interface change Status Figure 35 The "Price and Tax separation" button of the left main menu enter the interface change state Figure 42; interface change state Figure 43: In the interface change state Figure 6 The left main menu on the left first click "Payment Data" first After the button is expanded, click the "To Pay" button to get the interface changes. Figure 43; the interface change state Figure 44: In the interface change state Figure 6 The main menu on the left side of the left side Package management "button to get the interface change state Figure 44; interface change state Figure 45: click the interface change state Figure 44 The" orange "graphic button in the upper left corner of the left corner to enter the interface change state. 45; 45 The "Copy Budget" button on the bottom right to pop up the interface change state Figure 46; the interface change state Figure 47: Click the interface change state Figure 45 The bottom right "batch settings" button pops up the interface change state. 47; : In the interface change state Figure 6 The main menu on the left side of the left main menu first click the "Credit Management" button to expand the sub -menu before clicking the "Credit Rules" button to get the interface change state. 48; "Basic Credit Rules" click the "Edit" button on the far right of the level to pop up the interface change state. Figure 49; interface change status Figure 50: Click the interface change status Figure 48 The "credit data" button of the main menu of the left main menu enters the interface changes. Change status Figure 51: Click the interface change status Figure 50 The "XX" button under the label of the left person label to pop up the interface change state. 51; Set the "button to expand the sub -menu and then click the" address book "button to get the interface change state. Figure 52; the interface change state Figure 53: Click the interface change status Figure 52 The" character "button of the left main menu to enter the interface change state Figure 53; interface interface; interface Change status Figure 54: Click the interface change state Figure 52 The "order setting set" button of the left main menu to enter the interface change state. 54; Enter the interface change state Figure 55; interface change state Figure 56: Click the interface change status Figure 52 The "Security Settings" button of the left main menu to enter the interface changes. 56; The "Message Center" button of the main menu enters the interface change state Figure 57; the interface change state Figure 58: In the interface change state Figure 6 The main menu on the left main menu first click the "Auto Reimbursement" button to expand the sub -menu before clicking the "Fee Generation Settings" button Get interface change state Figure 58; interface change status Figure 59: In the interface change state Figure 58 The upper left of the left "cost 1" click the "edit" button on the far right of the level to pop up the interface change state. 59; State Figure 6 The left main menu on the left side first click the "File Settings" button to expand the sub -menu and then click the "Cost Type" button to get the interface change state. 60; Field "button to get the interface change state Figure 61; interface change state Figure 62: Click the interface change status Figure 60 The" Application Field "button at the top of the central center to get the interface change state Figure 62; The "currency settings" button on the left main menu enters the interface change state Figure 63; the interface change state Figure 64: Click the interface change state. 60 The "urban management" button of the main menu on the left main menu enters the interface changes. Figure 65: In the interface change state Figure 60 Sliding upward on the left main dish of the main dish and click the "Payment Account" button to enter the interface change state. 65; ) "The button pops up the interface change state Figure 66; the interface change state Figure 67: Click the interface change status Figure 65 The" Supplier File "button of the main menu on the left main menu enters the interface change state Figure 67; Figure 6 The left main menu on the left first click the "Document Settings" button to expand the sub -menu, and then click the "Field Settings" button to get the interface change state. 68; Template "button enter the interface change state Figure 69; interface change state Figure 70: Click the interface change state Figure 68 The" approval flow "button of the main menu on the left main menu enters the interface change state. 70; 6 The main menu on the left first click the "Division Settlement Center" button to expand the sub -menu and then click the "Supplier Account" button to get the interface change state. 71; The "Supplier Bill" button enters the interface change state Figure 72; interface changes status Figure 73: Click the interface change state Figure 71 The "reconciliation settlement" button on the left main menu to enter the interface change state Figure 73; Interface change state Figure 71 The "Settings" button of the left main menu to enter the interface change state Figure 74; interface change state Figure 75: In the interface change state Figure 6 The main menu on the left side of the left main menu first click the "Public Payment Management" button Click the "Payment Management" button to get the interface change state Figure 75; the interface change state Figure 76: Click the interface change status. 75 to enter the first "details" button to enter the interface change state. 76; interface changes status diagram 77: Click the "Framework Contract 1" button in the central figure of the interface change state. Interface change state Figure 79: Click the interface change state Figure 78 The "System Log" button on the left main menu to get the interface change state Figure 79.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t>
  </si>
  <si>
    <t>This patent describes the design and function of the three -axis -based three -axis -based three -axis
  Ultrasonic Smart PAD with pressure, temperature and microelectronics
  Sensing medical diagnosis ability. Ultrasonic Smart Pad
  Real -time data and coordinates for tracking, monitoring and recording Smart
  The sub -millimeter precision sensor of the 2D image capture process
  Ultrasonic images and converting these 2D ultrasound images to 3D
  Ultrasonic image.
  · The ultimate purpose of the present invention is to provide a feedback mechanism
  Optimize and quantify ultrasound image capture process, which will make
  The possibility of high -quality, standardized ultrasound images.
  · Ultrasonic Smart Pad can be used as "independent" medical equipment
  Diagnostic instruments for sensory and motor neurology assessment
  Function and vascular assessment of target organs.
  · The second goal and function is SMART PAD that can also play a role
  With the ability of ultrasonic intelligent sensor to integrate system.
  · This Smart Pad and Smart Sensor Integrated System will provide real -time
  Time feedback on position, pattern, tracking and pressure
  Ultrasonic intelligent sensor during 2D ultrasound image capture.
  · Smart Pad-Smart Sensor Integrated System will also provide real-time
  Data about the total contact percentage of the target organs
  Surface imaging during the ultrasonic imaging process.
  · The present invention will be used as a real -time, dynamic ultrasound imaging and dynamic ultrasound imaging
  Diagnostic instruments of medical practitioners and ultrasonic technicians.
  · SMART PAD will capture and transmit feelings and sports information in real time
  Neurology diagnostic data through a real -time data processor (Figure 7 (d))
  USB data cable.
  · Smart Pad will capture and transmit blood vessels in real time
  Quantitative data of the target organs pulse and circulating state
  Connect to real -time data processor through USB data cables (Figure 7 (d)).
  Ultrasound intelligent pads as independent medical diagnosis
  The instrument will be the surface of the capture player, and through it
  Quantitative evaluation ability can:
  · Quantitative and drawing the total contact shape and surface area.
  · Quantitative measurement of the pulse of the target organs.
  · Use Smart to measure the temperature in the contact surface area
  PAD's grid, providing blood circulation blood vessel evaluation
  And the tissue of the target organs.
  · Change the temperature of Smart Pad at the designated power grid contact
  Points as a neurological assessment as a target sensory state
  organ.
  · Apply microelectronics pulse at the specified target organs
  The points on the Smart Pad grid are used as a neurology assessment
  The state of the target organs.
  · Run in an integrated system with smart sensors, Smart
  PAD will be used as a 3D Axis Grid Base for real -time monitoring
  Smart sensor, this is a standard, ultrasonic that has nothing to do with the brand
  The sensor is equipped with a 3D motion sensor.
  · SMART PAD will have power and USB compatibility data
  The port on the Smart Pad base-data cable (Figure 4: ultrasonic wave
  Smart pad 3D bottom plate).
  · SMART PAD will be able to draw the contact map of the target organs
  Shape and surface area, transmit these data from ultrasonic waves
  Smart Pad 3D Embedded Form Format (Figures 5 and Figure 6 (A) (B) (C) (D)
  ), To real -time data processor (Figure 7 (c)), and then arrive
  Through USB data real -time graphical user interface (GUI) (Figure 7 (d))
  cable.
  · Provide graphical users' data and real -time feedback system
  Display interface to ultrasound technicians/doctors (Figure 7 (d))
 Real -time monitoring location, pattern, tracking and tracking
  The pressure of the USB data cable connected to Smart Sensor
  Real -time data processor (Figure 7 (C)).
  · The ability to provide real -time data and feedback mechanisms
  The entire ultrasound image capture process of ultrasound physician will be optimized 2D
  Ultrasonic image.
  · The current lack of standardized 2D ultrasound images, but the standardized 2D ultrasound image is
  The main defects and obstacles of ultrasound are widely adopted
  Imaging as an effective diagnostic tool.
  · Ultrasound instrument equipment has a significant decrease in capital
  Compared with X -rays and MRI, the cost of institutions and doctors
  And CT scan. If the quality of the ultrasound image can be at least reached the level of MRI
  Soft tissue imaging and diagnosis quality, global medical influence will
  profound.
  Ultrasonic images can be in the office of medical experts or in
  Military and stadium and rural geographical location. this will 
  High -quality medical imaging and diagnosis that can be affordable to the majority of people
  Most remote rurals and areas that are not currently not available.
  Go to junior health hospital and video facilities.
  · The purpose of high -quality 2D ultrasound image is basically unlimited
  The basis of "image quota" allows continuous monitoring of patients' progress
  And confirm their medical care. This is an important development
  Continuous assessment of the "next generation" intelligent medical implant
  Its functional state and the basis of biological integration.
  · Standardized ultrasound images and significant improvements caused by this
  Ultrasonic imaging qualitative will reduce misdiagnosis and increase the misdiagnosis rate
  Diagnosis and concurrency between those in the scoring person/scoring can make the diagnosis faster and accurate
  The doctor's treatment decision made by improving the diagnosis
  Imaging quality and the possibility of subsequent effective artificial intelligence/machine
  Learn analysis and explanation.
  · High -quality ultrasonic images will significantly reduce the danger of the human body
  Ultrasonic examination will not be radiated by patients
  X -rays and CT scanning, or Mili imaging periods.
  · Enhance and optimize the quality of ultrasound image is absolutely necessary
  Accurate and effective 2D to 3D US image "splicing" function and
  The quality of the ultrasonic image generated by this has been significantly improved.
  · Any subsequent artificial intelligence must use standardized ultrasound images
  Used to develop any artificial intelligence -assisted interpretation and machine learning
  Ultrasonic diagnosis function and service.
  · Smart pad grid material used in 50 mm "target organs"
  Contact phase (Figure 2 (b) (c) (d); Figure 3 (c); Figure 4) Material
  Common crystal long silk chart 5; Figure 6 (b) (d).
  (Figure 5; Figure 6 (b) (d)) as a coordinates of the diagnosis of neurology
  · Smart bottom plate (Figure 2 (c); Figure (3 (c); Figure 4; Figure 5)
  Nano -filament (Figure 5; Figure 6 (a) (b) (c) (d) is precise square)
  Millimeter plus two -dimensional "cross" grid pattern (Figure 5;
  Figure 6 (a) (b) (c)) and 3D grids (Figure 5; Figure 6 (d) and owned materials
  Configuration (Figure 5; Figure 6 (b)).
  Configuration (Figure 5; Figure 6 (b)).
  · The mesh for 3D grid refers to the depth of the "Z" axis foundation board@5mm
  References (Figure 6 (d)).
  Plant (Figure 7 (C)).
  · Graphic user interface (GUI) (Figure 7 (d)).
  Embedded square millimeter ‘cross’ X ’X’ s double diagonal grid (Figure 5;
  Figure 6 (a) (b) (c) (d) the analysis ability of the total target
  Copy (Figure 7 (d)) and then display on the graphic
  User interface (GUI) (Figure 7 (d)).
  Data processor (Figure 7 (C)).
  Surface coverage) and smart pads (Figure 1.0; Figure 2; Figure 3;
  Figure 4; Figure 5).
  (Figure 7 (C) is an intelligent sensor of the ultrasonic intelligent pad (Figure 1; Figure 2; 2;
 Figure 3 (a) (b) (c) (d); Figure the contact surface monitoring and</t>
  </si>
  <si>
    <t>1. Design product name: Multi -player competition graphic user interface on the display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graphic user interface is a multiplayer graphical user interface on the application software client. The interface can be used for competition guessing and answering questions.
 7. Human -computer interaction method of graphical user interface: In design 1, when the user clicks the "Guessing Song Survival Game" in the middle of the main view interface, the interface jumps to the interface change state Figure 1.
 In Figure 1 of the interface change state, when the user clicks the "Start matching" control, the matching user avatar displayed in the middle of the interface shows the interface change of the interface change state change state change state.
 When the user team assembles, the interface jumps to the interface change state Figure 3.
 After the number of "players who has joined" then reached the specified number of people within the specified time, the interface jumped to the interface change state Figure 4.
 In Figure 4 of the interface change state, when the user clicks any option to answer the right question, the interface head animation changes, the interface's options in the middle of the interface display the answering results on the left and right sides, showing the interface change state Figure 4 to the interface changes. Essence
 Subsequently, the number of "Next Questions" was displayed after the number of "remaining players" displayed on the interface head, showing the interface change of the interface change state change state change state changes.
 Then the interface jump to the interface change state Figure 8, in the interface change state Figure 8, the interface is a new answer option.
 When the user clicks any option, the answer is over, and the interface jumps to the interface change state Figure 9.
 Then the interface jump to the interface change state diagram 10.
 In Figure 10 of the interface changes, users can click the "Return to the Room" control to return to the room interface.
 In Design 2, when the user clicks the "Guessing Song Survival Game" in the middle of the main view interface, the interface jumps to the interface change state Figure 1.
 In Figure 1 of the interface change state, when the user clicks the "Start matching" control, the matching user avatar displayed in the middle of the interface shows the interface change of the interface change state change state change state.
 When the user team assembles, the interface jumps to the interface change state Figure 3.
 After the number of "players who has joined" then reached the specified number of people within the specified time, the interface jumped to the interface change state Figure 4.
 In Figure 4 of the interface change state, when the user clicks any option to answer the wrong question, the interface head animation changes, the answering results are displayed on the left and right sides in the middle of the interface, showing the interface change state Figure 4 to the interface changes. Variety.
 Subsequently, the "Next Question" countdown to show the interface change state Figure 5 to the interface change state changes in the interface.
 Later, the interface jump to the interface change state Figure 7. In the interface change state Figure 7, the current status is the state of "Observation", and the interface is a new answer option.
 After the teammates click the option, the interface changes are presented in the interface change state change state changes.
 Then the answer was over, and the interface jumped to the interface change state Figure 9.
 Then the interface jump to the interface change state diagram 10.
 In Figure 10 of the interface changes, users can click the "Return to the Room" control to return to the room interface.
 In Design 3, when the user clicks the "Guessing Song Survival Tournament" in the middle of the main view interface, the interface jumps to the interface change state Figure 1.
 In Figure 1 of the interface change state, when the user clicks the "invitation friend" control, the invitation channel floating windows and the "cancel" control are displayed in the middle of the interface, showing the interface change of the interface change state change state change status 2.
 When the user chooses the invitation channel, the floating window is closed, and the matching user avatar displayed in the middle of the interface shows the interface change of the interface change state. 2 to the interface changes.
 When the user team assembles, the interface jumps to the interface change state Figure 4.
 Subsequently, after the number of "players" reached the prescribed number within the specified time, the interface jumped to the interface change state Figure 5.
 In Figure 5 of the interface change state, when the user clicks any option to answer the right question, the interface head animation changes, the interface's options in the middle of the interface display the answering results on the left and right sides, showing the interface changes. Essence
 Subsequently, the number of "Next Questions" was displayed after the number of "remaining players" was displayed on the interface head, showing the interface change of the interface change state change state change state change.
 Later, the interface jump to the interface change state Figure 9. In the interface change state Figure 9, the interface is a new answer option.
 When the user clicks the option to answer the question, the interface jumps to the interface change state Figure 10.
 Then the interface jump to the interface change state Figure 11.
 In Figure 11 of the interface changes, users can click the "Return to the Room" control to return to the room interface.
 In Design 4, when the user clicks the "Guessing Song Survival Tournament" in the middle of the main view interface, the interface jumps to the interface change state Figure 1.
 In Figure 1 of the interface change state, when the user clicks the "invitation friend" control, the invitation channel floating windows and the "cancel" control are displayed in the middle of the interface, showing the interface change of the interface change state change state change status 2.
 When the user chooses the invitation channel, the floating window is closed, and the matching user avatar displayed in the middle of the interface shows the interface change of the interface change state. 2 to the interface changes.
 When the user team assembles, the interface jumps to the interface change state Figure 4.
 Subsequently, after the number of "players" reached the prescribed number within the specified time, the interface jumped to the interface change state Figure 5.
 In Figure 5 of the interface changes, when the user clicks any option to answer the wrong question, the interface head animation changes, the interface heads are displayed on the left and right side of the middle part of the interface, showing the interface change state. Variety.
 Subsequently, the "Next Question" countdown to show the interface change state. Figure 6 to the interface change state changes in Figure 7.
 Later, the interface jump to the interface change state Figure 8. In the interface change state Figure 8, the current status is the state of "in the battle", and the interface is a new answer option.
 When teammates click on any option, the interface changes are presented in the interface change state change state change.
 Then the answer was over, and the interface jumped to the interface change state Figure 10.
 Then the interface jump to the interface change state Figure 11.
 In Figure 11 of the interface changes, users can click the "Return to the Room" control to return to the room interface.
 8. The display screen panel can be used for mobile phones, computers, tablets, and car navigators.</t>
  </si>
  <si>
    <t>1. The name of the product in this exterior: a watch with a graphical user interface.
 2. The purpose of designing products in this exterior: This design product is used for communication, executing programs, and information interaction with mobile phones.
 3. The design of the design of the product: the graphical user interface displayed on the screen.
 4. The picture or photo of the main point of design design in this appearance: Design 1 main view.
 5. Save the view: The watch of the watch is designed with the existing design, and there is no design point, so other views other than the main view are omitted.
 6. Specify basic design: Design 1.
 7. Interface use: realize human -computer interaction in user movement status.
 8. Other instructions: Design 1 "Outdoor Running".
 Design 1 interface state change graph 1 Siter can enter the design 1 interface state change diagram 2 or 3 to display the history of the motion (where the design 1 interface state change diagram 2 is the existence of sports history, the design 1 interface state change diagram 3 is no existence of existence does not exist. The history of exercise), the slide of the design 1 interface state changes 2 can display the content shown in the design 1 refer to the content shown in Figure 1, and refer to Figure 2 and 3 for the magnification shown in Figure 1. picture.
 In the design 1 interface state change graph 2 or 3 left sliding can enter the design 1 interface state changes 4 for settings, and by sliding up and down the design 1 interface state change diagram 4 to display the content of the design 1 refer to Figure 4.
 Click the "Outdoor Running" in the Design 1 Interface Status Change Figure 1, you can enter the relevant interface of the motion target settings.
 In the relevant interface of the movement target settings, first enter the design 1 interface state change diagram 5 (immediately exercise), and enter the design 1 interface state change in order in the design 1 interface state change. Mileage and target heat.
 In the design 1 interface state change diagram 5, 6, 7, and 8, you can enter the design 1 interface state changes 9. When the stop button of long -press design 1 interface state changes 9, return to the design 1 interface state change graph 1 1 Essence
 When clicking the arrow icon icon of the interface state change diagram 5, 6, 7, and 8, enter the design 1 interface state change diagram 10 (in this view, you can automatically perform 321 countdown display).
 When the interface state change diagram 5 enters the design 1 interface state changes 10, when the countdown of the design 1 interface state changes 10 is completed, automatically enter the design 1 interface state change diagram 11, and in the design 1 interface status change diagram map 11 Move upward and down, you can enter the design 1 interface state change diagram 12 or 13. In the design 1 interface state change diagram 11, 12, and 13, the motion time near the center of the view shows different motion data.
 When the interface state change diagram 7, 8 enter the design 1 interface state changes 10, when the countdown of the design 1 interface state changes 10 is completed, the design 1 interface state change graph 14 or 15 or 16 will be automatically entered (of which Design 1 interface state change figure 14 shows the result interface after setting the calorie movement target in the design 1 interface state change diagram 8, and the design 1 interface state change graph 15, 16 shows the design 1 interface state changes chart. The result interface after the target mileage is set in the target mileage. The difference between designing 1 interface state changes 15 and 16 is that the unit is shown in Chinese or English. In these views At present, the movement of the exercise, and the lower half shows different sports data, and can slide to display different sports data, similar to designing 1 interface state change graph 11, 12, 13).
 When the design 1 interface state change diagram 6 (target time) enters, you can enter to the design 1 interface state change diagram 11 to display the time movement data.
 Design 1 interface state changes Figure 14, 15, and 16 display the current completion.
 When the user is not in the motion, it will enter the automatic suspension interface. In the automatic suspension of the interface, first display the design 1 interface state change graph 17, click "Automatic pause", enter the design 1 interface state change picture 18, click Design 1 interface interface, click design 1 interface interface "I know" in Status Change Figure 18 Return to Design 1 Interface Status Change Figure 17, click "Disable Automatic Passing" in Design 1 Interface Status State Characteristics 18, and enter the design 1 interface state changes 19, design 1 interface status state state, design 1 interface status state The "1 post -recovery" in the transformation diagram 19 refers to the recovery after x, and the X can be 3, 2, and 1. When only x is 1 is displayed here, the design 1 interface status change diagram is returned after recovery. 15 or 16.
 In the design 1 interface state change diagram 11‑16, the right sliding enters the design 1 interface state change figure 20 to display the movement path.
 In the design 1 interface state change graph 11‑16, the left sliding enters the design 1 interface state change graph 21 to end or pause operations. When the suspension button of design 1 interface state change graph 21 is clicked, the design 1 interface state is returned to the design 1 interface state Change diagram 11, 14, 15, or 16. The back slide of the design 1 interface state change in the return design 1 interface status 11, 14, 15, or 16, enter the design 1 interface state change graph 22.
 Click the arrow button in the design 1 interface state change figure 22, and return the design 1 interface state change graph 11, 14, 15, or 16.
 When long pressing design 1 interface state change graph 21 or design 1 interface state changes in Figure 22, if the exercise time is too short, enter the design 1 interface state change graph 23. The icon "√" will return to the design 1 interface state change diagram 1. If you click "×", return the design 1 interface state change picture 11, 14, 15, or 16; If you enter the design 1 interface state change graph 24 (set the situation of the movement target) or the design 1 interface state change graph 25 (the situation of the motion target is not set), by the design 1 interface state change figure 24 and 25, the display is displayed to display, displayed, displayed, displayed, displayed, displayed, displayed, displayed, displayed, displayed, displayed, displayed, displayed, displayed, displayed, displayed, displayed, displayed, displayed, displayed, displayed, displayed, displayed, displayed, displayed to display. Various records of sports history (for example, the general reference Figure 1 and 2 shown, the general reference Figure 1 and 2 are only examples, and the projects of text and sports history are adjusted according to the actual type of movement).
 Design 2 "Outdoor Walk".
 Design 2 interface state change graph 1 Siter can enter the design 2 interface state change diagram 2 or 3 to display the history of the motion (where the design 2 interface state change diagram 2 is the existence of sports history. The history of the exercise), where the decline of the design 2 interface state changes 2 can display the content shown in the design 2 Reference 2, and design 2 refer to Figure 2 and 3 as the magnifying zoom shown in Figure 1. picture.
 In the design 2 interface state change diagram 2 or 3 left sliding can enter the design 2 interface state change diagram 4 for settings. By sliding up and down in the design 2 interface state change diagram 4 to display the content of the design 2 refer to Figure 4.
 Click "I want to walk" in the design 2 interface state change figure 1, and you can enter the relevant interface of the movement target settings.
 In the relevant interface of the movement target settings, first enter the design 2 interface state change diagram 5 (immediately exercise), and enter the design 2 interface state change in order in the design 2 interface state change. , Milestone, target calories, target steps.
 Slip in the design 2 interface state change diagram 5, 6, 7, 8, and 9 can enter the design 2 interface state change map 10. When the stop button of long -pressing design 2 interface state changes 10, return to the design 2 interface state change change figure 1.
 When the arrow icon icon of the design 2 interface state change diagram 5, 6, 7, 8, and 9, enter the design 2 interface state change diagram 11 (in this view, you can automatically perform 321 countdown display).
 When the design 2 interface state change diagram 5 enters the design 2 interface state change diagram 11, when the countdown of the design 2 interface state change picture 11 is completed, automatically enter the design 2 interface state change diagram 12, and in the design 2 interface status change diagram map 12 The ups and downs of the design 2 interface state changes 13 or 14 can be entered. In the design 2 interface state change diagram 12, 13, and 14, the motion time near the center of the view shows different motion data.
 When the design 2 interface state change diagram 7, 8 enter the design 2 interface status changes 11, when the countdown of the design 2 interface state changes 11 is completed, the design 2 interface state change graph 15 or 16 or 17 (of which Design 2 interface state change diagram 15 shows the result interface after setting the calorie movement target in the design 2 interface state change diagram 8, and the design 2 interface state change figure 16, 17 shows the design 2 interface status change diagram diagram in the design 2 interface state change chart The result interface of the mileage after mileage goals is set. The difference between designing 2 interface state changes Figure 16 and 17 are that the unit is shown in Chinese or English. In these views Sports, and the lower half shows different sports data, and can slide to display different sports data, similar to designing 2 interface state changes in Figure 12, 13, 14).
 When the design 2 interface state change diagram 6 (target time) enters, you can enter to the design 2 interface state change diagram 12 to display the time movement data.
 Design 2 interface state changes Figure 15, 16, and 17 to display the current completion.
 Although it has not been shown, it should be understood that when the transformation of the interface status transformation 9 enters from the design 2 interface status, it can be displayed similarly. number.
 When the user is not in a motion, it will enter the automatic suspension interface. In the automatic suspension of the interface, first display the design 2 interface state change graph 18, click "Automatic Passing" to enter the design 2 interface state changes 19, click the design 2 interface interface, click the design 2 interface interface "I know" in the Status Chart 19 returns to the design 2 interface state change figure 18, click "Disable Automatic Passing" in the Status Chart of the Design 2 Interface Status, enter the design 2 interface status variable chart 20, design 2 interface status status The "1 post -recovery" in the transformation diagram 20 refers to the recovery after x, X can be 3, 2, 1, here only when x is 1 as 1, when the recovery is returned, the design 2 interface status changes diagram 12, 15, and the backing 12, 15. 16 or 17.
 In the design 2 interface state change graph 12‑17, the right slide enters the design 2 interface state change graph 21 to display the motion path.
 In the design 2 interface state change graph 12‑17, the left sliding enters the design 2 interface state change graph 22 for the end or pause operation. When the suspension button of the design 2 interface state change graph 22 is clicked, the design 2 interface status is returned to the design 2 interface status Change Figure 12, 15, 16, or 17, the back slide of the design 2 interface state change in the returned design 2 interface state, 12, 15, 16, or 17, enter the design 2 interface state change graph 23.
 Click the arrow button in the design 2 interface state changes in Figure 23, and return the design 2 interface status change graph 12, 15, 16, or 17.
 When long -pressing design 2 interface state change graph 22 or design 2 interface state changes in Figure 23, if the exercise time is too short, enter the design 2 interface state change graph 24. The icon "√" will return to the design 2 interface state change diagram 1. If you click "×", return the design 2 interface state change graph 12, 15, 16, or 17; , If you enter the design 2 interface state changes graph 25 (set the situation of the movement target) or the design 2 interface state change graph 26 (the situation of the unprecedented motion target), by the design 2 interface state change figure 25 and 26, the display is displayed to display, displayed, displayed, displayed, displayed, displayed, displayed, displayed, displayed, displayed, displayed, displayed, displayed, displayed, displayed, displayed, displayed, displayed, displayed, displayed, displayed to display. Various records of sports history (for example, the general reference Figure 1 and 2 shown, the general reference Figure 1 and 2 are only examples, and the projects of text and sports history are adjusted according to the actual type of movement).
 Design 3 "Free Training".
 Design 3 interface state changes 1 can enter the design 3 interface state change diagram 2 or 3 to display the history of the motion (where the design 3 interface state change diagram 2 is the existence of sports history. The history of the exercise), the slide of the design 3 interface state changes in the design 3 interface can display the content shown in design 3 Reference 3, and design 3 Reference Figure 2 and 3 as the magnifying magnification shown in Figure 1 in Figure 1. picture.
 In the design 3 interface state change graph 2 or 3 left sliding can enter the design 3 interface state change diagram 4 for settings. By sliding up and down in the design 3 interface state change diagram 4 to display the content of the design 3 reference Figure 4.
 Click the "Freedom Training" in the Design 3 Interface Status Change Figure 1, and you can enter the relevant interface of the sports target settings.
 In the relevant interface of the movement target settings, first enter the design 3 interface state change diagram 5 (immediately exercise), and enter the design 3 interface state change in order in the design 3 interface state change. Essence
 In the design 3 interface state change diagram 5, 6, and 7, you can enter the design 3 interface state change diagram 8. When the stop button of long -pressing design 3 interface state change diagram 8, returns the design 3 interface state change diagram 1.
 When clicking the arrow icon of the design 3 interface state change diagram 5, 6, enter the design 3 interface state change diagram 9 (first group training), when clicking the icon "▶ ▏" of the design 3 interface state change drawing 9, enter Design 3 interface state change diagram 10 (rest after the first group of training). When clicking the icon "▶ ▏" of the design 3 interface state change diagram 10, enter the design 3 interface status change diagram 11 (second group training), should be should be when Click the icon "▶ ▏" of the design 3 interface state change diagram 11, and enter the design 3 interface state change diagram 12 (the rest after the second group of training), so repeated.
 When the number of target groups is set in the design 3 interface state change diagram 7, click the arrow icon of the design 3 interface state change diagram 7, enter the design 3 interface state change graph 13 (first training). The icon "▶ ▏" of the change graph 13 will enter the design 3 interface state change Figure 14 (the rest after the first group of training). Status change diagram 15 (second group training), when clicking the icon "▶ ▏" of the design 3 interface state change picture 15, enter the design 3 interface state change graph (after the second group of training), so repeat until the target until the target The number of groups is completed.
 In the design 3 interface state change picture 9‑16, the left sliding enters the design 3 interface state change graph 21 to end or suspend operation. When the suspension button of the design 3 interface state changes 17 is clicked, the design is returned to the design 3 The interface state change figure 9面16 is one left sliding in the return design 3 interface state changes 9‑16, and enter the design 3 interface state change figure 18.
 Click the arrow button in the design 3 interface state changes in Figure 22, and return to any of the design 3 interface state change picture 9‑16.
 When long pressing design 3 interface state change graph 17 or design 3 interface state change figure 18, if the training record is not performed, enter the design 3 interface status change diagram 19. The icon "√" will return to the design 3 interface state change diagram 1. If you click "×", return to the design 3 interface state change picture 9‑16; if the training record has been performed, enter the interface of displaying the history of the motion.如进入设计3界面状态变化图20（设置了运动目标的情况）或设计3界面状态变化图21（未设置运动目标的情况），通过在设计3界面状态变化图20、21上下滑动，显示运动Various records of history (for example, the general reference Figure 1 and 2 are shown in Figure 1, the general reference Figure 1 and 2 are only examples, and the projects of text and sports history are adjusted according to the actual type of movement).
 Design 4 "Outdoor Cycling".
 Design 4 interface state change figure 1 The left slip can enter the design 4 interface state change diagram 2 or 3 to display the history of the motion (where the design 4 interface state change diagram 2 is the existence of sports history, the design 4 interface state change diagram 3 is no existence existence does not exist. The history of the exercise), the slide of the design 4 interface state changes in the design 4 interface can display the content shown in the design 4 Reference 4, and design 4 Reference Figure 2 and 3 as the magnifying zoom shown in Figure 1. picture.
 In the design 4 interface state change graph 2 or 3 left sliding can enter the design 4 interface state change diagram 4 for settings. By sliding up and down in the design 4 interface state change diagram 4 to display the content of the design 4 Reference Figure 4.
 Click "I want to ride" in the design 4 interface state change figure 1, and you can enter the relevant interface of the sports target settings.
 In the relevant interface of the movement target target setting, first enter the design 4 interface state change diagram 5 (immediately exercise), and enter the design 4 interface state change in order in the design 4 interface state change. Mileage and target heat.
 Slip in the design 4 interface state change diagram 5, 6, 7, and 8 can enter the design 4 interface status change diagram 9. When the stop button of the long -press design 4 interface state changes 9, return the design 4 interface status change graph 1 1 Essence
 When clicking the arrow icon of the interface state change diagram 5, 6, 7, and 8, enter the design 4 interface state change diagram 10 (in this view, you can automatically perform 321 countdown display).
 When entering the design 4 interface status change diagram 10 from the design 4 interface state change diagram 5, when the countdown of the design 4 interface state changes 10 is completed, automatically enter the design 4 interface status change chart 11, and in the design 4 interface status change chart diagram 11 Move upward and down, you can enter the design 4 interface state change diagram 12 or 13. In the design 4 interface state change diagram 11, 12, and 13, the motion time near the center of the view shows different motion data.
 When the transformation diagram of the design 4 interface status 7, 8 enter the design 4 interface state changes 10, when the countdown of the design 4 interface state changes 10 is completed, the design 4 interface state change graph 14 or 15 or 16 will be automatically entered (of which Design 4 interface state change figure 14 shows the result interface after setting the calorie movement target in the design 4 interface state change diagram 8, and the design 4 interface status change graph 15, 16 shows the design 4 interface status change diagram diagram in the design 4 interface state change chart The result interface after the target mileage is set in the target mileage. The difference between designing 4 interface state changes 15 and 16 is that the unit is shown in Chinese or English. In these views At present, the movement situation, and the lower half shows different sports data, and can slide to display different sports data, similar to the design 4 interface state change picture 11, 12, 13).
 When the design 4 interface state change diagram 6 (target time) enters, you can enter to the design 4 interface state change diagram 11 to display the time movement data.
 Design 4 interface state changes Figure 14, 15, and 16 display the current completion.
 When the user is not in a motion, it will enter the automatic suspension interface. In the automatic suspension of the interface, first display the design 4 interface state change picture 17, click "Automatic pause" to enter the design 4 interface state change picture 18, click the design 4 interface interface, click Design 4 interface interface "I know" in Status Change Figure 18 Return to Design 4 Interface Status Change Figure 17, click "Disable Automatic Passing" in Design 4 Interface Status State Characteristics Figure 18 and enter the design 4 interface status change map 19, design 4 interface status status state "1 post -recovery" in the transformation diagram 19 refers to recovery after x, X can be 3, 2, 1, here only when X is 1 is displayed, when recovery is returned to design 4 interface status change diagram 11, 14, 14, 14. 15 or 16.
 In the design 4 interface state change diagram 11‑16, the right sliding enters the design 4 interface state change figure 20 to display the movement path.
 In the design 4 interface state change graph 11‑16, the left sliding enters the design 4 interface state change graph 21 to end or pause operations. When the suspension button of the design 4 interface state changes 21 is clicked, the design 4 interface status is returned to the design 4 interface state. Change diagram 11, 14, 15, or 16. In the return design 4 interface state change picture 11, 14, 15, or 16 left slide, enter the design 4 interface state change graph 22.
 Click the arrow button in the design 4 interface state changes in Figure 22, and return the design 4 interface status change graph 11, 14, 15, or 16.
 When long -pressing design 4 interface state change graph 21 or design 4 interface state changes in Figure 22, if the exercise time is too short, enter the design 4 interface state change graph 23. The icon "√" will return to the design 4 interface state change diagram 1. If you click "×", return the design 4 interface state change picture 11, 14, 15, or 16; , If you enter the design 4 interface state change graph 24 (setting the situation of the movement target) or design 4 interface state change graph 25 (not setting out the situation of the motion target), by the design 4 interface state change figure 24 and 25, display, display, display, display, display, display, display, display, display, display, display, display, display, display, display, display, display, display, display, display, display, display, display, and display, display, display, display, display. Various records of sports history (for example, the general reference Figure 1 and 2 shown, the general reference Figure 1 and 2 are only examples, and the projects of text and sports history are adjusted according to the actual type of movement).
 Design 5 "indoor running".
 Design 5 interface state change graph 1 can enter the design 5 interface state change diagram 2 or 3 to display the history of the motion (where the design 5 interface state change diagram 2 is the existence of sports history, the design 5 interface status change diagram 3 is no existence of no existence The history of exercise), the slide of the design 5 interface state changes 2 can display the content shown in the design 5 Reference 5, and design 5 refer to Figure 2 and 3 as the magnifying zoom in Figure 1. picture.
 In the design 5 interface state change diagram 2 or 3 left sliding can enter the design 5 interface state change diagram 4 for settings. By sliding up and down in the design 5 interface state change diagram 4 to display the content of the design 5 refer to Figure 4.
 Click the "indoor running" in the design 5 interface state change figure 1, you can enter the sports target settings related interface.
 In the relevant interface of the movement target settings, first enter the design 5 interface state change diagram 5 (immediately exercise), and enter the design 5 interface state change in order in the design 5 interface state change. Mileage and target heat.
 Slip in the design 5 interface state change diagram 5, 6, 7, and 8 can enter the design 5 interface status change diagram 9. When long press design 5 interface status change button 9, return to the design 5 interface status change graph 1 1 Essence
 When the arrow icon icon of the design 5 interface state change diagram 5, 6, 7, and 8, enter the design 5 interface status change diagram 10 (in this view, you can automatically perform 321 countdown display).
 When the design 5 interface state change diagram 5 enters the design 5 interface state changes 10, when the countdown of the design 5 interface state changes 10 is completed, automatically enter the design 5 interface status change chart 11, and in the design 5 interface status change chart diagram 11 Utching up and down, you can enter the design 5 interface state change diagram 12 or 13. In the design 5 interface state change diagram 11, 12, and 13, the motion time near the center of the view shows different motion data.
 When the design 5 interface state change diagram 7, 8 enter the design 5 interface status changes 10, when the countdown of the design 5 interface state changes 10 is completed, the design 5 interface status change graph 14 or 15 or 16 (of which Design 5 interface state changes graph shows the result interface after setting the calorie movement target in the design 5 interface state change. The result interface after the target mileage is set in the target mileage. The difference between designing 5 interface state changes 15 and 16 is that the unit is shown in Chinese or English. In these views At present, the movement of the exercise, and the lower half shows different sports data, and can slide it to display different sports data, similar to designing 5 interface state changes 11, 12, 13).
 When the design 5 interface state change diagram 6 (target time) enters, you can enter to the design 5 interface state change diagram 11 to display the time movement data.
 Design 5 interface state changes Figure 14, 15, and 16 display the current completion.
 When the user is not in a motion, it will enter the automatic suspension interface. In the automatic suspension of the interface, first display the design 5 interface state change picture 17, click "Automatic Passing" to enter the design 5 interface state change picture 18, click the design 5 interface interface, click Design 5 interface interface "I know" in Status Change Figure 18 Return to design 5 interface state change figure 17, click "Disable Automatic Passing" in the Design 5 Interface Status State Characteristics 18, enter the design 5 interface state change diagram 19, design 5 interface status status status state The "1 post -recovery" in the transformation chart 19 refers to the recovery after x, and the X can be 3, 2, and 1. When only X is 1 is displayed here, when the recovery is recovered, the design 5 interface status change diagram 11, 14. 14. 15 or 16.
 In the design 5 interface state change diagram 11‑16, the left sliding enters the design 5 interface state change figure 20 for the end or pause operation. When the suspension button of the design 5 interface state changes 20 Change diagram 11, 14, 15, or 16, the back slide of the design 5 interface state change in the return design 5 interface status 11, 14, 15, or 16, enter the design 5 interface state change graph 21.
 Click the arrow button in the design 5 interface state change figure 21, and return the design 5 interface status change graph 11, 14, 15, or 16.
 When long pressing design 5 interface state change diagram 20 or design 5 interface state changes in Figure 21, if the exercise time is too short, enter the design 5 interface state change graph 22. The icon "√" will return to the design 5 interface state change diagram 1. If you click "×", return the design 5 interface state change picture 11, 14, 15, or 16; For example, enter the design 5 interface state change graph 23 (setting the situation of the movement target) or the design 5 interface state change graph 24 (the situation of the unprecedented motion target), by the design 5 interface state change figure 23 and 24, display, display, display, display, display, display, display, display, display, display, display, display, display, display, display, display, display, display, display, display, display, display, and display, display, display. Various records of sports history (for example, the general reference Figure 1 and 2 shown, the general reference Figure 1 and 2 are only examples, and the projects of text and sports history are adjusted according to the actual type of movement).
 In addition, you can switch to other interface state changes in design 1 ‑5 in other interface state changes in the interface state changes in the interface state in design 1.
 In addition, the reference Figure 2 and 3 in the design 1 中5 are the magnifying map shown by the separation of Figure 1.</t>
  </si>
  <si>
    <t>Cosa Lite (PTY) LTD private company and trademark registration number: 2012/100436/07 -2018/20789 Private company and trademark equity: 100% Status: Business. Trademark: Kosa's streamlined version. Trademark registration number: 2011/20439 Statistics: Registered. Nature: ordinary. Trademark shares: 100% copyright application number 2017/00037 Movie: broadcast. Capital: R990 000 000 000 000 Copyright State: Registered. Products: clothing, shoes and headdress. Trademarks; Llerated Edition. Trademark registration number: 2017/10433 Statistics: Registered. Nature: ordinary. Trademark shares: 100% copyright application number 2017/00030 movie: movie film. Capital: R240 000 000 Copyright State: Registered. Service: Telecom. Description of cargo: The list of interpreter descriptions of the first type of chemicals used in industry, science and photography, as well as agricultural, gardening and forestry; unpaid artificial resin, uns processing plastics; fire extinguishing and fireproof compositions; recovery and welding Preparation; substances of animal fur; industrial adhesives; oil ash and other paste fillers; compost, feces, fertilizer; biological agents used for industrial and science. The first category mainly includes chemical products for industry, science and agriculture, including products for manufacturing other categories of products. This includes, especially: -Finomic paper; -tire repair composition; ; This category does not include, especially: -Surtile natural resin (category 2), semi -processing resin (category 17); -Cymatic or veterinary chemicals (fifth category); ——— fungal agent Agent and insecticide (category 5); -Shanding or home adhesive (category 16); -Salid salt (category 30); Category 2 paint, varnish, varnish; preservatives rust and prevent wood from deteriorating; coloring agents, dyes; printing, marking and carving inks; unprocessed natural resin; Metal. Explanation description The second category mainly includes paint, coloring agent and preparation for corrosive corrosion. This category especially includes: -Clavia, paint, and brightening paint for industrial, handicrafts and art; Rust -proof oil and wood antiseptic oil; -clothing dye; This category does not include: -Surtile artificial resin (class 1), semi -processed resin (Category 17); -metal dye (first type); -washing hair blue (third category); -cosmetics Dyes (third category); -paint box (school item) (class 16); -Shapho -ink (category 16); The third type of non -medicinal cosmetics and scrubbings; non -medicinal toothpaste; perfume, essential oil; bleach and other substances for laundry; cleaning, polishing, scrubbing and abrasive. Note Category 3 mainly includes non -pharmaceutical washing supplies, as well as clean supplies for family and other environments. This group specially includes: -Stochurium is used with lotion; This category does not include: -The components for cosmetics manufacturing, such as vitamins, preservatives and antioxidants (first categories); -sidine dehydration preparations (first category) used in the manufacturing process; One); -In except humans or animals (fifth category); (Manual Tool) (CL.8); Category 4 industrial oils, wax; lubricants; vacuum, wet and bonding compositions; fuel and lighting agents; candles and cores for lighting. Explanation illustrates Category 4 mainly includes industrial oil and oil, fuel and lighting agents. This group especially includes: -In: -Inned oils for protecting masonry or leather; -hara wax, industrial wax; -Cuctuel; -automotive fuel, biofuel; This category does not include: -Ere special industrial oil and oil, for example, tanning oil (category 1), wood anticorrosive oil, rust -proof oil and oil (category 2), essential oil -tasting (third category); —— Beauty massage candle (third category) and medicinal massage candles (fifth category); ), Dental wax (category 5), seal wax (category 16). Category 5 drugs, medical and veterinary preparations; medical and sanitary preparations; suitable for nutritional foods and substances for medical or veterinaries, infant food; dietary supplements of humans and animals; plaster, dressing materials; plugging materials, tooth wax; Disinfectant; preparation of pests; sterilizers, herbicides. Note Category 5 mainly includes medicines and other medical or veterinary preparations. This group specially includes: -In except for personal sanitary supplies, except for washing supplies; Normal diet or healthy dietary supplements; This category does not include, especially: -The composition for pharmaceuticals, such as vitamins, preservatives, and antioxidants (Category 1); -The non -drug washing supplies (third category); —— human use or animal deodorization of deodorization Preparation (third category); -Suctant bandage (category 10); -The replacement and nutritional food and beverages that are not specified for medical or veterinary use should be included in the appropriate food or beverage category, such as low -fat potato chips (Class 29), high -protein grain stick (class 30), and wait for penetration drinks (category 32). The sixth category of ordinary metals and its alloy and ore; metal materials for buildings; moving metal buildings; ordinary metal non -power cables and wires; metal hardware; metal containers used for storage or transportation; safe. Explanation illustrates Category 6 mainly includes ordinary metals that are not forged and partial forged, including ore, and some products made of ordinary metals. This category includes: -The foil or powder for further processing, such as 3D printers; Pings, such as bolts, screws, nails, furniture feet, window fasteners; Commodities made of ordinary metals, such as general metals, universal boxes, statues, half -body statues and ordinary metal artworks. This category does not include, especially: -The metals and ore used for chemicals in industrial or scientific research in industrial or scientific research, such as aluminum ore, mercury, coriander, alkaline metal and alkaline soil metal (Category 1); - Foil and powdery metal (second category) for painting, decoration, printing and art (second category); -cable (category 9) and non -metallic cables and ropes (category 22); —The pipelines (category 22); Category 11), non -metallic flexible pipes, pipes and hose (Class 17) and non -metallic rigid pipes (category 19); - Family pet cage (Category 21); Commodities classified according to their functions or uses, such as manual tools, manual (type 8), back -shaped needle (class 16), furniture (class 20), kitchen appliances (category 20). 21), home container (No. 1) Class 21). Category 7 of machines, machine tools, electric tools; motors and engines, except for terrestrial vehicles; machine coupling and transmission parts, except for terrestrial vehicles; agricultural tools, except manual tools; egg incubator; automatic vending machine. Note Category 7 mainly includes machines and machine tools, motors and engines. This category includes: -The various electric motors and engine parts, such as the starter, muffler and cylinder of the motor and engine; -3D printer; This type does not include, especially: -Manan tools and appliances, manual (type 8); Class), robotic cars (12 categories), robotic drums (type 15), toy robot (type 15). 28); -The land vehicle motor and engine (category twelfth); —— vehicles and tractors Footns (Twelfth Category); -WE some special machines, such as automatic tellers (category 9), artificial respiratory respirators (category 10), refrigeration equipment and machines (class 11). Category 8 of manual tools and appliances, manual; knife; sideline, except for guns, guns; shaving knives. Explanation illustrates the manual tools and tools for performing tasks such as drilling, plastic surgery, cutting, and perforation. This category includes: -The manual tools such as manual agriculture, gardening and gardening; Personal beauty and human art electric and non -electric manual tools, such as shaver, curly tools, tattoo tools, nail repair and foot repair tools; Essence This category is particularly excluding: -Celer's machine tools and tools (category 7); Class 28); ——The secondary weapon (classification) as a gun (Class 13); -Cuctive paper cutting knife and paper shredder (category 16); The handles of items, such as cane handle, umbrella handle (category 18), broom handle (category 21); -service appliances, such as sugar clamps, ice clips, pie machines and service spoons, and kitchen utensils, such as mixed spoons, such as mixed spoons , Pesting and Battle, Walnut Clamp and Wipes (Class 21); The ninth category of science, navigation, measurement, photography, film, optics, weighing, measurement, signal, inspection (supervision), life -saving and teaching instruments; Equipment and instruments; records, transmission or reproduction of sound or images; magnetic data carriers, recording discs; CDs, DVDs and other digital record media; coin -type equipment mechanisms; cashier, calculators, data processing equipment, computer; computer; computer; computer; computer; computer, computer; Computer software; fire extinguisher. Explanation This category includes: -The laboratory scientific research instruments and instruments; Programs and software, no matter how the media or communication methods, that is, the software recorded on a magnetic media or downloaded from the remote computer network. This category does not include: -The following electrical equipment and instruments: 1. Kitchen electromechanical equipment (food grinding machine and mixer, fruit pressing machine, electric coffee machine, etc.), as well as other drivers and instrument motors Essence 7; 2. Pump or distribute fuel device (class 7); 3. Electric shaver, fast boat (hand instrument) and flat iron (category eighth); 4. used for space heating or liquid heating, heating, liquid heating, heating, and liquid heating, and liquid heating, and heating, heating, and liquid heating, and heating, and liquid heating, heating, and heating, and liquid heating. Electric equipment (Category 11) of cooking, ventilation, etc.; 5. Electric toothbrushes and combs (Twenty -first category); —— Clocks and other timing instruments (Class 14); -The entertainment and gaming equipment for external display or monitors (Class 28). Category 10 surgery, medical, dental and veterinary equipment and equipment; prosthetic limbs, eyes and teeth; orthopedic supplies; suture materials; suitable for the treatment and auxiliary equipment of the disabled; Equipment, device and items. Note Category 10 mainly includes surgical, medical, dental and veterinary equipment, instruments and items that are generally used for diagnosis, treatment or improving the functions or conditions of people and animals. This category especially includes: -medical bandage and special clothing, for example, compressed jackets, varicose veins, tights, orthopedic shoes; Set, mattresses, and clamps; Plant; This group is particularly excluding: ——The medical dressing and absorbing sanitary products, such as plaster, bandage and gauze, lactating pads, infant nibs and incontinence napkins, cotton bars (category 5) for dressing Surgery plant (Category 5); ——Serbone smokeless cigarettes (category 5) and electronic cigarettes (category 34); -wheelchairs and schedule (category twest); Disease bed (category 20). Category 11 Lighting, heating, steam occurrence, cooking, refrigeration, drying, ventilation, water supply and sanitary use. Explanation explanation This category includes: -air conditioning equipment; -warm bed, hot water bottle, warm pot, electric or non -electric; cooking utensils. This category does not include: -steam production equipment (machine parts) (category 7). Category 12 vehicles; land, air or water sports equipment. Note Category 12 mainly includes vehicles and equipment used to transport personnel or goods through land, air transport or waterway transportation personnel or goods. This category especially includes: -Teon vehicle engine and engine; The wheels are tires and the tires of the vehicle. This group is particularly included: -Ma metal railway material (category 6); -In except for land vehicles, motors, engines, coupling and transmission components (7); —— various motors and engine parts, parts and engine parts, parts, and engine parts, For example, motor and engine starting, muffler and cylinder (category 7); -rubber trackets are track components of construction, mining, agriculture and other heavy machinery (category 7); —— toys tricycles and scooter (second second Eighteenth category); ——Su certain non -transportable special vehicles or wheel equipment, such as self -propelled circuit sweepstakes (category 7), fire trucks (category 9), tea carts (category 20); - Some components of the vehicle, such as electric batteries, mileage recorders and vehicle radios (category ninth), car and bicycle lights (class 11), car carpets (category 27). Class 13 gun; ammunition and bomb; explosives; fireworks. Category 13 mainly includes firearms and fireworks products. This does not include, especially: -matches (Class 34). The 14th type of precious metals and its alloys; jewelry, gem and semi -gem; watches and timing instruments. The fourteenth category mainly includes precious metals and some products made of precious metals or precious metals, as well as jewelry, clocks and parts. This category especially includes: -jewelry, including imitation jewelry, such as paste jewelry; The parts of the watches, such as the buckle and beads of jewelry, the movement of the clock, the clock pointer, the watch spring, the watch crystal. This type does not include, especially: -Suctive watch (category 9); —— jewelry, key ring or key chain (category 26); Its artworks are classified, such as metal (category 6), stone, concrete or marble (class 19) artworks, wood, wax, gypsum or plastic (class 20), porcelain, ceramics, pottery, clay or soil or soil or soil or soil or soil or soil or earth Glass (Category 21); -We certain products made of precious metals or plated precious metals and classified according to their functions or uses, such as metal foil and powder metal metal metal for painting, decoration, printing and art (Class 2) , Dental Gold Mryphory (Category 5), Tableware (Class 8), Digital (Category 9), Golden Pen Tip (Category 16), Teapot (Class 21), Gold and Silver Embroidery (Class 26 ), Cigar box (Article 34). Category 15 instrument. Explanation of this category, especially: -Mores and accessories; -music boxes; -Electronic and electronic instruments. This category does not include: -The record, transmission, amplification, and reproduction equipment (category 9). Category 16 and cardboard; printed materials; binding materials; photo; stationery and office supplies, except for furniture; stationery or home adhesive; painting materials and artist materials; oil painting brush; teaching and teaching materials; plastic for packaging and packaging Tablets, film and bags; printers type, printed block. Category 16 mainly includes paper, cardboard, and some products made of these materials, as well as office supplies. This category includes: -Stidum knife and paper cutter; Office machines, such as typos, photocopies, office postmark machines, rolling knives; Disposable paper products, such as bibbles, handkerchiefs and tablecloth paper; For example, with frame or frameless pulp statue prints, paintings and watercolor paintings. This type does not include, especially: -paint (class 2); Category 9), toy model (category 28); Bloss -leaf window (category 20), table cups and plate paper (category 21), paper sheets (class 24), paper and clothing (category 25), cigarette paper (category 34). Category 17 Undochemical and semi -processed rubber, ancient tower glue, tree gum, asbestos, Yunmu, and all these materials; plastic and resin for the formation of squeezed out of the manufacture; , Tube and hose. Explanation description The 17th category mainly includes electrical, insulation and sound insulation materials and plastics used in the form of pieces, blocks and rods for manufacturing, as well as Some products that are completed. This includes, especially: -Liao anti -pollution barrier; Elastic lines and rubber or plastic lines are not used for textiles; The shock -absorbing buffer, rubber bag or envelope of plugs and rubber is used for packaging. This level does not include, especially: -For water belt (category 9); —The pipeline (Category 11) and metallic rigid pipes (category 6) instead of metal (category 19); - —— Honethars (Class 19) for architecture; Use the asbestos sieve (category 9) to repair the inner tire bonding rubber patch (type 12), rubber rubber rubbing (Class 16). The 18th category of leather and imitation skin; animal skin and animal skin; luggage and handbags; umbrellas and parasols; canes; whip, horse and saddle; collar, belt and animal clothing. Category 18 mainly includes leather, leather imitation products and some products made of these materials. This category includes: -baggage and handbags, such as handbags, trunks, travel bags, baby back bags, schoolbags; -baggage tags; -business card boxes and pocket wallets; This category does not include: -Suctive cane or cane (category 10); —— people use leather clothing, shoe and headgear (category 20); Boxes, for example, bags (category 9), bags and boxes (category 9), instrument boxes (type 15), golf bags with camera and photography equipment, is dedicated to Bags designed for skiing boards and surfboards (category 28); Class 21), suede (category 21). 21), clothing belt (category 25). Category 19 of building materials (non -metal); non -metallic rigid tubes for buildings; asphalt, asphalt and asphalt; non -metallic mobile buildings; monuments, not metal. Note Category 19 mainly includes non -metal building materials. This category includes: -S semi -processed wood (for example, beams, wooden boards, panels); -Endon board; In particular, this group does not include: -genplasia and cement waterproof preparations (Category 1); Category 20 furniture, mirror, photo frame; non -metal container, used for storage or transportation; bones, horns, whale bones, or pearl mothers without processing or semi -processed; shells; sea bubbles; yellow amber. Note Category 20 mainly includes furniture and its parts, as well as some wood, cork, reeds, rattan, willow, beef, bone, ivory, whale bone, shell, amber, pearl mother, sea bubbles and alternative products All these materials, or plastic. This category includes: -metal furniture, camping furniture, gun rack, newspaper display rack; It is not metal; This group is especially included in: -The special furniture for laboratory (category 9) or medical (category tenth); —— metal (category 6), non -metal and non -textiles (category 19), textiles (22nd) Class) Outdoor shutters; - bed sheets, duck down quilts and sleeping bags (Twenty -fourth category); Mirror (category 10), rearview mirror (category 10) 12), sight of the gun (Class 13); Some products made of shells, amber, pearl mother, and sea bubble stones, and alternatives of all these materials or plastics are based on the functions or uses of their classification, such as the beads of jewelery (Category 14), wooden flooring (wooden floor), wooden floor (wooden floor) Category 19), home basket (class 21), plastic cup (class 21), reed pads (category 21). 27). Category 21 household or kitchen utensils and containers; cooker and tableware, forks, knives and spoons; comb and sponge; except brush, brush; cleaning materials; cleaning supplies; except for non -processing or semi -processing glass, building glass; glassware; glassware , Porcelain and pottery. Explanation description Category 21 mainly includes small manual equipment and appliances for household and kitchen, as well as cosmetics and bathroom utensils, glassware and some products made of porcelain, ceramics, pottery, red earth pottery or glass. This category especially includes: -family and kitchen utensils, such as flies, clips, mixing spoons, coating spoons and bottle -opening, as well as pickups, such as sugar tongs, ice tongs, pie servers and vegetables. ; -Home, kitchen and cooking containers, such as vases, bottles, savings cans, barrels, cocktail shakes, cooking cookers, and non -electric kettles and pressure cookers; Small manual kitchen equipment, such as garlic, walnut clip, pestle and mantle; Toe separators, puff puffs, fit makeup boxes; -gardening supplies, such as horticultural gloves, window frames, watering pots and watering hoses; In particular, this group does not include: -cleaner (class 3); —— Metal (Category 6) non -metal (Category 20) container storage and transportation; -Stolarly chopping, grinding, suppression, or suppression, or pressed, or pressed or suppressed or pressed power -driven. Mounting equipment (category 7); ; ——T table tableware (category 8) and the kitchen manual cutting tools, such as vegetable fragmers, Bisa knives, cheese slicing machines (category 8);电炊具(第十一类); -厕所镜子(第20 类); - 某些由玻璃、瓷器和陶器制成的商品,按其功能或用途分类,例如,假牙用瓷器(第5 类)、 Glasses lens (category 9), insulation glass wool (class 17), tiles (class 19), building glass (class 19), textile glass fiber (category 22). Category 22 rope and rope; net; tent and waterproof oil fabric; sunburn or synthetic materials; sails; transport and storage bags of bulk materials; filling materials, buffer materials and filling materials, paper, cardboard, rubber or plastic; except; except; Unprocessed fiber textile materials and alternatives. Note Category 22 mainly includes canvas and other materials, ropes, cushions, cushioning and filling materials, as well as unprocessed fiber textile materials for making sails. This category especially includes: -ropes and hemp rope made of natural or artificial textile fibers, paper or plastic; -Fishing nets, hammocks, rope ladders; -Filers, unpacking; Bags, for example, wash bags, corpse bags, post bags; -Stoon packaging bags; -Slopen fiber and unpaid textile fiber, such as animal hair, cocoon, jaoseki, unprocessed or processed wool and raw. This category does not include: -metal ropes (category 6); -shable instrument strings (fifteen types) and sports ball rackets (28 category); -paper or cardboard (category 16),, Class 16),, Class 16), Category 16), Class 16,, Class 16), Category 16, The pads and filling materials of rubber or plastic (Class 17); (Class 18), Fanet (Category 18). 26), Golf Barbag (Class 28), Sports Network (Class 28) 28); Paper or plastic (Class 16), rubber (Class 17), leather (Class 18) packaging bag). Type 23 textile yarn and thread. Explanation explains the alternatives of class 24 textiles and textiles; home linen; textiles or plastic curtains. Category 24 of Note includes home fabrics and fabric hoods. This category especially includes: -Lob linen, such as bed cover, pillow sleeve, towel; In particular, this category does not include: -Chenye electric blankets (category 10) and non -medical (class 11); -The tablet paper (category 16); ——Saama safe curtains (class 17), bamboo curtains and bamboo curtains and bamboo curtains and bamboo curtains and Decorative bead curtain (category 20); Geomoru (Category 19). Category 25 clothing, shoes, headwear. Explanation explains that this category does not include, especially: -Sewers of clothing and shoes of some special uses (see the list of goods arranged in the order of letters). Category 26 lace and embroidery, ribbon and weaving; buttons, hooks and eyes, big heads and needles; artificial flowers; hair accessories; wigs. Category 26 mainly includes tailor supplies, natural or synthetic hair for wearing, hair accessories, and small decorations used to decorate various items. It is not another category. This type includes: -gi, wigs and fake beards; -hairpin and hair bands; This type does not include, especially: -Xu some special types of hooks (see the list of goods arranged in the order of letters); The third category); -gi (category 10); -jewelry suspension, key ring or key chain hanging decoration (fourteenth category); —The textile yarn (class 23). Category 27 carpets, small mats, mats and mats, linoleum and other materials for covering existing floors; wall hanging (non -textiles). Explanation description The 27th category mainly includes products designed to add to the floor and walls built as furniture. This category does not include: -mill floor (category 19). Category 28 games, toys and toys; video game equipment; gymnastics and sports products; decorations of Christmas trees. Category 28 mainly includes toys, game consoles, sports equipment, entertainment and novelty items, and some Christmas trees. This category includes: -entertainment and game equipment, including its controller; For example, fishing rods, fishing nets, bait, hunting games calls; In particular, this category does not include: -Christmas tree candles (fourth category), light Christmas tree lights (type 11), Christmas tree candy and chocolate decorations (category 30); -diving equipment (category ninth); - Sexual toys and Eda (category 10); -Gymnastics and sportswear (Twenty -fifteenth Category); , Sports guns (Class 13), Gymnasium mats (category 27), and some fishing and hunting equipment, for example, for example, hunting knives, fish forks (category 8), shotgun (No. 1), shotgun (No. 8) according to other functions or uses Category 13), fishing nets (category 22). The 29th category of meat, fish, poultry and odor; meat extract; fruits, jelly, jelly, honey; milk and dairy products; food oil and fats; Essence Note Category 29 mainly includes animal -derived foods and vegetables and other gardening products prepared or preserved. This category includes: -milk drinks (mainly milk); -seeds prepared for human beings are not seasonings or condiments. This category is particularly excluding: -We certain plant -source foods (see the list of goods arranged in the order of letters); -The dietary supplement (category 5); —— Use as processing seeds (30th category); -Salad sauce (30th category); -Incubation Eggs (Category 31); - - Animal Food (Category 31); —— Live Animals (Category 31); —— Planting Seeds (Category 31). Category 30 coffee, tea, cocoa and artificial coffee; rice; cassava and sago; flour and products made of grain; bread, pastry and candy; consume ice; sugar, honey, syrup; yeast, pink powder; salt; salt; salt; salt; salt; Mustard; vinegar, sauce (seasoning); spices; ice (frozen water). Category 30 of Note mainly includes plant source foods prepared for consumption or preservation, as well as auxiliary agents designed to improve food flavor. This category includes: -coffee, cocoa, chocolate or tea -based drinks; This category is particularly excluding: -We certain plant -source foods (see the list of goods arranged in the order of letters); —— Salt for saving salt (first category) other than food; Materials (category 5); -Baby food (fifth category); -dietary supplement (category 5); Grain (Class 31); Category 31 Unsalded agriculture, aquaculture, horticulture and forestry products; unprocessed and processed grains and seeds; fresh fruits and vegetables, fresh vanilla; natural plants and flowers; planting gangs, seedlings and seeds; living animals; living animals; Animal food and beverages; malt. Category 31 mainly includes land seafood products, activity and plants and animal food prepared without any form of consumption. This includes, especially: -Sloretic grain; -Frechy and vegetables, even after cleaning or waxing; -In fresh mushrooms and truffles; This category is particularly excluding: -Micorganisms and leeches for medical purposes (fifth category); -The animal dietary supplements and medicinal animal feed (fifth category); ——In artificial bait (category 28); -rice (category 30); -tobacco (category 34). Class 32 of beer; mineral water and inflatable water, and other non -alcoholic beverages; fruit beverages and fruit juice; syrup and other preparation for drinking drinks. Note Class 32 mainly includes non -alcoholic beverages and beer. This includes, especially: -On alcoholic beverages. This category does not include, especially: -Cymatic drinks (category 5); -milk drinks (mainly milk) (category 29); 30 categories). Category 33 alcoholic beverages (except beer). Explanation explains that this category does not include: -Pypical beverages (fifth category); Category 34 tobacco; Smoking supplies; match. Explanation This category includes: -tobacco alternatives (non -medical use). This category does not include, especially: -Cymatic cigarettes (category 5). Service description: 35 advertisements; business management; business management; office function.解释性说明 第 35 类主要包括由个人或组织提供的服务,其主要目的是:帮助商业企业的运作或管理,或帮助管理工商企业的商业事务或商业职能,以及 作为主要从事向公众传播的广告机构提供的服务,以各种方式传播和关于各种商品或服务的声明或公告。此类特别包括: - 为他人的利益汇集各种商品(不包括其运输),使客户能够方便地查看和购买这些商品; 此类服务可能由零售店、批发店、自动售货机、邮购目录或电子媒体(例如,通过网站或电视购物节目)提供; - 由书面通信和登记的登记、转录、撰写、汇编或系统化以及数学或统计数据的汇编组成的服务; - 广告公司的服务和服务,例如直接或通过邮寄方式分发招股说明书,或分发样品。此类可能指与其他服务相关的广告,例如有关银行贷款的广告或广播广告。本类别尤其不包括: - 不直接涉及商业或工业企业的工作或事务管理的工程师评估和报告等服务(请参阅按字母顺序排列的服务列表)。第 36 类保险; 财务; 货币事务; 房地产事务。注释 第 36 类主要包括在金融和货币事务中提供的服务以及与各种保险合同有关的服务。该类别尤其包括: - 与金融或货币事务有关的服务包括以下内容: 1. 所有银行机构或与其相关的机构的服务,例如交易所经纪人或清算服务; 2、合作信用社、个体金融公司、放款人等银行以外的信用机构的服务; 3. 控股公司的“投资信托”服务; 4. 买卖股票和财产的经纪人服务; 5. 受托人担保的与货币事务有关的服务; 6. 与签发旅行支票和信用证有关的服务; -雇用-或租赁-购买融资; - 建筑物的不动产管理人服务,即出租或估价或融资服务; - 涉及保险的服务,例如由从事保险的代理人或经纪人提供的服务、提供给被保险人的服务以及保险承保服务。第 37 类建筑施工; 修理; 安装服务。解释性说明 第 37 类主要包括承包商或分包商在建造或建造永久性建筑物时提供的服务,以及由从事将物体恢复到其原始状态或在不改变其物理或化学性质的情况下进行保存的个人或组织提供的服务 特性。本类尤其包括: - 与建筑物、道路、桥梁、水坝或输电线路的建造有关的服务,以及专门从事建筑领域的企业的服务,例如油漆工、水管工、供暖安装工或屋顶工; - 施工服务的辅助服务,如施工计划检查; -造船服务; - 包括租用工具或建筑材料的服务; - 维修服务,即承诺在磨损、损坏、恶化或部分破坏后使任何物体恢复良好状态的服务(修复现有建筑物或其他已变得不完美并将恢复到原始状态的物体); - 电力、家具、仪器、工具等领域的各种维修服务; - 在不改变其任何特性的情况下保持物体原始状态的维修服务(关于此类与第 40 类之间的区别,请参见第 40 类的解释性说明)。本类尤其不包括: ——由衣物或车辆等货物存储构成的服务(第 39 类); -与布料或衣服染色相关的服务(第四十类)。第 38 类电信。解释性说明 第 38 类主要包括允许至少一个人通过感官方式与另一个人交流的服务。此类服务包括:允许一个人与另一个人交谈、将消息从一个人传递给另一个人,以及将一个人与另一个人进行口头或视觉交流(广播和电视)。本类尤其包括: - 主要由广播或电视节目的传播组成的服务。此类不包括,特别是: -广播广告服务(第 35 类); -电话营销(电话营销)服务(第 35 类)。第 39 类运输; 货物的包装和储存; 旅行安排。注释 第 39 类主要包括人、动物或货物从一地到另一地的运输服务(铁路、公路、水路、空运或管道)以及与此类运输有必要联系的服务,以及与储存物品有关的服务 仓库或其他建筑物中用于保存或保护的货物。本类别尤其包括: - 由运输公司使用的车站、桥梁、铁路渡轮等公司提供的服务; -与租用运输车辆有关的服务; - 与海上拖轮、卸货、港口和码头的运作以及失事船舶及其货物的打捞有关的服务; -发货前与货物包装和分包相关的服务; - 由经纪人和旅行社提供的关于旅程或货物运输的信息、与关税、时间表和运输方式有关的信息组成的服务; - 与运输前检查车辆或货物有关的服务。本类尤其不包括: - 与广告运输业务有关的服务,例如分发招股说明书或在广播中投放广告(第 35 类); - 与经纪人或旅行社签发旅行支票或信用证有关的服务(第三十六类); - 与人员或货物运输过程中的保险(商业、火灾或人寿)有关的服务(第三十六类); ——车辆的维护和修理,以及与人员或货物运输有关的物体的维护或修理提供的服务(第三十七类); - 与旅行社或经纪人预订酒店客房有关的服务(第 43 类)。第 40 类材料处理。解释性说明 第 40 类主要包括未包括在其他类中的服务,通过机械或化学加工、物体或无机或有机物质的转化或生产,包括定制制造服务。出于分类的目的,商品的生产或制造仅在为他人的订单和规格说明的情况下才被视为一项服务。如果生产或制造不是为了履行满足客户特定需求、要求或规格的货物订单,那么它通常是制造商的主要商业活动或贸易货物的辅助。如果物质或物体由加工、转化或生产它的人销售给第三方,那么这通常不会被视为服务。此类特别包括: - 与物体或物质的转化以及涉及其基本特性改变的任何过程相关的服务(例如,染色服装); 因此,维护服务,虽然通常在 Cl。 37,如果需要进行此类更改(例如,机动车保险杠的镀铬),则包含在第 40 类中; - 在生产建筑物以外的任何物质或物体期间可能存在的材料处理服务; 例如,涉及切割、成型、磨损或金属涂层抛光的服务; -根据其他人的订单和规格定制制造商品(请注意某些办事处要求注明生产的商品),例如汽车的定制制造。本类别尤其不包括: -维修服务(第 37 类); -某些定制服务,例如汽车定制喷漆(第 37 类)。 41类教育; 提供培训; 娱乐; 体育和文化活动。解释性说明 第 41 类主要涵盖由个人或机构在人或动物的智力发展过程中提供的服务,以及旨在娱乐或吸引注意力的服务。本类尤其包括: -由各种形式的人员教育或动物训练组成的服务; - 以人们的娱乐、娱乐或消遣为基本目的的服务; - 出于文化或教育目的向公众展示视觉艺术或文学作品。第四十二类 科学技术服务和与之相关的研究设计; 工业分析和研究服务; 计算机硬件和软件的设计和开发。解释性说明 第 42 类主要包括个人或集体提供的与复杂活动领域的理论和实践方面有关的服务; 此类服务由化学家、物理学家、工程师、计算机程序员等专业人士提供。本课程特别包括: -在科学和技术领域进行评估、估计、研究和报告的工程师和科学家的服务 (包括技术咨询); - 用于保护计算机数据、个人和财务信息以及检测未经授权访问数据和信息的计算机和技术服务; -用于医疗目的的科学研究服务。此类不包括,特别是: -商业研究和评估(第 35 类); -文字处理和计算机文件管理服务(第 35 类); -财务和财政评估(第三十六类); ——采矿和石油开采(第三十七类); -计算机(硬件)安装和维修服务(第三十七类); - 由医生、兽医、精神分析师等专业人士提供的服务(第 44 类); -医疗服务(第四十四类); -园林设计(第四十四类); -法律服务(第四十五类)。第 43 类提供食物和饮料的服务; 临时住宿。解释性说明 第 43 类主要包括由旨在为消费准备食物和饮料的个人或机构提供的服务,以及为在酒店、寄宿公寓或其他提供临时住宿的机构中获得床位和食宿而提供的服务。此类特别包括: - 旅行者住宿的预订服务,特别是通过旅行社或经纪人; - 寄宿动物。本类别尤其不包括: -永久使用的房屋、公寓等不动产租赁服务(第 36 类); ——旅行社安排旅行(第三十九类); ——食品和饮料的保存服务(第四十类); -迪斯科舞厅服务(第 41 类); -寄宿学校(第 41 类); -休息和疗养院(第四十四类)。第 44 类医疗服务; 兽医服务; 人或动物的卫生和美容护理; 农业、园艺和林业服务。注释 第 44 类主要包括由个人或机构对人类和动物提供的医疗、卫生和美容护理; 它还包括与农业、园艺和林业领域相关的服务。本类尤其包括: -与人员治疗有关的医学分析服务(例如 X 射线检查和采集血样); -人工授精服务; -药房建议; -动物育种; - 园艺等植物种植相关服务; - 与花卉艺术相关的服务,例如花卉组合以及花园设计。本类不包括,特别是: -消灭害虫(农业、水产养殖、园艺和林业除外)(第 37 类); -灌溉系统的安装和维修服务(第 37 类); ——救护车运输(第三十九类); -动物屠宰服务和动物标本剥制术(第 40 类); ——木材采伐和加工(第四十类); -动物训练服务(第四十一类); ——体育锻炼健身俱乐部(第四十一类); - 医学科学研究服务(第四十二类); -动物寄宿(第四十三类); -养老院(第四十三类)。第 45 类法律服务; 有形财产和个人的实物保护安全服务; 他人为满足个人需求而提供的个人和社会服务。解释性说明 本类尤其包括: - 律师、法律助理和个人辩护人向个人、个人团体、组织和企业提供的服务; - 与人身安全和有形财产安全有关的调查和监视服务; - 向个人提供的与社交活动有关的服务,例如社交陪护服务、婚姻中介、丧葬服务。本类别尤其不包括: -直接帮助商业企业的运营或职能的专业服务(第 35 类); - 与金融或货币事务有关的服务以及与保险有关的服务(Cl.36); - 护送旅客(第三十九类); ——安全运输(第三十九类); - 由各种形式的人员教育组成的服务(第 41 类); ——歌手或舞者的表演(第四十一类); -用于保护软件的计算机编程服务(第 42 类); -计算机和互联网安全咨询和数据加密服务(第 42 类); ——他人为人类或动物提供医疗、卫生或美容护理的服务(第四十四类); -某些租赁服务(请参阅按字母顺序排列的服务列表和与服务分类有关的一般说明(B)</t>
  </si>
  <si>
    <t>Equipment that can save costs and time and/or users get additional skills, can perform additional tasks and/or tasks better lasting or better, and/or more comfortable and/or more easy to complete the task. This device may be in multiple parts. Part of the process can include processes, especially according to the specific presentation of the present invention because they are used. The device is used as needed or based on the user's wishes, such as in order to obtain better performance, expectation comfort or avoid discomfort or pain. The word such as users is also abbreviated as users. Use by users. In addition to the current submission, the second independent submission is preparing, which contains equipment about supplementary themes, which means that the current submission can be shorter. Part of the invention equipment is a seat cover, such as for office chairs. For example, many people sit in the office chair for a long time. In the long run, this will cause many people's pain disorders. For example, people sitting in an office chair are in a well -known uncomfortable and unfavorable position, which will promote the occurrence of the disease. High variable seat cushions can be achieved comfortable seat height based on temporary demand. In the attached sketch, 1 indicates that users and/or patients with no seats, with devices placed on the seat, such as seat device, especially can be adjusted, especially the height of the U -shaped height can be possible. Regarding the device that can be placed freely, people who can be placed can also be carried with them. For example, it is used as a seat cushion in a car and other places or motor vehicles, and such a device can also be attached. The seats of motor vehicles are usually very soft. Without seats, soft components may be squeezed very seriously, and many people often drive for a long time. A special version is RFID integrated into the seat cover or a computer with radio function. For example, if you leave, it can use a mobile phone application to send warnings, or use a satellite -based record position -for example through GPS -if necessary, the application, the application You can save the general location of the object, and indicate that the application register the location of your leaving device through radio, such as seat sleeve. For example, this is useful for people with dementia, busy people, etc., so as not to lose device components. Generally, if the user needs, the device will be equipped with appropriate artificial intelligence (AI) software. There are many versions of the seat cushion device, which can be fixed in the surrounding fabric U -shaped micro beads, the internal optional motor and pump, etc., or adjust it from the external remote control with the seat, such as the height, the adjustment may be available to the optional land. Programming, for example, in a computer application, it can be implemented on the computer, such as mobile phones, electronic computer watches, etc., which can be coupled for example, so that it can be adjusted and changed, such as WLAN, Bluetooth, etc. The chair may be lower than another chair, but sometimes both need it. Therefore, changing the height of the supporting device can compensate the height difference and requires the requirements of instant height. For example, if you change your shoes or use variable shoes height. Or, the U -shaped device can be made of elastic material, such as a fabric cover, which can achieve different inflatable strength. The inflatable strength can also be electronic control in the device. For example, through small, such as embedded pumps and motors, most of the embedded devices such as U -shaped device, there is a opening or more openings on the outside, air can be available. Pump or discharge from the U -shaped device, for example, to change the height, especially. Higher than a certain height, so I hardly notice the inside of the pumping device when I sit down, and the interior of the pumping device itself can be surrounded by such a soft material. It is a uniform U -shaped, and the internal pump mechanism is noticed when sitting down. This inflatable device can also be remotely controlled, programming, etc., as described as described above for non -inflatable versions. Programming can be completed with verbal use of voice recognition software. If you do n’t carry the device with you and do n’t want it, you can carry something with you, such as two gloves, a piece of clothing or clothes or blankets, such as the right side and the left or U -shaped on the right side of the hips, especially putting it. At the top of the thigh, but this may slide. The advantage of the additional U -shaped device is that the distance between each part is almost not changed when the experience shows that when the sitting is sitting. The advantage of the inflatable device is that the space it occupies when inflatable is small, and it can be brought almost anywhere, even pedestrians. Optional land, for example, can be a U -shaped seat cover. The optional pumping device can be integrated in the corresponding small version. It can be used with integrated batteries. It can use electromagnetic radiation devices to charge from the outside, and use/or or integrated energy (such as seats), and can also be used, and can also be used, and can be used, and can also Extract energy from it to the battery and can be used in the battery, and if it is needed, the device can be inflated with hands without electricity. The power supply can also be integrated into the seat. As described, the seat can be provided with energy by generating energy by rotating in a rotating chair. When the chair moves, for example, the rolling wheels that can move from the chair leg can be moved on the floor. The energy can not only be used to provide power for U -shaped devices, but also, for example, massage the back of the back according to the requirements, or on the transfer chair, you can use the remote control to pass the remote controller through the remote controller. Use energy to adjust or move as needed. As a similar value, for example, you can put your neck pillow on the seat as a temporary device. Replace the U -shaped device, you can use different shapes, such as the straight shape placed directly below the hip. The device on the seat can be prevented from being too tight or crushing the soft tissue. In addition, many seats are not good for tall men, so the seats can be raised. The inflatable seat cushion device causes more compensation exercises when sitting and doing things. In particular, it can enhance muscle health. Non -inflatable types can relax and peace, and can be used mainly. The U -shaped cushion support device can be easily sitting, sometimes it can make the hips more back -relaxation and leaning -sometimes more advanced, the two hips are only in the front, the parallel part of the U -shaped, and the back sometimes leaned on the back back to the back of the back. Up -as long as you feel comfortable -mainly not leaning on your back, you can exercise on your back. For example, the U -shaped seat support device is another version of the bicycle saddle. There is a bicycle seat consisting of two hips. Compared with the ordinary mid -section, its advantage is that there is no pressure in the middle area, and it can avoid squeezing the soft tissue. The disadvantages of the saddle with two independent shells in the two hips are the advantages of the front middle part, that is, you are not easy to slide down from the saddle, because the middle part i. Generally prevent it. According to the saddle of the present invention, it is characterized by the two separate shells used for two hips. There is no intermediate part in the middle. (Connect to a more backdoor saddle and/or lower connection to the bicycle), and the forward extra middle part can prevent you from slipping easily from the saddle. Another embodiment is to replace the two shells, which has a U -shaped saddle shape similar to the U -shaped seat cover based on the invention. Part of this device, for example, for the calf cramp at night, the following preferred soft devices, such as made of fabric, such as about 50 cm in length, about 15 cm wide, about 3 cm high, placed below the front of the foot or shoes, for example, for example, for example When standing or sitting at work and/or relaxation. If your feet maintain this stretching posture for a few minutes every day, especially at night, experience shows that this night cramps that are enough to prevent severe pain. You can put your feet on it when you stand on it or sit on it. For example, as long as you feel healthy while working, you can save time. The alternative place is raised in the shoe or under conventional shoe in the shoe category of the present invention, and wears it for a few minutes, especially before sleeping. This can be preferred with deformation. It can replace the back is higher than the toes, or one side is higher than the other side. Cackets on both sides can be used to provide sales based on the present invention and can provide users with sales. What can they use for people can use, or, for example, according to the user's choice, some of them have letters, such as the name of the user, or "relaxation", "relaxation", "sportsman" or "athlete", etc. Users can wear shoe categories based on the present invention -have a kind of shoe category -optional land has a local variable height, for example, when the calf cramps caused by some reasons For minutes, especially at night, experience shows that it can automatically cause the calf to stop cramps, and the horizontal cramps in the lower part of the legs will no longer be raised by raising the side. The strong front composition, protecting the toes like a solid shoes, such as other people may step on the toe, which may cause diseases, such as toenails (endogenous nails, inflammation, etc.), and if you rest, it is best to open like sandals. In this way, the air can enter the foot, so that it can have a faster healing effect on toe diseases. For example, it can prevent sweat and moisture accumulation, which in turn can prevent infection, such as toes.</t>
  </si>
  <si>
    <t>Hockey and any sports hall (baseball, hockey, basketball, football, tennis, track and field, football-history ... and fantasy (ie, golf), golf, squash, cricket, rugby, iron men, three, iron men, and iron men, Olympic Games, etc. ... Real -time renewal of commemorative souvenirs, card transactions, sales, collectors, any related pictures, 365 days of collectors to buy and sell any equipment as the theme of the season and according to the theme of each game. A denim park There are duels or shot games with laser and/or color bombs and watch the audience. Mahjong competition; card 9; (any all Chinese gambling) and even chicken fight video games. Video game: And Monster truck championship monster robot all terrain on rugged mud roads In various terrain, the curriculum is from the hills to the mountains, across the river and the desert ... skating transit ... and Derby Derby. The hotel rooms have home theater for people to visit the following games and international legal The game ... find a room for groups of different scale and gamble on the virtual reality screen. Each game requires a list of rules. The performance and score of individuals and teams are statistical standards for judging the selection of each sports .. .... We can rotate between the best golf courses (awards greater than the Grand Slam event) and bring the best golf booking to help the audience who watched the Golf Championship use the same trip to improve their game to improve their game. ... before and after the competition (we can introduce these private coaches to help the audience improve their competitions in any sports/interest/event). We are considering designing a 4th road court, suitable for ideal tourism transportation and space scarcity. Local ... The serve of 4 to 5 directions (gives or a few) with the first spherical section of the kick hinge and the general (flat) and left and right to reverse (change the direction of the first section of the first section ... … The next paragraph is connected to the first section through the global tray, and the balcony disc (flat) to reverse the other end of the spherical road around the end of the disc. There can be a river with a bridge (obstacle) ... The second fairway can have a moat surrounding the moat of the city ... the third fairway can have multiple cliffs ... The fourth one can be a rule .3 The venue of a track 1. The outermost track is used to rise and decreases the racing track to prevent blocking the internal track ... The middle track is also rising for horse racing (including rising and declining) and internal orbit gray dogs). And decline ... the innermost track is used for human track and field (also rising and declining) venues for any sports/interest/activity/activity/activities, including outdoor art expo and performances. It can be all or partially closed roofs ... part of which is a tall glass building (with rotating windows seats for watching activities, you can see the lounge/restaurant (there are multiple closed home theater TV screens ) And the room directly ignores the following events) to provide another experience. The central center can increase/decrease at its core to obtain a better display view. The surroundings of the stage are rising (allowing the front seats to watch the stage up close and watch the track from the center to the appearance ... For speakers and performances ... (most of them are still) Some of their complete images are amplified by the glass for audiences (the stage of slow rotation/rotation can be selected. Magnetic suspension (that is, high suspension on the city, as a beautiful tourist attraction). The wings ") and the recent photos, the photos inside the space station and the photos taken from the space station ... high -tech and interesting cycling, based on telescope display and any art of all space themes, from local to outer space, outer space (Create experience and picture display) Simulation of real space. Hotel/resort/casino/restaurant. Deliven to lead the team's hometown food. Any sports star is invited to stay at a low price, especially those who spend time taking pictures and signatures. Even Pay their value for players, and sign products based on prices and easy sales. In order to develop near tourism and business centers, we can build ice rinks and ski panel parks and mini golf courses and/or underground exercises in the ground. Interior Game Conference Center The aim is to provide 1. Aerospace, that is, the movie and/or fantasy in 2010, such as the Castle Castle ... Space Hotel ... every room is decorated as analog space theme ... ... Provide the latest video games and rental customers ... including restaurants, cafes and lounges. 3 -dimensional movies and video games available libraries. Casino ... Especially betting on any competition. Any official and all game conference conferences: World role -playing games, video games, chessboard games, any competition awards dinner. Small space sports competition (professional sports clinic) (prize): is. Slam dunk ... Finals on TV. A conference center (Roman Fighting Field) can be divided into small venues through a split spacing, and the audience seats and stage are divided into cake -shaped. Divide the same, that is, the first -class foldable TV can watch (such as CCTV) stage performances also have gift packages and food consecutive options ...; business class provides portable TV screens, delicious food and beverages, network tables, industry (supply (supply (supply (supply (supply (supply (supply Business/buyer/new entry/new technology/investor ... employee/job/occupational level (advanced/intermediate)/junior) ...; economy class, drink, hot dog, share big screen TV above. Resort/hotels include Mix Sandals Resort, Mix Peninsula (PALSCE) Hotel, Disney (Safety GPS Park positioning; trained safety staff; one for children for children, and the other for parents in other parts of Vegas; Holding their children, they cannot leave the park until their parents meet them in exit), comics/movie studios and drama festivals (any all art performances and any activities). The replica, as well as the background and key figures, revealed the experience related to global events, especially with the narrowing of world experience ... Part of the ice climbers closed the frozen ice layer. 1. Luxury cars, 2. Luxury sports car local rental cars (more than the upper limit internal alert). 3. Cute cars suitable for Vancouver's leisurely and prosperous culture (that is, Volkswagen BUG, ​​Fiat, Mini, Scooter/Vesper, any hybrid car). As part of attractiveness, we can build a large shark (such as Mirage Hotel Las Vegas)/baruta/(jumping fish)/crocodile/di majority/food mermaid, use armored robots to feed and clean it to obtain strong feeding Experience ... with the iron cake (king of tropical fish in freshwater) and/or rare gorgeous artificial fish reefs and marine life and/or catfish. We can merge the restaurant supported by Beverage Bar, the most sold for the bar (allowing customers to get the taste of the connoisseur), especially the most popular first: I. all the safest bottled water-different tap water filters Essence 2. The largest beer selection -micro -macro -other related ... 3. The largest wine choice. 4. Most champagne choice. 5. The maximum option of POP. 6. The most ice wine choice. 7. The maximum selection of grass and drinks of herbal drinks. 8. The biggest choice of tea/coffee and related beverages, including IE. Caffeine -containing drinks. 9. The most dessert selection. 10. The biggest choice of ice cream and ice cream. 11. You can use the waterproof keyboard with the computer. We can dedicate: 1. Talk to the show, discuss and meet key characters related to the celebrities (entertainment world) activities. 2. Open pages on local newspapers such as Metro; 24; Vancouver Sun/Province (related to BC Event) and Global Post (Canada) or Las Vegas. 3. (site) camera and written reporters reported incidents. We can also create virtual reality video games on the whole body laser and screen (that is, glasses screen) ... Players can see on the screen according to their position, that is,. The location in the baseball field ... or Golf can even play the best professionals in the random probability of the role -playing game with the best professionals (computer algorithms) with possible combination of speed in the game. The advantages of performance and disadvantage to the skills required for the game. We can let the robots of the greatest fame members perform their iconic technologies and choose the background to take pictures next to the famous entertainment activities of the robot. In addition, we can save space, but let the golf player have a complete straightway, but at the place where the stadium turns, we can create a rotary mechanism (there may be 2 in each roadway). It can turn left or right to the corner. To create a gaming experience, it is as if you are playing a different experience every time you play the spherical road. The queue can be handled by the restaurant. Local talk show shows the cases and introductions and main participants of our venue activities. 1. Pages on local newspapers and international Internet websites to introduce our activities. 2. An article on real -time video reports and reports. 2. All can be built worldwide serves any world -popular things. We can perform magnetic suspension transportation and/or interesting park cycling. Specific hotels can have clean cats and well -trained dogs ... and even pet zoo. Maybe it is a hummingbird reserve. Movie Hall of Fame provides posters for each popular film. The poster uses neon lights and 3 dimensions. Any interested thing, including the famous picture/image, portrait and landscape of any artist, and even artificial intelligence. Almost all of them were made into 3 -dimensional peace/or neon lights like Andywahar. The Tower Resort, we started with a large weekly building and used the best high -density of the property as a hotel/shopping center/office/apartment/entertainment (mixed purpose) and conference venue for user life, work and entertainment. A tower rises in the center. There are five short but very solid support to support the center (it can be the tallest tower in the world), and the tension cable can also support the central tower (tension cables can play two role ... ... The tension cable like a tent rope supports the tall structure. These wires have another purpose to provide high -altitude zigzag entertainment (with real -time video with rentable can be used as souvenirs). One way to reach the top is to adopt completely transparent transparency The cable car running (climbing the wall) upward -there may be a short magnetic suspension orbit -horizontal tilt, so the cable car has at least one circle (such as the British) ferry ... people will have the opportunity to see and shoot London Eye or Eiffel Tower, such as 360 -degree panorama (we may use shading boards and sound insulation devices so that cable car users can see the scenery outside, but we cannot see the windows of the building). Coronation for all this is a very, very large telescope. At night, people can see planets, stars, and any celestial bodies at night, and people can see the sun (in real time) Even if the color/sunshade lenses and any other ultraviolet destruction spectral protection ... View the gas and plasma of the sun in real time with a clear and clear large image.</t>
  </si>
  <si>
    <t>This disclosure involves the management of information flow. You can pass the information flow according to the adaptive transmission mechanism. In one aspect, a data stream management method may include multiple data streams with a specific bit rate and segmented signaling structure. This segmented signaling structure includes at least one segmental signal mark. This method can also include monitoring at least one data stream segmented signaling structure and based on the monitoring instructions that meet the measurement of the predetermined segmented signaling structure. On the one hand, one or more data sources 12 may include data feed, signal source, file source, content provider, etc. On the one hand, one or more data source 12 can be content providers such as audio content, video content, news feed, and sports programs. As an example, one or more data source 12 can be configured to pass the data to various end users (eg, or allow access data streams). As another example, one or more data sources 12 can be sent to network data feed to the network data that is transmitted to the subscriber or client. As another example, one or more data source 12 can transmit or allow access data streams in a standard video format, such as but not limited to any sports image expert group standards (such as MPEG-2, MPEG-4, encapsulated through UDP Mcast, etc. A single MPEG-4 video in the MPEG-2 transmission stream, or any audio and/or video standards, such as MP3, Quicktime, and audio and video staggered (AVI). This format can be encoded (or transcoded) into a format suitable for streaming. Coder 14 can be any device, system, device, etc. coded and/or transcoding of the data stream. 14 Convert an input video (for example, a high -bit rate quality video) with a single bit rate into one or more data stream output videos with other bit rates (e.g., a lower bit of bit rate quality). In, the encoder 14 can convert the data stream from the input format received from the data source (such as MPEG-4) to the transmission format to distribute it to users or consumers (such as MPEG-2). For devices such as transcoders, the regulating flow data and/or change data from one format to another format. On the one hand, the encoder 14 can include a separate encoder and code converter for adjustment to regulate Stream data and/or change the data from one format to another. As an example, the encoder 14 can receive or access the data stream from entering 12, and the information coding/transcoding to the data stream. As another other. Example, encoder 14 can add information related to content fragment 18 to the flow. Now turning to Figure 1B, it will discuss the content fragments in detail. As shown in Figure 1b, the example data stream includes one or more more Contents 18 content. On the one hand, data flows can include multiple content fragments. As an example, each fragment can include multiple content frames. As a further example, the content fragment can be combined together to form a larger content. Stream. As an example, each content fragment 18 can include a specific bit rate and resolution. As a further example, the data stream can be the GOP structure of adaptive data flow and data flow. As shown in Figure 2C For example, you can insert the first data entry into the first non -IDR frame of the fragment 3. The first data entry can include the identification of the timestamp 28, the duration of the fragment 22 (two seconds), and the signaling point of the segment 3 3 20's logo. The second data entry can be inserted into the second non -IDR frame of the exponential fragment N. The second data entry can include the sign of the timestamp 28, the duration of the fragment 22 (two seconds) and the section n's signaling point of the segment N. 20 signs. Similarly, other frames (IDR frames and non -IDR frames) can be coded with entries to indicate signaling structure information 26, signaling point 20, and segment duration of 22 and one or more frame types 24 At least one frame of specific content fragments 18. You can mark and identify any number of content fragments in the data stream 18. Since the downstream equipment is not limited to the single GOP structure of each content fragment 18, the downstream device can then process the data entry and boundary into the non -IDR frame to build appropriate content fragments 18 for distribution to end users. Now turn to Figure 3 to compare one or more switching points of one or more data streams to determine the measurement related to one or more data flows. On the one hand, the measurement can indicate the compliance measurement of the compliance of the data stream for the compliance of one or more rules. As an example, this measure can indicate similarity of similarity between two or more data streams. As shown in Figure 3, the first data stream S1 is similar to the second data stream S2. However, the data stream S1 is more similar to the data stream S3. For example, if the data flow does not at all potential switching points on all potential switching points on the current time (for example, linear time, file -based observation, etc.), the data flow may not be similar. Now turn to Figure 4, you can compare one or more switching points of one or more data streams to determine the measurement related to one or more data streams. On the one hand, the measurement can be based on the similarity of the similarity of the similarity of two or more or more data streams based on the comparison of two or more signaling points (such as the switching point). On the one hand, the same data stream has the same frame type in the entire signal structure of two or more data streams. By signs the data stream meter similarities rather than the same, only the exchange point needs to have the same frame type between two or more data streams. Therefore, the signaling structure of each data stream can be partially different, while maintaining the compatibility of adaptive spreads between the flow. The comparison of the switching point of two or more data streams can be promoted. On the other hand, computing device 1001 can also include other moving/non -moving, easy -to -loss/non -easy -sex computer storage media. For example, FIG. 10 icons large -capacity storage equipment 1004, which can provide computer code, computer read instructions, data structure, program modules and other data non -easy -to -miss storage for computing device 1001. For example, and does not mean that large-capacity storage device 1004 can be a hard disk, mobile disk, mobile disc, tape box or other magnetic storage equipment, flash memory cards, CD-ROM, digital multi-function disk (DVD) or other Optical storage device, random access to memory (RAM), only read memory (ROM), electrical rubbing and programming only read only memory (EEPROM), etc. Optional land, any number of program modules can be stored on large -capacity storage equipment 1004, including such as operating system 1005 and network software 1006. Each (or some of their combinations) in the operating system 1005 and network software 1006 may include network data 1007 or stored on a large -capacity storage device 904. Network data 1007 can be stored in any of one or more database known in the art. Examples of such databases include DB2®, Microsoft® Access, Microsoft® SQL Server, Oracle®, MySQL, Postgresql, etc. The database can be concentrated or distributed in multiple systems. On the other hand, users can enter the command and information into the computing device 1001 by input device (not shown). Examples of this type of input device include, but not limited to keyboards, fixed -point devices (such as "mouse"), microphone, manipulating rod, scanner, tactile input device (such as gloves) and other body covers, and these and other input devices can pass through Connect to the processing unit 1003 with the system bus 1013 coupling human -machine interface 1003, but can also be connected through other interfaces and bus structures, such as parallel ports, game ports, IEEE 1394 ports (also known as fire line ports), serial ports or universal Serial bus (USB). In another aspect, the display device 1011 can also be connected to the system bus 1013 through the interface, such as display adapter 1009. It is expected that computing equipment 1001 can have more than one display adapter 1009, and computer 1001 can have more than one display device 1011. For example, the display device can be a monitor, LCD (LCD display) or display. projector. In addition to the display device 1011, other output peripheral devices may include components that can be connected to the computing device 1001 by input/output interface 1010, such as speakers (not shown) and printers (not shown). The results of any steps and/or methods can be output to the output device in any form. Such outputs can be a visual representation of any form, including but not limited to text, graphics, animation, audio, touch, etc. Display 1011 and computing device 1001 can be part of a device, or a separate device. Computing device 1001 can be connected to the network environment with logic with one or more remote computing devices 1014A, B, and C. For example, remote computing devices can be personal computers, portable computers, smart phones, servers, routers, network computers, peering equipment or other public network nodes. The logical connection between computing equipment 1001 and remote computing equipment 1014A, B, and C can be carried out by the network 1015 such as the LAN (LAN) and the Universal Wasseea (WAN). Such a network connection can pass through the network adapter 1008. Network adapter 1008 can be implemented in wired and wireless environments. Such a network environment is traditional and common in residential, offices, corporate computer networks, internal networks and Internet. For the purpose of explanation, other executable components such as the application and the operating system 1005 are shown in this article as a discrete block, although they should be recognized that these programs and components stay in different storage components of computing device 1001 at different times at different times at different times. In the middle, it is executed by the computer's data processor. The implementation of network software 1006 can be stored in a certain form of computer readable medium or transmitted by a readable medium in a form of computers. Any publicly disclosed method can be executed by a computer readable instruction reflected in the computer readable medium. The readable medium of the computer can be any available medium that the computer can access. As examples, not unimportant, computer -readable mediums may include "computer storage media" and "communication medium". The "computer storage medium" includes any methods or technologies such as computers read instructions, data structures, program modules or other data such as reading instructions, data structures, program modules, or other data. Example computer storage medium includes, but not limited to, RAM, ROM, EEPROM, flash or other storage technology, CD-ROM, digital multi-functional disk (DVD) or other optical storage, tape, tape, disk storage or other magnetic storage equipment, or other magnetic storage equipment, or Any other media that can be used to store and can be accessed by a computer. These methods and systems can use artificial intelligence technology, such as machine learning and iterative learning. Examples of such technologies include, but not limited to expert systems, case -based reasoning, Bayesian network, behavior -based AI, neural network, fuzzy system, evolution calculation (such as genetic algorithms), group intelligence (such as ant algorithm) and mixed Intelligent systems (for example, expert reasoning rules generated by neural networks or production rules from statistical learning). In addition to allowing the use of multiple distributed segments, scalability data flow segment system provides several advantages better than traditional coding/segment systems. For example, the system provides the ability to accelerate the flow through the use of multiple sheets. It also allows universal streams with general signaling information that can be used by a variety of different streaming technologies. The system also allows simultaneously play streams between two or more clients, because the client can communicate with each other so that each client can play the same fragment at the same time. It is obvious for the technicians of the arts in the art that various modifications and changes can be made without being separated from the scope or spirit of the public. Through the instructions and practices of this article, other embodiments will be obvious for the technical personnel of the art. The scope of claims should not be limited by specific embodiments explained in this article, but should be explained in the same way as the entire manual. 1. One method, including: the first segment of the first data stream, where the first data stream is associated with the content source of the first ratio of the special rate; At least one frame associated with at least one frame associated with the border point of the first segment associated with the boundary point of the first segment is confirmed by the content source Merture; and switch from the first segment to the playback from the first segment to the second fragment. 2. The method of claim 1 is characterized by the service quality measurement includes at least one measurement of bandwidth, processor capacity, memory availability or user preference. 3. The method of claim 1, which is characterized by the second data stream based on the service quality measurement selection includes: receiving at least one alternative data flow file containing the content of the content source; Quality measurement and list file Select the second data stream, of which the second data stream is encoded in the second bit rate. 4. According to the method of claim 1, it also includes the first segmental signal marking of receiving the first segment associated with the first segment and the second sub -segment signal mark associated with the second fragment. Among them The first segmental order marking indicates the first segment and the boundary point of the second fragment. Segmental signaling indicates the boundary point of the second clip. 5. According to the method of claim 1, it is determined that the amount of the first segmental order of the first data stream determines the alignment of the first segmental order structure of the first data stream and the second segmental order structure of the second data stream. 26 (see Figure 4).</t>
  </si>
  <si>
    <t>We can use neural links to any Internet communication/experience (mode), whether it is part of the human internal system; and part of/or human environmental system), and the consciousness of parts/features is being checked, for example. The shape/size/quantity-volume and the demand for constant changes in these stimuli ... Neural links can provide movie clips and movie libraries online ... and all entertainment, sports and all interests/Internet websites products ... the latest things and anything in the latest thing and anything And all experiences, such as. Tourist website recording, conference interviews, and ... the newspapers before the newspaper were live broadcast of amateur and professional reporters (real -time) ... Any and all sports. A Neural Links Movie, Neural Links Facebook (Release Website), Neural Links Virtual Reality, Neural Links Neurl Links Electronic Transactions from Retail Stores, Neural Links Social Website (Interested Links Social Website ),,, NEURAL links any software to guide (or even modal documentation final products (such as 3 -dimensional, touch, tension, strength, emotion, other/recorders/artificial intelligence values ​​and perceptions ... ) (GP .005%) Artificial intelligence using real-time nerve links can also help users study-themes on the Internet and textbooks (as memory assistance), sort, select important standards according to value, evaluation (GP 0.01%) and analysis (GP 0.01%) and analysis (GP 0.01%) and analysis ( Strategic planning for individuals, departments, and organizations based on cost and income, and based on scenario analysis of conclusions and decision -making (including). All of these are carried out at the speed of ideas, including real -time ideological collaboration connecting people's behavior to people's behaviors of people's behaviors . We have more than one design for nerve link headdress. One of the stripes like a bicycle helmet (except a stripe pad around the head shape) Two ways to receive and send state signals, for example, sight (may even use cross -line quasi -line aiming and/or track an object to move anywhere, even use 360 ​​-degree cameras) strategically stick to the striped filling -in addition, in addition, in addition, In order to prevent moving, there is a strap under the chin. Other possibilities, including (basic ball caps), they all have a tightening function, whether (adjustable) magic stickers, metal buttons, or buckles, buttons ... (Building GP 8%) to French veteran hat, headscarf, fisherman hat and all hats, berets, shade hats ... Any and all styles, (even hoodie GP 8%), STETSons, Eavesless urinating hat/Touques, any and all golf caps, any and all denim hats ... sending and receiving through the experience of nerve links (patterns and more complicated ideas) for people to escape their own life/ World ... Feeling robots or video games, as well as all people's thoughts/other people and/or proxy body-related sports/entertainment/video game muscle tension and competitive hand-eye coordination movement-for example, practice according to the length of the arm/leg length, Body size, response speed, execution speed, and/or any of the adjustment of all competitive games/reality with all competitive games: for example, NASCAR and/or F1 and/or Dakar, even NASCAR/F1/Da in real life Karl can also have a real -time digital map in their car, telling the driver where he is -his position on all track -and what happened. In the real world, driving artificial intelligence can use the diagonal/may be used by the fish eye lens and the eyeballs to squeeze the space before and after the car. How much speed do you need? When trying to enter your squeezing lane, you hope that he will enter at a fast speed. If the previous driver's eyeballs, how fast you caught up on the side lane, if he can safely skid or block you completely, he can safely stop you or completely block you. Or if it is too late (you are too far around him, it will be dangerous-the collision allows him to try to stop you-his only hope is to speed up more than you and then block you. The way of overtaking is forcing you to brake you to avoid collision with/or let you avoid collisions for safety. How fast the sharp corner of the turning can be-the more rotating the side of the tire, which will cause the tire to lose the grabbing easily. Geometric, which leads to the risk of control, because high -speed cutting the accelerated linear diameter turning will cause tires to slip. We can also put quantum chips and nerve links on screen glasses together, and have computer glasses (JAW 1%). 3. -All computing/artificial intelligence/Internet/video games/TV dimensions (below) can also be used together with nerve links (for developers and users). In addition, we can create a platform (3 dimensions, users can be available Use a 360-degree knob to view the website to check the various directions on the website-Internet; video game console; second life; next to life; face book; utube; reaL time to write blog ...) (man/or artificial manual manual manual Smart) can develop their own 3-dimensional compartments, buildings, and even the world (for example, the ring king-literally a mapping world, users can travel and explore in them). Flexible complexity-details that need to be explored). With the development of work, developers can cooperate (such as document sharing) and keep in touch and view each other in real time. ), You can make friends (chat)/or fight, killing can be resurrected, sex, (romantic 0.3% GP), share interest (especially interesting activities; Document sharing). For the environment, we can provide the future of the future of (age/age) (reality (historical period), fantasy, object (or mixed) date, including robot/automation/semi -robot (swap components and functions) in the future Template-cloning/nano robot/alien/artificial intelligence. Like Transformers, Mecha, Robotics, Battle Star Grateca, Star Wars, Star Trek, including stories, such as laser guns, laser cannons, laser cannons , Laser turret, grenade, light torpedo ... Any video games that allow all 3 -dimensional worlds that allow gamers/Internet users to develop their own 3 -dimensional world. Over can be a broad map, where (even the movement speed can be determined in advance) User routes/cannot move around, and it is mainly limited to specific paths instead of detailed cities ... There are detailed objects in the room. The background and environment include as the objects of building material templates (for cities) and/or in the case of fantasy; mountains/ocean/sky/valleys, winding rivers -different sizes and distances. Developers can also create a new cultural/historical/belief value system for different residential groups in different regions of the world. The target starts customizing creation from scratch, and/or 3-dimensional (and/or optional single 2-dimensional objects can be pasted on the wall; or billboard poster; The button D ads are activated/animated, just like the old Internet website, the user double -click the advertisement you open the advertising webpage/or enlarge the advertisement (when you pass the picture/poster/billboard, the developer decides to put it on the back such as blank; Another picture/poster/billboard-the key is 2-D picture/poster/billboards easier to save time and money, so 3-D website can mix some objects 2-D and other 3-D (attractive-highlight-highlights highlight-highlights highlight-highlights highlights ) .... For those without copyright and/or proprietary objects, these 3-D objects and/or 2-D pictures can be imported/cut and pasted (they can also be interactive (GP 1%). Development Business blocks allow and create a market that an artist can sell and then introduce/picture import/shear and paste objects (such as spacecraft, characters-heroes-various clothing heroes) from movies. This world can (the development of their world can develop The winner is constantly-the winner of the best world (3-D website) that we can choose to choose to select users — the change of the change may also be done in these 3-D world in these 3-D worlds. In the event, the changes in these imagination worlds are interacted and promoted by any (including programmatic/automation life/AI) life form interaction, daily events; for example -Aling/automation life form/character/AL is recommended to do what users can do) Based on what they have done (prompt the content they want to explore-based on the recommended general interest and user personal information, such as the field of work/in the family/in the family Location (for example, how many children/what age/what gender) ... Any and all the quantities and quality objects belong to a part of the creation environment, not users/players. Future fantasy websites may incl Boat. Developers can develop the interactive experience of the LOP Broadway Theater, users/players participate in it. All sports are for companies that sell products on our 3 -Dimensional website. Basically, users can reduce and see him holding the product by themselves (can Choose characters; universal expressions created by users or different body types and races and (age GP). Reply: Fashion/retail body type can accommodate large and small. It can be used in all aspects of the body. Use and retail boutique stores (fashion) -to obtain accurate appearance. Do not measure the size of all body (recorded on computers and/or artificial intelligence) and send it to the Internet. The tailor can be used for use and Recommended by fashion (leisure and conservative), 2.) Buyers choose clothing (combination), and then use artificial intelligence to try or manually put their clothes on human models with the same body, 3.) Buyers use or might pass through or pass through. Video conference describes the color (GP)/style/size (tailoring) clothing/materials of various components. Fine pins to perceive/get more definitions; more details. Buyers can call any and all environment/scenes of retail fashion stores to try clothing, such as walking on beaches, formal/leisure/semi -leisure activities on the beach. The pins shape measuring meter/recorder can be used for any and all products (such as electronics, electrical appliances, any products that are important and all -sized products), such as. iTunes, PDA, text messages, movie libraries, backpack computers, honeycomb, knee -type computers, buyers can reduce viewing by this product (this product is relative to the character size of the human body in the process of processing the scene The size of the environment or similar size to the wall and the ability to scan the wall picture, the same proportion of the TV photo is superimposed, and another example is the washing room; the washing machine/dry clothing machine, the size can be stacked to the same proportion room (size size (size size size Measted and submitted by potential buyers. Among them, the picture of the room is in the background, and large products can move to occupy different positions. User/buyers can enlarge more and more details until the mobile electronic device is real/actual, and the size of the size, and the actual size, and the actual size, and the actual size, and the actual size, and the actual size, and the actual size, and the actual size, and the actual size, and the actual size, and the actual size, and the actual size, and the actual size, and the actual size, and the actual size,, and the actual size, and the actual size,, and the actual size, and it Users/buyers can (simulation) interaction, as if it is real, the company can even allow users to customize design and/or try some functions. The background/background drop depends on the distance and size of the object/environment of your location. . We have 3 objects. 2 -size objects (digital -positive and back, height y -width x), they are flat pictures/posters/billboards and/or back with the same picture/poster/billboards on the back . 4 Object (Digital -Fore/Rear view; right/left view (diagonal option)) can also be created by shooting all 4 planes of the object; height. 3 -Use left and right reflection symmetrical dimensions, and then use the use of left and right reflection symmetrical dimensions, and then use the use of left and right reflection symmetrical dimensions, and then use the use of left and right reflection symmetrical dimensions, and then use the use of the left and right reflection symmetrical dimensions, and then use the use of the left and right reflection symmetrical dimensions, and then use it to use 3 -D needle measurement/recorder to develop the surface of asymmetric objects. Then the user can use the correct color of general anatomy (can also customize the clothing -artificial intelligence fit) and/or submit the body to measure/record to the body to be submitted to the body. The salesperson of fashion boutique, they will put their clothing on the human model with similar body ratios-even may even have a replaceable human model body part (such as the clothes that conform to human anatomy) Photos of people wearing clothes. Like virtual reality, you can see important objects from any angle 360 ​​degrees (especially interesting and attractive objects. These objects will be converted to popular (given themes) to popular-or Unlike competition or prominent capabilities), users can even have (for example. Maybe mouse knobs) to rotate the selected object by 360 degrees (the analog view of the object). ) Front/rear 4 sides; left and right (symmetry/reflection) depending on the distance from one surface to vertical surface. The building shape and design can be traded and exchanged (such as the dome, the vortex building ...) and the house building of the house. ... Cities are built according to the times/times and world professional areas ... We can accumulate a large number of libraries (such as volunteer human model GP 0.01%), and (animation virtual reality) toys, animals and all all all animals, animals and all all Objects. We can also make quantum/nano (using such a small chip, so we only need to be used for neural links and/or glasses screens and/or earbuds) intercom, mobile phones, radios, glasses screen TVs and/or computers You can connect/control through neural links and text messages, Internet, PDA, iPod, iTunes, email, video games, records, and records ... Divine object/interaction.</t>
  </si>
  <si>
    <t>Quantum computer hardware and software and/or artificial intelligence (through node networks and project managers/main coordinators): run multiple simulations to solve the same type of problems at the same time. (Each has different inputs and formulas (0.15%), or input variables of the same type (type, quantity (0.3%) of isolation variables. ) At the same time, try all options/decision/strategies (strategies involve multiple options and correctly guess the ability of future scenes at some point) (similar to Gerald's mathematical language) -The operation/attempt. Generation (result) can infer the best vision/prediction (leading to the best decision/option/strategy believed to be based on clues, the best of which includes the main driver factor (the minimum non -renewable resources are required, the most influential result), balanced result), balanced result), balanced result), balanced result), balance Main variables and their relationships, with/or overview-the collection of all factors and its contribution from the start time of the final product to the end time. Artificial intelligence, multiple inputs run through a logical language system, these logical language systems through attributes/clues/clues/ Connection/link combines entity and interaction (many of which/clues ... can be searched at the same time), for example. Stimulation (rule (value -time -the emotion of time changes over time and the spontaneous humanity of humans and human beings. Sexual may increase unpredictable elements) -The interaction -reaction, action -finding reactions to find output, and speculative and/or other output discovery (negative and/or positive) by changing the input type, quantity and quantity, and Run multiple analogs in time. The part contained in a system can help the impact on the output conditions. The operation is an appropriate behavior, input and action/reaction (and these inputs usually do not need The ingredients of the output features but need to be converted into the catalyst that needs to be transformed into the required output form.). The type, quantity income and unwanted mechanism of related interactions (do not believe in use in use; do not think that it is not important; no important purpose can be seen; Value; Suspected of its usefulness) As soon as a quantum computing monitor any genetic-related diseases and/or solutions/treatment in the treatment: for example, monitor all genes that have been lost/activated A group of stem cells have gradually split. Then test each or combined (and sequencing-when the division becomes a loss/activation) all genes. The stock market-investment return rate, earnings per share, price-earnings ratio-Considering the company, the company is considering the company. All the main factors of the scale are to overlap (strategy) the size of the main investor pool. These investors will actually only push the market in the direction of this, that is, to buy (whether it is against the trend/growth/value-fundamentals/fundamentals/fundamentals/fundamentals/value-fundamentals/fundamentals Geographical conversion-negative correlation cycle/chart tracking-larger time span appreciation (at the peak of time span) -Aconsistent with profit, correction/event drive, and/or timing) When the price falls; therefore, if investors are rational, then a company with a good fundamental-sustainable competitive advantage should appreciate it for a long time ... And the alternative evolution of characters and results-man-made and natural, change society; change the background) to change the resources and change the object-change according to the user's choice in the game. Based on (values ​​and emotions; logical strategies and emotional reactions -the interaction between the correct want or the relevant entity and the scene that wants or wants) will have a response to a similar stimulus -based response based on the past (context similarity) Roll the dice with the probability list that may be responding to, and create a semi -random time/place and character in the environment. What happens when other characters (run by artificial intelligence) to respond to users (for example, when users leave); incentive measures; active various carrots increase; fear; quality time (Je 0.01%); Give/accept; assets; feelings; support their sense of insecurity (uncertainty); compete with other characters how they treat artificial intelligence characters, artificial intelligence characters may learn without you when you leave (learn to live independently) -Suchen For example, the compartment. Object personality choose to live. Incentive -negative; struggle; controversy; severe judgment; (relative to alliance); agree to join the common enemy; (also glory; commitment to groups, crowds, and crowd behavior). Artificial intelligence (such as office software, computer programming, algorithm programming; hardware and software technical support) can be rented, such as multiple artificial intelligence running at the same time, or even operating independently; or artificial intelligence can guide people to operate (input-interactive-output) Any and all automated mechanical things can even be controlled from the body and everything that can be controlled. We can also use quantum computing for our multi -layer Mag Lev Vechicle logistics and Sky Highway and/or airports to land and take off. In all cases above, we can label/represent the combination of numbers and letter combinations (will be used for a system theme-similar to the library Dewey decimp phone number) Select/option label labeling system and then entity (input/output)/interactive/time scenario and quantity/quality, organize related systems (some of which have close contact/attribute/clue/connection/link/relationship ... It can be selected and evaluated by strength and persistence (usually non -volatility) volatile/cycle temporary strength and stable, increasingly influential of the relationship between the main factors of the relationship between the relationship between the relationship between the relationship between one or the other of the relationship. Few (strong influence/influence) is influenced and influenced as a cycle of this type of relationship-also depends on the sensitivity of each party (supply/demand) and the number of resources that needs and allocate to MAK. The choice of changes in the size (partial) association (partial) association (partial) reasons (reasons/influence) of the same digital/letter system. We can also use the Sudoc Cable number, ISBN/ISSN, OCLC ... users want to save memory space, not only not only, not only not only It is only a representative system label/name/keyword (such as medicine-treatment) with a milematic significance .... The details of the Internet browser and the user only include some information they want to quickly access (maybe it is because it is probably what they want to quickly access (may Because of the expected reuse), such as short -term memory. My logical language and artificial intelligence creation uses similar systems. Different parts/chapters (memory) are committed to different forms of human thinking processes. ) Digital parts/chapter numbers (instructions in macro size/position) tell users how to work in the process of occupying the location; the right hand (small edge) number (micro-specific number) uses memory for content: input-interactive-output. Therefore, programmers who want to handle a psychological process can directly use parts/process call numbers dedicated to this process. Communication, chatting, important content (for example, identification, important data, news, messages, beliefs limited/quantitative ... .... Create an algorithm about emotion (response), which can classify people, such as aggressive, confident, passive, passive-radical) ordinary people's response to stimulus, considering the type, tendency, current emotion of the new experience , The background, the type of event that occurs within the time span between multiple events, these events will cause ordinary people to re -build/change the perspective. Quantum computing can be used to continuously update the external push change and (given place and time. ..... and other attributes/links/connection/clues-can also be updated) to identify the characteristics of stimulus and/or reaction (may be upgraded through the Internet-for values; stimulus, reaction to celebrities repeated roles) and reactive roles of celebrities) and reactive characters of celebrities) and react to celebrities) and repeat the role of celebrities) and the reactions of celebrities) and the reactions of celebrities) and the reactive role of celebrities) and Artificial intelligence perception stimulus and how it achieves our expectations/we believe in the degree of our hope. And our appetite is usually driven by these factors. Another method of using entity, interaction, quality, quantity, theory, story ... Another way to swap the memory below is to identify clues/attributes/keywords and their characteristic/link/connection. (For example, reviewing the characteristics of the sought after entity -known environment, -The system part of the theme/theme/attribute/related connection ...; what do you remember and your feelings/like/dislike (dislike (dislike (dislike (dislike (dislikes (unlike It is usually the degree of reactions of features) The degree of the clue entities to the extent of the sought after entity and the residence or part of the system in the sought -after entity. This reaction may be matched by the known characteristics of the sought after entity, and then matched with the time frame (s) (s) Place and usage-determine the main common anchor points of the identity through the experience of encountering the real entity in the past-at first glance, then other attributes/clues ... social interaction depends on the scene (part-for example. As a source of stimulus sources. Objects (and concept content)) The values ​​owned by people determine the sensitivity-the number of influence-stimuli affects the output that affects our abilities 1) Passion (love-the best expectations for people; hate not good for people), 2) indifferent (No appetite) and 3) Curiosity (interest) ... Most people develop reaction songs that usually dominate normal behaviors-for example. Office plays, family repertoires, social dramas, not relax, just play happily on the weekends, or do it irrationally, such as resisting those who tell you what to do. (CH 0.01%). There are many complicated Boer search for artificial intelligence, such as. Select the most convincing word (and/or alternative answer) to express: a group list that includes/ownership/ownership plus quantitative range-to other entities/interaction/system/partial attributes/Labels/Labels/ Titles/CLUES/LINKAGES/Connections Word). (Any) help (related) identification (usually use drivers, because people are only interested in searching for what they want to use (purpose)), features and/or other physical/interactive attributes/clues/links/links/links/links/links/links Connect to usher or is likely to be determined to be the only way to determine the required features that can be used to meet the unique requirements of the entity/interaction that can most satisfy the use of use. Tags indicate that the meaning of (possessing) is used to keep the usage at a certain detail-pay attention to multiple words for definition/description); plus a given alternative meaning, this term has been used as an alternative meaning, and it is usually with The definition of the wording of the word is similar. What functions/use/use/use/use/use/use/use/purpose/use/use/purpose/use/purpose of a question is excluded. This is the process of eliminating, unless the alternative words are close to the meaning -the unique attributes of the word expressions, correctly used between similar words (the application of/interacting, and multiple complex relationships with the identity/entity or the system) Find absolutely perfect fit (compared to many similar alternatives, some of which are expressed by one and/or high -demand for high demand). Similar situations. The current answer/word (relative to alternative) how to describe/define the target answer (or block/system/picture/scene; the entity/meaning interaction between the word representation of the two) needs to be described/defined Differences (alternative-characteristics) and supply (each answer/word) can include all the meaning you want and exclude key meanings. Definitions that without alternative words, we can develop the algorithm-update ourselves and/or algorithm design program to update other algorithm-analog-models, use the label to represent parts (object is intangible), and each part is combined together in the behavior of the behavior. -In the function as part of the system's overall operation, the stimulus reaction (lasting and consistency) -The life has randomness (especially people's thoughts). Activities-Model represents the answer, its role, physical part, and belief (such as causality, business decisions based on event/expected business decisions; scientific hypothesis-theory; storytelling-movies for entertainment value experience. Some insights on the ring of the ring. The Hobbit is not just children or young people. They are noisy and like to tell stories. Their body shape is different, and even their pillars are different from teenagers. In addition, each character/partner is in the "ring ring. In the king, there is a key point, for example, their destiny is to complete a test point; the audience wants to know whether they will come forward when the time is mature. They contribute to common issues (obtained/loss) to make more different/more different/more more different/more more different/more more different/more/more more different/more more different/more more different/more more different/more more different/more more different/more more different/more more different/more more different/more more different/more more different/more more different/more more different/more more different/more more different/more more different. Easy. We can also rent memory and processing software to share the huge features of quantum computer hardware (providing different levels of software and memory through online-Internet (more cost E valid) sharing (service) hardware, even search engines and/or or/or or/or or/or or/or or/or or/or or/or or/or or/or or/or or even Blog ... Large customer platform website (0.55% GP) (1.5%).</t>
  </si>
  <si>
    <t>We started this invention from a new James Bond Film. Part of the charm of the James Bond film is the rich and infamous lifestyle; each movie has a different exotic atmosphere. In the movie, Bond and his online fanatic girlfriend noticed that the second life (or similar virtual world platform, perhaps our own creation, such as next to life) something strange happened. A call center in India broke into Second Life Management with artificial intelligence. He followed this path to Japan to communicate city, where he climbed up the roof and struggled with it. It turns out that the culprit behind this trick is a multi -ethnic intercontinental hacker group (called The Allegiance). Next to Life's virtual reality platform has direct nerve links (can be provided with artificial intelligence to help classify and analyze information as auxiliary, and help filtering secrets). There is an internal component of the neural link -through simulation (scene and environment) and/or keywords, logical language and/or memory model, representative words/symbols ... Behind the scene of the next to live VR platform; and an external component to perform decision -making in the body/oral manner. There can be a list of options (drop -down menu) in the interior of the micro -screen or screen partition and the external nerve thinking link, and there are 3 ways of navigation menu, (first starting from the middle) method 1.一个一个地向上或向下移动每个选择,或方法2. 中途拆分- 这涉及从中间的中途距离开始,然后选择在中间的中途距离到一半之间向上或向下移动一半在最顶部或The bottom of the bottom is to separate the distance between the top and the bottom, and eventually you will return to this location or the choice you want to reach. Or Method 3. If your choice is close to the top or bottom, you can choose the top option and move directly to the top or bottom, and then use navigation method 1 to move one option down or upward to the next option. Next to Life's virtual reality platform includes: 1. 3 to 4 screens (using logic language, system/components, memory models, representative words/symbol/attribute/clue/link/relationship). 2. Possible 3-D and IMAX (combined on-site experience). 3. Neural network, thought can be directly connected to other thoughts to obtain the final intimate experience, or can be filtered by dividing the mind into internal and external components. Therefore, Professional Hacking Syndicate uses artificial intelligence to break into and use high -speed (golden ball) instead of the character -ball moves faster and absorb all the electronic traces behind it. By invasion of the security database (displayed in each country/region), they obtain the identity theft information, and they use this information to buy and sell under the credit card/debit card of the stolen identity. They Break Into the Virtual Reality House of the Elected President of NEXT to Life and STEAL All HIS HIGH Level Security Codes and USE Artffical Intellig ENCE to Block Him FROM USING HIS Computer by Infecting His Computer with A Network of Mainframes Artificial Intelligence Changing that is Nearly It is impossible to crack. With the help of his girlfriend, James entered the Next To Life system. His girlfriend wrote a character/character, which is a silver liquid transformer (such as sphere) that can move at high speed. When he followed the sphere into the Smithson Society, he met two twin chicks (one is an artificial intelligence plant, and the other was an experimental female college student). Artificial intelligence made them look like twins. They all slept with him at a 5 -star Hawaiian hotel. This is a place in the NEXT to live virtual reality platform for couples to visit the intimacy of the nerve. These girls are designed by hackers because they have heard of James Bond's weaknesses. The hacker takes the lead. In the Smithsoni Society, he traces his footsteps and speeds up. He is transformed into a pilot in a deformed robot-Avro Arrow chase the sphere (Q gave him glasses, you can see the translucent wave-shaped trajectory stream deleted delete Where the electronic traces are left). The golden sphere is in the form of a black mech robot jet, and they fight against the US military with the blue/white/red mech robot jet. Next to Life's virtual reality platform can have a X-BOX portal and Play Station (2) portal for video game players to play video games provided on the Internet through the Next to Life virtual reality platform. We can create a large/large box technical support (help customers find their problems) and help them order parts (such as hardware). What installation difficulty to install is worth buying and installation tools, such as installation and upgrading to RAM. We can have the world's largest worker pool, sales technical parts, sales technical parts, service upgrades, purchases, sales and trading second -hand parts certification. We can provide these extensive scientific and technological products and services through the Next To Life virtual reality platform. We can contact a computer company (sorted according to partial), for example. Dispots and printers pay attention to their integrated/sustainability through brand names and models. In the end, we can even create our own brand name for our audio/video and technology products. We want to use pictures/printed/imitation products to create the NEXT To Life virtual reality platform version of the Smithson Society. We also plan to set up a celebrity hall for celebrities; scientists and humanitarians (sell souvenirs, cards and signature photos). We can also have a business hall. People can buy the company's card (such as hockey cards) and cards of vice presidents of different departments-their statistical data: age; working in the company for many years; measuring their successful indicators of the year-CEO's president, chairman, and even the bottom (minimum position (minimum position . Business statistics include market percentage, estimated market size (market share exceeding or lower than expected reasons, such as supply and demand factors), business classification, main competitors, executives' educational pictures, titles, charity, what associations belong to ... We can create an investment/investor matching service center in the Next To Life Virtual Reality Platform (option for fair transactions), especially for poor people around the world. The Next To Life virtual reality platform can add NYSE, NASDAQ TMX and LSE. Members will receive a hat or badge, press the button on their computer screen to display the real -time market. Investors (members) can conduct transactions in the trading hall through robots and/or video conferences, and pass the real -time bid/price through streaming transmission. The bid/price share on the video screen is available for the broker to view. When one of the companies investing in investors is expected to release a new version, the investor will receive alarm, and what is predictable (indicator), and suggestions that should be taken at higher or lower than expected. They received suggestions from analysts in real time. Buy, sell, which stock companies, industry, industry economy, the best way to play trends and events. There is an article by the database from the Wall Street Journal, Reuters, Dow Jones, and Bloomberg. It also raised and landed by%. And the overall long -term stability has a trend. We can sell advertisements in the form of billboards (for example, on the walls of the building or along the street); LED board; poster; banner; neon light logo -all these users can print. Signing on the walls inside and outside the building. These signs can be said to be 3 or 4 layers. By pressing the button, you can switch from a picture to the next and/or backwards. We can also create consumer rating of the latest high -tech new products (new innovation and why it is better than the current technology, and whether it is worth increasing cost). Judgment standard -the application of new products can be applied; in the field of professional, family, and friends, which part of it can best satisfy life; list the role of new products (function: new, old, which areas in which areas in life are in the fields of life Practical ...), in which the benefits of creating more and different people may be looking for. We plan to create a shopping mall for high -end brands (the street is similar to Roddi Own Avenue, with boutique hotel lounges and virtual reality rooms. Only those who allow them to lock the portal can visit husband and wife. We want the most fashionable brands. We can host fashion shows, invite real and virtual reality seats and video sales after show. We plan to design tourists (attractions) venues, services and products -in all parts of the world, we can hire a robot with cameras, in museums, art, art, art, art, art Move in the gallery ... and provide a lot of gift shops. Share leisure place, such as. Cruise ... We can host sports events, newly released movies (movie libraries) and other public activities (such as CCTV). People who meet at different positions) can communicate through the micro -screen video conference and/or at the bottom of the screen when watching the same or even different movies. Hobbies sharing: 1. Gardening artist -gardeners from all over the world can provide live broadcast live broadcasts Or the video of rare or beautiful plants recorded before, including blooming plant pictures, (seed sales) care needs-even genetic engineering plants; arrangements; beautify the environment. 2. Bird watching-rare or very beautiful bird photos of birds of birds that are rare or very beautiful birds , Shooting location and time, on-site video tapes in the bird reserves or video tapes recorded before. 3. Model architecture-fantasy, space, movie (when the movie is released), history, car, soldiers, airplanes, ship. Buy sets for sale. 4. Adoption/sponsorship orphans and/or poor people, homeless people, and/or sickness (to end, such as the last wish), provide pictures before donation, and then provide video editing and video conferences. Pets and animal reserves ... 5. Any entertainment and leisure. 6. Exercise and any sports and intellectual activities. 7. Walking in the park, passing through water, rain forests, Grand Canyon, Valley, ocean, ocean,,, ocean, ocean,,, ocean, ocean,,, ocean, ocean,,, ocean, ocean,,, ocean, ocean,,, ocean, ocean,,, ocean, ocean,,, ocean, ocean,,, ocean, ocean, ocean,,, ocean, ocean,,, ocean, ocean,,, ocean, ocean,, River (beach) and mountains, in these places, you can actually install a controlled camera to capture the scenery. Customers can rent and pay fees video and pictures. 8. Rowing -cruise and sailing board, sea fighting, ski ... 9. Camping, hiking, mountain climbing, bungee jumping. 10. Amusement park. 11. Ski, skiing, sleigh, flat-bottomed sled, helicopter ski-boarding, off-road skiing, snow performance, horse and carriage. 12. Complete work University. Course is provided by the neural node network. Unless you choose a video conference course: the theme includes: landscape beautification indoor designs, woodworking pipelines, ants and all contractor project managers software/hardware professional knowledge law, any scientific genetherist, all scientific genethers , Biologist, Botanist .. .. Psychology and social workers History and Politician Linguist Scholars Drama Engineers Astronomical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Mathematical Mathematic ... The real information of people/characters/characters (can be changed/updated) depends on people (eg. Press the button to view information about those who are meeting and/or interested (such as possible indexes). For individual/intimate information levels available for different people, there will be different levels of security visits. People who are viewed and understood by class information. We can also draw Las Vegas (GP 1%), White House, Yellowstone Park ... We can also have a forum that allows users (sharing with other users, such as comments and/or text lines at the bottom of the screen) to watch sports events or July 4 celebrations. We can also develop stadium/gymnasium/conference center in NEXT To LIFE. Customers can play hockey, basketball, baseball, football, English football, jazz venue, concert (artificial intelligence can fill the absent players), and any harmony All activities, we can invite professional players in real life. We can let the audience watch and pay in accordance with the principles of first -served.</t>
  </si>
  <si>
    <t>We started this invention from a new James Bunde film. Part of the charm of the James Bond film is the rich and infamous lifestyle; each movie has a different exotic atmosphere. In the movie, Bond and his girlfriend who are proficient in the Internet, when she noticed that there were some strange things in the second life (or similar virtual world platform, perhaps our own creation, such as next to life) Bond followed the trace clue to India's 3 -hid technicians to break into the second life management (security database) with artificial intelligence. He went to Japan along the path to the city, where he climbed the roof and fought with him. It turns out that the culprit behind this trick is a multi -ethnic intercontinental hacker group (called The Allegiance). Next to Life's virtual reality platform has direct nerve links (it can help classify and analyze information as auxiliary with artificial intelligence, and help filtering secrets). There is an internal component of the nerve link-through simulation (scenes and environment) and/or keywords, logical language and/or memory model, representative words/symbols ... No one else on the Next To Life VR platform cannot observe the behind -the -scenes; and an external component to perform physical/verbal decision -making. There can be a micro -screen, or the inner and outer neural thinking link in the screen can have one choice list (drop -down menu). There are 3 methods for menu navigation, (starting from the middle) method 1. Move each option one by one one by one, or method 2. Disassemble in the middle-including starting from the middle distance, and then choose to move up or down in the middle of the halfway to the middle or at the top or the most at the top or the most The distance between the bottom is separated by the distance between the top and the bottom, and eventually you will return to the place you want to reach or the choice you want. Or Method 3. If your choice is close to the top or bottom, you can choose the top options and move directly to the top or bottom, and then use the navigation method to move down or upward an option to the next option. Next to Life's virtual reality platform includes: 1. 3 to 4 screens (using logic language, system/components, memory models, representative words/symbol/attribute/clue/link/relationship). 2. Possible 3-D and IMAX (combined on-site experience). 3. Neural network, the thought can be directly connected to other thoughts to obtain the final intimate experience, or can be filtered by dividing the mind into internal and external components. Therefore, professional hackers use artificial intelligence to break into and use high -speed (golden balls) instead of the role -the sphere moves faster, and absorbs all the electronic traces behind it. By invasion of the security database (displayed in each country/region), they have obtained identity theft. They use these identities to steal to fake the stolen credit card/debit card to buy and sell items. They Break Into the Virtual Reality House of the Elected President of NEXT to Life and STEAL All HIS HIGH Level Security Codes And Use Artificial Intellig ENCE to Block Him FROM USING HIS Computer by Infecting His Computer with A Network of Mainframes Artificial Intelligence Changing that is Nearly It is impossible to crack. With the help of his girlfriend, James entered the NEXT to live system. His girlfriend wrote a character/character, which is a silver liquid transformer (such as sphere) that can move at high speed. When he followed the sphere into the Smithson Society, he met two twin chicks (one is an artificial intelligence factory, and the other was an experimental female college student). Artificial intelligence made them look like twins. They all slept with him at a 5 -star Hawaiian hotel. This is a place in the Next to live virtual reality platform for husband and wife to access the nerve intimacy. These girls were designed by hackers because they heard the weakness of James Bond. The hacker achieved a lead. At the Smithsoni Institute, he traced back to his footsteps and speeded up. He played the form of pilot in the deformation robot The trajectory deletes the place where the electronic traces are left). The golden sphere is in the form of a black mech robot jet, which fights with the US military with blue/white/red/red mech robot jet. Next to Life's virtual reality platform can have the X-BOX portal and Play Station (2) portal for video game players to play on the Internet through the Next to Life virtual reality platform. We can create large -scale/large box technical support (help customers discover their problems) and help them order parts (such as hardware). What installation difficulty to install is worth buying and installation tools, such as installation upgrades to RAM. We can have the world's largest electronic parts selection, sales technology parts, service upgrades, purchase, sales and trade second -hand parts certification. We can provide these extensive technology products and services through the Next To Life virtual reality platform. We can contact a computer company (sorted according to partial), for example. Displants and printers pointed out their combined/sustainability according to the brand name and model. In the end, we can even create our own brand name for our own audio/video and technical products. We want to use pictures/print/imitation copies to create the NEXT To Life virtual reality platform version of the Smithson Society. We also plan to set up a celebrity hall for celebrities; scientists and humanitarians (sell souvenirs, cards and signature pictures). We can also have a business hall. People can buy company cards (such as hockey cards), cards from vice presidents of different departments-their statistics: age; age; work in the company's work; measure the president, chairman of CEO, the bottom of the CEO Position). Business statistics include market percentage, estimated market size (market share exceeding or lower than expected reasons, such as supply and/or demand factors), business classification, main competitors, executive education pictures, title, charitable cause, what association belongs to what associations belong to … We can create an investment/investor matching service center in the next to live virtual reality platform (the choice of fair transactions), especially for the global poor. Next to Life's virtual reality platform can join the New York Stock Exchange, Nasdaq TMX and London Stock Exchange. Members receive a hat or badge and press the button on their computer screen to display the real -time receipt of the tape. Investors (members) can pass streamlined real -time buy/sell video conferences through the video conferences of robots and/or trading halls, and publish buy/sell stocks on the video screen to check the brokers. When one of their investment companies is expected to release a new version, investors will receive alarm, what is predicted (indicators), and if it is higher or lower than expected. They receive the suggestions of analysts in real time. Buy, sell, which stock companies, industry, department economy, the best way to play trends and events. There is an article by the database from the Wall Street Journal, Reuters, Dow Jones and Bloomberg. ) Also sorted and sorted in the following ways to rise and land. And the overall long -term stability has a trend. We can sell advertisements in the form of billboards (for example, on the walls or streets of buildings); LED boards; posters; banners; neon lights -users can print all these. Establish a road sign on the inner and outer wall of the building. These signs may have 3 or 4 layers. By pressing the button, you can switch from a picture to the next and/or backward switch. We can also launch consumer rating for the latest high -tech of new products (new innovation and why it is better than the current technology and whether it is worth increasing costs). Judgment standard -new products can be used; in the field of professionalism, family, and friends, which part of which life it can best satisfy; list the role of new products (functions: new products, old products, in life, in life Which areas ...) The benefits of creating more different people may be looking for. We plan to create a shopping mall for high -end brands (the street is similar to Rodeo Drive, with a boutique hotel lounge and virtual reality rooms. Only those who can lock the portal can access couples. We want the most fashionable brand name. We can host fashion shows, invite real and virtual reality seats and video sales after show. We plan to design tourists (attractions) venues, services and products -we can rent robots carrying cameras around the world, shuttle in museums, art, art, art, art, art, art Gallery ... and provide a wide range of gift shops. Share a leisure place, such as. Cruise ... We can host sports events, newly released movies (movie libraries) and other public activities (such as CCTV). People who meet at different locations on the Internet) can communicate through micro-screen video conferences and/or text at the bottom of the screen while watching the same or different movies. The rare organs or beautiful plants of the video tape, including pictures of flowering plants, (selling seeds) care demand-or even genetically modified plants; arrange; beautify the environment. 2. Bird watching-rare or very beautiful bird photos, photos of rare or very beautiful birds, photos of rare or very beautiful birds, photos of rare or very beautiful birds, photos of rare or very beautiful birds, pictures of rare or very beautiful birds, photos of rare or very beautiful birds, photos of rare or very beautiful birds, photos of rare or very beautiful birds, photos of rare or beautiful birds, photos of rare or very beautiful birds, photos of rare or very beautiful birds, photos, rare or very beautiful birds, photos of birds, rare or very beautiful birds, photos of birds, rare or very beautiful birds, pictures of rare or very beautiful birds, photos of rare or very beautiful birds, photos of rare or very beautiful birds, photos, rare or very beautiful birds. Shooting location and time, video tapes in bird reserves, recorded or previously recorded. 3. Model architecture -fantasy, space, movie (when the movie is released) -m history, car, soldiers, airplanes, and ship. To live purchase and sell. 4. Adoption/sponsorship orphans and/or poor people, homeless returns, and/or sick people (about to die, such as the last wish), provide pictures before donation, and then provide video clips and video conferences. There are also stray pets and animal reserves ... 5. Full -time work university. Unless you choose a video conference course, the course will be performed through the neural node network: the theme includes: landscape beautification room design, woodworking and electrician water pipes ANT and all contractors. Project Manager Software/Hardware Professional Knowledge Law School Medical College and all scientific genetic scholars, biologists, botanists ... Psychology and social workers Historian Historian Linguist Scholars Drama Engineer Physics Mathematics Mathematics Mathematics Mathematician Registration It can be carried out by correspondence. In addition to real -time nerve node teaching (maybe artificial intelligence), there may also be video courses (may be updated over time) and video conference courses, as well as written and/or DVD textbooks, notes. ..... We can link each character/character with personal information (such as name age, interest) and pictures and other facial books. Can be updated) depends on people (for example. Press the button to view information about those who are meeting and/or interested in (for example, possible indexes), for different personal/intimacy information available for different people available At the level, there will be different levels of security access. Who wants to view and understand through this information. We can also draw a Las Vegas (1%), White House, Yellowstone Park ... where people want to go. We can also have a forum that allows users (sharing with other users, such as comments and/or text lines at the bottom of the screen) to watch sports events or July 4 celebrations.</t>
  </si>
  <si>
    <t>We plan to plant algae, bamboo, sugar cane and corn to make ethanol. Sugar cane will be chopped and the liquid is squeezed out of ethanol. The remaining fibers will be chopped and cut into the best length for agricultural use. Sugar is a form of fertilizer. These fibers will be cooked in manure tea (stir well to instill the effectiveness of fertilization-wider nutrition mixing) and roll and squeeze and cook in manure tea (stir well to instill the fertilization effect-more wide nutrition mixing) rolling and rolling and. Squeeze (depending on the result of such a process-whether high-quality organic fertilizer is worth it). Fertilizer can even be made of granules. Both tea dung and sugarcane powder can be used to grow algae. The algae can be packed in a transparent bag. The solar panel under the bag can further make full use of the venue by generating energy; solar panel energy and algae are converted into ethanol. Algae self -brewing medium includes glucose, NA2HPO4, KH2PO4, NH4Cl, NaCl, MGSO4, CACL2 ... sugarcane fiber and corn silk can also be used to make soil matrix (GP 0.05%), and biodegradable sowing and transplantation, and all planting pots, all planting pots, all planting pots, Bio -degradable packaging, bags, artificial cardboards, pulp and paper, envelope, books, and mix with preservatives and mix with adhesives and compress to produce a form of gypsum; fiber board, artificial wood cabinet, door, frame, pillar, pillars , Outdoor, all construction purposes, including wooden floors, wooden ceilings, roofs, shutters, closet doors, 2%of artificial wood furniture, all housing, all offices, all real estate, all apartments, all skyscrapers, all apartments, all wooden ornaments, all wooden ornaments Noodles, all shelves (5%decoration), all wooden decks, all gazebo, all wooden structures, all shed houses, all additional wooden structures (such as swimming pool houses or tree houses), sugarcane fiber powder and corn shell powder can be mixed with resin mixing with resin mixing with resin In addition to the 3D model printer, we can also build plastic/resin (maybe mixed with particles/gypsum boards) or glue/adhesive structure. We are the first company to manufacture and sell the following new products, because they will be mixed with nanoparticles or nano -fiber or biodegradable substances (such as corn shells and powder), which may be sprayed or spinning/weaving, and and weaving, and and weaving, and weaving, and weaving, and weaving, and woven, and weaving,, and weaving, and weaving, and weaving ) Generate solid/durability and flexibility (if required) and lightweight products (of which adding nanomaterials or 3 dimensional model creationrs can be used to make better products-or at least niche market).新产品包括所有运动物品/配件、所有建筑材料和所有飞机(飞行)零件、所有划船零件、所有电子零件和配件、所有家具、所有基础设施(例如道路和桥梁)材料、地毯、所有玩具、所有织物、所有框架和笼子、所有浮动装置、所有容器、所有包装材料、喷涂胶原蛋白或其他用于组织培养的可生物降解结构产品、所有窗户、所有金属框架、所有机械部件、所有厨具和器具、 All electrical appliances, all heater/all air conditioners, skeleton structures, all fixed devices, all ink-photos and laser and inkjet quality, all enterprises, all enterprises, all infrastructure products, all hardware-software-communication-communication-communication-communication Products, all covers, artificial structures and decorations, all handles, locks, all glass and glass substitutes, all vehicle parts, all consumer goods, all industrial parts and machines, and safety equipment, etc. -Mark Cup-glasses, all racks, all hamsters, all storage boxes, lighting light-street lights to candy to light bulbs, melting furnaces, grass cutting machine parts, vacuum cleaners, engine shells, engine parts, indoor/outdoor furniture and parts, their parts, and their parts, their parts, and their parts,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and their parts, Brick and Plack -barbecue and buildings, all wheels, all tires, all tires, chains, cosmetics, scrubbing products, all wires, all cables, all TVs Loose band, all ties, all rubber rubbing, all fixed devices, such as. All pencils, all pen boxes, all pencil boxes, all liquid paper ... All chessboard gaming parts, all lenses, all glasses frames, all parts of all products for assembling all the products listed here, all contact lenses, all wipes, all wipes The clothes are used for windproof hoods and goggles, and all wiping cloths for CD and DVDs are used for the box of all products. Camera and all their components, all trash cans, all radios, all DVD players, all CD players, all servers ... All railways, all monorail trains (intercity), all high -speed trains, all freight trains, All cargo ships, all cruise ships, all fishing boats, all cruise ships, all yachts, a small boat/boat, all lifeboats, all life jackets, all diving clothes, all plastic and all paper bags, all plastic shells (CH; CH; CH; GV) (such as rolling knife or pencil box) products, all blade, all aluminum shell products, all scissors, all brooms, all liquid additives from high -performance to high -performance to high -performance liquid , All professional tables and desks, all separators (all professional furniture), all video conferences, all mobile batteries, all mobile phones, all fixed telephones, all wireless telephones, all iTune devices, all SMS devices, all all SMS devices, all of all SMS devices, all the SMS devices, all the SMS devices, all the SMS devices, all the SMS devices, all the SMS devices, all the SMS devices, all the SMS devices, all the SMS devices, all the SMS devices, all the SMS devices, all the SMS devices Electronic readers, all mobile video devices, all light bulbs, all plasma and all high -definition TVs, all horticultural watering and all the hose and all containers, all plastic and all biodegradable jars, All pottery and all spray guns, all garden equipment, otolaryngology, all computers and all electronics and mobile equipment peripheral equipment and accessories, all protective clothing (especially heavy type), all shoes, all fishing work clothes, all boots, all rubber boots, all rubber boots , All snow boots, all ski panels, all skiing boards, the entire winter boots, all jackets, all winter pants, all hockey and football, protective equipment, all helmets, all exercise equipment, all goalkeeper networks, all golf club clubs All golf carts, all golf balls, all golf bags, all sticks, all gloves, all baseball, all tennis rackets, all tennis, all basketball, all basketball networks and backplanes, all football and all boards Balls, all crickets and all cricket pads, as well as all stadiums and all stadiums, all sheets (JA), all quilts, all pillows, all mattresses, all bedding Diving clothing, all diapers (may be biodegradable), all bottle, all ATM machines, all fast food kitchen units, all heating-cooling shells, to show food in front of the glass, customers can choose what they want, all fast food, all fast food Bags, all drink cups, all cup holders, all food fast food packaging, all water dispensers, all faucet machines, all heavy types, all restaurants, all restaurants, all freezers, all stoves/fried noodles, all heavy dishwashers, all envelopes, all envelopes, all envelopes All linkee, all wall boards, all discs, all discs, all plates, all dishes, all bowls, all cutting tools, all knife tools, all hosts (parts), all CDs and DVDs, all metal wire mesh, all metal grilled racks, all metal grilled racks ,替代甲板材料,所有锅,所有平底锅,所有陶瓷,所有链条,所有链锯,所有铁锹,所有铲子,所有重型卡车、所有重型牵引拖车、所有书籍装订本、所有活动房屋/休闲车、所有汽车蜡、屋顶、所有吸水材料、所有gerters、所有拖鞋、所有喷气发动机、所有助推火箭、所有弹簧、所有系绳,毛皮上的所有防腐剂,所有小动物所有的工具、所有的把手、所有Rivets, all screws, all nails, all branches saws, all ladders, all high -arm scissors, all wins, all joints, all pliers , All pliers, all weeds-foodware, all embankment and all sandbag materials, all for inflatable rubber, all helicopters, all propeller aircraft, all ship engines, all tunnel excavators, all professional movies, and amateur movies production and amateur film production and amateur film Edit equipment and all number of pixel projectors, as well as all forms of film projectors, all medium -sized movies and all micro -shrinking films, all toys, all saws, from the carpenters to all saw wood factories, all covers, all the pulp and paper of paper and paper , All composting digestives, all WIFI and all hub equipment, all routers, all paper tray (CH), all plastic appliances, all wooden and metal scrapers; mixing spoons, all long -handle spoons, all chopsticks, all pipes and all connections Instruments, all faucet control devices, all welded mixtures, all cushion materials, all sofas made of materials, all chairs and all table materials, all car seat materials, all children's car seats and all strollers Materials, all plastic flower pots, all door handles and all sockets, all RIFDs, all micro chips, all semiconductors, all felt, all crayons, all melting furnaces, all ventilation materials, all the buildings of all ventilations All the lifeblocks, all inflatable equipment ..., all water dispensers, all water filtering techniques, all seawater desalination plant facilities, all water containers, hot water bottles, all hot water containers, all kettle, all outdoor activities, all volleyball balls, all volleyball balls, all volleyball balls和所有网以及所有羽毛球拍、旋塞和网、所有帐篷织物、固定肋骨、所有钓鱼竿组件、所有诱饵(可能注入了强烈的气味,例如鲱鱼)、所有消防棒和鼓风机、所有火烤架、所有Bicycle components, all kayaks, all terrain vehicle parts, all SEADOOS, all SKIDOOS, all fences (wood, metal to concrete ...), all polystyrene foam plastic, all automatic vending machines, all garbage Bags, all frameworks, such as.用于门或图片、所有壁炉和所有烟囱、所有砖块、所有浴缸、所有水桶、所有薄纸、所有扩音器、所有打桩机、所有毛巾、所有尿布、所有地毯、所有纸巾、所有肥皂、所有糖果包装纸, 所有动力棒, 所有货车, 所有运动型多功能车, 所有中型车辆, 所有一般车辆, 所有杀虫剂, 所有珠宝, 所有手表, 所有链条, 所有项链, 所有吊坠, 所有水晶(个人和枝形吊灯), 所有瓷器、所有高档(高档)饮料容器(例如XO 容器)、所有挂锁、所有绷带、所有医疗设备(所有机械、所有X 光机、所有MRI 所有PET、所有手术机器人、所有Blood testing equipment ...) and all medical materials and all supplies, all tablets, all VHS, VCR equipment and all their tapes, all hair dryers, all spray bottle/can Hair glue, all shampoos, all conditioner, all candy, all lip balm, all skiing boards, ski frames, all TR auxiliary wings, all canoeing, all sailing components, all flags, all GPS equipment, all GPS equipment, all GPS equipment, all GPS equipment, all GPS equipment, all GPS equipment, All buoys, all shelves, all nuclear reactor parts, all windmills, all gravity chain machines, all aircraft, all weighing scales, all luggage belts, all luggage materials, all portable travel containers, briefcases, all notebook computers, and all notebook computers 、所有衬里纸、所有笔记本及其所有手提袋、所有烟斗、所有假烟和所有烟嘴和打火机所有火柴(软的和hard)、所有消防栓、所有下水道管道、所有水表、所有停车咪表、所有The debit card and credit card swiping device (verification device), all micro chips, all ticket readers embedded in all payment cards; processors; allocations (such as monorail trains, railway stations and airports), all wine, wine and champagne, bottle All house kitchen (for example, nano particles are better made (more resistant to cut), as well as all restaurants, all cafes and all countertops, and all family kitchens, all restaurants, all coffee shops, and all countertops. Do not clumid knife and still decorative ... All chopping boards, all bottle caps, all fishing boxes, all toolboxes, all toolboxes or toolbags, all toolbags, all steel head boots, all all steel head boots, all of all steel head boots, all of all steel head boots, all of them, all of them Movement tools (such as welding device), all large machines, all magic stickers, all tunnel walls, all bridge components, all crane machines, all forklifts, all robots, all zippers, all clothes patch, all boots/soles, shoelaces and nano纤维胶来修复它们, 所有帽子, 所有安全帽, 所有棒球帽和所有头盔, 所有高尔夫球帽, 所有牛仔帽, 所有钓鱼帽, 所有贝雷帽, 所有扬声器, 所有低音喇叭, 所有调整器,所有Balancer, all audio machines, all automotive audio equipment, all car glass and skyscraper glass, all doors, all roofs and sidewalks for caramel, all road materials and equipment, artificial stone building materials, all pond waterproof materials, all sprinkler, all sprinkler, all sprinkler, all water heater, all sprinkler, all sprinkler, all sprinkler, all sprinkler, all sprinkler, all sprinkler, all sprinkler, all sprinkle Artificial wood architectural materials, all electric poles, or all bands around or supporting old electric poles, all plastic for kite, all plastic sticks for gardening vines, all frames and networks for garden vine, all web, all Materials are suitable for terraces and decks, barbecue, and all stairs, including wood, metal, all ice -making machines, and all rainwater applications (for example. Broadcasting cloud, suppressing-anti-broadcast tornado, collecting rainwater into the water tank from the top or when sufficient to prevent the evaporation and loss of this valuable resources), all transparent epidermis in the greenhouse (all the glass in the greenhouse), all garden hose hose pipes, all garden hose滚筒/轮子,所有手套/手套-冬天或园艺或时尚,所有无边帽,所有护目镜,所有围巾,防暴风雪的面部保护装置,所有衣服,所有织物,所有计算机扫描仪,所有条形码扫描仪,所有电池,所有锡容器,所有人造木板,所有人造木原木,所有窗帘和所有窗帘,以及所有悬挂组件(杆),所有可伸缩屏幕,所有百叶窗,所有百叶窗,所有迷你酒吧,所有枕头,所有时钟, All watches (digital or simulation), all bicycles and all bicycle frames and all bicycle components, all extreme cycling protection equipment (RA 1%), all motorcycle components and accessories, all video game consoles and controls, all video, all video Card belt/CD, human L rake, all hoe, all insulating materials (JE 0.5% GV in the earlier patents), all clothes insulating materials, all jacket lining面包机和肉鸡烤箱,所有冰箱的架子,以及所有冰柜、所有刮冰机、所有冰镐、所有登山装备、所有绳索、所有金属夹、所有钉鞋、所有越野车、所有混合动力车、所有生物燃料(例如。 乙醇和/或椰子)车辆和零件/组件,所有氢燃料车辆,所有卫星组件,始终是最新版本的音频/视频,电子设备,所有武器,所有潜艇和所有潜水器,所有人造花,所有Artificial plants, all special effects (such as facial carving, robotic robot ...) Movies, all artificial trees, all artificial foods, all artificial, fruits, all long live plants, all tapes (for example, all electronic tapes (all electronic tapes , Cover tape, transparent tape, pipe tape ...), all the cushions under the carpet, all yoga/Prara pads, all the resistance and general weight and all the weightlifting versions of the balance exercise, all gym and general gym and general weighing practice In the case, the wall/ door and key of the institutional storage cabinet, all locks and keys, all password locks, all security/ security, such as closing the park chain, all concrete mixtures, all foam or glue filled cracks and tears, all cars Ground blocking device, all bricks, all outdoor/indoor lamps, all lanterns, all outdoor heater, all car TS, all newspaper carts, all grocery vehicles, all travel carts, all carts, all racing components/零件(例如。 Daytona, Formula 1)、所有水、所有货币、所有硬币(更轻、更耐用的硬币)和更轻和所有金融票据(更轻、更耐用)、所有网格、所有烤架、 All ventilation ports, all fishing lines, all fishing line shafts, all hunting equipment, all gasoline containers, all oil tankers and pumps (composed of components), all oil tankers, all large drilling platforms, all flat beds, all one ton, all trains and all ships货油轮,所有驳船,所有吹雪机和所有铲雪车、所有个人报纸打印机、所有拖船、所有相机、所有手机、所有移动电子邮件设备、所有PDA、所有短信、所有信息亭推车(例如咖啡、 Hot dogs, donuts), all garage door materials, all bread components and all fruit juice components, all surfing boards, all surfing boards, all drainage pipes, all fishing sound components, all ship navigation equipment, all ship engines and components, components and components /零件, 所有跑步机, 所有elypitical 机器, 所有固定式自行车, 所有楼梯机, 所有滤水器, 用于饮用, 用于鱼缸和池塘, 用于游泳池, 所有心脏起搏器, 所有人造心脏, 所有Micro -chip, all electrode components and all neurons -neuroprane components and all spiritual sounds, machines, all refrigerators, all plastic, all glass, all ceramics, all clay, products, including all cups,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all bottles and all bottle and all all bottles and all bottle and all all bottles and all bottles and all bottles and all bottles and all bottles.盖子、所有生物技术和高科技(B2B、B2C 和基础设施)、所有医疗保健设备和机器、所有空气清新剂、所有驱虫剂、所有杀虫剂、所有金属探测器、所有旗杆、所有电饭煲、 All holes, all hot pads, all oven gloves, all S foam plastic cups, all rubber balls, all pet toys, all pet foods and water bowls, all oil and natural gas and coal technology and equipment additives, windmills and gravity chains All components (and update versions) of the machine, all book booking machine-booking nails, all clips, all cleaner, all thermometers and all thermometers, all gels, all fine scrubbing agents (may be mixed with the solvent-to so as to use it to use it to use it to use it to use it to use it to use it to use it to use it-to use it to use it to use it to use it-to use it to use it to use it to use it-to use it to use it. Diversion oil and dirt; window/mirror/tableware cleaning machine; garage floor ... or shiny polishing solutions), all arcade game components, including unique interactive mechanisms/functions, all golf video exercise games and exercise camera, All needed skating rink machinery, all industrial machinery-console, robots, used for search, analysis, mining and production of all minerals, all plastic containers, all bedside tables, all tables, all stools, all bedroom furniture, all meetings, all meetings Room furniture, all partitions, gears and processing equipment of all bathtubs, all massage ponds, all sauna materials, all steam room materials, all industrial product companies, anywhere on the vertical chain, all coffee machines, all coffee filters, all coffee filters 、行李袋、所有资产、所有电器、所有洗衣机、所有烘干机、所有盘子垫圈、所有水槽和水槽产品、所有扳手、所有钉子、所有钳子、所有建筑工具和所有材料、所有钉子、所有螺丝、 All nuts, all bolts, all screw drives, all phase paper, all environmental elopement, all photos ink, all Japanese paper wall partitions, all artificial stones, all light paper paper (for example. Magazine), all artificial stones, all artificial marble, all artificial construction marble, all artificial cobblestone, all large vacuum cleaner parts and components, all artificial carpet cleaning solutions, all curling equipment, all hockey sticks, all ice hockey, all street hockey goals设备, 所有植物用塑料盆, 所有塑料碗, 所有自行车头盔, 所有木炭穿孔袋, 所有氨去除剂穿孔袋, 所有穿孔茶包, 所有赌场筹码, 所有赌场赌桌, 所有台球桌, 所有台球桌, All slot machines, all seats in the stadium, all chairs on airplanes and buses, components and parts of all buses, aircraft, helicopters and hovering vehicles, all leaves and machinery on the windmill Hearing aid (for example, no mobile phone, amplifier or music), all MP3 player, all portable CDs, DVD players, all LEDs, plasma, high -definition TV, all kitchen shovel, all drainage bowls, all grass, all fake plants, all toilets, all toilets , All the urine ponds, all book paper RS ​​and all binding and all binding glue, all cover, all bulletproof cover, all ethylene bases, all gameboards and all components, all mechanical garage equipment, such as. Tire disassembly, hydraulic lift, and diagnosis and maintenance tools ..., all order food cars and all bus carts, all safe walls and doors and locks, all better heat resistance (and/or cold (cold or cold Maintenance) Plastic products (such as coffee cups) -The possibility is that the plastic layer and inner layer and the middle space in the outside are solid mixture of plastic and nanomaterials, all water heating pads, all camping coolers, all Buckets, all water tanks, all beverage coolers, all ice -making machines, all books paper, binding, binding glue, all punching machines, all cover, all rolls, all hammers, all electric dishes, all van machine machines, all bunners ,所有切肉机,所有太空弹簧,所有新电脑,所有背包电脑,所有电影按需- 设备所有零件和组件、所有漫画、所有运动和电影卡、所有最具交互性的计算机、所有人工智能, For example. Hardware-TV console/adapter ..., all laundry baskets, all heating ventilations, all elevators, all the cranes, all furniture wheels, all paint, all paint, all waterproof (CH 0.5%), all indoor and outdoor paint, all indoor and outdoor paint, all indoor and outdoor paint, All enamel and all applications, all sand light machines, all buffer, all car washing equipment and materials and machines, all space springs, all new computers, all backpack computers, all movie on-demand-all parts and components of the device, all comics, all comics, all comics, all comics, all comics, all comics, all comics, all comics, all comics, all comics, all comics, all comics, all comics, all comics, all comics, all comics, all comics运动和电影卡...除了上述用途外,玉米壳粉,可用于所有(因为其安全(无毒)和可生物降解的性质)饲料和填料(食品和饮料行业)用于所有农业/制药/ Overall dietary supplement/need to use corn -shell powder (mixed into its materials) features as component/additives (such as as a baking or soup or sausage component), but consumer products for protecting the environment (or safe intake) do not need to be durable and durable The final product (cosmetics, paper bags, food ingredients and adding candy to maintain consistency and volume, as well as all personal hygiene, all paper-telephone books and advertisements (posters), all fast food cups-tableware-chopsticks, all calendars, all convenience Paste all the adhesives, all brackets and all automatic vending machine foods, all thin paper, maybe all beer/malt wine/and other beverages additives (eg. All soda, coffee, all tea), all Mexico, all Mexico Food's bulk mixing or replace corn kernels (such as corn cakes ...), all medical supplies (JE; GV), all the shelf life packaging and packaging of all expired foods can be degraded, all shelves, all furniture, all furniture (It may be disposable outdoor furniture, you can only use one season), all cases and packaging and other components of the electronic equipment. Once the contract expires or the version is outdated, all milk and other beverage cartons, all wax paper containers, all wax paper containers Alternative, all cigarette fillings, all tobacco (such as all cigars and all cigarettes), all daily consumer products, all the clothes you plan for use one season, all chocolate or candy containers, corn shells are chopped and pressed into particles or compressed It is a standard size of logs and burns to obtain energy, corn shell powder, which can be used to fill the stomach and provide folds with folds. Drink in CH 1%), while low calorie intake, all artificial flower flowers, all artificial plants, all special effects (such as facial carving, robotic disguise ...) movies, all artificial trees, all artificial foods ,所有人造,水果,所有人造万岁植物,(以及以下低脂高褶皱的增稠剂或主要成分)所有冰淇淋,所有冰淇淋(Ch),所有甜甜圈, 所有的酸奶、所有的松饼、所有Milk tea, all coffee, all minced meat, all chocolates, all the smoothies, all cakes, all desserts, all pastry, all gravy, all seasonings, all hot dogs, all milk sperm, all milk sperm, all milk sperm, all milk sperm, all milk essence All batter, all crispy layers or covers, mix with all sauce (CH), all foods and drinks with flavor and aroma are absorbed in the powder corn shell, and then mixed with other ingredients to make a low -fat diet. New food and beverages are added to all finger foods and all formal foods, all national foods, all fusion foods, all detergents, all soap, all bath oils, all shampoos and all conditioner, all gum All gels, biodegradable (safe intake) washing/scrubbing solution or additives, all paper towels, all paper towels, all napkins, mixing with plastic, forming a semi -biodegraded container, a powder -like corn shell. Macaling of gastrointestinal compost is used for fertilizers (mixed mixing or chemical or other more natural fertilizers), all malt, corn shell particles and logs (and mixtures, such as mixtures, such as mixtures, such as mixture, such as liquid or more natural fertilizers.与雪松)可用于烧烤、篝火和/或壁炉和炉灶、所有家居用品、与所有格兰诺拉麦片棒混合、与所有米片混合、与所有谷物混合(低脂肪,但可填饱肚子)、 Mix all protein milkshakes, all milk thickeners, all book paper and all binding and all binding glue, all cover, all barrels, all wine press and its components and parts, all bread, all chicken, turkey and beef filling Cakes, all cakes, all curry horns, all potatoes, all foods that need to be bonded (their composition can be mixed with powder corn shell), all Solzbury steaks, all meat pie, all cakes, all have already already been Prepared food, all canned soups (tomatoes, cream ..), canned tuna, all salmon canned food, canned sardines, canned oysters, all fried chicken and fries, all needed skin skin. Food ... longer sugarcane fiber can be used to make brooms, and thinner fibers can be used to make brooms. Used for painting (0.5%). Bamboo can be used for construction, which can grow in the shadow area, such as the invention of high -gravity power around us (2,602,133). We can apply sugarcane fiber (the nutritional ingredients of fertilizer tea), ordinary fertilizer tea and the remaining fertilizer in the soil, which can be mixed with sugarcane fiber and/or peat moss. We can use our algae crops and corn crops (the supply and demand market of ethanol) and solar panels, as well as the degree of success of sugar (market supply and demand) and ethanol (and energy) markets for fertilizer tea, and The high-gravity invention of electrical power (energy market supply and demand) and market supply-competition alternative products, based on quality and cost ... the demand for by-products is made of sugar cane and corn shell.</t>
  </si>
  <si>
    <t>We plan to produce and play 1) DVD and 2.) The equipment played at the same time can be ordered from a database/library of a huge movie library (e.g., cable TV or ADSL or T1). There is no output except for the TV, and the TV output must point to the movie/DVD console. This will be verified that the movie library is not copied through the feedback of the movie library. Work normally (maybe the signal can be disrupted). Given that our device has provided the above services, we may (or as an optional additional component) allow users to order movies paid through cables. These movies can be recorded/copy/record into DVD, VCR or CDs. Apply for a patent for the unique television jack entered by the TV manufacturer or our own company. The jack can be installed in a TV that is only suitable for us (also want to apply for a patent) console/module (with global positioning satellite chip)-if It is impossible to remove the entire circuit board and trigger a honeycomb alarm signal without disassembling). According to the contract with the permission, this TV -specific terminal is not provided to VCR/DVD/CD manufacturers to avoid piracy. Basically, the novelty of this idea is that in order to avoid users from copying the movie library, the device monopolizes all (input?)/Output plugs. We can have an adapter (cable/input) (or module) to detect whether the output comes from our device's device. Plug in TV or insert VCR or CD directly, if VCR or CD is recording or recorded (we want to avoid this). Or it may be the lock and key to prevent tampering with a warning signal. The alarm signal will tell cable television companies when the adapter/module on the TV input is directly inserted into the TV or the second recording/BURNING device-we Strive to avoid. Our goal is to strictly insert the output of the film library equipment into the TV input and only TV. When buying and setting up film on -demand equipment, technical support staff can install the lock and key adapter of the monitoring center with alarms with alerts. We also have a DVD in the device. Methods insert their DVD wiring (maybe one day, when the technology allows and the price is worth it, we can provide a movie on -demand database/library on the Internet. A large movie database does not download any movie but insists on streaming media videos. Unable to copy movies) In addition, the device also has a video/audio input that is directly output to TV, allowing other devices (such as VCR, CD, etc.) to strictly play their materials by sharing the input of our device on TV. Another way to avoid recording/burning movies in the library is to clamp the end of the cable at the end of the cable. The end is located on the TV feed input plugs at the TV. The clip is tightened around the thread of the TV input plug. If the seal is damaged, a warning will be issued to a cable TV company. The clip can also be a mini handcuffs to tighten the back/internal area of ​​the TV input plug thread. It can be tightened and locks. If it is tampered with, the cable company will issue an alarm. Another way is a magnetic internal nut and an external nut that surrounds the entire internal nut. In order to remove/cancel/get the internal nut, you must first release the external nut. The external nut is also magnetic. When the magnet is separated, the office of the cable company will issue an alert. Another method is to use a hood to cover the plug to the end of the input TV plug, and screw it on the outer thread of the inner plug to prevent (this option can be combined with the above -mentioned security measures). plug. We can also create a system that can identify ourselves in each device, such as. Only the mathematical code, barcode/home password known by cable TV companies, so pirated people cannot tampering the equipment. And can identify repeated devices (maybe with the help of artificial intelligence). Similarly, technicians can be installed and demolished according to customer requirements. When the device is prepared for customers, you can use the family address or combination barcode or serial code to encode the equipment, and whether it is the first and second ... equipment of the family, each device has an accounting processing, no piracy is pirated, no piracy The device can use our system. Or technicians can come in and install a new input plug on TV. If the lock mechanism is tampered with, it will also remind cable TV companies. We can organize movies according to the type, the order of the letters, the date of release, or the popularity or the keyword or the Boolean (interest), and we can also subdivide the price according to the release date and popularity. We can also classify/access the film according to the main actors/actress and producer/director or film company, as well as review/viewing awards (and nominations). We can also provide film scores and story abstracts without leaking suspense and twists and turns. We can also send our movies to mobile electronic TV or mobile calculation through portable screens (may be with emails and text messages as well as cell phone calls, PDA, paging or optional combinations). Choose a movie (not recording movies to avoid piracy) in real time. Like other equipment, you can choose to pause. In addition, we can allow users to choose to be paused and (maybe where the user is marked where the user leaves, and then start again from where the user leaves. We can also use the above devices as a medium that interacts with our artificial intelligence and even combine them Get up. We can also send the movie to all computers (GV; CH 1% -Computer) that can be viewed but not replicated/recording/recording, and do not download any movie materials, maybe you can download and copy/recording/burning/burning Trailer. We can use micro chips (units) (patents) installed in computer hardware, and may even use the software (call center) that can be interpreted by the mathematical code that can be changed by the Internet or is updated by technical supporters to update Micro -chip (unit) or software, especially our own viewing software that cannot be copied/record/or recorded; if pirated people try to copy (or tamper) microcompet P or try to solve the code. In addition, micro -chip (unit) can be possible Put in a shell that can be opened (back hinge on the back) and opens (or slide) in front. When opening, you can have magnets on the top and bottom of the opening side, remind the cable TV company. Or enter the micro chip (unit) (unit) The wires can be used as described above, and the shell is the shell at the top of the inside. In order to solve the wire, you need to unlock the shell first. The inner thread clip and the shell will be magnetic. To the alarm. Similarly, this plug/lock mechanism will be installed by technical support personnel to the house. The plug/locking mechanism can also be located in the micro chip (unit) shell to make it have dual tampered and improvisation. Unit) Open before installation and feedback through the cable; the alarm will send to the security department of a cable company through a single honeycomb telephone. A method for better service for computer clients, because there is no memory download, we can let we allow us After paying the film fee, the customer restarts the movie 5 to 10 times, or selects it from the earlier chapters to compensate the interrupt/interrupt to the real -time contribution. We can also apply for a special unique port shape and only suitable for us only for us The patent of our micro-chip (unit) patent is the only size suitable for ports (input and output). Micro-chip (unit) can be equipped with global positioning satellite chips The alarm signal cannot be removed. In addition, we can provide a barcode or a serial number for each sold unit (or the password assigned to each unit for each unit, only cable TV companies know), these code addition /License/Allocated to a specific family or C:/Drive users. If the device tries to access from another family or C:/Drive, cable TV companies will receive alarm. When preparing a unit for customers, you can use the family address of the family. Or the combination barcode or serial code encodes the unit, and whether it is the first, second ... unit, each device occupies, no pirated unit can use our system. In addition to each family and mobile devices, we can also provide hotels (GP 0.4 %; GV), beer gardens, bars, conference rooms, sports, sports, sports, sports, sports, sports, centers, sports The cruise room, the place where the shipment room and the party, the casino ... an optional function is to allow the device to suspend and print the still photos in the movie at any time, and the user will be charged for the owner of the price cost. These prints can be on paper, photos, or screen printing machines. We are also looking for a printer that prints the poster size page at a reasonable price. For example, when we want to be inspired, we can also allow editing and editing (GV; JE 1%) to re -broadcast. We can also screen the film library equipment or computer micro -chip (unit) in theater to provide large -scale, very good quality and comfortable experiences, especially good audio systems. Because the theater company can choose a movie, customers can choose the movies they want to watch, and before the movie is engaged, the customer will receive the movie in which room screening of the movie and the customer who chooses the movie can book one. Tickets, and customers who choose another movie do not meet the requirements of most people, you can choose to buy tickets from winning movies or play other room movies. In order to make this technology apply to the large screen of the theater, maybe we can use a multi -lens camera and specifically designed to re -record the film and stack it to the on -demand movie or computer media. Pixels), which produces clearer images when enlarging (amplification) for the theater screen. When the price allows reading, scanning books, written materials (JE 1.3%; GV), images, and pictures that are cut off, we can also use this device ... We may need to create new hardware/software to deal with these high pixels The same quality as traditional film. This multi -lens camera can be used for real -time shooting and playback programs of all large -scale gatherings such as sports, conferences, operas, concerts, and all art activities (theaters). It is played on a large screen. This is its novelty and operation secret. The camera can use the system classification and part of any place (CH; 0.1% of the CH; 0.1% outdoors -if it may not be feasible without our multi -lens camera), we can rent these devices. We can also project the movie on the screen, such as a slide demonstration. We can also play in the circular theater (1%CH; GV), IMAX, Drive-INS. We can also develop our own TV. You can enter conventional TV shows and on -demand movies from our comprehensive database/library. Once installed by the technical support staff of cable TV companies, unless cable television company technical support personnel come in and delete them, they cannot be deleted. If the wire is cut off (feedback to cable TV companies) or internal decoding micro -chip (unit) shell is opened (destroying magnetic alert -sealing), cable television companies will issue an alert. In order to prevent people from disassembling our television and internal micro -chip (unit) decoder, it may bring magnetic alarm (with global positioning satellites) at the beginning. A single honeycomb phone was issued to the security department of cable TV companies. Further security measures include a password to identify each micro -chip (unit) related to the user's family (together with the global positioning satellite chip) that only cable television companies know. In this way, cable television companies can match the movie requests and verify that it comes from the correct family. Optional functions include entering this TV from VCR/DVD/CD to TV. We will not let TV output avoid piracy of on -demand movies. As an additional security measure, users can verify the credit card or debit card number and validity period. Although if they have guests, they may not want to disclose their credit card numbers. It seems simpler to follow ordinary cable television providers and send bills monthly. The additional safety function is black glue (CH1%), which makes the pirates unable to see or touch the secret components. Unless the secret components are torn to obtain the secret component, or the paint bomb? In addition to the movie library, our device can also be connected to the device to connect to it to The hub inputs DVD, VCR, CD, and sends a selected signal to send a selected signal through the same cable to the TV and its unique sockets through a separate plug (a separate button on the hub; connect to the console/module; micro chip (unit)). /Terminal. In addition, we can choose the user to choose the bill available bills they want to copy/record/record, but the bill of purchasing the entire movie is collected by the user. Other options provide satellite TV channels and radio satellite channels (4%) (4%) (4%) (sorted by language and national/region ... or binding radio or channels, according to interest) Perhaps the type of channel type income of monthly subscription and percentage fee fees is based on We subscribe to the number of customers of the channel and pay to the production company of the channel. Satellite TV channels and radio satellite channels can be input from cable (directly connected to the hub) from the cable and output from the hub to any DVD or CD recorder/copy machine or VCR recorder, DVD/CD/VCR player will then give the feedback in the hub in the huber Connect to the console/module/adapter/micro chip (unit). In this design, there may be delayed waiting time, because we may need to abide by the Channel copyright law, and only the channels subscribed to the user can be viewed. We need the console/module/adapter/micro chip (unit) to track the channel that allows viewing. One way to solve this problem is to place a chip in the hub to track the subscription channel. We can securitize the center, such as. Once the installation (and the patented jack of the console/module/adapter/micro chip (unit)), if the line connected from the cable input terminal is cut off, the cable company will receive an alarm, or if the case is cut and the secret components are around There are also black glue such as cable jacks/sockets and global positioning satellite chips. Or a way that may be cheaper, the input of the TV/radio satellite channel can be connected from the cable to the console/module/adapter/micro chip (unit). To any DVD or CD recorder/copy, or VCR video recorder, they will enter the hub, and then according to the button you press on the hub, the device will be fed back to the TV through the cable. In addition, the console/module/adapter/micro chip (unit) can record your favorite movie library (3% CH), satellite TV (and computer) and satellite broadcast. We can rent, rent or sell these console/module/adapter/micro chips (units) through video stores (CH 1%), mobile retail stores and electronic product stores. We can pack it with artificial intelligence. We can even price the movie that is sent by raising prices at peak hours and reducing prices during non -peak hours. If consumers purchase a certain number of free viewing time before a specific date, we can even provide them. We can also let consumers send an email with a commentary part after watching the movie, and even discount the friends of customers after each recommendation movie. We can also provide electronic encoding gift cards to give free movies as gifts to friends. We can also provide prizes, such as aviation mileage or car ... We can also provide prizes in large theaters. There is a screen and headset in front of each seat (bed and lounge chair design conforms to ergonomics and allow multiple users to use coffee In the pavilions, restaurants (and electronic dot singers) or mini rooms, customers can also choose the movies they want to watch. Relays that as part of the equipment we will provide for the film library (comprehensive) on demand, we will have normal wired wired wired wired wired. TV and movie libraries, especially the latest movie opening date -we can even have a special news bureau to cover the opening movie event (and movie screening) of the red carpet -use the comfort of family audiences (we can charge enough fees , Let the copyright holders get the same profits each), as well as exclusive sports and games, as well as satellite TV channels and satellite broadcast channels. Our equipment will provide all these services, but with the above security measures to prevent the copyright of infringement. Provide a special card for members, you can swipe the card (5%) or PAY PAL system, or only provide users to confirm the credit card system and expiration date ... card system and expiration date ... card The problem is that they can be replicated by fraud, and each family has a card swiping device and the system may be stolen. Maybe we can use the above security measures. Let's prevent our signals from being stolen) to develop our own antenna trunk -one method is where there are satellite hubs. We can use very powerful computers to use such a complicated and constant encoding system. Stealing signals) In our can provide discounts (AA; 7%) or simply use fiber cables to connect to the local hub property ... (except cables and ADSL and T1).我们可以按照电影内容所涉及的兴趣对电影(除了类型)进行排序,包括新闻、爱好、休闲、健康(GP)、自然疗法/健康/身体、体育、精神、科学(创新)、商业、政治、 World stage to local stages, cars, caregivers, classified advertising, interesting events, important high -risk, entertainment (JW, GV), movie reviews, the most popular music types and local entertainment activities, gardening activities, garden arts from the country to personal problems , Technology, such as. Computer, intellectual events, such as. Chess ... Perhaps search through Boolean.</t>
  </si>
  <si>
    <t>The state of the composition of the natural system is the direction of every atmospheric pressure, temperature, humidity, and wind. (Cloud), proportions (rain), eyes (snow), warm (hot weather), cold (cold weather), etc. are called changes in physical state, while being punished at the same time Life is living as a plant (plant), and all the natural ecosystems of all worlds such as animals (animals) will not stop time in space. The environmental pollutants generated in the limited environmental capacity (dynamic capacity), known as the earth, cannot return to the power of human beings because the Velocity of Wind can be measured. It can know that their quality and quantity are not fixed, and the time changes to accelerate expansion, including the increase in fast car use and industrial construction water. The loss of the atmospheric purification ability (the bearing capacity of the earth) and the 24 -year regeneration of the regeneration bath are limited to the cycle order of the natural physical system, which exceeds its own and abnormal climate, and awakens the composition of the serious crisis of the abnormal climate in the future of human survival. Continuous problems, and various reasons and phenomena in the W car accident (motor vehicle accident) have continued to increase. The loss of noble human beings in life and limited earth resources (global perspective) are impatient reality. Cage This will be the fact that this will be the specified task (on Appointed Task), which continues it as the theme of the Commoness to the mask (task)). The existence of death (destiny), and human beings are absolutely the case. Therefore, it is limited to the creative work field of inherent technologies. Effectiveness is a means to solve problems in the development of automobile technology. And anyone will be a traffic accident (A Motoring Accident) from the road (A Collision) about the Automobile cage from the road (A Road). The stable exercise is to allow all humans to keep the product as the result of its consideration and be observed and attracted by various human philosophy, thereby studying internally. The physical conditions and status changes of all human history created by all life, humans and humans on the earth. Due to the negligence, impatient Western climate and environmental changes, generally the natural environment (DAY TIME) and The Night Time (changes in the environment of light) spring, summer, autumn, and winter (four seasons) (temperature changes) The use of the vehicle on the highway according to the original method of use is proportional to the manufacturing state. This will be the measure it is very told for the vehicle. The ideal unit of designing security and security of property security. Among them The area within the scope of the irresistible force, and the accident that may occur in the traffic accident caused by traffic accidents in the traffic accident in advance is naturally in humans. The environmental change generated is artificially natural. According to the car transportation situation and the proportion (rain), wind, fog (fog), and abnormal climate, the abnormal climatic situations include symmetrical road operators, human beings, endless unpredictable problems, eyes (snow), etc. The changes in the environment in the vehicle are artificially referring to the basis (basic) of the purpose (object) in all technologies (new technologies), not just the introduction of the human safety guarantee method in the vehicle according to the manual security method caused by the vehicle And all human history owned by humans, what efforts have been carried out among countless people due to the problems of people and cars. In addition, in the technology integration of modern vehicles, the research and development of many safety functions called crystals is called continuous manufacturing. The function of the technical integration chain car used by the sensor instead of the passive indicator operation to the automatic (automatic action) technology and it is operated by its will to passive (manual) indicating operations. Occasionally, the operation of the organic system about the suspension at each angle is driving on the road after the road is moving, and the relationship between the vehicle engine (engine) and the power machine (measurementometer). The phenomenon of artificial physics, rainwater as a generally observed phenomenon, natural substances are scattered backwards in the direction of the car (fixed direction) as the opposite direction through the rotation motion through friction. The force generated by the rotation movement and the natural substances accumulated on the road on the highway on the highway are naturally scattered on the highway (rain). Time is like the weather and the weather, in addition, if the function is a balanced device (light signal device) and brake device (damping device) if the function is a balanced device (light device) signal device (light signal device). Vehicle is generally observed on the highway through passive indications to observe the vehicle driving status through passive indications. Phenomenon. For the operator in the B vehicle, in the state of this watch, the state of vision (unsaicable) ahead of the view (unsatisfactory) The front direction watch has dropped sharply in a tiny size state and sorted out into a general in the high -speed highway. The phenomenon, as shown in Figure 1, confirmed that this is confirmed in the same direction (fixed direction) in the same direction (fixed direction) in the same direction (fixed direction). Drive to B -car with a natural material wheel in omnidirectional driving. After the self -generated natural environment changes, it is applied to all placed vehicles, which is about the physical location movement relationship of A and B. operate. Considering that the vehicle is driving under the opening of the taillight, the operator in the car exercises the vehicle ability according to the vehicle's road conditions, that is, the vehicle has two characteristics (two types) in the taillights. Device (taillight mechanism), the other is a general explanation of general explanations suitable for related usage under the activation state of the taillights. Tail lights are called rear directional lights, which can refer to the operator to actively apply the method of using advanced preventive security measures to collide in the car that can be generated in the backward to display a balanced device. By doing everything possible to maintain a safe distance and safety, because it responds to induction (perception), it determines the signal in its vehicle, it lights up and uses it clearly to identify Active safety driving is a possible relationship between the car collision between the car and the rear vehicle and the time (vision) called the special sensation signal (A signal) from the time (vision) to the rear vehicle driver. To maintain the relationship between the long falling place according to the visible distance, it is necessary to stare at the state of movement stably, and must confirm the relationship between the safety distance safety distance of the car to obtain the safety of the rear car driver from the human body according to the highway driving environment. The other may be, or the opposite, because it cannot use lower limbs. And (recognize) its absolute necessity is in the concept of physical movement status (a defense measure) in time defense. This autonomous driver must be reflected in the braking that increased due to slippery (sliding over the rain, sliding over the snow)). According to the state and vehicle driving drawing, the physical action status and tidal (opportunity) of the driving of the vehicle due to the changes in the natural environment and the tidal (opportunity) are appropriately referred to as the lack of new operations in the instrument operation ability of the situation (the state of the thing). The human body movement ability is the decline in the state of IT SPIRITS It Physicals age. AUTOIST clearly recognizes that the upper part of the upper part of the highway natural environment is in the experience of any climate. In addition, the visual confirmation of the visible distance of the visible distance of S is called by the eye (eye) as any of the two in the two usage, easily, the full -scale vehicle of its own photosensitive tube is on the taillight, and the light is turned off. In the case, the rear side indicator of the full -scale vehicle is highway (highway). It can know that the taillights are lit. The vehicle is more likely to respond. When using function, you must light up the balance on the tail light when using it. It is called the back -to -display balance. It is more in a state of maintenance to the year. Because it is provided at night in the road traffic law 31, the damage is compulsory. Essence In the case of but, Ji Geumgeot, it can logically interpret the situation of the pre -view safety of the operator as required by the vehicle. Instruction operation action, so the vehicle will be able to use the plane location relationship stage (dimensional analysis) before driving in the vehicle driving. Among them, it can continue to identify and degenerate The state of the person is based on the concentration (Concentrate) driven by the car under the road conditions of the front vision and the road conditions of the vehicle. And afterwards. For left and right, the vehicle can do lighting. For operators and car safety of road transportation, it is very needed to be smooth natural materials, including discharged on the rear lights on the upper eyes (snow) back or rainwater (rainwater). Under dangerous situations, when the vehicle is called a vehicle, the display balance device needs to be turned on through its method to turn on the purpose of the taillight. As an operational time, the clean window is made. As for the situation of Ji Geumgeot, the operation definition and tires or wheels (rotation systems) of abnormal climate (rotating system) are then used on the road (at a constant speed *** fee). Move in the direction), due to the collision of the rear window of the car, the front of the operator in the rear operator is not good. Regarding the way of prevention and smooth use of various (freedom) car accidents (car accidents), as well as the situation of the situation of specific automobile driving (natural environment) and the situation of inherent vehicles (freedom), in engineering development (technical development) progress (Progress) When the new effective project development prevention of the vehicle accident is necessary, it is very inefficient. It activates the function of auxiliary cars colliding in the back of the car. According to the judgment of information such as distance and position changes, safety distance and parking, it is suitable for the rear operator to adopt an advance warning measure. It is called the taillight distance. Use automatic opening/level (automatic lighting) in the equipment (scraper mechanism) to clean the window to ensure the safety of the front vision in front. The internal car of the car provides the function of information about the information of the car (a defense measure) form is called defense. Maintaining a stable time on the same backward direction (trial operation) is the same as the next -directional vision safe cleaning window as the next time. It is determined that the vehicle and the rear to display the taillights in the display of the taillights are ordered with the automatic turnover (automatic lighting). And this may be a logical development and design that focuses on the process concepts in the information formed by a variety of types of vehicles. And this may be a logical design of the operating relationship in a timely manner based on the analysis of running changes (time sequence) before pause or doom in the car power boiler. The psychological state (psychological state) vehicle (institution) of the operating relationship between people at all angles and different dimensions, as well as the operating instrument of the electrical operator of the information cycle (cycle) of the Chinese and Western actions in China and the West Physical change status (state variables), connecting to the spirit, action spirit, action, etc. Sequentials in One is an analysis design that designed a combination relationship that can be found in the operator to see the cause of the cause of the car accident (motor vehicle accident). (Natural Environment) The information generated by the phenomenon, such as the state of the state of rain and eyes in the state of rain and eyes in the state of rain and eyes. The time of the process is changed. The X collection is the collection of the collection of human elements, the transportation of the transportation, and the natural system weather collection (set) is called the arrangement of form information. It refers (Human), VEHICLE (car), traffic account (car accident) This is to use the form of mathematical tools to convert components, and summarize the computing value (data) in the electron (electronic system) system. The form that can be explained is actually a collection (collection) in the entity (individual) of different dimensions (individuals) arranged according to the shape of electrons according to the shape. The significance given by elements such as roads and car accidents (a element) is the basic element that can be known by the dimension of the dimension (set) and other elements. Among them, the proposition below can be the car accident that the X collection causes it. This proposition is that the truth appears in the phenomenon of all the joint completion of the car accident. Confirm the center. It can be understood as the common knowledge of accidents caused by a car accident, and the natural space does not exist in the car. In the nature of the accident and weather, the vehicle that does not exist or does not have any car accidents does not exist or irrelevant. In other words, it is not related to which road. Being able to confirm from it is the root cause of the car accident it obtained, and such gatherings must be element and its ideological significance. The number of types, and the complicated issues are loose between different entities. The grasp of the summary of the unit or quantity can refer to the collection of the X collection is the collection of general concepts (geneticists) and the dimension because it is used in use it when it is used. It is very important. Principles (GENERIC Extension Principle). A Human (A HUMAN) it has any central nervous neural network phase is called a release mechanism during the congenital neural network stage. When the impact of key stimuli is pushed, continuous reactions are caused by nerves and muscles (continuous reactions). The car is the role of energy through starting, generally inhale (intake stroke), compression (compression stroke), explosion (expansion stroke) with the rotation of the car mechanical structure to drive the motor in the drive engine (Starting Motor) It assumes that all operators are called in humans, according to explanation it shows that this series of reactions are used as instinct adjustment as a positioning action mode (Orienting) In other words, the operators like all human beings simply define, because the same samples of natural system weather (natural environment) and weather rain (rain), eyes (snow), warm weather) Cold (cold weather) and other spatial phenomenon of physical changes in the earth and atmosphere (atmosphere). In addition, in the drive engine and electromechanical equipment associated with the Rotational Motion associated with the Rotational Motion (Crankshaft), the physical effect of the instrument's physical action is re -converted into power. ) It is called ventilation (exhaust stroke) Before the combination of chemical fuels and pistons in the engine, and before the power transmission device, the engine provides a stable power -related intake system, sensors and various types of exhaust systems related to the engine. The operation of the device and the operator have convenience devices, controllers (Controls) and various indicator devices. It assumes that S completes the cycle of organic manufacturing and hints that all the functions of the function installed inside the car parts will be inherently ruled. As time points expand The external energy is passed to the body through the accelerator, then the operator can move from one position point to the other position. After changing, and other vehicle covers (traffic signs), signal (traffic control signal), etc. in real time, the operators are done in the uncertainty of the internal changing uncertainty. Use different dimensions to form a traffic accident phenomenon. For the elements of rational understanding of this point, the information collected through the logic system (intellectual structure) through the biomensure light tube (physical sensor) through the biomensure light tube (physical sensor) becomes an emotional possible point. In X collection It is a alternative to the field of derivation ribs in the car that realizes operational relationships in the structure of the user's structure. And based on the interaction of the four elements, the start of the combination relationship is completed to complete the start of the traffic accident, and based on the startup function, the use of phosphorus in the X set element to induce and the start of the person known as the car. In fact, in the vehicle with this structure, it is made to make an ordinary person or confirm that it may be the possible Y collection implementation and explanation. At the same time, the legal person group (bond energy) required for their relationship is established. The relationship is because human beings can refer to this state because human beings are elements in the X collection. Among them, it intends to sort the topology of the component (size analysis) to the active action when necessary and according to the human free will. Action ONALS makes the binding relationship that is an independent internal parts of the car. For people and cars, it is a combination of an internal attributes of the person and the dimension (freedom) or its component. The changes in the composition of people's independence will and comprehensive restraint in vehicles may be that the bond of the nervous system in terms of operating ability is possible. ) The operation of the driver and subsystem group to the initial point operate It Somatology in Human The Function (Health State) Those has to think when the time in the Vehicle in the Vehysical. The department is in the same state relationship get. In addition, the starting motor (starting motor) of the automotive mechanical structure, accompanied by the operation of the driving engine, is usually the power of the inhalation (air intake) at the power source, and the motor startup of compression stroke. The internal organs kinetic energy group completed at the time of passive action is called Y collection yuan (a element) in the X set element. It is like this in the vehicle. Internal exercise ability is proportional, and its timely time is related to the cycle (cycle). The physical effect of the instrument is transformed into electrical energy again in the engine, and the sensor provides smooth electrical energy to the inlet system related to driving. The engine, exhaust system -related sensors and various electromechanical equipment, these electromechanical equipment connect to the power transmission equipment before each angle, and repeat the rotation motion of the crankshaft (Crankshaft) combined with the piston. Chemical fuel burning and at the same time, four repeated drive engines called explosion (expansion) and ventilation (exhaust stroke). In addition, the driving engine has the convenient device and control machine (control) and various types of operators (control) and various types of operators. Instruction device. And it assumes that S completes the cycle of organic manufacturing and hints that all functions installed inside the automotive component are inherently inherently ruled by the expansion of the time point. With the expansion of the time point, it will intentionally move in the space position after humans. Because the vehicle's accelerator called the controller inside the neuronal kinetic energy group is transmitted to the body movement while custody, so that the independent movement of external energy enters the beginning of it at one point where it starts at the position road to the other position point. The starting direction of highway peristalsis determines the degree of freedom of sports images that the vehicle should do. Difficult avoids explaining the road of vehicle driving according to various standards in terms of explanation. It only assumes that a variable explanation is assumed. The correct explanation of consistency is that more vehicles can save vehicles through the speed indicator (speed table) through visual (visual) through visual (vision) that the vector appearing in the vehicle at the beginning of the vehicle can be done in the internal part) It is expressed as analog and numbers in this speed indication. However, changes in the velocity indicator (speed list) of the velocity indicator (speedometer) actually means that the vehicle's heavy responsibility of the vehicle on this position. Under normal circumstances, the electric energy inside the speed (speed meter) group knows the X set element. When the car and the person enter, the corresponding status of the state of Inrush can be interpreted as the state of the state in it. Instruction to the operator in the vehicle. Electronic Tachometer is composed of machinery and electronics. The process is based on electronics. The electrical pulses obtained by installing an electric field sensor can be turned into rectangular pulse form through the Schmidt trigger. In the wheel (wheel), or sensor (sensor), etc., it is directly proportional to the driving speed, which eliminates the noise coefficient of the low -pass filter of the vehicle. The dynamic ring instrument of this ball -shaped pulse wave is transformed into a square wave of the same length in the one -stable multi -resonant oscillator. The elements called Y set can see that the independent movement of the vehicle is called the element. The operator confirms that the visual instructions are super changes in the process of processing points (points function). The speed of the collected elements includes the explanation of the physical action component in the vehicle and the preferences and natural system weather in the X collection element (the natural environment of the change of natural environment) in the X collection element, and the situation in the driving conditions (human environment) in any case is in any case. Good Simuta introduces two elements in two natural systems in the X collection, because after describing natural phenomena such as rain and eyes such as weather and weather in the natural system, the natural system of driving safety defense system is established. The meaning of finding understanding before is based on the generation of the content door (at the same time) as the concept of space to the state of the content as the state of the content. Anyone can know that it is possible. At the place called the atmosphere, the steam is included in the conceptual stage of the atmosphere of the configuration atom (micro -point view) and ingredients formed by the atmosphere of the earth's gravity. The component tissue thermodynamic energy cycle (cycle) makes the temperature change requires that the temperature changes from the sun to temperature by the temperature generated by the sun (sunlight). In the interior direction of the outside of the vehicle. When the operator requires an appropriate response in the internal reasons (reasons) of the car parts, the operator decides the operator's operating relationship with the operator's operating relationship without displaying the name of the biological (body) sensor (body receptor). The temperature state of the natural system faces the internal space of the internal space that is known as the temperature of the vehicle that is standing in the car in the inside of the car. If the temperature of the natural system is determined in the direction of warmth in the vehicle, the operator can know that the internal space of the vehicle thermostat management attempt follows the cold direction (cold weather) application in the relevant reaction law according to the external temperature state. If this alternative (time of the year), if warmly says, the low temperature inside the car parent line is consistent with the circulation of the air -conditioning group (cooling). The natural system, known as the element, weather and climate conditions are the status of the internal state of such a car parts group. Cold can be said to be winter. The two are the same. In other words, heating (air conditioning) is the function of the opening according to the configuration function. Next, it records the heater (air conditioner) and conduction in Y. And the heating air is used to use the drive engine (engine) cooling water and the situation of the heat exchanger (Heater Radiator) and water -cooled (liquid cooling engine). It only shows that there are two operations of the heater, the electrical component (electricity) is the same, but it is the same.) The quantitative adjustment method is that in the wind, rainwater is called the development of materials in the material. The hypothesis is only resulting that it is an element based on it every day. The heating device that is now written in the Y aggregate includes our natural system ATHER in the element in the X collection. The changes in temperature attributes means that in the weather, the application control (Control) is based on the operation of the common point (Commoness). The form of turning, and in the explanation of the cumulative understanding of the understanding of the content stage according to the natural system weather phenomenon, and the upper rainwater (Rain), and the phenomenon about the eye (snow) or after completion The situation and the status accumulated to the figure when the above description is limited to the electric tumor motor (air (DP N = "21" type = "soft"/) adjustment of the vehicle movement in the vehicle movement) The heat exchanger (heater radiator) that is set in the exhaust pipe section in the air in the air in the air) is passed. It and the glass part (windshield) and collisions (collisions between element particles) are the rotating motion of the operator's sight security area in the front surface in the final action chain tire (wheel). The system and related vehicles, where the physical movement energy of contact with the tires and the material tissue is transmitted to the center point (center point) of the outside of the car tire, and from the phenomenon (flying away at a constant speed along the direction of the cut line) towards it) towards The occurrence of phenomenon in the direction of the driving direction of the car is continuously moved on the same route. Eye ridges are caused by the role of the physical movement (interaction) relationship (interaction) in vehicles (cars), and its visible light transmission (thousands of miles) drops sharply. The operator can know the phenomenon of the operation of the window *** device (wiper mechanism) in the rain, and the operator at the time of the eye spine operation is based on the window *** device (wiper mechanism)) The switch operation value on the component. In addition, the switch *** device in the window device actually induces the inside of the car in the vehicle's device (wiper mechanism), because the clean window seen in the car of the car in the element of the X group The system (windshield wiper system) is divided into electric and pneumatic type according to the principle of configuration work. When the material is installed to the key surface, the motor with Rotational Motion competes for the rotation motion to force the rotation motion to remove the in -vehicle material and the front glass area corresponding to the area. In addition, the form in the main energy (power) form becomes a component in the element collar. Among them, Y gathering is now a dimension in X gathering, so it is in the form of electricity and relationship. In fact, it can be confirmed through the determination of the vehicle stage in daily life. And it can be human, because it is a thing that is a mental state physical quantity, connects to a mental state, the body, the body, function as the cause and induction of the results of these meanings X set element. The final working status value in X is based on the operation definition (a definition). If it can know that it is the state, it can know that the use of the operation of the Y set element in the car in the order of time changes is instead of the application. The function of processing the application in the processing application to process the processor mode in the continuous state includes that possible applications will be promoted to be able to solicit these as signals. The Y set element is an component, and the logical design is designed according to the same logical design, and the system design is timely containing the inherent attribute element inscription method in time. , Window (WINDOW) is a Wiper Mechanism, but the element can be called the first place, the discount, it is the foundation as mentioned earlier. This means the connection between people. In addition, the process of preparation for the physical movement preparation of a car instead of the set of the Z device element of the element 4 is arranged in the Z collection. The average circulation group Y set element of all vehicles in the Z collection of all vehicles begins to replace the Z collection element 1 at the next time the Y collection starts the next time. The medium cleaning window is called the final car driving road to see if the operation can be determined according to the free will of the operator (driver) as a random order, but the vehicle is the device (Wiper MeChanism) described above to actual cleaning the window ( Velocity, Heating (Heating), and the windows in the window can know that velocity is a second -order Y group Y component speed alternative to group Z components 2. Suitable for group Z components 3 as the natural system weather and climate conditions are logical order (order) According to T he purpose x, and y. Z gathering, it can be referred to as Y Gathering in the car in the car. If it is organized by the EMU), if it is organized, the Z collection may be about the operation order (time order) of the car in time. Under normal circumstances, through the rotation of daily keys and electricity, because the configuration and configuration of the vehicle in the form of vehicle manufacturing, we can know that each angle has the electrical attributes on the Y set element as the same attribute, and each angle is used as the same attribute. If the component analysis starts from various angles, the relationship between the dynamic machine (engine system) and the startup device group (startup system) in the vehicle is actually explained, because it is the collection of the motion radio system and the internal parts of the automotive, in the motion motor, in the motion motor The power mode in the (Electric Motor) is different from the rotation motion in the initial drive engine. It is composed of the same main energy composition. PHYSICAL Quantity) Each sensor in the car (DP N = "25" Type = "SOFT"/) Sensor is able to reach the speed (velocity), so that the operator can clearly identify the internal physical action status of the car in the jewelry dealer The KM/H unit is eventually indicated. This is configuration. Based on electricity, electronic behavior is here, and the structure. Cooling and heating (ventilation system) can know the basis of the operating principle in the operation principle in the form of energy (electrical power) in the form of energy. Cooling (cooling water) and heating origin are different. And because it is to change the configuration group of indoor temperature, it is regulated to control the air that controls the heating of the heat exchanger (heater radiator). The heating foundation and the driving engine (engine) cooling water composition through automotive parts. (FAN MOTOR) composition to meet indoor heating in the car. And it can know the main energy, as if it can understand the wind turbine motor according to the power</t>
  </si>
  <si>
    <t>The invention involves a manufacturing and application of ultra -small multi -network computer systems with high -speed networking and artificial intelligence logic functions and high -end multimedia functions with microprocessors. The characteristics of the present invention are to add advanced functions to advanced multimedia systems, and provide data communication, mobile communication, voice recognition, and control command execution. It consists of the invention of software and hardware resources to achieve multimedia multimedia. In order to achieve these multi -functional development technology, through the application of new software and hardware algorithm development technologies, as well as the hardware and software necessary for inventions and configuration of the invention, a new next -generation digital semi -network computer is invented. It has perfect compatibility between the extensive universal business computer and the personal terminal computer. It can achieve special functions. It can realize the Internet security function of IC cards and fingerprint recognition systems, video information transmission and receiving functions, personal information storage and management , Document Storage Management, Digital Shopping, BTB, BTC Internet Equipment Operation and System Construction of BTB, BTC Internet Equipment for Financial, Culture, Academic and Art Functions. The implementation and constructing technology of the ultra-small multi-network computer (E-BIZ) system of the present invention is a personal terminal computer system that is used for personal information management and information search, digital finance, video calls between users, Internet users Multilateral group. Or corporate business, configure the system to achieve various information such as video conferences and demonstrations. Based on this technology, the system has a variety of uses. Therefore, the terminal system that individuals carry or use at home or in the office are called the client, that is, the final terminal computing the environment, referred to as the terminal system for short. As a customer below. For this reason, the terminal system invented in various ways, so that the authority of the overall operations such as data modification, addition, information transmission, security management, and finance is determined by the user and processed and operated at the terminal layer. In addition, terminal operators have the right to decide to allocate new system functions to the terminal system (main BIOS system and application software). The required information required for the lower -level terminal user, regardless of the specifications and performance of the computer and network system transmitted on the earth, and equipped with interactive operating software and communication network systems, share and provide unlimited lower levels with computers. The built -in terminals are divided into the operating system of the system program that activates the system and runs to facilitate the use of terminal use. The initial operation of the terminal system consists of two operating systems. The operating system that is configured with an application loads an operating system that identifies LINUX and Microsoft operating systems (MS-DOS, Windows), and is configured as users to choose from according to their preferences. The terminal system used by the terminal user includes the Internet browser program connected to the Internet, the authentication system software for authentication and information security protection of users, IC cards composed of hardware, identification and storage user images of the digital CCD camera fingerprint recognition system Composition, voice recognition unit and processing unit that can identify voice information, the TFT-LCD digital screen processing unit that displays the receiving image, the sound processing unit keyboard, the mouse, the remote control and the data input text of the sound processing unit of the audio information of the voice information The hard disk configuration of the storage equipment for the main storage device does not require large capacity. That is, the user drives the terminal computer system at any time, accessing the main server through the Internet, searching, storage, editing, and output the necessary information through voice instructions or text instructions, sending and receiving necessary information through emails In the space, we can store the necessary information after searching for various content information such as academic and cultural information. No user verification code cannot read the information stored in the host. Users who have the information can access the Supermini multi-network computer (E-BIZ) system or terminal access even if they are not specific areas or other computers. You can search, send/receive, delete, and edit. As for the connection method, you can use the verification of the IC card or fingerprint recognition system and enter the user's digital verification code. The user authentication code of the IC card information and fingerprint recognition information is designed as only one number on the earth. The IC card is portable. As long as there is a terminal system, anyone can easily use it. In the case of a computer without a recognition device, its construction allows it to access it with a given digital authentication code. The characteristics of Supermini Multi-WEB Computer (E-BIZ) system include the use of existing data satellite communication networks, wireless data communication networks such as TRS, CDMA, TRS, and cable TRS (TRS, XDSL, ISDN, dedicated line). Send and receive stable information with the Internet, which is characterized by the system unit technology of digital encoding and compression and recovery in the modulation and demodulation module, as well as driving software that reads and operates data. Especially, execution and processing The terminal system of these functions is different from the use of the analog Signal RGB MONitor developed by this technology, and it is different from the traditional monitor output method that can check the data, edit and video calls. There are four new ideas, and there are four new ideas, and there are four new ideas. Inventory and development images so that users can use them and regardless of specific displays. These are as follows as the department. First, it supports analog display (RGB) environment, that is, the current computer data display, second, it provides video signals (NTSC/PAL-Composition) and voice, so that it can use analog TV display. This is an air wave receiver. The third is to provide analog TV, provide super video (S-VHS) video, which can display medium and high-resolution videos and audio signals. Fourth, there are digital input/output interface terminals, which can display digital video. Its advantages are easy connection and use. Based on digital modulation/demodulation, encryption, compression, and transmission system equipment, and driving software that shows these advanced and complex functions, the information -driven terminal layer system managed in a complex method is mainly various information systems. The functions of the main system management of the main server, the digital authentication code of users using the Internet information terminal system, the authentication code of the information of the netizens, various utility and applications, and the specific data of these functions and projects in real time. Equipped with artificial intelligence digital Internet search engines to meet the diverse needs of users. In addition, large computing devices and storage equipment for data processing can process many information required for many lower -level terminals, information transmission systems and special large storage devices connected to the company and the company, and can respond to the demand for various lower layers from high -speed data and high -speed data and high -speed data and demand. Composition of network exchange system and certification equipment. In addition, industrial automation procedures, manuals and high -speed main computers needed to the financial sector, digital security certification system, and multimedia media connecting multimedia systems connected to the financial sector, digital security certification system and high -speed main computers. It is built as the required information required for transmission through the integrated number) broadcast high -definition TV (HDTV), ground media, on -demand VOD and complex comprehensive entertainment, which is carried out in real time at all levels. In addition, it is a system, including a system that can link and control information from artificial satellites to send and receive from artificial satellites to achieve efficient information sending and receiving, and has a wide range of real -time use range. In addition, the information provided by the main system has developed new algorithms that adapt to mobile communication networks and data transmission protocols, such as developing mobile video telephones with advanced functions and mobile communication networks currently under the earth, and IMT2000. Its conception and invention are to achieve complex functions, so that the information can not be so. Equipment and lower layer. operating system. The lower system receives the work order required by the user from the terminal system, receives the authentication from the main server, and provides users with the necessary information. In addition, in order to update the information, it also invented the high -level information by transmitting high -level information from the lower terminal to the server. To achieve the design and realization of such functional technologies, the design and realization of hardware and operation software algorithms are most suitable for every characteristic. In addition, the front control panel of the Supermini Multi-Web Computer (E-BIZ) system has a command control key. You can enter various commands, TFT-LCD displays and LED-VFD icon equipment without a remote control or keyboard, which can Master the information that is being operated and processed at a glance. The graphic icon and digital display are displayed. The function symbolizes the current terminal state. The front control panel is equipped with a crystal high -performance automatic sensitivity control function. The command microphone unit can be passed by voice. The artificial intelligence algorithm of the most advanced microprocessor control technology, digital data communication system, and control of the main processing unit main memory technology in the main processing unit to the system invented the software that has nothing to do with the operating system. The main server and terminal system in the lower layer, controlling communication, digital information input and output, search, correction, editing, email sending and receiving, digital image MPEG-IV, digital audio records, recording and release are possible.</t>
  </si>
  <si>
    <t>摘要(译)(简体中文)</t>
    <phoneticPr fontId="6" type="noConversion"/>
  </si>
  <si>
    <t>摘要(译)(英文)</t>
    <phoneticPr fontId="6" type="noConversion"/>
  </si>
  <si>
    <t>标题(译)(简体中文)</t>
    <phoneticPr fontId="6" type="noConversion"/>
  </si>
  <si>
    <t>标题(译)(英文)</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</si>
</sst>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rgb="FF000000"/>
      <name val="宋体"/>
      <charset val="134"/>
    </font>
    <font>
      <u/>
      <sz val="11"/>
      <color rgb="FF0000FF"/>
      <name val="Calibri"/>
    </font>
    <font>
      <sz val="10"/>
      <color rgb="FF000000"/>
      <name val="Calibri"/>
    </font>
    <font>
      <sz val="10"/>
      <color theme="1"/>
      <name val="Arial"/>
      <scheme val="minor"/>
    </font>
    <font>
      <u/>
      <sz val="11"/>
      <color rgb="FF0000FF"/>
      <name val="Calibri"/>
    </font>
    <font>
      <sz val="9"/>
      <name val="Arial"/>
      <family val="3"/>
      <charset val="134"/>
      <scheme val="minor"/>
    </font>
    <font>
      <sz val="12"/>
      <color rgb="FF000000"/>
      <name val="宋体"/>
      <family val="3"/>
      <charset val="134"/>
    </font>
  </fonts>
  <fills count="3">
    <fill>
      <patternFill patternType="none"/>
    </fill>
    <fill>
      <patternFill patternType="gray125"/>
    </fill>
    <fill>
      <patternFill patternType="solid">
        <fgColor rgb="FF99CC00"/>
        <bgColor rgb="FF99CC00"/>
      </patternFill>
    </fill>
  </fills>
  <borders count="8">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alignment horizontal="center"/>
    </xf>
    <xf numFmtId="0" fontId="2" fillId="0" borderId="3" xfId="0" applyFont="1" applyBorder="1" applyAlignment="1">
      <alignment horizontal="left"/>
    </xf>
    <xf numFmtId="0" fontId="3" fillId="0" borderId="4" xfId="0" applyFont="1" applyBorder="1" applyAlignment="1">
      <alignment horizontal="left" vertical="top"/>
    </xf>
    <xf numFmtId="0" fontId="4" fillId="0" borderId="0" xfId="0" applyFont="1"/>
    <xf numFmtId="0" fontId="5" fillId="0" borderId="5" xfId="0" applyFont="1" applyBorder="1" applyAlignment="1">
      <alignment horizontal="left"/>
    </xf>
    <xf numFmtId="0" fontId="3" fillId="0" borderId="6" xfId="0" applyFont="1" applyBorder="1" applyAlignment="1">
      <alignment horizontal="left" vertical="top"/>
    </xf>
    <xf numFmtId="0" fontId="3" fillId="0" borderId="5" xfId="0" applyFont="1" applyBorder="1" applyAlignment="1">
      <alignment horizontal="left" vertical="top"/>
    </xf>
    <xf numFmtId="0" fontId="7" fillId="2" borderId="2" xfId="0" applyFont="1" applyFill="1" applyBorder="1" applyAlignment="1">
      <alignment horizontal="center"/>
    </xf>
    <xf numFmtId="0" fontId="7" fillId="2" borderId="7" xfId="0" applyFont="1"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analytics.zhihuiya.com/patent-view/abst?patentId=81b021e1-05df-47d5-aa96-efea60f12561" TargetMode="External"/><Relationship Id="rId3182" Type="http://schemas.openxmlformats.org/officeDocument/2006/relationships/hyperlink" Target="https://analytics.zhihuiya.com/patent-view/abst?patentId=16eaf384-18d2-4ec2-b2e6-05ed57921372" TargetMode="External"/><Relationship Id="rId4233" Type="http://schemas.openxmlformats.org/officeDocument/2006/relationships/hyperlink" Target="https://analytics.zhihuiya.com/patent-view/abst?patentId=f5d03f72-a4be-4f8e-a215-7b7302fa4d4f" TargetMode="External"/><Relationship Id="rId3999" Type="http://schemas.openxmlformats.org/officeDocument/2006/relationships/hyperlink" Target="https://analytics.zhihuiya.com/patent-view/abst?patentId=74610738-301b-4b35-b2d6-42e721650346" TargetMode="External"/><Relationship Id="rId4300" Type="http://schemas.openxmlformats.org/officeDocument/2006/relationships/hyperlink" Target="https://analytics.zhihuiya.com/patent-view/abst?patentId=e2208d35-5faa-4e6b-b089-fb69dd68f056" TargetMode="External"/><Relationship Id="rId170" Type="http://schemas.openxmlformats.org/officeDocument/2006/relationships/hyperlink" Target="https://analytics.zhihuiya.com/patent-view/abst?patentId=4be5da2c-3cba-4dbc-b481-098fb43e7654" TargetMode="External"/><Relationship Id="rId987" Type="http://schemas.openxmlformats.org/officeDocument/2006/relationships/hyperlink" Target="https://analytics.zhihuiya.com/patent-view/abst?patentId=341a26e4-ffa0-4ccc-ad97-5363bdbd7335" TargetMode="External"/><Relationship Id="rId2668" Type="http://schemas.openxmlformats.org/officeDocument/2006/relationships/hyperlink" Target="https://analytics.zhihuiya.com/patent-view/abst?patentId=adff1a31-8348-4326-8cfe-21808da6c27c" TargetMode="External"/><Relationship Id="rId3719" Type="http://schemas.openxmlformats.org/officeDocument/2006/relationships/hyperlink" Target="https://analytics.zhihuiya.com/patent-view/abst?patentId=7fa6d8e0-921d-434a-a95c-d80ec60be0dc" TargetMode="External"/><Relationship Id="rId4090" Type="http://schemas.openxmlformats.org/officeDocument/2006/relationships/hyperlink" Target="https://analytics.zhihuiya.com/patent-view/abst?patentId=b17d007c-b05f-4b75-a54e-c85c3dde2058" TargetMode="External"/><Relationship Id="rId1684" Type="http://schemas.openxmlformats.org/officeDocument/2006/relationships/hyperlink" Target="https://analytics.zhihuiya.com/patent-view/abst?patentId=464631fd-2402-43da-891a-a8c0a486caae" TargetMode="External"/><Relationship Id="rId2735" Type="http://schemas.openxmlformats.org/officeDocument/2006/relationships/hyperlink" Target="https://analytics.zhihuiya.com/patent-view/abst?patentId=2a94eb57-e423-4511-85b3-424d3378eb3c" TargetMode="External"/><Relationship Id="rId707" Type="http://schemas.openxmlformats.org/officeDocument/2006/relationships/hyperlink" Target="https://analytics.zhihuiya.com/patent-view/abst?patentId=7c2f233d-bab0-45ef-86ee-e58617068352" TargetMode="External"/><Relationship Id="rId1337" Type="http://schemas.openxmlformats.org/officeDocument/2006/relationships/hyperlink" Target="https://analytics.zhihuiya.com/patent-view/abst?patentId=611a81bd-2f87-4c94-9bb3-9ec951c4f78d" TargetMode="External"/><Relationship Id="rId1751" Type="http://schemas.openxmlformats.org/officeDocument/2006/relationships/hyperlink" Target="https://analytics.zhihuiya.com/patent-view/abst?patentId=9c2bcf8e-dcf4-4be7-ab5c-91a20e293e5f" TargetMode="External"/><Relationship Id="rId2802" Type="http://schemas.openxmlformats.org/officeDocument/2006/relationships/hyperlink" Target="https://analytics.zhihuiya.com/patent-view/abst?patentId=2fe2d245-4cff-488e-90ba-045f69e9b23b" TargetMode="External"/><Relationship Id="rId43" Type="http://schemas.openxmlformats.org/officeDocument/2006/relationships/hyperlink" Target="https://analytics.zhihuiya.com/patent-view/abst?patentId=9f57cb99-ba93-4360-abb8-a013bf1558a2" TargetMode="External"/><Relationship Id="rId1404" Type="http://schemas.openxmlformats.org/officeDocument/2006/relationships/hyperlink" Target="https://analytics.zhihuiya.com/patent-view/abst?patentId=44bb5f96-def0-4afb-aa1f-dee325635419" TargetMode="External"/><Relationship Id="rId3576" Type="http://schemas.openxmlformats.org/officeDocument/2006/relationships/hyperlink" Target="https://analytics.zhihuiya.com/patent-view/abst?patentId=e42cfc2a-c814-4a59-a735-89364f560675" TargetMode="External"/><Relationship Id="rId497" Type="http://schemas.openxmlformats.org/officeDocument/2006/relationships/hyperlink" Target="https://analytics.zhihuiya.com/patent-view/abst?patentId=6038901c-7116-40d6-9baa-27a96e67ecac" TargetMode="External"/><Relationship Id="rId2178" Type="http://schemas.openxmlformats.org/officeDocument/2006/relationships/hyperlink" Target="https://analytics.zhihuiya.com/patent-view/abst?patentId=32b4156a-a3bf-47e1-b59d-ef50585482a5" TargetMode="External"/><Relationship Id="rId3229" Type="http://schemas.openxmlformats.org/officeDocument/2006/relationships/hyperlink" Target="https://analytics.zhihuiya.com/patent-view/abst?patentId=79058c40-fc05-4419-ba6f-313201e677c1" TargetMode="External"/><Relationship Id="rId3990" Type="http://schemas.openxmlformats.org/officeDocument/2006/relationships/hyperlink" Target="https://analytics.zhihuiya.com/patent-view/abst?patentId=862b5bd1-4489-4e45-8d30-574931bda7e3" TargetMode="External"/><Relationship Id="rId1194" Type="http://schemas.openxmlformats.org/officeDocument/2006/relationships/hyperlink" Target="https://analytics.zhihuiya.com/patent-view/abst?patentId=eedabf47-7f57-4f76-a786-eecceee1772d" TargetMode="External"/><Relationship Id="rId2592" Type="http://schemas.openxmlformats.org/officeDocument/2006/relationships/hyperlink" Target="https://analytics.zhihuiya.com/patent-view/abst?patentId=1fbedaa4-99f7-42f8-b30b-ed47b5054ffc" TargetMode="External"/><Relationship Id="rId3643" Type="http://schemas.openxmlformats.org/officeDocument/2006/relationships/hyperlink" Target="https://analytics.zhihuiya.com/patent-view/abst?patentId=5b48afe5-a08f-4023-9f5e-f5edc481d682" TargetMode="External"/><Relationship Id="rId217" Type="http://schemas.openxmlformats.org/officeDocument/2006/relationships/hyperlink" Target="https://analytics.zhihuiya.com/patent-view/abst?patentId=5e13991e-7737-4906-9c52-92dd7eecdcfb" TargetMode="External"/><Relationship Id="rId564" Type="http://schemas.openxmlformats.org/officeDocument/2006/relationships/hyperlink" Target="https://analytics.zhihuiya.com/patent-view/abst?patentId=2111916a-4430-4349-89d9-fd29e729c2f0" TargetMode="External"/><Relationship Id="rId2245" Type="http://schemas.openxmlformats.org/officeDocument/2006/relationships/hyperlink" Target="https://analytics.zhihuiya.com/patent-view/abst?patentId=6048c241-dfba-40bd-8da7-ebcec71ce56b" TargetMode="External"/><Relationship Id="rId3710" Type="http://schemas.openxmlformats.org/officeDocument/2006/relationships/hyperlink" Target="https://analytics.zhihuiya.com/patent-view/abst?patentId=e7cea078-3c0b-437f-8f61-d977a9cf52a8" TargetMode="External"/><Relationship Id="rId631" Type="http://schemas.openxmlformats.org/officeDocument/2006/relationships/hyperlink" Target="https://analytics.zhihuiya.com/patent-view/abst?patentId=9dc8d0a4-d1c6-496f-9e87-08bce831294c" TargetMode="External"/><Relationship Id="rId1261" Type="http://schemas.openxmlformats.org/officeDocument/2006/relationships/hyperlink" Target="https://analytics.zhihuiya.com/patent-view/abst?patentId=96408628-576b-4978-bbfb-f9da4abe45ee" TargetMode="External"/><Relationship Id="rId2312" Type="http://schemas.openxmlformats.org/officeDocument/2006/relationships/hyperlink" Target="https://analytics.zhihuiya.com/patent-view/abst?patentId=4c234796-9a9a-486b-a250-0598b2f74b10" TargetMode="External"/><Relationship Id="rId3086" Type="http://schemas.openxmlformats.org/officeDocument/2006/relationships/hyperlink" Target="https://analytics.zhihuiya.com/patent-view/abst?patentId=d1bb0ce2-c23b-4ad9-8329-2e2d8bc24e38" TargetMode="External"/><Relationship Id="rId4137" Type="http://schemas.openxmlformats.org/officeDocument/2006/relationships/hyperlink" Target="https://analytics.zhihuiya.com/patent-view/abst?patentId=57b7b3b1-336a-4760-9b6b-d43976e80897" TargetMode="External"/><Relationship Id="rId3153" Type="http://schemas.openxmlformats.org/officeDocument/2006/relationships/hyperlink" Target="https://analytics.zhihuiya.com/patent-view/abst?patentId=f755d09b-59c9-47c0-9fb5-a65dea65da84" TargetMode="External"/><Relationship Id="rId4204" Type="http://schemas.openxmlformats.org/officeDocument/2006/relationships/hyperlink" Target="https://analytics.zhihuiya.com/patent-view/abst?patentId=03da415c-16b9-4d16-aff6-70c7c44529fd" TargetMode="External"/><Relationship Id="rId141" Type="http://schemas.openxmlformats.org/officeDocument/2006/relationships/hyperlink" Target="https://analytics.zhihuiya.com/patent-view/abst?patentId=fdd9c746-502f-46ec-9504-c76723e88adb" TargetMode="External"/><Relationship Id="rId3220" Type="http://schemas.openxmlformats.org/officeDocument/2006/relationships/hyperlink" Target="https://analytics.zhihuiya.com/patent-view/abst?patentId=8009f703-86ff-4ba4-b4bc-d52e151ae8e9" TargetMode="External"/><Relationship Id="rId7" Type="http://schemas.openxmlformats.org/officeDocument/2006/relationships/hyperlink" Target="https://analytics.zhihuiya.com/patent-view/abst?patentId=e8561a83-83af-4352-9841-606faf4b3d40" TargetMode="External"/><Relationship Id="rId2986" Type="http://schemas.openxmlformats.org/officeDocument/2006/relationships/hyperlink" Target="https://analytics.zhihuiya.com/patent-view/abst?patentId=7e139383-5819-44fc-8f28-352e31974c35" TargetMode="External"/><Relationship Id="rId958" Type="http://schemas.openxmlformats.org/officeDocument/2006/relationships/hyperlink" Target="https://analytics.zhihuiya.com/patent-view/abst?patentId=11d03b86-8d43-45e3-9042-98ad3043d305" TargetMode="External"/><Relationship Id="rId1588" Type="http://schemas.openxmlformats.org/officeDocument/2006/relationships/hyperlink" Target="https://analytics.zhihuiya.com/patent-view/abst?patentId=0ed427a4-e430-4069-a824-9173a89544d8" TargetMode="External"/><Relationship Id="rId2639" Type="http://schemas.openxmlformats.org/officeDocument/2006/relationships/hyperlink" Target="https://analytics.zhihuiya.com/patent-view/abst?patentId=2e22ef06-d81d-4f8d-9819-53efbcca1827" TargetMode="External"/><Relationship Id="rId1655" Type="http://schemas.openxmlformats.org/officeDocument/2006/relationships/hyperlink" Target="https://analytics.zhihuiya.com/patent-view/abst?patentId=b71ffef0-e266-477b-bcef-385f7e3137a7" TargetMode="External"/><Relationship Id="rId2706" Type="http://schemas.openxmlformats.org/officeDocument/2006/relationships/hyperlink" Target="https://analytics.zhihuiya.com/patent-view/abst?patentId=0aa3d000-5abb-4667-b906-50e81c8cad78" TargetMode="External"/><Relationship Id="rId4061" Type="http://schemas.openxmlformats.org/officeDocument/2006/relationships/hyperlink" Target="https://analytics.zhihuiya.com/patent-view/abst?patentId=a97ff400-be3d-4944-b0d1-0f4e45cde32a" TargetMode="External"/><Relationship Id="rId1308" Type="http://schemas.openxmlformats.org/officeDocument/2006/relationships/hyperlink" Target="https://analytics.zhihuiya.com/patent-view/abst?patentId=b7b0d03e-c856-4e9c-bcb5-dcad0ded18a8" TargetMode="External"/><Relationship Id="rId1722" Type="http://schemas.openxmlformats.org/officeDocument/2006/relationships/hyperlink" Target="https://analytics.zhihuiya.com/patent-view/abst?patentId=c47df94b-ae87-46bb-9271-300496927dbb" TargetMode="External"/><Relationship Id="rId14" Type="http://schemas.openxmlformats.org/officeDocument/2006/relationships/hyperlink" Target="https://analytics.zhihuiya.com/patent-view/abst?patentId=7a4f0f20-3a98-4396-af51-b7c1f7898cd5" TargetMode="External"/><Relationship Id="rId3894" Type="http://schemas.openxmlformats.org/officeDocument/2006/relationships/hyperlink" Target="https://analytics.zhihuiya.com/patent-view/abst?patentId=e089e020-2dff-4c08-af4d-aa8520065eed" TargetMode="External"/><Relationship Id="rId2496" Type="http://schemas.openxmlformats.org/officeDocument/2006/relationships/hyperlink" Target="https://analytics.zhihuiya.com/patent-view/abst?patentId=ee5ade09-ca9d-4d0f-9cd8-faf513a1ae86" TargetMode="External"/><Relationship Id="rId3547" Type="http://schemas.openxmlformats.org/officeDocument/2006/relationships/hyperlink" Target="https://analytics.zhihuiya.com/patent-view/abst?patentId=73c5a86e-8468-443f-a52d-e06fc674330c" TargetMode="External"/><Relationship Id="rId3961" Type="http://schemas.openxmlformats.org/officeDocument/2006/relationships/hyperlink" Target="https://analytics.zhihuiya.com/patent-view/abst?patentId=99fd1885-49bf-429c-a82d-5f0d27197f3c" TargetMode="External"/><Relationship Id="rId468" Type="http://schemas.openxmlformats.org/officeDocument/2006/relationships/hyperlink" Target="https://analytics.zhihuiya.com/patent-view/abst?patentId=a496993c-22e4-4391-8b69-3d7d42cde3cc" TargetMode="External"/><Relationship Id="rId882" Type="http://schemas.openxmlformats.org/officeDocument/2006/relationships/hyperlink" Target="https://analytics.zhihuiya.com/patent-view/abst?patentId=ee4b9963-d034-4a1d-9187-2ed515abe7ab" TargetMode="External"/><Relationship Id="rId1098" Type="http://schemas.openxmlformats.org/officeDocument/2006/relationships/hyperlink" Target="https://analytics.zhihuiya.com/patent-view/abst?patentId=7ec33fff-b84e-44dd-9b8a-707b6afd4e12" TargetMode="External"/><Relationship Id="rId2149" Type="http://schemas.openxmlformats.org/officeDocument/2006/relationships/hyperlink" Target="https://analytics.zhihuiya.com/patent-view/abst?patentId=44bd45d6-54ea-423d-a509-ae5c3ce31a81" TargetMode="External"/><Relationship Id="rId2563" Type="http://schemas.openxmlformats.org/officeDocument/2006/relationships/hyperlink" Target="https://analytics.zhihuiya.com/patent-view/abst?patentId=df668a5f-d109-4158-91dd-f49b171220a2" TargetMode="External"/><Relationship Id="rId3614" Type="http://schemas.openxmlformats.org/officeDocument/2006/relationships/hyperlink" Target="https://analytics.zhihuiya.com/patent-view/abst?patentId=46d33c94-8a45-4aab-8164-e56bd151723b" TargetMode="External"/><Relationship Id="rId535" Type="http://schemas.openxmlformats.org/officeDocument/2006/relationships/hyperlink" Target="https://analytics.zhihuiya.com/patent-view/abst?patentId=298af675-e39e-4d01-9719-2df57c90b100" TargetMode="External"/><Relationship Id="rId1165" Type="http://schemas.openxmlformats.org/officeDocument/2006/relationships/hyperlink" Target="https://analytics.zhihuiya.com/patent-view/abst?patentId=c0fbaf9f-9650-433d-9879-97bd5da649de" TargetMode="External"/><Relationship Id="rId2216" Type="http://schemas.openxmlformats.org/officeDocument/2006/relationships/hyperlink" Target="https://analytics.zhihuiya.com/patent-view/abst?patentId=91595760-0742-4c43-a930-702c8fa2c399" TargetMode="External"/><Relationship Id="rId2630" Type="http://schemas.openxmlformats.org/officeDocument/2006/relationships/hyperlink" Target="https://analytics.zhihuiya.com/patent-view/abst?patentId=9892b3a6-bd19-44c9-9152-7acf2b11e81a" TargetMode="External"/><Relationship Id="rId602" Type="http://schemas.openxmlformats.org/officeDocument/2006/relationships/hyperlink" Target="https://analytics.zhihuiya.com/patent-view/abst?patentId=c1008a4d-626a-4c30-97eb-a0f20ceccf2a" TargetMode="External"/><Relationship Id="rId1232" Type="http://schemas.openxmlformats.org/officeDocument/2006/relationships/hyperlink" Target="https://analytics.zhihuiya.com/patent-view/abst?patentId=a76c6c40-7177-3080-7f3a-c470bcb4711f" TargetMode="External"/><Relationship Id="rId4388" Type="http://schemas.openxmlformats.org/officeDocument/2006/relationships/hyperlink" Target="https://analytics.zhihuiya.com/patent-view/abst?patentId=e460586e-d027-403e-b49c-69c54b24b6a6" TargetMode="External"/><Relationship Id="rId3057" Type="http://schemas.openxmlformats.org/officeDocument/2006/relationships/hyperlink" Target="https://analytics.zhihuiya.com/patent-view/abst?patentId=7fae394a-694a-4a4b-be72-5fb8ee137220" TargetMode="External"/><Relationship Id="rId4108" Type="http://schemas.openxmlformats.org/officeDocument/2006/relationships/hyperlink" Target="https://analytics.zhihuiya.com/patent-view/abst?patentId=717a48aa-1d67-4447-af10-dcb874840a0c" TargetMode="External"/><Relationship Id="rId4455" Type="http://schemas.openxmlformats.org/officeDocument/2006/relationships/hyperlink" Target="https://analytics.zhihuiya.com/patent-view/abst?patentId=ae73b9b9-1a9e-41e7-858e-2d08e38401aa" TargetMode="External"/><Relationship Id="rId3471" Type="http://schemas.openxmlformats.org/officeDocument/2006/relationships/hyperlink" Target="https://analytics.zhihuiya.com/patent-view/abst?patentId=2b3242f9-fc50-471e-8141-fcb0735b0771" TargetMode="External"/><Relationship Id="rId392" Type="http://schemas.openxmlformats.org/officeDocument/2006/relationships/hyperlink" Target="https://analytics.zhihuiya.com/patent-view/abst?patentId=5ed934c7-886b-4888-b2bc-8baac3f3150f" TargetMode="External"/><Relationship Id="rId2073" Type="http://schemas.openxmlformats.org/officeDocument/2006/relationships/hyperlink" Target="https://analytics.zhihuiya.com/patent-view/abst?patentId=909a34a7-f6fa-4be5-98aa-c996413ef3e0" TargetMode="External"/><Relationship Id="rId3124" Type="http://schemas.openxmlformats.org/officeDocument/2006/relationships/hyperlink" Target="https://analytics.zhihuiya.com/patent-view/abst?patentId=514f23f6-5660-4525-bbc4-afbf36309697" TargetMode="External"/><Relationship Id="rId2140" Type="http://schemas.openxmlformats.org/officeDocument/2006/relationships/hyperlink" Target="https://analytics.zhihuiya.com/patent-view/abst?patentId=ddbc624a-37a4-45c9-a456-ae56620c6d0e" TargetMode="External"/><Relationship Id="rId112" Type="http://schemas.openxmlformats.org/officeDocument/2006/relationships/hyperlink" Target="https://analytics.zhihuiya.com/patent-view/abst?patentId=bd3d9d59-c2d1-409a-863d-387d10421d19" TargetMode="External"/><Relationship Id="rId2957" Type="http://schemas.openxmlformats.org/officeDocument/2006/relationships/hyperlink" Target="https://analytics.zhihuiya.com/patent-view/abst?patentId=88714698-93b9-4158-8802-5528b3736efa" TargetMode="External"/><Relationship Id="rId929" Type="http://schemas.openxmlformats.org/officeDocument/2006/relationships/hyperlink" Target="https://analytics.zhihuiya.com/patent-view/abst?patentId=0ad73927-7c36-4c90-a680-bfb8e84e75a2" TargetMode="External"/><Relationship Id="rId1559" Type="http://schemas.openxmlformats.org/officeDocument/2006/relationships/hyperlink" Target="https://analytics.zhihuiya.com/patent-view/abst?patentId=2124f337-43f0-495d-90bd-f7babbc63df3" TargetMode="External"/><Relationship Id="rId1973" Type="http://schemas.openxmlformats.org/officeDocument/2006/relationships/hyperlink" Target="https://analytics.zhihuiya.com/patent-view/abst?patentId=f6a155ae-9c83-442e-bfb3-3e38312ae9d1" TargetMode="External"/><Relationship Id="rId4032" Type="http://schemas.openxmlformats.org/officeDocument/2006/relationships/hyperlink" Target="https://analytics.zhihuiya.com/patent-view/abst?patentId=803ec3ad-624e-45dd-9a78-9f66bb36423e" TargetMode="External"/><Relationship Id="rId1626" Type="http://schemas.openxmlformats.org/officeDocument/2006/relationships/hyperlink" Target="https://analytics.zhihuiya.com/patent-view/abst?patentId=5b1da3ef-49a6-41c0-af4f-681b190d4434" TargetMode="External"/><Relationship Id="rId3798" Type="http://schemas.openxmlformats.org/officeDocument/2006/relationships/hyperlink" Target="https://analytics.zhihuiya.com/patent-view/abst?patentId=053711bf-0208-48a4-9f82-d702f6b3d625" TargetMode="External"/><Relationship Id="rId3865" Type="http://schemas.openxmlformats.org/officeDocument/2006/relationships/hyperlink" Target="https://analytics.zhihuiya.com/patent-view/abst?patentId=c9d4674f-ec10-4232-8408-3747bc60d82c" TargetMode="External"/><Relationship Id="rId786" Type="http://schemas.openxmlformats.org/officeDocument/2006/relationships/hyperlink" Target="https://analytics.zhihuiya.com/patent-view/abst?patentId=e8fd1b75-eed4-447c-ba2c-eef9bd7fa128" TargetMode="External"/><Relationship Id="rId2467" Type="http://schemas.openxmlformats.org/officeDocument/2006/relationships/hyperlink" Target="https://analytics.zhihuiya.com/patent-view/abst?patentId=b9fca3f8-210f-46a0-b953-25f41ed88873" TargetMode="External"/><Relationship Id="rId3518" Type="http://schemas.openxmlformats.org/officeDocument/2006/relationships/hyperlink" Target="https://analytics.zhihuiya.com/patent-view/abst?patentId=90c39dfb-e03a-46c9-9e57-a0b2b1b1c976" TargetMode="External"/><Relationship Id="rId439" Type="http://schemas.openxmlformats.org/officeDocument/2006/relationships/hyperlink" Target="https://analytics.zhihuiya.com/patent-view/abst?patentId=6d6cc4ab-1526-46be-8956-f98bc497ec6b" TargetMode="External"/><Relationship Id="rId1069" Type="http://schemas.openxmlformats.org/officeDocument/2006/relationships/hyperlink" Target="https://analytics.zhihuiya.com/patent-view/abst?patentId=9673f212-971e-45ad-9340-e137ddf73af6" TargetMode="External"/><Relationship Id="rId1483" Type="http://schemas.openxmlformats.org/officeDocument/2006/relationships/hyperlink" Target="https://analytics.zhihuiya.com/patent-view/abst?patentId=69522acb-6eed-4693-8092-995b0d681613" TargetMode="External"/><Relationship Id="rId2881" Type="http://schemas.openxmlformats.org/officeDocument/2006/relationships/hyperlink" Target="https://analytics.zhihuiya.com/patent-view/abst?patentId=44502274-103b-4935-82e9-39bba74b9038" TargetMode="External"/><Relationship Id="rId3932" Type="http://schemas.openxmlformats.org/officeDocument/2006/relationships/hyperlink" Target="https://analytics.zhihuiya.com/patent-view/abst?patentId=6c2b7489-9f67-41f4-ad8a-b35e54debe41" TargetMode="External"/><Relationship Id="rId506" Type="http://schemas.openxmlformats.org/officeDocument/2006/relationships/hyperlink" Target="https://analytics.zhihuiya.com/patent-view/abst?patentId=4b27858e-8afe-4ee0-bb1a-baa765aa7c29" TargetMode="External"/><Relationship Id="rId853" Type="http://schemas.openxmlformats.org/officeDocument/2006/relationships/hyperlink" Target="https://analytics.zhihuiya.com/patent-view/abst?patentId=1b9b8631-7cc2-43fa-a9ac-c48afe8fedaa" TargetMode="External"/><Relationship Id="rId1136" Type="http://schemas.openxmlformats.org/officeDocument/2006/relationships/hyperlink" Target="https://analytics.zhihuiya.com/patent-view/abst?patentId=9b031465-db9f-414c-bfb5-ccd369fcb03a" TargetMode="External"/><Relationship Id="rId2534" Type="http://schemas.openxmlformats.org/officeDocument/2006/relationships/hyperlink" Target="https://analytics.zhihuiya.com/patent-view/abst?patentId=a081d2ef-3783-43d7-81cd-d03fb7da6222" TargetMode="External"/><Relationship Id="rId920" Type="http://schemas.openxmlformats.org/officeDocument/2006/relationships/hyperlink" Target="https://analytics.zhihuiya.com/patent-view/abst?patentId=cc27f1e3-3644-4450-8768-2b325d17b0c8" TargetMode="External"/><Relationship Id="rId1550" Type="http://schemas.openxmlformats.org/officeDocument/2006/relationships/hyperlink" Target="https://analytics.zhihuiya.com/patent-view/abst?patentId=fdad24e2-cc43-4b8b-8f09-73ea65dba875" TargetMode="External"/><Relationship Id="rId2601" Type="http://schemas.openxmlformats.org/officeDocument/2006/relationships/hyperlink" Target="https://analytics.zhihuiya.com/patent-view/abst?patentId=575d79b8-c0b9-4d81-95bd-daf9f795f9ae" TargetMode="External"/><Relationship Id="rId1203" Type="http://schemas.openxmlformats.org/officeDocument/2006/relationships/hyperlink" Target="https://analytics.zhihuiya.com/patent-view/abst?patentId=05dafe1c-b657-43cb-a118-6e31c0767f73" TargetMode="External"/><Relationship Id="rId4359" Type="http://schemas.openxmlformats.org/officeDocument/2006/relationships/hyperlink" Target="https://analytics.zhihuiya.com/patent-view/abst?patentId=2852f48c-0f90-44c6-a3b4-854e2f164a42" TargetMode="External"/><Relationship Id="rId3375" Type="http://schemas.openxmlformats.org/officeDocument/2006/relationships/hyperlink" Target="https://analytics.zhihuiya.com/patent-view/abst?patentId=aa080a0c-e7be-45da-9cf3-5261664eb269" TargetMode="External"/><Relationship Id="rId4426" Type="http://schemas.openxmlformats.org/officeDocument/2006/relationships/hyperlink" Target="https://analytics.zhihuiya.com/patent-view/abst?patentId=f46b4846-479b-4afc-9102-455f5a1dd571" TargetMode="External"/><Relationship Id="rId296" Type="http://schemas.openxmlformats.org/officeDocument/2006/relationships/hyperlink" Target="https://analytics.zhihuiya.com/patent-view/abst?patentId=2be1ca72-c7e0-4d7e-bb90-4bb7c355c591" TargetMode="External"/><Relationship Id="rId2391" Type="http://schemas.openxmlformats.org/officeDocument/2006/relationships/hyperlink" Target="https://analytics.zhihuiya.com/patent-view/abst?patentId=0f374336-2a86-429f-870e-52235eb280f4" TargetMode="External"/><Relationship Id="rId3028" Type="http://schemas.openxmlformats.org/officeDocument/2006/relationships/hyperlink" Target="https://analytics.zhihuiya.com/patent-view/abst?patentId=6d333e4f-8d84-470d-a507-9d13950df213" TargetMode="External"/><Relationship Id="rId3442" Type="http://schemas.openxmlformats.org/officeDocument/2006/relationships/hyperlink" Target="https://analytics.zhihuiya.com/patent-view/abst?patentId=8de66bc0-7d08-49ae-8c57-5b326ff489c4" TargetMode="External"/><Relationship Id="rId363" Type="http://schemas.openxmlformats.org/officeDocument/2006/relationships/hyperlink" Target="https://analytics.zhihuiya.com/patent-view/abst?patentId=b38abe85-3421-4902-8d87-3fec2a024b25" TargetMode="External"/><Relationship Id="rId2044" Type="http://schemas.openxmlformats.org/officeDocument/2006/relationships/hyperlink" Target="https://analytics.zhihuiya.com/patent-view/abst?patentId=cd90ec78-a742-4e72-905f-b5edc8a414d6" TargetMode="External"/><Relationship Id="rId430" Type="http://schemas.openxmlformats.org/officeDocument/2006/relationships/hyperlink" Target="https://analytics.zhihuiya.com/patent-view/abst?patentId=47aa537d-98b7-44b7-bbc6-14db90188199" TargetMode="External"/><Relationship Id="rId1060" Type="http://schemas.openxmlformats.org/officeDocument/2006/relationships/hyperlink" Target="https://analytics.zhihuiya.com/patent-view/abst?patentId=ba28a19c-56a7-4f8d-8f3a-45dd86315ac8" TargetMode="External"/><Relationship Id="rId2111" Type="http://schemas.openxmlformats.org/officeDocument/2006/relationships/hyperlink" Target="https://analytics.zhihuiya.com/patent-view/abst?patentId=1b18877d-c064-4e31-ba71-2836bec2e9d5" TargetMode="External"/><Relationship Id="rId1877" Type="http://schemas.openxmlformats.org/officeDocument/2006/relationships/hyperlink" Target="https://analytics.zhihuiya.com/patent-view/abst?patentId=25e6e51d-b1f1-42bd-b3be-8f6f0576203a" TargetMode="External"/><Relationship Id="rId2928" Type="http://schemas.openxmlformats.org/officeDocument/2006/relationships/hyperlink" Target="https://analytics.zhihuiya.com/patent-view/abst?patentId=2f941c4e-ddb5-438a-9e4a-7f253f877c9b" TargetMode="External"/><Relationship Id="rId4283" Type="http://schemas.openxmlformats.org/officeDocument/2006/relationships/hyperlink" Target="https://analytics.zhihuiya.com/patent-view/abst?patentId=156600d4-19fc-44c6-927d-e11e4c662678" TargetMode="External"/><Relationship Id="rId1944" Type="http://schemas.openxmlformats.org/officeDocument/2006/relationships/hyperlink" Target="https://analytics.zhihuiya.com/patent-view/abst?patentId=4858d7e6-bd23-4283-9893-d91d0b1c4081" TargetMode="External"/><Relationship Id="rId4350" Type="http://schemas.openxmlformats.org/officeDocument/2006/relationships/hyperlink" Target="https://analytics.zhihuiya.com/patent-view/abst?patentId=4a6b5e56-837f-4e7e-b109-91053c4a8366" TargetMode="External"/><Relationship Id="rId4003" Type="http://schemas.openxmlformats.org/officeDocument/2006/relationships/hyperlink" Target="https://analytics.zhihuiya.com/patent-view/abst?patentId=c1166dff-1841-4111-826f-83ba20921132" TargetMode="External"/><Relationship Id="rId3769" Type="http://schemas.openxmlformats.org/officeDocument/2006/relationships/hyperlink" Target="https://analytics.zhihuiya.com/patent-view/abst?patentId=6d2f0df7-dbf9-4fa7-8d3d-1a6a3f50f881" TargetMode="External"/><Relationship Id="rId2785" Type="http://schemas.openxmlformats.org/officeDocument/2006/relationships/hyperlink" Target="https://analytics.zhihuiya.com/patent-view/abst?patentId=ee41046b-a2b3-4faf-ad63-4876fa948096" TargetMode="External"/><Relationship Id="rId3836" Type="http://schemas.openxmlformats.org/officeDocument/2006/relationships/hyperlink" Target="https://analytics.zhihuiya.com/patent-view/abst?patentId=25ae6172-d8ea-4115-977f-9cc943a6d96e" TargetMode="External"/><Relationship Id="rId757" Type="http://schemas.openxmlformats.org/officeDocument/2006/relationships/hyperlink" Target="https://analytics.zhihuiya.com/patent-view/abst?patentId=6d804bf5-9419-4e60-bda7-76143e3fa233" TargetMode="External"/><Relationship Id="rId1387" Type="http://schemas.openxmlformats.org/officeDocument/2006/relationships/hyperlink" Target="https://analytics.zhihuiya.com/patent-view/abst?patentId=ccdb364e-0c5c-4bcb-9325-3c11047dce73" TargetMode="External"/><Relationship Id="rId2438" Type="http://schemas.openxmlformats.org/officeDocument/2006/relationships/hyperlink" Target="https://analytics.zhihuiya.com/patent-view/abst?patentId=9f32f813-3737-41c5-b1c3-a10f85713596" TargetMode="External"/><Relationship Id="rId2852" Type="http://schemas.openxmlformats.org/officeDocument/2006/relationships/hyperlink" Target="https://analytics.zhihuiya.com/patent-view/abst?patentId=3d283d7a-349b-4665-a0d8-8c65977f7ee9" TargetMode="External"/><Relationship Id="rId3903" Type="http://schemas.openxmlformats.org/officeDocument/2006/relationships/hyperlink" Target="https://analytics.zhihuiya.com/patent-view/abst?patentId=feab782e-2fff-4e3f-9ab6-4f9b217f7d69" TargetMode="External"/><Relationship Id="rId93" Type="http://schemas.openxmlformats.org/officeDocument/2006/relationships/hyperlink" Target="https://analytics.zhihuiya.com/patent-view/abst?patentId=95f89826-ad7c-4d16-8294-6a931aa4dca7" TargetMode="External"/><Relationship Id="rId824" Type="http://schemas.openxmlformats.org/officeDocument/2006/relationships/hyperlink" Target="https://analytics.zhihuiya.com/patent-view/abst?patentId=8c2a664d-013b-40b2-a1b6-3e533066af8b" TargetMode="External"/><Relationship Id="rId1454" Type="http://schemas.openxmlformats.org/officeDocument/2006/relationships/hyperlink" Target="https://analytics.zhihuiya.com/patent-view/abst?patentId=5e430a3b-1fb9-4061-93ea-39ef988ca7bc" TargetMode="External"/><Relationship Id="rId2505" Type="http://schemas.openxmlformats.org/officeDocument/2006/relationships/hyperlink" Target="https://analytics.zhihuiya.com/patent-view/abst?patentId=ab4c3440-ae16-4d2b-a039-4c931e90fc45" TargetMode="External"/><Relationship Id="rId1107" Type="http://schemas.openxmlformats.org/officeDocument/2006/relationships/hyperlink" Target="https://analytics.zhihuiya.com/patent-view/abst?patentId=c776d8ef-d7c3-4970-8522-eccf06546771" TargetMode="External"/><Relationship Id="rId1521" Type="http://schemas.openxmlformats.org/officeDocument/2006/relationships/hyperlink" Target="https://analytics.zhihuiya.com/patent-view/abst?patentId=9a6cb760-2c51-4b90-874a-7fad1ec8d2cc" TargetMode="External"/><Relationship Id="rId3279" Type="http://schemas.openxmlformats.org/officeDocument/2006/relationships/hyperlink" Target="https://analytics.zhihuiya.com/patent-view/abst?patentId=c44ab395-6973-4c8c-988c-7e3e917de3b6" TargetMode="External"/><Relationship Id="rId3693" Type="http://schemas.openxmlformats.org/officeDocument/2006/relationships/hyperlink" Target="https://analytics.zhihuiya.com/patent-view/abst?patentId=f15128b3-a5ce-48f8-952b-5d12cae3b7e6" TargetMode="External"/><Relationship Id="rId2295" Type="http://schemas.openxmlformats.org/officeDocument/2006/relationships/hyperlink" Target="https://analytics.zhihuiya.com/patent-view/abst?patentId=6c6fc85e-3a1d-4b7c-afcc-e1365e60ca13" TargetMode="External"/><Relationship Id="rId3346" Type="http://schemas.openxmlformats.org/officeDocument/2006/relationships/hyperlink" Target="https://analytics.zhihuiya.com/patent-view/abst?patentId=06783e12-391b-4d2b-b142-5733008cb5d7" TargetMode="External"/><Relationship Id="rId267" Type="http://schemas.openxmlformats.org/officeDocument/2006/relationships/hyperlink" Target="https://analytics.zhihuiya.com/patent-view/abst?patentId=44f83c08-5968-465d-9218-57fe7801142b" TargetMode="External"/><Relationship Id="rId3760" Type="http://schemas.openxmlformats.org/officeDocument/2006/relationships/hyperlink" Target="https://analytics.zhihuiya.com/patent-view/abst?patentId=1194bafc-4fbc-4c5d-937e-f10f94cae84a" TargetMode="External"/><Relationship Id="rId681" Type="http://schemas.openxmlformats.org/officeDocument/2006/relationships/hyperlink" Target="https://analytics.zhihuiya.com/patent-view/abst?patentId=9ebb0f03-cc1f-405a-9903-afce6cbecc58" TargetMode="External"/><Relationship Id="rId2362" Type="http://schemas.openxmlformats.org/officeDocument/2006/relationships/hyperlink" Target="https://analytics.zhihuiya.com/patent-view/abst?patentId=fd04c4c3-a094-457e-a122-e1ca5ec28b01" TargetMode="External"/><Relationship Id="rId3413" Type="http://schemas.openxmlformats.org/officeDocument/2006/relationships/hyperlink" Target="https://analytics.zhihuiya.com/patent-view/abst?patentId=1f45f777-1fc0-4fe8-9c27-a30b8c94eafd" TargetMode="External"/><Relationship Id="rId334" Type="http://schemas.openxmlformats.org/officeDocument/2006/relationships/hyperlink" Target="https://analytics.zhihuiya.com/patent-view/abst?patentId=86574162-e57c-4c60-be71-9ff729df6496" TargetMode="External"/><Relationship Id="rId2015" Type="http://schemas.openxmlformats.org/officeDocument/2006/relationships/hyperlink" Target="https://analytics.zhihuiya.com/patent-view/abst?patentId=46994eaf-560a-493a-bc73-97b2a37007a9" TargetMode="External"/><Relationship Id="rId401" Type="http://schemas.openxmlformats.org/officeDocument/2006/relationships/hyperlink" Target="https://analytics.zhihuiya.com/patent-view/abst?patentId=a4b7cbdc-810b-4d08-bbd4-5dfa8fbd83eb" TargetMode="External"/><Relationship Id="rId1031" Type="http://schemas.openxmlformats.org/officeDocument/2006/relationships/hyperlink" Target="https://analytics.zhihuiya.com/patent-view/abst?patentId=2608ac0c-dbba-4741-877e-15c5a970e11b" TargetMode="External"/><Relationship Id="rId4187" Type="http://schemas.openxmlformats.org/officeDocument/2006/relationships/hyperlink" Target="https://analytics.zhihuiya.com/patent-view/abst?patentId=10427e2f-319a-4208-ad7c-8937778a4802" TargetMode="External"/><Relationship Id="rId4254" Type="http://schemas.openxmlformats.org/officeDocument/2006/relationships/hyperlink" Target="https://analytics.zhihuiya.com/patent-view/abst?patentId=a27e82bb-9f20-44f7-a8e7-89a12f24fca2" TargetMode="External"/><Relationship Id="rId1848" Type="http://schemas.openxmlformats.org/officeDocument/2006/relationships/hyperlink" Target="https://analytics.zhihuiya.com/patent-view/abst?patentId=33f81198-c8fb-447a-ab93-837c1813dfcf" TargetMode="External"/><Relationship Id="rId3270" Type="http://schemas.openxmlformats.org/officeDocument/2006/relationships/hyperlink" Target="https://analytics.zhihuiya.com/patent-view/abst?patentId=8a6da677-3a37-4413-8a59-92dd338a0778" TargetMode="External"/><Relationship Id="rId4321" Type="http://schemas.openxmlformats.org/officeDocument/2006/relationships/hyperlink" Target="https://analytics.zhihuiya.com/patent-view/abst?patentId=d5ecd27a-1a7f-44c2-ac0a-e2c3352491ba" TargetMode="External"/><Relationship Id="rId191" Type="http://schemas.openxmlformats.org/officeDocument/2006/relationships/hyperlink" Target="https://analytics.zhihuiya.com/patent-view/abst?patentId=afcd1e16-6def-4783-b9ac-423693afe432" TargetMode="External"/><Relationship Id="rId1915" Type="http://schemas.openxmlformats.org/officeDocument/2006/relationships/hyperlink" Target="https://analytics.zhihuiya.com/patent-view/abst?patentId=49c4a120-a16b-4db7-84a5-8bf27d49ad70" TargetMode="External"/><Relationship Id="rId2689" Type="http://schemas.openxmlformats.org/officeDocument/2006/relationships/hyperlink" Target="https://analytics.zhihuiya.com/patent-view/abst?patentId=e737b61f-408e-4fa0-bab7-0b785896860e" TargetMode="External"/><Relationship Id="rId2756" Type="http://schemas.openxmlformats.org/officeDocument/2006/relationships/hyperlink" Target="https://analytics.zhihuiya.com/patent-view/abst?patentId=f59c0a5c-1bdc-4002-a039-dd2319a0e03d" TargetMode="External"/><Relationship Id="rId3807" Type="http://schemas.openxmlformats.org/officeDocument/2006/relationships/hyperlink" Target="https://analytics.zhihuiya.com/patent-view/abst?patentId=0778c3f5-e317-4a34-a8da-d50139228eb1" TargetMode="External"/><Relationship Id="rId728" Type="http://schemas.openxmlformats.org/officeDocument/2006/relationships/hyperlink" Target="https://analytics.zhihuiya.com/patent-view/abst?patentId=02a1ba98-581e-409f-9d16-f2c9b72d3f88" TargetMode="External"/><Relationship Id="rId1358" Type="http://schemas.openxmlformats.org/officeDocument/2006/relationships/hyperlink" Target="https://analytics.zhihuiya.com/patent-view/abst?patentId=11dbf473-9979-43b7-ab75-a6783a857b19" TargetMode="External"/><Relationship Id="rId1772" Type="http://schemas.openxmlformats.org/officeDocument/2006/relationships/hyperlink" Target="https://analytics.zhihuiya.com/patent-view/abst?patentId=9c6121b7-3172-4e69-9f45-c8ab922f5c3b" TargetMode="External"/><Relationship Id="rId2409" Type="http://schemas.openxmlformats.org/officeDocument/2006/relationships/hyperlink" Target="https://analytics.zhihuiya.com/patent-view/abst?patentId=32b62cfc-f137-48c4-954d-d51cb91ea80f" TargetMode="External"/><Relationship Id="rId64" Type="http://schemas.openxmlformats.org/officeDocument/2006/relationships/hyperlink" Target="https://analytics.zhihuiya.com/patent-view/abst?patentId=35d107d2-0f58-4e30-b51f-301a9014dcbc" TargetMode="External"/><Relationship Id="rId1425" Type="http://schemas.openxmlformats.org/officeDocument/2006/relationships/hyperlink" Target="https://analytics.zhihuiya.com/patent-view/abst?patentId=12aacfde-9098-4347-901f-1d2d7b3e8386" TargetMode="External"/><Relationship Id="rId2823" Type="http://schemas.openxmlformats.org/officeDocument/2006/relationships/hyperlink" Target="https://analytics.zhihuiya.com/patent-view/abst?patentId=ac59a867-fcde-4b79-a234-2d5514f874dc" TargetMode="External"/><Relationship Id="rId2199" Type="http://schemas.openxmlformats.org/officeDocument/2006/relationships/hyperlink" Target="https://analytics.zhihuiya.com/patent-view/abst?patentId=54279cf5-7214-40c0-855a-5a14efb99c7b" TargetMode="External"/><Relationship Id="rId3597" Type="http://schemas.openxmlformats.org/officeDocument/2006/relationships/hyperlink" Target="https://analytics.zhihuiya.com/patent-view/abst?patentId=b82ed947-5145-463a-81f4-168b0fef4443" TargetMode="External"/><Relationship Id="rId3664" Type="http://schemas.openxmlformats.org/officeDocument/2006/relationships/hyperlink" Target="https://analytics.zhihuiya.com/patent-view/abst?patentId=5f5fba12-fe09-47a1-aeae-90a6673b6b2b" TargetMode="External"/><Relationship Id="rId585" Type="http://schemas.openxmlformats.org/officeDocument/2006/relationships/hyperlink" Target="https://analytics.zhihuiya.com/patent-view/abst?patentId=9e75ec8e-849a-4bc0-8b80-16a03be0414c" TargetMode="External"/><Relationship Id="rId2266" Type="http://schemas.openxmlformats.org/officeDocument/2006/relationships/hyperlink" Target="https://analytics.zhihuiya.com/patent-view/abst?patentId=f9021fe0-d1e5-4617-918a-6670e804e7eb" TargetMode="External"/><Relationship Id="rId2680" Type="http://schemas.openxmlformats.org/officeDocument/2006/relationships/hyperlink" Target="https://analytics.zhihuiya.com/patent-view/abst?patentId=97563355-6d3d-44e6-af09-e03173b9d721" TargetMode="External"/><Relationship Id="rId3317" Type="http://schemas.openxmlformats.org/officeDocument/2006/relationships/hyperlink" Target="https://analytics.zhihuiya.com/patent-view/abst?patentId=22971c89-b24d-40cc-9405-6709015cf7d2" TargetMode="External"/><Relationship Id="rId3731" Type="http://schemas.openxmlformats.org/officeDocument/2006/relationships/hyperlink" Target="https://analytics.zhihuiya.com/patent-view/abst?patentId=65a3cc29-322a-41e9-859d-2b5c280f3fde" TargetMode="External"/><Relationship Id="rId238" Type="http://schemas.openxmlformats.org/officeDocument/2006/relationships/hyperlink" Target="https://analytics.zhihuiya.com/patent-view/abst?patentId=cc333f8b-0b23-4965-8e92-939879303d6d" TargetMode="External"/><Relationship Id="rId652" Type="http://schemas.openxmlformats.org/officeDocument/2006/relationships/hyperlink" Target="https://analytics.zhihuiya.com/patent-view/abst?patentId=b2ea35c5-afd6-41c7-8011-d860bb2af288" TargetMode="External"/><Relationship Id="rId1282" Type="http://schemas.openxmlformats.org/officeDocument/2006/relationships/hyperlink" Target="https://analytics.zhihuiya.com/patent-view/abst?patentId=34e49379-863c-415a-ab63-be46634230f8" TargetMode="External"/><Relationship Id="rId2333" Type="http://schemas.openxmlformats.org/officeDocument/2006/relationships/hyperlink" Target="https://analytics.zhihuiya.com/patent-view/abst?patentId=8331d8df-264f-400c-b2ef-a8979d43cd04" TargetMode="External"/><Relationship Id="rId305" Type="http://schemas.openxmlformats.org/officeDocument/2006/relationships/hyperlink" Target="https://analytics.zhihuiya.com/patent-view/abst?patentId=b8e7989d-49f9-408a-b443-b9821533c11a" TargetMode="External"/><Relationship Id="rId2400" Type="http://schemas.openxmlformats.org/officeDocument/2006/relationships/hyperlink" Target="https://analytics.zhihuiya.com/patent-view/abst?patentId=4eca9a99-a958-47f4-a00d-e305b4fd3304" TargetMode="External"/><Relationship Id="rId1002" Type="http://schemas.openxmlformats.org/officeDocument/2006/relationships/hyperlink" Target="https://analytics.zhihuiya.com/patent-view/abst?patentId=dca95d52-7f69-445c-8a5a-caa82582cfc4" TargetMode="External"/><Relationship Id="rId4158" Type="http://schemas.openxmlformats.org/officeDocument/2006/relationships/hyperlink" Target="https://analytics.zhihuiya.com/patent-view/abst?patentId=ae1125df-128c-4b63-984c-b8e582e343cd" TargetMode="External"/><Relationship Id="rId3174" Type="http://schemas.openxmlformats.org/officeDocument/2006/relationships/hyperlink" Target="https://analytics.zhihuiya.com/patent-view/abst?patentId=6b2d1427-a2f7-4088-8746-c2d875f79122" TargetMode="External"/><Relationship Id="rId1819" Type="http://schemas.openxmlformats.org/officeDocument/2006/relationships/hyperlink" Target="https://analytics.zhihuiya.com/patent-view/abst?patentId=fcce181c-6429-4621-969d-a62e6dac7bb8" TargetMode="External"/><Relationship Id="rId4225" Type="http://schemas.openxmlformats.org/officeDocument/2006/relationships/hyperlink" Target="https://analytics.zhihuiya.com/patent-view/abst?patentId=a464f071-86dc-47b7-b6cc-e7bc93a39763" TargetMode="External"/><Relationship Id="rId2190" Type="http://schemas.openxmlformats.org/officeDocument/2006/relationships/hyperlink" Target="https://analytics.zhihuiya.com/patent-view/abst?patentId=d221c10d-aa3c-4ce0-a4c7-3acb10879377" TargetMode="External"/><Relationship Id="rId3241" Type="http://schemas.openxmlformats.org/officeDocument/2006/relationships/hyperlink" Target="https://analytics.zhihuiya.com/patent-view/abst?patentId=5e0df33a-441b-429b-a02d-bae04fc7cd27" TargetMode="External"/><Relationship Id="rId162" Type="http://schemas.openxmlformats.org/officeDocument/2006/relationships/hyperlink" Target="https://analytics.zhihuiya.com/patent-view/abst?patentId=06af7ccc-3869-413e-bbcc-cda42a279349" TargetMode="External"/><Relationship Id="rId979" Type="http://schemas.openxmlformats.org/officeDocument/2006/relationships/hyperlink" Target="https://analytics.zhihuiya.com/patent-view/abst?patentId=908839c4-b8ce-493b-8c62-cfbd0b073baf" TargetMode="External"/><Relationship Id="rId4082" Type="http://schemas.openxmlformats.org/officeDocument/2006/relationships/hyperlink" Target="https://analytics.zhihuiya.com/patent-view/abst?patentId=e4fd68a6-c57f-4ab9-a5da-ead0ab7d9052" TargetMode="External"/><Relationship Id="rId1676" Type="http://schemas.openxmlformats.org/officeDocument/2006/relationships/hyperlink" Target="https://analytics.zhihuiya.com/patent-view/abst?patentId=d644ec5c-ca8e-40d0-a87a-567291973fad" TargetMode="External"/><Relationship Id="rId2727" Type="http://schemas.openxmlformats.org/officeDocument/2006/relationships/hyperlink" Target="https://analytics.zhihuiya.com/patent-view/abst?patentId=77681d5a-22d0-4bed-a5df-cab3107a4deb" TargetMode="External"/><Relationship Id="rId1329" Type="http://schemas.openxmlformats.org/officeDocument/2006/relationships/hyperlink" Target="https://analytics.zhihuiya.com/patent-view/abst?patentId=fc2fad20-5924-4df3-a464-86149e85c76d" TargetMode="External"/><Relationship Id="rId1743" Type="http://schemas.openxmlformats.org/officeDocument/2006/relationships/hyperlink" Target="https://analytics.zhihuiya.com/patent-view/abst?patentId=cc7c123d-14a8-428c-89ea-ea00c7bdc356" TargetMode="External"/><Relationship Id="rId35" Type="http://schemas.openxmlformats.org/officeDocument/2006/relationships/hyperlink" Target="https://analytics.zhihuiya.com/patent-view/abst?patentId=3cd03a80-670d-478d-82c6-934eb365e6ef" TargetMode="External"/><Relationship Id="rId1810" Type="http://schemas.openxmlformats.org/officeDocument/2006/relationships/hyperlink" Target="https://analytics.zhihuiya.com/patent-view/abst?patentId=0def74a7-8cf0-4bad-8858-039657ea92f2" TargetMode="External"/><Relationship Id="rId3568" Type="http://schemas.openxmlformats.org/officeDocument/2006/relationships/hyperlink" Target="https://analytics.zhihuiya.com/patent-view/abst?patentId=f65ec491-80ef-49a7-87f9-fe4cbd9cc1c9" TargetMode="External"/><Relationship Id="rId3982" Type="http://schemas.openxmlformats.org/officeDocument/2006/relationships/hyperlink" Target="https://analytics.zhihuiya.com/patent-view/abst?patentId=fbc86391-dfdd-4d1e-b1dc-b6f9b378b087" TargetMode="External"/><Relationship Id="rId489" Type="http://schemas.openxmlformats.org/officeDocument/2006/relationships/hyperlink" Target="https://analytics.zhihuiya.com/patent-view/abst?patentId=5ec686ac-7c10-4d05-aa42-9e2d7483ec08" TargetMode="External"/><Relationship Id="rId2584" Type="http://schemas.openxmlformats.org/officeDocument/2006/relationships/hyperlink" Target="https://analytics.zhihuiya.com/patent-view/abst?patentId=adb9d70f-7125-4d16-a96b-ead024f02298" TargetMode="External"/><Relationship Id="rId3635" Type="http://schemas.openxmlformats.org/officeDocument/2006/relationships/hyperlink" Target="https://analytics.zhihuiya.com/patent-view/abst?patentId=a73fc8f7-2346-4c3d-aa93-db266e974a21" TargetMode="External"/><Relationship Id="rId349" Type="http://schemas.openxmlformats.org/officeDocument/2006/relationships/hyperlink" Target="https://analytics.zhihuiya.com/patent-view/abst?patentId=f922db88-2a80-4b13-9cfc-d87afce55270" TargetMode="External"/><Relationship Id="rId556" Type="http://schemas.openxmlformats.org/officeDocument/2006/relationships/hyperlink" Target="https://analytics.zhihuiya.com/patent-view/abst?patentId=6de192cf-a547-4fbc-b783-ca15d43de61c" TargetMode="External"/><Relationship Id="rId763" Type="http://schemas.openxmlformats.org/officeDocument/2006/relationships/hyperlink" Target="https://analytics.zhihuiya.com/patent-view/abst?patentId=f7e44872-abfc-4ff8-aa6e-0229aa616217" TargetMode="External"/><Relationship Id="rId1186" Type="http://schemas.openxmlformats.org/officeDocument/2006/relationships/hyperlink" Target="https://analytics.zhihuiya.com/patent-view/abst?patentId=38372990-5345-4e44-9f33-17ad756f967b" TargetMode="External"/><Relationship Id="rId1393" Type="http://schemas.openxmlformats.org/officeDocument/2006/relationships/hyperlink" Target="https://analytics.zhihuiya.com/patent-view/abst?patentId=82527017-bd9b-4f3f-9cc9-a11a2712e5aa" TargetMode="External"/><Relationship Id="rId2237" Type="http://schemas.openxmlformats.org/officeDocument/2006/relationships/hyperlink" Target="https://analytics.zhihuiya.com/patent-view/abst?patentId=79c1e091-1b1e-46a9-99ea-162c945efbfc" TargetMode="External"/><Relationship Id="rId2444" Type="http://schemas.openxmlformats.org/officeDocument/2006/relationships/hyperlink" Target="https://analytics.zhihuiya.com/patent-view/abst?patentId=16af6723-2a4f-42aa-bd5f-324674b46924" TargetMode="External"/><Relationship Id="rId3842" Type="http://schemas.openxmlformats.org/officeDocument/2006/relationships/hyperlink" Target="https://analytics.zhihuiya.com/patent-view/abst?patentId=58f0bc05-9e77-487b-8c64-8a4bc6e0a64a" TargetMode="External"/><Relationship Id="rId209" Type="http://schemas.openxmlformats.org/officeDocument/2006/relationships/hyperlink" Target="https://analytics.zhihuiya.com/patent-view/abst?patentId=b7399384-2bf7-4e72-abbb-03ceb398149a" TargetMode="External"/><Relationship Id="rId416" Type="http://schemas.openxmlformats.org/officeDocument/2006/relationships/hyperlink" Target="https://analytics.zhihuiya.com/patent-view/abst?patentId=1c63ef03-c21e-49bd-96fa-548e342b9fed" TargetMode="External"/><Relationship Id="rId970" Type="http://schemas.openxmlformats.org/officeDocument/2006/relationships/hyperlink" Target="https://analytics.zhihuiya.com/patent-view/abst?patentId=a69e2754-c3f7-4539-894a-9585116b6b7b" TargetMode="External"/><Relationship Id="rId1046" Type="http://schemas.openxmlformats.org/officeDocument/2006/relationships/hyperlink" Target="https://analytics.zhihuiya.com/patent-view/abst?patentId=ed883471-f481-4620-bb3c-1be6b16ee65c" TargetMode="External"/><Relationship Id="rId1253" Type="http://schemas.openxmlformats.org/officeDocument/2006/relationships/hyperlink" Target="https://analytics.zhihuiya.com/patent-view/abst?patentId=33fe9285-14ea-4585-98dd-37914bc8b470" TargetMode="External"/><Relationship Id="rId2651" Type="http://schemas.openxmlformats.org/officeDocument/2006/relationships/hyperlink" Target="https://analytics.zhihuiya.com/patent-view/abst?patentId=d7242398-24e3-4925-bb91-5cf8bf057cc9" TargetMode="External"/><Relationship Id="rId3702" Type="http://schemas.openxmlformats.org/officeDocument/2006/relationships/hyperlink" Target="https://analytics.zhihuiya.com/patent-view/abst?patentId=7f89bae5-ed64-40ed-bdd8-ded2fc8a621d" TargetMode="External"/><Relationship Id="rId623" Type="http://schemas.openxmlformats.org/officeDocument/2006/relationships/hyperlink" Target="https://analytics.zhihuiya.com/patent-view/abst?patentId=b4bc03de-b57d-4102-a12d-67d5d0b85ced" TargetMode="External"/><Relationship Id="rId830" Type="http://schemas.openxmlformats.org/officeDocument/2006/relationships/hyperlink" Target="https://analytics.zhihuiya.com/patent-view/abst?patentId=a6d4bbe7-42e7-4604-9d0d-d6e1051e636b" TargetMode="External"/><Relationship Id="rId1460" Type="http://schemas.openxmlformats.org/officeDocument/2006/relationships/hyperlink" Target="https://analytics.zhihuiya.com/patent-view/abst?patentId=cc9d1356-7e5a-456e-87db-6c5586469158" TargetMode="External"/><Relationship Id="rId2304" Type="http://schemas.openxmlformats.org/officeDocument/2006/relationships/hyperlink" Target="https://analytics.zhihuiya.com/patent-view/abst?patentId=48dcd03f-16f4-436d-9f2e-6d88faa7ded2" TargetMode="External"/><Relationship Id="rId2511" Type="http://schemas.openxmlformats.org/officeDocument/2006/relationships/hyperlink" Target="https://analytics.zhihuiya.com/patent-view/abst?patentId=6de790c1-4607-4130-9717-118230f38c0c" TargetMode="External"/><Relationship Id="rId1113" Type="http://schemas.openxmlformats.org/officeDocument/2006/relationships/hyperlink" Target="https://analytics.zhihuiya.com/patent-view/abst?patentId=b456a2ed-5726-4e7d-aeac-5953e9560cdb" TargetMode="External"/><Relationship Id="rId1320" Type="http://schemas.openxmlformats.org/officeDocument/2006/relationships/hyperlink" Target="https://analytics.zhihuiya.com/patent-view/abst?patentId=428e2364-31dc-452a-8d81-e25eff6533da" TargetMode="External"/><Relationship Id="rId4269" Type="http://schemas.openxmlformats.org/officeDocument/2006/relationships/hyperlink" Target="https://analytics.zhihuiya.com/patent-view/abst?patentId=842e8b75-e663-4911-b937-449bd95cbc2d" TargetMode="External"/><Relationship Id="rId3078" Type="http://schemas.openxmlformats.org/officeDocument/2006/relationships/hyperlink" Target="https://analytics.zhihuiya.com/patent-view/abst?patentId=4fd621f4-f420-4ece-8cc1-4f261890473f" TargetMode="External"/><Relationship Id="rId3285" Type="http://schemas.openxmlformats.org/officeDocument/2006/relationships/hyperlink" Target="https://analytics.zhihuiya.com/patent-view/abst?patentId=290cc042-4d2a-4706-9c45-f0b6d80c9d5b" TargetMode="External"/><Relationship Id="rId3492" Type="http://schemas.openxmlformats.org/officeDocument/2006/relationships/hyperlink" Target="https://analytics.zhihuiya.com/patent-view/abst?patentId=a48ff0e5-b862-43d3-9bc5-f2496c016390" TargetMode="External"/><Relationship Id="rId4129" Type="http://schemas.openxmlformats.org/officeDocument/2006/relationships/hyperlink" Target="https://analytics.zhihuiya.com/patent-view/abst?patentId=639d568b-1379-4ee2-ba99-0493a9ea43da" TargetMode="External"/><Relationship Id="rId4336" Type="http://schemas.openxmlformats.org/officeDocument/2006/relationships/hyperlink" Target="https://analytics.zhihuiya.com/patent-view/abst?patentId=7f515422-644b-47b3-9db4-0dbf74bab1bb" TargetMode="External"/><Relationship Id="rId2094" Type="http://schemas.openxmlformats.org/officeDocument/2006/relationships/hyperlink" Target="https://analytics.zhihuiya.com/patent-view/abst?patentId=baafd072-1d6e-4488-9221-e128a89244ea" TargetMode="External"/><Relationship Id="rId3145" Type="http://schemas.openxmlformats.org/officeDocument/2006/relationships/hyperlink" Target="https://analytics.zhihuiya.com/patent-view/abst?patentId=aea7c917-0e0f-43ca-82bc-bf0e85ce2c28" TargetMode="External"/><Relationship Id="rId3352" Type="http://schemas.openxmlformats.org/officeDocument/2006/relationships/hyperlink" Target="https://analytics.zhihuiya.com/patent-view/abst?patentId=0e3c7c0f-672f-4bcf-a695-cee98b2d4eff" TargetMode="External"/><Relationship Id="rId4403" Type="http://schemas.openxmlformats.org/officeDocument/2006/relationships/hyperlink" Target="https://analytics.zhihuiya.com/patent-view/abst?patentId=133fc7dd-094c-40f0-8915-4f8fe7bfa48b" TargetMode="External"/><Relationship Id="rId273" Type="http://schemas.openxmlformats.org/officeDocument/2006/relationships/hyperlink" Target="https://analytics.zhihuiya.com/patent-view/abst?patentId=ed3b3d40-8982-4077-bef1-63b8bb1851e0" TargetMode="External"/><Relationship Id="rId480" Type="http://schemas.openxmlformats.org/officeDocument/2006/relationships/hyperlink" Target="https://analytics.zhihuiya.com/patent-view/abst?patentId=3bb29fdf-b57f-412f-81fb-4b9736f66299" TargetMode="External"/><Relationship Id="rId2161" Type="http://schemas.openxmlformats.org/officeDocument/2006/relationships/hyperlink" Target="https://analytics.zhihuiya.com/patent-view/abst?patentId=7564dba1-33b9-439b-8576-52526dd392c5" TargetMode="External"/><Relationship Id="rId3005" Type="http://schemas.openxmlformats.org/officeDocument/2006/relationships/hyperlink" Target="https://analytics.zhihuiya.com/patent-view/abst?patentId=2751d71f-71f1-4338-8557-c9c6277acb49" TargetMode="External"/><Relationship Id="rId3212" Type="http://schemas.openxmlformats.org/officeDocument/2006/relationships/hyperlink" Target="https://analytics.zhihuiya.com/patent-view/abst?patentId=76d16136-512f-498c-b2df-5e5e07a560fd" TargetMode="External"/><Relationship Id="rId133" Type="http://schemas.openxmlformats.org/officeDocument/2006/relationships/hyperlink" Target="https://analytics.zhihuiya.com/patent-view/abst?patentId=f4cdb1f3-32d7-4fa4-8a00-e2d4f7855f3b" TargetMode="External"/><Relationship Id="rId340" Type="http://schemas.openxmlformats.org/officeDocument/2006/relationships/hyperlink" Target="https://analytics.zhihuiya.com/patent-view/abst?patentId=0125ab37-6142-402a-a12a-a28b9758d4f6" TargetMode="External"/><Relationship Id="rId2021" Type="http://schemas.openxmlformats.org/officeDocument/2006/relationships/hyperlink" Target="https://analytics.zhihuiya.com/patent-view/abst?patentId=1efa9906-c61b-440f-9527-bc4bd0f38092" TargetMode="External"/><Relationship Id="rId200" Type="http://schemas.openxmlformats.org/officeDocument/2006/relationships/hyperlink" Target="https://analytics.zhihuiya.com/patent-view/abst?patentId=f06889de-0212-4170-b54c-459e6f767384" TargetMode="External"/><Relationship Id="rId2978" Type="http://schemas.openxmlformats.org/officeDocument/2006/relationships/hyperlink" Target="https://analytics.zhihuiya.com/patent-view/abst?patentId=44981ace-1add-4cba-85c2-311d9de76cc3" TargetMode="External"/><Relationship Id="rId4193" Type="http://schemas.openxmlformats.org/officeDocument/2006/relationships/hyperlink" Target="https://analytics.zhihuiya.com/patent-view/abst?patentId=7353ca99-163f-48d8-97bb-0bef3bd260ad" TargetMode="External"/><Relationship Id="rId1787" Type="http://schemas.openxmlformats.org/officeDocument/2006/relationships/hyperlink" Target="https://analytics.zhihuiya.com/patent-view/abst?patentId=96db5984-0b7e-464d-8f02-2e88b2ea94f0" TargetMode="External"/><Relationship Id="rId1994" Type="http://schemas.openxmlformats.org/officeDocument/2006/relationships/hyperlink" Target="https://analytics.zhihuiya.com/patent-view/abst?patentId=5f2fbca4-2fd0-4dad-b814-606778070b41" TargetMode="External"/><Relationship Id="rId2838" Type="http://schemas.openxmlformats.org/officeDocument/2006/relationships/hyperlink" Target="https://analytics.zhihuiya.com/patent-view/abst?patentId=d273f489-f4f6-40a5-96d6-3b515b46f3f4" TargetMode="External"/><Relationship Id="rId79" Type="http://schemas.openxmlformats.org/officeDocument/2006/relationships/hyperlink" Target="https://analytics.zhihuiya.com/patent-view/abst?patentId=9f2e4f24-c420-4790-a584-34333c4378b7" TargetMode="External"/><Relationship Id="rId1647" Type="http://schemas.openxmlformats.org/officeDocument/2006/relationships/hyperlink" Target="https://analytics.zhihuiya.com/patent-view/abst?patentId=5d76aa08-45e2-4d0f-90e3-5c14a7838663" TargetMode="External"/><Relationship Id="rId1854" Type="http://schemas.openxmlformats.org/officeDocument/2006/relationships/hyperlink" Target="https://analytics.zhihuiya.com/patent-view/abst?patentId=5351076d-8c1e-4d5d-aeb4-97c2511ae683" TargetMode="External"/><Relationship Id="rId2905" Type="http://schemas.openxmlformats.org/officeDocument/2006/relationships/hyperlink" Target="https://analytics.zhihuiya.com/patent-view/abst?patentId=2c408cf8-d9ef-4bc8-b2e6-bc20cc4610e8" TargetMode="External"/><Relationship Id="rId4053" Type="http://schemas.openxmlformats.org/officeDocument/2006/relationships/hyperlink" Target="https://analytics.zhihuiya.com/patent-view/abst?patentId=80cc02a6-95dd-4013-a25b-1a906b6ac048" TargetMode="External"/><Relationship Id="rId4260" Type="http://schemas.openxmlformats.org/officeDocument/2006/relationships/hyperlink" Target="https://analytics.zhihuiya.com/patent-view/abst?patentId=44d297a3-5954-4575-8d02-fb1816c8d2d8" TargetMode="External"/><Relationship Id="rId1507" Type="http://schemas.openxmlformats.org/officeDocument/2006/relationships/hyperlink" Target="https://analytics.zhihuiya.com/patent-view/abst?patentId=1b573c2c-ebbd-471c-9928-c38e402d3c84" TargetMode="External"/><Relationship Id="rId1714" Type="http://schemas.openxmlformats.org/officeDocument/2006/relationships/hyperlink" Target="https://analytics.zhihuiya.com/patent-view/abst?patentId=e6ab6536-0007-4cd4-a4ce-97677abfec37" TargetMode="External"/><Relationship Id="rId4120" Type="http://schemas.openxmlformats.org/officeDocument/2006/relationships/hyperlink" Target="https://analytics.zhihuiya.com/patent-view/abst?patentId=1081fe6b-6c7d-41e1-882a-39c374db463a" TargetMode="External"/><Relationship Id="rId1921" Type="http://schemas.openxmlformats.org/officeDocument/2006/relationships/hyperlink" Target="https://analytics.zhihuiya.com/patent-view/abst?patentId=9b3da81b-f737-43b1-aeda-e15c1a6c5222" TargetMode="External"/><Relationship Id="rId3679" Type="http://schemas.openxmlformats.org/officeDocument/2006/relationships/hyperlink" Target="https://analytics.zhihuiya.com/patent-view/abst?patentId=2deffb45-96bc-4e73-b19a-b48841e7fb1a" TargetMode="External"/><Relationship Id="rId2488" Type="http://schemas.openxmlformats.org/officeDocument/2006/relationships/hyperlink" Target="https://analytics.zhihuiya.com/patent-view/abst?patentId=0d228c9e-ff78-4811-a683-6364acbab160" TargetMode="External"/><Relationship Id="rId3886" Type="http://schemas.openxmlformats.org/officeDocument/2006/relationships/hyperlink" Target="https://analytics.zhihuiya.com/patent-view/abst?patentId=e76b2ad4-331e-4f0c-b383-c31d3163e77a" TargetMode="External"/><Relationship Id="rId1297" Type="http://schemas.openxmlformats.org/officeDocument/2006/relationships/hyperlink" Target="https://analytics.zhihuiya.com/patent-view/abst?patentId=9b0623a1-d909-45e4-b453-d6e024f937eb" TargetMode="External"/><Relationship Id="rId2695" Type="http://schemas.openxmlformats.org/officeDocument/2006/relationships/hyperlink" Target="https://analytics.zhihuiya.com/patent-view/abst?patentId=54a5f476-1beb-46b6-a955-cc084a92743a" TargetMode="External"/><Relationship Id="rId3539" Type="http://schemas.openxmlformats.org/officeDocument/2006/relationships/hyperlink" Target="https://analytics.zhihuiya.com/patent-view/abst?patentId=26982454-dc8f-4621-a63e-ccd6e710dd8e" TargetMode="External"/><Relationship Id="rId3746" Type="http://schemas.openxmlformats.org/officeDocument/2006/relationships/hyperlink" Target="https://analytics.zhihuiya.com/patent-view/abst?patentId=af3a8b4a-fe2c-4307-8bbb-27e795532a28" TargetMode="External"/><Relationship Id="rId3953" Type="http://schemas.openxmlformats.org/officeDocument/2006/relationships/hyperlink" Target="https://analytics.zhihuiya.com/patent-view/abst?patentId=65a6e28a-a482-4509-8d45-cf1bbeba628c" TargetMode="External"/><Relationship Id="rId667" Type="http://schemas.openxmlformats.org/officeDocument/2006/relationships/hyperlink" Target="https://analytics.zhihuiya.com/patent-view/abst?patentId=a592057b-e66c-43a6-8e60-f7b7fbe50504" TargetMode="External"/><Relationship Id="rId874" Type="http://schemas.openxmlformats.org/officeDocument/2006/relationships/hyperlink" Target="https://analytics.zhihuiya.com/patent-view/abst?patentId=114e3597-f585-4ed5-ab4f-05cfabe61607" TargetMode="External"/><Relationship Id="rId2348" Type="http://schemas.openxmlformats.org/officeDocument/2006/relationships/hyperlink" Target="https://analytics.zhihuiya.com/patent-view/abst?patentId=f8eb04d1-2249-404d-a154-d6c8beab9149" TargetMode="External"/><Relationship Id="rId2555" Type="http://schemas.openxmlformats.org/officeDocument/2006/relationships/hyperlink" Target="https://analytics.zhihuiya.com/patent-view/abst?patentId=f202f4bd-a899-4041-9ed7-2a7e0b8afdf9" TargetMode="External"/><Relationship Id="rId2762" Type="http://schemas.openxmlformats.org/officeDocument/2006/relationships/hyperlink" Target="https://analytics.zhihuiya.com/patent-view/abst?patentId=c3c818f6-baa5-4c51-90aa-68b4500f8787" TargetMode="External"/><Relationship Id="rId3606" Type="http://schemas.openxmlformats.org/officeDocument/2006/relationships/hyperlink" Target="https://analytics.zhihuiya.com/patent-view/abst?patentId=4d8f404f-33d1-4b5d-8b55-5a8e02a905a3" TargetMode="External"/><Relationship Id="rId3813" Type="http://schemas.openxmlformats.org/officeDocument/2006/relationships/hyperlink" Target="https://analytics.zhihuiya.com/patent-view/abst?patentId=70e90cb9-b3a7-4244-a12c-3fa4f0d4323c" TargetMode="External"/><Relationship Id="rId527" Type="http://schemas.openxmlformats.org/officeDocument/2006/relationships/hyperlink" Target="https://analytics.zhihuiya.com/patent-view/abst?patentId=48468cba-0cab-4964-b584-0d04140c4aad" TargetMode="External"/><Relationship Id="rId734" Type="http://schemas.openxmlformats.org/officeDocument/2006/relationships/hyperlink" Target="https://analytics.zhihuiya.com/patent-view/abst?patentId=6beb79ef-99e8-4f3d-9c88-d557fcb7af3f" TargetMode="External"/><Relationship Id="rId941" Type="http://schemas.openxmlformats.org/officeDocument/2006/relationships/hyperlink" Target="https://analytics.zhihuiya.com/patent-view/abst?patentId=56ccbac6-4fab-4022-b404-488aee72b555" TargetMode="External"/><Relationship Id="rId1157" Type="http://schemas.openxmlformats.org/officeDocument/2006/relationships/hyperlink" Target="https://analytics.zhihuiya.com/patent-view/abst?patentId=dc93facb-937a-447f-922f-6da03a7d0618" TargetMode="External"/><Relationship Id="rId1364" Type="http://schemas.openxmlformats.org/officeDocument/2006/relationships/hyperlink" Target="https://analytics.zhihuiya.com/patent-view/abst?patentId=8bc9d23b-dddd-4499-9d5a-c44276e966f4" TargetMode="External"/><Relationship Id="rId1571" Type="http://schemas.openxmlformats.org/officeDocument/2006/relationships/hyperlink" Target="https://analytics.zhihuiya.com/patent-view/abst?patentId=31a8873c-8b4c-419d-a899-5f856dc2eb53" TargetMode="External"/><Relationship Id="rId2208" Type="http://schemas.openxmlformats.org/officeDocument/2006/relationships/hyperlink" Target="https://analytics.zhihuiya.com/patent-view/abst?patentId=9e540b6a-36ac-4972-8d92-d3cb40ed7619" TargetMode="External"/><Relationship Id="rId2415" Type="http://schemas.openxmlformats.org/officeDocument/2006/relationships/hyperlink" Target="https://analytics.zhihuiya.com/patent-view/abst?patentId=8225a671-63e2-48ff-b750-da99b696760d" TargetMode="External"/><Relationship Id="rId2622" Type="http://schemas.openxmlformats.org/officeDocument/2006/relationships/hyperlink" Target="https://analytics.zhihuiya.com/patent-view/abst?patentId=75b7c464-6940-44db-bb37-1c3ee25831d6" TargetMode="External"/><Relationship Id="rId70" Type="http://schemas.openxmlformats.org/officeDocument/2006/relationships/hyperlink" Target="https://analytics.zhihuiya.com/patent-view/abst?patentId=98aa86b6-d54c-42c4-8282-47f70024345e" TargetMode="External"/><Relationship Id="rId801" Type="http://schemas.openxmlformats.org/officeDocument/2006/relationships/hyperlink" Target="https://analytics.zhihuiya.com/patent-view/abst?patentId=04fb197d-dcdb-4520-9606-faae8299d68d" TargetMode="External"/><Relationship Id="rId1017" Type="http://schemas.openxmlformats.org/officeDocument/2006/relationships/hyperlink" Target="https://analytics.zhihuiya.com/patent-view/abst?patentId=cd440d21-7ed8-4b37-bb8a-64fa07846bd7" TargetMode="External"/><Relationship Id="rId1224" Type="http://schemas.openxmlformats.org/officeDocument/2006/relationships/hyperlink" Target="https://analytics.zhihuiya.com/patent-view/abst?patentId=abe475ba-c870-4ce5-a085-519a20479005" TargetMode="External"/><Relationship Id="rId1431" Type="http://schemas.openxmlformats.org/officeDocument/2006/relationships/hyperlink" Target="https://analytics.zhihuiya.com/patent-view/abst?patentId=5413d70c-50c8-475e-86f6-76c94fa65a56" TargetMode="External"/><Relationship Id="rId3189" Type="http://schemas.openxmlformats.org/officeDocument/2006/relationships/hyperlink" Target="https://analytics.zhihuiya.com/patent-view/abst?patentId=2c3ce52d-6181-45a1-af42-8ea03feb194a" TargetMode="External"/><Relationship Id="rId3396" Type="http://schemas.openxmlformats.org/officeDocument/2006/relationships/hyperlink" Target="https://analytics.zhihuiya.com/patent-view/abst?patentId=ef13b5a8-f120-43bf-8dda-929421d182cb" TargetMode="External"/><Relationship Id="rId4447" Type="http://schemas.openxmlformats.org/officeDocument/2006/relationships/hyperlink" Target="https://analytics.zhihuiya.com/patent-view/abst?patentId=619b4e88-657d-450d-aaca-774d59020c97" TargetMode="External"/><Relationship Id="rId3049" Type="http://schemas.openxmlformats.org/officeDocument/2006/relationships/hyperlink" Target="https://analytics.zhihuiya.com/patent-view/abst?patentId=08386a6d-a832-4e5f-9775-96b344099568" TargetMode="External"/><Relationship Id="rId3256" Type="http://schemas.openxmlformats.org/officeDocument/2006/relationships/hyperlink" Target="https://analytics.zhihuiya.com/patent-view/abst?patentId=8e467c2b-017e-49a6-a44d-b0f22c412441" TargetMode="External"/><Relationship Id="rId3463" Type="http://schemas.openxmlformats.org/officeDocument/2006/relationships/hyperlink" Target="https://analytics.zhihuiya.com/patent-view/abst?patentId=7aec9424-b931-4d65-a197-f48f10c4c141" TargetMode="External"/><Relationship Id="rId4307" Type="http://schemas.openxmlformats.org/officeDocument/2006/relationships/hyperlink" Target="https://analytics.zhihuiya.com/patent-view/abst?patentId=c7a48ef1-2308-499c-99ee-1ee86351fd09" TargetMode="External"/><Relationship Id="rId177" Type="http://schemas.openxmlformats.org/officeDocument/2006/relationships/hyperlink" Target="https://analytics.zhihuiya.com/patent-view/abst?patentId=18f318f3-ab1a-49ac-b474-686536873a8c" TargetMode="External"/><Relationship Id="rId384" Type="http://schemas.openxmlformats.org/officeDocument/2006/relationships/hyperlink" Target="https://analytics.zhihuiya.com/patent-view/abst?patentId=39d4daa1-2988-4383-8dc7-87ed9bd345b6" TargetMode="External"/><Relationship Id="rId591" Type="http://schemas.openxmlformats.org/officeDocument/2006/relationships/hyperlink" Target="https://analytics.zhihuiya.com/patent-view/abst?patentId=f79118d8-35b2-40f1-b9dd-09cc941493ad" TargetMode="External"/><Relationship Id="rId2065" Type="http://schemas.openxmlformats.org/officeDocument/2006/relationships/hyperlink" Target="https://analytics.zhihuiya.com/patent-view/abst?patentId=ba94d7ad-b22f-4382-b0c1-918f45645152" TargetMode="External"/><Relationship Id="rId2272" Type="http://schemas.openxmlformats.org/officeDocument/2006/relationships/hyperlink" Target="https://analytics.zhihuiya.com/patent-view/abst?patentId=bc4786b4-0ac8-4bf0-baf8-2dc73b888527" TargetMode="External"/><Relationship Id="rId3116" Type="http://schemas.openxmlformats.org/officeDocument/2006/relationships/hyperlink" Target="https://analytics.zhihuiya.com/patent-view/abst?patentId=9c2f624c-49be-4112-8d1c-55efc955603e" TargetMode="External"/><Relationship Id="rId3670" Type="http://schemas.openxmlformats.org/officeDocument/2006/relationships/hyperlink" Target="https://analytics.zhihuiya.com/patent-view/abst?patentId=080f7a4c-2270-4921-940a-bc0beff49638" TargetMode="External"/><Relationship Id="rId244" Type="http://schemas.openxmlformats.org/officeDocument/2006/relationships/hyperlink" Target="https://analytics.zhihuiya.com/patent-view/abst?patentId=f6265eef-88d5-4040-afec-a67e335e44ff" TargetMode="External"/><Relationship Id="rId1081" Type="http://schemas.openxmlformats.org/officeDocument/2006/relationships/hyperlink" Target="https://analytics.zhihuiya.com/patent-view/abst?patentId=6f47aa94-af31-44df-90c2-e4c6572b77dc" TargetMode="External"/><Relationship Id="rId3323" Type="http://schemas.openxmlformats.org/officeDocument/2006/relationships/hyperlink" Target="https://analytics.zhihuiya.com/patent-view/abst?patentId=2c4169e5-6992-41a1-8926-e2cd686fbe55" TargetMode="External"/><Relationship Id="rId3530" Type="http://schemas.openxmlformats.org/officeDocument/2006/relationships/hyperlink" Target="https://analytics.zhihuiya.com/patent-view/abst?patentId=91af2978-9552-4467-ba9a-21e33ae63900" TargetMode="External"/><Relationship Id="rId451" Type="http://schemas.openxmlformats.org/officeDocument/2006/relationships/hyperlink" Target="https://analytics.zhihuiya.com/patent-view/abst?patentId=b78cc0b5-92ce-47fe-b4c9-cfbba0f4a27c" TargetMode="External"/><Relationship Id="rId2132" Type="http://schemas.openxmlformats.org/officeDocument/2006/relationships/hyperlink" Target="https://analytics.zhihuiya.com/patent-view/abst?patentId=9ecc6990-3f4a-40a6-ac4f-257a6942880e" TargetMode="External"/><Relationship Id="rId104" Type="http://schemas.openxmlformats.org/officeDocument/2006/relationships/hyperlink" Target="https://analytics.zhihuiya.com/patent-view/abst?patentId=b2feb11a-fb98-49ac-a0cf-02d163275a84" TargetMode="External"/><Relationship Id="rId311" Type="http://schemas.openxmlformats.org/officeDocument/2006/relationships/hyperlink" Target="https://analytics.zhihuiya.com/patent-view/abst?patentId=1f1b8159-e107-42f4-8fd3-12819d5aa65b" TargetMode="External"/><Relationship Id="rId1898" Type="http://schemas.openxmlformats.org/officeDocument/2006/relationships/hyperlink" Target="https://analytics.zhihuiya.com/patent-view/abst?patentId=5acbb257-992b-43aa-865b-5db3cf6418d4" TargetMode="External"/><Relationship Id="rId2949" Type="http://schemas.openxmlformats.org/officeDocument/2006/relationships/hyperlink" Target="https://analytics.zhihuiya.com/patent-view/abst?patentId=b59f16bc-62b3-470b-89c4-e7b8404e1134" TargetMode="External"/><Relationship Id="rId4097" Type="http://schemas.openxmlformats.org/officeDocument/2006/relationships/hyperlink" Target="https://analytics.zhihuiya.com/patent-view/abst?patentId=09d15794-c490-4269-b98c-9a6a76ce7adc" TargetMode="External"/><Relationship Id="rId1758" Type="http://schemas.openxmlformats.org/officeDocument/2006/relationships/hyperlink" Target="https://analytics.zhihuiya.com/patent-view/abst?patentId=34bb03f7-f7c3-4175-bbf5-e56c943acb2c" TargetMode="External"/><Relationship Id="rId2809" Type="http://schemas.openxmlformats.org/officeDocument/2006/relationships/hyperlink" Target="https://analytics.zhihuiya.com/patent-view/abst?patentId=821260c3-b8de-488a-839a-212de09ec370" TargetMode="External"/><Relationship Id="rId4164" Type="http://schemas.openxmlformats.org/officeDocument/2006/relationships/hyperlink" Target="https://analytics.zhihuiya.com/patent-view/abst?patentId=3f8c12e0-da2e-42a4-8dcc-cb89255bf41a" TargetMode="External"/><Relationship Id="rId4371" Type="http://schemas.openxmlformats.org/officeDocument/2006/relationships/hyperlink" Target="https://analytics.zhihuiya.com/patent-view/abst?patentId=bf37a9c6-d06e-4370-a570-6cb2bcfe8a13" TargetMode="External"/><Relationship Id="rId1965" Type="http://schemas.openxmlformats.org/officeDocument/2006/relationships/hyperlink" Target="https://analytics.zhihuiya.com/patent-view/abst?patentId=d70358d5-66e2-4f98-8803-674924f11c8c" TargetMode="External"/><Relationship Id="rId3180" Type="http://schemas.openxmlformats.org/officeDocument/2006/relationships/hyperlink" Target="https://analytics.zhihuiya.com/patent-view/abst?patentId=526c51bc-2ad0-4ac4-9b03-972caec36cab" TargetMode="External"/><Relationship Id="rId4024" Type="http://schemas.openxmlformats.org/officeDocument/2006/relationships/hyperlink" Target="https://analytics.zhihuiya.com/patent-view/abst?patentId=bb672409-5739-42da-9a4b-768fcecfbbdd" TargetMode="External"/><Relationship Id="rId4231" Type="http://schemas.openxmlformats.org/officeDocument/2006/relationships/hyperlink" Target="https://analytics.zhihuiya.com/patent-view/abst?patentId=f46873cd-ae5e-4090-893f-b05f65681c59" TargetMode="External"/><Relationship Id="rId1618" Type="http://schemas.openxmlformats.org/officeDocument/2006/relationships/hyperlink" Target="https://analytics.zhihuiya.com/patent-view/abst?patentId=e73e9aaa-d2ba-4f90-9b56-8d01c4fd4f87" TargetMode="External"/><Relationship Id="rId1825" Type="http://schemas.openxmlformats.org/officeDocument/2006/relationships/hyperlink" Target="https://analytics.zhihuiya.com/patent-view/abst?patentId=b112aa71-477b-4625-aed7-1bb1402225b0" TargetMode="External"/><Relationship Id="rId3040" Type="http://schemas.openxmlformats.org/officeDocument/2006/relationships/hyperlink" Target="https://analytics.zhihuiya.com/patent-view/abst?patentId=1c41e764-b19b-466e-b250-6b5f8b54e9bc" TargetMode="External"/><Relationship Id="rId3997" Type="http://schemas.openxmlformats.org/officeDocument/2006/relationships/hyperlink" Target="https://analytics.zhihuiya.com/patent-view/abst?patentId=272aa582-6b0f-4802-8b81-2f6d6d2611d2" TargetMode="External"/><Relationship Id="rId2599" Type="http://schemas.openxmlformats.org/officeDocument/2006/relationships/hyperlink" Target="https://analytics.zhihuiya.com/patent-view/abst?patentId=f0bd4694-ee9f-4460-abbd-9f9d68edf925" TargetMode="External"/><Relationship Id="rId3857" Type="http://schemas.openxmlformats.org/officeDocument/2006/relationships/hyperlink" Target="https://analytics.zhihuiya.com/patent-view/abst?patentId=4de345a2-4afa-49e9-b13c-790047981296" TargetMode="External"/><Relationship Id="rId778" Type="http://schemas.openxmlformats.org/officeDocument/2006/relationships/hyperlink" Target="https://analytics.zhihuiya.com/patent-view/abst?patentId=d2a65e8d-9d42-4962-927b-6042d0701ce9" TargetMode="External"/><Relationship Id="rId985" Type="http://schemas.openxmlformats.org/officeDocument/2006/relationships/hyperlink" Target="https://analytics.zhihuiya.com/patent-view/abst?patentId=fe160d9a-2e5c-4836-8231-4fd66cefd23e" TargetMode="External"/><Relationship Id="rId2459" Type="http://schemas.openxmlformats.org/officeDocument/2006/relationships/hyperlink" Target="https://analytics.zhihuiya.com/patent-view/abst?patentId=59564404-e464-4222-bfaf-59ab00892b7b" TargetMode="External"/><Relationship Id="rId2666" Type="http://schemas.openxmlformats.org/officeDocument/2006/relationships/hyperlink" Target="https://analytics.zhihuiya.com/patent-view/abst?patentId=2ae7eeb0-ee44-465c-9041-77b532de14e2" TargetMode="External"/><Relationship Id="rId2873" Type="http://schemas.openxmlformats.org/officeDocument/2006/relationships/hyperlink" Target="https://analytics.zhihuiya.com/patent-view/abst?patentId=01bfbe08-b6bf-4ccd-a6f4-b4a0107d9667" TargetMode="External"/><Relationship Id="rId3717" Type="http://schemas.openxmlformats.org/officeDocument/2006/relationships/hyperlink" Target="https://analytics.zhihuiya.com/patent-view/abst?patentId=8f5b41c7-4733-4308-bb7d-5fb2c8f5cf26" TargetMode="External"/><Relationship Id="rId3924" Type="http://schemas.openxmlformats.org/officeDocument/2006/relationships/hyperlink" Target="https://analytics.zhihuiya.com/patent-view/abst?patentId=40329650-d6af-48d5-aabc-44a5e5102bbc" TargetMode="External"/><Relationship Id="rId638" Type="http://schemas.openxmlformats.org/officeDocument/2006/relationships/hyperlink" Target="https://analytics.zhihuiya.com/patent-view/abst?patentId=7331d59b-2288-4a30-978d-f06d54c72284" TargetMode="External"/><Relationship Id="rId845" Type="http://schemas.openxmlformats.org/officeDocument/2006/relationships/hyperlink" Target="https://analytics.zhihuiya.com/patent-view/abst?patentId=5af70194-d9d0-4bbc-ad8d-d4ed5843cd01" TargetMode="External"/><Relationship Id="rId1268" Type="http://schemas.openxmlformats.org/officeDocument/2006/relationships/hyperlink" Target="https://analytics.zhihuiya.com/patent-view/abst?patentId=c8a0a76d-fe50-4ec5-b7ab-3036a1a3d768" TargetMode="External"/><Relationship Id="rId1475" Type="http://schemas.openxmlformats.org/officeDocument/2006/relationships/hyperlink" Target="https://analytics.zhihuiya.com/patent-view/abst?patentId=4ffa70a3-0d61-4e53-8bed-0cd0beff9ef8" TargetMode="External"/><Relationship Id="rId1682" Type="http://schemas.openxmlformats.org/officeDocument/2006/relationships/hyperlink" Target="https://analytics.zhihuiya.com/patent-view/abst?patentId=dd5078ca-d7ce-4276-a851-4b5e9cfff2c9" TargetMode="External"/><Relationship Id="rId2319" Type="http://schemas.openxmlformats.org/officeDocument/2006/relationships/hyperlink" Target="https://analytics.zhihuiya.com/patent-view/abst?patentId=8c89ef41-10e7-4008-bf45-d9145d1193f9" TargetMode="External"/><Relationship Id="rId2526" Type="http://schemas.openxmlformats.org/officeDocument/2006/relationships/hyperlink" Target="https://analytics.zhihuiya.com/patent-view/abst?patentId=a1fdbb49-e9c8-4c7e-85c1-2e2dfef4d252" TargetMode="External"/><Relationship Id="rId2733" Type="http://schemas.openxmlformats.org/officeDocument/2006/relationships/hyperlink" Target="https://analytics.zhihuiya.com/patent-view/abst?patentId=610181dd-daff-4d97-af58-c6ca023b5638" TargetMode="External"/><Relationship Id="rId705" Type="http://schemas.openxmlformats.org/officeDocument/2006/relationships/hyperlink" Target="https://analytics.zhihuiya.com/patent-view/abst?patentId=daacd857-4d25-4506-8411-4a58767dc714" TargetMode="External"/><Relationship Id="rId1128" Type="http://schemas.openxmlformats.org/officeDocument/2006/relationships/hyperlink" Target="https://analytics.zhihuiya.com/patent-view/abst?patentId=eb2626e1-0cb1-4ef7-bbb1-7264c1b12fc5" TargetMode="External"/><Relationship Id="rId1335" Type="http://schemas.openxmlformats.org/officeDocument/2006/relationships/hyperlink" Target="https://analytics.zhihuiya.com/patent-view/abst?patentId=fa120475-b93d-4be5-8fcf-144568288f67" TargetMode="External"/><Relationship Id="rId1542" Type="http://schemas.openxmlformats.org/officeDocument/2006/relationships/hyperlink" Target="https://analytics.zhihuiya.com/patent-view/abst?patentId=88ccb8c4-5898-4782-af61-ee1b61ddcc36" TargetMode="External"/><Relationship Id="rId2940" Type="http://schemas.openxmlformats.org/officeDocument/2006/relationships/hyperlink" Target="https://analytics.zhihuiya.com/patent-view/abst?patentId=dbd00185-4750-4bc0-9019-6a801b29b3a9" TargetMode="External"/><Relationship Id="rId912" Type="http://schemas.openxmlformats.org/officeDocument/2006/relationships/hyperlink" Target="https://analytics.zhihuiya.com/patent-view/abst?patentId=bad70793-76d8-4c20-bfc1-f108befe5d30" TargetMode="External"/><Relationship Id="rId2800" Type="http://schemas.openxmlformats.org/officeDocument/2006/relationships/hyperlink" Target="https://analytics.zhihuiya.com/patent-view/abst?patentId=bbbdb483-b595-46a3-aaac-3b6ae4f946b6" TargetMode="External"/><Relationship Id="rId41" Type="http://schemas.openxmlformats.org/officeDocument/2006/relationships/hyperlink" Target="https://analytics.zhihuiya.com/patent-view/abst?patentId=ab3a3fb4-7aea-4f09-839c-066f08b037e0" TargetMode="External"/><Relationship Id="rId1402" Type="http://schemas.openxmlformats.org/officeDocument/2006/relationships/hyperlink" Target="https://analytics.zhihuiya.com/patent-view/abst?patentId=a02d4d00-92eb-4244-a163-526758d0e15f" TargetMode="External"/><Relationship Id="rId288" Type="http://schemas.openxmlformats.org/officeDocument/2006/relationships/hyperlink" Target="https://analytics.zhihuiya.com/patent-view/abst?patentId=cb0bb757-2027-4d26-9b35-f6ada5c236e8" TargetMode="External"/><Relationship Id="rId3367" Type="http://schemas.openxmlformats.org/officeDocument/2006/relationships/hyperlink" Target="https://analytics.zhihuiya.com/patent-view/abst?patentId=a718e86d-1afa-444a-8caa-69a7f217af27" TargetMode="External"/><Relationship Id="rId3574" Type="http://schemas.openxmlformats.org/officeDocument/2006/relationships/hyperlink" Target="https://analytics.zhihuiya.com/patent-view/abst?patentId=f214be5b-ebe6-41df-9ce0-1da4698f7130" TargetMode="External"/><Relationship Id="rId3781" Type="http://schemas.openxmlformats.org/officeDocument/2006/relationships/hyperlink" Target="https://analytics.zhihuiya.com/patent-view/abst?patentId=d2f7b088-b8fb-4ac0-85ae-7f3c3ad0b71e" TargetMode="External"/><Relationship Id="rId4418" Type="http://schemas.openxmlformats.org/officeDocument/2006/relationships/hyperlink" Target="https://analytics.zhihuiya.com/patent-view/abst?patentId=467c8524-823d-4e12-bb26-2ea3419a3d00" TargetMode="External"/><Relationship Id="rId495" Type="http://schemas.openxmlformats.org/officeDocument/2006/relationships/hyperlink" Target="https://analytics.zhihuiya.com/patent-view/abst?patentId=1048978a-0bff-4948-9a5e-7cfbb78539ff" TargetMode="External"/><Relationship Id="rId2176" Type="http://schemas.openxmlformats.org/officeDocument/2006/relationships/hyperlink" Target="https://analytics.zhihuiya.com/patent-view/abst?patentId=ba5166d2-cdcb-4e9b-a38f-5b7e4527907d" TargetMode="External"/><Relationship Id="rId2383" Type="http://schemas.openxmlformats.org/officeDocument/2006/relationships/hyperlink" Target="https://analytics.zhihuiya.com/patent-view/abst?patentId=aaceee05-db7f-43d9-91aa-e266980f272c" TargetMode="External"/><Relationship Id="rId2590" Type="http://schemas.openxmlformats.org/officeDocument/2006/relationships/hyperlink" Target="https://analytics.zhihuiya.com/patent-view/abst?patentId=4b659f6b-4a3c-4540-8a78-0e2b8fca6188" TargetMode="External"/><Relationship Id="rId3227" Type="http://schemas.openxmlformats.org/officeDocument/2006/relationships/hyperlink" Target="https://analytics.zhihuiya.com/patent-view/abst?patentId=b9ce3bdb-b44d-496b-a94e-275addfa1a57" TargetMode="External"/><Relationship Id="rId3434" Type="http://schemas.openxmlformats.org/officeDocument/2006/relationships/hyperlink" Target="https://analytics.zhihuiya.com/patent-view/abst?patentId=668bc60e-5164-47ae-807a-994d9b85c1da" TargetMode="External"/><Relationship Id="rId3641" Type="http://schemas.openxmlformats.org/officeDocument/2006/relationships/hyperlink" Target="https://analytics.zhihuiya.com/patent-view/abst?patentId=d9eb261a-9709-4b20-aed2-49e5a0563904" TargetMode="External"/><Relationship Id="rId148" Type="http://schemas.openxmlformats.org/officeDocument/2006/relationships/hyperlink" Target="https://analytics.zhihuiya.com/patent-view/abst?patentId=91b30b34-1c0e-4363-9423-5867f2ed15ea" TargetMode="External"/><Relationship Id="rId355" Type="http://schemas.openxmlformats.org/officeDocument/2006/relationships/hyperlink" Target="https://analytics.zhihuiya.com/patent-view/abst?patentId=f711e9ab-0f36-419f-ac86-092243f20989" TargetMode="External"/><Relationship Id="rId562" Type="http://schemas.openxmlformats.org/officeDocument/2006/relationships/hyperlink" Target="https://analytics.zhihuiya.com/patent-view/abst?patentId=d2d10ab3-45c1-4454-b3a1-7cea1f9f8518" TargetMode="External"/><Relationship Id="rId1192" Type="http://schemas.openxmlformats.org/officeDocument/2006/relationships/hyperlink" Target="https://analytics.zhihuiya.com/patent-view/abst?patentId=9d2fa7a7-3e00-4035-ac2e-c891f4d9dbac" TargetMode="External"/><Relationship Id="rId2036" Type="http://schemas.openxmlformats.org/officeDocument/2006/relationships/hyperlink" Target="https://analytics.zhihuiya.com/patent-view/abst?patentId=df7c0dc1-4817-4449-a34a-71d6c66c30a6" TargetMode="External"/><Relationship Id="rId2243" Type="http://schemas.openxmlformats.org/officeDocument/2006/relationships/hyperlink" Target="https://analytics.zhihuiya.com/patent-view/abst?patentId=8c8ff7fb-6233-45c6-9394-128fbd189c53" TargetMode="External"/><Relationship Id="rId2450" Type="http://schemas.openxmlformats.org/officeDocument/2006/relationships/hyperlink" Target="https://analytics.zhihuiya.com/patent-view/abst?patentId=df70bb22-e366-4735-8fe9-523b7f6ea4e9" TargetMode="External"/><Relationship Id="rId3501" Type="http://schemas.openxmlformats.org/officeDocument/2006/relationships/hyperlink" Target="https://analytics.zhihuiya.com/patent-view/abst?patentId=8a425fde-3131-43fc-bb8d-84f00258ad31" TargetMode="External"/><Relationship Id="rId215" Type="http://schemas.openxmlformats.org/officeDocument/2006/relationships/hyperlink" Target="https://analytics.zhihuiya.com/patent-view/abst?patentId=da28dd98-2bb9-434a-89ee-16ede05cb637" TargetMode="External"/><Relationship Id="rId422" Type="http://schemas.openxmlformats.org/officeDocument/2006/relationships/hyperlink" Target="https://analytics.zhihuiya.com/patent-view/abst?patentId=337662e9-f6ed-48f8-928f-4774599fd85e" TargetMode="External"/><Relationship Id="rId1052" Type="http://schemas.openxmlformats.org/officeDocument/2006/relationships/hyperlink" Target="https://analytics.zhihuiya.com/patent-view/abst?patentId=26e01720-6c70-4608-9531-3284d458179a" TargetMode="External"/><Relationship Id="rId2103" Type="http://schemas.openxmlformats.org/officeDocument/2006/relationships/hyperlink" Target="https://analytics.zhihuiya.com/patent-view/abst?patentId=8738e366-cee3-430d-b7fd-4e6f13219b6f" TargetMode="External"/><Relationship Id="rId2310" Type="http://schemas.openxmlformats.org/officeDocument/2006/relationships/hyperlink" Target="https://analytics.zhihuiya.com/patent-view/abst?patentId=fe9a2e3d-598f-41d8-8e29-074b162e203e" TargetMode="External"/><Relationship Id="rId4068" Type="http://schemas.openxmlformats.org/officeDocument/2006/relationships/hyperlink" Target="https://analytics.zhihuiya.com/patent-view/abst?patentId=ba698d62-dc9b-4b23-8192-7f8660a2a77e" TargetMode="External"/><Relationship Id="rId4275" Type="http://schemas.openxmlformats.org/officeDocument/2006/relationships/hyperlink" Target="https://analytics.zhihuiya.com/patent-view/abst?patentId=5e9e4a1b-c3d6-4970-a9e7-e27e50bcb864" TargetMode="External"/><Relationship Id="rId1869" Type="http://schemas.openxmlformats.org/officeDocument/2006/relationships/hyperlink" Target="https://analytics.zhihuiya.com/patent-view/abst?patentId=27f52006-bef7-436c-ba2e-b8e59071a6ef" TargetMode="External"/><Relationship Id="rId3084" Type="http://schemas.openxmlformats.org/officeDocument/2006/relationships/hyperlink" Target="https://analytics.zhihuiya.com/patent-view/abst?patentId=38be74f8-e201-4d2a-9727-a0c50339e4f8" TargetMode="External"/><Relationship Id="rId3291" Type="http://schemas.openxmlformats.org/officeDocument/2006/relationships/hyperlink" Target="https://analytics.zhihuiya.com/patent-view/abst?patentId=3abec119-ae13-40e6-833f-e3ae8c59151a" TargetMode="External"/><Relationship Id="rId4135" Type="http://schemas.openxmlformats.org/officeDocument/2006/relationships/hyperlink" Target="https://analytics.zhihuiya.com/patent-view/abst?patentId=5f2d6131-b6ec-4595-aee1-323951b07d07" TargetMode="External"/><Relationship Id="rId1729" Type="http://schemas.openxmlformats.org/officeDocument/2006/relationships/hyperlink" Target="https://analytics.zhihuiya.com/patent-view/abst?patentId=44b28807-5310-4ac2-acb9-d15e567fc1ea" TargetMode="External"/><Relationship Id="rId1936" Type="http://schemas.openxmlformats.org/officeDocument/2006/relationships/hyperlink" Target="https://analytics.zhihuiya.com/patent-view/abst?patentId=c6c0d99d-38c9-47de-b39b-65bb6699a0d7" TargetMode="External"/><Relationship Id="rId4342" Type="http://schemas.openxmlformats.org/officeDocument/2006/relationships/hyperlink" Target="https://analytics.zhihuiya.com/patent-view/abst?patentId=823b89b8-4da1-4b18-8f7c-9b9f7cd39dec" TargetMode="External"/><Relationship Id="rId3151" Type="http://schemas.openxmlformats.org/officeDocument/2006/relationships/hyperlink" Target="https://analytics.zhihuiya.com/patent-view/abst?patentId=77df8d48-88b2-453a-a4ec-d62c46d4aa5a" TargetMode="External"/><Relationship Id="rId4202" Type="http://schemas.openxmlformats.org/officeDocument/2006/relationships/hyperlink" Target="https://analytics.zhihuiya.com/patent-view/abst?patentId=0bd7cce9-abff-43dc-9847-104a06765d4b" TargetMode="External"/><Relationship Id="rId3011" Type="http://schemas.openxmlformats.org/officeDocument/2006/relationships/hyperlink" Target="https://analytics.zhihuiya.com/patent-view/abst?patentId=579085b1-d3e2-4ace-b773-eef1170025df" TargetMode="External"/><Relationship Id="rId3968" Type="http://schemas.openxmlformats.org/officeDocument/2006/relationships/hyperlink" Target="https://analytics.zhihuiya.com/patent-view/abst?patentId=d28a24a4-10aa-4af4-8f70-b703a3867b82" TargetMode="External"/><Relationship Id="rId5" Type="http://schemas.openxmlformats.org/officeDocument/2006/relationships/hyperlink" Target="https://analytics.zhihuiya.com/patent-view/abst?patentId=047fc2f6-ccd5-44cb-a653-a59a564d4764" TargetMode="External"/><Relationship Id="rId889" Type="http://schemas.openxmlformats.org/officeDocument/2006/relationships/hyperlink" Target="https://analytics.zhihuiya.com/patent-view/abst?patentId=1f2b6114-f2d2-48a1-a760-b7fcb6d9b4d4" TargetMode="External"/><Relationship Id="rId2777" Type="http://schemas.openxmlformats.org/officeDocument/2006/relationships/hyperlink" Target="https://analytics.zhihuiya.com/patent-view/abst?patentId=577a373c-56d3-489b-9f20-b8347406bc37" TargetMode="External"/><Relationship Id="rId749" Type="http://schemas.openxmlformats.org/officeDocument/2006/relationships/hyperlink" Target="https://analytics.zhihuiya.com/patent-view/abst?patentId=86a46ceb-c0c8-43fb-9d56-84705313f7ea" TargetMode="External"/><Relationship Id="rId1379" Type="http://schemas.openxmlformats.org/officeDocument/2006/relationships/hyperlink" Target="https://analytics.zhihuiya.com/patent-view/abst?patentId=e917956c-a397-44d6-949e-4acfbab53ca1" TargetMode="External"/><Relationship Id="rId1586" Type="http://schemas.openxmlformats.org/officeDocument/2006/relationships/hyperlink" Target="https://analytics.zhihuiya.com/patent-view/abst?patentId=9ec91360-fe02-4b34-9b24-a0631f34e1d5" TargetMode="External"/><Relationship Id="rId2984" Type="http://schemas.openxmlformats.org/officeDocument/2006/relationships/hyperlink" Target="https://analytics.zhihuiya.com/patent-view/abst?patentId=97185268-6ab6-4acc-ac53-dde7f583ee1e" TargetMode="External"/><Relationship Id="rId3828" Type="http://schemas.openxmlformats.org/officeDocument/2006/relationships/hyperlink" Target="https://analytics.zhihuiya.com/patent-view/abst?patentId=47376194-0ba7-4fa2-bcf1-b52127f50212" TargetMode="External"/><Relationship Id="rId609" Type="http://schemas.openxmlformats.org/officeDocument/2006/relationships/hyperlink" Target="https://analytics.zhihuiya.com/patent-view/abst?patentId=7a530d50-697c-4d76-ba89-cf7080104753" TargetMode="External"/><Relationship Id="rId956" Type="http://schemas.openxmlformats.org/officeDocument/2006/relationships/hyperlink" Target="https://analytics.zhihuiya.com/patent-view/abst?patentId=cbc64781-2d5c-4413-bd41-68625da9b57d" TargetMode="External"/><Relationship Id="rId1239" Type="http://schemas.openxmlformats.org/officeDocument/2006/relationships/hyperlink" Target="https://analytics.zhihuiya.com/patent-view/abst?patentId=06f9f3c6-524b-433a-9df8-a7b331364042" TargetMode="External"/><Relationship Id="rId1793" Type="http://schemas.openxmlformats.org/officeDocument/2006/relationships/hyperlink" Target="https://analytics.zhihuiya.com/patent-view/abst?patentId=15663017-0d34-474f-aa64-f4751301f63c" TargetMode="External"/><Relationship Id="rId2637" Type="http://schemas.openxmlformats.org/officeDocument/2006/relationships/hyperlink" Target="https://analytics.zhihuiya.com/patent-view/abst?patentId=88be7e78-1187-4ac4-852b-43db5ae576d7" TargetMode="External"/><Relationship Id="rId2844" Type="http://schemas.openxmlformats.org/officeDocument/2006/relationships/hyperlink" Target="https://analytics.zhihuiya.com/patent-view/abst?patentId=7f0aab9a-516a-484b-af52-869481a5a84e" TargetMode="External"/><Relationship Id="rId85" Type="http://schemas.openxmlformats.org/officeDocument/2006/relationships/hyperlink" Target="https://analytics.zhihuiya.com/patent-view/abst?patentId=4ebd68c8-1ff2-4741-a879-34b225ae9a04" TargetMode="External"/><Relationship Id="rId816" Type="http://schemas.openxmlformats.org/officeDocument/2006/relationships/hyperlink" Target="https://analytics.zhihuiya.com/patent-view/abst?patentId=8616aa33-ac1a-4cc9-939e-2fb0a970f78b" TargetMode="External"/><Relationship Id="rId1446" Type="http://schemas.openxmlformats.org/officeDocument/2006/relationships/hyperlink" Target="https://analytics.zhihuiya.com/patent-view/abst?patentId=2f5b2b6a-14dd-40fe-b8cb-c2277c6b83e7" TargetMode="External"/><Relationship Id="rId1653" Type="http://schemas.openxmlformats.org/officeDocument/2006/relationships/hyperlink" Target="https://analytics.zhihuiya.com/patent-view/abst?patentId=7822cc65-c66f-4945-9c1f-01b630314abf" TargetMode="External"/><Relationship Id="rId1860" Type="http://schemas.openxmlformats.org/officeDocument/2006/relationships/hyperlink" Target="https://analytics.zhihuiya.com/patent-view/abst?patentId=877aa642-c1d7-4db3-b5b3-6e30fad6c829" TargetMode="External"/><Relationship Id="rId2704" Type="http://schemas.openxmlformats.org/officeDocument/2006/relationships/hyperlink" Target="https://analytics.zhihuiya.com/patent-view/abst?patentId=d21f611a-229d-449b-a90c-d699a32818a7" TargetMode="External"/><Relationship Id="rId2911" Type="http://schemas.openxmlformats.org/officeDocument/2006/relationships/hyperlink" Target="https://analytics.zhihuiya.com/patent-view/abst?patentId=1d9769ca-912d-4496-be2e-2c19ecc0adca" TargetMode="External"/><Relationship Id="rId1306" Type="http://schemas.openxmlformats.org/officeDocument/2006/relationships/hyperlink" Target="https://analytics.zhihuiya.com/patent-view/abst?patentId=33ea0f7d-286e-4343-8dd6-9d8658690356" TargetMode="External"/><Relationship Id="rId1513" Type="http://schemas.openxmlformats.org/officeDocument/2006/relationships/hyperlink" Target="https://analytics.zhihuiya.com/patent-view/abst?patentId=c07856df-bb2b-46f0-a5d3-a6987017f3a1" TargetMode="External"/><Relationship Id="rId1720" Type="http://schemas.openxmlformats.org/officeDocument/2006/relationships/hyperlink" Target="https://analytics.zhihuiya.com/patent-view/abst?patentId=61f5a199-395c-4a0a-81ba-2afde532bc73" TargetMode="External"/><Relationship Id="rId12" Type="http://schemas.openxmlformats.org/officeDocument/2006/relationships/hyperlink" Target="https://analytics.zhihuiya.com/patent-view/abst?patentId=0557870c-dbfb-4917-a013-e8c0feae8808" TargetMode="External"/><Relationship Id="rId3478" Type="http://schemas.openxmlformats.org/officeDocument/2006/relationships/hyperlink" Target="https://analytics.zhihuiya.com/patent-view/abst?patentId=814e4102-2544-47b6-90c4-f592a9e67fb7" TargetMode="External"/><Relationship Id="rId3685" Type="http://schemas.openxmlformats.org/officeDocument/2006/relationships/hyperlink" Target="https://analytics.zhihuiya.com/patent-view/abst?patentId=8c7b5e9c-5b3d-4d78-a732-ece744edce75" TargetMode="External"/><Relationship Id="rId3892" Type="http://schemas.openxmlformats.org/officeDocument/2006/relationships/hyperlink" Target="https://analytics.zhihuiya.com/patent-view/abst?patentId=f740f07d-9d07-4fe4-8f38-59bd28d93b8b" TargetMode="External"/><Relationship Id="rId399" Type="http://schemas.openxmlformats.org/officeDocument/2006/relationships/hyperlink" Target="https://analytics.zhihuiya.com/patent-view/abst?patentId=5aff6ff3-c64a-4ae1-9937-9de0e6daa704" TargetMode="External"/><Relationship Id="rId2287" Type="http://schemas.openxmlformats.org/officeDocument/2006/relationships/hyperlink" Target="https://analytics.zhihuiya.com/patent-view/abst?patentId=a4cb1f6f-0853-45cc-ba6c-9b7146432be8" TargetMode="External"/><Relationship Id="rId2494" Type="http://schemas.openxmlformats.org/officeDocument/2006/relationships/hyperlink" Target="https://analytics.zhihuiya.com/patent-view/abst?patentId=396eb646-bf16-409f-9716-7b1c82d35bbd" TargetMode="External"/><Relationship Id="rId3338" Type="http://schemas.openxmlformats.org/officeDocument/2006/relationships/hyperlink" Target="https://analytics.zhihuiya.com/patent-view/abst?patentId=4d3c956d-f997-4642-850c-7e138f30508a" TargetMode="External"/><Relationship Id="rId3545" Type="http://schemas.openxmlformats.org/officeDocument/2006/relationships/hyperlink" Target="https://analytics.zhihuiya.com/patent-view/abst?patentId=0a5b3c4f-9115-4594-a06a-f9ef50d40520" TargetMode="External"/><Relationship Id="rId3752" Type="http://schemas.openxmlformats.org/officeDocument/2006/relationships/hyperlink" Target="https://analytics.zhihuiya.com/patent-view/abst?patentId=2a5cb0b6-1105-4ea5-875d-7a1a45eab7dd" TargetMode="External"/><Relationship Id="rId259" Type="http://schemas.openxmlformats.org/officeDocument/2006/relationships/hyperlink" Target="https://analytics.zhihuiya.com/patent-view/abst?patentId=0e328ca7-12a9-4bf8-a13a-891a593667d8" TargetMode="External"/><Relationship Id="rId466" Type="http://schemas.openxmlformats.org/officeDocument/2006/relationships/hyperlink" Target="https://analytics.zhihuiya.com/patent-view/abst?patentId=113f8e31-43eb-4911-804c-322250e8c3e9" TargetMode="External"/><Relationship Id="rId673" Type="http://schemas.openxmlformats.org/officeDocument/2006/relationships/hyperlink" Target="https://analytics.zhihuiya.com/patent-view/abst?patentId=42a4533c-b767-4394-8879-0128e97ed590" TargetMode="External"/><Relationship Id="rId880" Type="http://schemas.openxmlformats.org/officeDocument/2006/relationships/hyperlink" Target="https://analytics.zhihuiya.com/patent-view/abst?patentId=b3364281-fb7b-4cd8-b195-9ea1018e8ce3" TargetMode="External"/><Relationship Id="rId1096" Type="http://schemas.openxmlformats.org/officeDocument/2006/relationships/hyperlink" Target="https://analytics.zhihuiya.com/patent-view/abst?patentId=e5063c6d-ef6e-42c7-a212-320d48de7de4" TargetMode="External"/><Relationship Id="rId2147" Type="http://schemas.openxmlformats.org/officeDocument/2006/relationships/hyperlink" Target="https://analytics.zhihuiya.com/patent-view/abst?patentId=f4989d2d-b57d-402f-b131-10bf11dc39ac" TargetMode="External"/><Relationship Id="rId2354" Type="http://schemas.openxmlformats.org/officeDocument/2006/relationships/hyperlink" Target="https://analytics.zhihuiya.com/patent-view/abst?patentId=aef4a1b7-42bb-420e-bc4a-4dfd4bf1b04f" TargetMode="External"/><Relationship Id="rId2561" Type="http://schemas.openxmlformats.org/officeDocument/2006/relationships/hyperlink" Target="https://analytics.zhihuiya.com/patent-view/abst?patentId=66acebf6-0640-435d-9987-8bfa762643a9" TargetMode="External"/><Relationship Id="rId3405" Type="http://schemas.openxmlformats.org/officeDocument/2006/relationships/hyperlink" Target="https://analytics.zhihuiya.com/patent-view/abst?patentId=bf2ac7f7-94a3-4a7c-bc41-47faecf34b23" TargetMode="External"/><Relationship Id="rId119" Type="http://schemas.openxmlformats.org/officeDocument/2006/relationships/hyperlink" Target="https://analytics.zhihuiya.com/patent-view/abst?patentId=0fcde386-cdb4-453b-8de7-0793e0dc340c" TargetMode="External"/><Relationship Id="rId326" Type="http://schemas.openxmlformats.org/officeDocument/2006/relationships/hyperlink" Target="https://analytics.zhihuiya.com/patent-view/abst?patentId=af0231b0-e08d-41c7-bb63-ec6d30e05ebe" TargetMode="External"/><Relationship Id="rId533" Type="http://schemas.openxmlformats.org/officeDocument/2006/relationships/hyperlink" Target="https://analytics.zhihuiya.com/patent-view/abst?patentId=991d4f27-bd32-4642-9337-112cfa45c48f" TargetMode="External"/><Relationship Id="rId1163" Type="http://schemas.openxmlformats.org/officeDocument/2006/relationships/hyperlink" Target="https://analytics.zhihuiya.com/patent-view/abst?patentId=c85d4fdb-b66b-4118-8e59-b14c2dfabaa9" TargetMode="External"/><Relationship Id="rId1370" Type="http://schemas.openxmlformats.org/officeDocument/2006/relationships/hyperlink" Target="https://analytics.zhihuiya.com/patent-view/abst?patentId=c62d1afd-d15d-4f3e-b99e-434f860d2fea" TargetMode="External"/><Relationship Id="rId2007" Type="http://schemas.openxmlformats.org/officeDocument/2006/relationships/hyperlink" Target="https://analytics.zhihuiya.com/patent-view/abst?patentId=05e55b99-6ae5-4084-91fd-eca509094e1f" TargetMode="External"/><Relationship Id="rId2214" Type="http://schemas.openxmlformats.org/officeDocument/2006/relationships/hyperlink" Target="https://analytics.zhihuiya.com/patent-view/abst?patentId=c470753c-e2d4-40ee-8f5f-7f7f6ca895c8" TargetMode="External"/><Relationship Id="rId3612" Type="http://schemas.openxmlformats.org/officeDocument/2006/relationships/hyperlink" Target="https://analytics.zhihuiya.com/patent-view/abst?patentId=36f7909c-0818-4f0a-933f-30f0e9c53c70" TargetMode="External"/><Relationship Id="rId740" Type="http://schemas.openxmlformats.org/officeDocument/2006/relationships/hyperlink" Target="https://analytics.zhihuiya.com/patent-view/abst?patentId=557d416b-ed32-4f54-9b4e-4770ee1f0ef9" TargetMode="External"/><Relationship Id="rId1023" Type="http://schemas.openxmlformats.org/officeDocument/2006/relationships/hyperlink" Target="https://analytics.zhihuiya.com/patent-view/abst?patentId=6bb9234d-71ee-481f-9e87-78461bc5fbfa" TargetMode="External"/><Relationship Id="rId2421" Type="http://schemas.openxmlformats.org/officeDocument/2006/relationships/hyperlink" Target="https://analytics.zhihuiya.com/patent-view/abst?patentId=21e979e9-ed70-46b0-a6e7-6877d75c99d4" TargetMode="External"/><Relationship Id="rId4179" Type="http://schemas.openxmlformats.org/officeDocument/2006/relationships/hyperlink" Target="https://analytics.zhihuiya.com/patent-view/abst?patentId=60931980-f84a-4351-9613-f0190ccc0d98" TargetMode="External"/><Relationship Id="rId600" Type="http://schemas.openxmlformats.org/officeDocument/2006/relationships/hyperlink" Target="https://analytics.zhihuiya.com/patent-view/abst?patentId=2a9cc7b3-8c87-4302-b357-86aba088084c" TargetMode="External"/><Relationship Id="rId1230" Type="http://schemas.openxmlformats.org/officeDocument/2006/relationships/hyperlink" Target="https://analytics.zhihuiya.com/patent-view/abst?patentId=49de716b-270b-4aa8-ab05-c2aa4189e6f2" TargetMode="External"/><Relationship Id="rId4386" Type="http://schemas.openxmlformats.org/officeDocument/2006/relationships/hyperlink" Target="https://analytics.zhihuiya.com/patent-view/abst?patentId=e8cd31c9-5bf6-445d-8961-43a0b6fa0a7d" TargetMode="External"/><Relationship Id="rId3195" Type="http://schemas.openxmlformats.org/officeDocument/2006/relationships/hyperlink" Target="https://analytics.zhihuiya.com/patent-view/abst?patentId=d2f8faae-08eb-4ea7-a1d4-2fc6f8ea819d" TargetMode="External"/><Relationship Id="rId4039" Type="http://schemas.openxmlformats.org/officeDocument/2006/relationships/hyperlink" Target="https://analytics.zhihuiya.com/patent-view/abst?patentId=7ee15a3b-0a82-4408-95c9-a462e92b2937" TargetMode="External"/><Relationship Id="rId4246" Type="http://schemas.openxmlformats.org/officeDocument/2006/relationships/hyperlink" Target="https://analytics.zhihuiya.com/patent-view/abst?patentId=393a2723-3154-4836-a18a-7ff3437216ce" TargetMode="External"/><Relationship Id="rId4453" Type="http://schemas.openxmlformats.org/officeDocument/2006/relationships/hyperlink" Target="https://analytics.zhihuiya.com/patent-view/abst?patentId=4989d9a5-3c06-43dc-b9f6-6910fc2f8d35" TargetMode="External"/><Relationship Id="rId3055" Type="http://schemas.openxmlformats.org/officeDocument/2006/relationships/hyperlink" Target="https://analytics.zhihuiya.com/patent-view/abst?patentId=9daf993b-f251-4f17-bbfc-9de08de80716" TargetMode="External"/><Relationship Id="rId3262" Type="http://schemas.openxmlformats.org/officeDocument/2006/relationships/hyperlink" Target="https://analytics.zhihuiya.com/patent-view/abst?patentId=26cb25c2-295f-4dc8-8177-f9b64955c615" TargetMode="External"/><Relationship Id="rId4106" Type="http://schemas.openxmlformats.org/officeDocument/2006/relationships/hyperlink" Target="https://analytics.zhihuiya.com/patent-view/abst?patentId=eab06b32-182f-4d28-99fe-1a293a907ebc" TargetMode="External"/><Relationship Id="rId4313" Type="http://schemas.openxmlformats.org/officeDocument/2006/relationships/hyperlink" Target="https://analytics.zhihuiya.com/patent-view/abst?patentId=4f12b28c-483a-4e1a-bb2b-69a5b295dff1" TargetMode="External"/><Relationship Id="rId183" Type="http://schemas.openxmlformats.org/officeDocument/2006/relationships/hyperlink" Target="https://analytics.zhihuiya.com/patent-view/abst?patentId=9374dc24-bc69-41b9-a8c0-d4b3b72d8786" TargetMode="External"/><Relationship Id="rId390" Type="http://schemas.openxmlformats.org/officeDocument/2006/relationships/hyperlink" Target="https://analytics.zhihuiya.com/patent-view/abst?patentId=4a527b47-5e1b-4ccc-acc6-56142f22f745" TargetMode="External"/><Relationship Id="rId1907" Type="http://schemas.openxmlformats.org/officeDocument/2006/relationships/hyperlink" Target="https://analytics.zhihuiya.com/patent-view/abst?patentId=820993a1-db54-4080-94e8-0d35299b5170" TargetMode="External"/><Relationship Id="rId2071" Type="http://schemas.openxmlformats.org/officeDocument/2006/relationships/hyperlink" Target="https://analytics.zhihuiya.com/patent-view/abst?patentId=a0284700-a66e-47bb-aa07-330d3daff425" TargetMode="External"/><Relationship Id="rId3122" Type="http://schemas.openxmlformats.org/officeDocument/2006/relationships/hyperlink" Target="https://analytics.zhihuiya.com/patent-view/abst?patentId=fa8590f1-4f50-4d3a-a308-3c0c993eb3c6" TargetMode="External"/><Relationship Id="rId250" Type="http://schemas.openxmlformats.org/officeDocument/2006/relationships/hyperlink" Target="https://analytics.zhihuiya.com/patent-view/abst?patentId=4df65444-8653-4c39-aa53-c91b4ed56e02" TargetMode="External"/><Relationship Id="rId110" Type="http://schemas.openxmlformats.org/officeDocument/2006/relationships/hyperlink" Target="https://analytics.zhihuiya.com/patent-view/abst?patentId=b88bdb25-8a45-441c-b987-d6909281f539" TargetMode="External"/><Relationship Id="rId2888" Type="http://schemas.openxmlformats.org/officeDocument/2006/relationships/hyperlink" Target="https://analytics.zhihuiya.com/patent-view/abst?patentId=aa5fdf80-ff92-492b-b2cf-33cdc2aadca1" TargetMode="External"/><Relationship Id="rId3939" Type="http://schemas.openxmlformats.org/officeDocument/2006/relationships/hyperlink" Target="https://analytics.zhihuiya.com/patent-view/abst?patentId=ebb048ac-919e-4c28-89ab-5a75f3d4ef70" TargetMode="External"/><Relationship Id="rId1697" Type="http://schemas.openxmlformats.org/officeDocument/2006/relationships/hyperlink" Target="https://analytics.zhihuiya.com/patent-view/abst?patentId=9194592c-e139-4d39-9ce2-b094e3352512" TargetMode="External"/><Relationship Id="rId2748" Type="http://schemas.openxmlformats.org/officeDocument/2006/relationships/hyperlink" Target="https://analytics.zhihuiya.com/patent-view/abst?patentId=0b58156b-fcbb-47a7-b0c3-6e5ae7e54b68" TargetMode="External"/><Relationship Id="rId2955" Type="http://schemas.openxmlformats.org/officeDocument/2006/relationships/hyperlink" Target="https://analytics.zhihuiya.com/patent-view/abst?patentId=d058eaf1-402c-4327-b88f-79c7377a6e5c" TargetMode="External"/><Relationship Id="rId927" Type="http://schemas.openxmlformats.org/officeDocument/2006/relationships/hyperlink" Target="https://analytics.zhihuiya.com/patent-view/abst?patentId=d1fa5701-a3e6-470d-800c-2112f74762ca" TargetMode="External"/><Relationship Id="rId1557" Type="http://schemas.openxmlformats.org/officeDocument/2006/relationships/hyperlink" Target="https://analytics.zhihuiya.com/patent-view/abst?patentId=96a6c207-5f63-4b76-922a-3a372ff76f3a" TargetMode="External"/><Relationship Id="rId1764" Type="http://schemas.openxmlformats.org/officeDocument/2006/relationships/hyperlink" Target="https://analytics.zhihuiya.com/patent-view/abst?patentId=df866048-d2e3-4cb2-95c6-dcf9f102e004" TargetMode="External"/><Relationship Id="rId1971" Type="http://schemas.openxmlformats.org/officeDocument/2006/relationships/hyperlink" Target="https://analytics.zhihuiya.com/patent-view/abst?patentId=ca3d5bf5-8f0f-480e-988c-6036a15cf17b" TargetMode="External"/><Relationship Id="rId2608" Type="http://schemas.openxmlformats.org/officeDocument/2006/relationships/hyperlink" Target="https://analytics.zhihuiya.com/patent-view/abst?patentId=c982ec63-1b7f-4d05-96c7-45ea5edc08f6" TargetMode="External"/><Relationship Id="rId2815" Type="http://schemas.openxmlformats.org/officeDocument/2006/relationships/hyperlink" Target="https://analytics.zhihuiya.com/patent-view/abst?patentId=bc4d138d-bc04-412d-92a6-cbb69d6b5bcd" TargetMode="External"/><Relationship Id="rId4170" Type="http://schemas.openxmlformats.org/officeDocument/2006/relationships/hyperlink" Target="https://analytics.zhihuiya.com/patent-view/abst?patentId=f0c24833-07b9-4ca7-9c8b-c8daa4515b99" TargetMode="External"/><Relationship Id="rId56" Type="http://schemas.openxmlformats.org/officeDocument/2006/relationships/hyperlink" Target="https://analytics.zhihuiya.com/patent-view/abst?patentId=aeb5e6f4-2dc7-449f-89c2-3df9e1f0a490" TargetMode="External"/><Relationship Id="rId1417" Type="http://schemas.openxmlformats.org/officeDocument/2006/relationships/hyperlink" Target="https://analytics.zhihuiya.com/patent-view/abst?patentId=a06d844c-7059-4dd7-93ba-b8120af0c322" TargetMode="External"/><Relationship Id="rId1624" Type="http://schemas.openxmlformats.org/officeDocument/2006/relationships/hyperlink" Target="https://analytics.zhihuiya.com/patent-view/abst?patentId=11d5f6d5-98e3-471d-a559-a2bf4e0ee46b" TargetMode="External"/><Relationship Id="rId1831" Type="http://schemas.openxmlformats.org/officeDocument/2006/relationships/hyperlink" Target="https://analytics.zhihuiya.com/patent-view/abst?patentId=135f73c5-5a63-4aac-9821-d9babe80a104" TargetMode="External"/><Relationship Id="rId4030" Type="http://schemas.openxmlformats.org/officeDocument/2006/relationships/hyperlink" Target="https://analytics.zhihuiya.com/patent-view/abst?patentId=a40faf0d-301b-4e39-9157-05cd8f4f9bdc" TargetMode="External"/><Relationship Id="rId3589" Type="http://schemas.openxmlformats.org/officeDocument/2006/relationships/hyperlink" Target="https://analytics.zhihuiya.com/patent-view/abst?patentId=bcdd9a7c-1733-458c-b1ea-b7c9a7b9a254" TargetMode="External"/><Relationship Id="rId3796" Type="http://schemas.openxmlformats.org/officeDocument/2006/relationships/hyperlink" Target="https://analytics.zhihuiya.com/patent-view/abst?patentId=a824a74c-3021-45e6-bfe7-673ce9d16d20" TargetMode="External"/><Relationship Id="rId2398" Type="http://schemas.openxmlformats.org/officeDocument/2006/relationships/hyperlink" Target="https://analytics.zhihuiya.com/patent-view/abst?patentId=3f9c4f3a-8e8c-4f48-bc56-de807575e8b8" TargetMode="External"/><Relationship Id="rId3449" Type="http://schemas.openxmlformats.org/officeDocument/2006/relationships/hyperlink" Target="https://analytics.zhihuiya.com/patent-view/abst?patentId=06713bdd-22ac-4248-ad2a-a59cfe4951cc" TargetMode="External"/><Relationship Id="rId577" Type="http://schemas.openxmlformats.org/officeDocument/2006/relationships/hyperlink" Target="https://analytics.zhihuiya.com/patent-view/abst?patentId=f2c12709-255d-4133-bee5-f7aa65216303" TargetMode="External"/><Relationship Id="rId2258" Type="http://schemas.openxmlformats.org/officeDocument/2006/relationships/hyperlink" Target="https://analytics.zhihuiya.com/patent-view/abst?patentId=dc4f8e36-4d08-4040-bef7-9c92c9e6b16f" TargetMode="External"/><Relationship Id="rId3656" Type="http://schemas.openxmlformats.org/officeDocument/2006/relationships/hyperlink" Target="https://analytics.zhihuiya.com/patent-view/abst?patentId=d07ca934-59d1-4d96-b869-055174c8cb5d" TargetMode="External"/><Relationship Id="rId3863" Type="http://schemas.openxmlformats.org/officeDocument/2006/relationships/hyperlink" Target="https://analytics.zhihuiya.com/patent-view/abst?patentId=8ef67da7-2251-4cc7-8afe-2d2774c45efd" TargetMode="External"/><Relationship Id="rId784" Type="http://schemas.openxmlformats.org/officeDocument/2006/relationships/hyperlink" Target="https://analytics.zhihuiya.com/patent-view/abst?patentId=934f707c-bccb-4e68-9dfa-445305dd21e2" TargetMode="External"/><Relationship Id="rId991" Type="http://schemas.openxmlformats.org/officeDocument/2006/relationships/hyperlink" Target="https://analytics.zhihuiya.com/patent-view/abst?patentId=c627c3b5-e03f-4d3e-9756-6af738fea7b8" TargetMode="External"/><Relationship Id="rId1067" Type="http://schemas.openxmlformats.org/officeDocument/2006/relationships/hyperlink" Target="https://analytics.zhihuiya.com/patent-view/abst?patentId=ca5a69cc-a65e-463d-bf00-bb7b8ea35088" TargetMode="External"/><Relationship Id="rId2465" Type="http://schemas.openxmlformats.org/officeDocument/2006/relationships/hyperlink" Target="https://analytics.zhihuiya.com/patent-view/abst?patentId=4ba9559d-21e8-4af5-a8a3-72e20a770fd3" TargetMode="External"/><Relationship Id="rId2672" Type="http://schemas.openxmlformats.org/officeDocument/2006/relationships/hyperlink" Target="https://analytics.zhihuiya.com/patent-view/abst?patentId=e47d647a-f6a4-485a-b0b9-a4ffa6221788" TargetMode="External"/><Relationship Id="rId3309" Type="http://schemas.openxmlformats.org/officeDocument/2006/relationships/hyperlink" Target="https://analytics.zhihuiya.com/patent-view/abst?patentId=c117f560-0c34-41ad-b711-e23f93f9be69" TargetMode="External"/><Relationship Id="rId3516" Type="http://schemas.openxmlformats.org/officeDocument/2006/relationships/hyperlink" Target="https://analytics.zhihuiya.com/patent-view/abst?patentId=fc9e3ae2-3616-4c4f-b1a6-671672870aa3" TargetMode="External"/><Relationship Id="rId3723" Type="http://schemas.openxmlformats.org/officeDocument/2006/relationships/hyperlink" Target="https://analytics.zhihuiya.com/patent-view/abst?patentId=6c10e096-db01-4eb9-a6a5-25c291303063" TargetMode="External"/><Relationship Id="rId3930" Type="http://schemas.openxmlformats.org/officeDocument/2006/relationships/hyperlink" Target="https://analytics.zhihuiya.com/patent-view/abst?patentId=a48b315e-1615-45dd-a2eb-28f50a32f4e3" TargetMode="External"/><Relationship Id="rId437" Type="http://schemas.openxmlformats.org/officeDocument/2006/relationships/hyperlink" Target="https://analytics.zhihuiya.com/patent-view/abst?patentId=d62a1a66-2e40-4a03-a065-2541512d67da" TargetMode="External"/><Relationship Id="rId644" Type="http://schemas.openxmlformats.org/officeDocument/2006/relationships/hyperlink" Target="https://analytics.zhihuiya.com/patent-view/abst?patentId=ebb97ad0-9c38-4cba-accb-f950ddb7d5f0" TargetMode="External"/><Relationship Id="rId851" Type="http://schemas.openxmlformats.org/officeDocument/2006/relationships/hyperlink" Target="https://analytics.zhihuiya.com/patent-view/abst?patentId=0e0818e0-27c9-414a-a3e5-cb97ea400dfc" TargetMode="External"/><Relationship Id="rId1274" Type="http://schemas.openxmlformats.org/officeDocument/2006/relationships/hyperlink" Target="https://analytics.zhihuiya.com/patent-view/abst?patentId=4523b3d6-eadb-43b0-b307-2e2e206d6e54" TargetMode="External"/><Relationship Id="rId1481" Type="http://schemas.openxmlformats.org/officeDocument/2006/relationships/hyperlink" Target="https://analytics.zhihuiya.com/patent-view/abst?patentId=7efa23ec-d5f3-42d3-b670-cfd8f28bcab1" TargetMode="External"/><Relationship Id="rId2118" Type="http://schemas.openxmlformats.org/officeDocument/2006/relationships/hyperlink" Target="https://analytics.zhihuiya.com/patent-view/abst?patentId=281ba4b7-cb22-4699-9d79-821c524c6f5c" TargetMode="External"/><Relationship Id="rId2325" Type="http://schemas.openxmlformats.org/officeDocument/2006/relationships/hyperlink" Target="https://analytics.zhihuiya.com/patent-view/abst?patentId=8b814fd8-e4cd-4a36-883f-161c3018e977" TargetMode="External"/><Relationship Id="rId2532" Type="http://schemas.openxmlformats.org/officeDocument/2006/relationships/hyperlink" Target="https://analytics.zhihuiya.com/patent-view/abst?patentId=240a0e33-a89f-4c7d-9b33-1f82d78c8179" TargetMode="External"/><Relationship Id="rId504" Type="http://schemas.openxmlformats.org/officeDocument/2006/relationships/hyperlink" Target="https://analytics.zhihuiya.com/patent-view/abst?patentId=599f7912-e15a-4ed2-8ce3-9eaead5eb492" TargetMode="External"/><Relationship Id="rId711" Type="http://schemas.openxmlformats.org/officeDocument/2006/relationships/hyperlink" Target="https://analytics.zhihuiya.com/patent-view/abst?patentId=53c402ee-c66b-4856-954c-c34033c89f92" TargetMode="External"/><Relationship Id="rId1134" Type="http://schemas.openxmlformats.org/officeDocument/2006/relationships/hyperlink" Target="https://analytics.zhihuiya.com/patent-view/abst?patentId=f8f2bcd8-db25-4d0b-8510-f45dea223771" TargetMode="External"/><Relationship Id="rId1341" Type="http://schemas.openxmlformats.org/officeDocument/2006/relationships/hyperlink" Target="https://analytics.zhihuiya.com/patent-view/abst?patentId=5f739158-117b-40f9-96f5-9345d81708dd" TargetMode="External"/><Relationship Id="rId1201" Type="http://schemas.openxmlformats.org/officeDocument/2006/relationships/hyperlink" Target="https://analytics.zhihuiya.com/patent-view/abst?patentId=064672d3-ef2b-433e-8401-5328351affce" TargetMode="External"/><Relationship Id="rId3099" Type="http://schemas.openxmlformats.org/officeDocument/2006/relationships/hyperlink" Target="https://analytics.zhihuiya.com/patent-view/abst?patentId=eb5d34e7-e9ad-4a19-a323-6be0447cbf50" TargetMode="External"/><Relationship Id="rId4357" Type="http://schemas.openxmlformats.org/officeDocument/2006/relationships/hyperlink" Target="https://analytics.zhihuiya.com/patent-view/abst?patentId=22a7aaa0-1c77-4b71-a516-dbb011975e53" TargetMode="External"/><Relationship Id="rId3166" Type="http://schemas.openxmlformats.org/officeDocument/2006/relationships/hyperlink" Target="https://analytics.zhihuiya.com/patent-view/abst?patentId=08c338fe-1450-47e2-8e25-7204560c8e7b" TargetMode="External"/><Relationship Id="rId3373" Type="http://schemas.openxmlformats.org/officeDocument/2006/relationships/hyperlink" Target="https://analytics.zhihuiya.com/patent-view/abst?patentId=cd53b556-b735-4983-99fa-bf58c3ebb4ac" TargetMode="External"/><Relationship Id="rId3580" Type="http://schemas.openxmlformats.org/officeDocument/2006/relationships/hyperlink" Target="https://analytics.zhihuiya.com/patent-view/abst?patentId=20701849-8a5d-4168-a567-684c74675e08" TargetMode="External"/><Relationship Id="rId4217" Type="http://schemas.openxmlformats.org/officeDocument/2006/relationships/hyperlink" Target="https://analytics.zhihuiya.com/patent-view/abst?patentId=909b7e82-111b-4a98-b88a-229cbeb2514c" TargetMode="External"/><Relationship Id="rId4424" Type="http://schemas.openxmlformats.org/officeDocument/2006/relationships/hyperlink" Target="https://analytics.zhihuiya.com/patent-view/abst?patentId=825c646f-2aba-4af8-a809-ebc2e698321c" TargetMode="External"/><Relationship Id="rId294" Type="http://schemas.openxmlformats.org/officeDocument/2006/relationships/hyperlink" Target="https://analytics.zhihuiya.com/patent-view/abst?patentId=fab769a4-d76e-4d11-b8f1-a367583093de" TargetMode="External"/><Relationship Id="rId2182" Type="http://schemas.openxmlformats.org/officeDocument/2006/relationships/hyperlink" Target="https://analytics.zhihuiya.com/patent-view/abst?patentId=c6648992-05b2-402b-ba99-67b254fd9daa" TargetMode="External"/><Relationship Id="rId3026" Type="http://schemas.openxmlformats.org/officeDocument/2006/relationships/hyperlink" Target="https://analytics.zhihuiya.com/patent-view/abst?patentId=b2d40a56-dab7-4cc6-9ece-dc8bbf98e3e2" TargetMode="External"/><Relationship Id="rId3233" Type="http://schemas.openxmlformats.org/officeDocument/2006/relationships/hyperlink" Target="https://analytics.zhihuiya.com/patent-view/abst?patentId=8e04dd0a-99a5-4d67-a486-5661a4cd7427" TargetMode="External"/><Relationship Id="rId154" Type="http://schemas.openxmlformats.org/officeDocument/2006/relationships/hyperlink" Target="https://analytics.zhihuiya.com/patent-view/abst?patentId=6c4ccfb7-3d0e-4b65-ab6f-564ce578413f" TargetMode="External"/><Relationship Id="rId361" Type="http://schemas.openxmlformats.org/officeDocument/2006/relationships/hyperlink" Target="https://analytics.zhihuiya.com/patent-view/abst?patentId=c5a23b01-f96f-464c-9e47-cb1741938dd1" TargetMode="External"/><Relationship Id="rId2042" Type="http://schemas.openxmlformats.org/officeDocument/2006/relationships/hyperlink" Target="https://analytics.zhihuiya.com/patent-view/abst?patentId=331c3b4e-53c2-4812-b4c1-5d4d0154cccf" TargetMode="External"/><Relationship Id="rId3440" Type="http://schemas.openxmlformats.org/officeDocument/2006/relationships/hyperlink" Target="https://analytics.zhihuiya.com/patent-view/abst?patentId=9263b17b-5228-4997-b363-ebab2a0b63e4" TargetMode="External"/><Relationship Id="rId2999" Type="http://schemas.openxmlformats.org/officeDocument/2006/relationships/hyperlink" Target="https://analytics.zhihuiya.com/patent-view/abst?patentId=adb4a3ab-aae6-4cf1-b68e-7bf62ea888ec" TargetMode="External"/><Relationship Id="rId3300" Type="http://schemas.openxmlformats.org/officeDocument/2006/relationships/hyperlink" Target="https://analytics.zhihuiya.com/patent-view/abst?patentId=43216530-56e7-4663-b6ab-5912ef4e9619" TargetMode="External"/><Relationship Id="rId221" Type="http://schemas.openxmlformats.org/officeDocument/2006/relationships/hyperlink" Target="https://analytics.zhihuiya.com/patent-view/abst?patentId=164c26a3-a41a-41b1-aa04-f02c7cb62d45" TargetMode="External"/><Relationship Id="rId2859" Type="http://schemas.openxmlformats.org/officeDocument/2006/relationships/hyperlink" Target="https://analytics.zhihuiya.com/patent-view/abst?patentId=1eb4a180-c3ff-4fce-9341-8f014d224bd1" TargetMode="External"/><Relationship Id="rId1668" Type="http://schemas.openxmlformats.org/officeDocument/2006/relationships/hyperlink" Target="https://analytics.zhihuiya.com/patent-view/abst?patentId=f7cd6f34-04a9-48c4-b6c6-e252d4719cc0" TargetMode="External"/><Relationship Id="rId1875" Type="http://schemas.openxmlformats.org/officeDocument/2006/relationships/hyperlink" Target="https://analytics.zhihuiya.com/patent-view/abst?patentId=4cc05988-329f-4fe1-8a60-d20863d8fb39" TargetMode="External"/><Relationship Id="rId2719" Type="http://schemas.openxmlformats.org/officeDocument/2006/relationships/hyperlink" Target="https://analytics.zhihuiya.com/patent-view/abst?patentId=da049d87-f271-4fcc-9ac5-2d1823cffb26" TargetMode="External"/><Relationship Id="rId4074" Type="http://schemas.openxmlformats.org/officeDocument/2006/relationships/hyperlink" Target="https://analytics.zhihuiya.com/patent-view/abst?patentId=096d4998-2289-4971-9de1-3e25358645ff" TargetMode="External"/><Relationship Id="rId4281" Type="http://schemas.openxmlformats.org/officeDocument/2006/relationships/hyperlink" Target="https://analytics.zhihuiya.com/patent-view/abst?patentId=bb9e52d1-1f71-4c40-afe1-c92cb78e9297" TargetMode="External"/><Relationship Id="rId1528" Type="http://schemas.openxmlformats.org/officeDocument/2006/relationships/hyperlink" Target="https://analytics.zhihuiya.com/patent-view/abst?patentId=08ae189b-afa5-4f6c-8eb0-5301ebc8626f" TargetMode="External"/><Relationship Id="rId2926" Type="http://schemas.openxmlformats.org/officeDocument/2006/relationships/hyperlink" Target="https://analytics.zhihuiya.com/patent-view/abst?patentId=7bcfc6f0-2854-45b4-9582-95c943b3a537" TargetMode="External"/><Relationship Id="rId3090" Type="http://schemas.openxmlformats.org/officeDocument/2006/relationships/hyperlink" Target="https://analytics.zhihuiya.com/patent-view/abst?patentId=b83b7999-08a2-4bd4-85be-1ad4fb45e717" TargetMode="External"/><Relationship Id="rId4141" Type="http://schemas.openxmlformats.org/officeDocument/2006/relationships/hyperlink" Target="https://analytics.zhihuiya.com/patent-view/abst?patentId=ef8e5a11-7b05-4084-bef5-2f547b19d8a6" TargetMode="External"/><Relationship Id="rId1735" Type="http://schemas.openxmlformats.org/officeDocument/2006/relationships/hyperlink" Target="https://analytics.zhihuiya.com/patent-view/abst?patentId=123e443a-2ed7-4579-bf41-66754b273226" TargetMode="External"/><Relationship Id="rId1942" Type="http://schemas.openxmlformats.org/officeDocument/2006/relationships/hyperlink" Target="https://analytics.zhihuiya.com/patent-view/abst?patentId=37959018-8eb8-4fb4-8af0-d87eec27f6bb" TargetMode="External"/><Relationship Id="rId4001" Type="http://schemas.openxmlformats.org/officeDocument/2006/relationships/hyperlink" Target="https://analytics.zhihuiya.com/patent-view/abst?patentId=21521c93-6210-48f1-97d7-fcb4629017f5" TargetMode="External"/><Relationship Id="rId27" Type="http://schemas.openxmlformats.org/officeDocument/2006/relationships/hyperlink" Target="https://analytics.zhihuiya.com/patent-view/abst?patentId=fdd49d81-1cb3-4bb6-ae32-03cc907f9452" TargetMode="External"/><Relationship Id="rId1802" Type="http://schemas.openxmlformats.org/officeDocument/2006/relationships/hyperlink" Target="https://analytics.zhihuiya.com/patent-view/abst?patentId=d20733e7-bd8e-4790-bb18-5ea1e04aba51" TargetMode="External"/><Relationship Id="rId3767" Type="http://schemas.openxmlformats.org/officeDocument/2006/relationships/hyperlink" Target="https://analytics.zhihuiya.com/patent-view/abst?patentId=e851556f-c37c-4416-8cad-224c5a708565" TargetMode="External"/><Relationship Id="rId3974" Type="http://schemas.openxmlformats.org/officeDocument/2006/relationships/hyperlink" Target="https://analytics.zhihuiya.com/patent-view/abst?patentId=1169eda5-fe86-4721-bddf-439f77fded3d" TargetMode="External"/><Relationship Id="rId688" Type="http://schemas.openxmlformats.org/officeDocument/2006/relationships/hyperlink" Target="https://analytics.zhihuiya.com/patent-view/abst?patentId=a7ba8caf-54ec-4615-820c-e8b103d9e962" TargetMode="External"/><Relationship Id="rId895" Type="http://schemas.openxmlformats.org/officeDocument/2006/relationships/hyperlink" Target="https://analytics.zhihuiya.com/patent-view/abst?patentId=cc08d3ee-c3d0-4827-8c5c-0f2e1f445885" TargetMode="External"/><Relationship Id="rId2369" Type="http://schemas.openxmlformats.org/officeDocument/2006/relationships/hyperlink" Target="https://analytics.zhihuiya.com/patent-view/abst?patentId=97ae59bf-edeb-4cf5-a502-3176246c63ea" TargetMode="External"/><Relationship Id="rId2576" Type="http://schemas.openxmlformats.org/officeDocument/2006/relationships/hyperlink" Target="https://analytics.zhihuiya.com/patent-view/abst?patentId=0a68a3fb-8879-40aa-a072-e047b2a99788" TargetMode="External"/><Relationship Id="rId2783" Type="http://schemas.openxmlformats.org/officeDocument/2006/relationships/hyperlink" Target="https://analytics.zhihuiya.com/patent-view/abst?patentId=b60f1642-b5c8-48a2-bb57-1a775fa73f8b" TargetMode="External"/><Relationship Id="rId2990" Type="http://schemas.openxmlformats.org/officeDocument/2006/relationships/hyperlink" Target="https://analytics.zhihuiya.com/patent-view/abst?patentId=3f4570af-c0fa-4ce2-beed-5aac2391fbdf" TargetMode="External"/><Relationship Id="rId3627" Type="http://schemas.openxmlformats.org/officeDocument/2006/relationships/hyperlink" Target="https://analytics.zhihuiya.com/patent-view/abst?patentId=692d6f03-c264-4f62-a149-2729a031a4a5" TargetMode="External"/><Relationship Id="rId3834" Type="http://schemas.openxmlformats.org/officeDocument/2006/relationships/hyperlink" Target="https://analytics.zhihuiya.com/patent-view/abst?patentId=fd2d273d-55f1-4bc1-8f3d-5d98402b9c6e" TargetMode="External"/><Relationship Id="rId548" Type="http://schemas.openxmlformats.org/officeDocument/2006/relationships/hyperlink" Target="https://analytics.zhihuiya.com/patent-view/abst?patentId=06064467-f9a3-4077-942d-3b70defc0143" TargetMode="External"/><Relationship Id="rId755" Type="http://schemas.openxmlformats.org/officeDocument/2006/relationships/hyperlink" Target="https://analytics.zhihuiya.com/patent-view/abst?patentId=04b0bb75-1652-4ce7-82d7-a95ee1e6f83c" TargetMode="External"/><Relationship Id="rId962" Type="http://schemas.openxmlformats.org/officeDocument/2006/relationships/hyperlink" Target="https://analytics.zhihuiya.com/patent-view/abst?patentId=f6a8f918-b7f6-41aa-9eb4-08e167bd35ee" TargetMode="External"/><Relationship Id="rId1178" Type="http://schemas.openxmlformats.org/officeDocument/2006/relationships/hyperlink" Target="https://analytics.zhihuiya.com/patent-view/abst?patentId=0fffb151-cda4-440a-b6e3-4f6730543e92" TargetMode="External"/><Relationship Id="rId1385" Type="http://schemas.openxmlformats.org/officeDocument/2006/relationships/hyperlink" Target="https://analytics.zhihuiya.com/patent-view/abst?patentId=00ec913e-1cf3-4bae-b7e6-ad74c85ddf15" TargetMode="External"/><Relationship Id="rId1592" Type="http://schemas.openxmlformats.org/officeDocument/2006/relationships/hyperlink" Target="https://analytics.zhihuiya.com/patent-view/abst?patentId=efd0c7af-7f1b-48cd-b505-0bfb05be758a" TargetMode="External"/><Relationship Id="rId2229" Type="http://schemas.openxmlformats.org/officeDocument/2006/relationships/hyperlink" Target="https://analytics.zhihuiya.com/patent-view/abst?patentId=c33951bd-cd34-4787-8a75-a782de40cdcf" TargetMode="External"/><Relationship Id="rId2436" Type="http://schemas.openxmlformats.org/officeDocument/2006/relationships/hyperlink" Target="https://analytics.zhihuiya.com/patent-view/abst?patentId=1c7aca3c-0b0b-446a-a98e-4f9d63eb446b" TargetMode="External"/><Relationship Id="rId2643" Type="http://schemas.openxmlformats.org/officeDocument/2006/relationships/hyperlink" Target="https://analytics.zhihuiya.com/patent-view/abst?patentId=e2c0a971-ea5e-45eb-8d98-8e9f62fb6fab" TargetMode="External"/><Relationship Id="rId2850" Type="http://schemas.openxmlformats.org/officeDocument/2006/relationships/hyperlink" Target="https://analytics.zhihuiya.com/patent-view/abst?patentId=d48d0b79-c396-4ec7-9b70-7dbad5bf1ad0" TargetMode="External"/><Relationship Id="rId91" Type="http://schemas.openxmlformats.org/officeDocument/2006/relationships/hyperlink" Target="https://analytics.zhihuiya.com/patent-view/abst?patentId=17ace4b7-a798-43c5-871b-64198f991e85" TargetMode="External"/><Relationship Id="rId408" Type="http://schemas.openxmlformats.org/officeDocument/2006/relationships/hyperlink" Target="https://analytics.zhihuiya.com/patent-view/abst?patentId=4c3aa18c-e47a-4070-a323-eff1a5b342e3" TargetMode="External"/><Relationship Id="rId615" Type="http://schemas.openxmlformats.org/officeDocument/2006/relationships/hyperlink" Target="https://analytics.zhihuiya.com/patent-view/abst?patentId=e925f9e5-aa67-448a-8d30-fb108585910a" TargetMode="External"/><Relationship Id="rId822" Type="http://schemas.openxmlformats.org/officeDocument/2006/relationships/hyperlink" Target="https://analytics.zhihuiya.com/patent-view/abst?patentId=eff87dca-a744-420b-a442-df8b5c15206a" TargetMode="External"/><Relationship Id="rId1038" Type="http://schemas.openxmlformats.org/officeDocument/2006/relationships/hyperlink" Target="https://analytics.zhihuiya.com/patent-view/abst?patentId=1c43b3d2-d637-45a7-9e11-51d8c58e244b" TargetMode="External"/><Relationship Id="rId1245" Type="http://schemas.openxmlformats.org/officeDocument/2006/relationships/hyperlink" Target="https://analytics.zhihuiya.com/patent-view/abst?patentId=bc0ab16b-3437-4469-bf3d-96bdf0997b82" TargetMode="External"/><Relationship Id="rId1452" Type="http://schemas.openxmlformats.org/officeDocument/2006/relationships/hyperlink" Target="https://analytics.zhihuiya.com/patent-view/abst?patentId=580bc2bb-5ce4-48a3-9d30-9ba4341caaff" TargetMode="External"/><Relationship Id="rId2503" Type="http://schemas.openxmlformats.org/officeDocument/2006/relationships/hyperlink" Target="https://analytics.zhihuiya.com/patent-view/abst?patentId=3c73cc4b-d256-4768-9968-9af3a3f630b1" TargetMode="External"/><Relationship Id="rId3901" Type="http://schemas.openxmlformats.org/officeDocument/2006/relationships/hyperlink" Target="https://analytics.zhihuiya.com/patent-view/abst?patentId=d1bb12f1-8dec-4028-9c9a-641e9c767c3c" TargetMode="External"/><Relationship Id="rId1105" Type="http://schemas.openxmlformats.org/officeDocument/2006/relationships/hyperlink" Target="https://analytics.zhihuiya.com/patent-view/abst?patentId=63ae1008-36bb-4ea0-a6dc-1db58773ce2e" TargetMode="External"/><Relationship Id="rId1312" Type="http://schemas.openxmlformats.org/officeDocument/2006/relationships/hyperlink" Target="https://analytics.zhihuiya.com/patent-view/abst?patentId=6c3829f4-31eb-4d78-bb7e-f15a311fe24c" TargetMode="External"/><Relationship Id="rId2710" Type="http://schemas.openxmlformats.org/officeDocument/2006/relationships/hyperlink" Target="https://analytics.zhihuiya.com/patent-view/abst?patentId=d8152654-aba1-4637-bd34-6859823ebdf9" TargetMode="External"/><Relationship Id="rId3277" Type="http://schemas.openxmlformats.org/officeDocument/2006/relationships/hyperlink" Target="https://analytics.zhihuiya.com/patent-view/abst?patentId=483cef63-0e2b-4011-b0b8-f90b6261b551" TargetMode="External"/><Relationship Id="rId198" Type="http://schemas.openxmlformats.org/officeDocument/2006/relationships/hyperlink" Target="https://analytics.zhihuiya.com/patent-view/abst?patentId=cd7af593-4bd2-42c3-8c53-2d9a6a0310d4" TargetMode="External"/><Relationship Id="rId2086" Type="http://schemas.openxmlformats.org/officeDocument/2006/relationships/hyperlink" Target="https://analytics.zhihuiya.com/patent-view/abst?patentId=2ec614e2-8da7-421b-b58b-c6a1d77ebfed" TargetMode="External"/><Relationship Id="rId3484" Type="http://schemas.openxmlformats.org/officeDocument/2006/relationships/hyperlink" Target="https://analytics.zhihuiya.com/patent-view/abst?patentId=fe6f8eb4-94ab-4a3d-8e6a-332ddb027da1" TargetMode="External"/><Relationship Id="rId3691" Type="http://schemas.openxmlformats.org/officeDocument/2006/relationships/hyperlink" Target="https://analytics.zhihuiya.com/patent-view/abst?patentId=c57979b3-5b4a-49b5-aa64-28ce6f7ec213" TargetMode="External"/><Relationship Id="rId4328" Type="http://schemas.openxmlformats.org/officeDocument/2006/relationships/hyperlink" Target="https://analytics.zhihuiya.com/patent-view/abst?patentId=fa12d01a-9c9b-4dcf-b2ca-ec861c4a6218" TargetMode="External"/><Relationship Id="rId2293" Type="http://schemas.openxmlformats.org/officeDocument/2006/relationships/hyperlink" Target="https://analytics.zhihuiya.com/patent-view/abst?patentId=bc8a40ff-6f5a-48af-a679-569c5c358031" TargetMode="External"/><Relationship Id="rId3137" Type="http://schemas.openxmlformats.org/officeDocument/2006/relationships/hyperlink" Target="https://analytics.zhihuiya.com/patent-view/abst?patentId=ed493e9e-fd9a-41bc-89ba-b66fcaeab0d9" TargetMode="External"/><Relationship Id="rId3344" Type="http://schemas.openxmlformats.org/officeDocument/2006/relationships/hyperlink" Target="https://analytics.zhihuiya.com/patent-view/abst?patentId=583b287e-b724-4617-96ab-dac83b80df2d" TargetMode="External"/><Relationship Id="rId3551" Type="http://schemas.openxmlformats.org/officeDocument/2006/relationships/hyperlink" Target="https://analytics.zhihuiya.com/patent-view/abst?patentId=b572bf9b-4e7e-4160-941a-a8f6132ac4c7" TargetMode="External"/><Relationship Id="rId265" Type="http://schemas.openxmlformats.org/officeDocument/2006/relationships/hyperlink" Target="https://analytics.zhihuiya.com/patent-view/abst?patentId=e7335736-dfd8-40e3-8637-9baaf86d8f32" TargetMode="External"/><Relationship Id="rId472" Type="http://schemas.openxmlformats.org/officeDocument/2006/relationships/hyperlink" Target="https://analytics.zhihuiya.com/patent-view/abst?patentId=a195c938-b82a-4b07-94db-b36eeb7ffd82" TargetMode="External"/><Relationship Id="rId2153" Type="http://schemas.openxmlformats.org/officeDocument/2006/relationships/hyperlink" Target="https://analytics.zhihuiya.com/patent-view/abst?patentId=6570ec9c-e543-495a-b884-8c6aecf151ab" TargetMode="External"/><Relationship Id="rId2360" Type="http://schemas.openxmlformats.org/officeDocument/2006/relationships/hyperlink" Target="https://analytics.zhihuiya.com/patent-view/abst?patentId=f15a5845-dbbd-420d-b428-532ee487e818" TargetMode="External"/><Relationship Id="rId3204" Type="http://schemas.openxmlformats.org/officeDocument/2006/relationships/hyperlink" Target="https://analytics.zhihuiya.com/patent-view/abst?patentId=d6917e29-b1e5-4356-9ab5-241d53bc9042" TargetMode="External"/><Relationship Id="rId3411" Type="http://schemas.openxmlformats.org/officeDocument/2006/relationships/hyperlink" Target="https://analytics.zhihuiya.com/patent-view/abst?patentId=8b7c9522-7a0a-4465-875b-c04fb575de35" TargetMode="External"/><Relationship Id="rId125" Type="http://schemas.openxmlformats.org/officeDocument/2006/relationships/hyperlink" Target="https://analytics.zhihuiya.com/patent-view/abst?patentId=7988acf5-b952-4aa9-b31d-e830ce5c8c52" TargetMode="External"/><Relationship Id="rId332" Type="http://schemas.openxmlformats.org/officeDocument/2006/relationships/hyperlink" Target="https://analytics.zhihuiya.com/patent-view/abst?patentId=0b2193b1-7ee1-4a44-a46d-5cd12ece9bf8" TargetMode="External"/><Relationship Id="rId2013" Type="http://schemas.openxmlformats.org/officeDocument/2006/relationships/hyperlink" Target="https://analytics.zhihuiya.com/patent-view/abst?patentId=3b16a280-42b4-4d8b-844a-eda1294cb44c" TargetMode="External"/><Relationship Id="rId2220" Type="http://schemas.openxmlformats.org/officeDocument/2006/relationships/hyperlink" Target="https://analytics.zhihuiya.com/patent-view/abst?patentId=547d1daf-d350-4e05-9ab3-3cbd3ea5d4f0" TargetMode="External"/><Relationship Id="rId4185" Type="http://schemas.openxmlformats.org/officeDocument/2006/relationships/hyperlink" Target="https://analytics.zhihuiya.com/patent-view/abst?patentId=f126ee8f-f62f-4f10-bfb4-7242e6d7f598" TargetMode="External"/><Relationship Id="rId4392" Type="http://schemas.openxmlformats.org/officeDocument/2006/relationships/hyperlink" Target="https://analytics.zhihuiya.com/patent-view/abst?patentId=ac830176-7e8f-490b-812d-674f50cce209" TargetMode="External"/><Relationship Id="rId1779" Type="http://schemas.openxmlformats.org/officeDocument/2006/relationships/hyperlink" Target="https://analytics.zhihuiya.com/patent-view/abst?patentId=e5669e60-4b5f-49f2-8e71-cd1e64937d0d" TargetMode="External"/><Relationship Id="rId1986" Type="http://schemas.openxmlformats.org/officeDocument/2006/relationships/hyperlink" Target="https://analytics.zhihuiya.com/patent-view/abst?patentId=7cc75c64-eb20-421d-8712-b0564bd383d8" TargetMode="External"/><Relationship Id="rId4045" Type="http://schemas.openxmlformats.org/officeDocument/2006/relationships/hyperlink" Target="https://analytics.zhihuiya.com/patent-view/abst?patentId=d4ba9231-bb22-4a38-aa66-a1e2bafaf2c3" TargetMode="External"/><Relationship Id="rId4252" Type="http://schemas.openxmlformats.org/officeDocument/2006/relationships/hyperlink" Target="https://analytics.zhihuiya.com/patent-view/abst?patentId=29b62ccc-fb00-489a-b9d8-df0f0a368b5f" TargetMode="External"/><Relationship Id="rId1639" Type="http://schemas.openxmlformats.org/officeDocument/2006/relationships/hyperlink" Target="https://analytics.zhihuiya.com/patent-view/abst?patentId=ed27112e-027a-0583-cc5f-f64be2c72f41" TargetMode="External"/><Relationship Id="rId1846" Type="http://schemas.openxmlformats.org/officeDocument/2006/relationships/hyperlink" Target="https://analytics.zhihuiya.com/patent-view/abst?patentId=6009c8e9-73ce-45b5-b80e-041942f2daf4" TargetMode="External"/><Relationship Id="rId3061" Type="http://schemas.openxmlformats.org/officeDocument/2006/relationships/hyperlink" Target="https://analytics.zhihuiya.com/patent-view/abst?patentId=491d82b7-2b67-47bf-a166-e8881994cf98" TargetMode="External"/><Relationship Id="rId1706" Type="http://schemas.openxmlformats.org/officeDocument/2006/relationships/hyperlink" Target="https://analytics.zhihuiya.com/patent-view/abst?patentId=7f1bb239-6cdf-46df-9ce2-e3518b7c2726" TargetMode="External"/><Relationship Id="rId1913" Type="http://schemas.openxmlformats.org/officeDocument/2006/relationships/hyperlink" Target="https://analytics.zhihuiya.com/patent-view/abst?patentId=e4a2b6f3-ead9-464e-a401-3974c63c272f" TargetMode="External"/><Relationship Id="rId4112" Type="http://schemas.openxmlformats.org/officeDocument/2006/relationships/hyperlink" Target="https://analytics.zhihuiya.com/patent-view/abst?patentId=d7a3b354-ef73-4ef2-966c-e8fd18c75ae7" TargetMode="External"/><Relationship Id="rId3878" Type="http://schemas.openxmlformats.org/officeDocument/2006/relationships/hyperlink" Target="https://analytics.zhihuiya.com/patent-view/abst?patentId=4a500cdb-6528-4c24-8422-6ff439652508" TargetMode="External"/><Relationship Id="rId799" Type="http://schemas.openxmlformats.org/officeDocument/2006/relationships/hyperlink" Target="https://analytics.zhihuiya.com/patent-view/abst?patentId=55e191c6-a04a-4ff9-a739-f54d98c29621" TargetMode="External"/><Relationship Id="rId2687" Type="http://schemas.openxmlformats.org/officeDocument/2006/relationships/hyperlink" Target="https://analytics.zhihuiya.com/patent-view/abst?patentId=49a0c1e4-d9bb-41ec-81c6-dd2737a21b0e" TargetMode="External"/><Relationship Id="rId2894" Type="http://schemas.openxmlformats.org/officeDocument/2006/relationships/hyperlink" Target="https://analytics.zhihuiya.com/patent-view/abst?patentId=60650e94-a47d-463c-a508-f2107a72c15b" TargetMode="External"/><Relationship Id="rId3738" Type="http://schemas.openxmlformats.org/officeDocument/2006/relationships/hyperlink" Target="https://analytics.zhihuiya.com/patent-view/abst?patentId=ad052ba3-1cfd-4106-9a45-e982c1f8285b" TargetMode="External"/><Relationship Id="rId659" Type="http://schemas.openxmlformats.org/officeDocument/2006/relationships/hyperlink" Target="https://analytics.zhihuiya.com/patent-view/abst?patentId=c7ef4d76-7440-4b43-b374-457ae1221cfa" TargetMode="External"/><Relationship Id="rId866" Type="http://schemas.openxmlformats.org/officeDocument/2006/relationships/hyperlink" Target="https://analytics.zhihuiya.com/patent-view/abst?patentId=08c1e39e-5d7d-4f8e-96a4-5495aef14ccc" TargetMode="External"/><Relationship Id="rId1289" Type="http://schemas.openxmlformats.org/officeDocument/2006/relationships/hyperlink" Target="https://analytics.zhihuiya.com/patent-view/abst?patentId=8caa0a2f-df1e-4da7-bd73-f4be1dae8dc0" TargetMode="External"/><Relationship Id="rId1496" Type="http://schemas.openxmlformats.org/officeDocument/2006/relationships/hyperlink" Target="https://analytics.zhihuiya.com/patent-view/abst?patentId=e709e4df-c3d5-45c5-a81f-4a3d0113bdb2" TargetMode="External"/><Relationship Id="rId2547" Type="http://schemas.openxmlformats.org/officeDocument/2006/relationships/hyperlink" Target="https://analytics.zhihuiya.com/patent-view/abst?patentId=2b3e800b-21ce-4677-9b84-6666cca2a3cb" TargetMode="External"/><Relationship Id="rId3945" Type="http://schemas.openxmlformats.org/officeDocument/2006/relationships/hyperlink" Target="https://analytics.zhihuiya.com/patent-view/abst?patentId=bfa94790-fd15-45f6-b6f2-90e298299ab4" TargetMode="External"/><Relationship Id="rId519" Type="http://schemas.openxmlformats.org/officeDocument/2006/relationships/hyperlink" Target="https://analytics.zhihuiya.com/patent-view/abst?patentId=61c24005-eccb-454e-9d6c-f4a99642838e" TargetMode="External"/><Relationship Id="rId1149" Type="http://schemas.openxmlformats.org/officeDocument/2006/relationships/hyperlink" Target="https://analytics.zhihuiya.com/patent-view/abst?patentId=29e030a4-7edd-4dd6-a957-ecbd05de7710" TargetMode="External"/><Relationship Id="rId1356" Type="http://schemas.openxmlformats.org/officeDocument/2006/relationships/hyperlink" Target="https://analytics.zhihuiya.com/patent-view/abst?patentId=94c6ab40-0c6a-47b8-bb4a-1d5d1a21535d" TargetMode="External"/><Relationship Id="rId2754" Type="http://schemas.openxmlformats.org/officeDocument/2006/relationships/hyperlink" Target="https://analytics.zhihuiya.com/patent-view/abst?patentId=db984350-a9c1-4d36-a343-c42d0d3c1989" TargetMode="External"/><Relationship Id="rId2961" Type="http://schemas.openxmlformats.org/officeDocument/2006/relationships/hyperlink" Target="https://analytics.zhihuiya.com/patent-view/abst?patentId=04424f44-7524-42a0-a68b-de7f865f8413" TargetMode="External"/><Relationship Id="rId3805" Type="http://schemas.openxmlformats.org/officeDocument/2006/relationships/hyperlink" Target="https://analytics.zhihuiya.com/patent-view/abst?patentId=fecb1423-965e-4d16-b0a6-1e78b2b67f65" TargetMode="External"/><Relationship Id="rId726" Type="http://schemas.openxmlformats.org/officeDocument/2006/relationships/hyperlink" Target="https://analytics.zhihuiya.com/patent-view/abst?patentId=67f45915-dc2e-437d-afc4-e687a2083dfe" TargetMode="External"/><Relationship Id="rId933" Type="http://schemas.openxmlformats.org/officeDocument/2006/relationships/hyperlink" Target="https://analytics.zhihuiya.com/patent-view/abst?patentId=7d083199-cfd2-4590-9e50-8901d987c8ea" TargetMode="External"/><Relationship Id="rId1009" Type="http://schemas.openxmlformats.org/officeDocument/2006/relationships/hyperlink" Target="https://analytics.zhihuiya.com/patent-view/abst?patentId=40ca8a59-ab8e-49de-a13e-5bd8b59ead52" TargetMode="External"/><Relationship Id="rId1563" Type="http://schemas.openxmlformats.org/officeDocument/2006/relationships/hyperlink" Target="https://analytics.zhihuiya.com/patent-view/abst?patentId=48bdc972-0fce-4069-8b32-9356fc61de54" TargetMode="External"/><Relationship Id="rId1770" Type="http://schemas.openxmlformats.org/officeDocument/2006/relationships/hyperlink" Target="https://analytics.zhihuiya.com/patent-view/abst?patentId=5e8c5965-e606-4082-832a-739b58884b24" TargetMode="External"/><Relationship Id="rId2407" Type="http://schemas.openxmlformats.org/officeDocument/2006/relationships/hyperlink" Target="https://analytics.zhihuiya.com/patent-view/abst?patentId=a360b8bc-94c1-49d7-950c-67e64bc65761" TargetMode="External"/><Relationship Id="rId2614" Type="http://schemas.openxmlformats.org/officeDocument/2006/relationships/hyperlink" Target="https://analytics.zhihuiya.com/patent-view/abst?patentId=4080fa37-3a4a-4331-98b5-ce635285d919" TargetMode="External"/><Relationship Id="rId2821" Type="http://schemas.openxmlformats.org/officeDocument/2006/relationships/hyperlink" Target="https://analytics.zhihuiya.com/patent-view/abst?patentId=c6fcaf34-13d8-4a01-bea0-89f0e290d5fa" TargetMode="External"/><Relationship Id="rId62" Type="http://schemas.openxmlformats.org/officeDocument/2006/relationships/hyperlink" Target="https://analytics.zhihuiya.com/patent-view/abst?patentId=1a6658ce-b15e-4e99-bf16-bdeb21884498" TargetMode="External"/><Relationship Id="rId1216" Type="http://schemas.openxmlformats.org/officeDocument/2006/relationships/hyperlink" Target="https://analytics.zhihuiya.com/patent-view/abst?patentId=38b29c1f-9c80-42bb-b850-68a51fadb5b4" TargetMode="External"/><Relationship Id="rId1423" Type="http://schemas.openxmlformats.org/officeDocument/2006/relationships/hyperlink" Target="https://analytics.zhihuiya.com/patent-view/abst?patentId=8cac4ed6-af0a-4418-b971-28c051151af8" TargetMode="External"/><Relationship Id="rId1630" Type="http://schemas.openxmlformats.org/officeDocument/2006/relationships/hyperlink" Target="https://analytics.zhihuiya.com/patent-view/abst?patentId=a60c9ba9-2bdc-4526-93e1-369536ab8623" TargetMode="External"/><Relationship Id="rId3388" Type="http://schemas.openxmlformats.org/officeDocument/2006/relationships/hyperlink" Target="https://analytics.zhihuiya.com/patent-view/abst?patentId=2fa9aa85-ed17-4ca6-8588-d120aea01a2e" TargetMode="External"/><Relationship Id="rId3595" Type="http://schemas.openxmlformats.org/officeDocument/2006/relationships/hyperlink" Target="https://analytics.zhihuiya.com/patent-view/abst?patentId=f31e47e5-07b9-4716-bc76-c8df91dfb0da" TargetMode="External"/><Relationship Id="rId4439" Type="http://schemas.openxmlformats.org/officeDocument/2006/relationships/hyperlink" Target="https://analytics.zhihuiya.com/patent-view/abst?patentId=c3675c83-27e0-4104-9e16-61dbb0f2a12c" TargetMode="External"/><Relationship Id="rId2197" Type="http://schemas.openxmlformats.org/officeDocument/2006/relationships/hyperlink" Target="https://analytics.zhihuiya.com/patent-view/abst?patentId=998424b2-12d8-4f71-b4b6-2dca5de294ea" TargetMode="External"/><Relationship Id="rId3248" Type="http://schemas.openxmlformats.org/officeDocument/2006/relationships/hyperlink" Target="https://analytics.zhihuiya.com/patent-view/abst?patentId=e6a51b01-4c72-45be-ae65-18c15f94f831" TargetMode="External"/><Relationship Id="rId3455" Type="http://schemas.openxmlformats.org/officeDocument/2006/relationships/hyperlink" Target="https://analytics.zhihuiya.com/patent-view/abst?patentId=006b778a-1362-4507-ac6d-e59a5068e3d7" TargetMode="External"/><Relationship Id="rId3662" Type="http://schemas.openxmlformats.org/officeDocument/2006/relationships/hyperlink" Target="https://analytics.zhihuiya.com/patent-view/abst?patentId=8c1cd5fb-a478-4f21-866f-acae6c6f362e" TargetMode="External"/><Relationship Id="rId169" Type="http://schemas.openxmlformats.org/officeDocument/2006/relationships/hyperlink" Target="https://analytics.zhihuiya.com/patent-view/abst?patentId=2c04ec04-e6eb-42f4-a817-4c160e1a3a33" TargetMode="External"/><Relationship Id="rId376" Type="http://schemas.openxmlformats.org/officeDocument/2006/relationships/hyperlink" Target="https://analytics.zhihuiya.com/patent-view/abst?patentId=e843cd03-4e10-4aef-9c08-9ed581c78001" TargetMode="External"/><Relationship Id="rId583" Type="http://schemas.openxmlformats.org/officeDocument/2006/relationships/hyperlink" Target="https://analytics.zhihuiya.com/patent-view/abst?patentId=e9c87098-742a-4900-8652-b50adf253fcc" TargetMode="External"/><Relationship Id="rId790" Type="http://schemas.openxmlformats.org/officeDocument/2006/relationships/hyperlink" Target="https://analytics.zhihuiya.com/patent-view/abst?patentId=a9259410-5ef1-4557-8cbd-0c90a122de28" TargetMode="External"/><Relationship Id="rId2057" Type="http://schemas.openxmlformats.org/officeDocument/2006/relationships/hyperlink" Target="https://analytics.zhihuiya.com/patent-view/abst?patentId=a1089011-7f3a-4692-8f8e-8fed46977605" TargetMode="External"/><Relationship Id="rId2264" Type="http://schemas.openxmlformats.org/officeDocument/2006/relationships/hyperlink" Target="https://analytics.zhihuiya.com/patent-view/abst?patentId=f5cfadfe-fd87-4b31-aa14-ba9427ffae5e" TargetMode="External"/><Relationship Id="rId2471" Type="http://schemas.openxmlformats.org/officeDocument/2006/relationships/hyperlink" Target="https://analytics.zhihuiya.com/patent-view/abst?patentId=a995cfda-25bc-4275-96b0-5924b249c23e" TargetMode="External"/><Relationship Id="rId3108" Type="http://schemas.openxmlformats.org/officeDocument/2006/relationships/hyperlink" Target="https://analytics.zhihuiya.com/patent-view/abst?patentId=9730fd7d-7bef-4e8b-9446-b2e710f7eefa" TargetMode="External"/><Relationship Id="rId3315" Type="http://schemas.openxmlformats.org/officeDocument/2006/relationships/hyperlink" Target="https://analytics.zhihuiya.com/patent-view/abst?patentId=99a0b6e3-d241-4270-bb41-71c40e6fb017" TargetMode="External"/><Relationship Id="rId3522" Type="http://schemas.openxmlformats.org/officeDocument/2006/relationships/hyperlink" Target="https://analytics.zhihuiya.com/patent-view/abst?patentId=f2ab0c57-d213-427b-af7a-0683057ca390" TargetMode="External"/><Relationship Id="rId236" Type="http://schemas.openxmlformats.org/officeDocument/2006/relationships/hyperlink" Target="https://analytics.zhihuiya.com/patent-view/abst?patentId=c014bb51-7192-49d4-8346-579e24d2606e" TargetMode="External"/><Relationship Id="rId443" Type="http://schemas.openxmlformats.org/officeDocument/2006/relationships/hyperlink" Target="https://analytics.zhihuiya.com/patent-view/abst?patentId=9f2f60df-4a4f-4142-8b6a-d806a22c7ef1" TargetMode="External"/><Relationship Id="rId650" Type="http://schemas.openxmlformats.org/officeDocument/2006/relationships/hyperlink" Target="https://analytics.zhihuiya.com/patent-view/abst?patentId=47513548-9a05-4e95-857b-e6512f9052de" TargetMode="External"/><Relationship Id="rId1073" Type="http://schemas.openxmlformats.org/officeDocument/2006/relationships/hyperlink" Target="https://analytics.zhihuiya.com/patent-view/abst?patentId=26c13abb-1c6b-48bb-9683-a75340502204" TargetMode="External"/><Relationship Id="rId1280" Type="http://schemas.openxmlformats.org/officeDocument/2006/relationships/hyperlink" Target="https://analytics.zhihuiya.com/patent-view/abst?patentId=a92eb759-1aad-444d-94cc-06cfa25ea0dc" TargetMode="External"/><Relationship Id="rId2124" Type="http://schemas.openxmlformats.org/officeDocument/2006/relationships/hyperlink" Target="https://analytics.zhihuiya.com/patent-view/abst?patentId=32cc3290-3e4b-43c9-8bcc-a1c415da1e1f" TargetMode="External"/><Relationship Id="rId2331" Type="http://schemas.openxmlformats.org/officeDocument/2006/relationships/hyperlink" Target="https://analytics.zhihuiya.com/patent-view/abst?patentId=6ee82378-fdb8-41c8-97c9-fff188d1c061" TargetMode="External"/><Relationship Id="rId303" Type="http://schemas.openxmlformats.org/officeDocument/2006/relationships/hyperlink" Target="https://analytics.zhihuiya.com/patent-view/abst?patentId=281121e5-e15c-4772-aad3-374009234d84" TargetMode="External"/><Relationship Id="rId1140" Type="http://schemas.openxmlformats.org/officeDocument/2006/relationships/hyperlink" Target="https://analytics.zhihuiya.com/patent-view/abst?patentId=bcb2540f-7236-4cef-a935-a6e893c51454" TargetMode="External"/><Relationship Id="rId4089" Type="http://schemas.openxmlformats.org/officeDocument/2006/relationships/hyperlink" Target="https://analytics.zhihuiya.com/patent-view/abst?patentId=02311cb2-5f6e-48d3-ad12-7a61943ff9d5" TargetMode="External"/><Relationship Id="rId4296" Type="http://schemas.openxmlformats.org/officeDocument/2006/relationships/hyperlink" Target="https://analytics.zhihuiya.com/patent-view/abst?patentId=78d3f0b7-c246-4e36-a5f8-4af38cc03eef" TargetMode="External"/><Relationship Id="rId510" Type="http://schemas.openxmlformats.org/officeDocument/2006/relationships/hyperlink" Target="https://analytics.zhihuiya.com/patent-view/abst?patentId=2edbea71-59af-4389-a02c-ceb47c333225" TargetMode="External"/><Relationship Id="rId1000" Type="http://schemas.openxmlformats.org/officeDocument/2006/relationships/hyperlink" Target="https://analytics.zhihuiya.com/patent-view/abst?patentId=038f81a9-db1b-4528-bdad-045a3475b456" TargetMode="External"/><Relationship Id="rId1957" Type="http://schemas.openxmlformats.org/officeDocument/2006/relationships/hyperlink" Target="https://analytics.zhihuiya.com/patent-view/abst?patentId=982bb093-4f11-4b10-b7e0-443235c69f2f" TargetMode="External"/><Relationship Id="rId4156" Type="http://schemas.openxmlformats.org/officeDocument/2006/relationships/hyperlink" Target="https://analytics.zhihuiya.com/patent-view/abst?patentId=1661dafd-3f27-4990-9466-721c0097d695" TargetMode="External"/><Relationship Id="rId4363" Type="http://schemas.openxmlformats.org/officeDocument/2006/relationships/hyperlink" Target="https://analytics.zhihuiya.com/patent-view/abst?patentId=a06ca400-8d1b-481c-8371-6c9d025c59bf" TargetMode="External"/><Relationship Id="rId1817" Type="http://schemas.openxmlformats.org/officeDocument/2006/relationships/hyperlink" Target="https://analytics.zhihuiya.com/patent-view/abst?patentId=cb5d309d-b802-4f42-aeac-b462df121f7c" TargetMode="External"/><Relationship Id="rId3172" Type="http://schemas.openxmlformats.org/officeDocument/2006/relationships/hyperlink" Target="https://analytics.zhihuiya.com/patent-view/abst?patentId=57cd1cba-6a30-4174-95f8-84d6b442dcfb" TargetMode="External"/><Relationship Id="rId4016" Type="http://schemas.openxmlformats.org/officeDocument/2006/relationships/hyperlink" Target="https://analytics.zhihuiya.com/patent-view/abst?patentId=721c9205-c3f9-4c45-ad52-640ccf08b3d4" TargetMode="External"/><Relationship Id="rId4223" Type="http://schemas.openxmlformats.org/officeDocument/2006/relationships/hyperlink" Target="https://analytics.zhihuiya.com/patent-view/abst?patentId=033fa234-c4f3-4d55-94a3-d162252cf82b" TargetMode="External"/><Relationship Id="rId4430" Type="http://schemas.openxmlformats.org/officeDocument/2006/relationships/hyperlink" Target="https://analytics.zhihuiya.com/patent-view/abst?patentId=4c588df7-048d-42cd-b6e8-5564772e9f67" TargetMode="External"/><Relationship Id="rId3032" Type="http://schemas.openxmlformats.org/officeDocument/2006/relationships/hyperlink" Target="https://analytics.zhihuiya.com/patent-view/abst?patentId=ca60cd43-0ddb-473e-a931-2639b762fd52" TargetMode="External"/><Relationship Id="rId160" Type="http://schemas.openxmlformats.org/officeDocument/2006/relationships/hyperlink" Target="https://analytics.zhihuiya.com/patent-view/abst?patentId=aab19d1e-4679-480c-8797-951f78d4a7db" TargetMode="External"/><Relationship Id="rId3989" Type="http://schemas.openxmlformats.org/officeDocument/2006/relationships/hyperlink" Target="https://analytics.zhihuiya.com/patent-view/abst?patentId=db35a56d-5974-4a7e-bbbd-d14fdf1d5407" TargetMode="External"/><Relationship Id="rId2798" Type="http://schemas.openxmlformats.org/officeDocument/2006/relationships/hyperlink" Target="https://analytics.zhihuiya.com/patent-view/abst?patentId=addf2b19-fb4d-4a6c-ac4d-097dfe1629ae" TargetMode="External"/><Relationship Id="rId3849" Type="http://schemas.openxmlformats.org/officeDocument/2006/relationships/hyperlink" Target="https://analytics.zhihuiya.com/patent-view/abst?patentId=1edc204a-679c-4e70-9096-938656ad5871" TargetMode="External"/><Relationship Id="rId977" Type="http://schemas.openxmlformats.org/officeDocument/2006/relationships/hyperlink" Target="https://analytics.zhihuiya.com/patent-view/abst?patentId=18a319e1-da9c-469c-a3fa-417ea39eb645" TargetMode="External"/><Relationship Id="rId2658" Type="http://schemas.openxmlformats.org/officeDocument/2006/relationships/hyperlink" Target="https://analytics.zhihuiya.com/patent-view/abst?patentId=0749d4dc-3ac9-4525-9b78-fc9b7d3c73c3" TargetMode="External"/><Relationship Id="rId2865" Type="http://schemas.openxmlformats.org/officeDocument/2006/relationships/hyperlink" Target="https://analytics.zhihuiya.com/patent-view/abst?patentId=750a68ef-4c27-450c-a645-e0b339591c10" TargetMode="External"/><Relationship Id="rId3709" Type="http://schemas.openxmlformats.org/officeDocument/2006/relationships/hyperlink" Target="https://analytics.zhihuiya.com/patent-view/abst?patentId=b7db413a-5bed-410b-8101-131661e85cf6" TargetMode="External"/><Relationship Id="rId3916" Type="http://schemas.openxmlformats.org/officeDocument/2006/relationships/hyperlink" Target="https://analytics.zhihuiya.com/patent-view/abst?patentId=1981bee9-cb86-4551-94dd-b50721abfc5d" TargetMode="External"/><Relationship Id="rId4080" Type="http://schemas.openxmlformats.org/officeDocument/2006/relationships/hyperlink" Target="https://analytics.zhihuiya.com/patent-view/abst?patentId=ec443557-99aa-470e-9371-8e4cafb7ab9d" TargetMode="External"/><Relationship Id="rId837" Type="http://schemas.openxmlformats.org/officeDocument/2006/relationships/hyperlink" Target="https://analytics.zhihuiya.com/patent-view/abst?patentId=174673a9-669a-411d-96d1-f25b89b2f551" TargetMode="External"/><Relationship Id="rId1467" Type="http://schemas.openxmlformats.org/officeDocument/2006/relationships/hyperlink" Target="https://analytics.zhihuiya.com/patent-view/abst?patentId=bc8d79ca-c05d-4ee3-9142-6df4cd9b910b" TargetMode="External"/><Relationship Id="rId1674" Type="http://schemas.openxmlformats.org/officeDocument/2006/relationships/hyperlink" Target="https://analytics.zhihuiya.com/patent-view/abst?patentId=5b4f6508-e647-4f24-96b9-627c715c3473" TargetMode="External"/><Relationship Id="rId1881" Type="http://schemas.openxmlformats.org/officeDocument/2006/relationships/hyperlink" Target="https://analytics.zhihuiya.com/patent-view/abst?patentId=7d2d2a23-3bca-47ad-9ae2-f085e1cb4b92" TargetMode="External"/><Relationship Id="rId2518" Type="http://schemas.openxmlformats.org/officeDocument/2006/relationships/hyperlink" Target="https://analytics.zhihuiya.com/patent-view/abst?patentId=e0650314-fd87-4583-9d33-fdbd65478eb9" TargetMode="External"/><Relationship Id="rId2725" Type="http://schemas.openxmlformats.org/officeDocument/2006/relationships/hyperlink" Target="https://analytics.zhihuiya.com/patent-view/abst?patentId=9ac57b86-b016-493b-98a8-d27b0047fc6d" TargetMode="External"/><Relationship Id="rId2932" Type="http://schemas.openxmlformats.org/officeDocument/2006/relationships/hyperlink" Target="https://analytics.zhihuiya.com/patent-view/abst?patentId=9dda248c-7fb0-4d55-ae5c-1fb92fa5a9ef" TargetMode="External"/><Relationship Id="rId904" Type="http://schemas.openxmlformats.org/officeDocument/2006/relationships/hyperlink" Target="https://analytics.zhihuiya.com/patent-view/abst?patentId=0816de9b-29e3-4ce4-aa00-fea9762b49b0" TargetMode="External"/><Relationship Id="rId1327" Type="http://schemas.openxmlformats.org/officeDocument/2006/relationships/hyperlink" Target="https://analytics.zhihuiya.com/patent-view/abst?patentId=9f04555c-53b9-4c99-a8d1-5026a31f9a12" TargetMode="External"/><Relationship Id="rId1534" Type="http://schemas.openxmlformats.org/officeDocument/2006/relationships/hyperlink" Target="https://analytics.zhihuiya.com/patent-view/abst?patentId=0483abc0-c7eb-471e-ac90-135998fa0208" TargetMode="External"/><Relationship Id="rId1741" Type="http://schemas.openxmlformats.org/officeDocument/2006/relationships/hyperlink" Target="https://analytics.zhihuiya.com/patent-view/abst?patentId=2e5a0468-5f93-4715-8d9c-ad8edf11df92" TargetMode="External"/><Relationship Id="rId33" Type="http://schemas.openxmlformats.org/officeDocument/2006/relationships/hyperlink" Target="https://analytics.zhihuiya.com/patent-view/abst?patentId=92fe14cf-9e06-45e4-871e-2dc698166b91" TargetMode="External"/><Relationship Id="rId1601" Type="http://schemas.openxmlformats.org/officeDocument/2006/relationships/hyperlink" Target="https://analytics.zhihuiya.com/patent-view/abst?patentId=9bc0fd4f-5bc7-4d06-bf3c-3cbceede512b" TargetMode="External"/><Relationship Id="rId3499" Type="http://schemas.openxmlformats.org/officeDocument/2006/relationships/hyperlink" Target="https://analytics.zhihuiya.com/patent-view/abst?patentId=fc7e104d-9b1b-4901-bc42-5410abefe64c" TargetMode="External"/><Relationship Id="rId3359" Type="http://schemas.openxmlformats.org/officeDocument/2006/relationships/hyperlink" Target="https://analytics.zhihuiya.com/patent-view/abst?patentId=6d56589b-7965-407d-82d2-478959174325" TargetMode="External"/><Relationship Id="rId3566" Type="http://schemas.openxmlformats.org/officeDocument/2006/relationships/hyperlink" Target="https://analytics.zhihuiya.com/patent-view/abst?patentId=41127e58-fce2-4a97-9f9e-0b1a85dc25b1" TargetMode="External"/><Relationship Id="rId487" Type="http://schemas.openxmlformats.org/officeDocument/2006/relationships/hyperlink" Target="https://analytics.zhihuiya.com/patent-view/abst?patentId=23b5724a-7fe8-48d5-bced-1f568f77d037" TargetMode="External"/><Relationship Id="rId694" Type="http://schemas.openxmlformats.org/officeDocument/2006/relationships/hyperlink" Target="https://analytics.zhihuiya.com/patent-view/abst?patentId=b31b51ef-8b17-4b45-9e39-2704e095d425" TargetMode="External"/><Relationship Id="rId2168" Type="http://schemas.openxmlformats.org/officeDocument/2006/relationships/hyperlink" Target="https://analytics.zhihuiya.com/patent-view/abst?patentId=54fca27a-38f0-4078-9e3b-62f0893af9a5" TargetMode="External"/><Relationship Id="rId2375" Type="http://schemas.openxmlformats.org/officeDocument/2006/relationships/hyperlink" Target="https://analytics.zhihuiya.com/patent-view/abst?patentId=5e0854b9-6a5a-4365-83b4-ba4787019975" TargetMode="External"/><Relationship Id="rId3219" Type="http://schemas.openxmlformats.org/officeDocument/2006/relationships/hyperlink" Target="https://analytics.zhihuiya.com/patent-view/abst?patentId=5a313960-357d-42aa-a813-5dcbf20f7b24" TargetMode="External"/><Relationship Id="rId3773" Type="http://schemas.openxmlformats.org/officeDocument/2006/relationships/hyperlink" Target="https://analytics.zhihuiya.com/patent-view/abst?patentId=5b290930-74bf-42e6-a969-f97f849d059c" TargetMode="External"/><Relationship Id="rId3980" Type="http://schemas.openxmlformats.org/officeDocument/2006/relationships/hyperlink" Target="https://analytics.zhihuiya.com/patent-view/abst?patentId=8aedafc6-f03c-4230-b0fc-286892ef1b3f" TargetMode="External"/><Relationship Id="rId347" Type="http://schemas.openxmlformats.org/officeDocument/2006/relationships/hyperlink" Target="https://analytics.zhihuiya.com/patent-view/abst?patentId=64fe375e-aba3-41e0-9106-7b37dc77c13a" TargetMode="External"/><Relationship Id="rId1184" Type="http://schemas.openxmlformats.org/officeDocument/2006/relationships/hyperlink" Target="https://analytics.zhihuiya.com/patent-view/abst?patentId=3c58e8c9-9bea-457d-9fee-e46d53707f74" TargetMode="External"/><Relationship Id="rId2028" Type="http://schemas.openxmlformats.org/officeDocument/2006/relationships/hyperlink" Target="https://analytics.zhihuiya.com/patent-view/abst?patentId=aebb6a25-9918-00c8-d43e-556cdd2566ff" TargetMode="External"/><Relationship Id="rId2582" Type="http://schemas.openxmlformats.org/officeDocument/2006/relationships/hyperlink" Target="https://analytics.zhihuiya.com/patent-view/abst?patentId=abdf4c0a-6f6f-4247-aae2-945f713ebc62" TargetMode="External"/><Relationship Id="rId3426" Type="http://schemas.openxmlformats.org/officeDocument/2006/relationships/hyperlink" Target="https://analytics.zhihuiya.com/patent-view/abst?patentId=1736c755-6422-42b4-9435-cbd8c687f754" TargetMode="External"/><Relationship Id="rId3633" Type="http://schemas.openxmlformats.org/officeDocument/2006/relationships/hyperlink" Target="https://analytics.zhihuiya.com/patent-view/abst?patentId=0298403a-a216-4f48-91c4-306c29c2dfa5" TargetMode="External"/><Relationship Id="rId3840" Type="http://schemas.openxmlformats.org/officeDocument/2006/relationships/hyperlink" Target="https://analytics.zhihuiya.com/patent-view/abst?patentId=e69a39a9-15c4-4c7c-992d-9e318dbe1c66" TargetMode="External"/><Relationship Id="rId554" Type="http://schemas.openxmlformats.org/officeDocument/2006/relationships/hyperlink" Target="https://analytics.zhihuiya.com/patent-view/abst?patentId=44cd7fbe-f699-422c-9ae6-b84170b7d2ce" TargetMode="External"/><Relationship Id="rId761" Type="http://schemas.openxmlformats.org/officeDocument/2006/relationships/hyperlink" Target="https://analytics.zhihuiya.com/patent-view/abst?patentId=6ebccb59-11bf-44d0-98ba-1bb9f2b3c77c" TargetMode="External"/><Relationship Id="rId1391" Type="http://schemas.openxmlformats.org/officeDocument/2006/relationships/hyperlink" Target="https://analytics.zhihuiya.com/patent-view/abst?patentId=a086d540-5b4d-4d8a-ac23-7ef9c760e9a7" TargetMode="External"/><Relationship Id="rId2235" Type="http://schemas.openxmlformats.org/officeDocument/2006/relationships/hyperlink" Target="https://analytics.zhihuiya.com/patent-view/abst?patentId=5156a7af-a990-4957-9728-ea6d1257a161" TargetMode="External"/><Relationship Id="rId2442" Type="http://schemas.openxmlformats.org/officeDocument/2006/relationships/hyperlink" Target="https://analytics.zhihuiya.com/patent-view/abst?patentId=6e7bbab5-a5c4-48bf-8de3-a5544868b44d" TargetMode="External"/><Relationship Id="rId3700" Type="http://schemas.openxmlformats.org/officeDocument/2006/relationships/hyperlink" Target="https://analytics.zhihuiya.com/patent-view/abst?patentId=f41d0d82-f5fc-4247-9468-add069f40fc2" TargetMode="External"/><Relationship Id="rId207" Type="http://schemas.openxmlformats.org/officeDocument/2006/relationships/hyperlink" Target="https://analytics.zhihuiya.com/patent-view/abst?patentId=794db7fb-5156-4804-abae-5f74cbfd4125" TargetMode="External"/><Relationship Id="rId414" Type="http://schemas.openxmlformats.org/officeDocument/2006/relationships/hyperlink" Target="https://analytics.zhihuiya.com/patent-view/abst?patentId=e9867a6f-3cb8-4f63-914f-443b88e54f5d" TargetMode="External"/><Relationship Id="rId621" Type="http://schemas.openxmlformats.org/officeDocument/2006/relationships/hyperlink" Target="https://analytics.zhihuiya.com/patent-view/abst?patentId=54d62aa9-19c7-4f56-887c-2bffc2679a91" TargetMode="External"/><Relationship Id="rId1044" Type="http://schemas.openxmlformats.org/officeDocument/2006/relationships/hyperlink" Target="https://analytics.zhihuiya.com/patent-view/abst?patentId=f7703ad0-d225-415d-ac3c-abb1836f9ce0" TargetMode="External"/><Relationship Id="rId1251" Type="http://schemas.openxmlformats.org/officeDocument/2006/relationships/hyperlink" Target="https://analytics.zhihuiya.com/patent-view/abst?patentId=cceac9c3-f62f-45a3-8c89-4114af261480" TargetMode="External"/><Relationship Id="rId2302" Type="http://schemas.openxmlformats.org/officeDocument/2006/relationships/hyperlink" Target="https://analytics.zhihuiya.com/patent-view/abst?patentId=d96e88d4-bdb9-aecd-520e-28fae9c98f00" TargetMode="External"/><Relationship Id="rId1111" Type="http://schemas.openxmlformats.org/officeDocument/2006/relationships/hyperlink" Target="https://analytics.zhihuiya.com/patent-view/abst?patentId=34bea777-3c3b-4cb0-9a51-4cebb548b376" TargetMode="External"/><Relationship Id="rId4267" Type="http://schemas.openxmlformats.org/officeDocument/2006/relationships/hyperlink" Target="https://analytics.zhihuiya.com/patent-view/abst?patentId=6731bb42-c5d1-454d-a646-f5c86d24f4b1" TargetMode="External"/><Relationship Id="rId3076" Type="http://schemas.openxmlformats.org/officeDocument/2006/relationships/hyperlink" Target="https://analytics.zhihuiya.com/patent-view/abst?patentId=87223514-009e-4dcc-989e-aedd5012b129" TargetMode="External"/><Relationship Id="rId3283" Type="http://schemas.openxmlformats.org/officeDocument/2006/relationships/hyperlink" Target="https://analytics.zhihuiya.com/patent-view/abst?patentId=8bed17dd-8052-4099-a0cc-910cf1ef6317" TargetMode="External"/><Relationship Id="rId3490" Type="http://schemas.openxmlformats.org/officeDocument/2006/relationships/hyperlink" Target="https://analytics.zhihuiya.com/patent-view/abst?patentId=74f5b135-5eb3-44a2-9455-b4761ebff14a" TargetMode="External"/><Relationship Id="rId4127" Type="http://schemas.openxmlformats.org/officeDocument/2006/relationships/hyperlink" Target="https://analytics.zhihuiya.com/patent-view/abst?patentId=6cbb5ff5-7637-4028-947d-5e7e2454f101" TargetMode="External"/><Relationship Id="rId4334" Type="http://schemas.openxmlformats.org/officeDocument/2006/relationships/hyperlink" Target="https://analytics.zhihuiya.com/patent-view/abst?patentId=9a4d618f-3459-4b15-8413-7a93eefe0aad" TargetMode="External"/><Relationship Id="rId1928" Type="http://schemas.openxmlformats.org/officeDocument/2006/relationships/hyperlink" Target="https://analytics.zhihuiya.com/patent-view/abst?patentId=adf225fa-b5f0-40b7-9f83-885d8bf28c05" TargetMode="External"/><Relationship Id="rId2092" Type="http://schemas.openxmlformats.org/officeDocument/2006/relationships/hyperlink" Target="https://analytics.zhihuiya.com/patent-view/abst?patentId=65f3610b-a566-41f0-8262-13906c4d6ef8" TargetMode="External"/><Relationship Id="rId3143" Type="http://schemas.openxmlformats.org/officeDocument/2006/relationships/hyperlink" Target="https://analytics.zhihuiya.com/patent-view/abst?patentId=6b8ba35b-7d0e-4e2f-a7ea-5f7d458bfd4d" TargetMode="External"/><Relationship Id="rId3350" Type="http://schemas.openxmlformats.org/officeDocument/2006/relationships/hyperlink" Target="https://analytics.zhihuiya.com/patent-view/abst?patentId=85103b72-d1f1-45a3-b73c-c142faaf2d15" TargetMode="External"/><Relationship Id="rId271" Type="http://schemas.openxmlformats.org/officeDocument/2006/relationships/hyperlink" Target="https://analytics.zhihuiya.com/patent-view/abst?patentId=964f590e-1863-49a1-8be9-aee3474f216b" TargetMode="External"/><Relationship Id="rId3003" Type="http://schemas.openxmlformats.org/officeDocument/2006/relationships/hyperlink" Target="https://analytics.zhihuiya.com/patent-view/abst?patentId=7b448c22-ea18-4537-b3ac-2c02a6fbf7f9" TargetMode="External"/><Relationship Id="rId4401" Type="http://schemas.openxmlformats.org/officeDocument/2006/relationships/hyperlink" Target="https://analytics.zhihuiya.com/patent-view/abst?patentId=51fcfebb-1e70-4ac2-917f-84e09a1d4f59" TargetMode="External"/><Relationship Id="rId131" Type="http://schemas.openxmlformats.org/officeDocument/2006/relationships/hyperlink" Target="https://analytics.zhihuiya.com/patent-view/abst?patentId=c40a0390-1c4e-49a2-b70f-efd4b89fda65" TargetMode="External"/><Relationship Id="rId3210" Type="http://schemas.openxmlformats.org/officeDocument/2006/relationships/hyperlink" Target="https://analytics.zhihuiya.com/patent-view/abst?patentId=657049bd-4633-4ba8-af3e-8c6cf2f390b7" TargetMode="External"/><Relationship Id="rId2769" Type="http://schemas.openxmlformats.org/officeDocument/2006/relationships/hyperlink" Target="https://analytics.zhihuiya.com/patent-view/abst?patentId=91de5d64-783b-473b-bb34-22fef0bfca4a" TargetMode="External"/><Relationship Id="rId2976" Type="http://schemas.openxmlformats.org/officeDocument/2006/relationships/hyperlink" Target="https://analytics.zhihuiya.com/patent-view/abst?patentId=044ad8d8-c2d9-41ca-866c-1b43568c0579" TargetMode="External"/><Relationship Id="rId948" Type="http://schemas.openxmlformats.org/officeDocument/2006/relationships/hyperlink" Target="https://analytics.zhihuiya.com/patent-view/abst?patentId=bf88ef35-80f4-451a-9b0e-154f38b47889" TargetMode="External"/><Relationship Id="rId1578" Type="http://schemas.openxmlformats.org/officeDocument/2006/relationships/hyperlink" Target="https://analytics.zhihuiya.com/patent-view/abst?patentId=9d2e91b2-e494-404e-aa25-82c8722b97c1" TargetMode="External"/><Relationship Id="rId1785" Type="http://schemas.openxmlformats.org/officeDocument/2006/relationships/hyperlink" Target="https://analytics.zhihuiya.com/patent-view/abst?patentId=4ac0b3f9-5b3c-4d75-bea9-7600aa88a133" TargetMode="External"/><Relationship Id="rId1992" Type="http://schemas.openxmlformats.org/officeDocument/2006/relationships/hyperlink" Target="https://analytics.zhihuiya.com/patent-view/abst?patentId=b4bdce2f-6846-4c55-8402-4079ee384373" TargetMode="External"/><Relationship Id="rId2629" Type="http://schemas.openxmlformats.org/officeDocument/2006/relationships/hyperlink" Target="https://analytics.zhihuiya.com/patent-view/abst?patentId=09743cc4-30e8-4c57-a030-bbf103396715" TargetMode="External"/><Relationship Id="rId2836" Type="http://schemas.openxmlformats.org/officeDocument/2006/relationships/hyperlink" Target="https://analytics.zhihuiya.com/patent-view/abst?patentId=b8087721-e745-4d85-a7ef-9d9e37c597df" TargetMode="External"/><Relationship Id="rId4191" Type="http://schemas.openxmlformats.org/officeDocument/2006/relationships/hyperlink" Target="https://analytics.zhihuiya.com/patent-view/abst?patentId=9bea3df2-79e5-4123-81df-08bd8300824e" TargetMode="External"/><Relationship Id="rId77" Type="http://schemas.openxmlformats.org/officeDocument/2006/relationships/hyperlink" Target="https://analytics.zhihuiya.com/patent-view/abst?patentId=6648cf1b-cf4c-4c9a-8a3e-9639829ad084" TargetMode="External"/><Relationship Id="rId808" Type="http://schemas.openxmlformats.org/officeDocument/2006/relationships/hyperlink" Target="https://analytics.zhihuiya.com/patent-view/abst?patentId=07ef99bb-033a-4225-bcdd-2f9c39a3efab" TargetMode="External"/><Relationship Id="rId1438" Type="http://schemas.openxmlformats.org/officeDocument/2006/relationships/hyperlink" Target="https://analytics.zhihuiya.com/patent-view/abst?patentId=8da8fd5b-6701-4219-bce3-8950f057c5f0" TargetMode="External"/><Relationship Id="rId1645" Type="http://schemas.openxmlformats.org/officeDocument/2006/relationships/hyperlink" Target="https://analytics.zhihuiya.com/patent-view/abst?patentId=991df17d-e478-4693-a654-630a8a31a48d" TargetMode="External"/><Relationship Id="rId4051" Type="http://schemas.openxmlformats.org/officeDocument/2006/relationships/hyperlink" Target="https://analytics.zhihuiya.com/patent-view/abst?patentId=cf4dbac3-5a27-481a-8d1c-525feadb8170" TargetMode="External"/><Relationship Id="rId1852" Type="http://schemas.openxmlformats.org/officeDocument/2006/relationships/hyperlink" Target="https://analytics.zhihuiya.com/patent-view/abst?patentId=a17db19a-992a-4e90-a4fc-114a9d3f0b18" TargetMode="External"/><Relationship Id="rId2903" Type="http://schemas.openxmlformats.org/officeDocument/2006/relationships/hyperlink" Target="https://analytics.zhihuiya.com/patent-view/abst?patentId=f74d7061-839f-42b2-b65a-84ee9a7cba72" TargetMode="External"/><Relationship Id="rId1505" Type="http://schemas.openxmlformats.org/officeDocument/2006/relationships/hyperlink" Target="https://analytics.zhihuiya.com/patent-view/abst?patentId=efb7412d-d2e0-41aa-97a7-ac71f9d39b54" TargetMode="External"/><Relationship Id="rId1712" Type="http://schemas.openxmlformats.org/officeDocument/2006/relationships/hyperlink" Target="https://analytics.zhihuiya.com/patent-view/abst?patentId=3a0c6efe-75ed-4fe8-b581-ba644ab818d3" TargetMode="External"/><Relationship Id="rId3677" Type="http://schemas.openxmlformats.org/officeDocument/2006/relationships/hyperlink" Target="https://analytics.zhihuiya.com/patent-view/abst?patentId=fbf5d547-91c3-440a-b5fc-21c46ce279c1" TargetMode="External"/><Relationship Id="rId3884" Type="http://schemas.openxmlformats.org/officeDocument/2006/relationships/hyperlink" Target="https://analytics.zhihuiya.com/patent-view/abst?patentId=28f7ae3a-e401-4e72-8066-1d5040253da7" TargetMode="External"/><Relationship Id="rId598" Type="http://schemas.openxmlformats.org/officeDocument/2006/relationships/hyperlink" Target="https://analytics.zhihuiya.com/patent-view/abst?patentId=34c97703-5ff1-4a96-a7ad-4987512456a9" TargetMode="External"/><Relationship Id="rId2279" Type="http://schemas.openxmlformats.org/officeDocument/2006/relationships/hyperlink" Target="https://analytics.zhihuiya.com/patent-view/abst?patentId=e393fbc3-d358-43f5-898a-e8654ec54fa9" TargetMode="External"/><Relationship Id="rId2486" Type="http://schemas.openxmlformats.org/officeDocument/2006/relationships/hyperlink" Target="https://analytics.zhihuiya.com/patent-view/abst?patentId=171a6ee6-41ad-4529-a3ec-71dd989cf546" TargetMode="External"/><Relationship Id="rId2693" Type="http://schemas.openxmlformats.org/officeDocument/2006/relationships/hyperlink" Target="https://analytics.zhihuiya.com/patent-view/abst?patentId=e7961b0f-4949-4565-bc6a-be19ff63666c" TargetMode="External"/><Relationship Id="rId3537" Type="http://schemas.openxmlformats.org/officeDocument/2006/relationships/hyperlink" Target="https://analytics.zhihuiya.com/patent-view/abst?patentId=d9db6cdf-5dea-4294-8a2b-8cfd2f402c65" TargetMode="External"/><Relationship Id="rId3744" Type="http://schemas.openxmlformats.org/officeDocument/2006/relationships/hyperlink" Target="https://analytics.zhihuiya.com/patent-view/abst?patentId=d409293d-aee7-4cd9-a02b-62eddd1f9c61" TargetMode="External"/><Relationship Id="rId3951" Type="http://schemas.openxmlformats.org/officeDocument/2006/relationships/hyperlink" Target="https://analytics.zhihuiya.com/patent-view/abst?patentId=5718273f-5ac8-4b5b-8958-8eecf8316d4c" TargetMode="External"/><Relationship Id="rId458" Type="http://schemas.openxmlformats.org/officeDocument/2006/relationships/hyperlink" Target="https://analytics.zhihuiya.com/patent-view/abst?patentId=1322feed-fec9-4383-a615-3250c3eefd52" TargetMode="External"/><Relationship Id="rId665" Type="http://schemas.openxmlformats.org/officeDocument/2006/relationships/hyperlink" Target="https://analytics.zhihuiya.com/patent-view/abst?patentId=726171f1-4164-4d10-bafc-a9997202e8f0" TargetMode="External"/><Relationship Id="rId872" Type="http://schemas.openxmlformats.org/officeDocument/2006/relationships/hyperlink" Target="https://analytics.zhihuiya.com/patent-view/abst?patentId=f416e510-6417-4435-9f2d-dc97bedba3f4" TargetMode="External"/><Relationship Id="rId1088" Type="http://schemas.openxmlformats.org/officeDocument/2006/relationships/hyperlink" Target="https://analytics.zhihuiya.com/patent-view/abst?patentId=4b1878f2-cf74-4bb6-b1f4-f5f4388d7557" TargetMode="External"/><Relationship Id="rId1295" Type="http://schemas.openxmlformats.org/officeDocument/2006/relationships/hyperlink" Target="https://analytics.zhihuiya.com/patent-view/abst?patentId=2d587b17-7cab-469f-b8b7-bdc805e7235d" TargetMode="External"/><Relationship Id="rId2139" Type="http://schemas.openxmlformats.org/officeDocument/2006/relationships/hyperlink" Target="https://analytics.zhihuiya.com/patent-view/abst?patentId=4dba2bc2-086c-4b37-9dff-d55e32e72984" TargetMode="External"/><Relationship Id="rId2346" Type="http://schemas.openxmlformats.org/officeDocument/2006/relationships/hyperlink" Target="https://analytics.zhihuiya.com/patent-view/abst?patentId=b666f31f-5e01-4118-9a0b-4129b5783fdd" TargetMode="External"/><Relationship Id="rId2553" Type="http://schemas.openxmlformats.org/officeDocument/2006/relationships/hyperlink" Target="https://analytics.zhihuiya.com/patent-view/abst?patentId=93e60778-0ae1-4092-90d3-3738aa57c69c" TargetMode="External"/><Relationship Id="rId2760" Type="http://schemas.openxmlformats.org/officeDocument/2006/relationships/hyperlink" Target="https://analytics.zhihuiya.com/patent-view/abst?patentId=276d4c61-b84b-4333-86c3-d5fd9d06ad3c" TargetMode="External"/><Relationship Id="rId3604" Type="http://schemas.openxmlformats.org/officeDocument/2006/relationships/hyperlink" Target="https://analytics.zhihuiya.com/patent-view/abst?patentId=cb03bfdc-d6bc-41aa-8e5b-4bf6302bf74b" TargetMode="External"/><Relationship Id="rId3811" Type="http://schemas.openxmlformats.org/officeDocument/2006/relationships/hyperlink" Target="https://analytics.zhihuiya.com/patent-view/abst?patentId=b91a3676-9bb8-4616-9a51-146502c39d66" TargetMode="External"/><Relationship Id="rId318" Type="http://schemas.openxmlformats.org/officeDocument/2006/relationships/hyperlink" Target="https://analytics.zhihuiya.com/patent-view/abst?patentId=220603a3-aa96-4940-bb99-cf0a01b079fb" TargetMode="External"/><Relationship Id="rId525" Type="http://schemas.openxmlformats.org/officeDocument/2006/relationships/hyperlink" Target="https://analytics.zhihuiya.com/patent-view/abst?patentId=22346a3a-faf3-41c4-9362-361690941846" TargetMode="External"/><Relationship Id="rId732" Type="http://schemas.openxmlformats.org/officeDocument/2006/relationships/hyperlink" Target="https://analytics.zhihuiya.com/patent-view/abst?patentId=ef7ad955-77a9-4fa0-9fd7-f2b79737e92e" TargetMode="External"/><Relationship Id="rId1155" Type="http://schemas.openxmlformats.org/officeDocument/2006/relationships/hyperlink" Target="https://analytics.zhihuiya.com/patent-view/abst?patentId=72849f0b-820a-42fc-a188-2037fdd08842" TargetMode="External"/><Relationship Id="rId1362" Type="http://schemas.openxmlformats.org/officeDocument/2006/relationships/hyperlink" Target="https://analytics.zhihuiya.com/patent-view/abst?patentId=a3afe6c4-dcf0-4f5e-b6fd-4856172fe124" TargetMode="External"/><Relationship Id="rId2206" Type="http://schemas.openxmlformats.org/officeDocument/2006/relationships/hyperlink" Target="https://analytics.zhihuiya.com/patent-view/abst?patentId=830922ee-fd11-434e-8e75-97edb2dec971" TargetMode="External"/><Relationship Id="rId2413" Type="http://schemas.openxmlformats.org/officeDocument/2006/relationships/hyperlink" Target="https://analytics.zhihuiya.com/patent-view/abst?patentId=ab15301e-a4a2-4237-bcf6-cbc21403e19b" TargetMode="External"/><Relationship Id="rId2620" Type="http://schemas.openxmlformats.org/officeDocument/2006/relationships/hyperlink" Target="https://analytics.zhihuiya.com/patent-view/abst?patentId=17709fb4-20bd-42d2-8159-08bb029176c5" TargetMode="External"/><Relationship Id="rId1015" Type="http://schemas.openxmlformats.org/officeDocument/2006/relationships/hyperlink" Target="https://analytics.zhihuiya.com/patent-view/abst?patentId=3f696960-e42b-4252-b646-00497d051af8" TargetMode="External"/><Relationship Id="rId1222" Type="http://schemas.openxmlformats.org/officeDocument/2006/relationships/hyperlink" Target="https://analytics.zhihuiya.com/patent-view/abst?patentId=22b75031-2ca3-4bc0-bbdb-f9aba85e311d" TargetMode="External"/><Relationship Id="rId4378" Type="http://schemas.openxmlformats.org/officeDocument/2006/relationships/hyperlink" Target="https://analytics.zhihuiya.com/patent-view/abst?patentId=eeb781d9-7105-483d-a57d-a43bdc44c620" TargetMode="External"/><Relationship Id="rId3187" Type="http://schemas.openxmlformats.org/officeDocument/2006/relationships/hyperlink" Target="https://analytics.zhihuiya.com/patent-view/abst?patentId=964497c7-1f7a-4cb6-98b4-d542bd8de655" TargetMode="External"/><Relationship Id="rId3394" Type="http://schemas.openxmlformats.org/officeDocument/2006/relationships/hyperlink" Target="https://analytics.zhihuiya.com/patent-view/abst?patentId=5158ae08-67a0-4ca5-991e-de7bfdf42565" TargetMode="External"/><Relationship Id="rId4238" Type="http://schemas.openxmlformats.org/officeDocument/2006/relationships/hyperlink" Target="https://analytics.zhihuiya.com/patent-view/abst?patentId=8f3c189b-820d-48b2-bfcd-b983a15674be" TargetMode="External"/><Relationship Id="rId3047" Type="http://schemas.openxmlformats.org/officeDocument/2006/relationships/hyperlink" Target="https://analytics.zhihuiya.com/patent-view/abst?patentId=0ea966c3-8ea8-4a9b-b4a3-19e6b84d29da" TargetMode="External"/><Relationship Id="rId4445" Type="http://schemas.openxmlformats.org/officeDocument/2006/relationships/hyperlink" Target="https://analytics.zhihuiya.com/patent-view/abst?patentId=13792fdd-c46f-468f-9f2d-4a7cbd524f30" TargetMode="External"/><Relationship Id="rId175" Type="http://schemas.openxmlformats.org/officeDocument/2006/relationships/hyperlink" Target="https://analytics.zhihuiya.com/patent-view/abst?patentId=8d377b70-9c3a-4f44-bc0f-28038c5373db" TargetMode="External"/><Relationship Id="rId3254" Type="http://schemas.openxmlformats.org/officeDocument/2006/relationships/hyperlink" Target="https://analytics.zhihuiya.com/patent-view/abst?patentId=0a4c1722-8b4a-4a8b-8918-593be133aaf6" TargetMode="External"/><Relationship Id="rId3461" Type="http://schemas.openxmlformats.org/officeDocument/2006/relationships/hyperlink" Target="https://analytics.zhihuiya.com/patent-view/abst?patentId=7ba33a3d-1161-4e35-ab6c-a7a1ebb2df1b" TargetMode="External"/><Relationship Id="rId4305" Type="http://schemas.openxmlformats.org/officeDocument/2006/relationships/hyperlink" Target="https://analytics.zhihuiya.com/patent-view/abst?patentId=4c87159b-478a-4cee-957a-04430ed2f9cf" TargetMode="External"/><Relationship Id="rId382" Type="http://schemas.openxmlformats.org/officeDocument/2006/relationships/hyperlink" Target="https://analytics.zhihuiya.com/patent-view/abst?patentId=68bb948e-8bc2-4c96-aa92-bd771c32b253" TargetMode="External"/><Relationship Id="rId2063" Type="http://schemas.openxmlformats.org/officeDocument/2006/relationships/hyperlink" Target="https://analytics.zhihuiya.com/patent-view/abst?patentId=01dab557-83d2-4f24-a9f9-c9d8df8989b9" TargetMode="External"/><Relationship Id="rId2270" Type="http://schemas.openxmlformats.org/officeDocument/2006/relationships/hyperlink" Target="https://analytics.zhihuiya.com/patent-view/abst?patentId=45de4479-edee-47e1-b539-c4615a0bcc3d" TargetMode="External"/><Relationship Id="rId3114" Type="http://schemas.openxmlformats.org/officeDocument/2006/relationships/hyperlink" Target="https://analytics.zhihuiya.com/patent-view/abst?patentId=d2d6cc0d-c2c0-4a2a-9e0b-760554124bf9" TargetMode="External"/><Relationship Id="rId3321" Type="http://schemas.openxmlformats.org/officeDocument/2006/relationships/hyperlink" Target="https://analytics.zhihuiya.com/patent-view/abst?patentId=4767662f-b97f-41cd-9c3f-d233c87cdfd1" TargetMode="External"/><Relationship Id="rId242" Type="http://schemas.openxmlformats.org/officeDocument/2006/relationships/hyperlink" Target="https://analytics.zhihuiya.com/patent-view/abst?patentId=d2c405a0-3adc-434b-b12b-ad49c084a4f4" TargetMode="External"/><Relationship Id="rId2130" Type="http://schemas.openxmlformats.org/officeDocument/2006/relationships/hyperlink" Target="https://analytics.zhihuiya.com/patent-view/abst?patentId=c120cedc-5dd7-40a8-9b36-a44f2324deac" TargetMode="External"/><Relationship Id="rId102" Type="http://schemas.openxmlformats.org/officeDocument/2006/relationships/hyperlink" Target="https://analytics.zhihuiya.com/patent-view/abst?patentId=6e7abd77-1112-4eae-b878-ffcb6c9086d1" TargetMode="External"/><Relationship Id="rId1689" Type="http://schemas.openxmlformats.org/officeDocument/2006/relationships/hyperlink" Target="https://analytics.zhihuiya.com/patent-view/abst?patentId=8b0c4b88-fb86-4df0-bb98-eedbac78dcb5" TargetMode="External"/><Relationship Id="rId4095" Type="http://schemas.openxmlformats.org/officeDocument/2006/relationships/hyperlink" Target="https://analytics.zhihuiya.com/patent-view/abst?patentId=557f82b5-97ad-490f-b8e9-f07d2397e8fe" TargetMode="External"/><Relationship Id="rId1896" Type="http://schemas.openxmlformats.org/officeDocument/2006/relationships/hyperlink" Target="https://analytics.zhihuiya.com/patent-view/abst?patentId=2e468eb2-ff4c-4862-bdb3-e61de3263e2d" TargetMode="External"/><Relationship Id="rId2947" Type="http://schemas.openxmlformats.org/officeDocument/2006/relationships/hyperlink" Target="https://analytics.zhihuiya.com/patent-view/abst?patentId=4db78ee6-0747-4dcf-9868-4a213912c03c" TargetMode="External"/><Relationship Id="rId4162" Type="http://schemas.openxmlformats.org/officeDocument/2006/relationships/hyperlink" Target="https://analytics.zhihuiya.com/patent-view/abst?patentId=dd1391f5-b0f5-4d51-a67e-53681c85998c" TargetMode="External"/><Relationship Id="rId919" Type="http://schemas.openxmlformats.org/officeDocument/2006/relationships/hyperlink" Target="https://analytics.zhihuiya.com/patent-view/abst?patentId=ca61582f-a7c6-4af6-afd0-fae68bb8de72" TargetMode="External"/><Relationship Id="rId1549" Type="http://schemas.openxmlformats.org/officeDocument/2006/relationships/hyperlink" Target="https://analytics.zhihuiya.com/patent-view/abst?patentId=574f7504-cb67-4be0-b7e5-4e6fc31f70b5" TargetMode="External"/><Relationship Id="rId1756" Type="http://schemas.openxmlformats.org/officeDocument/2006/relationships/hyperlink" Target="https://analytics.zhihuiya.com/patent-view/abst?patentId=f8e5fc3a-5170-48f6-afd7-394bcfa3a385" TargetMode="External"/><Relationship Id="rId1963" Type="http://schemas.openxmlformats.org/officeDocument/2006/relationships/hyperlink" Target="https://analytics.zhihuiya.com/patent-view/abst?patentId=612e70ae-590b-4bd5-87c6-1fcd373e5e5f" TargetMode="External"/><Relationship Id="rId2807" Type="http://schemas.openxmlformats.org/officeDocument/2006/relationships/hyperlink" Target="https://analytics.zhihuiya.com/patent-view/abst?patentId=d87d1933-0c29-4f64-96aa-19d424a4b7e4" TargetMode="External"/><Relationship Id="rId4022" Type="http://schemas.openxmlformats.org/officeDocument/2006/relationships/hyperlink" Target="https://analytics.zhihuiya.com/patent-view/abst?patentId=19d4031a-83e0-44a7-b68c-a4f7a553902b" TargetMode="External"/><Relationship Id="rId48" Type="http://schemas.openxmlformats.org/officeDocument/2006/relationships/hyperlink" Target="https://analytics.zhihuiya.com/patent-view/abst?patentId=8dfccb7f-7bdd-40c8-ba86-b33b7bb31e49" TargetMode="External"/><Relationship Id="rId1409" Type="http://schemas.openxmlformats.org/officeDocument/2006/relationships/hyperlink" Target="https://analytics.zhihuiya.com/patent-view/abst?patentId=2bc18c1d-942f-42e8-ac5e-4bcb44e10297" TargetMode="External"/><Relationship Id="rId1616" Type="http://schemas.openxmlformats.org/officeDocument/2006/relationships/hyperlink" Target="https://analytics.zhihuiya.com/patent-view/abst?patentId=9ecd3b75-fce4-4efe-81de-68509355bf76" TargetMode="External"/><Relationship Id="rId1823" Type="http://schemas.openxmlformats.org/officeDocument/2006/relationships/hyperlink" Target="https://analytics.zhihuiya.com/patent-view/abst?patentId=e5375d35-85ce-427b-9784-a68c86a557fa" TargetMode="External"/><Relationship Id="rId3788" Type="http://schemas.openxmlformats.org/officeDocument/2006/relationships/hyperlink" Target="https://analytics.zhihuiya.com/patent-view/abst?patentId=f2cb8b98-13cc-4dee-bf2b-e249a8c81a61" TargetMode="External"/><Relationship Id="rId3995" Type="http://schemas.openxmlformats.org/officeDocument/2006/relationships/hyperlink" Target="https://analytics.zhihuiya.com/patent-view/abst?patentId=df6c1514-47a5-480f-8eb5-76a40919162f" TargetMode="External"/><Relationship Id="rId2597" Type="http://schemas.openxmlformats.org/officeDocument/2006/relationships/hyperlink" Target="https://analytics.zhihuiya.com/patent-view/abst?patentId=3de937e6-6b0b-4810-a9e3-1fea6d7ae6e8" TargetMode="External"/><Relationship Id="rId3648" Type="http://schemas.openxmlformats.org/officeDocument/2006/relationships/hyperlink" Target="https://analytics.zhihuiya.com/patent-view/abst?patentId=e071bc8d-83c3-4f42-85a4-d7316f9a0271" TargetMode="External"/><Relationship Id="rId3855" Type="http://schemas.openxmlformats.org/officeDocument/2006/relationships/hyperlink" Target="https://analytics.zhihuiya.com/patent-view/abst?patentId=bf6e7465-d81b-4f49-8009-5afade62abb5" TargetMode="External"/><Relationship Id="rId569" Type="http://schemas.openxmlformats.org/officeDocument/2006/relationships/hyperlink" Target="https://analytics.zhihuiya.com/patent-view/abst?patentId=da40a9f7-c19f-4c85-9645-8a482d6d371d" TargetMode="External"/><Relationship Id="rId776" Type="http://schemas.openxmlformats.org/officeDocument/2006/relationships/hyperlink" Target="https://analytics.zhihuiya.com/patent-view/abst?patentId=3f7c0658-8b8e-400e-8805-e56abebfd22e" TargetMode="External"/><Relationship Id="rId983" Type="http://schemas.openxmlformats.org/officeDocument/2006/relationships/hyperlink" Target="https://analytics.zhihuiya.com/patent-view/abst?patentId=419ff152-8241-4abb-9a18-c681c34d0e91" TargetMode="External"/><Relationship Id="rId1199" Type="http://schemas.openxmlformats.org/officeDocument/2006/relationships/hyperlink" Target="https://analytics.zhihuiya.com/patent-view/abst?patentId=ddc63332-20f8-4366-b41b-6762f1a8d555" TargetMode="External"/><Relationship Id="rId2457" Type="http://schemas.openxmlformats.org/officeDocument/2006/relationships/hyperlink" Target="https://analytics.zhihuiya.com/patent-view/abst?patentId=db253f16-7ac8-4b58-b4db-5d61d6f7b1f6" TargetMode="External"/><Relationship Id="rId2664" Type="http://schemas.openxmlformats.org/officeDocument/2006/relationships/hyperlink" Target="https://analytics.zhihuiya.com/patent-view/abst?patentId=a1089142-db33-4085-80f8-c4fbb4b0138e" TargetMode="External"/><Relationship Id="rId3508" Type="http://schemas.openxmlformats.org/officeDocument/2006/relationships/hyperlink" Target="https://analytics.zhihuiya.com/patent-view/abst?patentId=6b824919-9bc2-4bd8-9b11-b615d2926ebd" TargetMode="External"/><Relationship Id="rId429" Type="http://schemas.openxmlformats.org/officeDocument/2006/relationships/hyperlink" Target="https://analytics.zhihuiya.com/patent-view/abst?patentId=b7b5dd7a-9ebb-4ead-9920-ddc99313017c" TargetMode="External"/><Relationship Id="rId636" Type="http://schemas.openxmlformats.org/officeDocument/2006/relationships/hyperlink" Target="https://analytics.zhihuiya.com/patent-view/abst?patentId=58ad2209-26bc-4b9a-814d-67090bc2c8a3" TargetMode="External"/><Relationship Id="rId1059" Type="http://schemas.openxmlformats.org/officeDocument/2006/relationships/hyperlink" Target="https://analytics.zhihuiya.com/patent-view/abst?patentId=71a02893-643d-46cb-945f-b7bd52185e18" TargetMode="External"/><Relationship Id="rId1266" Type="http://schemas.openxmlformats.org/officeDocument/2006/relationships/hyperlink" Target="https://analytics.zhihuiya.com/patent-view/abst?patentId=66426e6e-c43f-430e-8041-8ab0ffe4ad5e" TargetMode="External"/><Relationship Id="rId1473" Type="http://schemas.openxmlformats.org/officeDocument/2006/relationships/hyperlink" Target="https://analytics.zhihuiya.com/patent-view/abst?patentId=821c48b2-9696-4a24-9526-d2e366da19e9" TargetMode="External"/><Relationship Id="rId2317" Type="http://schemas.openxmlformats.org/officeDocument/2006/relationships/hyperlink" Target="https://analytics.zhihuiya.com/patent-view/abst?patentId=73cd4b69-61b1-4b2f-b1f4-e744dc08aa1b" TargetMode="External"/><Relationship Id="rId2871" Type="http://schemas.openxmlformats.org/officeDocument/2006/relationships/hyperlink" Target="https://analytics.zhihuiya.com/patent-view/abst?patentId=203a8ce1-e352-4a0a-aa3c-842814318c81" TargetMode="External"/><Relationship Id="rId3715" Type="http://schemas.openxmlformats.org/officeDocument/2006/relationships/hyperlink" Target="https://analytics.zhihuiya.com/patent-view/abst?patentId=61d3a7a5-178d-46ca-baab-05a2abcacf7f" TargetMode="External"/><Relationship Id="rId3922" Type="http://schemas.openxmlformats.org/officeDocument/2006/relationships/hyperlink" Target="https://analytics.zhihuiya.com/patent-view/abst?patentId=7b7e39ea-2aef-417f-b7ff-1f48d4e2302f" TargetMode="External"/><Relationship Id="rId843" Type="http://schemas.openxmlformats.org/officeDocument/2006/relationships/hyperlink" Target="https://analytics.zhihuiya.com/patent-view/abst?patentId=88546136-15fa-454b-ab4d-da0b86fa52d0" TargetMode="External"/><Relationship Id="rId1126" Type="http://schemas.openxmlformats.org/officeDocument/2006/relationships/hyperlink" Target="https://analytics.zhihuiya.com/patent-view/abst?patentId=8ed51917-ba60-41fc-b787-fa29df752f6c" TargetMode="External"/><Relationship Id="rId1680" Type="http://schemas.openxmlformats.org/officeDocument/2006/relationships/hyperlink" Target="https://analytics.zhihuiya.com/patent-view/abst?patentId=eddd665d-5064-4949-b3ff-cec13deac613" TargetMode="External"/><Relationship Id="rId2524" Type="http://schemas.openxmlformats.org/officeDocument/2006/relationships/hyperlink" Target="https://analytics.zhihuiya.com/patent-view/abst?patentId=7ed48219-c98a-4f92-999f-44ccbf1c819d" TargetMode="External"/><Relationship Id="rId2731" Type="http://schemas.openxmlformats.org/officeDocument/2006/relationships/hyperlink" Target="https://analytics.zhihuiya.com/patent-view/abst?patentId=1493e6bf-beb1-4e79-9a6a-86e6ddfa3717" TargetMode="External"/><Relationship Id="rId703" Type="http://schemas.openxmlformats.org/officeDocument/2006/relationships/hyperlink" Target="https://analytics.zhihuiya.com/patent-view/abst?patentId=1d22f1cd-08c4-48c8-8064-e96d7e207623" TargetMode="External"/><Relationship Id="rId910" Type="http://schemas.openxmlformats.org/officeDocument/2006/relationships/hyperlink" Target="https://analytics.zhihuiya.com/patent-view/abst?patentId=485b371b-002b-4c57-ac72-afd6f0d6cad5" TargetMode="External"/><Relationship Id="rId1333" Type="http://schemas.openxmlformats.org/officeDocument/2006/relationships/hyperlink" Target="https://analytics.zhihuiya.com/patent-view/abst?patentId=ff09517a-83a9-48b6-9961-1808b88ed7d8" TargetMode="External"/><Relationship Id="rId1540" Type="http://schemas.openxmlformats.org/officeDocument/2006/relationships/hyperlink" Target="https://analytics.zhihuiya.com/patent-view/abst?patentId=aa914d50-869d-4920-8597-6c19e675c410" TargetMode="External"/><Relationship Id="rId1400" Type="http://schemas.openxmlformats.org/officeDocument/2006/relationships/hyperlink" Target="https://analytics.zhihuiya.com/patent-view/abst?patentId=33cd26b5-09c1-41c8-8e72-4e13dad07b67" TargetMode="External"/><Relationship Id="rId3298" Type="http://schemas.openxmlformats.org/officeDocument/2006/relationships/hyperlink" Target="https://analytics.zhihuiya.com/patent-view/abst?patentId=b5a3b8c4-ba4d-4a27-82e4-05768d456486" TargetMode="External"/><Relationship Id="rId4349" Type="http://schemas.openxmlformats.org/officeDocument/2006/relationships/hyperlink" Target="https://analytics.zhihuiya.com/patent-view/abst?patentId=6e10cde9-4631-46b3-a91d-1c8fa81a804b" TargetMode="External"/><Relationship Id="rId3158" Type="http://schemas.openxmlformats.org/officeDocument/2006/relationships/hyperlink" Target="https://analytics.zhihuiya.com/patent-view/abst?patentId=0840e99d-0048-4862-bb54-868b025e92d1" TargetMode="External"/><Relationship Id="rId3365" Type="http://schemas.openxmlformats.org/officeDocument/2006/relationships/hyperlink" Target="https://analytics.zhihuiya.com/patent-view/abst?patentId=2f0521cc-9b7f-4fe6-bbcf-340710f05ade" TargetMode="External"/><Relationship Id="rId3572" Type="http://schemas.openxmlformats.org/officeDocument/2006/relationships/hyperlink" Target="https://analytics.zhihuiya.com/patent-view/abst?patentId=61f0df72-bc16-4278-8a82-a0f376ec70ef" TargetMode="External"/><Relationship Id="rId4209" Type="http://schemas.openxmlformats.org/officeDocument/2006/relationships/hyperlink" Target="https://analytics.zhihuiya.com/patent-view/abst?patentId=32ebf660-937b-491c-9962-d751b6dd387b" TargetMode="External"/><Relationship Id="rId4416" Type="http://schemas.openxmlformats.org/officeDocument/2006/relationships/hyperlink" Target="https://analytics.zhihuiya.com/patent-view/abst?patentId=05187a3e-6ed2-4e76-9e9c-af885b81950f" TargetMode="External"/><Relationship Id="rId286" Type="http://schemas.openxmlformats.org/officeDocument/2006/relationships/hyperlink" Target="https://analytics.zhihuiya.com/patent-view/abst?patentId=759f4d43-43c5-4c5d-8003-5048be4a5da0" TargetMode="External"/><Relationship Id="rId493" Type="http://schemas.openxmlformats.org/officeDocument/2006/relationships/hyperlink" Target="https://analytics.zhihuiya.com/patent-view/abst?patentId=1e58b29e-aa45-4aff-84ee-3fcf0766e372" TargetMode="External"/><Relationship Id="rId2174" Type="http://schemas.openxmlformats.org/officeDocument/2006/relationships/hyperlink" Target="https://analytics.zhihuiya.com/patent-view/abst?patentId=1d0b5e43-c2a2-44ef-a49d-16d2eb951b19" TargetMode="External"/><Relationship Id="rId2381" Type="http://schemas.openxmlformats.org/officeDocument/2006/relationships/hyperlink" Target="https://analytics.zhihuiya.com/patent-view/abst?patentId=f9afa5b8-9997-42df-92cc-e293ce5e812f" TargetMode="External"/><Relationship Id="rId3018" Type="http://schemas.openxmlformats.org/officeDocument/2006/relationships/hyperlink" Target="https://analytics.zhihuiya.com/patent-view/abst?patentId=c840c54c-a039-4caa-8f59-7d438a5f8daa" TargetMode="External"/><Relationship Id="rId3225" Type="http://schemas.openxmlformats.org/officeDocument/2006/relationships/hyperlink" Target="https://analytics.zhihuiya.com/patent-view/abst?patentId=ba51453d-3bfc-4791-84de-99dcc8fd36c0" TargetMode="External"/><Relationship Id="rId3432" Type="http://schemas.openxmlformats.org/officeDocument/2006/relationships/hyperlink" Target="https://analytics.zhihuiya.com/patent-view/abst?patentId=eef92afc-d5dd-42ea-9eb0-daedbae89dd6" TargetMode="External"/><Relationship Id="rId146" Type="http://schemas.openxmlformats.org/officeDocument/2006/relationships/hyperlink" Target="https://analytics.zhihuiya.com/patent-view/abst?patentId=05c0d3a3-5ca8-4cd6-a071-1acea057af33" TargetMode="External"/><Relationship Id="rId353" Type="http://schemas.openxmlformats.org/officeDocument/2006/relationships/hyperlink" Target="https://analytics.zhihuiya.com/patent-view/abst?patentId=4b8dcc96-fca0-4a95-96bb-4a65febe220b" TargetMode="External"/><Relationship Id="rId560" Type="http://schemas.openxmlformats.org/officeDocument/2006/relationships/hyperlink" Target="https://analytics.zhihuiya.com/patent-view/abst?patentId=6fbf9ddd-b8b9-476a-9be8-4711ef7f5a6a" TargetMode="External"/><Relationship Id="rId1190" Type="http://schemas.openxmlformats.org/officeDocument/2006/relationships/hyperlink" Target="https://analytics.zhihuiya.com/patent-view/abst?patentId=abeeac94-35c4-4db5-a563-d9acb4ff0a30" TargetMode="External"/><Relationship Id="rId2034" Type="http://schemas.openxmlformats.org/officeDocument/2006/relationships/hyperlink" Target="https://analytics.zhihuiya.com/patent-view/abst?patentId=8d90915a-7cdb-410c-a337-c7bc7e570d2b" TargetMode="External"/><Relationship Id="rId2241" Type="http://schemas.openxmlformats.org/officeDocument/2006/relationships/hyperlink" Target="https://analytics.zhihuiya.com/patent-view/abst?patentId=a49215f5-2f51-44f0-bf6f-cdb5d13c63fc" TargetMode="External"/><Relationship Id="rId213" Type="http://schemas.openxmlformats.org/officeDocument/2006/relationships/hyperlink" Target="https://analytics.zhihuiya.com/patent-view/abst?patentId=09817166-c62f-42f8-a12c-c6721012334f" TargetMode="External"/><Relationship Id="rId420" Type="http://schemas.openxmlformats.org/officeDocument/2006/relationships/hyperlink" Target="https://analytics.zhihuiya.com/patent-view/abst?patentId=a80ab042-0748-4e17-b8d1-e10f7064e011" TargetMode="External"/><Relationship Id="rId1050" Type="http://schemas.openxmlformats.org/officeDocument/2006/relationships/hyperlink" Target="https://analytics.zhihuiya.com/patent-view/abst?patentId=2d726797-002c-472b-a36f-dab4a3d928e3" TargetMode="External"/><Relationship Id="rId2101" Type="http://schemas.openxmlformats.org/officeDocument/2006/relationships/hyperlink" Target="https://analytics.zhihuiya.com/patent-view/abst?patentId=e0c5097d-8eec-46db-bf30-c1fee508db2a" TargetMode="External"/><Relationship Id="rId4066" Type="http://schemas.openxmlformats.org/officeDocument/2006/relationships/hyperlink" Target="https://analytics.zhihuiya.com/patent-view/abst?patentId=b80684e4-bf30-43c2-8e62-2f1dd6e9b7a6" TargetMode="External"/><Relationship Id="rId1867" Type="http://schemas.openxmlformats.org/officeDocument/2006/relationships/hyperlink" Target="https://analytics.zhihuiya.com/patent-view/abst?patentId=1afcf05a-3fee-4b38-ae23-c687e07cbc5f" TargetMode="External"/><Relationship Id="rId2918" Type="http://schemas.openxmlformats.org/officeDocument/2006/relationships/hyperlink" Target="https://analytics.zhihuiya.com/patent-view/abst?patentId=e87e1d5c-582c-4604-bab4-42549f7ceac8" TargetMode="External"/><Relationship Id="rId4273" Type="http://schemas.openxmlformats.org/officeDocument/2006/relationships/hyperlink" Target="https://analytics.zhihuiya.com/patent-view/abst?patentId=8216bcb2-9912-46c0-99fd-7d5773575a04" TargetMode="External"/><Relationship Id="rId1727" Type="http://schemas.openxmlformats.org/officeDocument/2006/relationships/hyperlink" Target="https://analytics.zhihuiya.com/patent-view/abst?patentId=8972e75c-0ac6-4610-b96b-017631d031de" TargetMode="External"/><Relationship Id="rId1934" Type="http://schemas.openxmlformats.org/officeDocument/2006/relationships/hyperlink" Target="https://analytics.zhihuiya.com/patent-view/abst?patentId=4a21b6fb-a142-4964-97b2-ae2ead7bfa4a" TargetMode="External"/><Relationship Id="rId3082" Type="http://schemas.openxmlformats.org/officeDocument/2006/relationships/hyperlink" Target="https://analytics.zhihuiya.com/patent-view/abst?patentId=8f3380ee-79b9-45a6-9314-3600a4cb968c" TargetMode="External"/><Relationship Id="rId4133" Type="http://schemas.openxmlformats.org/officeDocument/2006/relationships/hyperlink" Target="https://analytics.zhihuiya.com/patent-view/abst?patentId=05c021e9-1d01-4beb-8cce-5f9c377600fb" TargetMode="External"/><Relationship Id="rId4340" Type="http://schemas.openxmlformats.org/officeDocument/2006/relationships/hyperlink" Target="https://analytics.zhihuiya.com/patent-view/abst?patentId=4877c64f-9dc0-473e-8993-7b4909576552" TargetMode="External"/><Relationship Id="rId19" Type="http://schemas.openxmlformats.org/officeDocument/2006/relationships/hyperlink" Target="https://analytics.zhihuiya.com/patent-view/abst?patentId=2b98380e-afcf-4d1b-96c2-02e192f79e33" TargetMode="External"/><Relationship Id="rId3899" Type="http://schemas.openxmlformats.org/officeDocument/2006/relationships/hyperlink" Target="https://analytics.zhihuiya.com/patent-view/abst?patentId=98899058-0547-4405-97a2-6e965c6ad5d2" TargetMode="External"/><Relationship Id="rId4200" Type="http://schemas.openxmlformats.org/officeDocument/2006/relationships/hyperlink" Target="https://analytics.zhihuiya.com/patent-view/abst?patentId=56a58ca8-e07e-4857-802a-6d7568ef0567" TargetMode="External"/><Relationship Id="rId3759" Type="http://schemas.openxmlformats.org/officeDocument/2006/relationships/hyperlink" Target="https://analytics.zhihuiya.com/patent-view/abst?patentId=d0be36bf-285e-4cca-be64-25824a153ccb" TargetMode="External"/><Relationship Id="rId3966" Type="http://schemas.openxmlformats.org/officeDocument/2006/relationships/hyperlink" Target="https://analytics.zhihuiya.com/patent-view/abst?patentId=ac07bcad-cbe6-48d3-ad0c-de7ce1f305d9" TargetMode="External"/><Relationship Id="rId3" Type="http://schemas.openxmlformats.org/officeDocument/2006/relationships/hyperlink" Target="https://analytics.zhihuiya.com/patent-view/abst?patentId=14816309-cb2a-4957-8131-9b0e00f8685b" TargetMode="External"/><Relationship Id="rId887" Type="http://schemas.openxmlformats.org/officeDocument/2006/relationships/hyperlink" Target="https://analytics.zhihuiya.com/patent-view/abst?patentId=71dc4245-80a4-43ca-aaf2-a8d069f7d0bb" TargetMode="External"/><Relationship Id="rId2568" Type="http://schemas.openxmlformats.org/officeDocument/2006/relationships/hyperlink" Target="https://analytics.zhihuiya.com/patent-view/abst?patentId=8739b7c8-11e5-4b6e-8e94-52856e8103d5" TargetMode="External"/><Relationship Id="rId2775" Type="http://schemas.openxmlformats.org/officeDocument/2006/relationships/hyperlink" Target="https://analytics.zhihuiya.com/patent-view/abst?patentId=6b552e1c-e5a9-4eb2-ae14-9beb7f5adf5f" TargetMode="External"/><Relationship Id="rId2982" Type="http://schemas.openxmlformats.org/officeDocument/2006/relationships/hyperlink" Target="https://analytics.zhihuiya.com/patent-view/abst?patentId=503e21d2-2320-481e-9bd6-e1c5a84d9228" TargetMode="External"/><Relationship Id="rId3619" Type="http://schemas.openxmlformats.org/officeDocument/2006/relationships/hyperlink" Target="https://analytics.zhihuiya.com/patent-view/abst?patentId=85d905f5-0e4d-485d-bef0-2fb7bdb56d66" TargetMode="External"/><Relationship Id="rId3826" Type="http://schemas.openxmlformats.org/officeDocument/2006/relationships/hyperlink" Target="https://analytics.zhihuiya.com/patent-view/abst?patentId=ce104fd8-5f95-48dd-9ff8-b2986793ae1d" TargetMode="External"/><Relationship Id="rId747" Type="http://schemas.openxmlformats.org/officeDocument/2006/relationships/hyperlink" Target="https://analytics.zhihuiya.com/patent-view/abst?patentId=f0459f70-bad1-44c7-93b5-4fd3311f7b57" TargetMode="External"/><Relationship Id="rId954" Type="http://schemas.openxmlformats.org/officeDocument/2006/relationships/hyperlink" Target="https://analytics.zhihuiya.com/patent-view/abst?patentId=a8f58858-f489-486e-a495-4282fd91dc1a" TargetMode="External"/><Relationship Id="rId1377" Type="http://schemas.openxmlformats.org/officeDocument/2006/relationships/hyperlink" Target="https://analytics.zhihuiya.com/patent-view/abst?patentId=67bf5159-2b60-481e-b21e-1bcd3f4acf8c" TargetMode="External"/><Relationship Id="rId1584" Type="http://schemas.openxmlformats.org/officeDocument/2006/relationships/hyperlink" Target="https://analytics.zhihuiya.com/patent-view/abst?patentId=5b1ca2cf-1ba3-414c-bbfe-0388d2002f3e" TargetMode="External"/><Relationship Id="rId1791" Type="http://schemas.openxmlformats.org/officeDocument/2006/relationships/hyperlink" Target="https://analytics.zhihuiya.com/patent-view/abst?patentId=aee43e71-c472-43ce-b4e9-6f7ba7923636" TargetMode="External"/><Relationship Id="rId2428" Type="http://schemas.openxmlformats.org/officeDocument/2006/relationships/hyperlink" Target="https://analytics.zhihuiya.com/patent-view/abst?patentId=3a6702f7-2e5f-44be-897f-1fa11122da8b" TargetMode="External"/><Relationship Id="rId2635" Type="http://schemas.openxmlformats.org/officeDocument/2006/relationships/hyperlink" Target="https://analytics.zhihuiya.com/patent-view/abst?patentId=c27b0e7d-be84-49e0-abfa-338b2c112a5b" TargetMode="External"/><Relationship Id="rId2842" Type="http://schemas.openxmlformats.org/officeDocument/2006/relationships/hyperlink" Target="https://analytics.zhihuiya.com/patent-view/abst?patentId=6203bb86-e859-47b0-a8b0-99eac8f56c2d" TargetMode="External"/><Relationship Id="rId83" Type="http://schemas.openxmlformats.org/officeDocument/2006/relationships/hyperlink" Target="https://analytics.zhihuiya.com/patent-view/abst?patentId=065be469-119a-4c5e-9398-ec5e8dbde128" TargetMode="External"/><Relationship Id="rId607" Type="http://schemas.openxmlformats.org/officeDocument/2006/relationships/hyperlink" Target="https://analytics.zhihuiya.com/patent-view/abst?patentId=a054981c-bbd6-4d50-8ae6-f112dd434e13" TargetMode="External"/><Relationship Id="rId814" Type="http://schemas.openxmlformats.org/officeDocument/2006/relationships/hyperlink" Target="https://analytics.zhihuiya.com/patent-view/abst?patentId=930ebc80-6704-4ad3-ac23-72cd790b70e0" TargetMode="External"/><Relationship Id="rId1237" Type="http://schemas.openxmlformats.org/officeDocument/2006/relationships/hyperlink" Target="https://analytics.zhihuiya.com/patent-view/abst?patentId=2a2f1ad3-8183-4abc-82e7-f52761af2e3e" TargetMode="External"/><Relationship Id="rId1444" Type="http://schemas.openxmlformats.org/officeDocument/2006/relationships/hyperlink" Target="https://analytics.zhihuiya.com/patent-view/abst?patentId=70cd3436-5455-4588-87eb-71dcbec2c865" TargetMode="External"/><Relationship Id="rId1651" Type="http://schemas.openxmlformats.org/officeDocument/2006/relationships/hyperlink" Target="https://analytics.zhihuiya.com/patent-view/abst?patentId=583e5ad3-7f2d-4887-a06f-d67e170e3dae" TargetMode="External"/><Relationship Id="rId2702" Type="http://schemas.openxmlformats.org/officeDocument/2006/relationships/hyperlink" Target="https://analytics.zhihuiya.com/patent-view/abst?patentId=7cb122a7-0338-4315-b42d-bebe446224d1" TargetMode="External"/><Relationship Id="rId1304" Type="http://schemas.openxmlformats.org/officeDocument/2006/relationships/hyperlink" Target="https://analytics.zhihuiya.com/patent-view/abst?patentId=ba08e5e2-5d17-4c1b-b3be-29d91ab2937d" TargetMode="External"/><Relationship Id="rId1511" Type="http://schemas.openxmlformats.org/officeDocument/2006/relationships/hyperlink" Target="https://analytics.zhihuiya.com/patent-view/abst?patentId=df122e8f-9be4-465d-9447-dccdc4d8abcf" TargetMode="External"/><Relationship Id="rId3269" Type="http://schemas.openxmlformats.org/officeDocument/2006/relationships/hyperlink" Target="https://analytics.zhihuiya.com/patent-view/abst?patentId=a988fe65-13be-4823-a996-d6423ea2d7b0" TargetMode="External"/><Relationship Id="rId3476" Type="http://schemas.openxmlformats.org/officeDocument/2006/relationships/hyperlink" Target="https://analytics.zhihuiya.com/patent-view/abst?patentId=04dac998-02ce-4a31-aadd-b6e35e3d55da" TargetMode="External"/><Relationship Id="rId3683" Type="http://schemas.openxmlformats.org/officeDocument/2006/relationships/hyperlink" Target="https://analytics.zhihuiya.com/patent-view/abst?patentId=ab8fddaf-9b33-42da-99b4-20bfd2c43d77" TargetMode="External"/><Relationship Id="rId10" Type="http://schemas.openxmlformats.org/officeDocument/2006/relationships/hyperlink" Target="https://analytics.zhihuiya.com/patent-view/abst?patentId=788ef6e8-1014-4c6c-b44a-2fc2a8a77f35" TargetMode="External"/><Relationship Id="rId397" Type="http://schemas.openxmlformats.org/officeDocument/2006/relationships/hyperlink" Target="https://analytics.zhihuiya.com/patent-view/abst?patentId=0c1f89e7-ca9e-4cdd-bdb7-8c005ef13184" TargetMode="External"/><Relationship Id="rId2078" Type="http://schemas.openxmlformats.org/officeDocument/2006/relationships/hyperlink" Target="https://analytics.zhihuiya.com/patent-view/abst?patentId=cea59878-d0c0-407d-aaaf-c66840042d07" TargetMode="External"/><Relationship Id="rId2285" Type="http://schemas.openxmlformats.org/officeDocument/2006/relationships/hyperlink" Target="https://analytics.zhihuiya.com/patent-view/abst?patentId=d68ac1f0-08cb-456a-bc9a-1fcb1754d0b9" TargetMode="External"/><Relationship Id="rId2492" Type="http://schemas.openxmlformats.org/officeDocument/2006/relationships/hyperlink" Target="https://analytics.zhihuiya.com/patent-view/abst?patentId=931ea90a-bccb-49ab-9d9e-2ccee76b53f3" TargetMode="External"/><Relationship Id="rId3129" Type="http://schemas.openxmlformats.org/officeDocument/2006/relationships/hyperlink" Target="https://analytics.zhihuiya.com/patent-view/abst?patentId=e877921d-bad5-4e82-9237-4e86547c8257" TargetMode="External"/><Relationship Id="rId3336" Type="http://schemas.openxmlformats.org/officeDocument/2006/relationships/hyperlink" Target="https://analytics.zhihuiya.com/patent-view/abst?patentId=343030f9-8342-4ed9-adc4-50d18501b217" TargetMode="External"/><Relationship Id="rId3890" Type="http://schemas.openxmlformats.org/officeDocument/2006/relationships/hyperlink" Target="https://analytics.zhihuiya.com/patent-view/abst?patentId=8d690da0-c210-4df0-9c5d-295c08fc2a62" TargetMode="External"/><Relationship Id="rId257" Type="http://schemas.openxmlformats.org/officeDocument/2006/relationships/hyperlink" Target="https://analytics.zhihuiya.com/patent-view/abst?patentId=1fd5f6b5-f165-40ef-a372-355acc31567a" TargetMode="External"/><Relationship Id="rId464" Type="http://schemas.openxmlformats.org/officeDocument/2006/relationships/hyperlink" Target="https://analytics.zhihuiya.com/patent-view/abst?patentId=6458d43f-0d05-4f6a-a477-a12cda0c7d96" TargetMode="External"/><Relationship Id="rId1094" Type="http://schemas.openxmlformats.org/officeDocument/2006/relationships/hyperlink" Target="https://analytics.zhihuiya.com/patent-view/abst?patentId=839f7c84-c402-426e-b3b7-cc372dda42f0" TargetMode="External"/><Relationship Id="rId2145" Type="http://schemas.openxmlformats.org/officeDocument/2006/relationships/hyperlink" Target="https://analytics.zhihuiya.com/patent-view/abst?patentId=4b23acdc-f25f-4946-a9ae-96a29ecf0407" TargetMode="External"/><Relationship Id="rId3543" Type="http://schemas.openxmlformats.org/officeDocument/2006/relationships/hyperlink" Target="https://analytics.zhihuiya.com/patent-view/abst?patentId=d2963925-7a3e-4f55-b222-42892478472a" TargetMode="External"/><Relationship Id="rId3750" Type="http://schemas.openxmlformats.org/officeDocument/2006/relationships/hyperlink" Target="https://analytics.zhihuiya.com/patent-view/abst?patentId=abe5f6f5-9f3a-4bcb-8132-c87827cc1448" TargetMode="External"/><Relationship Id="rId117" Type="http://schemas.openxmlformats.org/officeDocument/2006/relationships/hyperlink" Target="https://analytics.zhihuiya.com/patent-view/abst?patentId=1ed102cd-d1d0-46bf-a66f-efd8662a93d2" TargetMode="External"/><Relationship Id="rId671" Type="http://schemas.openxmlformats.org/officeDocument/2006/relationships/hyperlink" Target="https://analytics.zhihuiya.com/patent-view/abst?patentId=0a6194e6-1d36-498d-a9f5-b55bdb8a0420" TargetMode="External"/><Relationship Id="rId2352" Type="http://schemas.openxmlformats.org/officeDocument/2006/relationships/hyperlink" Target="https://analytics.zhihuiya.com/patent-view/abst?patentId=7f0db394-4151-44e3-920d-e5e172457915" TargetMode="External"/><Relationship Id="rId3403" Type="http://schemas.openxmlformats.org/officeDocument/2006/relationships/hyperlink" Target="https://analytics.zhihuiya.com/patent-view/abst?patentId=e15dee27-5310-4a10-a1b4-0b859bca3c41" TargetMode="External"/><Relationship Id="rId3610" Type="http://schemas.openxmlformats.org/officeDocument/2006/relationships/hyperlink" Target="https://analytics.zhihuiya.com/patent-view/abst?patentId=0c1d73ed-3985-429b-ba51-3118189d8ce7" TargetMode="External"/><Relationship Id="rId324" Type="http://schemas.openxmlformats.org/officeDocument/2006/relationships/hyperlink" Target="https://analytics.zhihuiya.com/patent-view/abst?patentId=9332eda2-0d28-4fc4-8eda-a10c5ceed9fa" TargetMode="External"/><Relationship Id="rId531" Type="http://schemas.openxmlformats.org/officeDocument/2006/relationships/hyperlink" Target="https://analytics.zhihuiya.com/patent-view/abst?patentId=6bfd1446-3c53-4346-ae36-ec72524b513f" TargetMode="External"/><Relationship Id="rId1161" Type="http://schemas.openxmlformats.org/officeDocument/2006/relationships/hyperlink" Target="https://analytics.zhihuiya.com/patent-view/abst?patentId=d81f97fa-6cfc-4e0d-b8bd-a86bea76e40d" TargetMode="External"/><Relationship Id="rId2005" Type="http://schemas.openxmlformats.org/officeDocument/2006/relationships/hyperlink" Target="https://analytics.zhihuiya.com/patent-view/abst?patentId=5e291725-4fda-443b-9a72-6fe90122f4ae" TargetMode="External"/><Relationship Id="rId2212" Type="http://schemas.openxmlformats.org/officeDocument/2006/relationships/hyperlink" Target="https://analytics.zhihuiya.com/patent-view/abst?patentId=9a608545-00d8-4bf3-af39-d154e8847137" TargetMode="External"/><Relationship Id="rId1021" Type="http://schemas.openxmlformats.org/officeDocument/2006/relationships/hyperlink" Target="https://analytics.zhihuiya.com/patent-view/abst?patentId=25220e7b-e22a-4ca0-b93e-45f71dce6b65" TargetMode="External"/><Relationship Id="rId1978" Type="http://schemas.openxmlformats.org/officeDocument/2006/relationships/hyperlink" Target="https://analytics.zhihuiya.com/patent-view/abst?patentId=1b142e42-9e7c-4916-9cc2-a8a5d642732d" TargetMode="External"/><Relationship Id="rId4177" Type="http://schemas.openxmlformats.org/officeDocument/2006/relationships/hyperlink" Target="https://analytics.zhihuiya.com/patent-view/abst?patentId=67d824fe-a4e3-4136-931b-f34cc6d3b5a4" TargetMode="External"/><Relationship Id="rId4384" Type="http://schemas.openxmlformats.org/officeDocument/2006/relationships/hyperlink" Target="https://analytics.zhihuiya.com/patent-view/abst?patentId=073538ce-4b74-4bcc-b3e4-df72d627449e" TargetMode="External"/><Relationship Id="rId3193" Type="http://schemas.openxmlformats.org/officeDocument/2006/relationships/hyperlink" Target="https://analytics.zhihuiya.com/patent-view/abst?patentId=b6816651-d0ba-4e40-8d4d-f6c039a1e0fc" TargetMode="External"/><Relationship Id="rId4037" Type="http://schemas.openxmlformats.org/officeDocument/2006/relationships/hyperlink" Target="https://analytics.zhihuiya.com/patent-view/abst?patentId=47bdaa62-b892-4d20-b85a-e5f213d02ec9" TargetMode="External"/><Relationship Id="rId4244" Type="http://schemas.openxmlformats.org/officeDocument/2006/relationships/hyperlink" Target="https://analytics.zhihuiya.com/patent-view/abst?patentId=58fcfe29-63dd-4a66-bd62-53dc2b808a62" TargetMode="External"/><Relationship Id="rId4451" Type="http://schemas.openxmlformats.org/officeDocument/2006/relationships/hyperlink" Target="https://analytics.zhihuiya.com/patent-view/abst?patentId=41ce735a-2386-4590-ace4-aa6549ec5b35" TargetMode="External"/><Relationship Id="rId1838" Type="http://schemas.openxmlformats.org/officeDocument/2006/relationships/hyperlink" Target="https://analytics.zhihuiya.com/patent-view/abst?patentId=53112420-b0fd-4e68-91a7-3e0da52dd6c7" TargetMode="External"/><Relationship Id="rId3053" Type="http://schemas.openxmlformats.org/officeDocument/2006/relationships/hyperlink" Target="https://analytics.zhihuiya.com/patent-view/abst?patentId=960544b2-81c3-429b-931f-d49e44a5612e" TargetMode="External"/><Relationship Id="rId3260" Type="http://schemas.openxmlformats.org/officeDocument/2006/relationships/hyperlink" Target="https://analytics.zhihuiya.com/patent-view/abst?patentId=56a31daa-9520-41d3-b39b-cadb866908ee" TargetMode="External"/><Relationship Id="rId4104" Type="http://schemas.openxmlformats.org/officeDocument/2006/relationships/hyperlink" Target="https://analytics.zhihuiya.com/patent-view/abst?patentId=a33d368e-c9bb-4e51-a4ed-6fc61f395917" TargetMode="External"/><Relationship Id="rId4311" Type="http://schemas.openxmlformats.org/officeDocument/2006/relationships/hyperlink" Target="https://analytics.zhihuiya.com/patent-view/abst?patentId=2909501d-c7ff-41e7-8295-e7dd43f7fbed" TargetMode="External"/><Relationship Id="rId181" Type="http://schemas.openxmlformats.org/officeDocument/2006/relationships/hyperlink" Target="https://analytics.zhihuiya.com/patent-view/abst?patentId=86c13db4-3250-4013-86bc-6220e5dbc2df" TargetMode="External"/><Relationship Id="rId1905" Type="http://schemas.openxmlformats.org/officeDocument/2006/relationships/hyperlink" Target="https://analytics.zhihuiya.com/patent-view/abst?patentId=00c0641b-7ba2-47b7-a58c-7cac6f222bc3" TargetMode="External"/><Relationship Id="rId3120" Type="http://schemas.openxmlformats.org/officeDocument/2006/relationships/hyperlink" Target="https://analytics.zhihuiya.com/patent-view/abst?patentId=8c1fbd44-ed74-46b4-b779-63736eae726f" TargetMode="External"/><Relationship Id="rId998" Type="http://schemas.openxmlformats.org/officeDocument/2006/relationships/hyperlink" Target="https://analytics.zhihuiya.com/patent-view/abst?patentId=b9424aa6-34ad-464f-919a-604e0d04b403" TargetMode="External"/><Relationship Id="rId2679" Type="http://schemas.openxmlformats.org/officeDocument/2006/relationships/hyperlink" Target="https://analytics.zhihuiya.com/patent-view/abst?patentId=6f3f8592-56e7-4640-b89f-d3d49b37358b" TargetMode="External"/><Relationship Id="rId2886" Type="http://schemas.openxmlformats.org/officeDocument/2006/relationships/hyperlink" Target="https://analytics.zhihuiya.com/patent-view/abst?patentId=4760a50b-d329-48b0-bf4e-354156b28f62" TargetMode="External"/><Relationship Id="rId3937" Type="http://schemas.openxmlformats.org/officeDocument/2006/relationships/hyperlink" Target="https://analytics.zhihuiya.com/patent-view/abst?patentId=b706a75c-d729-4f0b-8050-63f148938cdb" TargetMode="External"/><Relationship Id="rId858" Type="http://schemas.openxmlformats.org/officeDocument/2006/relationships/hyperlink" Target="https://analytics.zhihuiya.com/patent-view/abst?patentId=f92d5799-9c9f-4e9b-9a15-483e9928db94" TargetMode="External"/><Relationship Id="rId1488" Type="http://schemas.openxmlformats.org/officeDocument/2006/relationships/hyperlink" Target="https://analytics.zhihuiya.com/patent-view/abst?patentId=e1d13387-29e9-4b33-af6c-1ac690d28544" TargetMode="External"/><Relationship Id="rId1695" Type="http://schemas.openxmlformats.org/officeDocument/2006/relationships/hyperlink" Target="https://analytics.zhihuiya.com/patent-view/abst?patentId=8e50bda6-9a05-44e0-bcd1-6b2df5e1b8dc" TargetMode="External"/><Relationship Id="rId2539" Type="http://schemas.openxmlformats.org/officeDocument/2006/relationships/hyperlink" Target="https://analytics.zhihuiya.com/patent-view/abst?patentId=c9c9aec6-b011-4dab-be44-ccd52f2608aa" TargetMode="External"/><Relationship Id="rId2746" Type="http://schemas.openxmlformats.org/officeDocument/2006/relationships/hyperlink" Target="https://analytics.zhihuiya.com/patent-view/abst?patentId=825ffa5a-740a-41d8-8018-71d4032f6bc3" TargetMode="External"/><Relationship Id="rId2953" Type="http://schemas.openxmlformats.org/officeDocument/2006/relationships/hyperlink" Target="https://analytics.zhihuiya.com/patent-view/abst?patentId=8e4a3e85-787f-4e20-9f6d-a05744369aba" TargetMode="External"/><Relationship Id="rId718" Type="http://schemas.openxmlformats.org/officeDocument/2006/relationships/hyperlink" Target="https://analytics.zhihuiya.com/patent-view/abst?patentId=fc31af35-ee45-4e1e-bc16-66ca971161e0" TargetMode="External"/><Relationship Id="rId925" Type="http://schemas.openxmlformats.org/officeDocument/2006/relationships/hyperlink" Target="https://analytics.zhihuiya.com/patent-view/abst?patentId=3eb8a160-ddfe-429f-b4e2-60680c878411" TargetMode="External"/><Relationship Id="rId1348" Type="http://schemas.openxmlformats.org/officeDocument/2006/relationships/hyperlink" Target="https://analytics.zhihuiya.com/patent-view/abst?patentId=a3b6d785-8b0e-4504-9b9c-9ec84918e686" TargetMode="External"/><Relationship Id="rId1555" Type="http://schemas.openxmlformats.org/officeDocument/2006/relationships/hyperlink" Target="https://analytics.zhihuiya.com/patent-view/abst?patentId=217d09eb-8a55-4e4c-b8af-d2a9f28c71b3" TargetMode="External"/><Relationship Id="rId1762" Type="http://schemas.openxmlformats.org/officeDocument/2006/relationships/hyperlink" Target="https://analytics.zhihuiya.com/patent-view/abst?patentId=7f83a40f-8a0a-453f-ac80-64c69586b205" TargetMode="External"/><Relationship Id="rId2606" Type="http://schemas.openxmlformats.org/officeDocument/2006/relationships/hyperlink" Target="https://analytics.zhihuiya.com/patent-view/abst?patentId=c5a9d7ee-fa2e-44d5-90d1-6d28885b3a07" TargetMode="External"/><Relationship Id="rId1208" Type="http://schemas.openxmlformats.org/officeDocument/2006/relationships/hyperlink" Target="https://analytics.zhihuiya.com/patent-view/abst?patentId=8bbe2456-13b2-4df9-917e-2823941258ba" TargetMode="External"/><Relationship Id="rId1415" Type="http://schemas.openxmlformats.org/officeDocument/2006/relationships/hyperlink" Target="https://analytics.zhihuiya.com/patent-view/abst?patentId=0e4c9530-906e-4811-9749-55ad9ca68b0f" TargetMode="External"/><Relationship Id="rId2813" Type="http://schemas.openxmlformats.org/officeDocument/2006/relationships/hyperlink" Target="https://analytics.zhihuiya.com/patent-view/abst?patentId=02ee5d7f-9bae-4a81-812c-82b88c0c9a17" TargetMode="External"/><Relationship Id="rId54" Type="http://schemas.openxmlformats.org/officeDocument/2006/relationships/hyperlink" Target="https://analytics.zhihuiya.com/patent-view/abst?patentId=d8f721a1-6677-48e4-b39c-34585d9d7e0b" TargetMode="External"/><Relationship Id="rId1622" Type="http://schemas.openxmlformats.org/officeDocument/2006/relationships/hyperlink" Target="https://analytics.zhihuiya.com/patent-view/abst?patentId=18512497-baec-410d-9684-6ae3da5ada5a" TargetMode="External"/><Relationship Id="rId2189" Type="http://schemas.openxmlformats.org/officeDocument/2006/relationships/hyperlink" Target="https://analytics.zhihuiya.com/patent-view/abst?patentId=cd695f09-7b54-4bef-a378-6d740525496c" TargetMode="External"/><Relationship Id="rId3587" Type="http://schemas.openxmlformats.org/officeDocument/2006/relationships/hyperlink" Target="https://analytics.zhihuiya.com/patent-view/abst?patentId=55a76925-fbd5-4056-b9b0-0090f9ab4136" TargetMode="External"/><Relationship Id="rId3794" Type="http://schemas.openxmlformats.org/officeDocument/2006/relationships/hyperlink" Target="https://analytics.zhihuiya.com/patent-view/abst?patentId=7cb1f372-9c2b-4c2b-bed0-ecc630808639" TargetMode="External"/><Relationship Id="rId2396" Type="http://schemas.openxmlformats.org/officeDocument/2006/relationships/hyperlink" Target="https://analytics.zhihuiya.com/patent-view/abst?patentId=0191b49a-cfb1-407b-a302-94e705ac5063" TargetMode="External"/><Relationship Id="rId3447" Type="http://schemas.openxmlformats.org/officeDocument/2006/relationships/hyperlink" Target="https://analytics.zhihuiya.com/patent-view/abst?patentId=3021b22d-1513-476f-882d-cc376b2af8e9" TargetMode="External"/><Relationship Id="rId3654" Type="http://schemas.openxmlformats.org/officeDocument/2006/relationships/hyperlink" Target="https://analytics.zhihuiya.com/patent-view/abst?patentId=12a67394-f452-4321-af99-5ff0dfe99908" TargetMode="External"/><Relationship Id="rId3861" Type="http://schemas.openxmlformats.org/officeDocument/2006/relationships/hyperlink" Target="https://analytics.zhihuiya.com/patent-view/abst?patentId=a319e2b2-528f-4f68-bbfa-e1ae77ca657a" TargetMode="External"/><Relationship Id="rId368" Type="http://schemas.openxmlformats.org/officeDocument/2006/relationships/hyperlink" Target="https://analytics.zhihuiya.com/patent-view/abst?patentId=f15c2c58-66a3-41b3-a3cf-f35df332a43e" TargetMode="External"/><Relationship Id="rId575" Type="http://schemas.openxmlformats.org/officeDocument/2006/relationships/hyperlink" Target="https://analytics.zhihuiya.com/patent-view/abst?patentId=2e0d9170-caf0-48cb-a57d-d8b5664a93cc" TargetMode="External"/><Relationship Id="rId782" Type="http://schemas.openxmlformats.org/officeDocument/2006/relationships/hyperlink" Target="https://analytics.zhihuiya.com/patent-view/abst?patentId=fee25bd6-1ef0-4420-bfe8-126f3a1301fe" TargetMode="External"/><Relationship Id="rId2049" Type="http://schemas.openxmlformats.org/officeDocument/2006/relationships/hyperlink" Target="https://analytics.zhihuiya.com/patent-view/abst?patentId=73f06565-b417-4bd2-b706-3389989ecfd0" TargetMode="External"/><Relationship Id="rId2256" Type="http://schemas.openxmlformats.org/officeDocument/2006/relationships/hyperlink" Target="https://analytics.zhihuiya.com/patent-view/abst?patentId=44df66eb-d6d6-49ff-bc8a-a175ba136702" TargetMode="External"/><Relationship Id="rId2463" Type="http://schemas.openxmlformats.org/officeDocument/2006/relationships/hyperlink" Target="https://analytics.zhihuiya.com/patent-view/abst?patentId=c8660afc-0d19-4e3e-9356-5f1727b1c5f2" TargetMode="External"/><Relationship Id="rId2670" Type="http://schemas.openxmlformats.org/officeDocument/2006/relationships/hyperlink" Target="https://analytics.zhihuiya.com/patent-view/abst?patentId=de4870d8-1850-4266-a7f0-826db94b1d09" TargetMode="External"/><Relationship Id="rId3307" Type="http://schemas.openxmlformats.org/officeDocument/2006/relationships/hyperlink" Target="https://analytics.zhihuiya.com/patent-view/abst?patentId=7682d74c-e216-4a36-9a3d-4ee0235267d0" TargetMode="External"/><Relationship Id="rId3514" Type="http://schemas.openxmlformats.org/officeDocument/2006/relationships/hyperlink" Target="https://analytics.zhihuiya.com/patent-view/abst?patentId=d56aa45b-8a8e-4d85-bc29-8f22036d5578" TargetMode="External"/><Relationship Id="rId3721" Type="http://schemas.openxmlformats.org/officeDocument/2006/relationships/hyperlink" Target="https://analytics.zhihuiya.com/patent-view/abst?patentId=20c74a57-4eee-4a9e-b339-01a1857be398" TargetMode="External"/><Relationship Id="rId228" Type="http://schemas.openxmlformats.org/officeDocument/2006/relationships/hyperlink" Target="https://analytics.zhihuiya.com/patent-view/abst?patentId=968355a5-2647-405d-8d32-0665b65c9513" TargetMode="External"/><Relationship Id="rId435" Type="http://schemas.openxmlformats.org/officeDocument/2006/relationships/hyperlink" Target="https://analytics.zhihuiya.com/patent-view/abst?patentId=4b834a1f-9829-4721-9be7-892314b2ccc7" TargetMode="External"/><Relationship Id="rId642" Type="http://schemas.openxmlformats.org/officeDocument/2006/relationships/hyperlink" Target="https://analytics.zhihuiya.com/patent-view/abst?patentId=88809ddd-9a5e-4162-ace2-de6344beaa6e" TargetMode="External"/><Relationship Id="rId1065" Type="http://schemas.openxmlformats.org/officeDocument/2006/relationships/hyperlink" Target="https://analytics.zhihuiya.com/patent-view/abst?patentId=4e21c637-b8c8-4fbf-a26b-44277d7902f3" TargetMode="External"/><Relationship Id="rId1272" Type="http://schemas.openxmlformats.org/officeDocument/2006/relationships/hyperlink" Target="https://analytics.zhihuiya.com/patent-view/abst?patentId=9d8a5a20-8c91-49f4-9595-78915677532d" TargetMode="External"/><Relationship Id="rId2116" Type="http://schemas.openxmlformats.org/officeDocument/2006/relationships/hyperlink" Target="https://analytics.zhihuiya.com/patent-view/abst?patentId=41066870-511e-4d40-917a-463e9642bb14" TargetMode="External"/><Relationship Id="rId2323" Type="http://schemas.openxmlformats.org/officeDocument/2006/relationships/hyperlink" Target="https://analytics.zhihuiya.com/patent-view/abst?patentId=c48a59fa-848f-4883-a526-27a5699dbd89" TargetMode="External"/><Relationship Id="rId2530" Type="http://schemas.openxmlformats.org/officeDocument/2006/relationships/hyperlink" Target="https://analytics.zhihuiya.com/patent-view/abst?patentId=6403e8d7-07ac-4e0c-9574-1e864ae4fa9e" TargetMode="External"/><Relationship Id="rId502" Type="http://schemas.openxmlformats.org/officeDocument/2006/relationships/hyperlink" Target="https://analytics.zhihuiya.com/patent-view/abst?patentId=3b5d305d-cb4e-47f4-b9d0-e7bfcde0c996" TargetMode="External"/><Relationship Id="rId1132" Type="http://schemas.openxmlformats.org/officeDocument/2006/relationships/hyperlink" Target="https://analytics.zhihuiya.com/patent-view/abst?patentId=33fdde37-432f-4638-ba3e-3bb0cb96c04c" TargetMode="External"/><Relationship Id="rId4288" Type="http://schemas.openxmlformats.org/officeDocument/2006/relationships/hyperlink" Target="https://analytics.zhihuiya.com/patent-view/abst?patentId=57321b63-dccc-47e8-8944-44a47d3edd61" TargetMode="External"/><Relationship Id="rId3097" Type="http://schemas.openxmlformats.org/officeDocument/2006/relationships/hyperlink" Target="https://analytics.zhihuiya.com/patent-view/abst?patentId=32c6155d-4102-4bf0-aa0a-d0fcebed5a80" TargetMode="External"/><Relationship Id="rId4148" Type="http://schemas.openxmlformats.org/officeDocument/2006/relationships/hyperlink" Target="https://analytics.zhihuiya.com/patent-view/abst?patentId=4d7a1420-d7b2-42f7-99c5-57f202e333be" TargetMode="External"/><Relationship Id="rId4355" Type="http://schemas.openxmlformats.org/officeDocument/2006/relationships/hyperlink" Target="https://analytics.zhihuiya.com/patent-view/abst?patentId=425ab557-0fc5-47e7-947c-837c80d2f57a" TargetMode="External"/><Relationship Id="rId1949" Type="http://schemas.openxmlformats.org/officeDocument/2006/relationships/hyperlink" Target="https://analytics.zhihuiya.com/patent-view/abst?patentId=b2695485-83ed-4f70-9f42-5312569b3d1f" TargetMode="External"/><Relationship Id="rId3164" Type="http://schemas.openxmlformats.org/officeDocument/2006/relationships/hyperlink" Target="https://analytics.zhihuiya.com/patent-view/abst?patentId=a5e1d5aa-537f-4dd9-8cba-f351172ee36e" TargetMode="External"/><Relationship Id="rId4008" Type="http://schemas.openxmlformats.org/officeDocument/2006/relationships/hyperlink" Target="https://analytics.zhihuiya.com/patent-view/abst?patentId=4cd3686e-20b9-4140-92ac-be3a6fc41c02" TargetMode="External"/><Relationship Id="rId292" Type="http://schemas.openxmlformats.org/officeDocument/2006/relationships/hyperlink" Target="https://analytics.zhihuiya.com/patent-view/abst?patentId=c33da15b-deea-4d5a-8e39-e846c12a1ade" TargetMode="External"/><Relationship Id="rId1809" Type="http://schemas.openxmlformats.org/officeDocument/2006/relationships/hyperlink" Target="https://analytics.zhihuiya.com/patent-view/abst?patentId=248e22be-b903-4ab8-97e7-6797649917a0" TargetMode="External"/><Relationship Id="rId3371" Type="http://schemas.openxmlformats.org/officeDocument/2006/relationships/hyperlink" Target="https://analytics.zhihuiya.com/patent-view/abst?patentId=974dfeea-038c-4593-ab94-ca7272070706" TargetMode="External"/><Relationship Id="rId4215" Type="http://schemas.openxmlformats.org/officeDocument/2006/relationships/hyperlink" Target="https://analytics.zhihuiya.com/patent-view/abst?patentId=bb5deae0-221d-4f28-a16e-2fd859374db7" TargetMode="External"/><Relationship Id="rId4422" Type="http://schemas.openxmlformats.org/officeDocument/2006/relationships/hyperlink" Target="https://analytics.zhihuiya.com/patent-view/abst?patentId=63ad23cb-1589-4fe2-a0ab-bb7e872dfa71" TargetMode="External"/><Relationship Id="rId2180" Type="http://schemas.openxmlformats.org/officeDocument/2006/relationships/hyperlink" Target="https://analytics.zhihuiya.com/patent-view/abst?patentId=92de7b4c-fa0f-49a6-9e62-e5f28c8c374a" TargetMode="External"/><Relationship Id="rId3024" Type="http://schemas.openxmlformats.org/officeDocument/2006/relationships/hyperlink" Target="https://analytics.zhihuiya.com/patent-view/abst?patentId=47a04e6a-68e2-44ea-9dc2-da19445075ac" TargetMode="External"/><Relationship Id="rId3231" Type="http://schemas.openxmlformats.org/officeDocument/2006/relationships/hyperlink" Target="https://analytics.zhihuiya.com/patent-view/abst?patentId=7184caa5-ffcc-40b7-9ab7-7aaa10916000" TargetMode="External"/><Relationship Id="rId152" Type="http://schemas.openxmlformats.org/officeDocument/2006/relationships/hyperlink" Target="https://analytics.zhihuiya.com/patent-view/abst?patentId=35255d65-136b-4ce0-b1c1-08ee7030761b" TargetMode="External"/><Relationship Id="rId2040" Type="http://schemas.openxmlformats.org/officeDocument/2006/relationships/hyperlink" Target="https://analytics.zhihuiya.com/patent-view/abst?patentId=1d85391f-3422-4fd9-a819-f7dfa0e54142" TargetMode="External"/><Relationship Id="rId2997" Type="http://schemas.openxmlformats.org/officeDocument/2006/relationships/hyperlink" Target="https://analytics.zhihuiya.com/patent-view/abst?patentId=43d41c5d-db0d-4fcd-8b9b-a793a322902a" TargetMode="External"/><Relationship Id="rId969" Type="http://schemas.openxmlformats.org/officeDocument/2006/relationships/hyperlink" Target="https://analytics.zhihuiya.com/patent-view/abst?patentId=4b52f280-93ed-460b-8595-15aca1658482" TargetMode="External"/><Relationship Id="rId1599" Type="http://schemas.openxmlformats.org/officeDocument/2006/relationships/hyperlink" Target="https://analytics.zhihuiya.com/patent-view/abst?patentId=e0fef017-081b-4032-a4eb-03ebe82b4852" TargetMode="External"/><Relationship Id="rId1459" Type="http://schemas.openxmlformats.org/officeDocument/2006/relationships/hyperlink" Target="https://analytics.zhihuiya.com/patent-view/abst?patentId=7ddf2c27-aec2-4a8e-8336-169a0000bb63" TargetMode="External"/><Relationship Id="rId2857" Type="http://schemas.openxmlformats.org/officeDocument/2006/relationships/hyperlink" Target="https://analytics.zhihuiya.com/patent-view/abst?patentId=fe7364a3-d48f-4a68-bc45-b3f7d06513aa" TargetMode="External"/><Relationship Id="rId3908" Type="http://schemas.openxmlformats.org/officeDocument/2006/relationships/hyperlink" Target="https://analytics.zhihuiya.com/patent-view/abst?patentId=ac3aa8fc-5e3f-43d9-a720-2637dfbd35e6" TargetMode="External"/><Relationship Id="rId4072" Type="http://schemas.openxmlformats.org/officeDocument/2006/relationships/hyperlink" Target="https://analytics.zhihuiya.com/patent-view/abst?patentId=750210bf-523d-4d92-9ddf-6b6d8bdcaebe" TargetMode="External"/><Relationship Id="rId98" Type="http://schemas.openxmlformats.org/officeDocument/2006/relationships/hyperlink" Target="https://analytics.zhihuiya.com/patent-view/abst?patentId=038480aa-52b8-449d-a1a4-1c771cf9046c" TargetMode="External"/><Relationship Id="rId829" Type="http://schemas.openxmlformats.org/officeDocument/2006/relationships/hyperlink" Target="https://analytics.zhihuiya.com/patent-view/abst?patentId=f8129a3b-bebd-45a7-844d-91b44044b028" TargetMode="External"/><Relationship Id="rId1666" Type="http://schemas.openxmlformats.org/officeDocument/2006/relationships/hyperlink" Target="https://analytics.zhihuiya.com/patent-view/abst?patentId=11c30de5-9ef8-4608-a84d-e3f56a4a11ca" TargetMode="External"/><Relationship Id="rId1873" Type="http://schemas.openxmlformats.org/officeDocument/2006/relationships/hyperlink" Target="https://analytics.zhihuiya.com/patent-view/abst?patentId=3cccbfc5-d185-4982-a1fe-fc7c97a87a72" TargetMode="External"/><Relationship Id="rId2717" Type="http://schemas.openxmlformats.org/officeDocument/2006/relationships/hyperlink" Target="https://analytics.zhihuiya.com/patent-view/abst?patentId=6112cf78-3ca7-4b5b-9e2f-a7da52ceac96" TargetMode="External"/><Relationship Id="rId2924" Type="http://schemas.openxmlformats.org/officeDocument/2006/relationships/hyperlink" Target="https://analytics.zhihuiya.com/patent-view/abst?patentId=e8805804-05e8-4900-8114-7543c6341425" TargetMode="External"/><Relationship Id="rId1319" Type="http://schemas.openxmlformats.org/officeDocument/2006/relationships/hyperlink" Target="https://analytics.zhihuiya.com/patent-view/abst?patentId=de40a044-efc8-48b9-9950-dd8c4708d246" TargetMode="External"/><Relationship Id="rId1526" Type="http://schemas.openxmlformats.org/officeDocument/2006/relationships/hyperlink" Target="https://analytics.zhihuiya.com/patent-view/abst?patentId=affc4383-bb57-495e-8aad-bac250ef051a" TargetMode="External"/><Relationship Id="rId1733" Type="http://schemas.openxmlformats.org/officeDocument/2006/relationships/hyperlink" Target="https://analytics.zhihuiya.com/patent-view/abst?patentId=ba5dd492-c480-4c18-b57b-9c6978a579c5" TargetMode="External"/><Relationship Id="rId1940" Type="http://schemas.openxmlformats.org/officeDocument/2006/relationships/hyperlink" Target="https://analytics.zhihuiya.com/patent-view/abst?patentId=c51b9145-5663-4287-b364-bfcf60adf237" TargetMode="External"/><Relationship Id="rId25" Type="http://schemas.openxmlformats.org/officeDocument/2006/relationships/hyperlink" Target="https://analytics.zhihuiya.com/patent-view/abst?patentId=1741bddb-4ec4-4aa5-b58d-004b16137670" TargetMode="External"/><Relationship Id="rId1800" Type="http://schemas.openxmlformats.org/officeDocument/2006/relationships/hyperlink" Target="https://analytics.zhihuiya.com/patent-view/abst?patentId=997dca62-dc2c-4712-bf12-28fbd0473ada" TargetMode="External"/><Relationship Id="rId3698" Type="http://schemas.openxmlformats.org/officeDocument/2006/relationships/hyperlink" Target="https://analytics.zhihuiya.com/patent-view/abst?patentId=ba02f682-8ef5-407c-becd-737abadc6e2d" TargetMode="External"/><Relationship Id="rId3558" Type="http://schemas.openxmlformats.org/officeDocument/2006/relationships/hyperlink" Target="https://analytics.zhihuiya.com/patent-view/abst?patentId=095fee54-8cd6-4648-9f68-b188a835d2d4" TargetMode="External"/><Relationship Id="rId3765" Type="http://schemas.openxmlformats.org/officeDocument/2006/relationships/hyperlink" Target="https://analytics.zhihuiya.com/patent-view/abst?patentId=ef569812-d178-4dff-8e80-cefbf2f2981b" TargetMode="External"/><Relationship Id="rId3972" Type="http://schemas.openxmlformats.org/officeDocument/2006/relationships/hyperlink" Target="https://analytics.zhihuiya.com/patent-view/abst?patentId=cc780380-2b04-4620-99cd-7915279cf30c" TargetMode="External"/><Relationship Id="rId479" Type="http://schemas.openxmlformats.org/officeDocument/2006/relationships/hyperlink" Target="https://analytics.zhihuiya.com/patent-view/abst?patentId=d979bef8-09ab-436a-9346-8b2a22cb3031" TargetMode="External"/><Relationship Id="rId686" Type="http://schemas.openxmlformats.org/officeDocument/2006/relationships/hyperlink" Target="https://analytics.zhihuiya.com/patent-view/abst?patentId=63869328-bd25-4b22-aec3-9d6f52f753cd" TargetMode="External"/><Relationship Id="rId893" Type="http://schemas.openxmlformats.org/officeDocument/2006/relationships/hyperlink" Target="https://analytics.zhihuiya.com/patent-view/abst?patentId=8c039fcf-37eb-469c-ad78-6a02ac30cee4" TargetMode="External"/><Relationship Id="rId2367" Type="http://schemas.openxmlformats.org/officeDocument/2006/relationships/hyperlink" Target="https://analytics.zhihuiya.com/patent-view/abst?patentId=375d06de-987b-45cc-aebc-e272f8c4c7a3" TargetMode="External"/><Relationship Id="rId2574" Type="http://schemas.openxmlformats.org/officeDocument/2006/relationships/hyperlink" Target="https://analytics.zhihuiya.com/patent-view/abst?patentId=ea11be56-3848-4e16-8d47-5ebd05e77439" TargetMode="External"/><Relationship Id="rId2781" Type="http://schemas.openxmlformats.org/officeDocument/2006/relationships/hyperlink" Target="https://analytics.zhihuiya.com/patent-view/abst?patentId=5a7ff2c8-6a0b-4fff-9d57-60d3428623de" TargetMode="External"/><Relationship Id="rId3418" Type="http://schemas.openxmlformats.org/officeDocument/2006/relationships/hyperlink" Target="https://analytics.zhihuiya.com/patent-view/abst?patentId=bb3712e1-6a84-45e7-be98-c7ae82831561" TargetMode="External"/><Relationship Id="rId3625" Type="http://schemas.openxmlformats.org/officeDocument/2006/relationships/hyperlink" Target="https://analytics.zhihuiya.com/patent-view/abst?patentId=f0ff8f7b-73fd-4dfc-b722-752fb70faead" TargetMode="External"/><Relationship Id="rId339" Type="http://schemas.openxmlformats.org/officeDocument/2006/relationships/hyperlink" Target="https://analytics.zhihuiya.com/patent-view/abst?patentId=2ddb5361-3caf-4894-8095-bc145ad3aa13" TargetMode="External"/><Relationship Id="rId546" Type="http://schemas.openxmlformats.org/officeDocument/2006/relationships/hyperlink" Target="https://analytics.zhihuiya.com/patent-view/abst?patentId=775a62a7-d98a-4820-b5f2-aed61998543c" TargetMode="External"/><Relationship Id="rId753" Type="http://schemas.openxmlformats.org/officeDocument/2006/relationships/hyperlink" Target="https://analytics.zhihuiya.com/patent-view/abst?patentId=92ee4565-ba35-476d-9eae-a79b3d4d6895" TargetMode="External"/><Relationship Id="rId1176" Type="http://schemas.openxmlformats.org/officeDocument/2006/relationships/hyperlink" Target="https://analytics.zhihuiya.com/patent-view/abst?patentId=5fab0ca1-6351-4918-8e44-a8dd9eee38a4" TargetMode="External"/><Relationship Id="rId1383" Type="http://schemas.openxmlformats.org/officeDocument/2006/relationships/hyperlink" Target="https://analytics.zhihuiya.com/patent-view/abst?patentId=5c2e7708-69de-4caf-b8b2-0aad86a7039e" TargetMode="External"/><Relationship Id="rId2227" Type="http://schemas.openxmlformats.org/officeDocument/2006/relationships/hyperlink" Target="https://analytics.zhihuiya.com/patent-view/abst?patentId=9d9d6091-46bd-4b0b-ba43-4d6ce416477d" TargetMode="External"/><Relationship Id="rId2434" Type="http://schemas.openxmlformats.org/officeDocument/2006/relationships/hyperlink" Target="https://analytics.zhihuiya.com/patent-view/abst?patentId=8301dbf4-264d-4e26-8b1e-0cf3feb1d054" TargetMode="External"/><Relationship Id="rId3832" Type="http://schemas.openxmlformats.org/officeDocument/2006/relationships/hyperlink" Target="https://analytics.zhihuiya.com/patent-view/abst?patentId=ae6dc2d7-5549-4f3e-a9bb-c112ffe32211" TargetMode="External"/><Relationship Id="rId406" Type="http://schemas.openxmlformats.org/officeDocument/2006/relationships/hyperlink" Target="https://analytics.zhihuiya.com/patent-view/abst?patentId=80feab21-245e-4923-ae07-0dfa4519db11" TargetMode="External"/><Relationship Id="rId960" Type="http://schemas.openxmlformats.org/officeDocument/2006/relationships/hyperlink" Target="https://analytics.zhihuiya.com/patent-view/abst?patentId=cc5e0682-0eea-4955-8134-57219d6501b7" TargetMode="External"/><Relationship Id="rId1036" Type="http://schemas.openxmlformats.org/officeDocument/2006/relationships/hyperlink" Target="https://analytics.zhihuiya.com/patent-view/abst?patentId=7d75e831-e04f-4c92-b687-87489118947e" TargetMode="External"/><Relationship Id="rId1243" Type="http://schemas.openxmlformats.org/officeDocument/2006/relationships/hyperlink" Target="https://analytics.zhihuiya.com/patent-view/abst?patentId=49bc27fb-0a85-4d8a-bfb7-2c1c7a1ff655" TargetMode="External"/><Relationship Id="rId1590" Type="http://schemas.openxmlformats.org/officeDocument/2006/relationships/hyperlink" Target="https://analytics.zhihuiya.com/patent-view/abst?patentId=73ca7827-c223-493e-8f5f-b11f909a16ba" TargetMode="External"/><Relationship Id="rId2641" Type="http://schemas.openxmlformats.org/officeDocument/2006/relationships/hyperlink" Target="https://analytics.zhihuiya.com/patent-view/abst?patentId=f95d0d0a-7499-40c0-a2ef-6ac4f2871aff" TargetMode="External"/><Relationship Id="rId4399" Type="http://schemas.openxmlformats.org/officeDocument/2006/relationships/hyperlink" Target="https://analytics.zhihuiya.com/patent-view/abst?patentId=75acfcb3-624f-4564-8d09-28270c7ce527" TargetMode="External"/><Relationship Id="rId613" Type="http://schemas.openxmlformats.org/officeDocument/2006/relationships/hyperlink" Target="https://analytics.zhihuiya.com/patent-view/abst?patentId=da8abc38-616f-4150-9202-7da5e8d64954" TargetMode="External"/><Relationship Id="rId820" Type="http://schemas.openxmlformats.org/officeDocument/2006/relationships/hyperlink" Target="https://analytics.zhihuiya.com/patent-view/abst?patentId=79904b75-d961-4ac1-933c-e923183c8b62" TargetMode="External"/><Relationship Id="rId1450" Type="http://schemas.openxmlformats.org/officeDocument/2006/relationships/hyperlink" Target="https://analytics.zhihuiya.com/patent-view/abst?patentId=e79a2e55-dd52-4919-b825-f13b6b2dbce4" TargetMode="External"/><Relationship Id="rId2501" Type="http://schemas.openxmlformats.org/officeDocument/2006/relationships/hyperlink" Target="https://analytics.zhihuiya.com/patent-view/abst?patentId=e8b3f91f-7323-4bf5-b578-66b836dbb708" TargetMode="External"/><Relationship Id="rId1103" Type="http://schemas.openxmlformats.org/officeDocument/2006/relationships/hyperlink" Target="https://analytics.zhihuiya.com/patent-view/abst?patentId=4281d8de-eab7-44b0-8201-6a53c25550bf" TargetMode="External"/><Relationship Id="rId1310" Type="http://schemas.openxmlformats.org/officeDocument/2006/relationships/hyperlink" Target="https://analytics.zhihuiya.com/patent-view/abst?patentId=c1662b95-b900-41bb-bd5e-53d2a789f2ab" TargetMode="External"/><Relationship Id="rId4259" Type="http://schemas.openxmlformats.org/officeDocument/2006/relationships/hyperlink" Target="https://analytics.zhihuiya.com/patent-view/abst?patentId=d5aaf98b-bc32-42cd-9a42-1ce85ec93f5c" TargetMode="External"/><Relationship Id="rId3068" Type="http://schemas.openxmlformats.org/officeDocument/2006/relationships/hyperlink" Target="https://analytics.zhihuiya.com/patent-view/abst?patentId=8ff100fa-a4a0-48d7-b2d1-48c0bd599d00" TargetMode="External"/><Relationship Id="rId3275" Type="http://schemas.openxmlformats.org/officeDocument/2006/relationships/hyperlink" Target="https://analytics.zhihuiya.com/patent-view/abst?patentId=ffa1da5f-c602-485e-b192-2ad53e0e9eef" TargetMode="External"/><Relationship Id="rId3482" Type="http://schemas.openxmlformats.org/officeDocument/2006/relationships/hyperlink" Target="https://analytics.zhihuiya.com/patent-view/abst?patentId=e16d0401-9de3-4d2d-abc9-7f39efe5c11c" TargetMode="External"/><Relationship Id="rId4119" Type="http://schemas.openxmlformats.org/officeDocument/2006/relationships/hyperlink" Target="https://analytics.zhihuiya.com/patent-view/abst?patentId=fed3ff7f-9b76-4ecc-9b11-bc0d7caab4b9" TargetMode="External"/><Relationship Id="rId4326" Type="http://schemas.openxmlformats.org/officeDocument/2006/relationships/hyperlink" Target="https://analytics.zhihuiya.com/patent-view/abst?patentId=04625771-891c-4f92-88a4-a31dc1ebb67e" TargetMode="External"/><Relationship Id="rId196" Type="http://schemas.openxmlformats.org/officeDocument/2006/relationships/hyperlink" Target="https://analytics.zhihuiya.com/patent-view/abst?patentId=edbc7aaf-d147-400c-b353-721daa3e7c9b" TargetMode="External"/><Relationship Id="rId2084" Type="http://schemas.openxmlformats.org/officeDocument/2006/relationships/hyperlink" Target="https://analytics.zhihuiya.com/patent-view/abst?patentId=c9c80003-d7a5-406c-8f55-43aef2f86bbb" TargetMode="External"/><Relationship Id="rId2291" Type="http://schemas.openxmlformats.org/officeDocument/2006/relationships/hyperlink" Target="https://analytics.zhihuiya.com/patent-view/abst?patentId=ce91e39d-5f09-4e3a-a0c3-1204d2b2d0ee" TargetMode="External"/><Relationship Id="rId3135" Type="http://schemas.openxmlformats.org/officeDocument/2006/relationships/hyperlink" Target="https://analytics.zhihuiya.com/patent-view/abst?patentId=8e89349f-a66d-4e8c-aa4d-471864c4db7a" TargetMode="External"/><Relationship Id="rId3342" Type="http://schemas.openxmlformats.org/officeDocument/2006/relationships/hyperlink" Target="https://analytics.zhihuiya.com/patent-view/abst?patentId=71781c88-6b88-4032-9e0a-b8824e2baf68" TargetMode="External"/><Relationship Id="rId263" Type="http://schemas.openxmlformats.org/officeDocument/2006/relationships/hyperlink" Target="https://analytics.zhihuiya.com/patent-view/abst?patentId=8a395942-00ca-451c-bdaa-f92118740b4b" TargetMode="External"/><Relationship Id="rId470" Type="http://schemas.openxmlformats.org/officeDocument/2006/relationships/hyperlink" Target="https://analytics.zhihuiya.com/patent-view/abst?patentId=a2e9f62d-803a-4f9c-a559-85274677842d" TargetMode="External"/><Relationship Id="rId2151" Type="http://schemas.openxmlformats.org/officeDocument/2006/relationships/hyperlink" Target="https://analytics.zhihuiya.com/patent-view/abst?patentId=a54428ce-3ab5-45d8-bcd1-85b0fe99d098" TargetMode="External"/><Relationship Id="rId3202" Type="http://schemas.openxmlformats.org/officeDocument/2006/relationships/hyperlink" Target="https://analytics.zhihuiya.com/patent-view/abst?patentId=26fb00ad-656d-43c5-a521-7336ab1f85bc" TargetMode="External"/><Relationship Id="rId123" Type="http://schemas.openxmlformats.org/officeDocument/2006/relationships/hyperlink" Target="https://analytics.zhihuiya.com/patent-view/abst?patentId=c554fdf4-6e45-4214-9e01-03e9e0e82b92" TargetMode="External"/><Relationship Id="rId330" Type="http://schemas.openxmlformats.org/officeDocument/2006/relationships/hyperlink" Target="https://analytics.zhihuiya.com/patent-view/abst?patentId=b296f121-2039-4a5a-85fc-2830f7eaf2d1" TargetMode="External"/><Relationship Id="rId2011" Type="http://schemas.openxmlformats.org/officeDocument/2006/relationships/hyperlink" Target="https://analytics.zhihuiya.com/patent-view/abst?patentId=a6d8c274-6168-487e-988c-7f79617da2f3" TargetMode="External"/><Relationship Id="rId2968" Type="http://schemas.openxmlformats.org/officeDocument/2006/relationships/hyperlink" Target="https://analytics.zhihuiya.com/patent-view/abst?patentId=2d7ba1f8-16a2-43ae-956b-1d47c8896295" TargetMode="External"/><Relationship Id="rId4183" Type="http://schemas.openxmlformats.org/officeDocument/2006/relationships/hyperlink" Target="https://analytics.zhihuiya.com/patent-view/abst?patentId=a66feb4f-8c2a-4ebc-b4f1-26b489654348" TargetMode="External"/><Relationship Id="rId1777" Type="http://schemas.openxmlformats.org/officeDocument/2006/relationships/hyperlink" Target="https://analytics.zhihuiya.com/patent-view/abst?patentId=68794ab1-7939-47e6-9313-5ae99e1fa365" TargetMode="External"/><Relationship Id="rId1984" Type="http://schemas.openxmlformats.org/officeDocument/2006/relationships/hyperlink" Target="https://analytics.zhihuiya.com/patent-view/abst?patentId=f7501734-854f-4988-9018-b2e3f173330e" TargetMode="External"/><Relationship Id="rId2828" Type="http://schemas.openxmlformats.org/officeDocument/2006/relationships/hyperlink" Target="https://analytics.zhihuiya.com/patent-view/abst?patentId=b907883f-6b17-4d28-890d-7a5f516481c0" TargetMode="External"/><Relationship Id="rId4390" Type="http://schemas.openxmlformats.org/officeDocument/2006/relationships/hyperlink" Target="https://analytics.zhihuiya.com/patent-view/abst?patentId=52c3b620-45d1-4559-9572-d31954485e71" TargetMode="External"/><Relationship Id="rId69" Type="http://schemas.openxmlformats.org/officeDocument/2006/relationships/hyperlink" Target="https://analytics.zhihuiya.com/patent-view/abst?patentId=4c69828a-3f68-4b7f-9b83-13de84dd89f8" TargetMode="External"/><Relationship Id="rId1637" Type="http://schemas.openxmlformats.org/officeDocument/2006/relationships/hyperlink" Target="https://analytics.zhihuiya.com/patent-view/abst?patentId=bd767bdc-f3d7-4e34-a3e1-efa30f3e6552" TargetMode="External"/><Relationship Id="rId1844" Type="http://schemas.openxmlformats.org/officeDocument/2006/relationships/hyperlink" Target="https://analytics.zhihuiya.com/patent-view/abst?patentId=708356cb-948c-4440-84f4-6e4bfb635ff4" TargetMode="External"/><Relationship Id="rId4043" Type="http://schemas.openxmlformats.org/officeDocument/2006/relationships/hyperlink" Target="https://analytics.zhihuiya.com/patent-view/abst?patentId=0aa3d338-5e89-4a26-9b83-e1fb298dd5b0" TargetMode="External"/><Relationship Id="rId4250" Type="http://schemas.openxmlformats.org/officeDocument/2006/relationships/hyperlink" Target="https://analytics.zhihuiya.com/patent-view/abst?patentId=9b6a2681-06fb-4c87-a748-e6568579319d" TargetMode="External"/><Relationship Id="rId1704" Type="http://schemas.openxmlformats.org/officeDocument/2006/relationships/hyperlink" Target="https://analytics.zhihuiya.com/patent-view/abst?patentId=1a28baba-873b-4ad0-8aa3-15c42c490d38" TargetMode="External"/><Relationship Id="rId4110" Type="http://schemas.openxmlformats.org/officeDocument/2006/relationships/hyperlink" Target="https://analytics.zhihuiya.com/patent-view/abst?patentId=0509b4aa-814f-4481-a3bd-86da1a452a42" TargetMode="External"/><Relationship Id="rId1911" Type="http://schemas.openxmlformats.org/officeDocument/2006/relationships/hyperlink" Target="https://analytics.zhihuiya.com/patent-view/abst?patentId=63d2fe75-134e-48bf-8483-59f0cc593d8a" TargetMode="External"/><Relationship Id="rId3669" Type="http://schemas.openxmlformats.org/officeDocument/2006/relationships/hyperlink" Target="https://analytics.zhihuiya.com/patent-view/abst?patentId=6d291924-2bf8-48a8-a114-4cad984098d0" TargetMode="External"/><Relationship Id="rId797" Type="http://schemas.openxmlformats.org/officeDocument/2006/relationships/hyperlink" Target="https://analytics.zhihuiya.com/patent-view/abst?patentId=8c25774b-c07c-49ac-a2fc-06533804da8d" TargetMode="External"/><Relationship Id="rId2478" Type="http://schemas.openxmlformats.org/officeDocument/2006/relationships/hyperlink" Target="https://analytics.zhihuiya.com/patent-view/abst?patentId=da6890dd-48b7-4deb-b4a4-a15ca4eb63cc" TargetMode="External"/><Relationship Id="rId3876" Type="http://schemas.openxmlformats.org/officeDocument/2006/relationships/hyperlink" Target="https://analytics.zhihuiya.com/patent-view/abst?patentId=5cdae92e-7ee1-4244-a356-ad25b8020223" TargetMode="External"/><Relationship Id="rId1287" Type="http://schemas.openxmlformats.org/officeDocument/2006/relationships/hyperlink" Target="https://analytics.zhihuiya.com/patent-view/abst?patentId=43183d0d-0248-4a42-a5ae-a7bca9c18a00" TargetMode="External"/><Relationship Id="rId2685" Type="http://schemas.openxmlformats.org/officeDocument/2006/relationships/hyperlink" Target="https://analytics.zhihuiya.com/patent-view/abst?patentId=56692195-9c09-4f38-9ba7-12a7a4763740" TargetMode="External"/><Relationship Id="rId2892" Type="http://schemas.openxmlformats.org/officeDocument/2006/relationships/hyperlink" Target="https://analytics.zhihuiya.com/patent-view/abst?patentId=81308507-27e0-4425-a35f-e970d999a50d" TargetMode="External"/><Relationship Id="rId3529" Type="http://schemas.openxmlformats.org/officeDocument/2006/relationships/hyperlink" Target="https://analytics.zhihuiya.com/patent-view/abst?patentId=8d5a2ea1-5abe-471c-9b03-0eb4886750bd" TargetMode="External"/><Relationship Id="rId3736" Type="http://schemas.openxmlformats.org/officeDocument/2006/relationships/hyperlink" Target="https://analytics.zhihuiya.com/patent-view/abst?patentId=352fa3fb-195a-4296-83bd-2e10e6dd5201" TargetMode="External"/><Relationship Id="rId3943" Type="http://schemas.openxmlformats.org/officeDocument/2006/relationships/hyperlink" Target="https://analytics.zhihuiya.com/patent-view/abst?patentId=4a36f4de-157b-40af-94ef-8d699ea15247" TargetMode="External"/><Relationship Id="rId657" Type="http://schemas.openxmlformats.org/officeDocument/2006/relationships/hyperlink" Target="https://analytics.zhihuiya.com/patent-view/abst?patentId=97948c03-418f-4201-966c-cf5b16e9225b" TargetMode="External"/><Relationship Id="rId864" Type="http://schemas.openxmlformats.org/officeDocument/2006/relationships/hyperlink" Target="https://analytics.zhihuiya.com/patent-view/abst?patentId=2a2c4345-cdc5-47b3-bcb1-3a1f8fb16884" TargetMode="External"/><Relationship Id="rId1494" Type="http://schemas.openxmlformats.org/officeDocument/2006/relationships/hyperlink" Target="https://analytics.zhihuiya.com/patent-view/abst?patentId=258bc53d-81db-4238-b653-f17290e701e0" TargetMode="External"/><Relationship Id="rId2338" Type="http://schemas.openxmlformats.org/officeDocument/2006/relationships/hyperlink" Target="https://analytics.zhihuiya.com/patent-view/abst?patentId=0ffa5e55-b9d1-4685-9101-c17973eb5a06" TargetMode="External"/><Relationship Id="rId2545" Type="http://schemas.openxmlformats.org/officeDocument/2006/relationships/hyperlink" Target="https://analytics.zhihuiya.com/patent-view/abst?patentId=c2e8f2a7-ac23-4714-9dea-9814a272cf9e" TargetMode="External"/><Relationship Id="rId2752" Type="http://schemas.openxmlformats.org/officeDocument/2006/relationships/hyperlink" Target="https://analytics.zhihuiya.com/patent-view/abst?patentId=6ba43eaf-199a-41c5-ae85-9883509562a8" TargetMode="External"/><Relationship Id="rId3803" Type="http://schemas.openxmlformats.org/officeDocument/2006/relationships/hyperlink" Target="https://analytics.zhihuiya.com/patent-view/abst?patentId=3df14c52-6612-4abd-9f15-51ad6ed4adfc" TargetMode="External"/><Relationship Id="rId517" Type="http://schemas.openxmlformats.org/officeDocument/2006/relationships/hyperlink" Target="https://analytics.zhihuiya.com/patent-view/abst?patentId=6690c1f6-a33b-4449-858d-d780831d2e04" TargetMode="External"/><Relationship Id="rId724" Type="http://schemas.openxmlformats.org/officeDocument/2006/relationships/hyperlink" Target="https://analytics.zhihuiya.com/patent-view/abst?patentId=390a4bc0-2a1b-446e-a8b5-ab167b7ab403" TargetMode="External"/><Relationship Id="rId931" Type="http://schemas.openxmlformats.org/officeDocument/2006/relationships/hyperlink" Target="https://analytics.zhihuiya.com/patent-view/abst?patentId=13350115-5805-4046-a2e8-50431cdd775d" TargetMode="External"/><Relationship Id="rId1147" Type="http://schemas.openxmlformats.org/officeDocument/2006/relationships/hyperlink" Target="https://analytics.zhihuiya.com/patent-view/abst?patentId=4b6eee99-52e3-44cc-9597-20fe4150bdc7" TargetMode="External"/><Relationship Id="rId1354" Type="http://schemas.openxmlformats.org/officeDocument/2006/relationships/hyperlink" Target="https://analytics.zhihuiya.com/patent-view/abst?patentId=654b1553-3e33-4938-a1d3-4f8c27154056" TargetMode="External"/><Relationship Id="rId1561" Type="http://schemas.openxmlformats.org/officeDocument/2006/relationships/hyperlink" Target="https://analytics.zhihuiya.com/patent-view/abst?patentId=9220d517-061b-4771-8fbd-c413f47600a4" TargetMode="External"/><Relationship Id="rId2405" Type="http://schemas.openxmlformats.org/officeDocument/2006/relationships/hyperlink" Target="https://analytics.zhihuiya.com/patent-view/abst?patentId=1f13bc6f-c001-4252-ab3e-1d2dfac1a940" TargetMode="External"/><Relationship Id="rId2612" Type="http://schemas.openxmlformats.org/officeDocument/2006/relationships/hyperlink" Target="https://analytics.zhihuiya.com/patent-view/abst?patentId=68baf584-48c9-4a76-8e4d-ad2f2a3bc02f" TargetMode="External"/><Relationship Id="rId60" Type="http://schemas.openxmlformats.org/officeDocument/2006/relationships/hyperlink" Target="https://analytics.zhihuiya.com/patent-view/abst?patentId=bbb29633-f8ab-41d6-b989-d7f2ab920183" TargetMode="External"/><Relationship Id="rId1007" Type="http://schemas.openxmlformats.org/officeDocument/2006/relationships/hyperlink" Target="https://analytics.zhihuiya.com/patent-view/abst?patentId=727f6801-bd3c-45fa-8c37-362dce99bcf1" TargetMode="External"/><Relationship Id="rId1214" Type="http://schemas.openxmlformats.org/officeDocument/2006/relationships/hyperlink" Target="https://analytics.zhihuiya.com/patent-view/abst?patentId=7dde9b9e-d901-4a56-998e-5e19ef0c1a8c" TargetMode="External"/><Relationship Id="rId1421" Type="http://schemas.openxmlformats.org/officeDocument/2006/relationships/hyperlink" Target="https://analytics.zhihuiya.com/patent-view/abst?patentId=38fc69be-c58c-4a55-894b-d89f138692f5" TargetMode="External"/><Relationship Id="rId3179" Type="http://schemas.openxmlformats.org/officeDocument/2006/relationships/hyperlink" Target="https://analytics.zhihuiya.com/patent-view/abst?patentId=5a8c0a4f-e87e-41d5-a3b7-f4114b0520a7" TargetMode="External"/><Relationship Id="rId3386" Type="http://schemas.openxmlformats.org/officeDocument/2006/relationships/hyperlink" Target="https://analytics.zhihuiya.com/patent-view/abst?patentId=125ec67b-dc0c-428a-83cb-23d29101bc95" TargetMode="External"/><Relationship Id="rId3593" Type="http://schemas.openxmlformats.org/officeDocument/2006/relationships/hyperlink" Target="https://analytics.zhihuiya.com/patent-view/abst?patentId=11fe96a2-2d40-4b24-942f-fe33f29269b0" TargetMode="External"/><Relationship Id="rId4437" Type="http://schemas.openxmlformats.org/officeDocument/2006/relationships/hyperlink" Target="https://analytics.zhihuiya.com/patent-view/abst?patentId=d7ecac2a-0c03-4119-9f29-a65b707e32a0" TargetMode="External"/><Relationship Id="rId2195" Type="http://schemas.openxmlformats.org/officeDocument/2006/relationships/hyperlink" Target="https://analytics.zhihuiya.com/patent-view/abst?patentId=e29d789a-ad56-417d-ab52-585999fbcea1" TargetMode="External"/><Relationship Id="rId3039" Type="http://schemas.openxmlformats.org/officeDocument/2006/relationships/hyperlink" Target="https://analytics.zhihuiya.com/patent-view/abst?patentId=fdbe17a2-ec14-4c61-a95a-1af980eda133" TargetMode="External"/><Relationship Id="rId3246" Type="http://schemas.openxmlformats.org/officeDocument/2006/relationships/hyperlink" Target="https://analytics.zhihuiya.com/patent-view/abst?patentId=3a915417-27d2-4c6a-a2fb-03825f755fc8" TargetMode="External"/><Relationship Id="rId3453" Type="http://schemas.openxmlformats.org/officeDocument/2006/relationships/hyperlink" Target="https://analytics.zhihuiya.com/patent-view/abst?patentId=0d54ab30-1cf8-4a5b-a2ec-1b4b0edb80d5" TargetMode="External"/><Relationship Id="rId167" Type="http://schemas.openxmlformats.org/officeDocument/2006/relationships/hyperlink" Target="https://analytics.zhihuiya.com/patent-view/abst?patentId=db778331-9e12-4089-b68e-844a42191aca" TargetMode="External"/><Relationship Id="rId374" Type="http://schemas.openxmlformats.org/officeDocument/2006/relationships/hyperlink" Target="https://analytics.zhihuiya.com/patent-view/abst?patentId=20325d7a-91f8-4042-8527-656ba00a211d" TargetMode="External"/><Relationship Id="rId581" Type="http://schemas.openxmlformats.org/officeDocument/2006/relationships/hyperlink" Target="https://analytics.zhihuiya.com/patent-view/abst?patentId=ec363bfe-ef27-47b2-9792-374746254fcf" TargetMode="External"/><Relationship Id="rId2055" Type="http://schemas.openxmlformats.org/officeDocument/2006/relationships/hyperlink" Target="https://analytics.zhihuiya.com/patent-view/abst?patentId=b6d291cf-3690-4b28-b43f-c6438f4e15a2" TargetMode="External"/><Relationship Id="rId2262" Type="http://schemas.openxmlformats.org/officeDocument/2006/relationships/hyperlink" Target="https://analytics.zhihuiya.com/patent-view/abst?patentId=2848e431-d1c6-4a81-9fdc-421ca93efdf5" TargetMode="External"/><Relationship Id="rId3106" Type="http://schemas.openxmlformats.org/officeDocument/2006/relationships/hyperlink" Target="https://analytics.zhihuiya.com/patent-view/abst?patentId=3c8772a4-61b5-4743-9905-29451d92b838" TargetMode="External"/><Relationship Id="rId3660" Type="http://schemas.openxmlformats.org/officeDocument/2006/relationships/hyperlink" Target="https://analytics.zhihuiya.com/patent-view/abst?patentId=5ccaaa5c-81d4-4d7f-9bf0-1152e5325516" TargetMode="External"/><Relationship Id="rId234" Type="http://schemas.openxmlformats.org/officeDocument/2006/relationships/hyperlink" Target="https://analytics.zhihuiya.com/patent-view/abst?patentId=14e65ebf-ad78-421a-b3f1-2e35e5b53271" TargetMode="External"/><Relationship Id="rId3313" Type="http://schemas.openxmlformats.org/officeDocument/2006/relationships/hyperlink" Target="https://analytics.zhihuiya.com/patent-view/abst?patentId=90d4dff9-1ef1-401f-85e8-9c6df9d60636" TargetMode="External"/><Relationship Id="rId3520" Type="http://schemas.openxmlformats.org/officeDocument/2006/relationships/hyperlink" Target="https://analytics.zhihuiya.com/patent-view/abst?patentId=cdda92bb-7911-43b8-bd16-113a1dcd4698" TargetMode="External"/><Relationship Id="rId441" Type="http://schemas.openxmlformats.org/officeDocument/2006/relationships/hyperlink" Target="https://analytics.zhihuiya.com/patent-view/abst?patentId=58010539-cba6-47e5-b8ee-75be9392627a" TargetMode="External"/><Relationship Id="rId1071" Type="http://schemas.openxmlformats.org/officeDocument/2006/relationships/hyperlink" Target="https://analytics.zhihuiya.com/patent-view/abst?patentId=035b5161-31b4-4889-ae48-5a475071e443" TargetMode="External"/><Relationship Id="rId2122" Type="http://schemas.openxmlformats.org/officeDocument/2006/relationships/hyperlink" Target="https://analytics.zhihuiya.com/patent-view/abst?patentId=f18d1575-e2d3-4288-8f46-8c8646ce806f" TargetMode="External"/><Relationship Id="rId301" Type="http://schemas.openxmlformats.org/officeDocument/2006/relationships/hyperlink" Target="https://analytics.zhihuiya.com/patent-view/abst?patentId=90fbec14-4e9a-45e3-960d-2a667893917e" TargetMode="External"/><Relationship Id="rId1888" Type="http://schemas.openxmlformats.org/officeDocument/2006/relationships/hyperlink" Target="https://analytics.zhihuiya.com/patent-view/abst?patentId=c6a4e644-fcf8-499c-ae19-1d9f6a58181d" TargetMode="External"/><Relationship Id="rId2939" Type="http://schemas.openxmlformats.org/officeDocument/2006/relationships/hyperlink" Target="https://analytics.zhihuiya.com/patent-view/abst?patentId=68a653b2-9965-4abf-ab66-dba20d7b9594" TargetMode="External"/><Relationship Id="rId4087" Type="http://schemas.openxmlformats.org/officeDocument/2006/relationships/hyperlink" Target="https://analytics.zhihuiya.com/patent-view/abst?patentId=9b1114c9-73ae-474f-82d7-4578bfadc94e" TargetMode="External"/><Relationship Id="rId4294" Type="http://schemas.openxmlformats.org/officeDocument/2006/relationships/hyperlink" Target="https://analytics.zhihuiya.com/patent-view/abst?patentId=1fc92b04-fb54-41dc-a443-513a9f673bd3" TargetMode="External"/><Relationship Id="rId1748" Type="http://schemas.openxmlformats.org/officeDocument/2006/relationships/hyperlink" Target="https://analytics.zhihuiya.com/patent-view/abst?patentId=4e3706e0-0bd7-45fb-863d-8d24058275f0" TargetMode="External"/><Relationship Id="rId4154" Type="http://schemas.openxmlformats.org/officeDocument/2006/relationships/hyperlink" Target="https://analytics.zhihuiya.com/patent-view/abst?patentId=8292c6c0-f6be-40bc-9856-093c02fe79c8" TargetMode="External"/><Relationship Id="rId4361" Type="http://schemas.openxmlformats.org/officeDocument/2006/relationships/hyperlink" Target="https://analytics.zhihuiya.com/patent-view/abst?patentId=7c9d3d9d-4256-4632-b934-352c944b29c2" TargetMode="External"/><Relationship Id="rId1955" Type="http://schemas.openxmlformats.org/officeDocument/2006/relationships/hyperlink" Target="https://analytics.zhihuiya.com/patent-view/abst?patentId=b6459a15-8c15-4fc0-be03-7484d306a0cb" TargetMode="External"/><Relationship Id="rId3170" Type="http://schemas.openxmlformats.org/officeDocument/2006/relationships/hyperlink" Target="https://analytics.zhihuiya.com/patent-view/abst?patentId=c8f7016d-7049-401c-af3a-e13111f2d060" TargetMode="External"/><Relationship Id="rId4014" Type="http://schemas.openxmlformats.org/officeDocument/2006/relationships/hyperlink" Target="https://analytics.zhihuiya.com/patent-view/abst?patentId=321a36af-58f2-4609-92ed-238b74b14d4a" TargetMode="External"/><Relationship Id="rId4221" Type="http://schemas.openxmlformats.org/officeDocument/2006/relationships/hyperlink" Target="https://analytics.zhihuiya.com/patent-view/abst?patentId=21aebf3f-1bef-4830-9664-be578993f52b" TargetMode="External"/><Relationship Id="rId1608" Type="http://schemas.openxmlformats.org/officeDocument/2006/relationships/hyperlink" Target="https://analytics.zhihuiya.com/patent-view/abst?patentId=626526c7-1e6d-4326-9d45-720d6a778a73" TargetMode="External"/><Relationship Id="rId1815" Type="http://schemas.openxmlformats.org/officeDocument/2006/relationships/hyperlink" Target="https://analytics.zhihuiya.com/patent-view/abst?patentId=01e9b65c-0195-4f78-bd6b-31c9b152e9cd" TargetMode="External"/><Relationship Id="rId3030" Type="http://schemas.openxmlformats.org/officeDocument/2006/relationships/hyperlink" Target="https://analytics.zhihuiya.com/patent-view/abst?patentId=53db02cd-68a9-4a48-b853-2fbee166f669" TargetMode="External"/><Relationship Id="rId3987" Type="http://schemas.openxmlformats.org/officeDocument/2006/relationships/hyperlink" Target="https://analytics.zhihuiya.com/patent-view/abst?patentId=aad0874a-cc5c-4030-82a3-16bff9e37fb6" TargetMode="External"/><Relationship Id="rId2589" Type="http://schemas.openxmlformats.org/officeDocument/2006/relationships/hyperlink" Target="https://analytics.zhihuiya.com/patent-view/abst?patentId=e6b8cf39-5641-43ef-9789-ea01b9ef7652" TargetMode="External"/><Relationship Id="rId2796" Type="http://schemas.openxmlformats.org/officeDocument/2006/relationships/hyperlink" Target="https://analytics.zhihuiya.com/patent-view/abst?patentId=66a75d37-ea21-4216-90ce-04fc4a6caf4f" TargetMode="External"/><Relationship Id="rId3847" Type="http://schemas.openxmlformats.org/officeDocument/2006/relationships/hyperlink" Target="https://analytics.zhihuiya.com/patent-view/abst?patentId=5f522cad-d8c7-4e3a-b5a5-90dadf51dd64" TargetMode="External"/><Relationship Id="rId768" Type="http://schemas.openxmlformats.org/officeDocument/2006/relationships/hyperlink" Target="https://analytics.zhihuiya.com/patent-view/abst?patentId=6eab20c8-ffdd-4ee5-9e7c-d5631291fffc" TargetMode="External"/><Relationship Id="rId975" Type="http://schemas.openxmlformats.org/officeDocument/2006/relationships/hyperlink" Target="https://analytics.zhihuiya.com/patent-view/abst?patentId=c656ab91-eb9f-4a5a-ad9c-5b9a11e4a5e7" TargetMode="External"/><Relationship Id="rId1398" Type="http://schemas.openxmlformats.org/officeDocument/2006/relationships/hyperlink" Target="https://analytics.zhihuiya.com/patent-view/abst?patentId=5b20c19a-babb-423e-b983-569ed5b46934" TargetMode="External"/><Relationship Id="rId2449" Type="http://schemas.openxmlformats.org/officeDocument/2006/relationships/hyperlink" Target="https://analytics.zhihuiya.com/patent-view/abst?patentId=607f197f-a971-4b58-aec6-353fc5061a8a" TargetMode="External"/><Relationship Id="rId2656" Type="http://schemas.openxmlformats.org/officeDocument/2006/relationships/hyperlink" Target="https://analytics.zhihuiya.com/patent-view/abst?patentId=7d3504cc-145b-4c93-875b-cc4a53b4b15b" TargetMode="External"/><Relationship Id="rId2863" Type="http://schemas.openxmlformats.org/officeDocument/2006/relationships/hyperlink" Target="https://analytics.zhihuiya.com/patent-view/abst?patentId=78255ce7-4d5e-4bb5-b0a2-48ebe672b3cc" TargetMode="External"/><Relationship Id="rId3707" Type="http://schemas.openxmlformats.org/officeDocument/2006/relationships/hyperlink" Target="https://analytics.zhihuiya.com/patent-view/abst?patentId=6d36e2be-03c6-4cc6-b199-78850fe93dca" TargetMode="External"/><Relationship Id="rId3914" Type="http://schemas.openxmlformats.org/officeDocument/2006/relationships/hyperlink" Target="https://analytics.zhihuiya.com/patent-view/abst?patentId=693d6b15-3d2e-4538-987f-b5e64b09194f" TargetMode="External"/><Relationship Id="rId628" Type="http://schemas.openxmlformats.org/officeDocument/2006/relationships/hyperlink" Target="https://analytics.zhihuiya.com/patent-view/abst?patentId=a5f33c33-08c2-412d-9687-01ece04645e3" TargetMode="External"/><Relationship Id="rId835" Type="http://schemas.openxmlformats.org/officeDocument/2006/relationships/hyperlink" Target="https://analytics.zhihuiya.com/patent-view/abst?patentId=fdf8543a-c936-4073-9857-e855c1d38379" TargetMode="External"/><Relationship Id="rId1258" Type="http://schemas.openxmlformats.org/officeDocument/2006/relationships/hyperlink" Target="https://analytics.zhihuiya.com/patent-view/abst?patentId=41ccf7dd-8b67-46b2-81b1-719ff7467dad" TargetMode="External"/><Relationship Id="rId1465" Type="http://schemas.openxmlformats.org/officeDocument/2006/relationships/hyperlink" Target="https://analytics.zhihuiya.com/patent-view/abst?patentId=c4570241-4dab-41eb-8aae-01b9528ddbd7" TargetMode="External"/><Relationship Id="rId1672" Type="http://schemas.openxmlformats.org/officeDocument/2006/relationships/hyperlink" Target="https://analytics.zhihuiya.com/patent-view/abst?patentId=602a471f-bb19-49b3-86f7-a94c309ba94d" TargetMode="External"/><Relationship Id="rId2309" Type="http://schemas.openxmlformats.org/officeDocument/2006/relationships/hyperlink" Target="https://analytics.zhihuiya.com/patent-view/abst?patentId=03942230-f3be-404a-8991-691fd2a261a2" TargetMode="External"/><Relationship Id="rId2516" Type="http://schemas.openxmlformats.org/officeDocument/2006/relationships/hyperlink" Target="https://analytics.zhihuiya.com/patent-view/abst?patentId=974a3239-93dc-46d9-9c4f-07365a96e672" TargetMode="External"/><Relationship Id="rId2723" Type="http://schemas.openxmlformats.org/officeDocument/2006/relationships/hyperlink" Target="https://analytics.zhihuiya.com/patent-view/abst?patentId=52319385-9d68-4193-be34-caf64b400329" TargetMode="External"/><Relationship Id="rId1118" Type="http://schemas.openxmlformats.org/officeDocument/2006/relationships/hyperlink" Target="https://analytics.zhihuiya.com/patent-view/abst?patentId=3629ea6b-d498-4926-8667-7ad29a133348" TargetMode="External"/><Relationship Id="rId1325" Type="http://schemas.openxmlformats.org/officeDocument/2006/relationships/hyperlink" Target="https://analytics.zhihuiya.com/patent-view/abst?patentId=25dd906d-ee27-4ed6-9b87-fa394d1d59a1" TargetMode="External"/><Relationship Id="rId1532" Type="http://schemas.openxmlformats.org/officeDocument/2006/relationships/hyperlink" Target="https://analytics.zhihuiya.com/patent-view/abst?patentId=04ef56c0-5f25-4ae2-b56a-2793700ec3a9" TargetMode="External"/><Relationship Id="rId2930" Type="http://schemas.openxmlformats.org/officeDocument/2006/relationships/hyperlink" Target="https://analytics.zhihuiya.com/patent-view/abst?patentId=c4dab32a-0968-498b-be63-499b34ac3db0" TargetMode="External"/><Relationship Id="rId902" Type="http://schemas.openxmlformats.org/officeDocument/2006/relationships/hyperlink" Target="https://analytics.zhihuiya.com/patent-view/abst?patentId=8197e64e-4240-4135-b95f-473344a4697c" TargetMode="External"/><Relationship Id="rId3497" Type="http://schemas.openxmlformats.org/officeDocument/2006/relationships/hyperlink" Target="https://analytics.zhihuiya.com/patent-view/abst?patentId=da381942-0092-403a-a78d-07dd659d8c40" TargetMode="External"/><Relationship Id="rId31" Type="http://schemas.openxmlformats.org/officeDocument/2006/relationships/hyperlink" Target="https://analytics.zhihuiya.com/patent-view/abst?patentId=7b805cb1-2cf2-4171-964d-35d672370751" TargetMode="External"/><Relationship Id="rId2099" Type="http://schemas.openxmlformats.org/officeDocument/2006/relationships/hyperlink" Target="https://analytics.zhihuiya.com/patent-view/abst?patentId=9edc1264-ae08-4c84-8df7-44c44e0aad8b" TargetMode="External"/><Relationship Id="rId278" Type="http://schemas.openxmlformats.org/officeDocument/2006/relationships/hyperlink" Target="https://analytics.zhihuiya.com/patent-view/abst?patentId=4beb37a6-c60c-424d-82f3-8c591bc95afc" TargetMode="External"/><Relationship Id="rId3357" Type="http://schemas.openxmlformats.org/officeDocument/2006/relationships/hyperlink" Target="https://analytics.zhihuiya.com/patent-view/abst?patentId=d80cc38d-db84-4ecd-8543-561a1e60b805" TargetMode="External"/><Relationship Id="rId3564" Type="http://schemas.openxmlformats.org/officeDocument/2006/relationships/hyperlink" Target="https://analytics.zhihuiya.com/patent-view/abst?patentId=90ab1a6c-6617-4560-bf80-90ff25f97ce2" TargetMode="External"/><Relationship Id="rId3771" Type="http://schemas.openxmlformats.org/officeDocument/2006/relationships/hyperlink" Target="https://analytics.zhihuiya.com/patent-view/abst?patentId=20766779-9bce-46a9-89ec-6f80da16b027" TargetMode="External"/><Relationship Id="rId4408" Type="http://schemas.openxmlformats.org/officeDocument/2006/relationships/hyperlink" Target="https://analytics.zhihuiya.com/patent-view/abst?patentId=43550953-1c81-4c9f-a111-43473d02833a" TargetMode="External"/><Relationship Id="rId485" Type="http://schemas.openxmlformats.org/officeDocument/2006/relationships/hyperlink" Target="https://analytics.zhihuiya.com/patent-view/abst?patentId=6a7b1679-192c-441a-8fbf-d3052bdc959c" TargetMode="External"/><Relationship Id="rId692" Type="http://schemas.openxmlformats.org/officeDocument/2006/relationships/hyperlink" Target="https://analytics.zhihuiya.com/patent-view/abst?patentId=834f96d6-60ea-45f5-87f7-054c47bf660b" TargetMode="External"/><Relationship Id="rId2166" Type="http://schemas.openxmlformats.org/officeDocument/2006/relationships/hyperlink" Target="https://analytics.zhihuiya.com/patent-view/abst?patentId=9703a2e8-4717-482c-9cc9-5b1dd52d781c" TargetMode="External"/><Relationship Id="rId2373" Type="http://schemas.openxmlformats.org/officeDocument/2006/relationships/hyperlink" Target="https://analytics.zhihuiya.com/patent-view/abst?patentId=3ebd5b7d-d8ee-45f8-acfa-5385fb248a8c" TargetMode="External"/><Relationship Id="rId2580" Type="http://schemas.openxmlformats.org/officeDocument/2006/relationships/hyperlink" Target="https://analytics.zhihuiya.com/patent-view/abst?patentId=ab01fee0-434f-4886-8f08-511e2c55e05e" TargetMode="External"/><Relationship Id="rId3217" Type="http://schemas.openxmlformats.org/officeDocument/2006/relationships/hyperlink" Target="https://analytics.zhihuiya.com/patent-view/abst?patentId=e30dfe3a-d12d-42ed-b5d4-dfea2c241272" TargetMode="External"/><Relationship Id="rId3424" Type="http://schemas.openxmlformats.org/officeDocument/2006/relationships/hyperlink" Target="https://analytics.zhihuiya.com/patent-view/abst?patentId=c22a7f66-d8fa-4d3c-acd6-b408a172654c" TargetMode="External"/><Relationship Id="rId3631" Type="http://schemas.openxmlformats.org/officeDocument/2006/relationships/hyperlink" Target="https://analytics.zhihuiya.com/patent-view/abst?patentId=f6fdf41d-7bbf-4890-9abf-a480011b61ad" TargetMode="External"/><Relationship Id="rId138" Type="http://schemas.openxmlformats.org/officeDocument/2006/relationships/hyperlink" Target="https://analytics.zhihuiya.com/patent-view/abst?patentId=638de333-e7f6-4c9a-a4b0-fc17f551cdc2" TargetMode="External"/><Relationship Id="rId345" Type="http://schemas.openxmlformats.org/officeDocument/2006/relationships/hyperlink" Target="https://analytics.zhihuiya.com/patent-view/abst?patentId=9d228a3e-3c44-4602-80a3-e9d9a439d983" TargetMode="External"/><Relationship Id="rId552" Type="http://schemas.openxmlformats.org/officeDocument/2006/relationships/hyperlink" Target="https://analytics.zhihuiya.com/patent-view/abst?patentId=861c5515-fdbe-4cc4-9960-f01e06b45602" TargetMode="External"/><Relationship Id="rId1182" Type="http://schemas.openxmlformats.org/officeDocument/2006/relationships/hyperlink" Target="https://analytics.zhihuiya.com/patent-view/abst?patentId=0506e379-a88e-467e-9dda-c96df10e81f5" TargetMode="External"/><Relationship Id="rId2026" Type="http://schemas.openxmlformats.org/officeDocument/2006/relationships/hyperlink" Target="https://analytics.zhihuiya.com/patent-view/abst?patentId=3c5acc9a-8186-4913-bb56-d670b951a4b7" TargetMode="External"/><Relationship Id="rId2233" Type="http://schemas.openxmlformats.org/officeDocument/2006/relationships/hyperlink" Target="https://analytics.zhihuiya.com/patent-view/abst?patentId=b3f20b2b-596c-41dd-a4f5-c293641c853c" TargetMode="External"/><Relationship Id="rId2440" Type="http://schemas.openxmlformats.org/officeDocument/2006/relationships/hyperlink" Target="https://analytics.zhihuiya.com/patent-view/abst?patentId=30965c8a-840a-4d94-925d-ae4c5cb00c90" TargetMode="External"/><Relationship Id="rId205" Type="http://schemas.openxmlformats.org/officeDocument/2006/relationships/hyperlink" Target="https://analytics.zhihuiya.com/patent-view/abst?patentId=e1cbb2b6-06cb-4041-91b8-111a127fbb87" TargetMode="External"/><Relationship Id="rId412" Type="http://schemas.openxmlformats.org/officeDocument/2006/relationships/hyperlink" Target="https://analytics.zhihuiya.com/patent-view/abst?patentId=c648461d-7776-4fef-884f-3491292df72a" TargetMode="External"/><Relationship Id="rId1042" Type="http://schemas.openxmlformats.org/officeDocument/2006/relationships/hyperlink" Target="https://analytics.zhihuiya.com/patent-view/abst?patentId=149a031f-35d2-46f4-b10d-a2614674aec4" TargetMode="External"/><Relationship Id="rId2300" Type="http://schemas.openxmlformats.org/officeDocument/2006/relationships/hyperlink" Target="https://analytics.zhihuiya.com/patent-view/abst?patentId=64f0c0fe-053b-4fc2-b363-e7885280e91c" TargetMode="External"/><Relationship Id="rId4198" Type="http://schemas.openxmlformats.org/officeDocument/2006/relationships/hyperlink" Target="https://analytics.zhihuiya.com/patent-view/abst?patentId=6098c993-c9fb-483c-ae7a-01d0db40cd24" TargetMode="External"/><Relationship Id="rId1999" Type="http://schemas.openxmlformats.org/officeDocument/2006/relationships/hyperlink" Target="https://analytics.zhihuiya.com/patent-view/abst?patentId=48676abb-1b44-43c7-b946-f497dedf64dd" TargetMode="External"/><Relationship Id="rId4058" Type="http://schemas.openxmlformats.org/officeDocument/2006/relationships/hyperlink" Target="https://analytics.zhihuiya.com/patent-view/abst?patentId=d2e752ed-727d-44e1-8eb6-6f7287d9ed9e" TargetMode="External"/><Relationship Id="rId4265" Type="http://schemas.openxmlformats.org/officeDocument/2006/relationships/hyperlink" Target="https://analytics.zhihuiya.com/patent-view/abst?patentId=27438188-6003-4e72-a48a-36f26d643bca" TargetMode="External"/><Relationship Id="rId1859" Type="http://schemas.openxmlformats.org/officeDocument/2006/relationships/hyperlink" Target="https://analytics.zhihuiya.com/patent-view/abst?patentId=4c4679a3-ac5a-4004-8dbe-6b38f7e27309" TargetMode="External"/><Relationship Id="rId3074" Type="http://schemas.openxmlformats.org/officeDocument/2006/relationships/hyperlink" Target="https://analytics.zhihuiya.com/patent-view/abst?patentId=9dfb14ae-3358-4a17-a562-b25ad9e499dd" TargetMode="External"/><Relationship Id="rId4125" Type="http://schemas.openxmlformats.org/officeDocument/2006/relationships/hyperlink" Target="https://analytics.zhihuiya.com/patent-view/abst?patentId=96428613-3ec3-479e-b116-75a960fa91d7" TargetMode="External"/><Relationship Id="rId1719" Type="http://schemas.openxmlformats.org/officeDocument/2006/relationships/hyperlink" Target="https://analytics.zhihuiya.com/patent-view/abst?patentId=82c38480-89f1-4ffc-929c-a65440423618" TargetMode="External"/><Relationship Id="rId1926" Type="http://schemas.openxmlformats.org/officeDocument/2006/relationships/hyperlink" Target="https://analytics.zhihuiya.com/patent-view/abst?patentId=2fc2b991-c630-4058-be85-4b954c7bf28f" TargetMode="External"/><Relationship Id="rId3281" Type="http://schemas.openxmlformats.org/officeDocument/2006/relationships/hyperlink" Target="https://analytics.zhihuiya.com/patent-view/abst?patentId=c6a5d9fd-4d7d-45b4-b370-9cd488346915" TargetMode="External"/><Relationship Id="rId4332" Type="http://schemas.openxmlformats.org/officeDocument/2006/relationships/hyperlink" Target="https://analytics.zhihuiya.com/patent-view/abst?patentId=fa9b1037-a549-4dfd-a825-ca24acb608b4" TargetMode="External"/><Relationship Id="rId2090" Type="http://schemas.openxmlformats.org/officeDocument/2006/relationships/hyperlink" Target="https://analytics.zhihuiya.com/patent-view/abst?patentId=96641cf3-d9ba-41b0-88a7-eb4397fa5a97" TargetMode="External"/><Relationship Id="rId3141" Type="http://schemas.openxmlformats.org/officeDocument/2006/relationships/hyperlink" Target="https://analytics.zhihuiya.com/patent-view/abst?patentId=70caf003-4916-4902-a66c-94a06f4c1465" TargetMode="External"/><Relationship Id="rId3001" Type="http://schemas.openxmlformats.org/officeDocument/2006/relationships/hyperlink" Target="https://analytics.zhihuiya.com/patent-view/abst?patentId=16e3129d-09c2-4802-807e-3f2453484ef5" TargetMode="External"/><Relationship Id="rId3958" Type="http://schemas.openxmlformats.org/officeDocument/2006/relationships/hyperlink" Target="https://analytics.zhihuiya.com/patent-view/abst?patentId=16f8e2d9-c00a-4bdd-ab62-6cc697cdccf0" TargetMode="External"/><Relationship Id="rId879" Type="http://schemas.openxmlformats.org/officeDocument/2006/relationships/hyperlink" Target="https://analytics.zhihuiya.com/patent-view/abst?patentId=9dcda4f9-551a-49e6-9c2a-9cb0fea40753" TargetMode="External"/><Relationship Id="rId2767" Type="http://schemas.openxmlformats.org/officeDocument/2006/relationships/hyperlink" Target="https://analytics.zhihuiya.com/patent-view/abst?patentId=6be81783-a4da-458a-ba51-89da516cb8f2" TargetMode="External"/><Relationship Id="rId739" Type="http://schemas.openxmlformats.org/officeDocument/2006/relationships/hyperlink" Target="https://analytics.zhihuiya.com/patent-view/abst?patentId=ee1f6fef-a066-4218-b909-9634e4cd6715" TargetMode="External"/><Relationship Id="rId1369" Type="http://schemas.openxmlformats.org/officeDocument/2006/relationships/hyperlink" Target="https://analytics.zhihuiya.com/patent-view/abst?patentId=acb8569f-85c6-40f8-b72b-a5854899d144" TargetMode="External"/><Relationship Id="rId1576" Type="http://schemas.openxmlformats.org/officeDocument/2006/relationships/hyperlink" Target="https://analytics.zhihuiya.com/patent-view/abst?patentId=70ccf797-60b9-412d-a1b4-dc257c1f6d3a" TargetMode="External"/><Relationship Id="rId2974" Type="http://schemas.openxmlformats.org/officeDocument/2006/relationships/hyperlink" Target="https://analytics.zhihuiya.com/patent-view/abst?patentId=581a952a-aec6-4928-a6b6-242b945a374e" TargetMode="External"/><Relationship Id="rId3818" Type="http://schemas.openxmlformats.org/officeDocument/2006/relationships/hyperlink" Target="https://analytics.zhihuiya.com/patent-view/abst?patentId=9d227b41-311a-4695-9813-8029d8fee456" TargetMode="External"/><Relationship Id="rId946" Type="http://schemas.openxmlformats.org/officeDocument/2006/relationships/hyperlink" Target="https://analytics.zhihuiya.com/patent-view/abst?patentId=eb697921-a900-443c-875d-6ac6723f6974" TargetMode="External"/><Relationship Id="rId1229" Type="http://schemas.openxmlformats.org/officeDocument/2006/relationships/hyperlink" Target="https://analytics.zhihuiya.com/patent-view/abst?patentId=05083f61-4900-4b87-984d-a1a09e4d74a1" TargetMode="External"/><Relationship Id="rId1783" Type="http://schemas.openxmlformats.org/officeDocument/2006/relationships/hyperlink" Target="https://analytics.zhihuiya.com/patent-view/abst?patentId=ed661adf-96f7-4a93-87a1-114c6f6bd44f" TargetMode="External"/><Relationship Id="rId1990" Type="http://schemas.openxmlformats.org/officeDocument/2006/relationships/hyperlink" Target="https://analytics.zhihuiya.com/patent-view/abst?patentId=57193606-f14a-4744-b9cb-ad4ffdc7aea7" TargetMode="External"/><Relationship Id="rId2627" Type="http://schemas.openxmlformats.org/officeDocument/2006/relationships/hyperlink" Target="https://analytics.zhihuiya.com/patent-view/abst?patentId=41a0bf77-f52d-4d1e-babf-c912758adb2e" TargetMode="External"/><Relationship Id="rId2834" Type="http://schemas.openxmlformats.org/officeDocument/2006/relationships/hyperlink" Target="https://analytics.zhihuiya.com/patent-view/abst?patentId=59136388-dff1-4a53-b6b3-1493e83c2c14" TargetMode="External"/><Relationship Id="rId75" Type="http://schemas.openxmlformats.org/officeDocument/2006/relationships/hyperlink" Target="https://analytics.zhihuiya.com/patent-view/abst?patentId=e63f30ec-ce36-44d5-ac2f-42ddc691178c" TargetMode="External"/><Relationship Id="rId806" Type="http://schemas.openxmlformats.org/officeDocument/2006/relationships/hyperlink" Target="https://analytics.zhihuiya.com/patent-view/abst?patentId=a2d0447a-8af0-4502-bfdb-1c9096ded4f5" TargetMode="External"/><Relationship Id="rId1436" Type="http://schemas.openxmlformats.org/officeDocument/2006/relationships/hyperlink" Target="https://analytics.zhihuiya.com/patent-view/abst?patentId=849858c7-04ee-4962-a445-5b130506a294" TargetMode="External"/><Relationship Id="rId1643" Type="http://schemas.openxmlformats.org/officeDocument/2006/relationships/hyperlink" Target="https://analytics.zhihuiya.com/patent-view/abst?patentId=2d20c399-9657-49f0-8177-7e3a2a596813" TargetMode="External"/><Relationship Id="rId1850" Type="http://schemas.openxmlformats.org/officeDocument/2006/relationships/hyperlink" Target="https://analytics.zhihuiya.com/patent-view/abst?patentId=076181b7-5dbc-4839-856c-73f0f5754c8a" TargetMode="External"/><Relationship Id="rId2901" Type="http://schemas.openxmlformats.org/officeDocument/2006/relationships/hyperlink" Target="https://analytics.zhihuiya.com/patent-view/abst?patentId=40fa3cc9-d6f5-46ff-b60a-e5feca4d184f" TargetMode="External"/><Relationship Id="rId1503" Type="http://schemas.openxmlformats.org/officeDocument/2006/relationships/hyperlink" Target="https://analytics.zhihuiya.com/patent-view/abst?patentId=9461acae-a16c-4a00-a1d5-1fa223bb256f" TargetMode="External"/><Relationship Id="rId1710" Type="http://schemas.openxmlformats.org/officeDocument/2006/relationships/hyperlink" Target="https://analytics.zhihuiya.com/patent-view/abst?patentId=0890f360-31b5-49b3-ae22-7fad6cab5a2f" TargetMode="External"/><Relationship Id="rId3468" Type="http://schemas.openxmlformats.org/officeDocument/2006/relationships/hyperlink" Target="https://analytics.zhihuiya.com/patent-view/abst?patentId=8fca8199-abc0-4e00-b1e6-26c109bc7e45" TargetMode="External"/><Relationship Id="rId3675" Type="http://schemas.openxmlformats.org/officeDocument/2006/relationships/hyperlink" Target="https://analytics.zhihuiya.com/patent-view/abst?patentId=52dad722-b106-4d7f-b97f-94fdf25ae5af" TargetMode="External"/><Relationship Id="rId3882" Type="http://schemas.openxmlformats.org/officeDocument/2006/relationships/hyperlink" Target="https://analytics.zhihuiya.com/patent-view/abst?patentId=b5ea9b8a-f3e3-476e-8b2f-cf1067309eda" TargetMode="External"/><Relationship Id="rId389" Type="http://schemas.openxmlformats.org/officeDocument/2006/relationships/hyperlink" Target="https://analytics.zhihuiya.com/patent-view/abst?patentId=76acdc94-a8c4-4c29-bf92-8db9d1bff986" TargetMode="External"/><Relationship Id="rId596" Type="http://schemas.openxmlformats.org/officeDocument/2006/relationships/hyperlink" Target="https://analytics.zhihuiya.com/patent-view/abst?patentId=3ae41994-ea3d-4947-a349-b3e6c3c20149" TargetMode="External"/><Relationship Id="rId2277" Type="http://schemas.openxmlformats.org/officeDocument/2006/relationships/hyperlink" Target="https://analytics.zhihuiya.com/patent-view/abst?patentId=34597982-fecd-4a9a-a68f-1e583a983f10" TargetMode="External"/><Relationship Id="rId2484" Type="http://schemas.openxmlformats.org/officeDocument/2006/relationships/hyperlink" Target="https://analytics.zhihuiya.com/patent-view/abst?patentId=68fd719d-0a57-4df2-8978-4f8b35a262a6" TargetMode="External"/><Relationship Id="rId2691" Type="http://schemas.openxmlformats.org/officeDocument/2006/relationships/hyperlink" Target="https://analytics.zhihuiya.com/patent-view/abst?patentId=13409dd0-07e3-481e-b594-942bbd7459ca" TargetMode="External"/><Relationship Id="rId3328" Type="http://schemas.openxmlformats.org/officeDocument/2006/relationships/hyperlink" Target="https://analytics.zhihuiya.com/patent-view/abst?patentId=09b1195d-0d4c-42ae-99e1-43195f51c2df" TargetMode="External"/><Relationship Id="rId3535" Type="http://schemas.openxmlformats.org/officeDocument/2006/relationships/hyperlink" Target="https://analytics.zhihuiya.com/patent-view/abst?patentId=debbd887-902b-48d1-a1d1-25b5ec74206c" TargetMode="External"/><Relationship Id="rId3742" Type="http://schemas.openxmlformats.org/officeDocument/2006/relationships/hyperlink" Target="https://analytics.zhihuiya.com/patent-view/abst?patentId=5f54af37-f006-4caa-bd2e-ed907815e5f0" TargetMode="External"/><Relationship Id="rId249" Type="http://schemas.openxmlformats.org/officeDocument/2006/relationships/hyperlink" Target="https://analytics.zhihuiya.com/patent-view/abst?patentId=4730313e-461e-4b57-b900-8ae87cd69934" TargetMode="External"/><Relationship Id="rId456" Type="http://schemas.openxmlformats.org/officeDocument/2006/relationships/hyperlink" Target="https://analytics.zhihuiya.com/patent-view/abst?patentId=d5a1a836-0e11-4c3e-b8da-7ec8206ad5a8" TargetMode="External"/><Relationship Id="rId663" Type="http://schemas.openxmlformats.org/officeDocument/2006/relationships/hyperlink" Target="https://analytics.zhihuiya.com/patent-view/abst?patentId=7a50eb2f-3a18-4931-bf70-45477c61798a" TargetMode="External"/><Relationship Id="rId870" Type="http://schemas.openxmlformats.org/officeDocument/2006/relationships/hyperlink" Target="https://analytics.zhihuiya.com/patent-view/abst?patentId=33dc0f84-16df-4364-b61a-539d4c7b7049" TargetMode="External"/><Relationship Id="rId1086" Type="http://schemas.openxmlformats.org/officeDocument/2006/relationships/hyperlink" Target="https://analytics.zhihuiya.com/patent-view/abst?patentId=106d6186-a79e-47cd-8240-0a6d8b186461" TargetMode="External"/><Relationship Id="rId1293" Type="http://schemas.openxmlformats.org/officeDocument/2006/relationships/hyperlink" Target="https://analytics.zhihuiya.com/patent-view/abst?patentId=b9e597f6-aba3-46eb-a4ff-b7ccddddf47c" TargetMode="External"/><Relationship Id="rId2137" Type="http://schemas.openxmlformats.org/officeDocument/2006/relationships/hyperlink" Target="https://analytics.zhihuiya.com/patent-view/abst?patentId=d6d8df0e-7c5f-4e4f-a3e9-7df6f3c488d1" TargetMode="External"/><Relationship Id="rId2344" Type="http://schemas.openxmlformats.org/officeDocument/2006/relationships/hyperlink" Target="https://analytics.zhihuiya.com/patent-view/abst?patentId=12837425-c921-4bd7-bcce-16889baf0305" TargetMode="External"/><Relationship Id="rId2551" Type="http://schemas.openxmlformats.org/officeDocument/2006/relationships/hyperlink" Target="https://analytics.zhihuiya.com/patent-view/abst?patentId=6a1023b2-2a59-4887-8f93-1342897de99d" TargetMode="External"/><Relationship Id="rId109" Type="http://schemas.openxmlformats.org/officeDocument/2006/relationships/hyperlink" Target="https://analytics.zhihuiya.com/patent-view/abst?patentId=73157f73-a251-444f-aad2-ac1c16aaeac0" TargetMode="External"/><Relationship Id="rId316" Type="http://schemas.openxmlformats.org/officeDocument/2006/relationships/hyperlink" Target="https://analytics.zhihuiya.com/patent-view/abst?patentId=345c507d-9f1a-4558-b841-4655ee390ec1" TargetMode="External"/><Relationship Id="rId523" Type="http://schemas.openxmlformats.org/officeDocument/2006/relationships/hyperlink" Target="https://analytics.zhihuiya.com/patent-view/abst?patentId=a98ef59e-56cb-4823-84cf-5c8ea76c10b1" TargetMode="External"/><Relationship Id="rId1153" Type="http://schemas.openxmlformats.org/officeDocument/2006/relationships/hyperlink" Target="https://analytics.zhihuiya.com/patent-view/abst?patentId=f57050d9-4a2c-4382-bd9d-d98c3c4cf274" TargetMode="External"/><Relationship Id="rId2204" Type="http://schemas.openxmlformats.org/officeDocument/2006/relationships/hyperlink" Target="https://analytics.zhihuiya.com/patent-view/abst?patentId=79c47109-b54a-4b23-b006-a0d8edaf3ea4" TargetMode="External"/><Relationship Id="rId3602" Type="http://schemas.openxmlformats.org/officeDocument/2006/relationships/hyperlink" Target="https://analytics.zhihuiya.com/patent-view/abst?patentId=bd2ec43d-e6ad-4c63-8c3f-4acc54b22975" TargetMode="External"/><Relationship Id="rId730" Type="http://schemas.openxmlformats.org/officeDocument/2006/relationships/hyperlink" Target="https://analytics.zhihuiya.com/patent-view/abst?patentId=687e94f7-c96c-43b0-af9a-d8059ea692ec" TargetMode="External"/><Relationship Id="rId1013" Type="http://schemas.openxmlformats.org/officeDocument/2006/relationships/hyperlink" Target="https://analytics.zhihuiya.com/patent-view/abst?patentId=f68dd6b9-f9d0-4dca-8fca-2e9773e24ffb" TargetMode="External"/><Relationship Id="rId1360" Type="http://schemas.openxmlformats.org/officeDocument/2006/relationships/hyperlink" Target="https://analytics.zhihuiya.com/patent-view/abst?patentId=23b4d837-2b76-49e4-96aa-0bd4ceceba9f" TargetMode="External"/><Relationship Id="rId2411" Type="http://schemas.openxmlformats.org/officeDocument/2006/relationships/hyperlink" Target="https://analytics.zhihuiya.com/patent-view/abst?patentId=ee754839-a87d-468e-b7ed-ccc5e18b98ad" TargetMode="External"/><Relationship Id="rId4169" Type="http://schemas.openxmlformats.org/officeDocument/2006/relationships/hyperlink" Target="https://analytics.zhihuiya.com/patent-view/abst?patentId=8fd43438-a809-41a1-86c6-acef0512fa2e" TargetMode="External"/><Relationship Id="rId1220" Type="http://schemas.openxmlformats.org/officeDocument/2006/relationships/hyperlink" Target="https://analytics.zhihuiya.com/patent-view/abst?patentId=5784b639-6778-da5f-4f08-e57cbf95d5d6" TargetMode="External"/><Relationship Id="rId4376" Type="http://schemas.openxmlformats.org/officeDocument/2006/relationships/hyperlink" Target="https://analytics.zhihuiya.com/patent-view/abst?patentId=429803c5-0cef-4aba-bb43-f60556cb5392" TargetMode="External"/><Relationship Id="rId3185" Type="http://schemas.openxmlformats.org/officeDocument/2006/relationships/hyperlink" Target="https://analytics.zhihuiya.com/patent-view/abst?patentId=b690da4b-a9b3-4044-8813-c6465d9fb7bc" TargetMode="External"/><Relationship Id="rId3392" Type="http://schemas.openxmlformats.org/officeDocument/2006/relationships/hyperlink" Target="https://analytics.zhihuiya.com/patent-view/abst?patentId=66c48fda-4f40-4e68-a002-a7d4c48562ef" TargetMode="External"/><Relationship Id="rId4029" Type="http://schemas.openxmlformats.org/officeDocument/2006/relationships/hyperlink" Target="https://analytics.zhihuiya.com/patent-view/abst?patentId=f8bae698-fb67-49b6-9ad3-20668bce1c32" TargetMode="External"/><Relationship Id="rId4236" Type="http://schemas.openxmlformats.org/officeDocument/2006/relationships/hyperlink" Target="https://analytics.zhihuiya.com/patent-view/abst?patentId=2ced4680-55d4-4b25-a76c-5b88bf609d94" TargetMode="External"/><Relationship Id="rId4443" Type="http://schemas.openxmlformats.org/officeDocument/2006/relationships/hyperlink" Target="https://analytics.zhihuiya.com/patent-view/abst?patentId=5bd5a9a9-49ba-4370-b9aa-bebd60384146" TargetMode="External"/><Relationship Id="rId3045" Type="http://schemas.openxmlformats.org/officeDocument/2006/relationships/hyperlink" Target="https://analytics.zhihuiya.com/patent-view/abst?patentId=b02ed88f-fe16-4efe-bce5-d02ac5934be5" TargetMode="External"/><Relationship Id="rId3252" Type="http://schemas.openxmlformats.org/officeDocument/2006/relationships/hyperlink" Target="https://analytics.zhihuiya.com/patent-view/abst?patentId=f3bbdf88-8a4a-42b6-8a28-7bfbe3ea1ee6" TargetMode="External"/><Relationship Id="rId4303" Type="http://schemas.openxmlformats.org/officeDocument/2006/relationships/hyperlink" Target="https://analytics.zhihuiya.com/patent-view/abst?patentId=62844d72-d2cc-42ad-a6dc-9be64afec7e0" TargetMode="External"/><Relationship Id="rId173" Type="http://schemas.openxmlformats.org/officeDocument/2006/relationships/hyperlink" Target="https://analytics.zhihuiya.com/patent-view/abst?patentId=48c8223f-84ae-40e3-9f52-cb8688f1013d" TargetMode="External"/><Relationship Id="rId380" Type="http://schemas.openxmlformats.org/officeDocument/2006/relationships/hyperlink" Target="https://analytics.zhihuiya.com/patent-view/abst?patentId=3f56057a-6439-4974-9ac1-fdd22fc85a3f" TargetMode="External"/><Relationship Id="rId2061" Type="http://schemas.openxmlformats.org/officeDocument/2006/relationships/hyperlink" Target="https://analytics.zhihuiya.com/patent-view/abst?patentId=2807c94f-501b-46fd-b77f-541c293bc3ef" TargetMode="External"/><Relationship Id="rId3112" Type="http://schemas.openxmlformats.org/officeDocument/2006/relationships/hyperlink" Target="https://analytics.zhihuiya.com/patent-view/abst?patentId=d70ccf7d-9baf-41ea-994b-49c6c890c373" TargetMode="External"/><Relationship Id="rId240" Type="http://schemas.openxmlformats.org/officeDocument/2006/relationships/hyperlink" Target="https://analytics.zhihuiya.com/patent-view/abst?patentId=96e77b90-1740-4df0-a1d7-acd11327a08a" TargetMode="External"/><Relationship Id="rId100" Type="http://schemas.openxmlformats.org/officeDocument/2006/relationships/hyperlink" Target="https://analytics.zhihuiya.com/patent-view/abst?patentId=7c84a3c1-5310-4019-ae42-e6567eee5c0a" TargetMode="External"/><Relationship Id="rId2878" Type="http://schemas.openxmlformats.org/officeDocument/2006/relationships/hyperlink" Target="https://analytics.zhihuiya.com/patent-view/abst?patentId=462b3a5d-bacb-49cd-b22f-ca94bcc9ae5d" TargetMode="External"/><Relationship Id="rId3929" Type="http://schemas.openxmlformats.org/officeDocument/2006/relationships/hyperlink" Target="https://analytics.zhihuiya.com/patent-view/abst?patentId=425e97f7-037a-4006-ac41-167a61644822" TargetMode="External"/><Relationship Id="rId4093" Type="http://schemas.openxmlformats.org/officeDocument/2006/relationships/hyperlink" Target="https://analytics.zhihuiya.com/patent-view/abst?patentId=c41b8256-5fb5-4d65-b9e9-107f45dfac13" TargetMode="External"/><Relationship Id="rId1687" Type="http://schemas.openxmlformats.org/officeDocument/2006/relationships/hyperlink" Target="https://analytics.zhihuiya.com/patent-view/abst?patentId=2b6608d4-a04a-4ad2-9ef2-a48a1b4c0121" TargetMode="External"/><Relationship Id="rId1894" Type="http://schemas.openxmlformats.org/officeDocument/2006/relationships/hyperlink" Target="https://analytics.zhihuiya.com/patent-view/abst?patentId=11916f9c-b8e1-40eb-88b4-fa38dacdf924" TargetMode="External"/><Relationship Id="rId2738" Type="http://schemas.openxmlformats.org/officeDocument/2006/relationships/hyperlink" Target="https://analytics.zhihuiya.com/patent-view/abst?patentId=e2ef61cd-f0a8-483b-a685-69b0e4bbf136" TargetMode="External"/><Relationship Id="rId2945" Type="http://schemas.openxmlformats.org/officeDocument/2006/relationships/hyperlink" Target="https://analytics.zhihuiya.com/patent-view/abst?patentId=051c65a0-cc73-4b2e-902d-0bc1dba9b891" TargetMode="External"/><Relationship Id="rId917" Type="http://schemas.openxmlformats.org/officeDocument/2006/relationships/hyperlink" Target="https://analytics.zhihuiya.com/patent-view/abst?patentId=819f5685-422a-4be9-b66e-8ad37e153356" TargetMode="External"/><Relationship Id="rId1547" Type="http://schemas.openxmlformats.org/officeDocument/2006/relationships/hyperlink" Target="https://analytics.zhihuiya.com/patent-view/abst?patentId=17b8bd3a-75ca-43f4-9520-81c7ef8f73ac" TargetMode="External"/><Relationship Id="rId1754" Type="http://schemas.openxmlformats.org/officeDocument/2006/relationships/hyperlink" Target="https://analytics.zhihuiya.com/patent-view/abst?patentId=2a73afcc-39d5-4348-8697-6761edf4c02e" TargetMode="External"/><Relationship Id="rId1961" Type="http://schemas.openxmlformats.org/officeDocument/2006/relationships/hyperlink" Target="https://analytics.zhihuiya.com/patent-view/abst?patentId=886e4115-5312-4cfc-90cd-74d997bbaa02" TargetMode="External"/><Relationship Id="rId2805" Type="http://schemas.openxmlformats.org/officeDocument/2006/relationships/hyperlink" Target="https://analytics.zhihuiya.com/patent-view/abst?patentId=37b39515-1389-4c88-aa86-821a44affaf9" TargetMode="External"/><Relationship Id="rId4160" Type="http://schemas.openxmlformats.org/officeDocument/2006/relationships/hyperlink" Target="https://analytics.zhihuiya.com/patent-view/abst?patentId=fe5b39d4-c488-4211-a42c-d50a98ffb220" TargetMode="External"/><Relationship Id="rId46" Type="http://schemas.openxmlformats.org/officeDocument/2006/relationships/hyperlink" Target="https://analytics.zhihuiya.com/patent-view/abst?patentId=54daa41c-c579-4e20-8111-2123d1d1749d" TargetMode="External"/><Relationship Id="rId1407" Type="http://schemas.openxmlformats.org/officeDocument/2006/relationships/hyperlink" Target="https://analytics.zhihuiya.com/patent-view/abst?patentId=68451a48-5c8d-4f78-803a-455abe30786c" TargetMode="External"/><Relationship Id="rId1614" Type="http://schemas.openxmlformats.org/officeDocument/2006/relationships/hyperlink" Target="https://analytics.zhihuiya.com/patent-view/abst?patentId=dbebefba-b0ba-43ba-ac39-e09c7579f2e1" TargetMode="External"/><Relationship Id="rId1821" Type="http://schemas.openxmlformats.org/officeDocument/2006/relationships/hyperlink" Target="https://analytics.zhihuiya.com/patent-view/abst?patentId=ba197da9-ded4-4138-a824-c2429cbd9180" TargetMode="External"/><Relationship Id="rId4020" Type="http://schemas.openxmlformats.org/officeDocument/2006/relationships/hyperlink" Target="https://analytics.zhihuiya.com/patent-view/abst?patentId=d3e6dd45-4fc7-452e-9bd8-e2268036baef" TargetMode="External"/><Relationship Id="rId3579" Type="http://schemas.openxmlformats.org/officeDocument/2006/relationships/hyperlink" Target="https://analytics.zhihuiya.com/patent-view/abst?patentId=59de4b97-805f-436a-86b0-475e11935c3e" TargetMode="External"/><Relationship Id="rId3786" Type="http://schemas.openxmlformats.org/officeDocument/2006/relationships/hyperlink" Target="https://analytics.zhihuiya.com/patent-view/abst?patentId=de515a40-2601-41e9-a702-8acd1022c486" TargetMode="External"/><Relationship Id="rId2388" Type="http://schemas.openxmlformats.org/officeDocument/2006/relationships/hyperlink" Target="https://analytics.zhihuiya.com/patent-view/abst?patentId=4ea7e5c3-d51e-4b19-a42d-ec54648c393b" TargetMode="External"/><Relationship Id="rId2595" Type="http://schemas.openxmlformats.org/officeDocument/2006/relationships/hyperlink" Target="https://analytics.zhihuiya.com/patent-view/abst?patentId=51083b2a-0b18-4741-a7c2-2eb8e485c21e" TargetMode="External"/><Relationship Id="rId3439" Type="http://schemas.openxmlformats.org/officeDocument/2006/relationships/hyperlink" Target="https://analytics.zhihuiya.com/patent-view/abst?patentId=6e5700fe-0ab3-486d-9539-7cb80cef0fe2" TargetMode="External"/><Relationship Id="rId3993" Type="http://schemas.openxmlformats.org/officeDocument/2006/relationships/hyperlink" Target="https://analytics.zhihuiya.com/patent-view/abst?patentId=6b5f61b7-7302-4b75-a319-326608105149" TargetMode="External"/><Relationship Id="rId567" Type="http://schemas.openxmlformats.org/officeDocument/2006/relationships/hyperlink" Target="https://analytics.zhihuiya.com/patent-view/abst?patentId=3be4e6c5-f231-4186-8a8d-7796ae5f9754" TargetMode="External"/><Relationship Id="rId1197" Type="http://schemas.openxmlformats.org/officeDocument/2006/relationships/hyperlink" Target="https://analytics.zhihuiya.com/patent-view/abst?patentId=61e4b0cd-4130-4d43-98c0-213ca0235880" TargetMode="External"/><Relationship Id="rId2248" Type="http://schemas.openxmlformats.org/officeDocument/2006/relationships/hyperlink" Target="https://analytics.zhihuiya.com/patent-view/abst?patentId=1b6e7423-3245-474e-885f-806087fc1c94" TargetMode="External"/><Relationship Id="rId3646" Type="http://schemas.openxmlformats.org/officeDocument/2006/relationships/hyperlink" Target="https://analytics.zhihuiya.com/patent-view/abst?patentId=1bc3dc8f-57df-4357-b92a-b4b637843bc3" TargetMode="External"/><Relationship Id="rId3853" Type="http://schemas.openxmlformats.org/officeDocument/2006/relationships/hyperlink" Target="https://analytics.zhihuiya.com/patent-view/abst?patentId=d08d1310-d803-4a75-83af-0f3a3b710aac" TargetMode="External"/><Relationship Id="rId774" Type="http://schemas.openxmlformats.org/officeDocument/2006/relationships/hyperlink" Target="https://analytics.zhihuiya.com/patent-view/abst?patentId=ff2fe80b-daf7-4f40-9136-1d82344caa16" TargetMode="External"/><Relationship Id="rId981" Type="http://schemas.openxmlformats.org/officeDocument/2006/relationships/hyperlink" Target="https://analytics.zhihuiya.com/patent-view/abst?patentId=0327b776-0e0f-4338-9e8d-eab6d3917fe9" TargetMode="External"/><Relationship Id="rId1057" Type="http://schemas.openxmlformats.org/officeDocument/2006/relationships/hyperlink" Target="https://analytics.zhihuiya.com/patent-view/abst?patentId=f31c324c-3cc8-4191-a96b-183063bad9ab" TargetMode="External"/><Relationship Id="rId2455" Type="http://schemas.openxmlformats.org/officeDocument/2006/relationships/hyperlink" Target="https://analytics.zhihuiya.com/patent-view/abst?patentId=044d2062-abaf-4133-a4f7-22b6dcee274c" TargetMode="External"/><Relationship Id="rId2662" Type="http://schemas.openxmlformats.org/officeDocument/2006/relationships/hyperlink" Target="https://analytics.zhihuiya.com/patent-view/abst?patentId=6104b53d-2abf-4298-b7ee-d496a82fffc2" TargetMode="External"/><Relationship Id="rId3506" Type="http://schemas.openxmlformats.org/officeDocument/2006/relationships/hyperlink" Target="https://analytics.zhihuiya.com/patent-view/abst?patentId=2000aba2-0548-41bd-bcdf-bac99b4009f6" TargetMode="External"/><Relationship Id="rId3713" Type="http://schemas.openxmlformats.org/officeDocument/2006/relationships/hyperlink" Target="https://analytics.zhihuiya.com/patent-view/abst?patentId=c8517e8f-0b40-4689-b450-81e8c461df1e" TargetMode="External"/><Relationship Id="rId3920" Type="http://schemas.openxmlformats.org/officeDocument/2006/relationships/hyperlink" Target="https://analytics.zhihuiya.com/patent-view/abst?patentId=47c156ac-ea81-41c9-8a83-b04eb28cb8a8" TargetMode="External"/><Relationship Id="rId427" Type="http://schemas.openxmlformats.org/officeDocument/2006/relationships/hyperlink" Target="https://analytics.zhihuiya.com/patent-view/abst?patentId=56b3d350-af6a-4318-ab5b-22aa8bf05250" TargetMode="External"/><Relationship Id="rId634" Type="http://schemas.openxmlformats.org/officeDocument/2006/relationships/hyperlink" Target="https://analytics.zhihuiya.com/patent-view/abst?patentId=e09bdd02-eede-4288-bb5d-c01320e182eb" TargetMode="External"/><Relationship Id="rId841" Type="http://schemas.openxmlformats.org/officeDocument/2006/relationships/hyperlink" Target="https://analytics.zhihuiya.com/patent-view/abst?patentId=796a074a-2fff-4d01-ad4f-43706d026141" TargetMode="External"/><Relationship Id="rId1264" Type="http://schemas.openxmlformats.org/officeDocument/2006/relationships/hyperlink" Target="https://analytics.zhihuiya.com/patent-view/abst?patentId=25638250-5f70-4617-8ae5-1b213a2a69f5" TargetMode="External"/><Relationship Id="rId1471" Type="http://schemas.openxmlformats.org/officeDocument/2006/relationships/hyperlink" Target="https://analytics.zhihuiya.com/patent-view/abst?patentId=21114f84-606f-4748-b7a0-a7d00413161f" TargetMode="External"/><Relationship Id="rId2108" Type="http://schemas.openxmlformats.org/officeDocument/2006/relationships/hyperlink" Target="https://analytics.zhihuiya.com/patent-view/abst?patentId=41ae270c-5173-480d-b9b2-cdae7c1751e2" TargetMode="External"/><Relationship Id="rId2315" Type="http://schemas.openxmlformats.org/officeDocument/2006/relationships/hyperlink" Target="https://analytics.zhihuiya.com/patent-view/abst?patentId=c853b6cb-5b2c-45ae-a53b-88b0cd4efd7e" TargetMode="External"/><Relationship Id="rId2522" Type="http://schemas.openxmlformats.org/officeDocument/2006/relationships/hyperlink" Target="https://analytics.zhihuiya.com/patent-view/abst?patentId=7915a760-c1dd-4874-a038-40b18cbb5856" TargetMode="External"/><Relationship Id="rId701" Type="http://schemas.openxmlformats.org/officeDocument/2006/relationships/hyperlink" Target="https://analytics.zhihuiya.com/patent-view/abst?patentId=1fe9b6f8-1c3f-47b7-bbe0-445b5f3ee40b" TargetMode="External"/><Relationship Id="rId1124" Type="http://schemas.openxmlformats.org/officeDocument/2006/relationships/hyperlink" Target="https://analytics.zhihuiya.com/patent-view/abst?patentId=83eed7de-952f-43b7-8e0c-a8c67890c36e" TargetMode="External"/><Relationship Id="rId1331" Type="http://schemas.openxmlformats.org/officeDocument/2006/relationships/hyperlink" Target="https://analytics.zhihuiya.com/patent-view/abst?patentId=fa9295c2-4f83-4faf-ba33-f91a98bd437f" TargetMode="External"/><Relationship Id="rId3089" Type="http://schemas.openxmlformats.org/officeDocument/2006/relationships/hyperlink" Target="https://analytics.zhihuiya.com/patent-view/abst?patentId=dab67fe1-a29a-48c3-a564-36d8ae3adb95" TargetMode="External"/><Relationship Id="rId3296" Type="http://schemas.openxmlformats.org/officeDocument/2006/relationships/hyperlink" Target="https://analytics.zhihuiya.com/patent-view/abst?patentId=46248625-1849-45a8-9d58-32e3202610b3" TargetMode="External"/><Relationship Id="rId4347" Type="http://schemas.openxmlformats.org/officeDocument/2006/relationships/hyperlink" Target="https://analytics.zhihuiya.com/patent-view/abst?patentId=cc17cf73-d17f-4b6c-aaa1-70714308ae40" TargetMode="External"/><Relationship Id="rId3156" Type="http://schemas.openxmlformats.org/officeDocument/2006/relationships/hyperlink" Target="https://analytics.zhihuiya.com/patent-view/abst?patentId=36458d81-93da-46f4-b794-59cdb9be74b3" TargetMode="External"/><Relationship Id="rId3363" Type="http://schemas.openxmlformats.org/officeDocument/2006/relationships/hyperlink" Target="https://analytics.zhihuiya.com/patent-view/abst?patentId=26a5b321-c847-47b1-bd50-2b6c77831abf" TargetMode="External"/><Relationship Id="rId4207" Type="http://schemas.openxmlformats.org/officeDocument/2006/relationships/hyperlink" Target="https://analytics.zhihuiya.com/patent-view/abst?patentId=b6ee5600-af77-4be9-b064-511883016723" TargetMode="External"/><Relationship Id="rId4414" Type="http://schemas.openxmlformats.org/officeDocument/2006/relationships/hyperlink" Target="https://analytics.zhihuiya.com/patent-view/abst?patentId=ad64963a-45f7-426f-9866-cefae5a5fcb0" TargetMode="External"/><Relationship Id="rId284" Type="http://schemas.openxmlformats.org/officeDocument/2006/relationships/hyperlink" Target="https://analytics.zhihuiya.com/patent-view/abst?patentId=caae4a06-1fc4-43f7-b56f-579f682e6f29" TargetMode="External"/><Relationship Id="rId491" Type="http://schemas.openxmlformats.org/officeDocument/2006/relationships/hyperlink" Target="https://analytics.zhihuiya.com/patent-view/abst?patentId=6bde4ff9-88f9-4b05-9245-5dbe9413a044" TargetMode="External"/><Relationship Id="rId2172" Type="http://schemas.openxmlformats.org/officeDocument/2006/relationships/hyperlink" Target="https://analytics.zhihuiya.com/patent-view/abst?patentId=982754af-6fa1-4563-99ee-a67622e9d389" TargetMode="External"/><Relationship Id="rId3016" Type="http://schemas.openxmlformats.org/officeDocument/2006/relationships/hyperlink" Target="https://analytics.zhihuiya.com/patent-view/abst?patentId=300b8c5d-fb97-4aa1-896d-356029fdf03a" TargetMode="External"/><Relationship Id="rId3223" Type="http://schemas.openxmlformats.org/officeDocument/2006/relationships/hyperlink" Target="https://analytics.zhihuiya.com/patent-view/abst?patentId=3e6464bb-0014-4653-821e-08dc7e1185c5" TargetMode="External"/><Relationship Id="rId3570" Type="http://schemas.openxmlformats.org/officeDocument/2006/relationships/hyperlink" Target="https://analytics.zhihuiya.com/patent-view/abst?patentId=1038daf3-1c9d-4e11-91e0-86e7334642a4" TargetMode="External"/><Relationship Id="rId144" Type="http://schemas.openxmlformats.org/officeDocument/2006/relationships/hyperlink" Target="https://analytics.zhihuiya.com/patent-view/abst?patentId=c0716d56-7542-4328-948b-9c1b9ab6be9a" TargetMode="External"/><Relationship Id="rId3430" Type="http://schemas.openxmlformats.org/officeDocument/2006/relationships/hyperlink" Target="https://analytics.zhihuiya.com/patent-view/abst?patentId=02cb7d06-cbef-4dca-8d72-e0ab86c6bc83" TargetMode="External"/><Relationship Id="rId351" Type="http://schemas.openxmlformats.org/officeDocument/2006/relationships/hyperlink" Target="https://analytics.zhihuiya.com/patent-view/abst?patentId=c0deee73-6c6c-42c4-a866-e29afe59bb7e" TargetMode="External"/><Relationship Id="rId2032" Type="http://schemas.openxmlformats.org/officeDocument/2006/relationships/hyperlink" Target="https://analytics.zhihuiya.com/patent-view/abst?patentId=49248165-c31a-a30e-3050-6612f3bccf6e" TargetMode="External"/><Relationship Id="rId2989" Type="http://schemas.openxmlformats.org/officeDocument/2006/relationships/hyperlink" Target="https://analytics.zhihuiya.com/patent-view/abst?patentId=652e6cdd-139e-45b2-8cc4-d6c8f06896f9" TargetMode="External"/><Relationship Id="rId211" Type="http://schemas.openxmlformats.org/officeDocument/2006/relationships/hyperlink" Target="https://analytics.zhihuiya.com/patent-view/abst?patentId=88df0e83-2b1d-4894-967c-43f9440d4036" TargetMode="External"/><Relationship Id="rId1798" Type="http://schemas.openxmlformats.org/officeDocument/2006/relationships/hyperlink" Target="https://analytics.zhihuiya.com/patent-view/abst?patentId=82be54fd-d3bb-409e-a083-3101de16ea4b" TargetMode="External"/><Relationship Id="rId2849" Type="http://schemas.openxmlformats.org/officeDocument/2006/relationships/hyperlink" Target="https://analytics.zhihuiya.com/patent-view/abst?patentId=56aceeca-6095-4b5e-b5a0-4cfd70284620" TargetMode="External"/><Relationship Id="rId1658" Type="http://schemas.openxmlformats.org/officeDocument/2006/relationships/hyperlink" Target="https://analytics.zhihuiya.com/patent-view/abst?patentId=4d619582-d7a7-40f8-b3e4-4ef6dbbfd5af" TargetMode="External"/><Relationship Id="rId1865" Type="http://schemas.openxmlformats.org/officeDocument/2006/relationships/hyperlink" Target="https://analytics.zhihuiya.com/patent-view/abst?patentId=d477bc56-6846-4e66-9f93-26e3a7cbe8aa" TargetMode="External"/><Relationship Id="rId2709" Type="http://schemas.openxmlformats.org/officeDocument/2006/relationships/hyperlink" Target="https://analytics.zhihuiya.com/patent-view/abst?patentId=b1752957-2107-4ac6-a5ee-7ff40ee29e7a" TargetMode="External"/><Relationship Id="rId4064" Type="http://schemas.openxmlformats.org/officeDocument/2006/relationships/hyperlink" Target="https://analytics.zhihuiya.com/patent-view/abst?patentId=ce213f58-c974-4f8b-81b0-283fd56c3808" TargetMode="External"/><Relationship Id="rId4271" Type="http://schemas.openxmlformats.org/officeDocument/2006/relationships/hyperlink" Target="https://analytics.zhihuiya.com/patent-view/abst?patentId=4af50cc3-b829-4eab-ab70-06152e0a1554" TargetMode="External"/><Relationship Id="rId1518" Type="http://schemas.openxmlformats.org/officeDocument/2006/relationships/hyperlink" Target="https://analytics.zhihuiya.com/patent-view/abst?patentId=ba264c4e-497b-45d8-b51a-23625d9f66aa" TargetMode="External"/><Relationship Id="rId2916" Type="http://schemas.openxmlformats.org/officeDocument/2006/relationships/hyperlink" Target="https://analytics.zhihuiya.com/patent-view/abst?patentId=3ad635ce-e52d-4a5f-abc8-3fd6db19c758" TargetMode="External"/><Relationship Id="rId3080" Type="http://schemas.openxmlformats.org/officeDocument/2006/relationships/hyperlink" Target="https://analytics.zhihuiya.com/patent-view/abst?patentId=7acfe8f5-f7bc-4187-b6f9-2282d252ff82" TargetMode="External"/><Relationship Id="rId4131" Type="http://schemas.openxmlformats.org/officeDocument/2006/relationships/hyperlink" Target="https://analytics.zhihuiya.com/patent-view/abst?patentId=7035e872-ba73-4b9e-a357-c562959972a7" TargetMode="External"/><Relationship Id="rId1725" Type="http://schemas.openxmlformats.org/officeDocument/2006/relationships/hyperlink" Target="https://analytics.zhihuiya.com/patent-view/abst?patentId=8dcdc0a0-6899-4c81-848f-fda9695dadcd" TargetMode="External"/><Relationship Id="rId1932" Type="http://schemas.openxmlformats.org/officeDocument/2006/relationships/hyperlink" Target="https://analytics.zhihuiya.com/patent-view/abst?patentId=46e95328-52fe-4cb2-8340-611a86a20db7" TargetMode="External"/><Relationship Id="rId17" Type="http://schemas.openxmlformats.org/officeDocument/2006/relationships/hyperlink" Target="https://analytics.zhihuiya.com/patent-view/abst?patentId=5f05fb3a-707f-4508-8912-74366f9c87ed" TargetMode="External"/><Relationship Id="rId3897" Type="http://schemas.openxmlformats.org/officeDocument/2006/relationships/hyperlink" Target="https://analytics.zhihuiya.com/patent-view/abst?patentId=e2417a9a-5b38-4ce7-9280-3c3e53bcb7d9" TargetMode="External"/><Relationship Id="rId2499" Type="http://schemas.openxmlformats.org/officeDocument/2006/relationships/hyperlink" Target="https://analytics.zhihuiya.com/patent-view/abst?patentId=abb7d2b0-18f4-44d6-b80d-b0623fb2a8d9" TargetMode="External"/><Relationship Id="rId3757" Type="http://schemas.openxmlformats.org/officeDocument/2006/relationships/hyperlink" Target="https://analytics.zhihuiya.com/patent-view/abst?patentId=4ac2fd83-7099-45a1-8bfd-30dd5288cf48" TargetMode="External"/><Relationship Id="rId3964" Type="http://schemas.openxmlformats.org/officeDocument/2006/relationships/hyperlink" Target="https://analytics.zhihuiya.com/patent-view/abst?patentId=812ffcaf-c6a6-4b9c-9f41-044e86eefe69" TargetMode="External"/><Relationship Id="rId1" Type="http://schemas.openxmlformats.org/officeDocument/2006/relationships/hyperlink" Target="https://analytics.zhihuiya.com/patent-view/abst?patentId=65089910-9a4c-471f-a92d-598da38a5c21" TargetMode="External"/><Relationship Id="rId678" Type="http://schemas.openxmlformats.org/officeDocument/2006/relationships/hyperlink" Target="https://analytics.zhihuiya.com/patent-view/abst?patentId=2aa6db4b-cfb7-4ece-81b8-f17024661522" TargetMode="External"/><Relationship Id="rId885" Type="http://schemas.openxmlformats.org/officeDocument/2006/relationships/hyperlink" Target="https://analytics.zhihuiya.com/patent-view/abst?patentId=13fb7d13-558a-490e-bde5-75e93f8206c4" TargetMode="External"/><Relationship Id="rId2359" Type="http://schemas.openxmlformats.org/officeDocument/2006/relationships/hyperlink" Target="https://analytics.zhihuiya.com/patent-view/abst?patentId=5c85302c-1705-442f-9eeb-86e0a517e047" TargetMode="External"/><Relationship Id="rId2566" Type="http://schemas.openxmlformats.org/officeDocument/2006/relationships/hyperlink" Target="https://analytics.zhihuiya.com/patent-view/abst?patentId=5d9d84f7-66b8-4cbb-8cca-06eeab99478a" TargetMode="External"/><Relationship Id="rId2773" Type="http://schemas.openxmlformats.org/officeDocument/2006/relationships/hyperlink" Target="https://analytics.zhihuiya.com/patent-view/abst?patentId=f1696074-d32b-4504-8ecc-ca34b53393ad" TargetMode="External"/><Relationship Id="rId2980" Type="http://schemas.openxmlformats.org/officeDocument/2006/relationships/hyperlink" Target="https://analytics.zhihuiya.com/patent-view/abst?patentId=5f9a8c5a-d648-4e12-9e48-3fab14332c16" TargetMode="External"/><Relationship Id="rId3617" Type="http://schemas.openxmlformats.org/officeDocument/2006/relationships/hyperlink" Target="https://analytics.zhihuiya.com/patent-view/abst?patentId=e631f7bc-33f8-43a4-af2a-636055a19859" TargetMode="External"/><Relationship Id="rId3824" Type="http://schemas.openxmlformats.org/officeDocument/2006/relationships/hyperlink" Target="https://analytics.zhihuiya.com/patent-view/abst?patentId=7397a6c1-89d7-43ac-b3fc-4e8758130d48" TargetMode="External"/><Relationship Id="rId538" Type="http://schemas.openxmlformats.org/officeDocument/2006/relationships/hyperlink" Target="https://analytics.zhihuiya.com/patent-view/abst?patentId=c4370898-3dcd-4c50-b48e-291a706a8f84" TargetMode="External"/><Relationship Id="rId745" Type="http://schemas.openxmlformats.org/officeDocument/2006/relationships/hyperlink" Target="https://analytics.zhihuiya.com/patent-view/abst?patentId=049b4b89-8802-49c4-9aea-0665ba846c93" TargetMode="External"/><Relationship Id="rId952" Type="http://schemas.openxmlformats.org/officeDocument/2006/relationships/hyperlink" Target="https://analytics.zhihuiya.com/patent-view/abst?patentId=b90c899b-9633-44aa-9924-cef7c335477c" TargetMode="External"/><Relationship Id="rId1168" Type="http://schemas.openxmlformats.org/officeDocument/2006/relationships/hyperlink" Target="https://analytics.zhihuiya.com/patent-view/abst?patentId=febdf2e8-58c1-4048-b127-60c1e48d9001" TargetMode="External"/><Relationship Id="rId1375" Type="http://schemas.openxmlformats.org/officeDocument/2006/relationships/hyperlink" Target="https://analytics.zhihuiya.com/patent-view/abst?patentId=fbd0ff94-6af1-4b6f-8195-a9492021757b" TargetMode="External"/><Relationship Id="rId1582" Type="http://schemas.openxmlformats.org/officeDocument/2006/relationships/hyperlink" Target="https://analytics.zhihuiya.com/patent-view/abst?patentId=59a45280-5012-43a7-9383-a271c53841da" TargetMode="External"/><Relationship Id="rId2219" Type="http://schemas.openxmlformats.org/officeDocument/2006/relationships/hyperlink" Target="https://analytics.zhihuiya.com/patent-view/abst?patentId=c3147195-2d4e-455d-ae8f-d9718fd85cc2" TargetMode="External"/><Relationship Id="rId2426" Type="http://schemas.openxmlformats.org/officeDocument/2006/relationships/hyperlink" Target="https://analytics.zhihuiya.com/patent-view/abst?patentId=1b97a619-ec1b-4034-8ff8-a189cb9f8c77" TargetMode="External"/><Relationship Id="rId2633" Type="http://schemas.openxmlformats.org/officeDocument/2006/relationships/hyperlink" Target="https://analytics.zhihuiya.com/patent-view/abst?patentId=16ace005-dd9b-4f2a-b7ca-5cefa13f94cb" TargetMode="External"/><Relationship Id="rId81" Type="http://schemas.openxmlformats.org/officeDocument/2006/relationships/hyperlink" Target="https://analytics.zhihuiya.com/patent-view/abst?patentId=5b64f523-30b3-4e1b-8952-25877152ae8a" TargetMode="External"/><Relationship Id="rId605" Type="http://schemas.openxmlformats.org/officeDocument/2006/relationships/hyperlink" Target="https://analytics.zhihuiya.com/patent-view/abst?patentId=74a79b1b-d339-4398-bf95-8e7656eb35f2" TargetMode="External"/><Relationship Id="rId812" Type="http://schemas.openxmlformats.org/officeDocument/2006/relationships/hyperlink" Target="https://analytics.zhihuiya.com/patent-view/abst?patentId=a2d2fb08-ecc8-45c0-93d3-64061a3ddfb0" TargetMode="External"/><Relationship Id="rId1028" Type="http://schemas.openxmlformats.org/officeDocument/2006/relationships/hyperlink" Target="https://analytics.zhihuiya.com/patent-view/abst?patentId=6e2f4ed1-5c0c-4e51-aae9-85144572cfd9" TargetMode="External"/><Relationship Id="rId1235" Type="http://schemas.openxmlformats.org/officeDocument/2006/relationships/hyperlink" Target="https://analytics.zhihuiya.com/patent-view/abst?patentId=372c9a60-d0d7-4cc1-bafa-e0dee0c95e9d" TargetMode="External"/><Relationship Id="rId1442" Type="http://schemas.openxmlformats.org/officeDocument/2006/relationships/hyperlink" Target="https://analytics.zhihuiya.com/patent-view/abst?patentId=0713af3c-f52c-4178-bfba-f0fc8655dff8" TargetMode="External"/><Relationship Id="rId2840" Type="http://schemas.openxmlformats.org/officeDocument/2006/relationships/hyperlink" Target="https://analytics.zhihuiya.com/patent-view/abst?patentId=9ae79060-b6ab-4798-a6a0-8d47f3114e82" TargetMode="External"/><Relationship Id="rId1302" Type="http://schemas.openxmlformats.org/officeDocument/2006/relationships/hyperlink" Target="https://analytics.zhihuiya.com/patent-view/abst?patentId=a21ba09b-2538-4397-9088-46e6990c928f" TargetMode="External"/><Relationship Id="rId2700" Type="http://schemas.openxmlformats.org/officeDocument/2006/relationships/hyperlink" Target="https://analytics.zhihuiya.com/patent-view/abst?patentId=ed89b6f3-e7be-4bef-b89a-e5d748fb9dea" TargetMode="External"/><Relationship Id="rId3267" Type="http://schemas.openxmlformats.org/officeDocument/2006/relationships/hyperlink" Target="https://analytics.zhihuiya.com/patent-view/abst?patentId=eaf57a07-c791-4e25-8b5d-f106b7ba4391" TargetMode="External"/><Relationship Id="rId188" Type="http://schemas.openxmlformats.org/officeDocument/2006/relationships/hyperlink" Target="https://analytics.zhihuiya.com/patent-view/abst?patentId=367e5ac5-0807-47c8-9b34-8b78e70fe91f" TargetMode="External"/><Relationship Id="rId395" Type="http://schemas.openxmlformats.org/officeDocument/2006/relationships/hyperlink" Target="https://analytics.zhihuiya.com/patent-view/abst?patentId=a6cc03ff-5120-48cf-9d57-6d57c919beb1" TargetMode="External"/><Relationship Id="rId2076" Type="http://schemas.openxmlformats.org/officeDocument/2006/relationships/hyperlink" Target="https://analytics.zhihuiya.com/patent-view/abst?patentId=2c4b3d1f-93cb-4e77-8607-b43bffc1d4fc" TargetMode="External"/><Relationship Id="rId3474" Type="http://schemas.openxmlformats.org/officeDocument/2006/relationships/hyperlink" Target="https://analytics.zhihuiya.com/patent-view/abst?patentId=7309508f-3e0a-4c52-850b-4f623ed60a47" TargetMode="External"/><Relationship Id="rId3681" Type="http://schemas.openxmlformats.org/officeDocument/2006/relationships/hyperlink" Target="https://analytics.zhihuiya.com/patent-view/abst?patentId=9bf69fbe-b406-48b8-9290-7eac08042531" TargetMode="External"/><Relationship Id="rId4318" Type="http://schemas.openxmlformats.org/officeDocument/2006/relationships/hyperlink" Target="https://analytics.zhihuiya.com/patent-view/abst?patentId=371d5b5d-4c07-4941-8e1a-9f9dc2e803c1" TargetMode="External"/><Relationship Id="rId2283" Type="http://schemas.openxmlformats.org/officeDocument/2006/relationships/hyperlink" Target="https://analytics.zhihuiya.com/patent-view/abst?patentId=5ce33374-7902-4b28-a5a7-752d71493135" TargetMode="External"/><Relationship Id="rId2490" Type="http://schemas.openxmlformats.org/officeDocument/2006/relationships/hyperlink" Target="https://analytics.zhihuiya.com/patent-view/abst?patentId=dd7d1e3b-8176-4206-8216-6929cc41021e" TargetMode="External"/><Relationship Id="rId3127" Type="http://schemas.openxmlformats.org/officeDocument/2006/relationships/hyperlink" Target="https://analytics.zhihuiya.com/patent-view/abst?patentId=ce9a7c81-a9e1-49fa-a62d-b0e33058c71a" TargetMode="External"/><Relationship Id="rId3334" Type="http://schemas.openxmlformats.org/officeDocument/2006/relationships/hyperlink" Target="https://analytics.zhihuiya.com/patent-view/abst?patentId=2dcf0c4d-f02b-489b-bd79-8ac9df766e09" TargetMode="External"/><Relationship Id="rId3541" Type="http://schemas.openxmlformats.org/officeDocument/2006/relationships/hyperlink" Target="https://analytics.zhihuiya.com/patent-view/abst?patentId=7bb478f2-3516-4e69-95e7-c4239e1b8edc" TargetMode="External"/><Relationship Id="rId255" Type="http://schemas.openxmlformats.org/officeDocument/2006/relationships/hyperlink" Target="https://analytics.zhihuiya.com/patent-view/abst?patentId=d1af93f9-3730-495d-89bd-9d2c3612298a" TargetMode="External"/><Relationship Id="rId462" Type="http://schemas.openxmlformats.org/officeDocument/2006/relationships/hyperlink" Target="https://analytics.zhihuiya.com/patent-view/abst?patentId=d57e9828-6c72-4de0-9927-ee8bc8740c1f" TargetMode="External"/><Relationship Id="rId1092" Type="http://schemas.openxmlformats.org/officeDocument/2006/relationships/hyperlink" Target="https://analytics.zhihuiya.com/patent-view/abst?patentId=59d63cfc-6107-4775-8504-2a918ce91951" TargetMode="External"/><Relationship Id="rId2143" Type="http://schemas.openxmlformats.org/officeDocument/2006/relationships/hyperlink" Target="https://analytics.zhihuiya.com/patent-view/abst?patentId=02b34834-84b5-43e8-a179-0eb16e3d0da3" TargetMode="External"/><Relationship Id="rId2350" Type="http://schemas.openxmlformats.org/officeDocument/2006/relationships/hyperlink" Target="https://analytics.zhihuiya.com/patent-view/abst?patentId=0295a2e3-ec6f-48e4-a32c-723f1a116d47" TargetMode="External"/><Relationship Id="rId3401" Type="http://schemas.openxmlformats.org/officeDocument/2006/relationships/hyperlink" Target="https://analytics.zhihuiya.com/patent-view/abst?patentId=58a4419f-80f3-4298-96fb-1a2b3b1c41f1" TargetMode="External"/><Relationship Id="rId115" Type="http://schemas.openxmlformats.org/officeDocument/2006/relationships/hyperlink" Target="https://analytics.zhihuiya.com/patent-view/abst?patentId=60ecc4e0-adc7-4d13-966d-f06fbe4e886d" TargetMode="External"/><Relationship Id="rId322" Type="http://schemas.openxmlformats.org/officeDocument/2006/relationships/hyperlink" Target="https://analytics.zhihuiya.com/patent-view/abst?patentId=b64cfac2-cb13-42a7-8827-f57fa8e4fdb7" TargetMode="External"/><Relationship Id="rId2003" Type="http://schemas.openxmlformats.org/officeDocument/2006/relationships/hyperlink" Target="https://analytics.zhihuiya.com/patent-view/abst?patentId=e49f5457-90b7-494f-a025-e09975a202fc" TargetMode="External"/><Relationship Id="rId2210" Type="http://schemas.openxmlformats.org/officeDocument/2006/relationships/hyperlink" Target="https://analytics.zhihuiya.com/patent-view/abst?patentId=78e5c06c-7dcd-4c14-99b9-c5da17488be1" TargetMode="External"/><Relationship Id="rId4175" Type="http://schemas.openxmlformats.org/officeDocument/2006/relationships/hyperlink" Target="https://analytics.zhihuiya.com/patent-view/abst?patentId=6a983026-6e06-44b0-b33a-9019074bfac8" TargetMode="External"/><Relationship Id="rId4382" Type="http://schemas.openxmlformats.org/officeDocument/2006/relationships/hyperlink" Target="https://analytics.zhihuiya.com/patent-view/abst?patentId=90538bbb-7f37-4ca6-83fb-79aa1c6f2fcc" TargetMode="External"/><Relationship Id="rId1769" Type="http://schemas.openxmlformats.org/officeDocument/2006/relationships/hyperlink" Target="https://analytics.zhihuiya.com/patent-view/abst?patentId=9da4ee4b-39e6-4a8f-a0b0-b14f8bcb9966" TargetMode="External"/><Relationship Id="rId1976" Type="http://schemas.openxmlformats.org/officeDocument/2006/relationships/hyperlink" Target="https://analytics.zhihuiya.com/patent-view/abst?patentId=12e8591c-2564-46f0-b9ad-7a26857bc054" TargetMode="External"/><Relationship Id="rId3191" Type="http://schemas.openxmlformats.org/officeDocument/2006/relationships/hyperlink" Target="https://analytics.zhihuiya.com/patent-view/abst?patentId=ecb12dc9-2e76-4d01-990c-f64053d9488c" TargetMode="External"/><Relationship Id="rId4035" Type="http://schemas.openxmlformats.org/officeDocument/2006/relationships/hyperlink" Target="https://analytics.zhihuiya.com/patent-view/abst?patentId=9ab0ce01-4276-4583-a39d-ae7f7407e54b" TargetMode="External"/><Relationship Id="rId4242" Type="http://schemas.openxmlformats.org/officeDocument/2006/relationships/hyperlink" Target="https://analytics.zhihuiya.com/patent-view/abst?patentId=b38aa86d-7cf4-4f5b-8306-549119e67285" TargetMode="External"/><Relationship Id="rId1629" Type="http://schemas.openxmlformats.org/officeDocument/2006/relationships/hyperlink" Target="https://analytics.zhihuiya.com/patent-view/abst?patentId=d5231834-3638-4a5a-8d44-d9655fd2a64d" TargetMode="External"/><Relationship Id="rId1836" Type="http://schemas.openxmlformats.org/officeDocument/2006/relationships/hyperlink" Target="https://analytics.zhihuiya.com/patent-view/abst?patentId=b6b0a02f-b42e-487a-99fc-7c761accea84" TargetMode="External"/><Relationship Id="rId1903" Type="http://schemas.openxmlformats.org/officeDocument/2006/relationships/hyperlink" Target="https://analytics.zhihuiya.com/patent-view/abst?patentId=a2a81cc5-45b4-4c1f-b4ea-b74a4874b923" TargetMode="External"/><Relationship Id="rId3051" Type="http://schemas.openxmlformats.org/officeDocument/2006/relationships/hyperlink" Target="https://analytics.zhihuiya.com/patent-view/abst?patentId=328ed52a-7490-4293-87c9-4a82c6bc50fb" TargetMode="External"/><Relationship Id="rId4102" Type="http://schemas.openxmlformats.org/officeDocument/2006/relationships/hyperlink" Target="https://analytics.zhihuiya.com/patent-view/abst?patentId=9c333577-f170-465b-92d6-90a092cb436e" TargetMode="External"/><Relationship Id="rId3868" Type="http://schemas.openxmlformats.org/officeDocument/2006/relationships/hyperlink" Target="https://analytics.zhihuiya.com/patent-view/abst?patentId=2498cfd0-315a-432d-8c69-0c75927d7426" TargetMode="External"/><Relationship Id="rId789" Type="http://schemas.openxmlformats.org/officeDocument/2006/relationships/hyperlink" Target="https://analytics.zhihuiya.com/patent-view/abst?patentId=f303689a-9917-41ba-bdf1-0ec541084b80" TargetMode="External"/><Relationship Id="rId996" Type="http://schemas.openxmlformats.org/officeDocument/2006/relationships/hyperlink" Target="https://analytics.zhihuiya.com/patent-view/abst?patentId=7b6feced-4994-4241-811a-ac688c035ebd" TargetMode="External"/><Relationship Id="rId2677" Type="http://schemas.openxmlformats.org/officeDocument/2006/relationships/hyperlink" Target="https://analytics.zhihuiya.com/patent-view/abst?patentId=1f88d373-1aac-4b2d-b73f-591be7285cc9" TargetMode="External"/><Relationship Id="rId2884" Type="http://schemas.openxmlformats.org/officeDocument/2006/relationships/hyperlink" Target="https://analytics.zhihuiya.com/patent-view/abst?patentId=6b099189-9c87-4782-ad55-851187d2cfd6" TargetMode="External"/><Relationship Id="rId3728" Type="http://schemas.openxmlformats.org/officeDocument/2006/relationships/hyperlink" Target="https://analytics.zhihuiya.com/patent-view/abst?patentId=3af9183a-4a58-4b15-958e-430442beb489" TargetMode="External"/><Relationship Id="rId649" Type="http://schemas.openxmlformats.org/officeDocument/2006/relationships/hyperlink" Target="https://analytics.zhihuiya.com/patent-view/abst?patentId=405f901e-a2f2-48df-aca4-4098e0aa3fc7" TargetMode="External"/><Relationship Id="rId856" Type="http://schemas.openxmlformats.org/officeDocument/2006/relationships/hyperlink" Target="https://analytics.zhihuiya.com/patent-view/abst?patentId=250bf4f0-e6cd-4400-86c9-b707415be7e8" TargetMode="External"/><Relationship Id="rId1279" Type="http://schemas.openxmlformats.org/officeDocument/2006/relationships/hyperlink" Target="https://analytics.zhihuiya.com/patent-view/abst?patentId=9c9dd0d4-96d7-4fc9-b2cd-4547918bac5f" TargetMode="External"/><Relationship Id="rId1486" Type="http://schemas.openxmlformats.org/officeDocument/2006/relationships/hyperlink" Target="https://analytics.zhihuiya.com/patent-view/abst?patentId=5e82cd80-7bd4-4e0b-99d4-20c287604d7a" TargetMode="External"/><Relationship Id="rId2537" Type="http://schemas.openxmlformats.org/officeDocument/2006/relationships/hyperlink" Target="https://analytics.zhihuiya.com/patent-view/abst?patentId=f3f33444-387b-4914-acc2-39f93504184a" TargetMode="External"/><Relationship Id="rId3935" Type="http://schemas.openxmlformats.org/officeDocument/2006/relationships/hyperlink" Target="https://analytics.zhihuiya.com/patent-view/abst?patentId=5a856352-70d1-43c5-a207-4834b0abbdb7" TargetMode="External"/><Relationship Id="rId509" Type="http://schemas.openxmlformats.org/officeDocument/2006/relationships/hyperlink" Target="https://analytics.zhihuiya.com/patent-view/abst?patentId=2870ab05-d995-418b-b4c4-eb9363c2f4b3" TargetMode="External"/><Relationship Id="rId1139" Type="http://schemas.openxmlformats.org/officeDocument/2006/relationships/hyperlink" Target="https://analytics.zhihuiya.com/patent-view/abst?patentId=b4032fb6-6ce0-4301-9704-b5e88ae435b2" TargetMode="External"/><Relationship Id="rId1346" Type="http://schemas.openxmlformats.org/officeDocument/2006/relationships/hyperlink" Target="https://analytics.zhihuiya.com/patent-view/abst?patentId=77b5d0a0-56d7-48e3-a203-cba37df97da0" TargetMode="External"/><Relationship Id="rId1693" Type="http://schemas.openxmlformats.org/officeDocument/2006/relationships/hyperlink" Target="https://analytics.zhihuiya.com/patent-view/abst?patentId=3d4bcde5-6df9-4428-9fa1-5724ec967103" TargetMode="External"/><Relationship Id="rId2744" Type="http://schemas.openxmlformats.org/officeDocument/2006/relationships/hyperlink" Target="https://analytics.zhihuiya.com/patent-view/abst?patentId=625f844b-53f1-4394-8f98-26b22535b82f" TargetMode="External"/><Relationship Id="rId2951" Type="http://schemas.openxmlformats.org/officeDocument/2006/relationships/hyperlink" Target="https://analytics.zhihuiya.com/patent-view/abst?patentId=89158fc8-091e-4680-b553-849ca7d9909a" TargetMode="External"/><Relationship Id="rId716" Type="http://schemas.openxmlformats.org/officeDocument/2006/relationships/hyperlink" Target="https://analytics.zhihuiya.com/patent-view/abst?patentId=94122a63-e46c-443f-8c6c-8ad2d6a2d550" TargetMode="External"/><Relationship Id="rId923" Type="http://schemas.openxmlformats.org/officeDocument/2006/relationships/hyperlink" Target="https://analytics.zhihuiya.com/patent-view/abst?patentId=0037f06c-d531-476c-b52d-620af8137cc7" TargetMode="External"/><Relationship Id="rId1553" Type="http://schemas.openxmlformats.org/officeDocument/2006/relationships/hyperlink" Target="https://analytics.zhihuiya.com/patent-view/abst?patentId=fc9f2b10-056f-4674-b257-fcf97c4da54d" TargetMode="External"/><Relationship Id="rId1760" Type="http://schemas.openxmlformats.org/officeDocument/2006/relationships/hyperlink" Target="https://analytics.zhihuiya.com/patent-view/abst?patentId=966f05c1-44b8-4661-b675-b7c186167c75" TargetMode="External"/><Relationship Id="rId2604" Type="http://schemas.openxmlformats.org/officeDocument/2006/relationships/hyperlink" Target="https://analytics.zhihuiya.com/patent-view/abst?patentId=2baad5a2-19a3-4a06-b46f-b3fea29e1e51" TargetMode="External"/><Relationship Id="rId2811" Type="http://schemas.openxmlformats.org/officeDocument/2006/relationships/hyperlink" Target="https://analytics.zhihuiya.com/patent-view/abst?patentId=ee21a4f6-c8dc-4a23-940f-81930a69bfd5" TargetMode="External"/><Relationship Id="rId52" Type="http://schemas.openxmlformats.org/officeDocument/2006/relationships/hyperlink" Target="https://analytics.zhihuiya.com/patent-view/abst?patentId=08a0ed25-8dcb-416a-be8e-c05c7e0fd247" TargetMode="External"/><Relationship Id="rId1206" Type="http://schemas.openxmlformats.org/officeDocument/2006/relationships/hyperlink" Target="https://analytics.zhihuiya.com/patent-view/abst?patentId=49df70bd-0120-4518-8320-a991034ccaf5" TargetMode="External"/><Relationship Id="rId1413" Type="http://schemas.openxmlformats.org/officeDocument/2006/relationships/hyperlink" Target="https://analytics.zhihuiya.com/patent-view/abst?patentId=aa3b5940-67a9-4918-9ea2-80443d7494c5" TargetMode="External"/><Relationship Id="rId1620" Type="http://schemas.openxmlformats.org/officeDocument/2006/relationships/hyperlink" Target="https://analytics.zhihuiya.com/patent-view/abst?patentId=3c15b3eb-cf78-4cbc-830f-b42aa6caf9ad" TargetMode="External"/><Relationship Id="rId3378" Type="http://schemas.openxmlformats.org/officeDocument/2006/relationships/hyperlink" Target="https://analytics.zhihuiya.com/patent-view/abst?patentId=da2d33ec-9384-448f-8eec-4a212473eb18" TargetMode="External"/><Relationship Id="rId3585" Type="http://schemas.openxmlformats.org/officeDocument/2006/relationships/hyperlink" Target="https://analytics.zhihuiya.com/patent-view/abst?patentId=05336d30-4787-4126-a696-738c3e4bbd24" TargetMode="External"/><Relationship Id="rId3792" Type="http://schemas.openxmlformats.org/officeDocument/2006/relationships/hyperlink" Target="https://analytics.zhihuiya.com/patent-view/abst?patentId=7258cec7-f424-43ed-920c-b2c64bf2543c" TargetMode="External"/><Relationship Id="rId4429" Type="http://schemas.openxmlformats.org/officeDocument/2006/relationships/hyperlink" Target="https://analytics.zhihuiya.com/patent-view/abst?patentId=17191441-1e26-4980-b5b0-4b3a9db0e63d" TargetMode="External"/><Relationship Id="rId299" Type="http://schemas.openxmlformats.org/officeDocument/2006/relationships/hyperlink" Target="https://analytics.zhihuiya.com/patent-view/abst?patentId=f4139b4b-31f1-4453-9a17-de50e0c90f94" TargetMode="External"/><Relationship Id="rId2187" Type="http://schemas.openxmlformats.org/officeDocument/2006/relationships/hyperlink" Target="https://analytics.zhihuiya.com/patent-view/abst?patentId=161663e8-31c5-4d62-867a-da28185cd856" TargetMode="External"/><Relationship Id="rId2394" Type="http://schemas.openxmlformats.org/officeDocument/2006/relationships/hyperlink" Target="https://analytics.zhihuiya.com/patent-view/abst?patentId=fc8d0f23-efbf-4e8a-b072-edccc9b9488c" TargetMode="External"/><Relationship Id="rId3238" Type="http://schemas.openxmlformats.org/officeDocument/2006/relationships/hyperlink" Target="https://analytics.zhihuiya.com/patent-view/abst?patentId=96877884-95fb-4e03-bceb-5a21c24916d1" TargetMode="External"/><Relationship Id="rId3445" Type="http://schemas.openxmlformats.org/officeDocument/2006/relationships/hyperlink" Target="https://analytics.zhihuiya.com/patent-view/abst?patentId=112ca805-02af-4a6d-b507-8592188c8f7d" TargetMode="External"/><Relationship Id="rId3652" Type="http://schemas.openxmlformats.org/officeDocument/2006/relationships/hyperlink" Target="https://analytics.zhihuiya.com/patent-view/abst?patentId=d39f20fd-05ea-4dd8-ab53-6180ec47aff2" TargetMode="External"/><Relationship Id="rId159" Type="http://schemas.openxmlformats.org/officeDocument/2006/relationships/hyperlink" Target="https://analytics.zhihuiya.com/patent-view/abst?patentId=91f52366-3a3e-4cdc-8b9d-ccf8292a59b8" TargetMode="External"/><Relationship Id="rId366" Type="http://schemas.openxmlformats.org/officeDocument/2006/relationships/hyperlink" Target="https://analytics.zhihuiya.com/patent-view/abst?patentId=ed4b9821-6c43-411e-85de-795d59920f15" TargetMode="External"/><Relationship Id="rId573" Type="http://schemas.openxmlformats.org/officeDocument/2006/relationships/hyperlink" Target="https://analytics.zhihuiya.com/patent-view/abst?patentId=21211a11-a3b6-4ecd-8cee-b09d008ed388" TargetMode="External"/><Relationship Id="rId780" Type="http://schemas.openxmlformats.org/officeDocument/2006/relationships/hyperlink" Target="https://analytics.zhihuiya.com/patent-view/abst?patentId=2415fa5c-e938-4023-8571-35168dcecdfd" TargetMode="External"/><Relationship Id="rId2047" Type="http://schemas.openxmlformats.org/officeDocument/2006/relationships/hyperlink" Target="https://analytics.zhihuiya.com/patent-view/abst?patentId=0f294b94-f050-4bd0-896b-85c7a8c733e1" TargetMode="External"/><Relationship Id="rId2254" Type="http://schemas.openxmlformats.org/officeDocument/2006/relationships/hyperlink" Target="https://analytics.zhihuiya.com/patent-view/abst?patentId=d634fd58-a1d8-45e2-ae5d-98769e29b79f" TargetMode="External"/><Relationship Id="rId2461" Type="http://schemas.openxmlformats.org/officeDocument/2006/relationships/hyperlink" Target="https://analytics.zhihuiya.com/patent-view/abst?patentId=5acab817-01fd-42d1-b6f6-a7a45e2da32a" TargetMode="External"/><Relationship Id="rId3305" Type="http://schemas.openxmlformats.org/officeDocument/2006/relationships/hyperlink" Target="https://analytics.zhihuiya.com/patent-view/abst?patentId=20185a87-c388-4b05-9280-99feeda274b5" TargetMode="External"/><Relationship Id="rId3512" Type="http://schemas.openxmlformats.org/officeDocument/2006/relationships/hyperlink" Target="https://analytics.zhihuiya.com/patent-view/abst?patentId=7c439367-c503-42bd-bb2a-20f07d8b825c" TargetMode="External"/><Relationship Id="rId226" Type="http://schemas.openxmlformats.org/officeDocument/2006/relationships/hyperlink" Target="https://analytics.zhihuiya.com/patent-view/abst?patentId=61981a86-fb0c-4d4f-8a8d-36c0b547b144" TargetMode="External"/><Relationship Id="rId433" Type="http://schemas.openxmlformats.org/officeDocument/2006/relationships/hyperlink" Target="https://analytics.zhihuiya.com/patent-view/abst?patentId=8a49245e-f30a-46eb-8f26-281791b29375" TargetMode="External"/><Relationship Id="rId1063" Type="http://schemas.openxmlformats.org/officeDocument/2006/relationships/hyperlink" Target="https://analytics.zhihuiya.com/patent-view/abst?patentId=a9d31e7f-1db9-4db7-830b-f64e10022fb8" TargetMode="External"/><Relationship Id="rId1270" Type="http://schemas.openxmlformats.org/officeDocument/2006/relationships/hyperlink" Target="https://analytics.zhihuiya.com/patent-view/abst?patentId=3bef00b9-8313-463a-80e0-d4cb4b80d5b7" TargetMode="External"/><Relationship Id="rId2114" Type="http://schemas.openxmlformats.org/officeDocument/2006/relationships/hyperlink" Target="https://analytics.zhihuiya.com/patent-view/abst?patentId=cf2f1ed7-ba19-49b5-a836-3e265b1e9838" TargetMode="External"/><Relationship Id="rId640" Type="http://schemas.openxmlformats.org/officeDocument/2006/relationships/hyperlink" Target="https://analytics.zhihuiya.com/patent-view/abst?patentId=d4fafcb2-80e5-4a71-8371-7372dd297a8c" TargetMode="External"/><Relationship Id="rId2321" Type="http://schemas.openxmlformats.org/officeDocument/2006/relationships/hyperlink" Target="https://analytics.zhihuiya.com/patent-view/abst?patentId=89728a7b-7299-49cc-8c67-c9a4302b90ff" TargetMode="External"/><Relationship Id="rId4079" Type="http://schemas.openxmlformats.org/officeDocument/2006/relationships/hyperlink" Target="https://analytics.zhihuiya.com/patent-view/abst?patentId=0ee29637-eb79-4c81-af97-41ec2c8a4352" TargetMode="External"/><Relationship Id="rId4286" Type="http://schemas.openxmlformats.org/officeDocument/2006/relationships/hyperlink" Target="https://analytics.zhihuiya.com/patent-view/abst?patentId=7602282d-290b-42fd-97e1-0fad9bed2460" TargetMode="External"/><Relationship Id="rId500" Type="http://schemas.openxmlformats.org/officeDocument/2006/relationships/hyperlink" Target="https://analytics.zhihuiya.com/patent-view/abst?patentId=894db260-5648-48c1-b4e9-05f938ba22d3" TargetMode="External"/><Relationship Id="rId1130" Type="http://schemas.openxmlformats.org/officeDocument/2006/relationships/hyperlink" Target="https://analytics.zhihuiya.com/patent-view/abst?patentId=420bac9b-e0b6-4b94-8907-db4241e894e2" TargetMode="External"/><Relationship Id="rId1947" Type="http://schemas.openxmlformats.org/officeDocument/2006/relationships/hyperlink" Target="https://analytics.zhihuiya.com/patent-view/abst?patentId=1fadd6d4-8906-42d7-8fe5-1fbb56bb01a8" TargetMode="External"/><Relationship Id="rId3095" Type="http://schemas.openxmlformats.org/officeDocument/2006/relationships/hyperlink" Target="https://analytics.zhihuiya.com/patent-view/abst?patentId=c98bf260-cf55-4c63-9a2d-a7938a8ef8ca" TargetMode="External"/><Relationship Id="rId4146" Type="http://schemas.openxmlformats.org/officeDocument/2006/relationships/hyperlink" Target="https://analytics.zhihuiya.com/patent-view/abst?patentId=301e206c-b65c-4ac2-be43-f3c8c440c369" TargetMode="External"/><Relationship Id="rId4353" Type="http://schemas.openxmlformats.org/officeDocument/2006/relationships/hyperlink" Target="https://analytics.zhihuiya.com/patent-view/abst?patentId=14b452ab-f98f-4a16-8966-a26567ebf719" TargetMode="External"/><Relationship Id="rId1807" Type="http://schemas.openxmlformats.org/officeDocument/2006/relationships/hyperlink" Target="https://analytics.zhihuiya.com/patent-view/abst?patentId=65ff1338-982c-470e-83fa-094fc8a7ef86" TargetMode="External"/><Relationship Id="rId3162" Type="http://schemas.openxmlformats.org/officeDocument/2006/relationships/hyperlink" Target="https://analytics.zhihuiya.com/patent-view/abst?patentId=f44e2c42-0a3e-4830-96c8-105df408977e" TargetMode="External"/><Relationship Id="rId4006" Type="http://schemas.openxmlformats.org/officeDocument/2006/relationships/hyperlink" Target="https://analytics.zhihuiya.com/patent-view/abst?patentId=9b637315-fce8-457a-a05b-a3648689bbbd" TargetMode="External"/><Relationship Id="rId4213" Type="http://schemas.openxmlformats.org/officeDocument/2006/relationships/hyperlink" Target="https://analytics.zhihuiya.com/patent-view/abst?patentId=a5dd3b78-dc0c-4181-9113-420e49782ba7" TargetMode="External"/><Relationship Id="rId4420" Type="http://schemas.openxmlformats.org/officeDocument/2006/relationships/hyperlink" Target="https://analytics.zhihuiya.com/patent-view/abst?patentId=9949a9c6-68f6-4f40-902f-4d2a2727a9c0" TargetMode="External"/><Relationship Id="rId290" Type="http://schemas.openxmlformats.org/officeDocument/2006/relationships/hyperlink" Target="https://analytics.zhihuiya.com/patent-view/abst?patentId=5ca40d80-a497-478a-8f37-af505ec8b6cf" TargetMode="External"/><Relationship Id="rId3022" Type="http://schemas.openxmlformats.org/officeDocument/2006/relationships/hyperlink" Target="https://analytics.zhihuiya.com/patent-view/abst?patentId=665faf49-4481-418f-8a39-c045f69ee820" TargetMode="External"/><Relationship Id="rId150" Type="http://schemas.openxmlformats.org/officeDocument/2006/relationships/hyperlink" Target="https://analytics.zhihuiya.com/patent-view/abst?patentId=55a50ce0-416e-4f67-a1f8-178ef1704c2e" TargetMode="External"/><Relationship Id="rId3979" Type="http://schemas.openxmlformats.org/officeDocument/2006/relationships/hyperlink" Target="https://analytics.zhihuiya.com/patent-view/abst?patentId=79eb7e83-9b88-4ed8-a6a5-334e7aaf9738" TargetMode="External"/><Relationship Id="rId2788" Type="http://schemas.openxmlformats.org/officeDocument/2006/relationships/hyperlink" Target="https://analytics.zhihuiya.com/patent-view/abst?patentId=b815e9bb-1eb2-49de-b3a6-94483a0d4673" TargetMode="External"/><Relationship Id="rId2995" Type="http://schemas.openxmlformats.org/officeDocument/2006/relationships/hyperlink" Target="https://analytics.zhihuiya.com/patent-view/abst?patentId=9527141e-dfe6-4217-9a1b-ecd63918cc93" TargetMode="External"/><Relationship Id="rId3839" Type="http://schemas.openxmlformats.org/officeDocument/2006/relationships/hyperlink" Target="https://analytics.zhihuiya.com/patent-view/abst?patentId=6eb122c5-d210-4582-af1e-a98dd1b209f8" TargetMode="External"/><Relationship Id="rId967" Type="http://schemas.openxmlformats.org/officeDocument/2006/relationships/hyperlink" Target="https://analytics.zhihuiya.com/patent-view/abst?patentId=4251fb53-708c-468a-b29e-fe424406360a" TargetMode="External"/><Relationship Id="rId1597" Type="http://schemas.openxmlformats.org/officeDocument/2006/relationships/hyperlink" Target="https://analytics.zhihuiya.com/patent-view/abst?patentId=11f3ab4e-159c-45fb-b542-08d25a8c7e51" TargetMode="External"/><Relationship Id="rId2648" Type="http://schemas.openxmlformats.org/officeDocument/2006/relationships/hyperlink" Target="https://analytics.zhihuiya.com/patent-view/abst?patentId=ff6279ed-2622-4d77-91e1-1fbca5f4c1db" TargetMode="External"/><Relationship Id="rId2855" Type="http://schemas.openxmlformats.org/officeDocument/2006/relationships/hyperlink" Target="https://analytics.zhihuiya.com/patent-view/abst?patentId=2cfcf182-9793-4acc-b3b7-ff3aafb85ab5" TargetMode="External"/><Relationship Id="rId3906" Type="http://schemas.openxmlformats.org/officeDocument/2006/relationships/hyperlink" Target="https://analytics.zhihuiya.com/patent-view/abst?patentId=ec904524-e010-4d76-9f55-893aec3d6c91" TargetMode="External"/><Relationship Id="rId96" Type="http://schemas.openxmlformats.org/officeDocument/2006/relationships/hyperlink" Target="https://analytics.zhihuiya.com/patent-view/abst?patentId=7ef5eacc-35fa-44b6-b122-1f70e141af86" TargetMode="External"/><Relationship Id="rId827" Type="http://schemas.openxmlformats.org/officeDocument/2006/relationships/hyperlink" Target="https://analytics.zhihuiya.com/patent-view/abst?patentId=73e4e96d-ae44-4a39-bdfd-ad6abd7bf55e" TargetMode="External"/><Relationship Id="rId1457" Type="http://schemas.openxmlformats.org/officeDocument/2006/relationships/hyperlink" Target="https://analytics.zhihuiya.com/patent-view/abst?patentId=5649b471-215b-48ad-823e-30c09f8ae76d" TargetMode="External"/><Relationship Id="rId1664" Type="http://schemas.openxmlformats.org/officeDocument/2006/relationships/hyperlink" Target="https://analytics.zhihuiya.com/patent-view/abst?patentId=54805cdd-a892-407f-9ba4-0429773c8854" TargetMode="External"/><Relationship Id="rId1871" Type="http://schemas.openxmlformats.org/officeDocument/2006/relationships/hyperlink" Target="https://analytics.zhihuiya.com/patent-view/abst?patentId=216737cf-a02c-4af8-8824-e4f8b5256b1d" TargetMode="External"/><Relationship Id="rId2508" Type="http://schemas.openxmlformats.org/officeDocument/2006/relationships/hyperlink" Target="https://analytics.zhihuiya.com/patent-view/abst?patentId=6a9f4c07-d3c3-4587-aa36-cc833ae9ca0a" TargetMode="External"/><Relationship Id="rId2715" Type="http://schemas.openxmlformats.org/officeDocument/2006/relationships/hyperlink" Target="https://analytics.zhihuiya.com/patent-view/abst?patentId=abdc4567-2037-4fef-8365-5e6012c96e4b" TargetMode="External"/><Relationship Id="rId2922" Type="http://schemas.openxmlformats.org/officeDocument/2006/relationships/hyperlink" Target="https://analytics.zhihuiya.com/patent-view/abst?patentId=485f8ff7-32cb-4ff1-894b-3961d728215b" TargetMode="External"/><Relationship Id="rId4070" Type="http://schemas.openxmlformats.org/officeDocument/2006/relationships/hyperlink" Target="https://analytics.zhihuiya.com/patent-view/abst?patentId=f8f28db1-610f-475d-8936-d91168c4bbd6" TargetMode="External"/><Relationship Id="rId1317" Type="http://schemas.openxmlformats.org/officeDocument/2006/relationships/hyperlink" Target="https://analytics.zhihuiya.com/patent-view/abst?patentId=9cda0a2f-6091-4c42-931d-332399813460" TargetMode="External"/><Relationship Id="rId1524" Type="http://schemas.openxmlformats.org/officeDocument/2006/relationships/hyperlink" Target="https://analytics.zhihuiya.com/patent-view/abst?patentId=684c1878-092a-4a67-87be-33d9354ef767" TargetMode="External"/><Relationship Id="rId1731" Type="http://schemas.openxmlformats.org/officeDocument/2006/relationships/hyperlink" Target="https://analytics.zhihuiya.com/patent-view/abst?patentId=60a6304c-0f95-49e3-b4ab-b39c72c59565" TargetMode="External"/><Relationship Id="rId23" Type="http://schemas.openxmlformats.org/officeDocument/2006/relationships/hyperlink" Target="https://analytics.zhihuiya.com/patent-view/abst?patentId=dd603559-1851-413d-be6d-2b591b9ab60b" TargetMode="External"/><Relationship Id="rId3489" Type="http://schemas.openxmlformats.org/officeDocument/2006/relationships/hyperlink" Target="https://analytics.zhihuiya.com/patent-view/abst?patentId=91119018-bbf3-4740-96c2-36687b17a55b" TargetMode="External"/><Relationship Id="rId3696" Type="http://schemas.openxmlformats.org/officeDocument/2006/relationships/hyperlink" Target="https://analytics.zhihuiya.com/patent-view/abst?patentId=77272a73-a19d-4f1a-87a6-4115c3a8b9e3" TargetMode="External"/><Relationship Id="rId2298" Type="http://schemas.openxmlformats.org/officeDocument/2006/relationships/hyperlink" Target="https://analytics.zhihuiya.com/patent-view/abst?patentId=094bbaa9-6046-4293-bafa-e86295f64aad" TargetMode="External"/><Relationship Id="rId3349" Type="http://schemas.openxmlformats.org/officeDocument/2006/relationships/hyperlink" Target="https://analytics.zhihuiya.com/patent-view/abst?patentId=7788e2a9-a9af-4502-923a-4f068cbba765" TargetMode="External"/><Relationship Id="rId3556" Type="http://schemas.openxmlformats.org/officeDocument/2006/relationships/hyperlink" Target="https://analytics.zhihuiya.com/patent-view/abst?patentId=71c8621f-d211-424e-9a6a-61fd7c8d7a21" TargetMode="External"/><Relationship Id="rId477" Type="http://schemas.openxmlformats.org/officeDocument/2006/relationships/hyperlink" Target="https://analytics.zhihuiya.com/patent-view/abst?patentId=4e572098-ee0a-4986-af5c-b1015ea45b11" TargetMode="External"/><Relationship Id="rId684" Type="http://schemas.openxmlformats.org/officeDocument/2006/relationships/hyperlink" Target="https://analytics.zhihuiya.com/patent-view/abst?patentId=a856fb48-fd15-4576-8782-0559ec9d3ae3" TargetMode="External"/><Relationship Id="rId2158" Type="http://schemas.openxmlformats.org/officeDocument/2006/relationships/hyperlink" Target="https://analytics.zhihuiya.com/patent-view/abst?patentId=5cd3bae5-0155-4e46-8d83-a86951123308" TargetMode="External"/><Relationship Id="rId2365" Type="http://schemas.openxmlformats.org/officeDocument/2006/relationships/hyperlink" Target="https://analytics.zhihuiya.com/patent-view/abst?patentId=782dad54-858d-439f-ba43-a65baa884834" TargetMode="External"/><Relationship Id="rId3209" Type="http://schemas.openxmlformats.org/officeDocument/2006/relationships/hyperlink" Target="https://analytics.zhihuiya.com/patent-view/abst?patentId=dd41a8ba-98b2-4209-9806-655d014b009d" TargetMode="External"/><Relationship Id="rId3763" Type="http://schemas.openxmlformats.org/officeDocument/2006/relationships/hyperlink" Target="https://analytics.zhihuiya.com/patent-view/abst?patentId=3fec4110-a557-4c52-8175-26a7b5ea6da1" TargetMode="External"/><Relationship Id="rId3970" Type="http://schemas.openxmlformats.org/officeDocument/2006/relationships/hyperlink" Target="https://analytics.zhihuiya.com/patent-view/abst?patentId=a72cea3a-5e22-49a6-86ed-c95092bada27" TargetMode="External"/><Relationship Id="rId337" Type="http://schemas.openxmlformats.org/officeDocument/2006/relationships/hyperlink" Target="https://analytics.zhihuiya.com/patent-view/abst?patentId=75e2b7cb-8a56-47e0-906d-de6c0c04e1c2" TargetMode="External"/><Relationship Id="rId891" Type="http://schemas.openxmlformats.org/officeDocument/2006/relationships/hyperlink" Target="https://analytics.zhihuiya.com/patent-view/abst?patentId=2f5638c1-95be-4979-ac71-dadb194caa9c" TargetMode="External"/><Relationship Id="rId2018" Type="http://schemas.openxmlformats.org/officeDocument/2006/relationships/hyperlink" Target="https://analytics.zhihuiya.com/patent-view/abst?patentId=c751d6a7-2256-43fd-ab59-9737e5d2130f" TargetMode="External"/><Relationship Id="rId2572" Type="http://schemas.openxmlformats.org/officeDocument/2006/relationships/hyperlink" Target="https://analytics.zhihuiya.com/patent-view/abst?patentId=4b5ebd4f-ffc1-4da7-bbc1-55bce33b0e72" TargetMode="External"/><Relationship Id="rId3416" Type="http://schemas.openxmlformats.org/officeDocument/2006/relationships/hyperlink" Target="https://analytics.zhihuiya.com/patent-view/abst?patentId=9c08b976-c970-44e1-b96b-7af7d2656306" TargetMode="External"/><Relationship Id="rId3623" Type="http://schemas.openxmlformats.org/officeDocument/2006/relationships/hyperlink" Target="https://analytics.zhihuiya.com/patent-view/abst?patentId=a1b80555-dcc6-4564-ba01-c0c415dea322" TargetMode="External"/><Relationship Id="rId3830" Type="http://schemas.openxmlformats.org/officeDocument/2006/relationships/hyperlink" Target="https://analytics.zhihuiya.com/patent-view/abst?patentId=faddb9b5-9e34-4e12-8d87-e807df46c6b1" TargetMode="External"/><Relationship Id="rId544" Type="http://schemas.openxmlformats.org/officeDocument/2006/relationships/hyperlink" Target="https://analytics.zhihuiya.com/patent-view/abst?patentId=2eaba868-7c5d-4b39-890c-5536d2cbc516" TargetMode="External"/><Relationship Id="rId751" Type="http://schemas.openxmlformats.org/officeDocument/2006/relationships/hyperlink" Target="https://analytics.zhihuiya.com/patent-view/abst?patentId=e6f63be6-1436-4327-b5e5-601841e47abd" TargetMode="External"/><Relationship Id="rId1174" Type="http://schemas.openxmlformats.org/officeDocument/2006/relationships/hyperlink" Target="https://analytics.zhihuiya.com/patent-view/abst?patentId=b467a458-1543-4550-8f72-a23d058985b6" TargetMode="External"/><Relationship Id="rId1381" Type="http://schemas.openxmlformats.org/officeDocument/2006/relationships/hyperlink" Target="https://analytics.zhihuiya.com/patent-view/abst?patentId=121383dc-cc95-4942-a333-5937e98cb30c" TargetMode="External"/><Relationship Id="rId2225" Type="http://schemas.openxmlformats.org/officeDocument/2006/relationships/hyperlink" Target="https://analytics.zhihuiya.com/patent-view/abst?patentId=0b40dff6-0a56-4e17-b104-7d09687a0907" TargetMode="External"/><Relationship Id="rId2432" Type="http://schemas.openxmlformats.org/officeDocument/2006/relationships/hyperlink" Target="https://analytics.zhihuiya.com/patent-view/abst?patentId=2e911211-54fb-415b-ac58-aec571b08963" TargetMode="External"/><Relationship Id="rId404" Type="http://schemas.openxmlformats.org/officeDocument/2006/relationships/hyperlink" Target="https://analytics.zhihuiya.com/patent-view/abst?patentId=fa26f8ed-af7a-4f2b-a7b0-a115dd15bd0a" TargetMode="External"/><Relationship Id="rId611" Type="http://schemas.openxmlformats.org/officeDocument/2006/relationships/hyperlink" Target="https://analytics.zhihuiya.com/patent-view/abst?patentId=0337f295-debf-4a28-846d-db1b864c4de5" TargetMode="External"/><Relationship Id="rId1034" Type="http://schemas.openxmlformats.org/officeDocument/2006/relationships/hyperlink" Target="https://analytics.zhihuiya.com/patent-view/abst?patentId=18dd8963-16fc-4d6f-9019-4267a56d6f8e" TargetMode="External"/><Relationship Id="rId1241" Type="http://schemas.openxmlformats.org/officeDocument/2006/relationships/hyperlink" Target="https://analytics.zhihuiya.com/patent-view/abst?patentId=7a4fecc2-dfb2-461e-b010-32638cbdad23" TargetMode="External"/><Relationship Id="rId4397" Type="http://schemas.openxmlformats.org/officeDocument/2006/relationships/hyperlink" Target="https://analytics.zhihuiya.com/patent-view/abst?patentId=321f03e9-522b-4fa2-aaf5-0bb6143cbce7" TargetMode="External"/><Relationship Id="rId1101" Type="http://schemas.openxmlformats.org/officeDocument/2006/relationships/hyperlink" Target="https://analytics.zhihuiya.com/patent-view/abst?patentId=dce468dd-20a3-4a71-8d86-dc79bad15e69" TargetMode="External"/><Relationship Id="rId4257" Type="http://schemas.openxmlformats.org/officeDocument/2006/relationships/hyperlink" Target="https://analytics.zhihuiya.com/patent-view/abst?patentId=9d1c70b5-f9f1-4ddd-80f9-1f8841fa7afd" TargetMode="External"/><Relationship Id="rId3066" Type="http://schemas.openxmlformats.org/officeDocument/2006/relationships/hyperlink" Target="https://analytics.zhihuiya.com/patent-view/abst?patentId=c31320a4-807d-43fa-85f9-c2ae1d7416a9" TargetMode="External"/><Relationship Id="rId3273" Type="http://schemas.openxmlformats.org/officeDocument/2006/relationships/hyperlink" Target="https://analytics.zhihuiya.com/patent-view/abst?patentId=9aebe21a-ca8f-47ff-8b8a-d9ac9b7686f3" TargetMode="External"/><Relationship Id="rId3480" Type="http://schemas.openxmlformats.org/officeDocument/2006/relationships/hyperlink" Target="https://analytics.zhihuiya.com/patent-view/abst?patentId=1a0a7e77-9f6c-4e06-97ba-1f7d0fc2f84b" TargetMode="External"/><Relationship Id="rId4117" Type="http://schemas.openxmlformats.org/officeDocument/2006/relationships/hyperlink" Target="https://analytics.zhihuiya.com/patent-view/abst?patentId=92ea5fa5-27b5-4550-9098-57603b2c78e1" TargetMode="External"/><Relationship Id="rId4324" Type="http://schemas.openxmlformats.org/officeDocument/2006/relationships/hyperlink" Target="https://analytics.zhihuiya.com/patent-view/abst?patentId=7ef821f3-9838-4ead-a9e1-640310bd8d1b" TargetMode="External"/><Relationship Id="rId194" Type="http://schemas.openxmlformats.org/officeDocument/2006/relationships/hyperlink" Target="https://analytics.zhihuiya.com/patent-view/abst?patentId=4bcc0172-41e8-4a20-85be-6fb5498bf19c" TargetMode="External"/><Relationship Id="rId1918" Type="http://schemas.openxmlformats.org/officeDocument/2006/relationships/hyperlink" Target="https://analytics.zhihuiya.com/patent-view/abst?patentId=4e662351-e8bf-4b1e-be33-fc88bd5a0674" TargetMode="External"/><Relationship Id="rId2082" Type="http://schemas.openxmlformats.org/officeDocument/2006/relationships/hyperlink" Target="https://analytics.zhihuiya.com/patent-view/abst?patentId=3bcb18f4-4a9c-4a55-aa9c-834d44606a0f" TargetMode="External"/><Relationship Id="rId3133" Type="http://schemas.openxmlformats.org/officeDocument/2006/relationships/hyperlink" Target="https://analytics.zhihuiya.com/patent-view/abst?patentId=3a63888c-64bc-4741-9dfc-7472ebdc7475" TargetMode="External"/><Relationship Id="rId261" Type="http://schemas.openxmlformats.org/officeDocument/2006/relationships/hyperlink" Target="https://analytics.zhihuiya.com/patent-view/abst?patentId=d2b250b2-6b38-4372-88d8-ba7a7257d5aa" TargetMode="External"/><Relationship Id="rId3340" Type="http://schemas.openxmlformats.org/officeDocument/2006/relationships/hyperlink" Target="https://analytics.zhihuiya.com/patent-view/abst?patentId=2d7135e3-0fef-4170-b7cc-3fc12afd455d" TargetMode="External"/><Relationship Id="rId2899" Type="http://schemas.openxmlformats.org/officeDocument/2006/relationships/hyperlink" Target="https://analytics.zhihuiya.com/patent-view/abst?patentId=88a168e7-08ec-4884-ac14-eae5b7e108f0" TargetMode="External"/><Relationship Id="rId3200" Type="http://schemas.openxmlformats.org/officeDocument/2006/relationships/hyperlink" Target="https://analytics.zhihuiya.com/patent-view/abst?patentId=75dc5a27-2b51-438c-98eb-8996dae8059a" TargetMode="External"/><Relationship Id="rId121" Type="http://schemas.openxmlformats.org/officeDocument/2006/relationships/hyperlink" Target="https://analytics.zhihuiya.com/patent-view/abst?patentId=b78ed112-a199-460f-b6fe-f1fe7fec5271" TargetMode="External"/><Relationship Id="rId2759" Type="http://schemas.openxmlformats.org/officeDocument/2006/relationships/hyperlink" Target="https://analytics.zhihuiya.com/patent-view/abst?patentId=e16a726d-29a8-4bad-88d3-04ef091dfb4d" TargetMode="External"/><Relationship Id="rId2966" Type="http://schemas.openxmlformats.org/officeDocument/2006/relationships/hyperlink" Target="https://analytics.zhihuiya.com/patent-view/abst?patentId=b0859740-af3b-4f3c-8ea9-06a51c7006d8" TargetMode="External"/><Relationship Id="rId938" Type="http://schemas.openxmlformats.org/officeDocument/2006/relationships/hyperlink" Target="https://analytics.zhihuiya.com/patent-view/abst?patentId=8d487df3-7bf5-4032-94e0-f9b4b1380331" TargetMode="External"/><Relationship Id="rId1568" Type="http://schemas.openxmlformats.org/officeDocument/2006/relationships/hyperlink" Target="https://analytics.zhihuiya.com/patent-view/abst?patentId=b57eb7c4-316f-416e-8c25-973a3a9f7e35" TargetMode="External"/><Relationship Id="rId1775" Type="http://schemas.openxmlformats.org/officeDocument/2006/relationships/hyperlink" Target="https://analytics.zhihuiya.com/patent-view/abst?patentId=c9d42678-d8a8-41e7-800c-e8fd244214d1" TargetMode="External"/><Relationship Id="rId2619" Type="http://schemas.openxmlformats.org/officeDocument/2006/relationships/hyperlink" Target="https://analytics.zhihuiya.com/patent-view/abst?patentId=47838590-8bbe-4b9d-90e1-f095b4b13883" TargetMode="External"/><Relationship Id="rId2826" Type="http://schemas.openxmlformats.org/officeDocument/2006/relationships/hyperlink" Target="https://analytics.zhihuiya.com/patent-view/abst?patentId=3ad074b5-6a59-4009-853d-e945fc2585e5" TargetMode="External"/><Relationship Id="rId4181" Type="http://schemas.openxmlformats.org/officeDocument/2006/relationships/hyperlink" Target="https://analytics.zhihuiya.com/patent-view/abst?patentId=90bd977a-adaa-466c-a722-b47c137a7593" TargetMode="External"/><Relationship Id="rId67" Type="http://schemas.openxmlformats.org/officeDocument/2006/relationships/hyperlink" Target="https://analytics.zhihuiya.com/patent-view/abst?patentId=0ece7fa5-13a5-45e8-9fbb-2e71db496e8d" TargetMode="External"/><Relationship Id="rId1428" Type="http://schemas.openxmlformats.org/officeDocument/2006/relationships/hyperlink" Target="https://analytics.zhihuiya.com/patent-view/abst?patentId=f5d860fe-f538-4fd5-8853-d3f218916713" TargetMode="External"/><Relationship Id="rId1635" Type="http://schemas.openxmlformats.org/officeDocument/2006/relationships/hyperlink" Target="https://analytics.zhihuiya.com/patent-view/abst?patentId=2d8563d3-b405-4eb3-8f40-eabf118b6916" TargetMode="External"/><Relationship Id="rId1982" Type="http://schemas.openxmlformats.org/officeDocument/2006/relationships/hyperlink" Target="https://analytics.zhihuiya.com/patent-view/abst?patentId=ff7cc484-c097-46b9-adcb-8a481429e96f" TargetMode="External"/><Relationship Id="rId4041" Type="http://schemas.openxmlformats.org/officeDocument/2006/relationships/hyperlink" Target="https://analytics.zhihuiya.com/patent-view/abst?patentId=669b8b44-d30b-4489-b1cb-5efac775956e" TargetMode="External"/><Relationship Id="rId1842" Type="http://schemas.openxmlformats.org/officeDocument/2006/relationships/hyperlink" Target="https://analytics.zhihuiya.com/patent-view/abst?patentId=ff7610e6-cb2f-44a5-a41f-6c092da55b86" TargetMode="External"/><Relationship Id="rId1702" Type="http://schemas.openxmlformats.org/officeDocument/2006/relationships/hyperlink" Target="https://analytics.zhihuiya.com/patent-view/abst?patentId=e94d0344-95ca-4357-b75d-35f40a889c63" TargetMode="External"/><Relationship Id="rId3667" Type="http://schemas.openxmlformats.org/officeDocument/2006/relationships/hyperlink" Target="https://analytics.zhihuiya.com/patent-view/abst?patentId=808de064-1c6d-4195-8a86-3ac9354cd862" TargetMode="External"/><Relationship Id="rId3874" Type="http://schemas.openxmlformats.org/officeDocument/2006/relationships/hyperlink" Target="https://analytics.zhihuiya.com/patent-view/abst?patentId=52a4e7fe-ba2b-4eb2-b3d9-c861fbc34d01" TargetMode="External"/><Relationship Id="rId588" Type="http://schemas.openxmlformats.org/officeDocument/2006/relationships/hyperlink" Target="https://analytics.zhihuiya.com/patent-view/abst?patentId=47d44df1-4b6b-4e6a-a12c-764c341b194e" TargetMode="External"/><Relationship Id="rId795" Type="http://schemas.openxmlformats.org/officeDocument/2006/relationships/hyperlink" Target="https://analytics.zhihuiya.com/patent-view/abst?patentId=7d2200e4-9583-4b29-b8fe-6d4645acda83" TargetMode="External"/><Relationship Id="rId2269" Type="http://schemas.openxmlformats.org/officeDocument/2006/relationships/hyperlink" Target="https://analytics.zhihuiya.com/patent-view/abst?patentId=ac7a6cf9-2d7e-4053-afb5-04d8d6b25dc5" TargetMode="External"/><Relationship Id="rId2476" Type="http://schemas.openxmlformats.org/officeDocument/2006/relationships/hyperlink" Target="https://analytics.zhihuiya.com/patent-view/abst?patentId=21ec3bad-595d-4de4-8b33-9deb79154d1b" TargetMode="External"/><Relationship Id="rId2683" Type="http://schemas.openxmlformats.org/officeDocument/2006/relationships/hyperlink" Target="https://analytics.zhihuiya.com/patent-view/abst?patentId=671d9f1c-0316-4125-ab11-8792a4cafb18" TargetMode="External"/><Relationship Id="rId2890" Type="http://schemas.openxmlformats.org/officeDocument/2006/relationships/hyperlink" Target="https://analytics.zhihuiya.com/patent-view/abst?patentId=42cdcc3a-e31b-445e-9516-a8c548ea41eb" TargetMode="External"/><Relationship Id="rId3527" Type="http://schemas.openxmlformats.org/officeDocument/2006/relationships/hyperlink" Target="https://analytics.zhihuiya.com/patent-view/abst?patentId=98c42c95-6b33-4c34-a2d5-7627e94acbd6" TargetMode="External"/><Relationship Id="rId3734" Type="http://schemas.openxmlformats.org/officeDocument/2006/relationships/hyperlink" Target="https://analytics.zhihuiya.com/patent-view/abst?patentId=32101bcc-f64f-48d6-895a-4cf0e569def8" TargetMode="External"/><Relationship Id="rId3941" Type="http://schemas.openxmlformats.org/officeDocument/2006/relationships/hyperlink" Target="https://analytics.zhihuiya.com/patent-view/abst?patentId=5689578b-64cb-4010-9342-6c043e5b3b5a" TargetMode="External"/><Relationship Id="rId448" Type="http://schemas.openxmlformats.org/officeDocument/2006/relationships/hyperlink" Target="https://analytics.zhihuiya.com/patent-view/abst?patentId=938c5c9d-1d1d-4c64-b617-275e83db7c8e" TargetMode="External"/><Relationship Id="rId655" Type="http://schemas.openxmlformats.org/officeDocument/2006/relationships/hyperlink" Target="https://analytics.zhihuiya.com/patent-view/abst?patentId=6c820a42-e31d-4f80-83a7-abd31cb055b8" TargetMode="External"/><Relationship Id="rId862" Type="http://schemas.openxmlformats.org/officeDocument/2006/relationships/hyperlink" Target="https://analytics.zhihuiya.com/patent-view/abst?patentId=affb92e3-dd43-47a9-b3af-4c8f7b849c7c" TargetMode="External"/><Relationship Id="rId1078" Type="http://schemas.openxmlformats.org/officeDocument/2006/relationships/hyperlink" Target="https://analytics.zhihuiya.com/patent-view/abst?patentId=c473e892-07b4-4dc8-975f-56b46deb7ac5" TargetMode="External"/><Relationship Id="rId1285" Type="http://schemas.openxmlformats.org/officeDocument/2006/relationships/hyperlink" Target="https://analytics.zhihuiya.com/patent-view/abst?patentId=f852caa7-1cb5-43fc-88be-b3339dd2021a" TargetMode="External"/><Relationship Id="rId1492" Type="http://schemas.openxmlformats.org/officeDocument/2006/relationships/hyperlink" Target="https://analytics.zhihuiya.com/patent-view/abst?patentId=918d889b-4725-4764-8e39-8943c0fef8b8" TargetMode="External"/><Relationship Id="rId2129" Type="http://schemas.openxmlformats.org/officeDocument/2006/relationships/hyperlink" Target="https://analytics.zhihuiya.com/patent-view/abst?patentId=5935097c-f0a3-4504-b387-ac8065c652e2" TargetMode="External"/><Relationship Id="rId2336" Type="http://schemas.openxmlformats.org/officeDocument/2006/relationships/hyperlink" Target="https://analytics.zhihuiya.com/patent-view/abst?patentId=d3e4744b-46ec-4d36-a7b5-f59710b5e992" TargetMode="External"/><Relationship Id="rId2543" Type="http://schemas.openxmlformats.org/officeDocument/2006/relationships/hyperlink" Target="https://analytics.zhihuiya.com/patent-view/abst?patentId=634f69c0-ebb1-4fb7-9b1a-caef2018f68a" TargetMode="External"/><Relationship Id="rId2750" Type="http://schemas.openxmlformats.org/officeDocument/2006/relationships/hyperlink" Target="https://analytics.zhihuiya.com/patent-view/abst?patentId=0371ef83-590e-45aa-bcbc-01fb9cb1c4cf" TargetMode="External"/><Relationship Id="rId3801" Type="http://schemas.openxmlformats.org/officeDocument/2006/relationships/hyperlink" Target="https://analytics.zhihuiya.com/patent-view/abst?patentId=fe19f993-2802-455d-ac05-0d6be6530f29" TargetMode="External"/><Relationship Id="rId308" Type="http://schemas.openxmlformats.org/officeDocument/2006/relationships/hyperlink" Target="https://analytics.zhihuiya.com/patent-view/abst?patentId=24e1ecbe-3085-402f-acad-d0f6391d74d4" TargetMode="External"/><Relationship Id="rId515" Type="http://schemas.openxmlformats.org/officeDocument/2006/relationships/hyperlink" Target="https://analytics.zhihuiya.com/patent-view/abst?patentId=8260e7ca-55ea-4ea0-b3e6-dbf0eb5d7d66" TargetMode="External"/><Relationship Id="rId722" Type="http://schemas.openxmlformats.org/officeDocument/2006/relationships/hyperlink" Target="https://analytics.zhihuiya.com/patent-view/abst?patentId=cab59087-b539-4972-b1d2-dd361059e386" TargetMode="External"/><Relationship Id="rId1145" Type="http://schemas.openxmlformats.org/officeDocument/2006/relationships/hyperlink" Target="https://analytics.zhihuiya.com/patent-view/abst?patentId=2681b3c3-2157-437e-b2b5-5fcb4224a119" TargetMode="External"/><Relationship Id="rId1352" Type="http://schemas.openxmlformats.org/officeDocument/2006/relationships/hyperlink" Target="https://analytics.zhihuiya.com/patent-view/abst?patentId=ca0f4089-662e-40c9-a2b0-3db4a73be1a1" TargetMode="External"/><Relationship Id="rId2403" Type="http://schemas.openxmlformats.org/officeDocument/2006/relationships/hyperlink" Target="https://analytics.zhihuiya.com/patent-view/abst?patentId=dccd7089-b5c4-4140-b63b-d8bb4c8bbce2" TargetMode="External"/><Relationship Id="rId1005" Type="http://schemas.openxmlformats.org/officeDocument/2006/relationships/hyperlink" Target="https://analytics.zhihuiya.com/patent-view/abst?patentId=76b4009a-3c8d-43c2-85f7-14f3f19649ff" TargetMode="External"/><Relationship Id="rId1212" Type="http://schemas.openxmlformats.org/officeDocument/2006/relationships/hyperlink" Target="https://analytics.zhihuiya.com/patent-view/abst?patentId=e2f48dfc-f34d-42d9-b421-e1fc411c81f7" TargetMode="External"/><Relationship Id="rId2610" Type="http://schemas.openxmlformats.org/officeDocument/2006/relationships/hyperlink" Target="https://analytics.zhihuiya.com/patent-view/abst?patentId=9276790d-8200-4046-8405-27d5b55b1e87" TargetMode="External"/><Relationship Id="rId4368" Type="http://schemas.openxmlformats.org/officeDocument/2006/relationships/hyperlink" Target="https://analytics.zhihuiya.com/patent-view/abst?patentId=2248c10f-3319-4327-8e3d-58c83b42b00d" TargetMode="External"/><Relationship Id="rId3177" Type="http://schemas.openxmlformats.org/officeDocument/2006/relationships/hyperlink" Target="https://analytics.zhihuiya.com/patent-view/abst?patentId=a63e0f5f-9c55-40e2-8db9-e787c5b99076" TargetMode="External"/><Relationship Id="rId4228" Type="http://schemas.openxmlformats.org/officeDocument/2006/relationships/hyperlink" Target="https://analytics.zhihuiya.com/patent-view/abst?patentId=b5a5db67-cf1a-4a30-ad21-a968e08c0859" TargetMode="External"/><Relationship Id="rId3037" Type="http://schemas.openxmlformats.org/officeDocument/2006/relationships/hyperlink" Target="https://analytics.zhihuiya.com/patent-view/abst?patentId=4d0516d8-c01e-4939-be08-243813aa7cbb" TargetMode="External"/><Relationship Id="rId3384" Type="http://schemas.openxmlformats.org/officeDocument/2006/relationships/hyperlink" Target="https://analytics.zhihuiya.com/patent-view/abst?patentId=af97ac1d-30f9-41c3-ba99-900c8db7c2de" TargetMode="External"/><Relationship Id="rId3591" Type="http://schemas.openxmlformats.org/officeDocument/2006/relationships/hyperlink" Target="https://analytics.zhihuiya.com/patent-view/abst?patentId=b53107cf-313d-449b-8913-583702a7717f" TargetMode="External"/><Relationship Id="rId4435" Type="http://schemas.openxmlformats.org/officeDocument/2006/relationships/hyperlink" Target="https://analytics.zhihuiya.com/patent-view/abst?patentId=75ad310b-04bb-45a3-b924-ce3e0838f82b" TargetMode="External"/><Relationship Id="rId2193" Type="http://schemas.openxmlformats.org/officeDocument/2006/relationships/hyperlink" Target="https://analytics.zhihuiya.com/patent-view/abst?patentId=a3e46235-4ad0-49ea-8a68-bcf933b15562" TargetMode="External"/><Relationship Id="rId3244" Type="http://schemas.openxmlformats.org/officeDocument/2006/relationships/hyperlink" Target="https://analytics.zhihuiya.com/patent-view/abst?patentId=99271cbc-1c6f-4e09-b15f-f66df49e87e3" TargetMode="External"/><Relationship Id="rId3451" Type="http://schemas.openxmlformats.org/officeDocument/2006/relationships/hyperlink" Target="https://analytics.zhihuiya.com/patent-view/abst?patentId=69389724-b25d-4682-9412-f23224f45444" TargetMode="External"/><Relationship Id="rId165" Type="http://schemas.openxmlformats.org/officeDocument/2006/relationships/hyperlink" Target="https://analytics.zhihuiya.com/patent-view/abst?patentId=df0b23ef-7de5-4633-b6ed-9ce7f54c6f4d" TargetMode="External"/><Relationship Id="rId372" Type="http://schemas.openxmlformats.org/officeDocument/2006/relationships/hyperlink" Target="https://analytics.zhihuiya.com/patent-view/abst?patentId=a1361e02-a7da-4caf-a780-b3416b8aa118" TargetMode="External"/><Relationship Id="rId2053" Type="http://schemas.openxmlformats.org/officeDocument/2006/relationships/hyperlink" Target="https://analytics.zhihuiya.com/patent-view/abst?patentId=106034eb-0af7-4a6f-9f00-5c4aa8904064" TargetMode="External"/><Relationship Id="rId2260" Type="http://schemas.openxmlformats.org/officeDocument/2006/relationships/hyperlink" Target="https://analytics.zhihuiya.com/patent-view/abst?patentId=3650f9c3-231e-46c8-b651-78879cc849f0" TargetMode="External"/><Relationship Id="rId3104" Type="http://schemas.openxmlformats.org/officeDocument/2006/relationships/hyperlink" Target="https://analytics.zhihuiya.com/patent-view/abst?patentId=5a33ddae-8a97-46b7-af6b-0a6d4d2c9516" TargetMode="External"/><Relationship Id="rId3311" Type="http://schemas.openxmlformats.org/officeDocument/2006/relationships/hyperlink" Target="https://analytics.zhihuiya.com/patent-view/abst?patentId=36cfd980-8bfb-4067-a73a-2ef342b8af22" TargetMode="External"/><Relationship Id="rId232" Type="http://schemas.openxmlformats.org/officeDocument/2006/relationships/hyperlink" Target="https://analytics.zhihuiya.com/patent-view/abst?patentId=24d92aa0-ec65-48fb-9b44-474eb2e895b5" TargetMode="External"/><Relationship Id="rId2120" Type="http://schemas.openxmlformats.org/officeDocument/2006/relationships/hyperlink" Target="https://analytics.zhihuiya.com/patent-view/abst?patentId=a17ea9f9-3bce-4adf-9135-de9be389eef1" TargetMode="External"/><Relationship Id="rId1679" Type="http://schemas.openxmlformats.org/officeDocument/2006/relationships/hyperlink" Target="https://analytics.zhihuiya.com/patent-view/abst?patentId=ef5fde05-73b4-49e8-9ef9-b1ac5b81bbf0" TargetMode="External"/><Relationship Id="rId4085" Type="http://schemas.openxmlformats.org/officeDocument/2006/relationships/hyperlink" Target="https://analytics.zhihuiya.com/patent-view/abst?patentId=6d2f825a-9504-4bf7-8a73-19af6afd8bc2" TargetMode="External"/><Relationship Id="rId4292" Type="http://schemas.openxmlformats.org/officeDocument/2006/relationships/hyperlink" Target="https://analytics.zhihuiya.com/patent-view/abst?patentId=bbe90069-2ce6-4fc6-b3a2-7835a16ddba9" TargetMode="External"/><Relationship Id="rId1886" Type="http://schemas.openxmlformats.org/officeDocument/2006/relationships/hyperlink" Target="https://analytics.zhihuiya.com/patent-view/abst?patentId=9769e83e-8627-448e-a7a9-0e10f261bc99" TargetMode="External"/><Relationship Id="rId2937" Type="http://schemas.openxmlformats.org/officeDocument/2006/relationships/hyperlink" Target="https://analytics.zhihuiya.com/patent-view/abst?patentId=917b4cc2-9d1c-4322-8f80-137f9b5e2ee0" TargetMode="External"/><Relationship Id="rId4152" Type="http://schemas.openxmlformats.org/officeDocument/2006/relationships/hyperlink" Target="https://analytics.zhihuiya.com/patent-view/abst?patentId=1cc15d78-0d0c-40f2-b63c-cad81ad45902" TargetMode="External"/><Relationship Id="rId909" Type="http://schemas.openxmlformats.org/officeDocument/2006/relationships/hyperlink" Target="https://analytics.zhihuiya.com/patent-view/abst?patentId=948cbce0-7a4b-4d9c-9b6c-7943dccfaca9" TargetMode="External"/><Relationship Id="rId1539" Type="http://schemas.openxmlformats.org/officeDocument/2006/relationships/hyperlink" Target="https://analytics.zhihuiya.com/patent-view/abst?patentId=0410af7c-2ed1-41ed-b194-6465e0a95263" TargetMode="External"/><Relationship Id="rId1746" Type="http://schemas.openxmlformats.org/officeDocument/2006/relationships/hyperlink" Target="https://analytics.zhihuiya.com/patent-view/abst?patentId=88272327-c09f-43dc-9cdb-4cec0d03c4ec" TargetMode="External"/><Relationship Id="rId1953" Type="http://schemas.openxmlformats.org/officeDocument/2006/relationships/hyperlink" Target="https://analytics.zhihuiya.com/patent-view/abst?patentId=ce029f8b-7529-4a2a-bd47-613dbd093ccd" TargetMode="External"/><Relationship Id="rId38" Type="http://schemas.openxmlformats.org/officeDocument/2006/relationships/hyperlink" Target="https://analytics.zhihuiya.com/patent-view/abst?patentId=014b7349-4bf5-49da-b16c-34ceaceff91f" TargetMode="External"/><Relationship Id="rId1606" Type="http://schemas.openxmlformats.org/officeDocument/2006/relationships/hyperlink" Target="https://analytics.zhihuiya.com/patent-view/abst?patentId=74d626c6-223d-48af-908d-0f58b22e87c7" TargetMode="External"/><Relationship Id="rId1813" Type="http://schemas.openxmlformats.org/officeDocument/2006/relationships/hyperlink" Target="https://analytics.zhihuiya.com/patent-view/abst?patentId=0dae04f7-7175-4336-afe8-b310b968da4f" TargetMode="External"/><Relationship Id="rId4012" Type="http://schemas.openxmlformats.org/officeDocument/2006/relationships/hyperlink" Target="https://analytics.zhihuiya.com/patent-view/abst?patentId=ce4f1507-a50c-467f-8564-a0b82cf9e5ab" TargetMode="External"/><Relationship Id="rId3778" Type="http://schemas.openxmlformats.org/officeDocument/2006/relationships/hyperlink" Target="https://analytics.zhihuiya.com/patent-view/abst?patentId=9a3f92eb-8a92-4baf-890b-8535c7305400" TargetMode="External"/><Relationship Id="rId3985" Type="http://schemas.openxmlformats.org/officeDocument/2006/relationships/hyperlink" Target="https://analytics.zhihuiya.com/patent-view/abst?patentId=34ad0c08-6134-4f00-a53a-bb30ce39b449" TargetMode="External"/><Relationship Id="rId699" Type="http://schemas.openxmlformats.org/officeDocument/2006/relationships/hyperlink" Target="https://analytics.zhihuiya.com/patent-view/abst?patentId=07293081-e3e7-4e2f-8ce4-9a9f47e42943" TargetMode="External"/><Relationship Id="rId2587" Type="http://schemas.openxmlformats.org/officeDocument/2006/relationships/hyperlink" Target="https://analytics.zhihuiya.com/patent-view/abst?patentId=dc910e7b-ecad-4637-9411-b2f18e21351b" TargetMode="External"/><Relationship Id="rId2794" Type="http://schemas.openxmlformats.org/officeDocument/2006/relationships/hyperlink" Target="https://analytics.zhihuiya.com/patent-view/abst?patentId=c5159e2e-38d3-40a4-9db6-13dd2c4f4213" TargetMode="External"/><Relationship Id="rId3638" Type="http://schemas.openxmlformats.org/officeDocument/2006/relationships/hyperlink" Target="https://analytics.zhihuiya.com/patent-view/abst?patentId=168fb762-c3fa-4dde-92f2-8aaa0ba57dae" TargetMode="External"/><Relationship Id="rId3845" Type="http://schemas.openxmlformats.org/officeDocument/2006/relationships/hyperlink" Target="https://analytics.zhihuiya.com/patent-view/abst?patentId=ed386b45-9f30-4dfe-a976-47fbffe5ba4c" TargetMode="External"/><Relationship Id="rId559" Type="http://schemas.openxmlformats.org/officeDocument/2006/relationships/hyperlink" Target="https://analytics.zhihuiya.com/patent-view/abst?patentId=ab175f3c-887d-40ca-933d-928225e7eab2" TargetMode="External"/><Relationship Id="rId766" Type="http://schemas.openxmlformats.org/officeDocument/2006/relationships/hyperlink" Target="https://analytics.zhihuiya.com/patent-view/abst?patentId=17271525-c6b5-4dad-98b7-9b3fbbe4abb1" TargetMode="External"/><Relationship Id="rId1189" Type="http://schemas.openxmlformats.org/officeDocument/2006/relationships/hyperlink" Target="https://analytics.zhihuiya.com/patent-view/abst?patentId=80f0b45d-96b9-4747-ad18-522743588d5c" TargetMode="External"/><Relationship Id="rId1396" Type="http://schemas.openxmlformats.org/officeDocument/2006/relationships/hyperlink" Target="https://analytics.zhihuiya.com/patent-view/abst?patentId=b26a26a7-b636-4fb2-a7fb-d64c67d1a126" TargetMode="External"/><Relationship Id="rId2447" Type="http://schemas.openxmlformats.org/officeDocument/2006/relationships/hyperlink" Target="https://analytics.zhihuiya.com/patent-view/abst?patentId=5db22ae0-77c4-4631-a9bb-49d1e2eed276" TargetMode="External"/><Relationship Id="rId419" Type="http://schemas.openxmlformats.org/officeDocument/2006/relationships/hyperlink" Target="https://analytics.zhihuiya.com/patent-view/abst?patentId=6519dc4a-d742-43b4-af4c-b40025fd7e26" TargetMode="External"/><Relationship Id="rId626" Type="http://schemas.openxmlformats.org/officeDocument/2006/relationships/hyperlink" Target="https://analytics.zhihuiya.com/patent-view/abst?patentId=098b1fb1-31ef-4c82-b9a6-0b93012476a8" TargetMode="External"/><Relationship Id="rId973" Type="http://schemas.openxmlformats.org/officeDocument/2006/relationships/hyperlink" Target="https://analytics.zhihuiya.com/patent-view/abst?patentId=7e8f9152-7d00-478d-8f50-2c5fb82cbdc6" TargetMode="External"/><Relationship Id="rId1049" Type="http://schemas.openxmlformats.org/officeDocument/2006/relationships/hyperlink" Target="https://analytics.zhihuiya.com/patent-view/abst?patentId=59ffd7ec-bc60-4387-b07f-8b6b6ef06ffe" TargetMode="External"/><Relationship Id="rId1256" Type="http://schemas.openxmlformats.org/officeDocument/2006/relationships/hyperlink" Target="https://analytics.zhihuiya.com/patent-view/abst?patentId=bf586339-ff19-4794-8172-2420ad52f554" TargetMode="External"/><Relationship Id="rId2307" Type="http://schemas.openxmlformats.org/officeDocument/2006/relationships/hyperlink" Target="https://analytics.zhihuiya.com/patent-view/abst?patentId=29add964-929b-4cec-92e4-66f5edcfc39f" TargetMode="External"/><Relationship Id="rId2654" Type="http://schemas.openxmlformats.org/officeDocument/2006/relationships/hyperlink" Target="https://analytics.zhihuiya.com/patent-view/abst?patentId=42d183b8-0099-4a61-a85f-983335974e28" TargetMode="External"/><Relationship Id="rId2861" Type="http://schemas.openxmlformats.org/officeDocument/2006/relationships/hyperlink" Target="https://analytics.zhihuiya.com/patent-view/abst?patentId=870fcaf0-b389-419b-948f-fe2b2b60bdd5" TargetMode="External"/><Relationship Id="rId3705" Type="http://schemas.openxmlformats.org/officeDocument/2006/relationships/hyperlink" Target="https://analytics.zhihuiya.com/patent-view/abst?patentId=71362bf1-3ec3-49dd-8f59-a3959f6e0e82" TargetMode="External"/><Relationship Id="rId3912" Type="http://schemas.openxmlformats.org/officeDocument/2006/relationships/hyperlink" Target="https://analytics.zhihuiya.com/patent-view/abst?patentId=746984b0-a6a7-4160-b556-dc62e61c948d" TargetMode="External"/><Relationship Id="rId833" Type="http://schemas.openxmlformats.org/officeDocument/2006/relationships/hyperlink" Target="https://analytics.zhihuiya.com/patent-view/abst?patentId=afb7edd6-3a8b-400e-b1d3-05065e89b0ee" TargetMode="External"/><Relationship Id="rId1116" Type="http://schemas.openxmlformats.org/officeDocument/2006/relationships/hyperlink" Target="https://analytics.zhihuiya.com/patent-view/abst?patentId=10f98f9b-a9e8-4fdc-8d44-a43d61b2c940" TargetMode="External"/><Relationship Id="rId1463" Type="http://schemas.openxmlformats.org/officeDocument/2006/relationships/hyperlink" Target="https://analytics.zhihuiya.com/patent-view/abst?patentId=dd05f6c1-76e2-4070-bb8e-2b6f33b69f56" TargetMode="External"/><Relationship Id="rId1670" Type="http://schemas.openxmlformats.org/officeDocument/2006/relationships/hyperlink" Target="https://analytics.zhihuiya.com/patent-view/abst?patentId=5a6c3be5-133d-4d6e-9814-64d9e4bb0ab6" TargetMode="External"/><Relationship Id="rId2514" Type="http://schemas.openxmlformats.org/officeDocument/2006/relationships/hyperlink" Target="https://analytics.zhihuiya.com/patent-view/abst?patentId=6c6d1041-045f-4f17-8fc1-d32456310295" TargetMode="External"/><Relationship Id="rId2721" Type="http://schemas.openxmlformats.org/officeDocument/2006/relationships/hyperlink" Target="https://analytics.zhihuiya.com/patent-view/abst?patentId=7d51d018-82f7-4121-ac47-36516e3ce2c8" TargetMode="External"/><Relationship Id="rId900" Type="http://schemas.openxmlformats.org/officeDocument/2006/relationships/hyperlink" Target="https://analytics.zhihuiya.com/patent-view/abst?patentId=574a1cda-cb11-403c-8843-7ded839681bf" TargetMode="External"/><Relationship Id="rId1323" Type="http://schemas.openxmlformats.org/officeDocument/2006/relationships/hyperlink" Target="https://analytics.zhihuiya.com/patent-view/abst?patentId=ad377641-3355-444c-9870-d83d2c1e4de4" TargetMode="External"/><Relationship Id="rId1530" Type="http://schemas.openxmlformats.org/officeDocument/2006/relationships/hyperlink" Target="https://analytics.zhihuiya.com/patent-view/abst?patentId=c6fa01d1-a15e-438f-b106-15d4cc0cba0b" TargetMode="External"/><Relationship Id="rId3288" Type="http://schemas.openxmlformats.org/officeDocument/2006/relationships/hyperlink" Target="https://analytics.zhihuiya.com/patent-view/abst?patentId=c7b49352-8d17-4477-875a-05916a2a1f15" TargetMode="External"/><Relationship Id="rId3495" Type="http://schemas.openxmlformats.org/officeDocument/2006/relationships/hyperlink" Target="https://analytics.zhihuiya.com/patent-view/abst?patentId=9e98bda2-558d-4dbe-900f-e3bceb722a44" TargetMode="External"/><Relationship Id="rId4339" Type="http://schemas.openxmlformats.org/officeDocument/2006/relationships/hyperlink" Target="https://analytics.zhihuiya.com/patent-view/abst?patentId=39cab8f1-4af6-4679-bdfc-55c150dbf6c9" TargetMode="External"/><Relationship Id="rId2097" Type="http://schemas.openxmlformats.org/officeDocument/2006/relationships/hyperlink" Target="https://analytics.zhihuiya.com/patent-view/abst?patentId=39f4c115-2a9a-48b8-899c-7dc506cb75ca" TargetMode="External"/><Relationship Id="rId3148" Type="http://schemas.openxmlformats.org/officeDocument/2006/relationships/hyperlink" Target="https://analytics.zhihuiya.com/patent-view/abst?patentId=9f5ed33a-266d-46ca-b73b-664e1dc6ac3d" TargetMode="External"/><Relationship Id="rId3355" Type="http://schemas.openxmlformats.org/officeDocument/2006/relationships/hyperlink" Target="https://analytics.zhihuiya.com/patent-view/abst?patentId=214db3ef-6b65-4d74-af1f-35a91b50b74b" TargetMode="External"/><Relationship Id="rId3562" Type="http://schemas.openxmlformats.org/officeDocument/2006/relationships/hyperlink" Target="https://analytics.zhihuiya.com/patent-view/abst?patentId=63fccc94-d682-4cd4-af56-f21a19337676" TargetMode="External"/><Relationship Id="rId4406" Type="http://schemas.openxmlformats.org/officeDocument/2006/relationships/hyperlink" Target="https://analytics.zhihuiya.com/patent-view/abst?patentId=a256406d-b1d7-4bef-b368-b3c67a996199" TargetMode="External"/><Relationship Id="rId276" Type="http://schemas.openxmlformats.org/officeDocument/2006/relationships/hyperlink" Target="https://analytics.zhihuiya.com/patent-view/abst?patentId=68719915-37fa-497b-a2ec-91c4cd9aabb2" TargetMode="External"/><Relationship Id="rId483" Type="http://schemas.openxmlformats.org/officeDocument/2006/relationships/hyperlink" Target="https://analytics.zhihuiya.com/patent-view/abst?patentId=41ef5999-7bdc-48d1-9913-5500cd42d30a" TargetMode="External"/><Relationship Id="rId690" Type="http://schemas.openxmlformats.org/officeDocument/2006/relationships/hyperlink" Target="https://analytics.zhihuiya.com/patent-view/abst?patentId=11bd4d73-af64-46c9-85fe-8544ae24b62f" TargetMode="External"/><Relationship Id="rId2164" Type="http://schemas.openxmlformats.org/officeDocument/2006/relationships/hyperlink" Target="https://analytics.zhihuiya.com/patent-view/abst?patentId=c8c61a12-06e7-43f6-b9b6-1f6db652e72a" TargetMode="External"/><Relationship Id="rId2371" Type="http://schemas.openxmlformats.org/officeDocument/2006/relationships/hyperlink" Target="https://analytics.zhihuiya.com/patent-view/abst?patentId=a4f11ab2-8434-4d1a-b7e2-98038e5b7a27" TargetMode="External"/><Relationship Id="rId3008" Type="http://schemas.openxmlformats.org/officeDocument/2006/relationships/hyperlink" Target="https://analytics.zhihuiya.com/patent-view/abst?patentId=dc57af59-3235-4687-92f7-cdd891c074e1" TargetMode="External"/><Relationship Id="rId3215" Type="http://schemas.openxmlformats.org/officeDocument/2006/relationships/hyperlink" Target="https://analytics.zhihuiya.com/patent-view/abst?patentId=a608ffcc-3172-41d7-9dce-a458bab410e0" TargetMode="External"/><Relationship Id="rId3422" Type="http://schemas.openxmlformats.org/officeDocument/2006/relationships/hyperlink" Target="https://analytics.zhihuiya.com/patent-view/abst?patentId=69ca31fd-2d2c-48f4-a197-0b5d0cfdcae1" TargetMode="External"/><Relationship Id="rId136" Type="http://schemas.openxmlformats.org/officeDocument/2006/relationships/hyperlink" Target="https://analytics.zhihuiya.com/patent-view/abst?patentId=a7c64cbb-ba08-4c6e-ab27-91440f444758" TargetMode="External"/><Relationship Id="rId343" Type="http://schemas.openxmlformats.org/officeDocument/2006/relationships/hyperlink" Target="https://analytics.zhihuiya.com/patent-view/abst?patentId=8baa8d14-da58-481d-a84d-7a5ab626eeaf" TargetMode="External"/><Relationship Id="rId550" Type="http://schemas.openxmlformats.org/officeDocument/2006/relationships/hyperlink" Target="https://analytics.zhihuiya.com/patent-view/abst?patentId=a8d54aa1-dd68-42f7-8429-80c74d191b58" TargetMode="External"/><Relationship Id="rId1180" Type="http://schemas.openxmlformats.org/officeDocument/2006/relationships/hyperlink" Target="https://analytics.zhihuiya.com/patent-view/abst?patentId=4bc3c2ec-076d-4aea-99da-19203c6c71e7" TargetMode="External"/><Relationship Id="rId2024" Type="http://schemas.openxmlformats.org/officeDocument/2006/relationships/hyperlink" Target="https://analytics.zhihuiya.com/patent-view/abst?patentId=fb250ea0-4215-43dd-aceb-d3d4cfbbf248" TargetMode="External"/><Relationship Id="rId2231" Type="http://schemas.openxmlformats.org/officeDocument/2006/relationships/hyperlink" Target="https://analytics.zhihuiya.com/patent-view/abst?patentId=6c6826cd-dda7-4905-84c4-c99ea2466127" TargetMode="External"/><Relationship Id="rId203" Type="http://schemas.openxmlformats.org/officeDocument/2006/relationships/hyperlink" Target="https://analytics.zhihuiya.com/patent-view/abst?patentId=f92a1428-01f1-4f30-9a7d-7cb966fe64ab" TargetMode="External"/><Relationship Id="rId1040" Type="http://schemas.openxmlformats.org/officeDocument/2006/relationships/hyperlink" Target="https://analytics.zhihuiya.com/patent-view/abst?patentId=77ea19eb-9caf-4dfe-9785-8d63bcc4defa" TargetMode="External"/><Relationship Id="rId4196" Type="http://schemas.openxmlformats.org/officeDocument/2006/relationships/hyperlink" Target="https://analytics.zhihuiya.com/patent-view/abst?patentId=c1a2c972-4af5-459c-8270-67a4fb19439b" TargetMode="External"/><Relationship Id="rId410" Type="http://schemas.openxmlformats.org/officeDocument/2006/relationships/hyperlink" Target="https://analytics.zhihuiya.com/patent-view/abst?patentId=ea4fa290-f0f0-487f-9d63-e0db2a03199a" TargetMode="External"/><Relationship Id="rId1997" Type="http://schemas.openxmlformats.org/officeDocument/2006/relationships/hyperlink" Target="https://analytics.zhihuiya.com/patent-view/abst?patentId=0c34d2c0-aa3c-40b1-9f01-c9180d6937ed" TargetMode="External"/><Relationship Id="rId4056" Type="http://schemas.openxmlformats.org/officeDocument/2006/relationships/hyperlink" Target="https://analytics.zhihuiya.com/patent-view/abst?patentId=28cb19b3-27e1-400d-977a-3997a0147b62" TargetMode="External"/><Relationship Id="rId1857" Type="http://schemas.openxmlformats.org/officeDocument/2006/relationships/hyperlink" Target="https://analytics.zhihuiya.com/patent-view/abst?patentId=fd1ce1c3-f157-4aa2-b10a-e12b7b56745f" TargetMode="External"/><Relationship Id="rId2908" Type="http://schemas.openxmlformats.org/officeDocument/2006/relationships/hyperlink" Target="https://analytics.zhihuiya.com/patent-view/abst?patentId=e7fb9843-cf30-4a7e-bf94-9eff4b72b238" TargetMode="External"/><Relationship Id="rId4263" Type="http://schemas.openxmlformats.org/officeDocument/2006/relationships/hyperlink" Target="https://analytics.zhihuiya.com/patent-view/abst?patentId=9bcc2b22-6086-4a1b-bea8-69886aac629f" TargetMode="External"/><Relationship Id="rId1717" Type="http://schemas.openxmlformats.org/officeDocument/2006/relationships/hyperlink" Target="https://analytics.zhihuiya.com/patent-view/abst?patentId=380d9697-fdf7-41f3-8b80-1e6e37692bf4" TargetMode="External"/><Relationship Id="rId1924" Type="http://schemas.openxmlformats.org/officeDocument/2006/relationships/hyperlink" Target="https://analytics.zhihuiya.com/patent-view/abst?patentId=8df513a0-0d83-43e9-85f8-e19e655baf18" TargetMode="External"/><Relationship Id="rId3072" Type="http://schemas.openxmlformats.org/officeDocument/2006/relationships/hyperlink" Target="https://analytics.zhihuiya.com/patent-view/abst?patentId=16333f10-69a4-4bd7-a99f-a28ec21e0d57" TargetMode="External"/><Relationship Id="rId4123" Type="http://schemas.openxmlformats.org/officeDocument/2006/relationships/hyperlink" Target="https://analytics.zhihuiya.com/patent-view/abst?patentId=67229e4c-6b85-41c1-92c1-72b8c019e1a5" TargetMode="External"/><Relationship Id="rId4330" Type="http://schemas.openxmlformats.org/officeDocument/2006/relationships/hyperlink" Target="https://analytics.zhihuiya.com/patent-view/abst?patentId=0a6f7da8-f4f1-45d7-8fd5-82dc9c9d64ca" TargetMode="External"/><Relationship Id="rId3889" Type="http://schemas.openxmlformats.org/officeDocument/2006/relationships/hyperlink" Target="https://analytics.zhihuiya.com/patent-view/abst?patentId=6d22ce87-0a8c-4888-a7fb-37e29ca97de2" TargetMode="External"/><Relationship Id="rId2698" Type="http://schemas.openxmlformats.org/officeDocument/2006/relationships/hyperlink" Target="https://analytics.zhihuiya.com/patent-view/abst?patentId=b2f1c1c0-f4f0-451a-8d65-81468baba49d" TargetMode="External"/><Relationship Id="rId3749" Type="http://schemas.openxmlformats.org/officeDocument/2006/relationships/hyperlink" Target="https://analytics.zhihuiya.com/patent-view/abst?patentId=e9b8f36f-7388-4b4c-8773-58ce4b371f48" TargetMode="External"/><Relationship Id="rId3956" Type="http://schemas.openxmlformats.org/officeDocument/2006/relationships/hyperlink" Target="https://analytics.zhihuiya.com/patent-view/abst?patentId=58ac1ef4-cc30-442f-a5db-67126195feb3" TargetMode="External"/><Relationship Id="rId877" Type="http://schemas.openxmlformats.org/officeDocument/2006/relationships/hyperlink" Target="https://analytics.zhihuiya.com/patent-view/abst?patentId=d0657099-8e7a-4044-b0ee-ce91d4e69853" TargetMode="External"/><Relationship Id="rId2558" Type="http://schemas.openxmlformats.org/officeDocument/2006/relationships/hyperlink" Target="https://analytics.zhihuiya.com/patent-view/abst?patentId=d8528010-8c82-4c72-81ed-e248313fddb9" TargetMode="External"/><Relationship Id="rId2765" Type="http://schemas.openxmlformats.org/officeDocument/2006/relationships/hyperlink" Target="https://analytics.zhihuiya.com/patent-view/abst?patentId=63745017-31e1-4d00-a614-60c0b5f993b3" TargetMode="External"/><Relationship Id="rId2972" Type="http://schemas.openxmlformats.org/officeDocument/2006/relationships/hyperlink" Target="https://analytics.zhihuiya.com/patent-view/abst?patentId=7927af49-479f-4477-acbe-87f6fd40cd70" TargetMode="External"/><Relationship Id="rId3609" Type="http://schemas.openxmlformats.org/officeDocument/2006/relationships/hyperlink" Target="https://analytics.zhihuiya.com/patent-view/abst?patentId=6f95f1d9-e938-4825-98a0-a5825c96ff4b" TargetMode="External"/><Relationship Id="rId3816" Type="http://schemas.openxmlformats.org/officeDocument/2006/relationships/hyperlink" Target="https://analytics.zhihuiya.com/patent-view/abst?patentId=46a32cf9-2068-485f-a6d3-e52be6a56e6c" TargetMode="External"/><Relationship Id="rId737" Type="http://schemas.openxmlformats.org/officeDocument/2006/relationships/hyperlink" Target="https://analytics.zhihuiya.com/patent-view/abst?patentId=069f9dd8-d423-4708-aacd-c06ee8560149" TargetMode="External"/><Relationship Id="rId944" Type="http://schemas.openxmlformats.org/officeDocument/2006/relationships/hyperlink" Target="https://analytics.zhihuiya.com/patent-view/abst?patentId=54178273-e1d8-4c42-b59a-6cfbe9ffe390" TargetMode="External"/><Relationship Id="rId1367" Type="http://schemas.openxmlformats.org/officeDocument/2006/relationships/hyperlink" Target="https://analytics.zhihuiya.com/patent-view/abst?patentId=89ff7faa-815d-47c8-bdcb-55918e23cb1c" TargetMode="External"/><Relationship Id="rId1574" Type="http://schemas.openxmlformats.org/officeDocument/2006/relationships/hyperlink" Target="https://analytics.zhihuiya.com/patent-view/abst?patentId=052e7a59-e912-44db-a8c0-0df634ab28e0" TargetMode="External"/><Relationship Id="rId1781" Type="http://schemas.openxmlformats.org/officeDocument/2006/relationships/hyperlink" Target="https://analytics.zhihuiya.com/patent-view/abst?patentId=52008ac5-7ebb-4bf5-a0f8-3e8b0dd02502" TargetMode="External"/><Relationship Id="rId2418" Type="http://schemas.openxmlformats.org/officeDocument/2006/relationships/hyperlink" Target="https://analytics.zhihuiya.com/patent-view/abst?patentId=0304588e-035c-494d-9aa0-3b3199120c30" TargetMode="External"/><Relationship Id="rId2625" Type="http://schemas.openxmlformats.org/officeDocument/2006/relationships/hyperlink" Target="https://analytics.zhihuiya.com/patent-view/abst?patentId=bdb404fa-0fd5-4515-a4fd-b9379c35a7aa" TargetMode="External"/><Relationship Id="rId2832" Type="http://schemas.openxmlformats.org/officeDocument/2006/relationships/hyperlink" Target="https://analytics.zhihuiya.com/patent-view/abst?patentId=5df2b2a2-bce4-48ce-a253-9ada033414e3" TargetMode="External"/><Relationship Id="rId73" Type="http://schemas.openxmlformats.org/officeDocument/2006/relationships/hyperlink" Target="https://analytics.zhihuiya.com/patent-view/abst?patentId=5103a0ed-13d9-407e-93b6-70cddac59b4d" TargetMode="External"/><Relationship Id="rId804" Type="http://schemas.openxmlformats.org/officeDocument/2006/relationships/hyperlink" Target="https://analytics.zhihuiya.com/patent-view/abst?patentId=472ed299-05b5-4a34-877c-1b5637416bc5" TargetMode="External"/><Relationship Id="rId1227" Type="http://schemas.openxmlformats.org/officeDocument/2006/relationships/hyperlink" Target="https://analytics.zhihuiya.com/patent-view/abst?patentId=25f5a5de-f24e-43bc-9a2a-1589526ed84c" TargetMode="External"/><Relationship Id="rId1434" Type="http://schemas.openxmlformats.org/officeDocument/2006/relationships/hyperlink" Target="https://analytics.zhihuiya.com/patent-view/abst?patentId=e6c1415e-9223-4f4a-9ffd-617ff431b673" TargetMode="External"/><Relationship Id="rId1641" Type="http://schemas.openxmlformats.org/officeDocument/2006/relationships/hyperlink" Target="https://analytics.zhihuiya.com/patent-view/abst?patentId=d077481c-5b58-427a-8955-457991a0b832" TargetMode="External"/><Relationship Id="rId1501" Type="http://schemas.openxmlformats.org/officeDocument/2006/relationships/hyperlink" Target="https://analytics.zhihuiya.com/patent-view/abst?patentId=b93e9704-2a97-40e0-875b-ea8a756f7d6d" TargetMode="External"/><Relationship Id="rId3399" Type="http://schemas.openxmlformats.org/officeDocument/2006/relationships/hyperlink" Target="https://analytics.zhihuiya.com/patent-view/abst?patentId=c3e18858-1180-46f9-ab75-e9e7eecf5dc2" TargetMode="External"/><Relationship Id="rId3259" Type="http://schemas.openxmlformats.org/officeDocument/2006/relationships/hyperlink" Target="https://analytics.zhihuiya.com/patent-view/abst?patentId=69477194-7441-4db9-9754-43c5b5cdc3bc" TargetMode="External"/><Relationship Id="rId3466" Type="http://schemas.openxmlformats.org/officeDocument/2006/relationships/hyperlink" Target="https://analytics.zhihuiya.com/patent-view/abst?patentId=7ae3d4c2-c813-4c1d-929a-b109d1972dc0" TargetMode="External"/><Relationship Id="rId387" Type="http://schemas.openxmlformats.org/officeDocument/2006/relationships/hyperlink" Target="https://analytics.zhihuiya.com/patent-view/abst?patentId=c711a80c-ca9a-4279-9a5c-db2760d748f4" TargetMode="External"/><Relationship Id="rId594" Type="http://schemas.openxmlformats.org/officeDocument/2006/relationships/hyperlink" Target="https://analytics.zhihuiya.com/patent-view/abst?patentId=4da0b9d3-4f92-4330-b788-f16db66a4026" TargetMode="External"/><Relationship Id="rId2068" Type="http://schemas.openxmlformats.org/officeDocument/2006/relationships/hyperlink" Target="https://analytics.zhihuiya.com/patent-view/abst?patentId=170618f0-0cb5-4140-bb26-032e80cb29dd" TargetMode="External"/><Relationship Id="rId2275" Type="http://schemas.openxmlformats.org/officeDocument/2006/relationships/hyperlink" Target="https://analytics.zhihuiya.com/patent-view/abst?patentId=54c64830-b4d2-4e62-bad8-96d80558a314" TargetMode="External"/><Relationship Id="rId3119" Type="http://schemas.openxmlformats.org/officeDocument/2006/relationships/hyperlink" Target="https://analytics.zhihuiya.com/patent-view/abst?patentId=a8a6d274-1a81-499b-92b6-a10dc3d2f2cc" TargetMode="External"/><Relationship Id="rId3326" Type="http://schemas.openxmlformats.org/officeDocument/2006/relationships/hyperlink" Target="https://analytics.zhihuiya.com/patent-view/abst?patentId=aa08c8b2-8beb-46ae-853a-66c83d4ea2fc" TargetMode="External"/><Relationship Id="rId3673" Type="http://schemas.openxmlformats.org/officeDocument/2006/relationships/hyperlink" Target="https://analytics.zhihuiya.com/patent-view/abst?patentId=72f1e544-2bd0-40a8-989b-284bbc6a399a" TargetMode="External"/><Relationship Id="rId3880" Type="http://schemas.openxmlformats.org/officeDocument/2006/relationships/hyperlink" Target="https://analytics.zhihuiya.com/patent-view/abst?patentId=b755e800-57d5-45c2-aecc-bc7f371042ab" TargetMode="External"/><Relationship Id="rId247" Type="http://schemas.openxmlformats.org/officeDocument/2006/relationships/hyperlink" Target="https://analytics.zhihuiya.com/patent-view/abst?patentId=67b3c1d9-ead9-47c9-b3e1-cf18010d51a8" TargetMode="External"/><Relationship Id="rId1084" Type="http://schemas.openxmlformats.org/officeDocument/2006/relationships/hyperlink" Target="https://analytics.zhihuiya.com/patent-view/abst?patentId=3957b8ac-edb4-4a70-b804-46c1436dab29" TargetMode="External"/><Relationship Id="rId2482" Type="http://schemas.openxmlformats.org/officeDocument/2006/relationships/hyperlink" Target="https://analytics.zhihuiya.com/patent-view/abst?patentId=999c6147-5aff-4276-ad01-39ff55c06b3f" TargetMode="External"/><Relationship Id="rId3533" Type="http://schemas.openxmlformats.org/officeDocument/2006/relationships/hyperlink" Target="https://analytics.zhihuiya.com/patent-view/abst?patentId=20543c2c-84fd-47cf-a701-15747b26a773" TargetMode="External"/><Relationship Id="rId3740" Type="http://schemas.openxmlformats.org/officeDocument/2006/relationships/hyperlink" Target="https://analytics.zhihuiya.com/patent-view/abst?patentId=29276995-00ef-4320-af1b-1f178bed6460" TargetMode="External"/><Relationship Id="rId107" Type="http://schemas.openxmlformats.org/officeDocument/2006/relationships/hyperlink" Target="https://analytics.zhihuiya.com/patent-view/abst?patentId=71ae1689-b928-467d-86d5-9205ed242819" TargetMode="External"/><Relationship Id="rId454" Type="http://schemas.openxmlformats.org/officeDocument/2006/relationships/hyperlink" Target="https://analytics.zhihuiya.com/patent-view/abst?patentId=eff8385c-2fc1-4f92-ac85-47c8fb5a94bb" TargetMode="External"/><Relationship Id="rId661" Type="http://schemas.openxmlformats.org/officeDocument/2006/relationships/hyperlink" Target="https://analytics.zhihuiya.com/patent-view/abst?patentId=08ccf3b1-1228-47c3-bc5c-a902d6e1ed4b" TargetMode="External"/><Relationship Id="rId1291" Type="http://schemas.openxmlformats.org/officeDocument/2006/relationships/hyperlink" Target="https://analytics.zhihuiya.com/patent-view/abst?patentId=73aeaefa-4831-4af8-a8dc-2b755e8ac5b0" TargetMode="External"/><Relationship Id="rId2135" Type="http://schemas.openxmlformats.org/officeDocument/2006/relationships/hyperlink" Target="https://analytics.zhihuiya.com/patent-view/abst?patentId=4936e6cc-72bc-4c38-82bd-425112573681" TargetMode="External"/><Relationship Id="rId2342" Type="http://schemas.openxmlformats.org/officeDocument/2006/relationships/hyperlink" Target="https://analytics.zhihuiya.com/patent-view/abst?patentId=73744ee9-c261-461f-9a05-ca1e62c377cf" TargetMode="External"/><Relationship Id="rId3600" Type="http://schemas.openxmlformats.org/officeDocument/2006/relationships/hyperlink" Target="https://analytics.zhihuiya.com/patent-view/abst?patentId=1636bec0-67bd-475c-b98e-576c3c144d5d" TargetMode="External"/><Relationship Id="rId314" Type="http://schemas.openxmlformats.org/officeDocument/2006/relationships/hyperlink" Target="https://analytics.zhihuiya.com/patent-view/abst?patentId=0da34ded-6892-4741-bf9f-da5277cf0a08" TargetMode="External"/><Relationship Id="rId521" Type="http://schemas.openxmlformats.org/officeDocument/2006/relationships/hyperlink" Target="https://analytics.zhihuiya.com/patent-view/abst?patentId=ed0c1e76-b5d5-46b3-b857-5920e6e0c10e" TargetMode="External"/><Relationship Id="rId1151" Type="http://schemas.openxmlformats.org/officeDocument/2006/relationships/hyperlink" Target="https://analytics.zhihuiya.com/patent-view/abst?patentId=9058bbff-ceb0-4481-8e23-fc3b9aee5342" TargetMode="External"/><Relationship Id="rId2202" Type="http://schemas.openxmlformats.org/officeDocument/2006/relationships/hyperlink" Target="https://analytics.zhihuiya.com/patent-view/abst?patentId=c071f4d9-53f9-41aa-843a-a04f5eb87ba7" TargetMode="External"/><Relationship Id="rId1011" Type="http://schemas.openxmlformats.org/officeDocument/2006/relationships/hyperlink" Target="https://analytics.zhihuiya.com/patent-view/abst?patentId=ed0301ce-7251-4dad-a958-e9488a4aa8ca" TargetMode="External"/><Relationship Id="rId1968" Type="http://schemas.openxmlformats.org/officeDocument/2006/relationships/hyperlink" Target="https://analytics.zhihuiya.com/patent-view/abst?patentId=d038e97a-d353-400f-bd03-61d884340d8b" TargetMode="External"/><Relationship Id="rId4167" Type="http://schemas.openxmlformats.org/officeDocument/2006/relationships/hyperlink" Target="https://analytics.zhihuiya.com/patent-view/abst?patentId=258b6a93-f176-4df9-91c9-ff0d289be4ff" TargetMode="External"/><Relationship Id="rId4374" Type="http://schemas.openxmlformats.org/officeDocument/2006/relationships/hyperlink" Target="https://analytics.zhihuiya.com/patent-view/abst?patentId=e606b564-95f4-4085-b4ff-d1fee91b794b" TargetMode="External"/><Relationship Id="rId3183" Type="http://schemas.openxmlformats.org/officeDocument/2006/relationships/hyperlink" Target="https://analytics.zhihuiya.com/patent-view/abst?patentId=58796918-1f62-4397-ab29-c17c643f1a0e" TargetMode="External"/><Relationship Id="rId3390" Type="http://schemas.openxmlformats.org/officeDocument/2006/relationships/hyperlink" Target="https://analytics.zhihuiya.com/patent-view/abst?patentId=97e3c985-a9d6-4107-be5d-0eaeb0643792" TargetMode="External"/><Relationship Id="rId4027" Type="http://schemas.openxmlformats.org/officeDocument/2006/relationships/hyperlink" Target="https://analytics.zhihuiya.com/patent-view/abst?patentId=3e4521c3-bd54-4cc8-9729-2ee99d21057c" TargetMode="External"/><Relationship Id="rId4234" Type="http://schemas.openxmlformats.org/officeDocument/2006/relationships/hyperlink" Target="https://analytics.zhihuiya.com/patent-view/abst?patentId=93214b9c-c578-40e9-9921-6601ecdee5dd" TargetMode="External"/><Relationship Id="rId4441" Type="http://schemas.openxmlformats.org/officeDocument/2006/relationships/hyperlink" Target="https://analytics.zhihuiya.com/patent-view/abst?patentId=75b93e00-5d9b-48cb-8ec2-9add1eb28a78" TargetMode="External"/><Relationship Id="rId1828" Type="http://schemas.openxmlformats.org/officeDocument/2006/relationships/hyperlink" Target="https://analytics.zhihuiya.com/patent-view/abst?patentId=7718233f-2c7a-493e-8529-967c3402b7d4" TargetMode="External"/><Relationship Id="rId3043" Type="http://schemas.openxmlformats.org/officeDocument/2006/relationships/hyperlink" Target="https://analytics.zhihuiya.com/patent-view/abst?patentId=29519474-1076-4013-a47e-548acd288707" TargetMode="External"/><Relationship Id="rId3250" Type="http://schemas.openxmlformats.org/officeDocument/2006/relationships/hyperlink" Target="https://analytics.zhihuiya.com/patent-view/abst?patentId=560a1b89-9fb5-4590-a762-0f33de6efc03" TargetMode="External"/><Relationship Id="rId171" Type="http://schemas.openxmlformats.org/officeDocument/2006/relationships/hyperlink" Target="https://analytics.zhihuiya.com/patent-view/abst?patentId=e3c1130e-5a4f-4904-a4c3-f30cb50bb451" TargetMode="External"/><Relationship Id="rId4301" Type="http://schemas.openxmlformats.org/officeDocument/2006/relationships/hyperlink" Target="https://analytics.zhihuiya.com/patent-view/abst?patentId=5155b502-5151-4002-ac2c-331e3cf16443" TargetMode="External"/><Relationship Id="rId3110" Type="http://schemas.openxmlformats.org/officeDocument/2006/relationships/hyperlink" Target="https://analytics.zhihuiya.com/patent-view/abst?patentId=f3c45fb5-a39f-4068-9a5e-30e9d49fe87a" TargetMode="External"/><Relationship Id="rId988" Type="http://schemas.openxmlformats.org/officeDocument/2006/relationships/hyperlink" Target="https://analytics.zhihuiya.com/patent-view/abst?patentId=85b205f3-8d6f-407b-91a3-911995c81dd9" TargetMode="External"/><Relationship Id="rId2669" Type="http://schemas.openxmlformats.org/officeDocument/2006/relationships/hyperlink" Target="https://analytics.zhihuiya.com/patent-view/abst?patentId=f09e30cd-5ab6-4e9b-8909-bf1894576a00" TargetMode="External"/><Relationship Id="rId2876" Type="http://schemas.openxmlformats.org/officeDocument/2006/relationships/hyperlink" Target="https://analytics.zhihuiya.com/patent-view/abst?patentId=842334bd-3c7d-4f97-930e-487ef4db7897" TargetMode="External"/><Relationship Id="rId3927" Type="http://schemas.openxmlformats.org/officeDocument/2006/relationships/hyperlink" Target="https://analytics.zhihuiya.com/patent-view/abst?patentId=64f5647c-6442-4fb8-a808-546a79faff72" TargetMode="External"/><Relationship Id="rId848" Type="http://schemas.openxmlformats.org/officeDocument/2006/relationships/hyperlink" Target="https://analytics.zhihuiya.com/patent-view/abst?patentId=bcfc59cc-db93-472a-8045-1cca4c0c218a" TargetMode="External"/><Relationship Id="rId1478" Type="http://schemas.openxmlformats.org/officeDocument/2006/relationships/hyperlink" Target="https://analytics.zhihuiya.com/patent-view/abst?patentId=8269e5ff-bd2b-4ccf-90f5-e3293e523273" TargetMode="External"/><Relationship Id="rId1685" Type="http://schemas.openxmlformats.org/officeDocument/2006/relationships/hyperlink" Target="https://analytics.zhihuiya.com/patent-view/abst?patentId=35b4511c-8ea1-4fed-ac67-56820a7a8ca2" TargetMode="External"/><Relationship Id="rId1892" Type="http://schemas.openxmlformats.org/officeDocument/2006/relationships/hyperlink" Target="https://analytics.zhihuiya.com/patent-view/abst?patentId=ee6ecb8e-bb7a-408d-9901-e9fd01cd851d" TargetMode="External"/><Relationship Id="rId2529" Type="http://schemas.openxmlformats.org/officeDocument/2006/relationships/hyperlink" Target="https://analytics.zhihuiya.com/patent-view/abst?patentId=babe4aa6-1f43-43d5-805c-9f5b5a0f3be3" TargetMode="External"/><Relationship Id="rId2736" Type="http://schemas.openxmlformats.org/officeDocument/2006/relationships/hyperlink" Target="https://analytics.zhihuiya.com/patent-view/abst?patentId=091c4dac-0ab1-9d38-efa0-8f1b81c0d988" TargetMode="External"/><Relationship Id="rId4091" Type="http://schemas.openxmlformats.org/officeDocument/2006/relationships/hyperlink" Target="https://analytics.zhihuiya.com/patent-view/abst?patentId=488710d8-a9d7-4209-b6eb-049ba5f32be6" TargetMode="External"/><Relationship Id="rId708" Type="http://schemas.openxmlformats.org/officeDocument/2006/relationships/hyperlink" Target="https://analytics.zhihuiya.com/patent-view/abst?patentId=6bc8092a-d7c5-44b6-9c7d-1f07ec25a685" TargetMode="External"/><Relationship Id="rId915" Type="http://schemas.openxmlformats.org/officeDocument/2006/relationships/hyperlink" Target="https://analytics.zhihuiya.com/patent-view/abst?patentId=e788ea6e-6e02-43c7-b2a5-0ddd6ee36033" TargetMode="External"/><Relationship Id="rId1338" Type="http://schemas.openxmlformats.org/officeDocument/2006/relationships/hyperlink" Target="https://analytics.zhihuiya.com/patent-view/abst?patentId=4a391c2c-3b65-4890-80f1-756484b6b112" TargetMode="External"/><Relationship Id="rId1545" Type="http://schemas.openxmlformats.org/officeDocument/2006/relationships/hyperlink" Target="https://analytics.zhihuiya.com/patent-view/abst?patentId=2cc8ceb0-19e0-4810-b9e9-6c86229ac220" TargetMode="External"/><Relationship Id="rId2943" Type="http://schemas.openxmlformats.org/officeDocument/2006/relationships/hyperlink" Target="https://analytics.zhihuiya.com/patent-view/abst?patentId=6c423dc6-4950-4f13-9497-b364af73637a" TargetMode="External"/><Relationship Id="rId1405" Type="http://schemas.openxmlformats.org/officeDocument/2006/relationships/hyperlink" Target="https://analytics.zhihuiya.com/patent-view/abst?patentId=40b946db-9817-4f73-aebb-99e7d8ae97ba" TargetMode="External"/><Relationship Id="rId1752" Type="http://schemas.openxmlformats.org/officeDocument/2006/relationships/hyperlink" Target="https://analytics.zhihuiya.com/patent-view/abst?patentId=d0e38806-854c-430e-a23c-36c7c4e482c5" TargetMode="External"/><Relationship Id="rId2803" Type="http://schemas.openxmlformats.org/officeDocument/2006/relationships/hyperlink" Target="https://analytics.zhihuiya.com/patent-view/abst?patentId=2d7902e5-ed08-4674-a491-9d1fd7dff272" TargetMode="External"/><Relationship Id="rId44" Type="http://schemas.openxmlformats.org/officeDocument/2006/relationships/hyperlink" Target="https://analytics.zhihuiya.com/patent-view/abst?patentId=1638f585-c0e5-40e8-90f2-00d77df520b4" TargetMode="External"/><Relationship Id="rId1612" Type="http://schemas.openxmlformats.org/officeDocument/2006/relationships/hyperlink" Target="https://analytics.zhihuiya.com/patent-view/abst?patentId=a97eddc2-3c06-4ebe-aadd-99755b176359" TargetMode="External"/><Relationship Id="rId498" Type="http://schemas.openxmlformats.org/officeDocument/2006/relationships/hyperlink" Target="https://analytics.zhihuiya.com/patent-view/abst?patentId=cd3eb8cc-2836-4648-8a64-ca087c4b566d" TargetMode="External"/><Relationship Id="rId2179" Type="http://schemas.openxmlformats.org/officeDocument/2006/relationships/hyperlink" Target="https://analytics.zhihuiya.com/patent-view/abst?patentId=de9fd6e2-65d4-47d5-9f5a-4e6038c0bdc5" TargetMode="External"/><Relationship Id="rId3577" Type="http://schemas.openxmlformats.org/officeDocument/2006/relationships/hyperlink" Target="https://analytics.zhihuiya.com/patent-view/abst?patentId=45321fea-5cb2-49f0-b5a7-5bc7b735c776" TargetMode="External"/><Relationship Id="rId3784" Type="http://schemas.openxmlformats.org/officeDocument/2006/relationships/hyperlink" Target="https://analytics.zhihuiya.com/patent-view/abst?patentId=da03d00b-d26a-4eee-8a6e-0ed2430734d4" TargetMode="External"/><Relationship Id="rId3991" Type="http://schemas.openxmlformats.org/officeDocument/2006/relationships/hyperlink" Target="https://analytics.zhihuiya.com/patent-view/abst?patentId=cc4cec96-2673-4386-8ff5-473596911fed" TargetMode="External"/><Relationship Id="rId2386" Type="http://schemas.openxmlformats.org/officeDocument/2006/relationships/hyperlink" Target="https://analytics.zhihuiya.com/patent-view/abst?patentId=229e074f-bdb8-430d-a35a-ce95017ccb38" TargetMode="External"/><Relationship Id="rId2593" Type="http://schemas.openxmlformats.org/officeDocument/2006/relationships/hyperlink" Target="https://analytics.zhihuiya.com/patent-view/abst?patentId=e8d12cc8-ad9f-4daa-9a65-9c7ae53382be" TargetMode="External"/><Relationship Id="rId3437" Type="http://schemas.openxmlformats.org/officeDocument/2006/relationships/hyperlink" Target="https://analytics.zhihuiya.com/patent-view/abst?patentId=8078fda7-0c62-4852-bab1-0375a87ce9ab" TargetMode="External"/><Relationship Id="rId3644" Type="http://schemas.openxmlformats.org/officeDocument/2006/relationships/hyperlink" Target="https://analytics.zhihuiya.com/patent-view/abst?patentId=1519caa7-5b62-468c-a033-fdf86b928a9b" TargetMode="External"/><Relationship Id="rId3851" Type="http://schemas.openxmlformats.org/officeDocument/2006/relationships/hyperlink" Target="https://analytics.zhihuiya.com/patent-view/abst?patentId=ef3d9c34-29ff-4131-8477-fb90a6cf38a8" TargetMode="External"/><Relationship Id="rId358" Type="http://schemas.openxmlformats.org/officeDocument/2006/relationships/hyperlink" Target="https://analytics.zhihuiya.com/patent-view/abst?patentId=ec4a297e-247f-4862-b89e-8ea9c8567ed9" TargetMode="External"/><Relationship Id="rId565" Type="http://schemas.openxmlformats.org/officeDocument/2006/relationships/hyperlink" Target="https://analytics.zhihuiya.com/patent-view/abst?patentId=9379e4b6-fe63-4234-996a-f084b30d0a32" TargetMode="External"/><Relationship Id="rId772" Type="http://schemas.openxmlformats.org/officeDocument/2006/relationships/hyperlink" Target="https://analytics.zhihuiya.com/patent-view/abst?patentId=16ccc688-ef88-4499-8091-6cd12c24dfad" TargetMode="External"/><Relationship Id="rId1195" Type="http://schemas.openxmlformats.org/officeDocument/2006/relationships/hyperlink" Target="https://analytics.zhihuiya.com/patent-view/abst?patentId=b9279e01-ebb8-4fe6-b7bf-27a16d71b2c0" TargetMode="External"/><Relationship Id="rId2039" Type="http://schemas.openxmlformats.org/officeDocument/2006/relationships/hyperlink" Target="https://analytics.zhihuiya.com/patent-view/abst?patentId=168662b2-c792-4e36-9462-0d47fde3a08e" TargetMode="External"/><Relationship Id="rId2246" Type="http://schemas.openxmlformats.org/officeDocument/2006/relationships/hyperlink" Target="https://analytics.zhihuiya.com/patent-view/abst?patentId=8d845f34-a277-4c99-b7af-0315676decc8" TargetMode="External"/><Relationship Id="rId2453" Type="http://schemas.openxmlformats.org/officeDocument/2006/relationships/hyperlink" Target="https://analytics.zhihuiya.com/patent-view/abst?patentId=36631402-d98e-49bf-a4e4-2663234cf3f1" TargetMode="External"/><Relationship Id="rId2660" Type="http://schemas.openxmlformats.org/officeDocument/2006/relationships/hyperlink" Target="https://analytics.zhihuiya.com/patent-view/abst?patentId=66925a9c-7bf1-4e5c-8467-7a849447636f" TargetMode="External"/><Relationship Id="rId3504" Type="http://schemas.openxmlformats.org/officeDocument/2006/relationships/hyperlink" Target="https://analytics.zhihuiya.com/patent-view/abst?patentId=258874d4-c10e-4147-b6c6-d5059d04c882" TargetMode="External"/><Relationship Id="rId3711" Type="http://schemas.openxmlformats.org/officeDocument/2006/relationships/hyperlink" Target="https://analytics.zhihuiya.com/patent-view/abst?patentId=41743002-25d9-427d-b520-d78806ac3cd8" TargetMode="External"/><Relationship Id="rId218" Type="http://schemas.openxmlformats.org/officeDocument/2006/relationships/hyperlink" Target="https://analytics.zhihuiya.com/patent-view/abst?patentId=62506bde-f824-489a-9ae2-91ad0c5453e8" TargetMode="External"/><Relationship Id="rId425" Type="http://schemas.openxmlformats.org/officeDocument/2006/relationships/hyperlink" Target="https://analytics.zhihuiya.com/patent-view/abst?patentId=0524049e-1fb6-41b1-99a5-eea89e252557" TargetMode="External"/><Relationship Id="rId632" Type="http://schemas.openxmlformats.org/officeDocument/2006/relationships/hyperlink" Target="https://analytics.zhihuiya.com/patent-view/abst?patentId=350ab5d5-093f-4b26-b0fa-00d17fee264f" TargetMode="External"/><Relationship Id="rId1055" Type="http://schemas.openxmlformats.org/officeDocument/2006/relationships/hyperlink" Target="https://analytics.zhihuiya.com/patent-view/abst?patentId=52202f07-00ff-4357-9a1d-4ae6967f7a86" TargetMode="External"/><Relationship Id="rId1262" Type="http://schemas.openxmlformats.org/officeDocument/2006/relationships/hyperlink" Target="https://analytics.zhihuiya.com/patent-view/abst?patentId=cc9aae06-be86-307f-e29e-506183f7db50" TargetMode="External"/><Relationship Id="rId2106" Type="http://schemas.openxmlformats.org/officeDocument/2006/relationships/hyperlink" Target="https://analytics.zhihuiya.com/patent-view/abst?patentId=60d21bcb-5cfa-49b0-955a-f935e9452023" TargetMode="External"/><Relationship Id="rId2313" Type="http://schemas.openxmlformats.org/officeDocument/2006/relationships/hyperlink" Target="https://analytics.zhihuiya.com/patent-view/abst?patentId=be837645-7b92-488a-9770-7d6b311d98da" TargetMode="External"/><Relationship Id="rId2520" Type="http://schemas.openxmlformats.org/officeDocument/2006/relationships/hyperlink" Target="https://analytics.zhihuiya.com/patent-view/abst?patentId=21948644-d731-4583-bb95-dde894ca8b74" TargetMode="External"/><Relationship Id="rId1122" Type="http://schemas.openxmlformats.org/officeDocument/2006/relationships/hyperlink" Target="https://analytics.zhihuiya.com/patent-view/abst?patentId=bdde0a87-3e24-4ddd-adf6-89c6c9a14630" TargetMode="External"/><Relationship Id="rId4278" Type="http://schemas.openxmlformats.org/officeDocument/2006/relationships/hyperlink" Target="https://analytics.zhihuiya.com/patent-view/abst?patentId=c945a2d5-1e75-4fbd-a244-e377cc99ee83" TargetMode="External"/><Relationship Id="rId3087" Type="http://schemas.openxmlformats.org/officeDocument/2006/relationships/hyperlink" Target="https://analytics.zhihuiya.com/patent-view/abst?patentId=c855d855-4c3c-4b4d-b9fc-c649dcaa1ce9" TargetMode="External"/><Relationship Id="rId3294" Type="http://schemas.openxmlformats.org/officeDocument/2006/relationships/hyperlink" Target="https://analytics.zhihuiya.com/patent-view/abst?patentId=18964fe4-5616-469e-b43e-5dc2d1a62415" TargetMode="External"/><Relationship Id="rId4138" Type="http://schemas.openxmlformats.org/officeDocument/2006/relationships/hyperlink" Target="https://analytics.zhihuiya.com/patent-view/abst?patentId=fa2bd04e-87bc-4536-884b-38b1528e4c5d" TargetMode="External"/><Relationship Id="rId4345" Type="http://schemas.openxmlformats.org/officeDocument/2006/relationships/hyperlink" Target="https://analytics.zhihuiya.com/patent-view/abst?patentId=d7d478c7-6887-409f-8768-7facd616a79b" TargetMode="External"/><Relationship Id="rId1939" Type="http://schemas.openxmlformats.org/officeDocument/2006/relationships/hyperlink" Target="https://analytics.zhihuiya.com/patent-view/abst?patentId=a650f550-f1f8-4211-88b9-15b7cd6d4988" TargetMode="External"/><Relationship Id="rId3154" Type="http://schemas.openxmlformats.org/officeDocument/2006/relationships/hyperlink" Target="https://analytics.zhihuiya.com/patent-view/abst?patentId=3ec13694-ade8-4039-9287-a93804676310" TargetMode="External"/><Relationship Id="rId3361" Type="http://schemas.openxmlformats.org/officeDocument/2006/relationships/hyperlink" Target="https://analytics.zhihuiya.com/patent-view/abst?patentId=c99535f5-f357-4e6f-84b7-7d6836f1f4e8" TargetMode="External"/><Relationship Id="rId4205" Type="http://schemas.openxmlformats.org/officeDocument/2006/relationships/hyperlink" Target="https://analytics.zhihuiya.com/patent-view/abst?patentId=25d74460-06a4-4c57-b6a3-a74b70a91c8a" TargetMode="External"/><Relationship Id="rId4412" Type="http://schemas.openxmlformats.org/officeDocument/2006/relationships/hyperlink" Target="https://analytics.zhihuiya.com/patent-view/abst?patentId=89b0c3b2-042f-4154-9b6e-730e707c4d02" TargetMode="External"/><Relationship Id="rId282" Type="http://schemas.openxmlformats.org/officeDocument/2006/relationships/hyperlink" Target="https://analytics.zhihuiya.com/patent-view/abst?patentId=b2d7d25b-fb6f-4a2a-bfe1-2470b0e824ca" TargetMode="External"/><Relationship Id="rId2170" Type="http://schemas.openxmlformats.org/officeDocument/2006/relationships/hyperlink" Target="https://analytics.zhihuiya.com/patent-view/abst?patentId=109b2288-73a1-441e-abbd-d80d1f93bb4e" TargetMode="External"/><Relationship Id="rId3014" Type="http://schemas.openxmlformats.org/officeDocument/2006/relationships/hyperlink" Target="https://analytics.zhihuiya.com/patent-view/abst?patentId=9c36fe8a-f2f6-4372-b20c-8e100c9fb4ad" TargetMode="External"/><Relationship Id="rId3221" Type="http://schemas.openxmlformats.org/officeDocument/2006/relationships/hyperlink" Target="https://analytics.zhihuiya.com/patent-view/abst?patentId=a4d5ee78-fa13-41d0-9c1b-c66161cf80a7" TargetMode="External"/><Relationship Id="rId8" Type="http://schemas.openxmlformats.org/officeDocument/2006/relationships/hyperlink" Target="https://analytics.zhihuiya.com/patent-view/abst?patentId=dffbf34b-dbe8-4358-8527-6ee441f76f33" TargetMode="External"/><Relationship Id="rId142" Type="http://schemas.openxmlformats.org/officeDocument/2006/relationships/hyperlink" Target="https://analytics.zhihuiya.com/patent-view/abst?patentId=9b698ac3-0d5f-47e9-8c43-7c52826bafd5" TargetMode="External"/><Relationship Id="rId2030" Type="http://schemas.openxmlformats.org/officeDocument/2006/relationships/hyperlink" Target="https://analytics.zhihuiya.com/patent-view/abst?patentId=90ff4901-a055-4be6-9abf-4233c46e456f" TargetMode="External"/><Relationship Id="rId2987" Type="http://schemas.openxmlformats.org/officeDocument/2006/relationships/hyperlink" Target="https://analytics.zhihuiya.com/patent-view/abst?patentId=777f5e7d-71b3-4b90-9696-38622f19a6ee" TargetMode="External"/><Relationship Id="rId959" Type="http://schemas.openxmlformats.org/officeDocument/2006/relationships/hyperlink" Target="https://analytics.zhihuiya.com/patent-view/abst?patentId=728cd1ed-918d-4b9d-8bd2-413eaaf2ed18" TargetMode="External"/><Relationship Id="rId1589" Type="http://schemas.openxmlformats.org/officeDocument/2006/relationships/hyperlink" Target="https://analytics.zhihuiya.com/patent-view/abst?patentId=fc07c595-93ba-4269-992c-0e8e8e7ada7b" TargetMode="External"/><Relationship Id="rId1449" Type="http://schemas.openxmlformats.org/officeDocument/2006/relationships/hyperlink" Target="https://analytics.zhihuiya.com/patent-view/abst?patentId=d1033f39-2229-4658-9d85-caef04f28ac6" TargetMode="External"/><Relationship Id="rId1796" Type="http://schemas.openxmlformats.org/officeDocument/2006/relationships/hyperlink" Target="https://analytics.zhihuiya.com/patent-view/abst?patentId=036df661-9f94-41ba-86f3-0f5f786cc2f5" TargetMode="External"/><Relationship Id="rId2847" Type="http://schemas.openxmlformats.org/officeDocument/2006/relationships/hyperlink" Target="https://analytics.zhihuiya.com/patent-view/abst?patentId=c4e37007-a380-4cbc-9f26-7d2285338350" TargetMode="External"/><Relationship Id="rId4062" Type="http://schemas.openxmlformats.org/officeDocument/2006/relationships/hyperlink" Target="https://analytics.zhihuiya.com/patent-view/abst?patentId=a8d8ed3a-b4a3-4dd8-b515-18c05d8effdf" TargetMode="External"/><Relationship Id="rId88" Type="http://schemas.openxmlformats.org/officeDocument/2006/relationships/hyperlink" Target="https://analytics.zhihuiya.com/patent-view/abst?patentId=1d7c0c76-cee6-4407-9803-8303ace47f16" TargetMode="External"/><Relationship Id="rId819" Type="http://schemas.openxmlformats.org/officeDocument/2006/relationships/hyperlink" Target="https://analytics.zhihuiya.com/patent-view/abst?patentId=2a7aa840-a3bd-40be-8de9-16722d442273" TargetMode="External"/><Relationship Id="rId1656" Type="http://schemas.openxmlformats.org/officeDocument/2006/relationships/hyperlink" Target="https://analytics.zhihuiya.com/patent-view/abst?patentId=d8bfafc3-fbda-4eaf-b209-25060e6eecc5" TargetMode="External"/><Relationship Id="rId1863" Type="http://schemas.openxmlformats.org/officeDocument/2006/relationships/hyperlink" Target="https://analytics.zhihuiya.com/patent-view/abst?patentId=02ba64f0-9763-444d-9679-155bccac4318" TargetMode="External"/><Relationship Id="rId2707" Type="http://schemas.openxmlformats.org/officeDocument/2006/relationships/hyperlink" Target="https://analytics.zhihuiya.com/patent-view/abst?patentId=f6d10c56-d327-4e28-8971-f29cc7911361" TargetMode="External"/><Relationship Id="rId2914" Type="http://schemas.openxmlformats.org/officeDocument/2006/relationships/hyperlink" Target="https://analytics.zhihuiya.com/patent-view/abst?patentId=1921f783-2f5b-4047-a3d7-26e2fd17f86f" TargetMode="External"/><Relationship Id="rId1309" Type="http://schemas.openxmlformats.org/officeDocument/2006/relationships/hyperlink" Target="https://analytics.zhihuiya.com/patent-view/abst?patentId=067aab45-d52d-4c7b-87c8-83870cfa7f9b" TargetMode="External"/><Relationship Id="rId1516" Type="http://schemas.openxmlformats.org/officeDocument/2006/relationships/hyperlink" Target="https://analytics.zhihuiya.com/patent-view/abst?patentId=62ab7313-e659-40d8-b974-c596ff4f3585" TargetMode="External"/><Relationship Id="rId1723" Type="http://schemas.openxmlformats.org/officeDocument/2006/relationships/hyperlink" Target="https://analytics.zhihuiya.com/patent-view/abst?patentId=33686ec1-917c-4629-b89c-a9f5ca6bbe4c" TargetMode="External"/><Relationship Id="rId1930" Type="http://schemas.openxmlformats.org/officeDocument/2006/relationships/hyperlink" Target="https://analytics.zhihuiya.com/patent-view/abst?patentId=4864ab4d-5189-46e2-910d-fdfefc260d27" TargetMode="External"/><Relationship Id="rId15" Type="http://schemas.openxmlformats.org/officeDocument/2006/relationships/hyperlink" Target="https://analytics.zhihuiya.com/patent-view/abst?patentId=63102fa3-613a-4f4e-bc4c-dfdb0cea706a" TargetMode="External"/><Relationship Id="rId3688" Type="http://schemas.openxmlformats.org/officeDocument/2006/relationships/hyperlink" Target="https://analytics.zhihuiya.com/patent-view/abst?patentId=1e94693f-bca7-4e5e-967b-ef29df35ce72" TargetMode="External"/><Relationship Id="rId3895" Type="http://schemas.openxmlformats.org/officeDocument/2006/relationships/hyperlink" Target="https://analytics.zhihuiya.com/patent-view/abst?patentId=f3d0e0f6-599e-4253-a9f7-4147420bd62a" TargetMode="External"/><Relationship Id="rId2497" Type="http://schemas.openxmlformats.org/officeDocument/2006/relationships/hyperlink" Target="https://analytics.zhihuiya.com/patent-view/abst?patentId=7011b895-39af-4005-8bad-5d2ff84cbc37" TargetMode="External"/><Relationship Id="rId3548" Type="http://schemas.openxmlformats.org/officeDocument/2006/relationships/hyperlink" Target="https://analytics.zhihuiya.com/patent-view/abst?patentId=9e740b5a-5c75-4c19-a402-6753fe96093b" TargetMode="External"/><Relationship Id="rId3755" Type="http://schemas.openxmlformats.org/officeDocument/2006/relationships/hyperlink" Target="https://analytics.zhihuiya.com/patent-view/abst?patentId=919a70b6-e218-4618-bc30-df03022449e4" TargetMode="External"/><Relationship Id="rId469" Type="http://schemas.openxmlformats.org/officeDocument/2006/relationships/hyperlink" Target="https://analytics.zhihuiya.com/patent-view/abst?patentId=087b4b14-f6e2-4fb9-a872-6ed869d8fc8e" TargetMode="External"/><Relationship Id="rId676" Type="http://schemas.openxmlformats.org/officeDocument/2006/relationships/hyperlink" Target="https://analytics.zhihuiya.com/patent-view/abst?patentId=c452e533-51d0-4a51-80a6-fcf09332e923" TargetMode="External"/><Relationship Id="rId883" Type="http://schemas.openxmlformats.org/officeDocument/2006/relationships/hyperlink" Target="https://analytics.zhihuiya.com/patent-view/abst?patentId=7661919a-51cf-4372-b89c-272c8d8f06c8" TargetMode="External"/><Relationship Id="rId1099" Type="http://schemas.openxmlformats.org/officeDocument/2006/relationships/hyperlink" Target="https://analytics.zhihuiya.com/patent-view/abst?patentId=0e1f4dc3-9b04-4ce8-9a81-db15a4bfef51" TargetMode="External"/><Relationship Id="rId2357" Type="http://schemas.openxmlformats.org/officeDocument/2006/relationships/hyperlink" Target="https://analytics.zhihuiya.com/patent-view/abst?patentId=141b911d-8cd9-4a23-a232-cbac3ec56fa6" TargetMode="External"/><Relationship Id="rId2564" Type="http://schemas.openxmlformats.org/officeDocument/2006/relationships/hyperlink" Target="https://analytics.zhihuiya.com/patent-view/abst?patentId=554b7fb0-d6fe-4d55-bfa9-db89c66b2f7e" TargetMode="External"/><Relationship Id="rId3408" Type="http://schemas.openxmlformats.org/officeDocument/2006/relationships/hyperlink" Target="https://analytics.zhihuiya.com/patent-view/abst?patentId=5cadf3af-0a82-45a3-8627-8c4e78d806c7" TargetMode="External"/><Relationship Id="rId3615" Type="http://schemas.openxmlformats.org/officeDocument/2006/relationships/hyperlink" Target="https://analytics.zhihuiya.com/patent-view/abst?patentId=cab1da2e-d9ff-4772-a955-560dad31326f" TargetMode="External"/><Relationship Id="rId3962" Type="http://schemas.openxmlformats.org/officeDocument/2006/relationships/hyperlink" Target="https://analytics.zhihuiya.com/patent-view/abst?patentId=2caf50c8-a100-4ef3-a929-af4895bb905f" TargetMode="External"/><Relationship Id="rId329" Type="http://schemas.openxmlformats.org/officeDocument/2006/relationships/hyperlink" Target="https://analytics.zhihuiya.com/patent-view/abst?patentId=900461c3-c9cb-4034-bfa9-dcc10a8e1513" TargetMode="External"/><Relationship Id="rId536" Type="http://schemas.openxmlformats.org/officeDocument/2006/relationships/hyperlink" Target="https://analytics.zhihuiya.com/patent-view/abst?patentId=e676a6bf-db72-4171-823e-479c16d832ef" TargetMode="External"/><Relationship Id="rId1166" Type="http://schemas.openxmlformats.org/officeDocument/2006/relationships/hyperlink" Target="https://analytics.zhihuiya.com/patent-view/abst?patentId=e0700a4d-8c83-40f8-bfbc-4267f67eeef6" TargetMode="External"/><Relationship Id="rId1373" Type="http://schemas.openxmlformats.org/officeDocument/2006/relationships/hyperlink" Target="https://analytics.zhihuiya.com/patent-view/abst?patentId=6cf4a85d-eea1-4743-aac7-80cb7ad56b43" TargetMode="External"/><Relationship Id="rId2217" Type="http://schemas.openxmlformats.org/officeDocument/2006/relationships/hyperlink" Target="https://analytics.zhihuiya.com/patent-view/abst?patentId=e4cb8908-8054-4999-8f71-b3d70e6a8eb2" TargetMode="External"/><Relationship Id="rId2771" Type="http://schemas.openxmlformats.org/officeDocument/2006/relationships/hyperlink" Target="https://analytics.zhihuiya.com/patent-view/abst?patentId=0371d70c-cf26-42e6-9e6b-33cc373535fb" TargetMode="External"/><Relationship Id="rId3822" Type="http://schemas.openxmlformats.org/officeDocument/2006/relationships/hyperlink" Target="https://analytics.zhihuiya.com/patent-view/abst?patentId=adff18a9-f612-4d69-b04d-4452803eccda" TargetMode="External"/><Relationship Id="rId743" Type="http://schemas.openxmlformats.org/officeDocument/2006/relationships/hyperlink" Target="https://analytics.zhihuiya.com/patent-view/abst?patentId=477195fa-f39b-412d-aabd-4ad0914951fa" TargetMode="External"/><Relationship Id="rId950" Type="http://schemas.openxmlformats.org/officeDocument/2006/relationships/hyperlink" Target="https://analytics.zhihuiya.com/patent-view/abst?patentId=7d0ad062-d7d4-4d75-b1f0-e062ab1a979c" TargetMode="External"/><Relationship Id="rId1026" Type="http://schemas.openxmlformats.org/officeDocument/2006/relationships/hyperlink" Target="https://analytics.zhihuiya.com/patent-view/abst?patentId=02308dd1-7dc1-4cfa-bbeb-6109b7a05b4a" TargetMode="External"/><Relationship Id="rId1580" Type="http://schemas.openxmlformats.org/officeDocument/2006/relationships/hyperlink" Target="https://analytics.zhihuiya.com/patent-view/abst?patentId=bc842378-4a1b-42f6-9b27-32284428fae3" TargetMode="External"/><Relationship Id="rId2424" Type="http://schemas.openxmlformats.org/officeDocument/2006/relationships/hyperlink" Target="https://analytics.zhihuiya.com/patent-view/abst?patentId=77f9d56e-f0f7-4e16-a4a4-6e12e784b14f" TargetMode="External"/><Relationship Id="rId2631" Type="http://schemas.openxmlformats.org/officeDocument/2006/relationships/hyperlink" Target="https://analytics.zhihuiya.com/patent-view/abst?patentId=98eddcea-f610-47a1-88c3-5996a6c2f02c" TargetMode="External"/><Relationship Id="rId4389" Type="http://schemas.openxmlformats.org/officeDocument/2006/relationships/hyperlink" Target="https://analytics.zhihuiya.com/patent-view/abst?patentId=f01ef37f-6740-47df-9407-6df386babf45" TargetMode="External"/><Relationship Id="rId603" Type="http://schemas.openxmlformats.org/officeDocument/2006/relationships/hyperlink" Target="https://analytics.zhihuiya.com/patent-view/abst?patentId=a6652154-06f0-45b4-b6bb-c5fbf4eb32a6" TargetMode="External"/><Relationship Id="rId810" Type="http://schemas.openxmlformats.org/officeDocument/2006/relationships/hyperlink" Target="https://analytics.zhihuiya.com/patent-view/abst?patentId=7687a1e1-5222-40ff-b55e-5aa28e37826c" TargetMode="External"/><Relationship Id="rId1233" Type="http://schemas.openxmlformats.org/officeDocument/2006/relationships/hyperlink" Target="https://analytics.zhihuiya.com/patent-view/abst?patentId=03d223cc-fbf7-4fa4-a09b-ea3dd9ee4722" TargetMode="External"/><Relationship Id="rId1440" Type="http://schemas.openxmlformats.org/officeDocument/2006/relationships/hyperlink" Target="https://analytics.zhihuiya.com/patent-view/abst?patentId=7810e5f0-e910-49f2-80f4-85edcc79dd1f" TargetMode="External"/><Relationship Id="rId1300" Type="http://schemas.openxmlformats.org/officeDocument/2006/relationships/hyperlink" Target="https://analytics.zhihuiya.com/patent-view/abst?patentId=382e5cae-5b89-4986-bd63-440ac2f2143f" TargetMode="External"/><Relationship Id="rId3198" Type="http://schemas.openxmlformats.org/officeDocument/2006/relationships/hyperlink" Target="https://analytics.zhihuiya.com/patent-view/abst?patentId=48696a6e-96b1-403d-bd6f-adcb5cb194be" TargetMode="External"/><Relationship Id="rId4249" Type="http://schemas.openxmlformats.org/officeDocument/2006/relationships/hyperlink" Target="https://analytics.zhihuiya.com/patent-view/abst?patentId=4798ecfb-70d5-4e3f-a55d-4b688e426de7" TargetMode="External"/><Relationship Id="rId4456" Type="http://schemas.openxmlformats.org/officeDocument/2006/relationships/printerSettings" Target="../printerSettings/printerSettings1.bin"/><Relationship Id="rId3058" Type="http://schemas.openxmlformats.org/officeDocument/2006/relationships/hyperlink" Target="https://analytics.zhihuiya.com/patent-view/abst?patentId=6c6c3136-5710-4bed-a8d4-d810825465a9" TargetMode="External"/><Relationship Id="rId3265" Type="http://schemas.openxmlformats.org/officeDocument/2006/relationships/hyperlink" Target="https://analytics.zhihuiya.com/patent-view/abst?patentId=9fa79561-a7bd-4b38-83a2-52ba7964101d" TargetMode="External"/><Relationship Id="rId3472" Type="http://schemas.openxmlformats.org/officeDocument/2006/relationships/hyperlink" Target="https://analytics.zhihuiya.com/patent-view/abst?patentId=d85d6a1d-5290-4893-a305-f3a0b226ffdc" TargetMode="External"/><Relationship Id="rId4109" Type="http://schemas.openxmlformats.org/officeDocument/2006/relationships/hyperlink" Target="https://analytics.zhihuiya.com/patent-view/abst?patentId=6df90aff-efc2-410e-8ef4-165cfd1d473e" TargetMode="External"/><Relationship Id="rId4316" Type="http://schemas.openxmlformats.org/officeDocument/2006/relationships/hyperlink" Target="https://analytics.zhihuiya.com/patent-view/abst?patentId=4a27d944-d10b-4172-a294-d270829d93fc" TargetMode="External"/><Relationship Id="rId186" Type="http://schemas.openxmlformats.org/officeDocument/2006/relationships/hyperlink" Target="https://analytics.zhihuiya.com/patent-view/abst?patentId=d38eda5d-cbad-435a-95bb-5c8255d7b066" TargetMode="External"/><Relationship Id="rId393" Type="http://schemas.openxmlformats.org/officeDocument/2006/relationships/hyperlink" Target="https://analytics.zhihuiya.com/patent-view/abst?patentId=f601203f-d14c-4f71-b247-aeaf51844ad1" TargetMode="External"/><Relationship Id="rId2074" Type="http://schemas.openxmlformats.org/officeDocument/2006/relationships/hyperlink" Target="https://analytics.zhihuiya.com/patent-view/abst?patentId=6cdaf44f-bfa8-44a6-916f-448cbdb37bc6" TargetMode="External"/><Relationship Id="rId2281" Type="http://schemas.openxmlformats.org/officeDocument/2006/relationships/hyperlink" Target="https://analytics.zhihuiya.com/patent-view/abst?patentId=abee53ae-f049-4c29-99f1-c1023d9a39b8" TargetMode="External"/><Relationship Id="rId3125" Type="http://schemas.openxmlformats.org/officeDocument/2006/relationships/hyperlink" Target="https://analytics.zhihuiya.com/patent-view/abst?patentId=7a76e3c5-7d77-44f5-9b26-a4384497fb65" TargetMode="External"/><Relationship Id="rId3332" Type="http://schemas.openxmlformats.org/officeDocument/2006/relationships/hyperlink" Target="https://analytics.zhihuiya.com/patent-view/abst?patentId=16b728ee-3562-45e1-9c4b-367cac846771" TargetMode="External"/><Relationship Id="rId253" Type="http://schemas.openxmlformats.org/officeDocument/2006/relationships/hyperlink" Target="https://analytics.zhihuiya.com/patent-view/abst?patentId=814afac6-a37e-4c36-8f1d-bdcd5bd2bb06" TargetMode="External"/><Relationship Id="rId460" Type="http://schemas.openxmlformats.org/officeDocument/2006/relationships/hyperlink" Target="https://analytics.zhihuiya.com/patent-view/abst?patentId=853c9066-00bd-4e87-bb5c-0a73fd41e8c0" TargetMode="External"/><Relationship Id="rId1090" Type="http://schemas.openxmlformats.org/officeDocument/2006/relationships/hyperlink" Target="https://analytics.zhihuiya.com/patent-view/abst?patentId=f1962324-53bb-4d09-8ce8-6dbf710a5294" TargetMode="External"/><Relationship Id="rId2141" Type="http://schemas.openxmlformats.org/officeDocument/2006/relationships/hyperlink" Target="https://analytics.zhihuiya.com/patent-view/abst?patentId=6af87c98-ac0b-4d23-ae90-063cb9e31708" TargetMode="External"/><Relationship Id="rId113" Type="http://schemas.openxmlformats.org/officeDocument/2006/relationships/hyperlink" Target="https://analytics.zhihuiya.com/patent-view/abst?patentId=211f596b-cde9-4f8b-a7b6-25bc92ab57bb" TargetMode="External"/><Relationship Id="rId320" Type="http://schemas.openxmlformats.org/officeDocument/2006/relationships/hyperlink" Target="https://analytics.zhihuiya.com/patent-view/abst?patentId=119f910e-4f6d-47a8-9dc8-9ce1279fe26a" TargetMode="External"/><Relationship Id="rId2001" Type="http://schemas.openxmlformats.org/officeDocument/2006/relationships/hyperlink" Target="https://analytics.zhihuiya.com/patent-view/abst?patentId=6057458d-e4b6-42e4-b5f7-000bf731e6c5" TargetMode="External"/><Relationship Id="rId2958" Type="http://schemas.openxmlformats.org/officeDocument/2006/relationships/hyperlink" Target="https://analytics.zhihuiya.com/patent-view/abst?patentId=b4231956-5463-426a-87dd-7a7ce4cf6c0f" TargetMode="External"/><Relationship Id="rId1767" Type="http://schemas.openxmlformats.org/officeDocument/2006/relationships/hyperlink" Target="https://analytics.zhihuiya.com/patent-view/abst?patentId=ca949066-a562-49f3-bc69-75dc5f646883" TargetMode="External"/><Relationship Id="rId1974" Type="http://schemas.openxmlformats.org/officeDocument/2006/relationships/hyperlink" Target="https://analytics.zhihuiya.com/patent-view/abst?patentId=bdf38179-92b8-4007-a135-bd3d370d3011" TargetMode="External"/><Relationship Id="rId2818" Type="http://schemas.openxmlformats.org/officeDocument/2006/relationships/hyperlink" Target="https://analytics.zhihuiya.com/patent-view/abst?patentId=f8e36151-3d70-4db7-9ba1-4262dd5fea3a" TargetMode="External"/><Relationship Id="rId4173" Type="http://schemas.openxmlformats.org/officeDocument/2006/relationships/hyperlink" Target="https://analytics.zhihuiya.com/patent-view/abst?patentId=98cd242b-2af3-4f08-931e-bd4fbca7ee9c" TargetMode="External"/><Relationship Id="rId4380" Type="http://schemas.openxmlformats.org/officeDocument/2006/relationships/hyperlink" Target="https://analytics.zhihuiya.com/patent-view/abst?patentId=fc197960-9dfa-41ce-94aa-a168a2cc7946" TargetMode="External"/><Relationship Id="rId59" Type="http://schemas.openxmlformats.org/officeDocument/2006/relationships/hyperlink" Target="https://analytics.zhihuiya.com/patent-view/abst?patentId=f6d40cc1-d8d1-4e01-8bb4-77fa38649e18" TargetMode="External"/><Relationship Id="rId1627" Type="http://schemas.openxmlformats.org/officeDocument/2006/relationships/hyperlink" Target="https://analytics.zhihuiya.com/patent-view/abst?patentId=3d6b237e-2636-4929-ae21-aa831edf8bd7" TargetMode="External"/><Relationship Id="rId1834" Type="http://schemas.openxmlformats.org/officeDocument/2006/relationships/hyperlink" Target="https://analytics.zhihuiya.com/patent-view/abst?patentId=fd937bf4-cec5-4f22-87b5-c2c6d0494258" TargetMode="External"/><Relationship Id="rId4033" Type="http://schemas.openxmlformats.org/officeDocument/2006/relationships/hyperlink" Target="https://analytics.zhihuiya.com/patent-view/abst?patentId=1da4361f-4e04-4733-9a1f-d12254bcbb59" TargetMode="External"/><Relationship Id="rId4240" Type="http://schemas.openxmlformats.org/officeDocument/2006/relationships/hyperlink" Target="https://analytics.zhihuiya.com/patent-view/abst?patentId=27abad24-e6e0-4998-858d-b15519a48c05" TargetMode="External"/><Relationship Id="rId3799" Type="http://schemas.openxmlformats.org/officeDocument/2006/relationships/hyperlink" Target="https://analytics.zhihuiya.com/patent-view/abst?patentId=840e5a1d-cc20-4125-94de-3b53ea25b65a" TargetMode="External"/><Relationship Id="rId4100" Type="http://schemas.openxmlformats.org/officeDocument/2006/relationships/hyperlink" Target="https://analytics.zhihuiya.com/patent-view/abst?patentId=a97730d2-42dd-4b92-99e2-248e455da35c" TargetMode="External"/><Relationship Id="rId1901" Type="http://schemas.openxmlformats.org/officeDocument/2006/relationships/hyperlink" Target="https://analytics.zhihuiya.com/patent-view/abst?patentId=9cce4c03-fd7b-44fd-b144-9999cb8bfdc9" TargetMode="External"/><Relationship Id="rId3659" Type="http://schemas.openxmlformats.org/officeDocument/2006/relationships/hyperlink" Target="https://analytics.zhihuiya.com/patent-view/abst?patentId=3151a3d4-5ab6-4b2e-b17d-25aaf1cc6200" TargetMode="External"/><Relationship Id="rId3866" Type="http://schemas.openxmlformats.org/officeDocument/2006/relationships/hyperlink" Target="https://analytics.zhihuiya.com/patent-view/abst?patentId=3bfb4a15-4aac-4ae1-8ffc-367d33c2c27e" TargetMode="External"/><Relationship Id="rId787" Type="http://schemas.openxmlformats.org/officeDocument/2006/relationships/hyperlink" Target="https://analytics.zhihuiya.com/patent-view/abst?patentId=dd93eb77-9bc3-4dd4-acee-52fd91f4f29d" TargetMode="External"/><Relationship Id="rId994" Type="http://schemas.openxmlformats.org/officeDocument/2006/relationships/hyperlink" Target="https://analytics.zhihuiya.com/patent-view/abst?patentId=06105e61-0acf-48ed-95fe-d0165935c0b1" TargetMode="External"/><Relationship Id="rId2468" Type="http://schemas.openxmlformats.org/officeDocument/2006/relationships/hyperlink" Target="https://analytics.zhihuiya.com/patent-view/abst?patentId=c5a72e2d-d649-415c-b845-d9d91fca5536" TargetMode="External"/><Relationship Id="rId2675" Type="http://schemas.openxmlformats.org/officeDocument/2006/relationships/hyperlink" Target="https://analytics.zhihuiya.com/patent-view/abst?patentId=25f9c1e4-6fae-42ff-a30c-6614ced72f0f" TargetMode="External"/><Relationship Id="rId2882" Type="http://schemas.openxmlformats.org/officeDocument/2006/relationships/hyperlink" Target="https://analytics.zhihuiya.com/patent-view/abst?patentId=e50b0ddf-74ce-4287-b36a-999d5e422589" TargetMode="External"/><Relationship Id="rId3519" Type="http://schemas.openxmlformats.org/officeDocument/2006/relationships/hyperlink" Target="https://analytics.zhihuiya.com/patent-view/abst?patentId=732862b8-253b-4808-8dec-1609b64034f7" TargetMode="External"/><Relationship Id="rId3726" Type="http://schemas.openxmlformats.org/officeDocument/2006/relationships/hyperlink" Target="https://analytics.zhihuiya.com/patent-view/abst?patentId=2eee6f3e-50fa-4fdb-b2a7-fe6614cc7055" TargetMode="External"/><Relationship Id="rId3933" Type="http://schemas.openxmlformats.org/officeDocument/2006/relationships/hyperlink" Target="https://analytics.zhihuiya.com/patent-view/abst?patentId=bc264e4d-80d7-4176-a348-51978f61d907" TargetMode="External"/><Relationship Id="rId647" Type="http://schemas.openxmlformats.org/officeDocument/2006/relationships/hyperlink" Target="https://analytics.zhihuiya.com/patent-view/abst?patentId=a1bb3fc0-083b-4941-beae-ad3835fc1739" TargetMode="External"/><Relationship Id="rId854" Type="http://schemas.openxmlformats.org/officeDocument/2006/relationships/hyperlink" Target="https://analytics.zhihuiya.com/patent-view/abst?patentId=dfc01485-7df2-4109-8789-767a92474b47" TargetMode="External"/><Relationship Id="rId1277" Type="http://schemas.openxmlformats.org/officeDocument/2006/relationships/hyperlink" Target="https://analytics.zhihuiya.com/patent-view/abst?patentId=1f29107b-7210-4f5a-9d56-93e0928f7cce" TargetMode="External"/><Relationship Id="rId1484" Type="http://schemas.openxmlformats.org/officeDocument/2006/relationships/hyperlink" Target="https://analytics.zhihuiya.com/patent-view/abst?patentId=b8d70d9b-d7c6-4a2d-93bf-aca15ddccd98" TargetMode="External"/><Relationship Id="rId1691" Type="http://schemas.openxmlformats.org/officeDocument/2006/relationships/hyperlink" Target="https://analytics.zhihuiya.com/patent-view/abst?patentId=988c5b9d-5cd2-4155-913e-c47d412fb9f0" TargetMode="External"/><Relationship Id="rId2328" Type="http://schemas.openxmlformats.org/officeDocument/2006/relationships/hyperlink" Target="https://analytics.zhihuiya.com/patent-view/abst?patentId=1a474643-79ad-4fcd-8ced-709f854ecc73" TargetMode="External"/><Relationship Id="rId2535" Type="http://schemas.openxmlformats.org/officeDocument/2006/relationships/hyperlink" Target="https://analytics.zhihuiya.com/patent-view/abst?patentId=aeeca108-db85-42d6-9657-cfd0866fdd71" TargetMode="External"/><Relationship Id="rId2742" Type="http://schemas.openxmlformats.org/officeDocument/2006/relationships/hyperlink" Target="https://analytics.zhihuiya.com/patent-view/abst?patentId=085bfa06-7f46-4318-9a27-22ba469c52a6" TargetMode="External"/><Relationship Id="rId507" Type="http://schemas.openxmlformats.org/officeDocument/2006/relationships/hyperlink" Target="https://analytics.zhihuiya.com/patent-view/abst?patentId=71162f02-6a17-4ab9-866d-006853edd39c" TargetMode="External"/><Relationship Id="rId714" Type="http://schemas.openxmlformats.org/officeDocument/2006/relationships/hyperlink" Target="https://analytics.zhihuiya.com/patent-view/abst?patentId=97cdcd15-a585-4feb-9d7e-22631149e74e" TargetMode="External"/><Relationship Id="rId921" Type="http://schemas.openxmlformats.org/officeDocument/2006/relationships/hyperlink" Target="https://analytics.zhihuiya.com/patent-view/abst?patentId=fc35d6a5-9049-460e-a09b-4fa0d6638027" TargetMode="External"/><Relationship Id="rId1137" Type="http://schemas.openxmlformats.org/officeDocument/2006/relationships/hyperlink" Target="https://analytics.zhihuiya.com/patent-view/abst?patentId=a60b1cd2-4006-4ea2-aeb7-6ee95806b8a1" TargetMode="External"/><Relationship Id="rId1344" Type="http://schemas.openxmlformats.org/officeDocument/2006/relationships/hyperlink" Target="https://analytics.zhihuiya.com/patent-view/abst?patentId=87809704-3a73-49a8-9c71-829eb697a20a" TargetMode="External"/><Relationship Id="rId1551" Type="http://schemas.openxmlformats.org/officeDocument/2006/relationships/hyperlink" Target="https://analytics.zhihuiya.com/patent-view/abst?patentId=3513f6bd-30d4-4cc6-ad1c-e446701f432d" TargetMode="External"/><Relationship Id="rId2602" Type="http://schemas.openxmlformats.org/officeDocument/2006/relationships/hyperlink" Target="https://analytics.zhihuiya.com/patent-view/abst?patentId=f26c7dc3-7101-4230-a9e0-7c2114553419" TargetMode="External"/><Relationship Id="rId50" Type="http://schemas.openxmlformats.org/officeDocument/2006/relationships/hyperlink" Target="https://analytics.zhihuiya.com/patent-view/abst?patentId=d623253e-3481-4a37-9dc1-dcafc5c1c1bd" TargetMode="External"/><Relationship Id="rId1204" Type="http://schemas.openxmlformats.org/officeDocument/2006/relationships/hyperlink" Target="https://analytics.zhihuiya.com/patent-view/abst?patentId=61d49958-dc1c-49c4-b653-d30a9a447584" TargetMode="External"/><Relationship Id="rId1411" Type="http://schemas.openxmlformats.org/officeDocument/2006/relationships/hyperlink" Target="https://analytics.zhihuiya.com/patent-view/abst?patentId=5c1c9fda-5391-4a50-8628-e6a8db1034b3" TargetMode="External"/><Relationship Id="rId3169" Type="http://schemas.openxmlformats.org/officeDocument/2006/relationships/hyperlink" Target="https://analytics.zhihuiya.com/patent-view/abst?patentId=684ac6df-339d-4be2-80a0-2d4d3d301ae0" TargetMode="External"/><Relationship Id="rId3376" Type="http://schemas.openxmlformats.org/officeDocument/2006/relationships/hyperlink" Target="https://analytics.zhihuiya.com/patent-view/abst?patentId=8919c38b-2168-4b5d-be1c-7bfa9aac8e19" TargetMode="External"/><Relationship Id="rId3583" Type="http://schemas.openxmlformats.org/officeDocument/2006/relationships/hyperlink" Target="https://analytics.zhihuiya.com/patent-view/abst?patentId=ef02b9c0-0d94-424c-b7d6-02dcb0f187fa" TargetMode="External"/><Relationship Id="rId4427" Type="http://schemas.openxmlformats.org/officeDocument/2006/relationships/hyperlink" Target="https://analytics.zhihuiya.com/patent-view/abst?patentId=75f37ec8-4455-4f52-ba68-37c2df69c4dc" TargetMode="External"/><Relationship Id="rId297" Type="http://schemas.openxmlformats.org/officeDocument/2006/relationships/hyperlink" Target="https://analytics.zhihuiya.com/patent-view/abst?patentId=5f5f11fb-a9dc-4d72-abf7-f1ddd54b9d33" TargetMode="External"/><Relationship Id="rId2185" Type="http://schemas.openxmlformats.org/officeDocument/2006/relationships/hyperlink" Target="https://analytics.zhihuiya.com/patent-view/abst?patentId=091d81f4-0fc7-449b-8405-5c821776668a" TargetMode="External"/><Relationship Id="rId2392" Type="http://schemas.openxmlformats.org/officeDocument/2006/relationships/hyperlink" Target="https://analytics.zhihuiya.com/patent-view/abst?patentId=bac06a69-5def-4b2c-910b-05e351539d48" TargetMode="External"/><Relationship Id="rId3029" Type="http://schemas.openxmlformats.org/officeDocument/2006/relationships/hyperlink" Target="https://analytics.zhihuiya.com/patent-view/abst?patentId=e1a3e01b-fce2-44de-ba1d-e15fffc37835" TargetMode="External"/><Relationship Id="rId3236" Type="http://schemas.openxmlformats.org/officeDocument/2006/relationships/hyperlink" Target="https://analytics.zhihuiya.com/patent-view/abst?patentId=047c549a-653a-4168-bcd5-dea9aa4bbb29" TargetMode="External"/><Relationship Id="rId3790" Type="http://schemas.openxmlformats.org/officeDocument/2006/relationships/hyperlink" Target="https://analytics.zhihuiya.com/patent-view/abst?patentId=e70a9ea5-3112-4bcc-b996-dfdb407c8809" TargetMode="External"/><Relationship Id="rId157" Type="http://schemas.openxmlformats.org/officeDocument/2006/relationships/hyperlink" Target="https://analytics.zhihuiya.com/patent-view/abst?patentId=b67ca614-7ff6-45f8-a597-142a4fa1b481" TargetMode="External"/><Relationship Id="rId364" Type="http://schemas.openxmlformats.org/officeDocument/2006/relationships/hyperlink" Target="https://analytics.zhihuiya.com/patent-view/abst?patentId=1ca5473f-b51f-482b-953d-849456418e54" TargetMode="External"/><Relationship Id="rId2045" Type="http://schemas.openxmlformats.org/officeDocument/2006/relationships/hyperlink" Target="https://analytics.zhihuiya.com/patent-view/abst?patentId=305f5e4d-d1d2-4aa3-aa5c-8f6ad3e19bbe" TargetMode="External"/><Relationship Id="rId3443" Type="http://schemas.openxmlformats.org/officeDocument/2006/relationships/hyperlink" Target="https://analytics.zhihuiya.com/patent-view/abst?patentId=111d19a8-3bc9-43f0-a608-45b24e7ad0a4" TargetMode="External"/><Relationship Id="rId3650" Type="http://schemas.openxmlformats.org/officeDocument/2006/relationships/hyperlink" Target="https://analytics.zhihuiya.com/patent-view/abst?patentId=f2f71e10-7c53-4de1-8af1-400a50821a0e" TargetMode="External"/><Relationship Id="rId571" Type="http://schemas.openxmlformats.org/officeDocument/2006/relationships/hyperlink" Target="https://analytics.zhihuiya.com/patent-view/abst?patentId=99ca4c7a-eb85-402e-86d8-f765175e8357" TargetMode="External"/><Relationship Id="rId2252" Type="http://schemas.openxmlformats.org/officeDocument/2006/relationships/hyperlink" Target="https://analytics.zhihuiya.com/patent-view/abst?patentId=36488c75-a97d-4ba3-b1ed-51fc2429a334" TargetMode="External"/><Relationship Id="rId3303" Type="http://schemas.openxmlformats.org/officeDocument/2006/relationships/hyperlink" Target="https://analytics.zhihuiya.com/patent-view/abst?patentId=a714428e-87bc-4adf-b91d-39776563e387" TargetMode="External"/><Relationship Id="rId3510" Type="http://schemas.openxmlformats.org/officeDocument/2006/relationships/hyperlink" Target="https://analytics.zhihuiya.com/patent-view/abst?patentId=204d7374-bc72-4e8a-af0a-7b3a454153fd" TargetMode="External"/><Relationship Id="rId224" Type="http://schemas.openxmlformats.org/officeDocument/2006/relationships/hyperlink" Target="https://analytics.zhihuiya.com/patent-view/abst?patentId=a71e9d79-2b16-4f9d-928b-12f5687a777d" TargetMode="External"/><Relationship Id="rId431" Type="http://schemas.openxmlformats.org/officeDocument/2006/relationships/hyperlink" Target="https://analytics.zhihuiya.com/patent-view/abst?patentId=dc044c39-72e8-4c43-a997-3dd36b7463b1" TargetMode="External"/><Relationship Id="rId1061" Type="http://schemas.openxmlformats.org/officeDocument/2006/relationships/hyperlink" Target="https://analytics.zhihuiya.com/patent-view/abst?patentId=3c1a1714-cd4c-4c57-81ff-4d766060f46c" TargetMode="External"/><Relationship Id="rId2112" Type="http://schemas.openxmlformats.org/officeDocument/2006/relationships/hyperlink" Target="https://analytics.zhihuiya.com/patent-view/abst?patentId=45915490-4ecd-44b1-9f76-cf768f2dfb59" TargetMode="External"/><Relationship Id="rId1878" Type="http://schemas.openxmlformats.org/officeDocument/2006/relationships/hyperlink" Target="https://analytics.zhihuiya.com/patent-view/abst?patentId=5de6f15c-81ec-49b9-81ad-dbc13e5a3df3" TargetMode="External"/><Relationship Id="rId2929" Type="http://schemas.openxmlformats.org/officeDocument/2006/relationships/hyperlink" Target="https://analytics.zhihuiya.com/patent-view/abst?patentId=37853628-f266-4622-95e1-1d9ffd2405a4" TargetMode="External"/><Relationship Id="rId4077" Type="http://schemas.openxmlformats.org/officeDocument/2006/relationships/hyperlink" Target="https://analytics.zhihuiya.com/patent-view/abst?patentId=2b2a706b-be4d-410c-955c-1a665d9390ce" TargetMode="External"/><Relationship Id="rId4284" Type="http://schemas.openxmlformats.org/officeDocument/2006/relationships/hyperlink" Target="https://analytics.zhihuiya.com/patent-view/abst?patentId=93a256f1-0650-4182-8bb5-1ab0946598a3" TargetMode="External"/><Relationship Id="rId1738" Type="http://schemas.openxmlformats.org/officeDocument/2006/relationships/hyperlink" Target="https://analytics.zhihuiya.com/patent-view/abst?patentId=34a5c1f9-3c64-4c21-a2af-89fbe03dcdb6" TargetMode="External"/><Relationship Id="rId3093" Type="http://schemas.openxmlformats.org/officeDocument/2006/relationships/hyperlink" Target="https://analytics.zhihuiya.com/patent-view/abst?patentId=6837c70d-a85d-437e-a9cc-b71f7ea37435" TargetMode="External"/><Relationship Id="rId4144" Type="http://schemas.openxmlformats.org/officeDocument/2006/relationships/hyperlink" Target="https://analytics.zhihuiya.com/patent-view/abst?patentId=c2bc80a3-4b12-4ff6-87c3-e035218965ef" TargetMode="External"/><Relationship Id="rId4351" Type="http://schemas.openxmlformats.org/officeDocument/2006/relationships/hyperlink" Target="https://analytics.zhihuiya.com/patent-view/abst?patentId=75e3070f-ac57-4d06-9c47-6eb5d5aeb94b" TargetMode="External"/><Relationship Id="rId1945" Type="http://schemas.openxmlformats.org/officeDocument/2006/relationships/hyperlink" Target="https://analytics.zhihuiya.com/patent-view/abst?patentId=7be84a79-25e6-488b-92f0-bbfb1de10362" TargetMode="External"/><Relationship Id="rId3160" Type="http://schemas.openxmlformats.org/officeDocument/2006/relationships/hyperlink" Target="https://analytics.zhihuiya.com/patent-view/abst?patentId=bc1ec42f-b36b-40ae-a7b6-62850963ad69" TargetMode="External"/><Relationship Id="rId4004" Type="http://schemas.openxmlformats.org/officeDocument/2006/relationships/hyperlink" Target="https://analytics.zhihuiya.com/patent-view/abst?patentId=68928590-9f3e-40ac-b516-eac4764dd01b" TargetMode="External"/><Relationship Id="rId4211" Type="http://schemas.openxmlformats.org/officeDocument/2006/relationships/hyperlink" Target="https://analytics.zhihuiya.com/patent-view/abst?patentId=946c6624-28e5-466f-8f11-00154e7f1cb7" TargetMode="External"/><Relationship Id="rId1805" Type="http://schemas.openxmlformats.org/officeDocument/2006/relationships/hyperlink" Target="https://analytics.zhihuiya.com/patent-view/abst?patentId=0c5400a4-58ff-49c0-9c4d-e1b11fd907a2" TargetMode="External"/><Relationship Id="rId3020" Type="http://schemas.openxmlformats.org/officeDocument/2006/relationships/hyperlink" Target="https://analytics.zhihuiya.com/patent-view/abst?patentId=79e57f2b-3d36-4334-a11a-b5e86b1c8d5a" TargetMode="External"/><Relationship Id="rId3977" Type="http://schemas.openxmlformats.org/officeDocument/2006/relationships/hyperlink" Target="https://analytics.zhihuiya.com/patent-view/abst?patentId=07cd8d68-2bd8-450d-863c-678b66759709" TargetMode="External"/><Relationship Id="rId898" Type="http://schemas.openxmlformats.org/officeDocument/2006/relationships/hyperlink" Target="https://analytics.zhihuiya.com/patent-view/abst?patentId=2e5a52bd-a634-4456-946f-8b70f0ece961" TargetMode="External"/><Relationship Id="rId2579" Type="http://schemas.openxmlformats.org/officeDocument/2006/relationships/hyperlink" Target="https://analytics.zhihuiya.com/patent-view/abst?patentId=94c90436-1de2-424d-b270-b8c68ee90e96" TargetMode="External"/><Relationship Id="rId2786" Type="http://schemas.openxmlformats.org/officeDocument/2006/relationships/hyperlink" Target="https://analytics.zhihuiya.com/patent-view/abst?patentId=53ce4c00-93d4-4803-8b10-ec6a7e5405ee" TargetMode="External"/><Relationship Id="rId2993" Type="http://schemas.openxmlformats.org/officeDocument/2006/relationships/hyperlink" Target="https://analytics.zhihuiya.com/patent-view/abst?patentId=f91aee29-bd2f-4eeb-a750-e5879e70df65" TargetMode="External"/><Relationship Id="rId3837" Type="http://schemas.openxmlformats.org/officeDocument/2006/relationships/hyperlink" Target="https://analytics.zhihuiya.com/patent-view/abst?patentId=e33cb664-2005-4339-a991-bc7c6a452e95" TargetMode="External"/><Relationship Id="rId758" Type="http://schemas.openxmlformats.org/officeDocument/2006/relationships/hyperlink" Target="https://analytics.zhihuiya.com/patent-view/abst?patentId=8e3fff16-3cd9-4116-b455-354ccdeb3e24" TargetMode="External"/><Relationship Id="rId965" Type="http://schemas.openxmlformats.org/officeDocument/2006/relationships/hyperlink" Target="https://analytics.zhihuiya.com/patent-view/abst?patentId=bc594b16-ea89-4f53-9726-3b115b05f764" TargetMode="External"/><Relationship Id="rId1388" Type="http://schemas.openxmlformats.org/officeDocument/2006/relationships/hyperlink" Target="https://analytics.zhihuiya.com/patent-view/abst?patentId=f3027214-9a3e-475d-b82e-ec9179fd1165" TargetMode="External"/><Relationship Id="rId1595" Type="http://schemas.openxmlformats.org/officeDocument/2006/relationships/hyperlink" Target="https://analytics.zhihuiya.com/patent-view/abst?patentId=220a81a5-afeb-4235-9a53-dd74a600b6ee" TargetMode="External"/><Relationship Id="rId2439" Type="http://schemas.openxmlformats.org/officeDocument/2006/relationships/hyperlink" Target="https://analytics.zhihuiya.com/patent-view/abst?patentId=d16101dd-0dfb-4afe-a582-2c0abbd5d67b" TargetMode="External"/><Relationship Id="rId2646" Type="http://schemas.openxmlformats.org/officeDocument/2006/relationships/hyperlink" Target="https://analytics.zhihuiya.com/patent-view/abst?patentId=842c9dbb-7590-4bce-89f1-525923e57d77" TargetMode="External"/><Relationship Id="rId2853" Type="http://schemas.openxmlformats.org/officeDocument/2006/relationships/hyperlink" Target="https://analytics.zhihuiya.com/patent-view/abst?patentId=9de38617-728a-4f83-8b7e-442eb8e632b8" TargetMode="External"/><Relationship Id="rId3904" Type="http://schemas.openxmlformats.org/officeDocument/2006/relationships/hyperlink" Target="https://analytics.zhihuiya.com/patent-view/abst?patentId=d9729927-5ca7-471c-97b1-91330add7dab" TargetMode="External"/><Relationship Id="rId94" Type="http://schemas.openxmlformats.org/officeDocument/2006/relationships/hyperlink" Target="https://analytics.zhihuiya.com/patent-view/abst?patentId=7c465504-a1f5-42cf-b350-522099b12a7a" TargetMode="External"/><Relationship Id="rId618" Type="http://schemas.openxmlformats.org/officeDocument/2006/relationships/hyperlink" Target="https://analytics.zhihuiya.com/patent-view/abst?patentId=588f2866-8672-4a59-a63f-b2f0bf9cd06b" TargetMode="External"/><Relationship Id="rId825" Type="http://schemas.openxmlformats.org/officeDocument/2006/relationships/hyperlink" Target="https://analytics.zhihuiya.com/patent-view/abst?patentId=1abaf5ce-c91b-4e45-b804-2258b580d8c2" TargetMode="External"/><Relationship Id="rId1248" Type="http://schemas.openxmlformats.org/officeDocument/2006/relationships/hyperlink" Target="https://analytics.zhihuiya.com/patent-view/abst?patentId=cb6fd50f-057e-4c59-903c-b9b6185f9b07" TargetMode="External"/><Relationship Id="rId1455" Type="http://schemas.openxmlformats.org/officeDocument/2006/relationships/hyperlink" Target="https://analytics.zhihuiya.com/patent-view/abst?patentId=1e24b004-3f4c-4a04-8e97-4283dd80f50e" TargetMode="External"/><Relationship Id="rId1662" Type="http://schemas.openxmlformats.org/officeDocument/2006/relationships/hyperlink" Target="https://analytics.zhihuiya.com/patent-view/abst?patentId=1d6ee91a-fba9-4f2e-a827-54e814b37534" TargetMode="External"/><Relationship Id="rId2506" Type="http://schemas.openxmlformats.org/officeDocument/2006/relationships/hyperlink" Target="https://analytics.zhihuiya.com/patent-view/abst?patentId=0fbaa531-95ac-4f57-abca-e629711f8def" TargetMode="External"/><Relationship Id="rId1108" Type="http://schemas.openxmlformats.org/officeDocument/2006/relationships/hyperlink" Target="https://analytics.zhihuiya.com/patent-view/abst?patentId=acc07288-7c18-4399-bc53-bc6b882df7c0" TargetMode="External"/><Relationship Id="rId1315" Type="http://schemas.openxmlformats.org/officeDocument/2006/relationships/hyperlink" Target="https://analytics.zhihuiya.com/patent-view/abst?patentId=a120fd07-8edc-4d24-a821-4bfb6c54226a" TargetMode="External"/><Relationship Id="rId2713" Type="http://schemas.openxmlformats.org/officeDocument/2006/relationships/hyperlink" Target="https://analytics.zhihuiya.com/patent-view/abst?patentId=57fea5dd-616f-4891-a415-f9b3487a05c7" TargetMode="External"/><Relationship Id="rId2920" Type="http://schemas.openxmlformats.org/officeDocument/2006/relationships/hyperlink" Target="https://analytics.zhihuiya.com/patent-view/abst?patentId=dd17fb66-6d47-4bbc-bf43-4c3c0b779b5b" TargetMode="External"/><Relationship Id="rId1522" Type="http://schemas.openxmlformats.org/officeDocument/2006/relationships/hyperlink" Target="https://analytics.zhihuiya.com/patent-view/abst?patentId=a4fc2dc3-17d3-47cb-ae9f-ade05f6db5c3" TargetMode="External"/><Relationship Id="rId21" Type="http://schemas.openxmlformats.org/officeDocument/2006/relationships/hyperlink" Target="https://analytics.zhihuiya.com/patent-view/abst?patentId=97d896b9-f8a0-420d-9134-6e7f288d86e0" TargetMode="External"/><Relationship Id="rId2089" Type="http://schemas.openxmlformats.org/officeDocument/2006/relationships/hyperlink" Target="https://analytics.zhihuiya.com/patent-view/abst?patentId=98117313-aee4-46fa-bb92-50986bfb01b8" TargetMode="External"/><Relationship Id="rId3487" Type="http://schemas.openxmlformats.org/officeDocument/2006/relationships/hyperlink" Target="https://analytics.zhihuiya.com/patent-view/abst?patentId=f31daa6c-cb6d-423a-a30e-4b1664f3d704" TargetMode="External"/><Relationship Id="rId3694" Type="http://schemas.openxmlformats.org/officeDocument/2006/relationships/hyperlink" Target="https://analytics.zhihuiya.com/patent-view/abst?patentId=c26a418d-c8de-4c11-a141-4467669a7ab3" TargetMode="External"/><Relationship Id="rId2296" Type="http://schemas.openxmlformats.org/officeDocument/2006/relationships/hyperlink" Target="https://analytics.zhihuiya.com/patent-view/abst?patentId=04e9540c-75f0-404b-8d64-6f763dd271e2" TargetMode="External"/><Relationship Id="rId3347" Type="http://schemas.openxmlformats.org/officeDocument/2006/relationships/hyperlink" Target="https://analytics.zhihuiya.com/patent-view/abst?patentId=1d9438f7-cdb1-4db2-86ce-06e54b836683" TargetMode="External"/><Relationship Id="rId3554" Type="http://schemas.openxmlformats.org/officeDocument/2006/relationships/hyperlink" Target="https://analytics.zhihuiya.com/patent-view/abst?patentId=6054687a-3028-46aa-85c3-8d0ff4c2d799" TargetMode="External"/><Relationship Id="rId3761" Type="http://schemas.openxmlformats.org/officeDocument/2006/relationships/hyperlink" Target="https://analytics.zhihuiya.com/patent-view/abst?patentId=279bf8a3-af34-42c8-9f04-340a7b71342c" TargetMode="External"/><Relationship Id="rId268" Type="http://schemas.openxmlformats.org/officeDocument/2006/relationships/hyperlink" Target="https://analytics.zhihuiya.com/patent-view/abst?patentId=4aef5847-1879-48bd-9517-94a02276ce6f" TargetMode="External"/><Relationship Id="rId475" Type="http://schemas.openxmlformats.org/officeDocument/2006/relationships/hyperlink" Target="https://analytics.zhihuiya.com/patent-view/abst?patentId=47922035-1e57-4b58-8015-29103a874c27" TargetMode="External"/><Relationship Id="rId682" Type="http://schemas.openxmlformats.org/officeDocument/2006/relationships/hyperlink" Target="https://analytics.zhihuiya.com/patent-view/abst?patentId=13a61b1b-01e3-4086-8ba9-fd387ac77c79" TargetMode="External"/><Relationship Id="rId2156" Type="http://schemas.openxmlformats.org/officeDocument/2006/relationships/hyperlink" Target="https://analytics.zhihuiya.com/patent-view/abst?patentId=e8252df0-27a4-41cb-b1d3-e7ab9c19ea18" TargetMode="External"/><Relationship Id="rId2363" Type="http://schemas.openxmlformats.org/officeDocument/2006/relationships/hyperlink" Target="https://analytics.zhihuiya.com/patent-view/abst?patentId=c57b1a7c-f60b-43c2-aca2-aecf3f7f59a6" TargetMode="External"/><Relationship Id="rId2570" Type="http://schemas.openxmlformats.org/officeDocument/2006/relationships/hyperlink" Target="https://analytics.zhihuiya.com/patent-view/abst?patentId=cb8264c0-e157-37b8-70e7-77f36835a500" TargetMode="External"/><Relationship Id="rId3207" Type="http://schemas.openxmlformats.org/officeDocument/2006/relationships/hyperlink" Target="https://analytics.zhihuiya.com/patent-view/abst?patentId=1017c10a-4419-402f-af13-3744549b0615" TargetMode="External"/><Relationship Id="rId3414" Type="http://schemas.openxmlformats.org/officeDocument/2006/relationships/hyperlink" Target="https://analytics.zhihuiya.com/patent-view/abst?patentId=1d6f1fc0-d9c8-414b-8c33-1953bb0f4b6b" TargetMode="External"/><Relationship Id="rId3621" Type="http://schemas.openxmlformats.org/officeDocument/2006/relationships/hyperlink" Target="https://analytics.zhihuiya.com/patent-view/abst?patentId=f551655c-546b-451c-8339-ce9c80e04ea5" TargetMode="External"/><Relationship Id="rId128" Type="http://schemas.openxmlformats.org/officeDocument/2006/relationships/hyperlink" Target="https://analytics.zhihuiya.com/patent-view/abst?patentId=282b1a8b-099e-4918-9011-435b4af72ebc" TargetMode="External"/><Relationship Id="rId335" Type="http://schemas.openxmlformats.org/officeDocument/2006/relationships/hyperlink" Target="https://analytics.zhihuiya.com/patent-view/abst?patentId=d294958d-ab44-4b17-b1b6-b055ccaf6f18" TargetMode="External"/><Relationship Id="rId542" Type="http://schemas.openxmlformats.org/officeDocument/2006/relationships/hyperlink" Target="https://analytics.zhihuiya.com/patent-view/abst?patentId=43719a2e-2b93-41fb-afa4-b76cab60bd34" TargetMode="External"/><Relationship Id="rId1172" Type="http://schemas.openxmlformats.org/officeDocument/2006/relationships/hyperlink" Target="https://analytics.zhihuiya.com/patent-view/abst?patentId=eac1fc01-1596-4db6-9f38-d11e1cc7b947" TargetMode="External"/><Relationship Id="rId2016" Type="http://schemas.openxmlformats.org/officeDocument/2006/relationships/hyperlink" Target="https://analytics.zhihuiya.com/patent-view/abst?patentId=cd2f22a7-7d04-432b-ba77-ff340f34e1f4" TargetMode="External"/><Relationship Id="rId2223" Type="http://schemas.openxmlformats.org/officeDocument/2006/relationships/hyperlink" Target="https://analytics.zhihuiya.com/patent-view/abst?patentId=997ce296-0b48-4555-ac50-5f8ccb509d5a" TargetMode="External"/><Relationship Id="rId2430" Type="http://schemas.openxmlformats.org/officeDocument/2006/relationships/hyperlink" Target="https://analytics.zhihuiya.com/patent-view/abst?patentId=32304d39-5dde-4914-9617-7c286b9aff30" TargetMode="External"/><Relationship Id="rId402" Type="http://schemas.openxmlformats.org/officeDocument/2006/relationships/hyperlink" Target="https://analytics.zhihuiya.com/patent-view/abst?patentId=d8044ae7-6af9-4ec4-9d52-3d54d6000a17" TargetMode="External"/><Relationship Id="rId1032" Type="http://schemas.openxmlformats.org/officeDocument/2006/relationships/hyperlink" Target="https://analytics.zhihuiya.com/patent-view/abst?patentId=b07b2f12-0d51-4624-abae-0a9a6677def0" TargetMode="External"/><Relationship Id="rId4188" Type="http://schemas.openxmlformats.org/officeDocument/2006/relationships/hyperlink" Target="https://analytics.zhihuiya.com/patent-view/abst?patentId=fdac6164-a1dd-44b1-a5f3-9d7b724b3e33" TargetMode="External"/><Relationship Id="rId4395" Type="http://schemas.openxmlformats.org/officeDocument/2006/relationships/hyperlink" Target="https://analytics.zhihuiya.com/patent-view/abst?patentId=9aa0d676-3e73-4ead-8601-9eba964e91d4" TargetMode="External"/><Relationship Id="rId1989" Type="http://schemas.openxmlformats.org/officeDocument/2006/relationships/hyperlink" Target="https://analytics.zhihuiya.com/patent-view/abst?patentId=cda81cd1-5f34-4cdb-acd5-3a627776fea6" TargetMode="External"/><Relationship Id="rId4048" Type="http://schemas.openxmlformats.org/officeDocument/2006/relationships/hyperlink" Target="https://analytics.zhihuiya.com/patent-view/abst?patentId=387b1685-e7fb-4141-a5af-8db59058ebdc" TargetMode="External"/><Relationship Id="rId4255" Type="http://schemas.openxmlformats.org/officeDocument/2006/relationships/hyperlink" Target="https://analytics.zhihuiya.com/patent-view/abst?patentId=8a10b110-1bed-44e3-afc8-0029cbaf58c8" TargetMode="External"/><Relationship Id="rId1849" Type="http://schemas.openxmlformats.org/officeDocument/2006/relationships/hyperlink" Target="https://analytics.zhihuiya.com/patent-view/abst?patentId=58eb17fd-5025-467a-b3ee-55b293494101" TargetMode="External"/><Relationship Id="rId3064" Type="http://schemas.openxmlformats.org/officeDocument/2006/relationships/hyperlink" Target="https://analytics.zhihuiya.com/patent-view/abst?patentId=564a386e-6103-4339-b1ba-9979331fd633" TargetMode="External"/><Relationship Id="rId192" Type="http://schemas.openxmlformats.org/officeDocument/2006/relationships/hyperlink" Target="https://analytics.zhihuiya.com/patent-view/abst?patentId=35b992c1-e465-4a62-b4a0-2d3bfbcfb315" TargetMode="External"/><Relationship Id="rId1709" Type="http://schemas.openxmlformats.org/officeDocument/2006/relationships/hyperlink" Target="https://analytics.zhihuiya.com/patent-view/abst?patentId=f90bf910-a160-4fc2-be49-dc933a5967ea" TargetMode="External"/><Relationship Id="rId1916" Type="http://schemas.openxmlformats.org/officeDocument/2006/relationships/hyperlink" Target="https://analytics.zhihuiya.com/patent-view/abst?patentId=b560c3d3-ae6d-4484-b8bd-30b3ac271e25" TargetMode="External"/><Relationship Id="rId3271" Type="http://schemas.openxmlformats.org/officeDocument/2006/relationships/hyperlink" Target="https://analytics.zhihuiya.com/patent-view/abst?patentId=61f86d1b-7943-4f60-9ad5-d80fcabdf55b" TargetMode="External"/><Relationship Id="rId4115" Type="http://schemas.openxmlformats.org/officeDocument/2006/relationships/hyperlink" Target="https://analytics.zhihuiya.com/patent-view/abst?patentId=9fe27051-797e-422d-9e95-eb409bf7679d" TargetMode="External"/><Relationship Id="rId4322" Type="http://schemas.openxmlformats.org/officeDocument/2006/relationships/hyperlink" Target="https://analytics.zhihuiya.com/patent-view/abst?patentId=d7de25b8-89e7-432c-bc4d-5f31a4b253af" TargetMode="External"/><Relationship Id="rId2080" Type="http://schemas.openxmlformats.org/officeDocument/2006/relationships/hyperlink" Target="https://analytics.zhihuiya.com/patent-view/abst?patentId=0acbabb0-0017-4198-a4c0-3318eb1eae6e" TargetMode="External"/><Relationship Id="rId3131" Type="http://schemas.openxmlformats.org/officeDocument/2006/relationships/hyperlink" Target="https://analytics.zhihuiya.com/patent-view/abst?patentId=9588821a-f177-4775-a249-7ef4cee5b85d" TargetMode="External"/><Relationship Id="rId2897" Type="http://schemas.openxmlformats.org/officeDocument/2006/relationships/hyperlink" Target="https://analytics.zhihuiya.com/patent-view/abst?patentId=7dd75d84-8344-4c6c-8d51-cba81308c3be" TargetMode="External"/><Relationship Id="rId3948" Type="http://schemas.openxmlformats.org/officeDocument/2006/relationships/hyperlink" Target="https://analytics.zhihuiya.com/patent-view/abst?patentId=468b675a-3e23-47a6-8fa3-0783ee8191f7" TargetMode="External"/><Relationship Id="rId869" Type="http://schemas.openxmlformats.org/officeDocument/2006/relationships/hyperlink" Target="https://analytics.zhihuiya.com/patent-view/abst?patentId=2eb6e4fa-b72e-4658-9667-02331a6a618c" TargetMode="External"/><Relationship Id="rId1499" Type="http://schemas.openxmlformats.org/officeDocument/2006/relationships/hyperlink" Target="https://analytics.zhihuiya.com/patent-view/abst?patentId=81ff0224-93bc-47d3-ba59-da5007b78ab5" TargetMode="External"/><Relationship Id="rId729" Type="http://schemas.openxmlformats.org/officeDocument/2006/relationships/hyperlink" Target="https://analytics.zhihuiya.com/patent-view/abst?patentId=ae1716fc-1e87-48d9-b098-3cbf8db3e6ab" TargetMode="External"/><Relationship Id="rId1359" Type="http://schemas.openxmlformats.org/officeDocument/2006/relationships/hyperlink" Target="https://analytics.zhihuiya.com/patent-view/abst?patentId=3cc651ae-5270-4e99-a6bc-4fe95262885f" TargetMode="External"/><Relationship Id="rId2757" Type="http://schemas.openxmlformats.org/officeDocument/2006/relationships/hyperlink" Target="https://analytics.zhihuiya.com/patent-view/abst?patentId=0a7f9d13-de66-44aa-862a-be4aa443ca21" TargetMode="External"/><Relationship Id="rId2964" Type="http://schemas.openxmlformats.org/officeDocument/2006/relationships/hyperlink" Target="https://analytics.zhihuiya.com/patent-view/abst?patentId=c5ab2985-6f69-4d66-80bd-1508fbb97786" TargetMode="External"/><Relationship Id="rId3808" Type="http://schemas.openxmlformats.org/officeDocument/2006/relationships/hyperlink" Target="https://analytics.zhihuiya.com/patent-view/abst?patentId=f51d8361-8716-4f22-a828-18b0eb2fb7c5" TargetMode="External"/><Relationship Id="rId936" Type="http://schemas.openxmlformats.org/officeDocument/2006/relationships/hyperlink" Target="https://analytics.zhihuiya.com/patent-view/abst?patentId=03105943-e1b4-48ff-8e41-8ad0e6b12c8d" TargetMode="External"/><Relationship Id="rId1219" Type="http://schemas.openxmlformats.org/officeDocument/2006/relationships/hyperlink" Target="https://analytics.zhihuiya.com/patent-view/abst?patentId=a2545532-79de-4abf-a90a-3993a5ec4227" TargetMode="External"/><Relationship Id="rId1566" Type="http://schemas.openxmlformats.org/officeDocument/2006/relationships/hyperlink" Target="https://analytics.zhihuiya.com/patent-view/abst?patentId=a24316ad-583a-436a-8fac-9fab621b5911" TargetMode="External"/><Relationship Id="rId1773" Type="http://schemas.openxmlformats.org/officeDocument/2006/relationships/hyperlink" Target="https://analytics.zhihuiya.com/patent-view/abst?patentId=0b8746bf-b5bb-402c-9bb7-8885eb90cb9d" TargetMode="External"/><Relationship Id="rId1980" Type="http://schemas.openxmlformats.org/officeDocument/2006/relationships/hyperlink" Target="https://analytics.zhihuiya.com/patent-view/abst?patentId=0593852a-7d6b-4699-bed6-e720b4fc0d8d" TargetMode="External"/><Relationship Id="rId2617" Type="http://schemas.openxmlformats.org/officeDocument/2006/relationships/hyperlink" Target="https://analytics.zhihuiya.com/patent-view/abst?patentId=030020f9-56c2-4fb5-9cb4-6033b11a6bfc" TargetMode="External"/><Relationship Id="rId2824" Type="http://schemas.openxmlformats.org/officeDocument/2006/relationships/hyperlink" Target="https://analytics.zhihuiya.com/patent-view/abst?patentId=751e2892-d270-4b26-9b5c-79fd512cce15" TargetMode="External"/><Relationship Id="rId65" Type="http://schemas.openxmlformats.org/officeDocument/2006/relationships/hyperlink" Target="https://analytics.zhihuiya.com/patent-view/abst?patentId=e79dbe11-47f4-4830-bc89-6ec551493ae4" TargetMode="External"/><Relationship Id="rId1426" Type="http://schemas.openxmlformats.org/officeDocument/2006/relationships/hyperlink" Target="https://analytics.zhihuiya.com/patent-view/abst?patentId=638fa5ea-570d-4bb3-afd6-b911688f3a30" TargetMode="External"/><Relationship Id="rId1633" Type="http://schemas.openxmlformats.org/officeDocument/2006/relationships/hyperlink" Target="https://analytics.zhihuiya.com/patent-view/abst?patentId=288d956c-a93f-4669-ac3f-e674b02777ed" TargetMode="External"/><Relationship Id="rId1840" Type="http://schemas.openxmlformats.org/officeDocument/2006/relationships/hyperlink" Target="https://analytics.zhihuiya.com/patent-view/abst?patentId=0a8bf481-7d47-4cde-bba7-1db8bd5a8f61" TargetMode="External"/><Relationship Id="rId1700" Type="http://schemas.openxmlformats.org/officeDocument/2006/relationships/hyperlink" Target="https://analytics.zhihuiya.com/patent-view/abst?patentId=a8cdae2a-ae8a-455f-86b4-8441217f5586" TargetMode="External"/><Relationship Id="rId3598" Type="http://schemas.openxmlformats.org/officeDocument/2006/relationships/hyperlink" Target="https://analytics.zhihuiya.com/patent-view/abst?patentId=957bd6a0-340c-4827-94ef-522eb52db0ca" TargetMode="External"/><Relationship Id="rId3458" Type="http://schemas.openxmlformats.org/officeDocument/2006/relationships/hyperlink" Target="https://analytics.zhihuiya.com/patent-view/abst?patentId=98d5260f-a347-4f58-a978-29358b5faf73" TargetMode="External"/><Relationship Id="rId3665" Type="http://schemas.openxmlformats.org/officeDocument/2006/relationships/hyperlink" Target="https://analytics.zhihuiya.com/patent-view/abst?patentId=dc0a54ad-a020-46cf-b0cc-65b5bbbf078d" TargetMode="External"/><Relationship Id="rId3872" Type="http://schemas.openxmlformats.org/officeDocument/2006/relationships/hyperlink" Target="https://analytics.zhihuiya.com/patent-view/abst?patentId=8de8e43d-2c9f-4b1b-a22f-d578e56417c2" TargetMode="External"/><Relationship Id="rId379" Type="http://schemas.openxmlformats.org/officeDocument/2006/relationships/hyperlink" Target="https://analytics.zhihuiya.com/patent-view/abst?patentId=241462d6-748a-46cb-b787-46e5153d01e2" TargetMode="External"/><Relationship Id="rId586" Type="http://schemas.openxmlformats.org/officeDocument/2006/relationships/hyperlink" Target="https://analytics.zhihuiya.com/patent-view/abst?patentId=4f02c5a7-2d2c-4268-91ef-353220d8547d" TargetMode="External"/><Relationship Id="rId793" Type="http://schemas.openxmlformats.org/officeDocument/2006/relationships/hyperlink" Target="https://analytics.zhihuiya.com/patent-view/abst?patentId=ff289ccb-bf38-40a5-8928-ff869bc6c6b2" TargetMode="External"/><Relationship Id="rId2267" Type="http://schemas.openxmlformats.org/officeDocument/2006/relationships/hyperlink" Target="https://analytics.zhihuiya.com/patent-view/abst?patentId=0f12e832-5011-49ef-a4fb-2e916d7a863d" TargetMode="External"/><Relationship Id="rId2474" Type="http://schemas.openxmlformats.org/officeDocument/2006/relationships/hyperlink" Target="https://analytics.zhihuiya.com/patent-view/abst?patentId=d5a5e0e6-ae47-4227-b305-4ac9822091a3" TargetMode="External"/><Relationship Id="rId2681" Type="http://schemas.openxmlformats.org/officeDocument/2006/relationships/hyperlink" Target="https://analytics.zhihuiya.com/patent-view/abst?patentId=9ae64a7a-2d9e-4bb4-916f-9436eb34acfb" TargetMode="External"/><Relationship Id="rId3318" Type="http://schemas.openxmlformats.org/officeDocument/2006/relationships/hyperlink" Target="https://analytics.zhihuiya.com/patent-view/abst?patentId=fb6533df-2fb7-4a04-8ec6-f258a1e62a81" TargetMode="External"/><Relationship Id="rId3525" Type="http://schemas.openxmlformats.org/officeDocument/2006/relationships/hyperlink" Target="https://analytics.zhihuiya.com/patent-view/abst?patentId=5359b1af-3613-427b-bdad-7d5fb11b7019" TargetMode="External"/><Relationship Id="rId239" Type="http://schemas.openxmlformats.org/officeDocument/2006/relationships/hyperlink" Target="https://analytics.zhihuiya.com/patent-view/abst?patentId=9fe9b4ac-1eea-4223-b4ec-ecb3e76a84c2" TargetMode="External"/><Relationship Id="rId446" Type="http://schemas.openxmlformats.org/officeDocument/2006/relationships/hyperlink" Target="https://analytics.zhihuiya.com/patent-view/abst?patentId=439dba9e-a72e-450d-be75-061e2dfb16df" TargetMode="External"/><Relationship Id="rId653" Type="http://schemas.openxmlformats.org/officeDocument/2006/relationships/hyperlink" Target="https://analytics.zhihuiya.com/patent-view/abst?patentId=9700bbbd-ae57-4db3-9fb7-3fc9e10dda10" TargetMode="External"/><Relationship Id="rId1076" Type="http://schemas.openxmlformats.org/officeDocument/2006/relationships/hyperlink" Target="https://analytics.zhihuiya.com/patent-view/abst?patentId=cd945b5b-d8af-4efd-ab67-8d493774f399" TargetMode="External"/><Relationship Id="rId1283" Type="http://schemas.openxmlformats.org/officeDocument/2006/relationships/hyperlink" Target="https://analytics.zhihuiya.com/patent-view/abst?patentId=e11ac090-f760-4007-86ec-21018770bc9f" TargetMode="External"/><Relationship Id="rId1490" Type="http://schemas.openxmlformats.org/officeDocument/2006/relationships/hyperlink" Target="https://analytics.zhihuiya.com/patent-view/abst?patentId=fecb56bb-6e92-4794-8e36-21c16ebc8d93" TargetMode="External"/><Relationship Id="rId2127" Type="http://schemas.openxmlformats.org/officeDocument/2006/relationships/hyperlink" Target="https://analytics.zhihuiya.com/patent-view/abst?patentId=da0d4eca-320e-4f9a-920a-894061c083b1" TargetMode="External"/><Relationship Id="rId2334" Type="http://schemas.openxmlformats.org/officeDocument/2006/relationships/hyperlink" Target="https://analytics.zhihuiya.com/patent-view/abst?patentId=c6d7a345-4ff3-4412-9394-5bd19e834ead" TargetMode="External"/><Relationship Id="rId3732" Type="http://schemas.openxmlformats.org/officeDocument/2006/relationships/hyperlink" Target="https://analytics.zhihuiya.com/patent-view/abst?patentId=49222789-546c-4782-9d56-0394395d2189" TargetMode="External"/><Relationship Id="rId306" Type="http://schemas.openxmlformats.org/officeDocument/2006/relationships/hyperlink" Target="https://analytics.zhihuiya.com/patent-view/abst?patentId=c295106f-7d75-4ada-9c72-9dc646c07869" TargetMode="External"/><Relationship Id="rId860" Type="http://schemas.openxmlformats.org/officeDocument/2006/relationships/hyperlink" Target="https://analytics.zhihuiya.com/patent-view/abst?patentId=0c7e8fc7-6780-4f58-82c4-6d10ad965556" TargetMode="External"/><Relationship Id="rId1143" Type="http://schemas.openxmlformats.org/officeDocument/2006/relationships/hyperlink" Target="https://analytics.zhihuiya.com/patent-view/abst?patentId=e70c882c-7f17-49c0-97d7-2ca6af0ef515" TargetMode="External"/><Relationship Id="rId2541" Type="http://schemas.openxmlformats.org/officeDocument/2006/relationships/hyperlink" Target="https://analytics.zhihuiya.com/patent-view/abst?patentId=e4293133-3b24-4150-8e97-ba871bd4d538" TargetMode="External"/><Relationship Id="rId4299" Type="http://schemas.openxmlformats.org/officeDocument/2006/relationships/hyperlink" Target="https://analytics.zhihuiya.com/patent-view/abst?patentId=94bfd987-0aa7-4522-a275-5c336f27afa4" TargetMode="External"/><Relationship Id="rId513" Type="http://schemas.openxmlformats.org/officeDocument/2006/relationships/hyperlink" Target="https://analytics.zhihuiya.com/patent-view/abst?patentId=580b9c3e-eaf5-4eb6-bedf-ec1e1d6f98a0" TargetMode="External"/><Relationship Id="rId720" Type="http://schemas.openxmlformats.org/officeDocument/2006/relationships/hyperlink" Target="https://analytics.zhihuiya.com/patent-view/abst?patentId=46d452e8-349f-4b78-86d5-764497d1a756" TargetMode="External"/><Relationship Id="rId1350" Type="http://schemas.openxmlformats.org/officeDocument/2006/relationships/hyperlink" Target="https://analytics.zhihuiya.com/patent-view/abst?patentId=e3aae8f2-e388-45e2-9c89-ff3f008617ac" TargetMode="External"/><Relationship Id="rId2401" Type="http://schemas.openxmlformats.org/officeDocument/2006/relationships/hyperlink" Target="https://analytics.zhihuiya.com/patent-view/abst?patentId=c668ded2-efb9-4e50-905f-9f4e6b5e095b" TargetMode="External"/><Relationship Id="rId4159" Type="http://schemas.openxmlformats.org/officeDocument/2006/relationships/hyperlink" Target="https://analytics.zhihuiya.com/patent-view/abst?patentId=8d7e328a-3894-4db6-8b56-dce1a170f2a5" TargetMode="External"/><Relationship Id="rId1003" Type="http://schemas.openxmlformats.org/officeDocument/2006/relationships/hyperlink" Target="https://analytics.zhihuiya.com/patent-view/abst?patentId=1180a336-5152-42f8-8dfe-9ee06a034faf" TargetMode="External"/><Relationship Id="rId1210" Type="http://schemas.openxmlformats.org/officeDocument/2006/relationships/hyperlink" Target="https://analytics.zhihuiya.com/patent-view/abst?patentId=37a82dec-5bce-46b1-93af-f70d109c06ab" TargetMode="External"/><Relationship Id="rId4366" Type="http://schemas.openxmlformats.org/officeDocument/2006/relationships/hyperlink" Target="https://analytics.zhihuiya.com/patent-view/abst?patentId=9d9d115e-9d98-44aa-a4f1-0c743eb5590f" TargetMode="External"/><Relationship Id="rId3175" Type="http://schemas.openxmlformats.org/officeDocument/2006/relationships/hyperlink" Target="https://analytics.zhihuiya.com/patent-view/abst?patentId=9b438a72-19cf-4843-808b-3285adc9022d" TargetMode="External"/><Relationship Id="rId3382" Type="http://schemas.openxmlformats.org/officeDocument/2006/relationships/hyperlink" Target="https://analytics.zhihuiya.com/patent-view/abst?patentId=45ac0813-4959-4236-8f5e-6fd013b00b32" TargetMode="External"/><Relationship Id="rId4019" Type="http://schemas.openxmlformats.org/officeDocument/2006/relationships/hyperlink" Target="https://analytics.zhihuiya.com/patent-view/abst?patentId=3c36e726-6612-4f8a-824a-5dffb758634b" TargetMode="External"/><Relationship Id="rId4226" Type="http://schemas.openxmlformats.org/officeDocument/2006/relationships/hyperlink" Target="https://analytics.zhihuiya.com/patent-view/abst?patentId=c73fe618-8dcd-48a1-b1a3-bcd097e5978b" TargetMode="External"/><Relationship Id="rId4433" Type="http://schemas.openxmlformats.org/officeDocument/2006/relationships/hyperlink" Target="https://analytics.zhihuiya.com/patent-view/abst?patentId=2d9a8d92-15be-4722-abcf-61c749f10d25" TargetMode="External"/><Relationship Id="rId2191" Type="http://schemas.openxmlformats.org/officeDocument/2006/relationships/hyperlink" Target="https://analytics.zhihuiya.com/patent-view/abst?patentId=b8374e14-37c5-4dbf-9856-2b8e66a4a1fb" TargetMode="External"/><Relationship Id="rId3035" Type="http://schemas.openxmlformats.org/officeDocument/2006/relationships/hyperlink" Target="https://analytics.zhihuiya.com/patent-view/abst?patentId=26cffd82-45f5-446e-b5c6-da09bdaf250a" TargetMode="External"/><Relationship Id="rId3242" Type="http://schemas.openxmlformats.org/officeDocument/2006/relationships/hyperlink" Target="https://analytics.zhihuiya.com/patent-view/abst?patentId=ec1b7f7e-9dfc-48a7-b4cc-345af3ea67d2" TargetMode="External"/><Relationship Id="rId163" Type="http://schemas.openxmlformats.org/officeDocument/2006/relationships/hyperlink" Target="https://analytics.zhihuiya.com/patent-view/abst?patentId=0667939d-7ba9-4364-81d0-ad14ef234206" TargetMode="External"/><Relationship Id="rId370" Type="http://schemas.openxmlformats.org/officeDocument/2006/relationships/hyperlink" Target="https://analytics.zhihuiya.com/patent-view/abst?patentId=e8dbf050-e20d-46ac-bdb6-5534ddc631f7" TargetMode="External"/><Relationship Id="rId2051" Type="http://schemas.openxmlformats.org/officeDocument/2006/relationships/hyperlink" Target="https://analytics.zhihuiya.com/patent-view/abst?patentId=ec3974ba-e977-49a8-a6b0-5e938d2ccf53" TargetMode="External"/><Relationship Id="rId3102" Type="http://schemas.openxmlformats.org/officeDocument/2006/relationships/hyperlink" Target="https://analytics.zhihuiya.com/patent-view/abst?patentId=07a4479b-ddc1-40e3-aacb-785c741ce9bf" TargetMode="External"/><Relationship Id="rId230" Type="http://schemas.openxmlformats.org/officeDocument/2006/relationships/hyperlink" Target="https://analytics.zhihuiya.com/patent-view/abst?patentId=05197e07-b403-4b77-89c4-daa54accc8b4" TargetMode="External"/><Relationship Id="rId2868" Type="http://schemas.openxmlformats.org/officeDocument/2006/relationships/hyperlink" Target="https://analytics.zhihuiya.com/patent-view/abst?patentId=d3640276-fadb-48e3-b250-79fe934d3984" TargetMode="External"/><Relationship Id="rId3919" Type="http://schemas.openxmlformats.org/officeDocument/2006/relationships/hyperlink" Target="https://analytics.zhihuiya.com/patent-view/abst?patentId=c2be35d0-440c-4c45-b99f-1f620ec388b0" TargetMode="External"/><Relationship Id="rId4083" Type="http://schemas.openxmlformats.org/officeDocument/2006/relationships/hyperlink" Target="https://analytics.zhihuiya.com/patent-view/abst?patentId=773c5d49-e92d-4647-ac8e-81a8a3ba2d7b" TargetMode="External"/><Relationship Id="rId1677" Type="http://schemas.openxmlformats.org/officeDocument/2006/relationships/hyperlink" Target="https://analytics.zhihuiya.com/patent-view/abst?patentId=b691f6b0-7980-47b6-9dfb-502408b3bf8b" TargetMode="External"/><Relationship Id="rId1884" Type="http://schemas.openxmlformats.org/officeDocument/2006/relationships/hyperlink" Target="https://analytics.zhihuiya.com/patent-view/abst?patentId=c9f23376-c31d-4afe-8c0b-39217a1df32c" TargetMode="External"/><Relationship Id="rId2728" Type="http://schemas.openxmlformats.org/officeDocument/2006/relationships/hyperlink" Target="https://analytics.zhihuiya.com/patent-view/abst?patentId=730bb218-d95c-4522-b06f-1c94132c399f" TargetMode="External"/><Relationship Id="rId2935" Type="http://schemas.openxmlformats.org/officeDocument/2006/relationships/hyperlink" Target="https://analytics.zhihuiya.com/patent-view/abst?patentId=4ca53aa3-26a5-44f9-a600-8419416613c0" TargetMode="External"/><Relationship Id="rId4290" Type="http://schemas.openxmlformats.org/officeDocument/2006/relationships/hyperlink" Target="https://analytics.zhihuiya.com/patent-view/abst?patentId=d052b4ae-2c96-443c-b332-41c35807adbf" TargetMode="External"/><Relationship Id="rId907" Type="http://schemas.openxmlformats.org/officeDocument/2006/relationships/hyperlink" Target="https://analytics.zhihuiya.com/patent-view/abst?patentId=b6c994b6-a931-409c-9b1e-45094bb5b7bb" TargetMode="External"/><Relationship Id="rId1537" Type="http://schemas.openxmlformats.org/officeDocument/2006/relationships/hyperlink" Target="https://analytics.zhihuiya.com/patent-view/abst?patentId=76a1f5f2-6693-48fb-a5ed-25bcea358f75" TargetMode="External"/><Relationship Id="rId1744" Type="http://schemas.openxmlformats.org/officeDocument/2006/relationships/hyperlink" Target="https://analytics.zhihuiya.com/patent-view/abst?patentId=1d5d689f-5811-4323-816c-8dc97777750a" TargetMode="External"/><Relationship Id="rId1951" Type="http://schemas.openxmlformats.org/officeDocument/2006/relationships/hyperlink" Target="https://analytics.zhihuiya.com/patent-view/abst?patentId=481da118-2e39-4c7d-81c2-9ff05920985b" TargetMode="External"/><Relationship Id="rId4150" Type="http://schemas.openxmlformats.org/officeDocument/2006/relationships/hyperlink" Target="https://analytics.zhihuiya.com/patent-view/abst?patentId=d713be7d-0cbf-4c11-81d9-8378c4e97c5f" TargetMode="External"/><Relationship Id="rId36" Type="http://schemas.openxmlformats.org/officeDocument/2006/relationships/hyperlink" Target="https://analytics.zhihuiya.com/patent-view/abst?patentId=4e6a1bb2-9095-4b05-aeb9-45b2d50323cb" TargetMode="External"/><Relationship Id="rId1604" Type="http://schemas.openxmlformats.org/officeDocument/2006/relationships/hyperlink" Target="https://analytics.zhihuiya.com/patent-view/abst?patentId=e82db5cf-3ddc-4b24-9c87-cce4f66cf39d" TargetMode="External"/><Relationship Id="rId4010" Type="http://schemas.openxmlformats.org/officeDocument/2006/relationships/hyperlink" Target="https://analytics.zhihuiya.com/patent-view/abst?patentId=f434c8bd-ed25-467e-944b-82fb4a5a16dd" TargetMode="External"/><Relationship Id="rId1811" Type="http://schemas.openxmlformats.org/officeDocument/2006/relationships/hyperlink" Target="https://analytics.zhihuiya.com/patent-view/abst?patentId=30a127ec-61f5-4395-9c47-798435dddb8c" TargetMode="External"/><Relationship Id="rId3569" Type="http://schemas.openxmlformats.org/officeDocument/2006/relationships/hyperlink" Target="https://analytics.zhihuiya.com/patent-view/abst?patentId=72900ca4-f3b6-4b8c-a2be-dff78d272ff6" TargetMode="External"/><Relationship Id="rId697" Type="http://schemas.openxmlformats.org/officeDocument/2006/relationships/hyperlink" Target="https://analytics.zhihuiya.com/patent-view/abst?patentId=11e47c67-532c-4298-bf37-22a49401d3f7" TargetMode="External"/><Relationship Id="rId2378" Type="http://schemas.openxmlformats.org/officeDocument/2006/relationships/hyperlink" Target="https://analytics.zhihuiya.com/patent-view/abst?patentId=c63c6936-978a-408c-a812-230504843cbb" TargetMode="External"/><Relationship Id="rId3429" Type="http://schemas.openxmlformats.org/officeDocument/2006/relationships/hyperlink" Target="https://analytics.zhihuiya.com/patent-view/abst?patentId=03956f6f-e879-45df-a028-2bee99d5b579" TargetMode="External"/><Relationship Id="rId3776" Type="http://schemas.openxmlformats.org/officeDocument/2006/relationships/hyperlink" Target="https://analytics.zhihuiya.com/patent-view/abst?patentId=77b2a08b-464a-40d8-a498-bade073d7148" TargetMode="External"/><Relationship Id="rId3983" Type="http://schemas.openxmlformats.org/officeDocument/2006/relationships/hyperlink" Target="https://analytics.zhihuiya.com/patent-view/abst?patentId=a7978d0e-6bd5-48ff-bbc9-2923b72a02b5" TargetMode="External"/><Relationship Id="rId1187" Type="http://schemas.openxmlformats.org/officeDocument/2006/relationships/hyperlink" Target="https://analytics.zhihuiya.com/patent-view/abst?patentId=317efaca-ca71-486c-b550-685f589e30c3" TargetMode="External"/><Relationship Id="rId2585" Type="http://schemas.openxmlformats.org/officeDocument/2006/relationships/hyperlink" Target="https://analytics.zhihuiya.com/patent-view/abst?patentId=5c1c903a-0428-4bec-b975-7bf59dc5571e" TargetMode="External"/><Relationship Id="rId2792" Type="http://schemas.openxmlformats.org/officeDocument/2006/relationships/hyperlink" Target="https://analytics.zhihuiya.com/patent-view/abst?patentId=2aa91767-13a4-431e-8013-1a36ea0ba4a2" TargetMode="External"/><Relationship Id="rId3636" Type="http://schemas.openxmlformats.org/officeDocument/2006/relationships/hyperlink" Target="https://analytics.zhihuiya.com/patent-view/abst?patentId=b045f437-456b-4238-a686-f1b93c0d08bc" TargetMode="External"/><Relationship Id="rId3843" Type="http://schemas.openxmlformats.org/officeDocument/2006/relationships/hyperlink" Target="https://analytics.zhihuiya.com/patent-view/abst?patentId=5f2a1a60-de54-4cd1-9d73-936e7fc7d047" TargetMode="External"/><Relationship Id="rId557" Type="http://schemas.openxmlformats.org/officeDocument/2006/relationships/hyperlink" Target="https://analytics.zhihuiya.com/patent-view/abst?patentId=bc12b999-c8b8-474c-8eac-7ac496b208f3" TargetMode="External"/><Relationship Id="rId764" Type="http://schemas.openxmlformats.org/officeDocument/2006/relationships/hyperlink" Target="https://analytics.zhihuiya.com/patent-view/abst?patentId=f55ce190-f7f4-4e27-a0ba-191db6ef92d4" TargetMode="External"/><Relationship Id="rId971" Type="http://schemas.openxmlformats.org/officeDocument/2006/relationships/hyperlink" Target="https://analytics.zhihuiya.com/patent-view/abst?patentId=c1a05d65-989b-4b05-968d-7a1577900ee4" TargetMode="External"/><Relationship Id="rId1394" Type="http://schemas.openxmlformats.org/officeDocument/2006/relationships/hyperlink" Target="https://analytics.zhihuiya.com/patent-view/abst?patentId=4d49cd18-52af-4c94-958b-c7a94f0bbed6" TargetMode="External"/><Relationship Id="rId2238" Type="http://schemas.openxmlformats.org/officeDocument/2006/relationships/hyperlink" Target="https://analytics.zhihuiya.com/patent-view/abst?patentId=3138d00a-cca7-487c-968d-33d1ee6f822b" TargetMode="External"/><Relationship Id="rId2445" Type="http://schemas.openxmlformats.org/officeDocument/2006/relationships/hyperlink" Target="https://analytics.zhihuiya.com/patent-view/abst?patentId=b62051f9-c882-4fcf-ae14-dc9399bb3fd5" TargetMode="External"/><Relationship Id="rId2652" Type="http://schemas.openxmlformats.org/officeDocument/2006/relationships/hyperlink" Target="https://analytics.zhihuiya.com/patent-view/abst?patentId=3e558c81-7fc9-43b3-ad81-a1bc4edea8c4" TargetMode="External"/><Relationship Id="rId3703" Type="http://schemas.openxmlformats.org/officeDocument/2006/relationships/hyperlink" Target="https://analytics.zhihuiya.com/patent-view/abst?patentId=955dfb7b-75ac-4d50-ad97-b4dc97225fee" TargetMode="External"/><Relationship Id="rId3910" Type="http://schemas.openxmlformats.org/officeDocument/2006/relationships/hyperlink" Target="https://analytics.zhihuiya.com/patent-view/abst?patentId=af9cd619-1810-4e98-bd87-c1db24486e1d" TargetMode="External"/><Relationship Id="rId417" Type="http://schemas.openxmlformats.org/officeDocument/2006/relationships/hyperlink" Target="https://analytics.zhihuiya.com/patent-view/abst?patentId=d48c9fbd-9ee2-4b19-8281-a0311c8ed111" TargetMode="External"/><Relationship Id="rId624" Type="http://schemas.openxmlformats.org/officeDocument/2006/relationships/hyperlink" Target="https://analytics.zhihuiya.com/patent-view/abst?patentId=d263723f-ea99-414a-b2f4-d2eedcbe09b1" TargetMode="External"/><Relationship Id="rId831" Type="http://schemas.openxmlformats.org/officeDocument/2006/relationships/hyperlink" Target="https://analytics.zhihuiya.com/patent-view/abst?patentId=759ed3f8-42f6-4a9a-9a00-ea899db100e3" TargetMode="External"/><Relationship Id="rId1047" Type="http://schemas.openxmlformats.org/officeDocument/2006/relationships/hyperlink" Target="https://analytics.zhihuiya.com/patent-view/abst?patentId=9337c9db-c826-4b84-a475-ca86333f8e43" TargetMode="External"/><Relationship Id="rId1254" Type="http://schemas.openxmlformats.org/officeDocument/2006/relationships/hyperlink" Target="https://analytics.zhihuiya.com/patent-view/abst?patentId=eee6da71-9de2-456f-a6a5-0601909951b5" TargetMode="External"/><Relationship Id="rId1461" Type="http://schemas.openxmlformats.org/officeDocument/2006/relationships/hyperlink" Target="https://analytics.zhihuiya.com/patent-view/abst?patentId=66ab15e4-0c7d-4219-b99d-b96ba1f5ae56" TargetMode="External"/><Relationship Id="rId2305" Type="http://schemas.openxmlformats.org/officeDocument/2006/relationships/hyperlink" Target="https://analytics.zhihuiya.com/patent-view/abst?patentId=4667b290-ef1b-4c67-8095-5a6c52aac621" TargetMode="External"/><Relationship Id="rId2512" Type="http://schemas.openxmlformats.org/officeDocument/2006/relationships/hyperlink" Target="https://analytics.zhihuiya.com/patent-view/abst?patentId=90f81bbb-90b9-4488-806d-d76fc16315e2" TargetMode="External"/><Relationship Id="rId1114" Type="http://schemas.openxmlformats.org/officeDocument/2006/relationships/hyperlink" Target="https://analytics.zhihuiya.com/patent-view/abst?patentId=8567032d-8a40-44fe-8cf6-11b15d55311f" TargetMode="External"/><Relationship Id="rId1321" Type="http://schemas.openxmlformats.org/officeDocument/2006/relationships/hyperlink" Target="https://analytics.zhihuiya.com/patent-view/abst?patentId=b3583bbe-defe-4157-a324-5e7f1bdffd0f" TargetMode="External"/><Relationship Id="rId3079" Type="http://schemas.openxmlformats.org/officeDocument/2006/relationships/hyperlink" Target="https://analytics.zhihuiya.com/patent-view/abst?patentId=4b316b4e-8ceb-4f97-9187-ab4cd2d54202" TargetMode="External"/><Relationship Id="rId3286" Type="http://schemas.openxmlformats.org/officeDocument/2006/relationships/hyperlink" Target="https://analytics.zhihuiya.com/patent-view/abst?patentId=d151feff-dfe8-4fbd-b3ef-5a47ba84dbff" TargetMode="External"/><Relationship Id="rId3493" Type="http://schemas.openxmlformats.org/officeDocument/2006/relationships/hyperlink" Target="https://analytics.zhihuiya.com/patent-view/abst?patentId=e0c5aa97-6a35-461a-a3d6-6dd146d792b7" TargetMode="External"/><Relationship Id="rId4337" Type="http://schemas.openxmlformats.org/officeDocument/2006/relationships/hyperlink" Target="https://analytics.zhihuiya.com/patent-view/abst?patentId=ce4f17c2-a4f9-413a-a589-fb80ba330d2d" TargetMode="External"/><Relationship Id="rId2095" Type="http://schemas.openxmlformats.org/officeDocument/2006/relationships/hyperlink" Target="https://analytics.zhihuiya.com/patent-view/abst?patentId=abd080a1-ce42-4f97-8906-11d6c77b3185" TargetMode="External"/><Relationship Id="rId3146" Type="http://schemas.openxmlformats.org/officeDocument/2006/relationships/hyperlink" Target="https://analytics.zhihuiya.com/patent-view/abst?patentId=b46e3d7f-4dd6-4657-9ade-be12e4958bcb" TargetMode="External"/><Relationship Id="rId3353" Type="http://schemas.openxmlformats.org/officeDocument/2006/relationships/hyperlink" Target="https://analytics.zhihuiya.com/patent-view/abst?patentId=9855fe51-75e1-4d48-aa33-87e5a57b3604" TargetMode="External"/><Relationship Id="rId274" Type="http://schemas.openxmlformats.org/officeDocument/2006/relationships/hyperlink" Target="https://analytics.zhihuiya.com/patent-view/abst?patentId=e6ff7b5c-11b0-4c3f-addb-a5375e993bba" TargetMode="External"/><Relationship Id="rId481" Type="http://schemas.openxmlformats.org/officeDocument/2006/relationships/hyperlink" Target="https://analytics.zhihuiya.com/patent-view/abst?patentId=a8f71d52-f7ed-4b59-ab5a-5fd096ef27ec" TargetMode="External"/><Relationship Id="rId2162" Type="http://schemas.openxmlformats.org/officeDocument/2006/relationships/hyperlink" Target="https://analytics.zhihuiya.com/patent-view/abst?patentId=74e91de6-4f6d-4cda-b6b6-6c9edc6c3b57" TargetMode="External"/><Relationship Id="rId3006" Type="http://schemas.openxmlformats.org/officeDocument/2006/relationships/hyperlink" Target="https://analytics.zhihuiya.com/patent-view/abst?patentId=a0276f4c-b37e-4a4a-a577-50c0f12fc57a" TargetMode="External"/><Relationship Id="rId3560" Type="http://schemas.openxmlformats.org/officeDocument/2006/relationships/hyperlink" Target="https://analytics.zhihuiya.com/patent-view/abst?patentId=1792bdeb-8dd5-40ba-a3fb-6a7188f2fa4a" TargetMode="External"/><Relationship Id="rId4404" Type="http://schemas.openxmlformats.org/officeDocument/2006/relationships/hyperlink" Target="https://analytics.zhihuiya.com/patent-view/abst?patentId=cde520f2-89ae-432b-87d0-ea864a285e21" TargetMode="External"/><Relationship Id="rId134" Type="http://schemas.openxmlformats.org/officeDocument/2006/relationships/hyperlink" Target="https://analytics.zhihuiya.com/patent-view/abst?patentId=5e30b1f6-1d94-4360-a6a1-ccf7ff7b8c83" TargetMode="External"/><Relationship Id="rId3213" Type="http://schemas.openxmlformats.org/officeDocument/2006/relationships/hyperlink" Target="https://analytics.zhihuiya.com/patent-view/abst?patentId=743ddf58-48b5-4f57-8af2-f2186b4f97a0" TargetMode="External"/><Relationship Id="rId3420" Type="http://schemas.openxmlformats.org/officeDocument/2006/relationships/hyperlink" Target="https://analytics.zhihuiya.com/patent-view/abst?patentId=57c3afe8-29a8-46da-a1fd-7c2b3953c95c" TargetMode="External"/><Relationship Id="rId341" Type="http://schemas.openxmlformats.org/officeDocument/2006/relationships/hyperlink" Target="https://analytics.zhihuiya.com/patent-view/abst?patentId=337788ef-6250-49a8-99f5-bf8118ac5d7c" TargetMode="External"/><Relationship Id="rId2022" Type="http://schemas.openxmlformats.org/officeDocument/2006/relationships/hyperlink" Target="https://analytics.zhihuiya.com/patent-view/abst?patentId=67a85d47-473d-48c5-bf7b-210d06a551d5" TargetMode="External"/><Relationship Id="rId2979" Type="http://schemas.openxmlformats.org/officeDocument/2006/relationships/hyperlink" Target="https://analytics.zhihuiya.com/patent-view/abst?patentId=4e8951a6-0d1e-4812-a274-0fac84fe0313" TargetMode="External"/><Relationship Id="rId201" Type="http://schemas.openxmlformats.org/officeDocument/2006/relationships/hyperlink" Target="https://analytics.zhihuiya.com/patent-view/abst?patentId=d91e0102-c7b0-4b7d-91d2-bacfcaa96bdc" TargetMode="External"/><Relationship Id="rId1788" Type="http://schemas.openxmlformats.org/officeDocument/2006/relationships/hyperlink" Target="https://analytics.zhihuiya.com/patent-view/abst?patentId=19acbdd9-c6dc-46bc-8d8e-42df3efede53" TargetMode="External"/><Relationship Id="rId1995" Type="http://schemas.openxmlformats.org/officeDocument/2006/relationships/hyperlink" Target="https://analytics.zhihuiya.com/patent-view/abst?patentId=b2507c58-edc0-4946-91c2-e3a27ccb002b" TargetMode="External"/><Relationship Id="rId2839" Type="http://schemas.openxmlformats.org/officeDocument/2006/relationships/hyperlink" Target="https://analytics.zhihuiya.com/patent-view/abst?patentId=4ac6df1d-bf7f-4c2e-a5b5-242cacbc2eb6" TargetMode="External"/><Relationship Id="rId4194" Type="http://schemas.openxmlformats.org/officeDocument/2006/relationships/hyperlink" Target="https://analytics.zhihuiya.com/patent-view/abst?patentId=94ef50cd-6229-4bb2-81ac-6af76ce4bf48" TargetMode="External"/><Relationship Id="rId1648" Type="http://schemas.openxmlformats.org/officeDocument/2006/relationships/hyperlink" Target="https://analytics.zhihuiya.com/patent-view/abst?patentId=b4981463-1cd5-4768-bfeb-6f636b016253" TargetMode="External"/><Relationship Id="rId4054" Type="http://schemas.openxmlformats.org/officeDocument/2006/relationships/hyperlink" Target="https://analytics.zhihuiya.com/patent-view/abst?patentId=860491b1-e21a-44b1-b816-85c3ed87f0c3" TargetMode="External"/><Relationship Id="rId4261" Type="http://schemas.openxmlformats.org/officeDocument/2006/relationships/hyperlink" Target="https://analytics.zhihuiya.com/patent-view/abst?patentId=4caa8396-a115-40c3-887b-4554adb91638" TargetMode="External"/><Relationship Id="rId1508" Type="http://schemas.openxmlformats.org/officeDocument/2006/relationships/hyperlink" Target="https://analytics.zhihuiya.com/patent-view/abst?patentId=14cb6305-b4b8-45bb-86a8-a68dd373ea5c" TargetMode="External"/><Relationship Id="rId1855" Type="http://schemas.openxmlformats.org/officeDocument/2006/relationships/hyperlink" Target="https://analytics.zhihuiya.com/patent-view/abst?patentId=b489194f-3cff-4253-9e49-e29d8ca3584d" TargetMode="External"/><Relationship Id="rId2906" Type="http://schemas.openxmlformats.org/officeDocument/2006/relationships/hyperlink" Target="https://analytics.zhihuiya.com/patent-view/abst?patentId=268f715e-0724-417d-83a7-f29b9183bf42" TargetMode="External"/><Relationship Id="rId3070" Type="http://schemas.openxmlformats.org/officeDocument/2006/relationships/hyperlink" Target="https://analytics.zhihuiya.com/patent-view/abst?patentId=33bea1a1-3779-44e9-a4de-e123c7438200" TargetMode="External"/><Relationship Id="rId4121" Type="http://schemas.openxmlformats.org/officeDocument/2006/relationships/hyperlink" Target="https://analytics.zhihuiya.com/patent-view/abst?patentId=58d3a9d3-3cbc-44a9-8c27-542ff314230b" TargetMode="External"/><Relationship Id="rId1715" Type="http://schemas.openxmlformats.org/officeDocument/2006/relationships/hyperlink" Target="https://analytics.zhihuiya.com/patent-view/abst?patentId=e805d9df-2e1d-4bdd-85ce-43fd28e16e99" TargetMode="External"/><Relationship Id="rId1922" Type="http://schemas.openxmlformats.org/officeDocument/2006/relationships/hyperlink" Target="https://analytics.zhihuiya.com/patent-view/abst?patentId=58ab5615-6535-474c-a360-df331bda5543" TargetMode="External"/><Relationship Id="rId3887" Type="http://schemas.openxmlformats.org/officeDocument/2006/relationships/hyperlink" Target="https://analytics.zhihuiya.com/patent-view/abst?patentId=370a0396-5552-46e8-b67c-8af70c293cae" TargetMode="External"/><Relationship Id="rId2489" Type="http://schemas.openxmlformats.org/officeDocument/2006/relationships/hyperlink" Target="https://analytics.zhihuiya.com/patent-view/abst?patentId=f526119e-6c0b-4481-8b7c-466018da3303" TargetMode="External"/><Relationship Id="rId2696" Type="http://schemas.openxmlformats.org/officeDocument/2006/relationships/hyperlink" Target="https://analytics.zhihuiya.com/patent-view/abst?patentId=1910027c-7b7e-4b07-a3cc-4ec82518b1f9" TargetMode="External"/><Relationship Id="rId3747" Type="http://schemas.openxmlformats.org/officeDocument/2006/relationships/hyperlink" Target="https://analytics.zhihuiya.com/patent-view/abst?patentId=3e9a97df-8fc1-4493-ab94-007f73e01f33" TargetMode="External"/><Relationship Id="rId3954" Type="http://schemas.openxmlformats.org/officeDocument/2006/relationships/hyperlink" Target="https://analytics.zhihuiya.com/patent-view/abst?patentId=a77778cf-7a5d-4d7b-836d-358e0e4e45ab" TargetMode="External"/><Relationship Id="rId668" Type="http://schemas.openxmlformats.org/officeDocument/2006/relationships/hyperlink" Target="https://analytics.zhihuiya.com/patent-view/abst?patentId=f08f35fd-49cd-4fb3-936e-9c3663191dbf" TargetMode="External"/><Relationship Id="rId875" Type="http://schemas.openxmlformats.org/officeDocument/2006/relationships/hyperlink" Target="https://analytics.zhihuiya.com/patent-view/abst?patentId=61eec3bb-f7c5-4737-aa28-f1740115acae" TargetMode="External"/><Relationship Id="rId1298" Type="http://schemas.openxmlformats.org/officeDocument/2006/relationships/hyperlink" Target="https://analytics.zhihuiya.com/patent-view/abst?patentId=42d080fc-0860-46a0-a12d-f2a6643f609d" TargetMode="External"/><Relationship Id="rId2349" Type="http://schemas.openxmlformats.org/officeDocument/2006/relationships/hyperlink" Target="https://analytics.zhihuiya.com/patent-view/abst?patentId=0ae5507b-7c27-465c-85de-2251716b42fb" TargetMode="External"/><Relationship Id="rId2556" Type="http://schemas.openxmlformats.org/officeDocument/2006/relationships/hyperlink" Target="https://analytics.zhihuiya.com/patent-view/abst?patentId=764d692a-5166-4394-ac2e-fbd6e4987bf0" TargetMode="External"/><Relationship Id="rId2763" Type="http://schemas.openxmlformats.org/officeDocument/2006/relationships/hyperlink" Target="https://analytics.zhihuiya.com/patent-view/abst?patentId=c3817283-9dc4-485e-b302-0df53e7d5512" TargetMode="External"/><Relationship Id="rId2970" Type="http://schemas.openxmlformats.org/officeDocument/2006/relationships/hyperlink" Target="https://analytics.zhihuiya.com/patent-view/abst?patentId=3547d86b-fbd7-42f2-bcb9-ead08704e14f" TargetMode="External"/><Relationship Id="rId3607" Type="http://schemas.openxmlformats.org/officeDocument/2006/relationships/hyperlink" Target="https://analytics.zhihuiya.com/patent-view/abst?patentId=9afc904b-533e-492b-aefb-32d98234001e" TargetMode="External"/><Relationship Id="rId3814" Type="http://schemas.openxmlformats.org/officeDocument/2006/relationships/hyperlink" Target="https://analytics.zhihuiya.com/patent-view/abst?patentId=cae189ea-9a48-4d2b-b68b-96a6a3a9ac2b" TargetMode="External"/><Relationship Id="rId528" Type="http://schemas.openxmlformats.org/officeDocument/2006/relationships/hyperlink" Target="https://analytics.zhihuiya.com/patent-view/abst?patentId=d97f81d7-158e-40a9-b688-0353ef559a45" TargetMode="External"/><Relationship Id="rId735" Type="http://schemas.openxmlformats.org/officeDocument/2006/relationships/hyperlink" Target="https://analytics.zhihuiya.com/patent-view/abst?patentId=a53c32e5-62b2-457a-94be-3b1c7601232f" TargetMode="External"/><Relationship Id="rId942" Type="http://schemas.openxmlformats.org/officeDocument/2006/relationships/hyperlink" Target="https://analytics.zhihuiya.com/patent-view/abst?patentId=c64ef4cb-8e37-4272-9944-c378fbf9fcb3" TargetMode="External"/><Relationship Id="rId1158" Type="http://schemas.openxmlformats.org/officeDocument/2006/relationships/hyperlink" Target="https://analytics.zhihuiya.com/patent-view/abst?patentId=3c14fa2f-06b5-4ca0-8c7e-82740cf8a6af" TargetMode="External"/><Relationship Id="rId1365" Type="http://schemas.openxmlformats.org/officeDocument/2006/relationships/hyperlink" Target="https://analytics.zhihuiya.com/patent-view/abst?patentId=50c456f6-eb8c-4454-88c2-a0cfe3961095" TargetMode="External"/><Relationship Id="rId1572" Type="http://schemas.openxmlformats.org/officeDocument/2006/relationships/hyperlink" Target="https://analytics.zhihuiya.com/patent-view/abst?patentId=a978ce39-457b-46c1-89a8-6341860beadc" TargetMode="External"/><Relationship Id="rId2209" Type="http://schemas.openxmlformats.org/officeDocument/2006/relationships/hyperlink" Target="https://analytics.zhihuiya.com/patent-view/abst?patentId=47272a07-3414-4e53-9a67-75a9ed709379" TargetMode="External"/><Relationship Id="rId2416" Type="http://schemas.openxmlformats.org/officeDocument/2006/relationships/hyperlink" Target="https://analytics.zhihuiya.com/patent-view/abst?patentId=90efb265-3f40-4645-987c-5d3f56e25063" TargetMode="External"/><Relationship Id="rId2623" Type="http://schemas.openxmlformats.org/officeDocument/2006/relationships/hyperlink" Target="https://analytics.zhihuiya.com/patent-view/abst?patentId=25905ddf-a7f3-460d-894b-b09df7242210" TargetMode="External"/><Relationship Id="rId1018" Type="http://schemas.openxmlformats.org/officeDocument/2006/relationships/hyperlink" Target="https://analytics.zhihuiya.com/patent-view/abst?patentId=9a68489f-9fcb-49bb-ada8-d6c8a8275464" TargetMode="External"/><Relationship Id="rId1225" Type="http://schemas.openxmlformats.org/officeDocument/2006/relationships/hyperlink" Target="https://analytics.zhihuiya.com/patent-view/abst?patentId=6c8fd754-dbd7-4b0e-988a-7260e8c3737c" TargetMode="External"/><Relationship Id="rId1432" Type="http://schemas.openxmlformats.org/officeDocument/2006/relationships/hyperlink" Target="https://analytics.zhihuiya.com/patent-view/abst?patentId=a9a8e5b3-ff66-4ece-b22c-0ce0df605950" TargetMode="External"/><Relationship Id="rId2830" Type="http://schemas.openxmlformats.org/officeDocument/2006/relationships/hyperlink" Target="https://analytics.zhihuiya.com/patent-view/abst?patentId=9e5578f8-92a6-4e9f-ba3c-8bfa46cab312" TargetMode="External"/><Relationship Id="rId71" Type="http://schemas.openxmlformats.org/officeDocument/2006/relationships/hyperlink" Target="https://analytics.zhihuiya.com/patent-view/abst?patentId=4d9e0fb0-3911-4b09-a9ba-e81e2b6e746f" TargetMode="External"/><Relationship Id="rId802" Type="http://schemas.openxmlformats.org/officeDocument/2006/relationships/hyperlink" Target="https://analytics.zhihuiya.com/patent-view/abst?patentId=a6bd5388-5849-4989-9d82-307a76d4213b" TargetMode="External"/><Relationship Id="rId3397" Type="http://schemas.openxmlformats.org/officeDocument/2006/relationships/hyperlink" Target="https://analytics.zhihuiya.com/patent-view/abst?patentId=b6ed54d4-5b54-413a-80eb-32cc7520cf0f" TargetMode="External"/><Relationship Id="rId4448" Type="http://schemas.openxmlformats.org/officeDocument/2006/relationships/hyperlink" Target="https://analytics.zhihuiya.com/patent-view/abst?patentId=dcc9d06e-fbc5-4b63-b8e6-aff6ced12691" TargetMode="External"/><Relationship Id="rId178" Type="http://schemas.openxmlformats.org/officeDocument/2006/relationships/hyperlink" Target="https://analytics.zhihuiya.com/patent-view/abst?patentId=ad772b13-825a-4843-9964-25cac3d264f6" TargetMode="External"/><Relationship Id="rId3257" Type="http://schemas.openxmlformats.org/officeDocument/2006/relationships/hyperlink" Target="https://analytics.zhihuiya.com/patent-view/abst?patentId=e8db83f1-c310-44a4-b9bf-65b77db37dec" TargetMode="External"/><Relationship Id="rId3464" Type="http://schemas.openxmlformats.org/officeDocument/2006/relationships/hyperlink" Target="https://analytics.zhihuiya.com/patent-view/abst?patentId=019de858-bf5c-4f6a-ae97-b09333655158" TargetMode="External"/><Relationship Id="rId3671" Type="http://schemas.openxmlformats.org/officeDocument/2006/relationships/hyperlink" Target="https://analytics.zhihuiya.com/patent-view/abst?patentId=9ff51c44-f16f-4f31-9a1f-b77db6cfb28b" TargetMode="External"/><Relationship Id="rId4308" Type="http://schemas.openxmlformats.org/officeDocument/2006/relationships/hyperlink" Target="https://analytics.zhihuiya.com/patent-view/abst?patentId=8e241dac-51d9-4b17-b848-de140f3089d7" TargetMode="External"/><Relationship Id="rId385" Type="http://schemas.openxmlformats.org/officeDocument/2006/relationships/hyperlink" Target="https://analytics.zhihuiya.com/patent-view/abst?patentId=3bd0783a-7c51-4083-8271-9d3a0e29923a" TargetMode="External"/><Relationship Id="rId592" Type="http://schemas.openxmlformats.org/officeDocument/2006/relationships/hyperlink" Target="https://analytics.zhihuiya.com/patent-view/abst?patentId=bd035c07-4c08-4c77-85f0-32912ef254f2" TargetMode="External"/><Relationship Id="rId2066" Type="http://schemas.openxmlformats.org/officeDocument/2006/relationships/hyperlink" Target="https://analytics.zhihuiya.com/patent-view/abst?patentId=66557302-4b1d-4167-a615-9effed5b6d54" TargetMode="External"/><Relationship Id="rId2273" Type="http://schemas.openxmlformats.org/officeDocument/2006/relationships/hyperlink" Target="https://analytics.zhihuiya.com/patent-view/abst?patentId=2572f835-09a1-4c62-b46a-e4d444b4a859" TargetMode="External"/><Relationship Id="rId2480" Type="http://schemas.openxmlformats.org/officeDocument/2006/relationships/hyperlink" Target="https://analytics.zhihuiya.com/patent-view/abst?patentId=fafcde3d-c926-47d8-854b-11a11b5e5575" TargetMode="External"/><Relationship Id="rId3117" Type="http://schemas.openxmlformats.org/officeDocument/2006/relationships/hyperlink" Target="https://analytics.zhihuiya.com/patent-view/abst?patentId=bdcdbda0-7044-4ec8-966f-54af7db53f50" TargetMode="External"/><Relationship Id="rId3324" Type="http://schemas.openxmlformats.org/officeDocument/2006/relationships/hyperlink" Target="https://analytics.zhihuiya.com/patent-view/abst?patentId=0dc6eef1-21c8-4a80-949f-a593d274f659" TargetMode="External"/><Relationship Id="rId3531" Type="http://schemas.openxmlformats.org/officeDocument/2006/relationships/hyperlink" Target="https://analytics.zhihuiya.com/patent-view/abst?patentId=1da6c6ea-af23-430f-892d-815005cd46ec" TargetMode="External"/><Relationship Id="rId245" Type="http://schemas.openxmlformats.org/officeDocument/2006/relationships/hyperlink" Target="https://analytics.zhihuiya.com/patent-view/abst?patentId=70a090d1-fe0e-4034-bcec-7449df6679bb" TargetMode="External"/><Relationship Id="rId452" Type="http://schemas.openxmlformats.org/officeDocument/2006/relationships/hyperlink" Target="https://analytics.zhihuiya.com/patent-view/abst?patentId=3af654cd-29fa-4f76-b7df-c3513eb6984d" TargetMode="External"/><Relationship Id="rId1082" Type="http://schemas.openxmlformats.org/officeDocument/2006/relationships/hyperlink" Target="https://analytics.zhihuiya.com/patent-view/abst?patentId=400f8291-b11e-462f-aa07-ec79056f8060" TargetMode="External"/><Relationship Id="rId2133" Type="http://schemas.openxmlformats.org/officeDocument/2006/relationships/hyperlink" Target="https://analytics.zhihuiya.com/patent-view/abst?patentId=c3d5514e-d460-49c6-9be2-9527a3c71f5b" TargetMode="External"/><Relationship Id="rId2340" Type="http://schemas.openxmlformats.org/officeDocument/2006/relationships/hyperlink" Target="https://analytics.zhihuiya.com/patent-view/abst?patentId=2ce9ac85-35dd-4a90-9e87-fbe6134bea3c" TargetMode="External"/><Relationship Id="rId105" Type="http://schemas.openxmlformats.org/officeDocument/2006/relationships/hyperlink" Target="https://analytics.zhihuiya.com/patent-view/abst?patentId=8c4f4826-e5c0-46e4-8c0c-1dff97a77b72" TargetMode="External"/><Relationship Id="rId312" Type="http://schemas.openxmlformats.org/officeDocument/2006/relationships/hyperlink" Target="https://analytics.zhihuiya.com/patent-view/abst?patentId=443777d0-56e8-47a6-b35d-857f05c87451" TargetMode="External"/><Relationship Id="rId2200" Type="http://schemas.openxmlformats.org/officeDocument/2006/relationships/hyperlink" Target="https://analytics.zhihuiya.com/patent-view/abst?patentId=a082d741-10ed-4e2a-afef-50a107a7665a" TargetMode="External"/><Relationship Id="rId4098" Type="http://schemas.openxmlformats.org/officeDocument/2006/relationships/hyperlink" Target="https://analytics.zhihuiya.com/patent-view/abst?patentId=1438f8f8-4b23-479f-bc4f-15a5308bdb77" TargetMode="External"/><Relationship Id="rId1899" Type="http://schemas.openxmlformats.org/officeDocument/2006/relationships/hyperlink" Target="https://analytics.zhihuiya.com/patent-view/abst?patentId=1e997b49-58ed-407c-a8b6-dad7e24c7d80" TargetMode="External"/><Relationship Id="rId4165" Type="http://schemas.openxmlformats.org/officeDocument/2006/relationships/hyperlink" Target="https://analytics.zhihuiya.com/patent-view/abst?patentId=0147f9c6-f28e-41a0-adf8-61645ac5d98a" TargetMode="External"/><Relationship Id="rId4372" Type="http://schemas.openxmlformats.org/officeDocument/2006/relationships/hyperlink" Target="https://analytics.zhihuiya.com/patent-view/abst?patentId=8f2c31e2-0ea8-4a4f-880e-1c2db9f17349" TargetMode="External"/><Relationship Id="rId1759" Type="http://schemas.openxmlformats.org/officeDocument/2006/relationships/hyperlink" Target="https://analytics.zhihuiya.com/patent-view/abst?patentId=3fc93d53-c82b-4d27-b266-b3d4afc1ad75" TargetMode="External"/><Relationship Id="rId1966" Type="http://schemas.openxmlformats.org/officeDocument/2006/relationships/hyperlink" Target="https://analytics.zhihuiya.com/patent-view/abst?patentId=453c0d65-80a6-4f68-866c-0f146d692001" TargetMode="External"/><Relationship Id="rId3181" Type="http://schemas.openxmlformats.org/officeDocument/2006/relationships/hyperlink" Target="https://analytics.zhihuiya.com/patent-view/abst?patentId=243e2fdf-b2b7-448a-9dd3-b8ef03b983fb" TargetMode="External"/><Relationship Id="rId4025" Type="http://schemas.openxmlformats.org/officeDocument/2006/relationships/hyperlink" Target="https://analytics.zhihuiya.com/patent-view/abst?patentId=ec732795-fb48-4d08-993c-e9fff8cc0acb" TargetMode="External"/><Relationship Id="rId1619" Type="http://schemas.openxmlformats.org/officeDocument/2006/relationships/hyperlink" Target="https://analytics.zhihuiya.com/patent-view/abst?patentId=e4ee0f7a-fbaa-4389-995f-992606e6f610" TargetMode="External"/><Relationship Id="rId1826" Type="http://schemas.openxmlformats.org/officeDocument/2006/relationships/hyperlink" Target="https://analytics.zhihuiya.com/patent-view/abst?patentId=78205de8-bce3-4c7f-9327-281743bd35be" TargetMode="External"/><Relationship Id="rId4232" Type="http://schemas.openxmlformats.org/officeDocument/2006/relationships/hyperlink" Target="https://analytics.zhihuiya.com/patent-view/abst?patentId=5aee023e-9217-48c8-9e56-f9a6973dc3d9" TargetMode="External"/><Relationship Id="rId3041" Type="http://schemas.openxmlformats.org/officeDocument/2006/relationships/hyperlink" Target="https://analytics.zhihuiya.com/patent-view/abst?patentId=111d5a20-315f-4b3a-9ff6-d76670280851" TargetMode="External"/><Relationship Id="rId3998" Type="http://schemas.openxmlformats.org/officeDocument/2006/relationships/hyperlink" Target="https://analytics.zhihuiya.com/patent-view/abst?patentId=d33565e2-c93e-4aef-b12b-b4cb3cb7ee80" TargetMode="External"/><Relationship Id="rId3858" Type="http://schemas.openxmlformats.org/officeDocument/2006/relationships/hyperlink" Target="https://analytics.zhihuiya.com/patent-view/abst?patentId=7e711cc4-279d-457d-80b1-85b5e541ea70" TargetMode="External"/><Relationship Id="rId779" Type="http://schemas.openxmlformats.org/officeDocument/2006/relationships/hyperlink" Target="https://analytics.zhihuiya.com/patent-view/abst?patentId=cd757a76-8253-454d-ae7a-adfc84a56e26" TargetMode="External"/><Relationship Id="rId986" Type="http://schemas.openxmlformats.org/officeDocument/2006/relationships/hyperlink" Target="https://analytics.zhihuiya.com/patent-view/abst?patentId=a7e6afd0-88db-4ab0-acd1-bda25365eee9" TargetMode="External"/><Relationship Id="rId2667" Type="http://schemas.openxmlformats.org/officeDocument/2006/relationships/hyperlink" Target="https://analytics.zhihuiya.com/patent-view/abst?patentId=0e5f0517-5e07-47d0-aec9-3efc7a00728c" TargetMode="External"/><Relationship Id="rId3718" Type="http://schemas.openxmlformats.org/officeDocument/2006/relationships/hyperlink" Target="https://analytics.zhihuiya.com/patent-view/abst?patentId=2fd579ef-8c07-44b0-9b00-6a0f3b8351b7" TargetMode="External"/><Relationship Id="rId639" Type="http://schemas.openxmlformats.org/officeDocument/2006/relationships/hyperlink" Target="https://analytics.zhihuiya.com/patent-view/abst?patentId=a4e34e0a-7edb-4f90-a5dd-4ce4245a75ab" TargetMode="External"/><Relationship Id="rId1269" Type="http://schemas.openxmlformats.org/officeDocument/2006/relationships/hyperlink" Target="https://analytics.zhihuiya.com/patent-view/abst?patentId=74e45b70-24ae-4ece-99dc-234535bd5794" TargetMode="External"/><Relationship Id="rId1476" Type="http://schemas.openxmlformats.org/officeDocument/2006/relationships/hyperlink" Target="https://analytics.zhihuiya.com/patent-view/abst?patentId=19820ef9-1c49-4463-941b-576bfc14085c" TargetMode="External"/><Relationship Id="rId2874" Type="http://schemas.openxmlformats.org/officeDocument/2006/relationships/hyperlink" Target="https://analytics.zhihuiya.com/patent-view/abst?patentId=63894f87-b691-451a-a84f-ca17517d0f87" TargetMode="External"/><Relationship Id="rId3925" Type="http://schemas.openxmlformats.org/officeDocument/2006/relationships/hyperlink" Target="https://analytics.zhihuiya.com/patent-view/abst?patentId=a0656801-0d47-4f07-bfb7-bb7d9462699c" TargetMode="External"/><Relationship Id="rId846" Type="http://schemas.openxmlformats.org/officeDocument/2006/relationships/hyperlink" Target="https://analytics.zhihuiya.com/patent-view/abst?patentId=a92641d4-fbbf-438d-908f-04e9c922d179" TargetMode="External"/><Relationship Id="rId1129" Type="http://schemas.openxmlformats.org/officeDocument/2006/relationships/hyperlink" Target="https://analytics.zhihuiya.com/patent-view/abst?patentId=f7032a0f-a572-44bc-8c74-28371bb289a7" TargetMode="External"/><Relationship Id="rId1683" Type="http://schemas.openxmlformats.org/officeDocument/2006/relationships/hyperlink" Target="https://analytics.zhihuiya.com/patent-view/abst?patentId=2e6f61ff-424c-4c24-a7fb-8bfd2b83b60a" TargetMode="External"/><Relationship Id="rId1890" Type="http://schemas.openxmlformats.org/officeDocument/2006/relationships/hyperlink" Target="https://analytics.zhihuiya.com/patent-view/abst?patentId=a59c44ac-73bc-45d9-97f9-6bd05bebd4fc" TargetMode="External"/><Relationship Id="rId2527" Type="http://schemas.openxmlformats.org/officeDocument/2006/relationships/hyperlink" Target="https://analytics.zhihuiya.com/patent-view/abst?patentId=fdc99ee6-aa01-44fa-9df7-3b334b10a5c0" TargetMode="External"/><Relationship Id="rId2734" Type="http://schemas.openxmlformats.org/officeDocument/2006/relationships/hyperlink" Target="https://analytics.zhihuiya.com/patent-view/abst?patentId=0efabd80-cb64-4b62-a966-84dd23764bdc" TargetMode="External"/><Relationship Id="rId2941" Type="http://schemas.openxmlformats.org/officeDocument/2006/relationships/hyperlink" Target="https://analytics.zhihuiya.com/patent-view/abst?patentId=46b69d97-c333-4782-86af-b96b4394d89a" TargetMode="External"/><Relationship Id="rId706" Type="http://schemas.openxmlformats.org/officeDocument/2006/relationships/hyperlink" Target="https://analytics.zhihuiya.com/patent-view/abst?patentId=afc514be-46f8-4d48-8e69-cdec61f1ca31" TargetMode="External"/><Relationship Id="rId913" Type="http://schemas.openxmlformats.org/officeDocument/2006/relationships/hyperlink" Target="https://analytics.zhihuiya.com/patent-view/abst?patentId=698d675a-91ab-4eb5-a258-df01f8e941b0" TargetMode="External"/><Relationship Id="rId1336" Type="http://schemas.openxmlformats.org/officeDocument/2006/relationships/hyperlink" Target="https://analytics.zhihuiya.com/patent-view/abst?patentId=316da4b1-f6d1-4e22-9f71-2c4200c0a106" TargetMode="External"/><Relationship Id="rId1543" Type="http://schemas.openxmlformats.org/officeDocument/2006/relationships/hyperlink" Target="https://analytics.zhihuiya.com/patent-view/abst?patentId=0447ea4d-3a63-4c95-b5dd-039a06cc8ec7" TargetMode="External"/><Relationship Id="rId1750" Type="http://schemas.openxmlformats.org/officeDocument/2006/relationships/hyperlink" Target="https://analytics.zhihuiya.com/patent-view/abst?patentId=cafb8eda-7d5b-4b47-9d29-08cc1d830a36" TargetMode="External"/><Relationship Id="rId2801" Type="http://schemas.openxmlformats.org/officeDocument/2006/relationships/hyperlink" Target="https://analytics.zhihuiya.com/patent-view/abst?patentId=74262ec9-9aa8-479e-ac8b-e590c0bea750" TargetMode="External"/><Relationship Id="rId42" Type="http://schemas.openxmlformats.org/officeDocument/2006/relationships/hyperlink" Target="https://analytics.zhihuiya.com/patent-view/abst?patentId=63acad9f-117b-47cf-8dd0-96b07219de14" TargetMode="External"/><Relationship Id="rId1403" Type="http://schemas.openxmlformats.org/officeDocument/2006/relationships/hyperlink" Target="https://analytics.zhihuiya.com/patent-view/abst?patentId=7e67783a-fb8a-42eb-ad48-2fbb92895596" TargetMode="External"/><Relationship Id="rId1610" Type="http://schemas.openxmlformats.org/officeDocument/2006/relationships/hyperlink" Target="https://analytics.zhihuiya.com/patent-view/abst?patentId=4b2b08ff-d77d-445e-9e53-bc0c5b7c3e61" TargetMode="External"/><Relationship Id="rId3368" Type="http://schemas.openxmlformats.org/officeDocument/2006/relationships/hyperlink" Target="https://analytics.zhihuiya.com/patent-view/abst?patentId=0648a799-38a8-4bd1-ab1b-6b0ee94ffa4b" TargetMode="External"/><Relationship Id="rId3575" Type="http://schemas.openxmlformats.org/officeDocument/2006/relationships/hyperlink" Target="https://analytics.zhihuiya.com/patent-view/abst?patentId=1f4e676b-ddd4-40c5-b79e-96584ca9f1c1" TargetMode="External"/><Relationship Id="rId3782" Type="http://schemas.openxmlformats.org/officeDocument/2006/relationships/hyperlink" Target="https://analytics.zhihuiya.com/patent-view/abst?patentId=b6a8463d-cf0a-40aa-8726-066194905085" TargetMode="External"/><Relationship Id="rId4419" Type="http://schemas.openxmlformats.org/officeDocument/2006/relationships/hyperlink" Target="https://analytics.zhihuiya.com/patent-view/abst?patentId=a9016b7c-59cc-4658-a521-96ffe93ea209" TargetMode="External"/><Relationship Id="rId289" Type="http://schemas.openxmlformats.org/officeDocument/2006/relationships/hyperlink" Target="https://analytics.zhihuiya.com/patent-view/abst?patentId=ae4ac38c-9dcd-4ebd-a45c-b46d8f75b42c" TargetMode="External"/><Relationship Id="rId496" Type="http://schemas.openxmlformats.org/officeDocument/2006/relationships/hyperlink" Target="https://analytics.zhihuiya.com/patent-view/abst?patentId=5c773a24-3f79-4222-a164-7b00b86fd11f" TargetMode="External"/><Relationship Id="rId2177" Type="http://schemas.openxmlformats.org/officeDocument/2006/relationships/hyperlink" Target="https://analytics.zhihuiya.com/patent-view/abst?patentId=5bb81ae2-c37a-40d8-98f5-58cabad74a6c" TargetMode="External"/><Relationship Id="rId2384" Type="http://schemas.openxmlformats.org/officeDocument/2006/relationships/hyperlink" Target="https://analytics.zhihuiya.com/patent-view/abst?patentId=a6f55be9-3165-4109-914f-63df6436b566" TargetMode="External"/><Relationship Id="rId2591" Type="http://schemas.openxmlformats.org/officeDocument/2006/relationships/hyperlink" Target="https://analytics.zhihuiya.com/patent-view/abst?patentId=59cc9512-49f0-41a1-a45a-7d355f0119d8" TargetMode="External"/><Relationship Id="rId3228" Type="http://schemas.openxmlformats.org/officeDocument/2006/relationships/hyperlink" Target="https://analytics.zhihuiya.com/patent-view/abst?patentId=0d841156-192b-4989-bdef-07e3bdc5baac" TargetMode="External"/><Relationship Id="rId3435" Type="http://schemas.openxmlformats.org/officeDocument/2006/relationships/hyperlink" Target="https://analytics.zhihuiya.com/patent-view/abst?patentId=4268ebbd-d034-4d35-95cf-4cd86232a5e4" TargetMode="External"/><Relationship Id="rId3642" Type="http://schemas.openxmlformats.org/officeDocument/2006/relationships/hyperlink" Target="https://analytics.zhihuiya.com/patent-view/abst?patentId=c1d6d190-b6d2-495d-bf2b-b94a5caff3fe" TargetMode="External"/><Relationship Id="rId149" Type="http://schemas.openxmlformats.org/officeDocument/2006/relationships/hyperlink" Target="https://analytics.zhihuiya.com/patent-view/abst?patentId=dd72af2e-12ae-4ec0-b831-187cf3a68507" TargetMode="External"/><Relationship Id="rId356" Type="http://schemas.openxmlformats.org/officeDocument/2006/relationships/hyperlink" Target="https://analytics.zhihuiya.com/patent-view/abst?patentId=86a46a54-ec46-4130-ae81-a3e2dad5c221" TargetMode="External"/><Relationship Id="rId563" Type="http://schemas.openxmlformats.org/officeDocument/2006/relationships/hyperlink" Target="https://analytics.zhihuiya.com/patent-view/abst?patentId=45ff126b-26e2-43a8-9a83-273c5206846c" TargetMode="External"/><Relationship Id="rId770" Type="http://schemas.openxmlformats.org/officeDocument/2006/relationships/hyperlink" Target="https://analytics.zhihuiya.com/patent-view/abst?patentId=a4d8518f-9cfc-4ceb-a7e0-61ee65c31733" TargetMode="External"/><Relationship Id="rId1193" Type="http://schemas.openxmlformats.org/officeDocument/2006/relationships/hyperlink" Target="https://analytics.zhihuiya.com/patent-view/abst?patentId=ef316b1b-10db-4d37-9bf6-159c0dad4452" TargetMode="External"/><Relationship Id="rId2037" Type="http://schemas.openxmlformats.org/officeDocument/2006/relationships/hyperlink" Target="https://analytics.zhihuiya.com/patent-view/abst?patentId=dbdcd5e8-ebd3-4270-b40e-e9e83404949e" TargetMode="External"/><Relationship Id="rId2244" Type="http://schemas.openxmlformats.org/officeDocument/2006/relationships/hyperlink" Target="https://analytics.zhihuiya.com/patent-view/abst?patentId=59566901-7b2d-4416-a697-dd8afc99c85b" TargetMode="External"/><Relationship Id="rId2451" Type="http://schemas.openxmlformats.org/officeDocument/2006/relationships/hyperlink" Target="https://analytics.zhihuiya.com/patent-view/abst?patentId=76f1679d-7c73-4628-8658-b822edeb062b" TargetMode="External"/><Relationship Id="rId216" Type="http://schemas.openxmlformats.org/officeDocument/2006/relationships/hyperlink" Target="https://analytics.zhihuiya.com/patent-view/abst?patentId=465cfbce-b5b4-45a1-a120-be688df6c83d" TargetMode="External"/><Relationship Id="rId423" Type="http://schemas.openxmlformats.org/officeDocument/2006/relationships/hyperlink" Target="https://analytics.zhihuiya.com/patent-view/abst?patentId=a864ebcc-bfdd-4a03-b13a-f4ddcdb4c6e0" TargetMode="External"/><Relationship Id="rId1053" Type="http://schemas.openxmlformats.org/officeDocument/2006/relationships/hyperlink" Target="https://analytics.zhihuiya.com/patent-view/abst?patentId=d5eb9bca-18e5-4c68-971d-7b774334b5f3" TargetMode="External"/><Relationship Id="rId1260" Type="http://schemas.openxmlformats.org/officeDocument/2006/relationships/hyperlink" Target="https://analytics.zhihuiya.com/patent-view/abst?patentId=273cd5b5-1337-4d83-b6d7-3b26819fa6fb" TargetMode="External"/><Relationship Id="rId2104" Type="http://schemas.openxmlformats.org/officeDocument/2006/relationships/hyperlink" Target="https://analytics.zhihuiya.com/patent-view/abst?patentId=366f9664-d545-47f7-aa57-aebecc957be8" TargetMode="External"/><Relationship Id="rId3502" Type="http://schemas.openxmlformats.org/officeDocument/2006/relationships/hyperlink" Target="https://analytics.zhihuiya.com/patent-view/abst?patentId=e2191494-8342-433a-b142-4f2bb6a3ec8d" TargetMode="External"/><Relationship Id="rId630" Type="http://schemas.openxmlformats.org/officeDocument/2006/relationships/hyperlink" Target="https://analytics.zhihuiya.com/patent-view/abst?patentId=776cfa18-9bc2-4cb1-8fca-a8411a63aff4" TargetMode="External"/><Relationship Id="rId2311" Type="http://schemas.openxmlformats.org/officeDocument/2006/relationships/hyperlink" Target="https://analytics.zhihuiya.com/patent-view/abst?patentId=1619eaf6-32f7-4c92-937a-6a440dbf219f" TargetMode="External"/><Relationship Id="rId4069" Type="http://schemas.openxmlformats.org/officeDocument/2006/relationships/hyperlink" Target="https://analytics.zhihuiya.com/patent-view/abst?patentId=a9430474-25da-4390-bd2e-e472ed9d481b" TargetMode="External"/><Relationship Id="rId1120" Type="http://schemas.openxmlformats.org/officeDocument/2006/relationships/hyperlink" Target="https://analytics.zhihuiya.com/patent-view/abst?patentId=86d234e5-0895-4531-be1b-a98099e6ea8b" TargetMode="External"/><Relationship Id="rId4276" Type="http://schemas.openxmlformats.org/officeDocument/2006/relationships/hyperlink" Target="https://analytics.zhihuiya.com/patent-view/abst?patentId=5ead83bc-ceb1-416d-921a-4ea0fe6ce9de" TargetMode="External"/><Relationship Id="rId1937" Type="http://schemas.openxmlformats.org/officeDocument/2006/relationships/hyperlink" Target="https://analytics.zhihuiya.com/patent-view/abst?patentId=33ea3121-1eba-407f-89a0-052c37df28d6" TargetMode="External"/><Relationship Id="rId3085" Type="http://schemas.openxmlformats.org/officeDocument/2006/relationships/hyperlink" Target="https://analytics.zhihuiya.com/patent-view/abst?patentId=bacd397d-1a17-423b-80d9-ca5d15c3b061" TargetMode="External"/><Relationship Id="rId3292" Type="http://schemas.openxmlformats.org/officeDocument/2006/relationships/hyperlink" Target="https://analytics.zhihuiya.com/patent-view/abst?patentId=085318a6-1d00-47d2-b183-8aa6f7866dc9" TargetMode="External"/><Relationship Id="rId4136" Type="http://schemas.openxmlformats.org/officeDocument/2006/relationships/hyperlink" Target="https://analytics.zhihuiya.com/patent-view/abst?patentId=81cb577e-b8ad-43b2-938e-83f84bc4459b" TargetMode="External"/><Relationship Id="rId4343" Type="http://schemas.openxmlformats.org/officeDocument/2006/relationships/hyperlink" Target="https://analytics.zhihuiya.com/patent-view/abst?patentId=e4e1d0fd-ce6b-436f-bfe3-458ab749f8fb" TargetMode="External"/><Relationship Id="rId3152" Type="http://schemas.openxmlformats.org/officeDocument/2006/relationships/hyperlink" Target="https://analytics.zhihuiya.com/patent-view/abst?patentId=ad6327a0-460b-4bbc-a20a-2f7c3a283368" TargetMode="External"/><Relationship Id="rId4203" Type="http://schemas.openxmlformats.org/officeDocument/2006/relationships/hyperlink" Target="https://analytics.zhihuiya.com/patent-view/abst?patentId=7a80f616-c673-41bb-a970-dddd45e86db7" TargetMode="External"/><Relationship Id="rId4410" Type="http://schemas.openxmlformats.org/officeDocument/2006/relationships/hyperlink" Target="https://analytics.zhihuiya.com/patent-view/abst?patentId=9eea2686-b1a3-4285-b915-ef53e414a04e" TargetMode="External"/><Relationship Id="rId280" Type="http://schemas.openxmlformats.org/officeDocument/2006/relationships/hyperlink" Target="https://analytics.zhihuiya.com/patent-view/abst?patentId=169cd312-6939-49f5-ba15-3a18462ec781" TargetMode="External"/><Relationship Id="rId3012" Type="http://schemas.openxmlformats.org/officeDocument/2006/relationships/hyperlink" Target="https://analytics.zhihuiya.com/patent-view/abst?patentId=a1f8f82a-a49f-4c7f-827c-771a3328fb09" TargetMode="External"/><Relationship Id="rId140" Type="http://schemas.openxmlformats.org/officeDocument/2006/relationships/hyperlink" Target="https://analytics.zhihuiya.com/patent-view/abst?patentId=77af42ce-1178-4aa1-89da-857b1404583f" TargetMode="External"/><Relationship Id="rId3969" Type="http://schemas.openxmlformats.org/officeDocument/2006/relationships/hyperlink" Target="https://analytics.zhihuiya.com/patent-view/abst?patentId=3f20caac-8ac3-41fe-8e9c-d9a005d6d8b8" TargetMode="External"/><Relationship Id="rId6" Type="http://schemas.openxmlformats.org/officeDocument/2006/relationships/hyperlink" Target="https://analytics.zhihuiya.com/patent-view/abst?patentId=4ed3576a-0901-4d5c-9fde-1539a2e36b73" TargetMode="External"/><Relationship Id="rId2778" Type="http://schemas.openxmlformats.org/officeDocument/2006/relationships/hyperlink" Target="https://analytics.zhihuiya.com/patent-view/abst?patentId=b70fc92e-1f76-424f-9155-1e12a8c611e4" TargetMode="External"/><Relationship Id="rId2985" Type="http://schemas.openxmlformats.org/officeDocument/2006/relationships/hyperlink" Target="https://analytics.zhihuiya.com/patent-view/abst?patentId=f744edae-f7e7-41b1-ab99-b06b3f9d3f90" TargetMode="External"/><Relationship Id="rId3829" Type="http://schemas.openxmlformats.org/officeDocument/2006/relationships/hyperlink" Target="https://analytics.zhihuiya.com/patent-view/abst?patentId=11715cdd-60fa-428c-8d6b-8a7e92f8982f" TargetMode="External"/><Relationship Id="rId957" Type="http://schemas.openxmlformats.org/officeDocument/2006/relationships/hyperlink" Target="https://analytics.zhihuiya.com/patent-view/abst?patentId=6b05dd81-ae02-4f23-9c59-a97aee4c89e6" TargetMode="External"/><Relationship Id="rId1587" Type="http://schemas.openxmlformats.org/officeDocument/2006/relationships/hyperlink" Target="https://analytics.zhihuiya.com/patent-view/abst?patentId=fa9cbaf9-c2c5-4737-92c6-b64ef71fda42" TargetMode="External"/><Relationship Id="rId1794" Type="http://schemas.openxmlformats.org/officeDocument/2006/relationships/hyperlink" Target="https://analytics.zhihuiya.com/patent-view/abst?patentId=96e5c3d2-db88-472a-a8da-4da06690902d" TargetMode="External"/><Relationship Id="rId2638" Type="http://schemas.openxmlformats.org/officeDocument/2006/relationships/hyperlink" Target="https://analytics.zhihuiya.com/patent-view/abst?patentId=538c961b-387a-4f00-900a-292ef0e12a08" TargetMode="External"/><Relationship Id="rId2845" Type="http://schemas.openxmlformats.org/officeDocument/2006/relationships/hyperlink" Target="https://analytics.zhihuiya.com/patent-view/abst?patentId=6bb1b748-be83-4246-92b8-9ce65f6172e0" TargetMode="External"/><Relationship Id="rId86" Type="http://schemas.openxmlformats.org/officeDocument/2006/relationships/hyperlink" Target="https://analytics.zhihuiya.com/patent-view/abst?patentId=7f4258bb-6114-4849-9157-5b5a910f3cd6" TargetMode="External"/><Relationship Id="rId817" Type="http://schemas.openxmlformats.org/officeDocument/2006/relationships/hyperlink" Target="https://analytics.zhihuiya.com/patent-view/abst?patentId=f79569f0-508b-4335-aebd-3b11ee962a0e" TargetMode="External"/><Relationship Id="rId1447" Type="http://schemas.openxmlformats.org/officeDocument/2006/relationships/hyperlink" Target="https://analytics.zhihuiya.com/patent-view/abst?patentId=6ef4271f-ad68-4f3b-a36d-ba3a317a7861" TargetMode="External"/><Relationship Id="rId1654" Type="http://schemas.openxmlformats.org/officeDocument/2006/relationships/hyperlink" Target="https://analytics.zhihuiya.com/patent-view/abst?patentId=ca3246e7-82e2-4b79-8e48-03cad1f023d0" TargetMode="External"/><Relationship Id="rId1861" Type="http://schemas.openxmlformats.org/officeDocument/2006/relationships/hyperlink" Target="https://analytics.zhihuiya.com/patent-view/abst?patentId=97c6764e-58fe-45de-bf71-9164878abd44" TargetMode="External"/><Relationship Id="rId2705" Type="http://schemas.openxmlformats.org/officeDocument/2006/relationships/hyperlink" Target="https://analytics.zhihuiya.com/patent-view/abst?patentId=3fe94abb-9518-4fbb-87e5-792e1be0c178" TargetMode="External"/><Relationship Id="rId2912" Type="http://schemas.openxmlformats.org/officeDocument/2006/relationships/hyperlink" Target="https://analytics.zhihuiya.com/patent-view/abst?patentId=11877559-01d1-451a-87d0-af9f2951fc9e" TargetMode="External"/><Relationship Id="rId4060" Type="http://schemas.openxmlformats.org/officeDocument/2006/relationships/hyperlink" Target="https://analytics.zhihuiya.com/patent-view/abst?patentId=fcac8bcb-7858-4b95-9ac7-315901655a85" TargetMode="External"/><Relationship Id="rId1307" Type="http://schemas.openxmlformats.org/officeDocument/2006/relationships/hyperlink" Target="https://analytics.zhihuiya.com/patent-view/abst?patentId=eeeab77e-650e-4c4b-99d8-f008a286a797" TargetMode="External"/><Relationship Id="rId1514" Type="http://schemas.openxmlformats.org/officeDocument/2006/relationships/hyperlink" Target="https://analytics.zhihuiya.com/patent-view/abst?patentId=5c97be27-e5a1-4a0f-85ac-9a4bff6887fa" TargetMode="External"/><Relationship Id="rId1721" Type="http://schemas.openxmlformats.org/officeDocument/2006/relationships/hyperlink" Target="https://analytics.zhihuiya.com/patent-view/abst?patentId=78940136-709c-4068-85ac-18c07701363e" TargetMode="External"/><Relationship Id="rId13" Type="http://schemas.openxmlformats.org/officeDocument/2006/relationships/hyperlink" Target="https://analytics.zhihuiya.com/patent-view/abst?patentId=e2c7c02f-46dd-4b57-887c-a08e31b8ffc7" TargetMode="External"/><Relationship Id="rId3479" Type="http://schemas.openxmlformats.org/officeDocument/2006/relationships/hyperlink" Target="https://analytics.zhihuiya.com/patent-view/abst?patentId=8ded0a68-8874-494d-98fd-7d8ead051ff4" TargetMode="External"/><Relationship Id="rId3686" Type="http://schemas.openxmlformats.org/officeDocument/2006/relationships/hyperlink" Target="https://analytics.zhihuiya.com/patent-view/abst?patentId=18709d45-4702-46f5-87ea-66117a4addda" TargetMode="External"/><Relationship Id="rId2288" Type="http://schemas.openxmlformats.org/officeDocument/2006/relationships/hyperlink" Target="https://analytics.zhihuiya.com/patent-view/abst?patentId=eaa10d70-e226-4f84-8c47-3b6f68dc983c" TargetMode="External"/><Relationship Id="rId2495" Type="http://schemas.openxmlformats.org/officeDocument/2006/relationships/hyperlink" Target="https://analytics.zhihuiya.com/patent-view/abst?patentId=e530bbaa-e6b6-4723-9449-ee13c93c2047" TargetMode="External"/><Relationship Id="rId3339" Type="http://schemas.openxmlformats.org/officeDocument/2006/relationships/hyperlink" Target="https://analytics.zhihuiya.com/patent-view/abst?patentId=6bbe56a1-54e9-4939-b074-2cf5b56ab2c4" TargetMode="External"/><Relationship Id="rId3893" Type="http://schemas.openxmlformats.org/officeDocument/2006/relationships/hyperlink" Target="https://analytics.zhihuiya.com/patent-view/abst?patentId=05b514ba-e88d-4432-8444-0940d003192a" TargetMode="External"/><Relationship Id="rId467" Type="http://schemas.openxmlformats.org/officeDocument/2006/relationships/hyperlink" Target="https://analytics.zhihuiya.com/patent-view/abst?patentId=25294036-8579-4b62-bb20-74ff0669a71a" TargetMode="External"/><Relationship Id="rId1097" Type="http://schemas.openxmlformats.org/officeDocument/2006/relationships/hyperlink" Target="https://analytics.zhihuiya.com/patent-view/abst?patentId=ae83add1-7d9d-4410-ba4f-5c8f3f3cde83" TargetMode="External"/><Relationship Id="rId2148" Type="http://schemas.openxmlformats.org/officeDocument/2006/relationships/hyperlink" Target="https://analytics.zhihuiya.com/patent-view/abst?patentId=d74d6050-8d1c-49df-a7d6-5954618f94d5" TargetMode="External"/><Relationship Id="rId3546" Type="http://schemas.openxmlformats.org/officeDocument/2006/relationships/hyperlink" Target="https://analytics.zhihuiya.com/patent-view/abst?patentId=59b9ab68-9fe5-4c55-ac7e-c80a26ed6060" TargetMode="External"/><Relationship Id="rId3753" Type="http://schemas.openxmlformats.org/officeDocument/2006/relationships/hyperlink" Target="https://analytics.zhihuiya.com/patent-view/abst?patentId=eab224bb-498c-4904-a819-ea65f71128c3" TargetMode="External"/><Relationship Id="rId3960" Type="http://schemas.openxmlformats.org/officeDocument/2006/relationships/hyperlink" Target="https://analytics.zhihuiya.com/patent-view/abst?patentId=40ce0484-a6c8-440f-a59c-ca0ee377930a" TargetMode="External"/><Relationship Id="rId674" Type="http://schemas.openxmlformats.org/officeDocument/2006/relationships/hyperlink" Target="https://analytics.zhihuiya.com/patent-view/abst?patentId=eb421005-3846-459e-8e19-d91eaf4459e7" TargetMode="External"/><Relationship Id="rId881" Type="http://schemas.openxmlformats.org/officeDocument/2006/relationships/hyperlink" Target="https://analytics.zhihuiya.com/patent-view/abst?patentId=aef49f3a-b89d-4dbf-b447-5cd3f4e48624" TargetMode="External"/><Relationship Id="rId2355" Type="http://schemas.openxmlformats.org/officeDocument/2006/relationships/hyperlink" Target="https://analytics.zhihuiya.com/patent-view/abst?patentId=5a056e02-f520-4b72-850a-76670badf5c2" TargetMode="External"/><Relationship Id="rId2562" Type="http://schemas.openxmlformats.org/officeDocument/2006/relationships/hyperlink" Target="https://analytics.zhihuiya.com/patent-view/abst?patentId=09f881a0-20de-406d-a4bb-deb79ae7f837" TargetMode="External"/><Relationship Id="rId3406" Type="http://schemas.openxmlformats.org/officeDocument/2006/relationships/hyperlink" Target="https://analytics.zhihuiya.com/patent-view/abst?patentId=0443dda1-a25a-4f58-ae9f-bbec28779309" TargetMode="External"/><Relationship Id="rId3613" Type="http://schemas.openxmlformats.org/officeDocument/2006/relationships/hyperlink" Target="https://analytics.zhihuiya.com/patent-view/abst?patentId=19dca2c3-5010-4f87-bcc6-a8988897773c" TargetMode="External"/><Relationship Id="rId3820" Type="http://schemas.openxmlformats.org/officeDocument/2006/relationships/hyperlink" Target="https://analytics.zhihuiya.com/patent-view/abst?patentId=8a47ba55-7503-419c-b06e-e029b56023ac" TargetMode="External"/><Relationship Id="rId327" Type="http://schemas.openxmlformats.org/officeDocument/2006/relationships/hyperlink" Target="https://analytics.zhihuiya.com/patent-view/abst?patentId=05cf9ddf-40ba-4718-9cd4-b793008a85ee" TargetMode="External"/><Relationship Id="rId534" Type="http://schemas.openxmlformats.org/officeDocument/2006/relationships/hyperlink" Target="https://analytics.zhihuiya.com/patent-view/abst?patentId=6967b7d9-17b3-4cc2-8723-ba418559c471" TargetMode="External"/><Relationship Id="rId741" Type="http://schemas.openxmlformats.org/officeDocument/2006/relationships/hyperlink" Target="https://analytics.zhihuiya.com/patent-view/abst?patentId=2cbbd485-d8c1-400b-b313-57d792dcd634" TargetMode="External"/><Relationship Id="rId1164" Type="http://schemas.openxmlformats.org/officeDocument/2006/relationships/hyperlink" Target="https://analytics.zhihuiya.com/patent-view/abst?patentId=e8975ef5-2670-4e95-9538-368b84271da3" TargetMode="External"/><Relationship Id="rId1371" Type="http://schemas.openxmlformats.org/officeDocument/2006/relationships/hyperlink" Target="https://analytics.zhihuiya.com/patent-view/abst?patentId=5f010eb1-4819-4aad-a49c-8a30f64814c1" TargetMode="External"/><Relationship Id="rId2008" Type="http://schemas.openxmlformats.org/officeDocument/2006/relationships/hyperlink" Target="https://analytics.zhihuiya.com/patent-view/abst?patentId=81b04b91-4dc1-4f72-9c02-d8312bd0bb0a" TargetMode="External"/><Relationship Id="rId2215" Type="http://schemas.openxmlformats.org/officeDocument/2006/relationships/hyperlink" Target="https://analytics.zhihuiya.com/patent-view/abst?patentId=fabfa7b6-192d-4c7c-9b21-c896436fb7ed" TargetMode="External"/><Relationship Id="rId2422" Type="http://schemas.openxmlformats.org/officeDocument/2006/relationships/hyperlink" Target="https://analytics.zhihuiya.com/patent-view/abst?patentId=04135da3-9dbe-40a8-a09c-6821f982d3ec" TargetMode="External"/><Relationship Id="rId601" Type="http://schemas.openxmlformats.org/officeDocument/2006/relationships/hyperlink" Target="https://analytics.zhihuiya.com/patent-view/abst?patentId=84380d68-6d83-47e5-be82-a26aadd8ea76" TargetMode="External"/><Relationship Id="rId1024" Type="http://schemas.openxmlformats.org/officeDocument/2006/relationships/hyperlink" Target="https://analytics.zhihuiya.com/patent-view/abst?patentId=2e634dd5-3ba4-4280-897e-0a94751c12a2" TargetMode="External"/><Relationship Id="rId1231" Type="http://schemas.openxmlformats.org/officeDocument/2006/relationships/hyperlink" Target="https://analytics.zhihuiya.com/patent-view/abst?patentId=bdd7db6d-ec98-4b62-82c2-4a6d1289b588" TargetMode="External"/><Relationship Id="rId4387" Type="http://schemas.openxmlformats.org/officeDocument/2006/relationships/hyperlink" Target="https://analytics.zhihuiya.com/patent-view/abst?patentId=62182de7-56af-4c38-8dde-db0134edc281" TargetMode="External"/><Relationship Id="rId3196" Type="http://schemas.openxmlformats.org/officeDocument/2006/relationships/hyperlink" Target="https://analytics.zhihuiya.com/patent-view/abst?patentId=b2e1ecb0-4ee8-4b60-b475-577c95e430d6" TargetMode="External"/><Relationship Id="rId4247" Type="http://schemas.openxmlformats.org/officeDocument/2006/relationships/hyperlink" Target="https://analytics.zhihuiya.com/patent-view/abst?patentId=49c57c4c-8b57-46f8-a693-05e281c5b06e" TargetMode="External"/><Relationship Id="rId4454" Type="http://schemas.openxmlformats.org/officeDocument/2006/relationships/hyperlink" Target="https://analytics.zhihuiya.com/patent-view/abst?patentId=9e8f920f-1141-4485-a001-3791b3459461" TargetMode="External"/><Relationship Id="rId3056" Type="http://schemas.openxmlformats.org/officeDocument/2006/relationships/hyperlink" Target="https://analytics.zhihuiya.com/patent-view/abst?patentId=76da37e7-2fc7-4e41-8f88-4719a29e16fc" TargetMode="External"/><Relationship Id="rId3263" Type="http://schemas.openxmlformats.org/officeDocument/2006/relationships/hyperlink" Target="https://analytics.zhihuiya.com/patent-view/abst?patentId=992d58e2-83be-43b0-a025-0c19473d7409" TargetMode="External"/><Relationship Id="rId3470" Type="http://schemas.openxmlformats.org/officeDocument/2006/relationships/hyperlink" Target="https://analytics.zhihuiya.com/patent-view/abst?patentId=a8ead954-e9bf-451d-abc1-c48d10c6bb0b" TargetMode="External"/><Relationship Id="rId4107" Type="http://schemas.openxmlformats.org/officeDocument/2006/relationships/hyperlink" Target="https://analytics.zhihuiya.com/patent-view/abst?patentId=ac7a6a49-2c12-4b40-8226-be463558a280" TargetMode="External"/><Relationship Id="rId4314" Type="http://schemas.openxmlformats.org/officeDocument/2006/relationships/hyperlink" Target="https://analytics.zhihuiya.com/patent-view/abst?patentId=e176c368-766b-4ede-a7d7-cb37fbfcbede" TargetMode="External"/><Relationship Id="rId184" Type="http://schemas.openxmlformats.org/officeDocument/2006/relationships/hyperlink" Target="https://analytics.zhihuiya.com/patent-view/abst?patentId=0068ff55-a205-4721-a3ba-0536d53bce6e" TargetMode="External"/><Relationship Id="rId391" Type="http://schemas.openxmlformats.org/officeDocument/2006/relationships/hyperlink" Target="https://analytics.zhihuiya.com/patent-view/abst?patentId=c654bbbf-0bcb-4605-9f47-47483a5dc8ba" TargetMode="External"/><Relationship Id="rId1908" Type="http://schemas.openxmlformats.org/officeDocument/2006/relationships/hyperlink" Target="https://analytics.zhihuiya.com/patent-view/abst?patentId=b363054a-f7c3-4f29-b616-fa931d2e9eba" TargetMode="External"/><Relationship Id="rId2072" Type="http://schemas.openxmlformats.org/officeDocument/2006/relationships/hyperlink" Target="https://analytics.zhihuiya.com/patent-view/abst?patentId=3b3c0ef9-81eb-4e4e-bad8-081dd9860e14" TargetMode="External"/><Relationship Id="rId3123" Type="http://schemas.openxmlformats.org/officeDocument/2006/relationships/hyperlink" Target="https://analytics.zhihuiya.com/patent-view/abst?patentId=6992fe77-d89f-41f7-ab74-57cc7d2fd5b4" TargetMode="External"/><Relationship Id="rId251" Type="http://schemas.openxmlformats.org/officeDocument/2006/relationships/hyperlink" Target="https://analytics.zhihuiya.com/patent-view/abst?patentId=fa6a6525-6e35-4a7a-90b9-d895d7f9fa3c" TargetMode="External"/><Relationship Id="rId3330" Type="http://schemas.openxmlformats.org/officeDocument/2006/relationships/hyperlink" Target="https://analytics.zhihuiya.com/patent-view/abst?patentId=d1dc780a-cda2-44f3-8b2c-256d4f74653e" TargetMode="External"/><Relationship Id="rId2889" Type="http://schemas.openxmlformats.org/officeDocument/2006/relationships/hyperlink" Target="https://analytics.zhihuiya.com/patent-view/abst?patentId=ea521e6a-cfde-45ea-abf5-0288bc1ca832" TargetMode="External"/><Relationship Id="rId111" Type="http://schemas.openxmlformats.org/officeDocument/2006/relationships/hyperlink" Target="https://analytics.zhihuiya.com/patent-view/abst?patentId=3fe1d26d-a62d-47cc-9e9c-5e5644d3eb84" TargetMode="External"/><Relationship Id="rId1698" Type="http://schemas.openxmlformats.org/officeDocument/2006/relationships/hyperlink" Target="https://analytics.zhihuiya.com/patent-view/abst?patentId=a3ef9677-6ebc-4c99-8ddb-73e49b18186d" TargetMode="External"/><Relationship Id="rId2749" Type="http://schemas.openxmlformats.org/officeDocument/2006/relationships/hyperlink" Target="https://analytics.zhihuiya.com/patent-view/abst?patentId=f9c025ce-4608-41ab-a933-9536e77511f0" TargetMode="External"/><Relationship Id="rId2956" Type="http://schemas.openxmlformats.org/officeDocument/2006/relationships/hyperlink" Target="https://analytics.zhihuiya.com/patent-view/abst?patentId=99a99da2-0e5e-4bea-9571-5b15a599e5ea" TargetMode="External"/><Relationship Id="rId928" Type="http://schemas.openxmlformats.org/officeDocument/2006/relationships/hyperlink" Target="https://analytics.zhihuiya.com/patent-view/abst?patentId=5c1a9061-221a-4773-8066-ec172fae791d" TargetMode="External"/><Relationship Id="rId1558" Type="http://schemas.openxmlformats.org/officeDocument/2006/relationships/hyperlink" Target="https://analytics.zhihuiya.com/patent-view/abst?patentId=037739de-5690-4f20-b3af-b5f0bab9ce81" TargetMode="External"/><Relationship Id="rId1765" Type="http://schemas.openxmlformats.org/officeDocument/2006/relationships/hyperlink" Target="https://analytics.zhihuiya.com/patent-view/abst?patentId=f49bb650-3e0a-43c1-a890-4d6132a3e9d4" TargetMode="External"/><Relationship Id="rId2609" Type="http://schemas.openxmlformats.org/officeDocument/2006/relationships/hyperlink" Target="https://analytics.zhihuiya.com/patent-view/abst?patentId=2c079fe5-1e8a-47e9-837e-a8eb3fe6ab36" TargetMode="External"/><Relationship Id="rId4171" Type="http://schemas.openxmlformats.org/officeDocument/2006/relationships/hyperlink" Target="https://analytics.zhihuiya.com/patent-view/abst?patentId=6faacf7d-91f8-47a1-a804-8247112fe218" TargetMode="External"/><Relationship Id="rId57" Type="http://schemas.openxmlformats.org/officeDocument/2006/relationships/hyperlink" Target="https://analytics.zhihuiya.com/patent-view/abst?patentId=55caf81b-989f-434d-a2cc-2ac4ef804cdc" TargetMode="External"/><Relationship Id="rId1418" Type="http://schemas.openxmlformats.org/officeDocument/2006/relationships/hyperlink" Target="https://analytics.zhihuiya.com/patent-view/abst?patentId=51c733a3-fa12-495d-a5fb-7a9dd1892be5" TargetMode="External"/><Relationship Id="rId1972" Type="http://schemas.openxmlformats.org/officeDocument/2006/relationships/hyperlink" Target="https://analytics.zhihuiya.com/patent-view/abst?patentId=2aef85e5-46fe-4645-bd67-b8cfda0da556" TargetMode="External"/><Relationship Id="rId2816" Type="http://schemas.openxmlformats.org/officeDocument/2006/relationships/hyperlink" Target="https://analytics.zhihuiya.com/patent-view/abst?patentId=04c51a7b-a560-4599-ac2d-b4e220f3a01d" TargetMode="External"/><Relationship Id="rId4031" Type="http://schemas.openxmlformats.org/officeDocument/2006/relationships/hyperlink" Target="https://analytics.zhihuiya.com/patent-view/abst?patentId=8b2c0e13-17f1-456e-9757-07737048a5b1" TargetMode="External"/><Relationship Id="rId1625" Type="http://schemas.openxmlformats.org/officeDocument/2006/relationships/hyperlink" Target="https://analytics.zhihuiya.com/patent-view/abst?patentId=c8744c09-9803-49c0-b016-92df35ef2406" TargetMode="External"/><Relationship Id="rId1832" Type="http://schemas.openxmlformats.org/officeDocument/2006/relationships/hyperlink" Target="https://analytics.zhihuiya.com/patent-view/abst?patentId=998e184d-2e61-4b00-904b-378dee53d886" TargetMode="External"/><Relationship Id="rId3797" Type="http://schemas.openxmlformats.org/officeDocument/2006/relationships/hyperlink" Target="https://analytics.zhihuiya.com/patent-view/abst?patentId=6ecc37d4-17cf-470b-9811-ee97007b6034" TargetMode="External"/><Relationship Id="rId2399" Type="http://schemas.openxmlformats.org/officeDocument/2006/relationships/hyperlink" Target="https://analytics.zhihuiya.com/patent-view/abst?patentId=9fc73d0c-8a84-4475-95d3-9a07b1876782" TargetMode="External"/><Relationship Id="rId3657" Type="http://schemas.openxmlformats.org/officeDocument/2006/relationships/hyperlink" Target="https://analytics.zhihuiya.com/patent-view/abst?patentId=4e3bd41c-6901-4bf4-ab5e-27f2a6233fc8" TargetMode="External"/><Relationship Id="rId3864" Type="http://schemas.openxmlformats.org/officeDocument/2006/relationships/hyperlink" Target="https://analytics.zhihuiya.com/patent-view/abst?patentId=b92c98e7-24ba-4736-a50e-db97d8e33d31" TargetMode="External"/><Relationship Id="rId578" Type="http://schemas.openxmlformats.org/officeDocument/2006/relationships/hyperlink" Target="https://analytics.zhihuiya.com/patent-view/abst?patentId=c5a7bbed-8711-4777-8bcf-a78446adeb0a" TargetMode="External"/><Relationship Id="rId785" Type="http://schemas.openxmlformats.org/officeDocument/2006/relationships/hyperlink" Target="https://analytics.zhihuiya.com/patent-view/abst?patentId=2b65ddb3-37c7-40a7-8518-a468e42f0d25" TargetMode="External"/><Relationship Id="rId992" Type="http://schemas.openxmlformats.org/officeDocument/2006/relationships/hyperlink" Target="https://analytics.zhihuiya.com/patent-view/abst?patentId=c432d628-9e61-46ad-9fd3-d5fd0f24ce24" TargetMode="External"/><Relationship Id="rId2259" Type="http://schemas.openxmlformats.org/officeDocument/2006/relationships/hyperlink" Target="https://analytics.zhihuiya.com/patent-view/abst?patentId=81055883-f2fb-4afe-bbd1-a522d5014880" TargetMode="External"/><Relationship Id="rId2466" Type="http://schemas.openxmlformats.org/officeDocument/2006/relationships/hyperlink" Target="https://analytics.zhihuiya.com/patent-view/abst?patentId=921a6e42-15a0-4abd-83ee-5e20c4e657e0" TargetMode="External"/><Relationship Id="rId2673" Type="http://schemas.openxmlformats.org/officeDocument/2006/relationships/hyperlink" Target="https://analytics.zhihuiya.com/patent-view/abst?patentId=a4418c66-63da-43c3-85e2-c8c515089c33" TargetMode="External"/><Relationship Id="rId2880" Type="http://schemas.openxmlformats.org/officeDocument/2006/relationships/hyperlink" Target="https://analytics.zhihuiya.com/patent-view/abst?patentId=5e57d571-3451-4f8d-bfc2-bcd49f4cc89f" TargetMode="External"/><Relationship Id="rId3517" Type="http://schemas.openxmlformats.org/officeDocument/2006/relationships/hyperlink" Target="https://analytics.zhihuiya.com/patent-view/abst?patentId=eb5dcfe7-a5e3-4b08-a541-24ee8f5efbd2" TargetMode="External"/><Relationship Id="rId3724" Type="http://schemas.openxmlformats.org/officeDocument/2006/relationships/hyperlink" Target="https://analytics.zhihuiya.com/patent-view/abst?patentId=5f44cb6f-ef57-42a5-a999-509242326d0d" TargetMode="External"/><Relationship Id="rId3931" Type="http://schemas.openxmlformats.org/officeDocument/2006/relationships/hyperlink" Target="https://analytics.zhihuiya.com/patent-view/abst?patentId=84136213-48c6-4cc8-a88f-b5cd5c99b682" TargetMode="External"/><Relationship Id="rId438" Type="http://schemas.openxmlformats.org/officeDocument/2006/relationships/hyperlink" Target="https://analytics.zhihuiya.com/patent-view/abst?patentId=409f3459-f147-4804-baea-b43fe9ea0fad" TargetMode="External"/><Relationship Id="rId645" Type="http://schemas.openxmlformats.org/officeDocument/2006/relationships/hyperlink" Target="https://analytics.zhihuiya.com/patent-view/abst?patentId=2b094f8e-9cf6-4ace-9253-5d0d153f5867" TargetMode="External"/><Relationship Id="rId852" Type="http://schemas.openxmlformats.org/officeDocument/2006/relationships/hyperlink" Target="https://analytics.zhihuiya.com/patent-view/abst?patentId=1940d7dc-2897-4bdc-850b-e337d4a66729" TargetMode="External"/><Relationship Id="rId1068" Type="http://schemas.openxmlformats.org/officeDocument/2006/relationships/hyperlink" Target="https://analytics.zhihuiya.com/patent-view/abst?patentId=6b418777-0941-4586-b666-df9ef1c68ed4" TargetMode="External"/><Relationship Id="rId1275" Type="http://schemas.openxmlformats.org/officeDocument/2006/relationships/hyperlink" Target="https://analytics.zhihuiya.com/patent-view/abst?patentId=9154cf46-b973-4d43-8ae4-bc6c78ee98b5" TargetMode="External"/><Relationship Id="rId1482" Type="http://schemas.openxmlformats.org/officeDocument/2006/relationships/hyperlink" Target="https://analytics.zhihuiya.com/patent-view/abst?patentId=2c3b3079-5b22-4961-b149-1c1de96d122c" TargetMode="External"/><Relationship Id="rId2119" Type="http://schemas.openxmlformats.org/officeDocument/2006/relationships/hyperlink" Target="https://analytics.zhihuiya.com/patent-view/abst?patentId=1c0a762c-7a40-432b-aef0-786084f94e4d" TargetMode="External"/><Relationship Id="rId2326" Type="http://schemas.openxmlformats.org/officeDocument/2006/relationships/hyperlink" Target="https://analytics.zhihuiya.com/patent-view/abst?patentId=026783f5-4536-4cb0-9743-6edc83512c1e" TargetMode="External"/><Relationship Id="rId2533" Type="http://schemas.openxmlformats.org/officeDocument/2006/relationships/hyperlink" Target="https://analytics.zhihuiya.com/patent-view/abst?patentId=fa91aec4-4f6f-40ec-844d-0a3d6ccb4ba8" TargetMode="External"/><Relationship Id="rId2740" Type="http://schemas.openxmlformats.org/officeDocument/2006/relationships/hyperlink" Target="https://analytics.zhihuiya.com/patent-view/abst?patentId=b18f95a9-d022-4d60-8d27-2c316c957b10" TargetMode="External"/><Relationship Id="rId505" Type="http://schemas.openxmlformats.org/officeDocument/2006/relationships/hyperlink" Target="https://analytics.zhihuiya.com/patent-view/abst?patentId=10ecc66c-1393-4bdf-8ce0-6a9ee64718cd" TargetMode="External"/><Relationship Id="rId712" Type="http://schemas.openxmlformats.org/officeDocument/2006/relationships/hyperlink" Target="https://analytics.zhihuiya.com/patent-view/abst?patentId=5212947c-7810-422c-a0db-ff698a76f096" TargetMode="External"/><Relationship Id="rId1135" Type="http://schemas.openxmlformats.org/officeDocument/2006/relationships/hyperlink" Target="https://analytics.zhihuiya.com/patent-view/abst?patentId=2933a6e1-1c86-436e-af15-0138880dfd20" TargetMode="External"/><Relationship Id="rId1342" Type="http://schemas.openxmlformats.org/officeDocument/2006/relationships/hyperlink" Target="https://analytics.zhihuiya.com/patent-view/abst?patentId=99c1d84d-5c28-4d06-b928-24ee55155ae7" TargetMode="External"/><Relationship Id="rId1202" Type="http://schemas.openxmlformats.org/officeDocument/2006/relationships/hyperlink" Target="https://analytics.zhihuiya.com/patent-view/abst?patentId=820622b8-5b4d-4549-823e-46c3b9b1d226" TargetMode="External"/><Relationship Id="rId2600" Type="http://schemas.openxmlformats.org/officeDocument/2006/relationships/hyperlink" Target="https://analytics.zhihuiya.com/patent-view/abst?patentId=ed264e62-1cc0-4995-a8a8-6a1cb4d348ed" TargetMode="External"/><Relationship Id="rId4358" Type="http://schemas.openxmlformats.org/officeDocument/2006/relationships/hyperlink" Target="https://analytics.zhihuiya.com/patent-view/abst?patentId=c90eb923-c561-4168-a027-98fac16dd835" TargetMode="External"/><Relationship Id="rId3167" Type="http://schemas.openxmlformats.org/officeDocument/2006/relationships/hyperlink" Target="https://analytics.zhihuiya.com/patent-view/abst?patentId=8d1e6b4a-a199-4f35-9dbe-f78d72c74bca" TargetMode="External"/><Relationship Id="rId295" Type="http://schemas.openxmlformats.org/officeDocument/2006/relationships/hyperlink" Target="https://analytics.zhihuiya.com/patent-view/abst?patentId=74d6ccd5-4d1d-41d1-9120-b4e0ae2f2464" TargetMode="External"/><Relationship Id="rId3374" Type="http://schemas.openxmlformats.org/officeDocument/2006/relationships/hyperlink" Target="https://analytics.zhihuiya.com/patent-view/abst?patentId=4f0b9329-ec4b-4185-a27b-c1f02e948a7c" TargetMode="External"/><Relationship Id="rId3581" Type="http://schemas.openxmlformats.org/officeDocument/2006/relationships/hyperlink" Target="https://analytics.zhihuiya.com/patent-view/abst?patentId=601d0de2-309b-4e7c-bd2b-1ea448f2e4ca" TargetMode="External"/><Relationship Id="rId4218" Type="http://schemas.openxmlformats.org/officeDocument/2006/relationships/hyperlink" Target="https://analytics.zhihuiya.com/patent-view/abst?patentId=83960a98-ca5d-4524-821b-3516215b5f2d" TargetMode="External"/><Relationship Id="rId4425" Type="http://schemas.openxmlformats.org/officeDocument/2006/relationships/hyperlink" Target="https://analytics.zhihuiya.com/patent-view/abst?patentId=877012b8-b5ee-4bc7-ae46-2f0aa05ae410" TargetMode="External"/><Relationship Id="rId2183" Type="http://schemas.openxmlformats.org/officeDocument/2006/relationships/hyperlink" Target="https://analytics.zhihuiya.com/patent-view/abst?patentId=c9a1c4f0-93e7-46d4-bf85-e81eeb176c64" TargetMode="External"/><Relationship Id="rId2390" Type="http://schemas.openxmlformats.org/officeDocument/2006/relationships/hyperlink" Target="https://analytics.zhihuiya.com/patent-view/abst?patentId=20c94d25-e8fd-4ef6-a839-8305a7eb5634" TargetMode="External"/><Relationship Id="rId3027" Type="http://schemas.openxmlformats.org/officeDocument/2006/relationships/hyperlink" Target="https://analytics.zhihuiya.com/patent-view/abst?patentId=5cbe5a92-0822-4fcc-8a12-4ea4879313f5" TargetMode="External"/><Relationship Id="rId3234" Type="http://schemas.openxmlformats.org/officeDocument/2006/relationships/hyperlink" Target="https://analytics.zhihuiya.com/patent-view/abst?patentId=47671f2d-4c8e-4086-acfd-b1432b58705a" TargetMode="External"/><Relationship Id="rId3441" Type="http://schemas.openxmlformats.org/officeDocument/2006/relationships/hyperlink" Target="https://analytics.zhihuiya.com/patent-view/abst?patentId=418f59fa-3083-4256-b762-12bd18cc9153" TargetMode="External"/><Relationship Id="rId155" Type="http://schemas.openxmlformats.org/officeDocument/2006/relationships/hyperlink" Target="https://analytics.zhihuiya.com/patent-view/abst?patentId=d9af9d39-297a-4171-8e84-ecd0dd5380c6" TargetMode="External"/><Relationship Id="rId362" Type="http://schemas.openxmlformats.org/officeDocument/2006/relationships/hyperlink" Target="https://analytics.zhihuiya.com/patent-view/abst?patentId=adf621a8-c9dc-419a-a1e0-fa1fc27c8a5d" TargetMode="External"/><Relationship Id="rId2043" Type="http://schemas.openxmlformats.org/officeDocument/2006/relationships/hyperlink" Target="https://analytics.zhihuiya.com/patent-view/abst?patentId=9c312b84-88e6-4466-80bb-a0254a5df335" TargetMode="External"/><Relationship Id="rId2250" Type="http://schemas.openxmlformats.org/officeDocument/2006/relationships/hyperlink" Target="https://analytics.zhihuiya.com/patent-view/abst?patentId=8b29804c-946e-4097-95f0-73d1a2d7d6d9" TargetMode="External"/><Relationship Id="rId3301" Type="http://schemas.openxmlformats.org/officeDocument/2006/relationships/hyperlink" Target="https://analytics.zhihuiya.com/patent-view/abst?patentId=3f74f23d-2400-451b-a757-6b2754a1417e" TargetMode="External"/><Relationship Id="rId222" Type="http://schemas.openxmlformats.org/officeDocument/2006/relationships/hyperlink" Target="https://analytics.zhihuiya.com/patent-view/abst?patentId=be1b47c9-f8fa-4e97-aab5-e0f10c0fa62b" TargetMode="External"/><Relationship Id="rId2110" Type="http://schemas.openxmlformats.org/officeDocument/2006/relationships/hyperlink" Target="https://analytics.zhihuiya.com/patent-view/abst?patentId=3a05da9d-5bb5-45c3-aef8-2e3853db1194" TargetMode="External"/><Relationship Id="rId4075" Type="http://schemas.openxmlformats.org/officeDocument/2006/relationships/hyperlink" Target="https://analytics.zhihuiya.com/patent-view/abst?patentId=5a57ff39-e8c4-4541-9b53-8c677f8c41d0" TargetMode="External"/><Relationship Id="rId4282" Type="http://schemas.openxmlformats.org/officeDocument/2006/relationships/hyperlink" Target="https://analytics.zhihuiya.com/patent-view/abst?patentId=79e239db-7c05-4b64-8a05-60cb242748de" TargetMode="External"/><Relationship Id="rId1669" Type="http://schemas.openxmlformats.org/officeDocument/2006/relationships/hyperlink" Target="https://analytics.zhihuiya.com/patent-view/abst?patentId=08cc9df4-9b51-4471-9b6a-b74e30deb780" TargetMode="External"/><Relationship Id="rId1876" Type="http://schemas.openxmlformats.org/officeDocument/2006/relationships/hyperlink" Target="https://analytics.zhihuiya.com/patent-view/abst?patentId=cecfd187-1c42-47f8-beda-ddd4c73072f1" TargetMode="External"/><Relationship Id="rId2927" Type="http://schemas.openxmlformats.org/officeDocument/2006/relationships/hyperlink" Target="https://analytics.zhihuiya.com/patent-view/abst?patentId=b7192285-ef7e-4263-bd6d-251cc5ebdc77" TargetMode="External"/><Relationship Id="rId3091" Type="http://schemas.openxmlformats.org/officeDocument/2006/relationships/hyperlink" Target="https://analytics.zhihuiya.com/patent-view/abst?patentId=2c61511e-3f9a-4bc9-bf0b-4fb5167b762e" TargetMode="External"/><Relationship Id="rId4142" Type="http://schemas.openxmlformats.org/officeDocument/2006/relationships/hyperlink" Target="https://analytics.zhihuiya.com/patent-view/abst?patentId=c1aa48a9-4120-475d-9d13-9f723b57a5fd" TargetMode="External"/><Relationship Id="rId1529" Type="http://schemas.openxmlformats.org/officeDocument/2006/relationships/hyperlink" Target="https://analytics.zhihuiya.com/patent-view/abst?patentId=116fdb85-443d-4ec5-9afc-27feaddbc671" TargetMode="External"/><Relationship Id="rId1736" Type="http://schemas.openxmlformats.org/officeDocument/2006/relationships/hyperlink" Target="https://analytics.zhihuiya.com/patent-view/abst?patentId=fe732e06-7f92-44b2-9983-db761e3a84e3" TargetMode="External"/><Relationship Id="rId1943" Type="http://schemas.openxmlformats.org/officeDocument/2006/relationships/hyperlink" Target="https://analytics.zhihuiya.com/patent-view/abst?patentId=2abac24b-80b0-413d-aebf-30d35a0b2c05" TargetMode="External"/><Relationship Id="rId28" Type="http://schemas.openxmlformats.org/officeDocument/2006/relationships/hyperlink" Target="https://analytics.zhihuiya.com/patent-view/abst?patentId=19ecf73e-cd92-47d1-9e58-09699818b80a" TargetMode="External"/><Relationship Id="rId1803" Type="http://schemas.openxmlformats.org/officeDocument/2006/relationships/hyperlink" Target="https://analytics.zhihuiya.com/patent-view/abst?patentId=49f85777-3bc1-4376-bbab-7159f0a42be7" TargetMode="External"/><Relationship Id="rId4002" Type="http://schemas.openxmlformats.org/officeDocument/2006/relationships/hyperlink" Target="https://analytics.zhihuiya.com/patent-view/abst?patentId=bf7b13ef-44ed-49a4-b18c-09381314c833" TargetMode="External"/><Relationship Id="rId3768" Type="http://schemas.openxmlformats.org/officeDocument/2006/relationships/hyperlink" Target="https://analytics.zhihuiya.com/patent-view/abst?patentId=e518d088-cb60-4a5d-ad6b-39bb276cd013" TargetMode="External"/><Relationship Id="rId3975" Type="http://schemas.openxmlformats.org/officeDocument/2006/relationships/hyperlink" Target="https://analytics.zhihuiya.com/patent-view/abst?patentId=37716afb-ea9f-45c9-808c-83f33e164865" TargetMode="External"/><Relationship Id="rId689" Type="http://schemas.openxmlformats.org/officeDocument/2006/relationships/hyperlink" Target="https://analytics.zhihuiya.com/patent-view/abst?patentId=02b65bce-fa90-40d7-b6d1-0208f51dca66" TargetMode="External"/><Relationship Id="rId896" Type="http://schemas.openxmlformats.org/officeDocument/2006/relationships/hyperlink" Target="https://analytics.zhihuiya.com/patent-view/abst?patentId=f59f199e-dd65-44c0-93a4-c8d2e40a624e" TargetMode="External"/><Relationship Id="rId2577" Type="http://schemas.openxmlformats.org/officeDocument/2006/relationships/hyperlink" Target="https://analytics.zhihuiya.com/patent-view/abst?patentId=64538d04-6e90-4d93-9898-404e67dc848f" TargetMode="External"/><Relationship Id="rId2784" Type="http://schemas.openxmlformats.org/officeDocument/2006/relationships/hyperlink" Target="https://analytics.zhihuiya.com/patent-view/abst?patentId=dbceaf1b-bee9-4176-99d8-c08d13b29cf9" TargetMode="External"/><Relationship Id="rId3628" Type="http://schemas.openxmlformats.org/officeDocument/2006/relationships/hyperlink" Target="https://analytics.zhihuiya.com/patent-view/abst?patentId=270ad046-8f8d-4c87-b752-34380d6c87dd" TargetMode="External"/><Relationship Id="rId549" Type="http://schemas.openxmlformats.org/officeDocument/2006/relationships/hyperlink" Target="https://analytics.zhihuiya.com/patent-view/abst?patentId=89279294-1e0e-42a6-9cf1-3173b73a8881" TargetMode="External"/><Relationship Id="rId756" Type="http://schemas.openxmlformats.org/officeDocument/2006/relationships/hyperlink" Target="https://analytics.zhihuiya.com/patent-view/abst?patentId=facc4300-bfd1-4abe-92f1-645d68eeb7a4" TargetMode="External"/><Relationship Id="rId1179" Type="http://schemas.openxmlformats.org/officeDocument/2006/relationships/hyperlink" Target="https://analytics.zhihuiya.com/patent-view/abst?patentId=b9768883-f8a0-4351-bd66-d14aff4bec44" TargetMode="External"/><Relationship Id="rId1386" Type="http://schemas.openxmlformats.org/officeDocument/2006/relationships/hyperlink" Target="https://analytics.zhihuiya.com/patent-view/abst?patentId=991921b2-4ba3-4f8b-a055-d9ce85a6d528" TargetMode="External"/><Relationship Id="rId1593" Type="http://schemas.openxmlformats.org/officeDocument/2006/relationships/hyperlink" Target="https://analytics.zhihuiya.com/patent-view/abst?patentId=e7ee711b-beb4-4d41-b40c-0cbd1445278e" TargetMode="External"/><Relationship Id="rId2437" Type="http://schemas.openxmlformats.org/officeDocument/2006/relationships/hyperlink" Target="https://analytics.zhihuiya.com/patent-view/abst?patentId=f31542b3-2cec-4066-94ef-dc27cb63df55" TargetMode="External"/><Relationship Id="rId2991" Type="http://schemas.openxmlformats.org/officeDocument/2006/relationships/hyperlink" Target="https://analytics.zhihuiya.com/patent-view/abst?patentId=340e3c6e-56c3-4cec-bdda-d4718f9d8806" TargetMode="External"/><Relationship Id="rId3835" Type="http://schemas.openxmlformats.org/officeDocument/2006/relationships/hyperlink" Target="https://analytics.zhihuiya.com/patent-view/abst?patentId=c28f0037-5c95-4c0f-add7-da96036858f1" TargetMode="External"/><Relationship Id="rId409" Type="http://schemas.openxmlformats.org/officeDocument/2006/relationships/hyperlink" Target="https://analytics.zhihuiya.com/patent-view/abst?patentId=a32cc120-c0ec-46b6-937a-cdd56ac65455" TargetMode="External"/><Relationship Id="rId963" Type="http://schemas.openxmlformats.org/officeDocument/2006/relationships/hyperlink" Target="https://analytics.zhihuiya.com/patent-view/abst?patentId=760b85e0-e583-477a-a72f-7c45c349e390" TargetMode="External"/><Relationship Id="rId1039" Type="http://schemas.openxmlformats.org/officeDocument/2006/relationships/hyperlink" Target="https://analytics.zhihuiya.com/patent-view/abst?patentId=ac46ee34-025e-4e83-852a-fb2587cda87f" TargetMode="External"/><Relationship Id="rId1246" Type="http://schemas.openxmlformats.org/officeDocument/2006/relationships/hyperlink" Target="https://analytics.zhihuiya.com/patent-view/abst?patentId=2fb4782e-7493-432e-8ce4-4b8a25982990" TargetMode="External"/><Relationship Id="rId2644" Type="http://schemas.openxmlformats.org/officeDocument/2006/relationships/hyperlink" Target="https://analytics.zhihuiya.com/patent-view/abst?patentId=7f9bc323-00b5-4328-a902-f18c9c4547e1" TargetMode="External"/><Relationship Id="rId2851" Type="http://schemas.openxmlformats.org/officeDocument/2006/relationships/hyperlink" Target="https://analytics.zhihuiya.com/patent-view/abst?patentId=bc4b8afe-d63a-40b7-8158-956014e76d34" TargetMode="External"/><Relationship Id="rId3902" Type="http://schemas.openxmlformats.org/officeDocument/2006/relationships/hyperlink" Target="https://analytics.zhihuiya.com/patent-view/abst?patentId=deb6f6fd-eb5d-410c-bd98-7890c3d2beda" TargetMode="External"/><Relationship Id="rId92" Type="http://schemas.openxmlformats.org/officeDocument/2006/relationships/hyperlink" Target="https://analytics.zhihuiya.com/patent-view/abst?patentId=1519852e-dc4c-4e00-bbf7-ecfa0a074722" TargetMode="External"/><Relationship Id="rId616" Type="http://schemas.openxmlformats.org/officeDocument/2006/relationships/hyperlink" Target="https://analytics.zhihuiya.com/patent-view/abst?patentId=7a38b3ef-c099-4a4a-87f8-d25ec915ed73" TargetMode="External"/><Relationship Id="rId823" Type="http://schemas.openxmlformats.org/officeDocument/2006/relationships/hyperlink" Target="https://analytics.zhihuiya.com/patent-view/abst?patentId=b0d81a1c-4797-4e16-ae6c-29c6558fbe86" TargetMode="External"/><Relationship Id="rId1453" Type="http://schemas.openxmlformats.org/officeDocument/2006/relationships/hyperlink" Target="https://analytics.zhihuiya.com/patent-view/abst?patentId=9827465f-d644-4f67-bfcd-26787a3a1f06" TargetMode="External"/><Relationship Id="rId1660" Type="http://schemas.openxmlformats.org/officeDocument/2006/relationships/hyperlink" Target="https://analytics.zhihuiya.com/patent-view/abst?patentId=4430df45-48cd-4020-b1bf-1ec033d35973" TargetMode="External"/><Relationship Id="rId2504" Type="http://schemas.openxmlformats.org/officeDocument/2006/relationships/hyperlink" Target="https://analytics.zhihuiya.com/patent-view/abst?patentId=8f8f732d-9231-441b-8f20-4f1fcbb9bd39" TargetMode="External"/><Relationship Id="rId2711" Type="http://schemas.openxmlformats.org/officeDocument/2006/relationships/hyperlink" Target="https://analytics.zhihuiya.com/patent-view/abst?patentId=1ae2a106-30ea-4281-988b-0615c2fa56e6" TargetMode="External"/><Relationship Id="rId1106" Type="http://schemas.openxmlformats.org/officeDocument/2006/relationships/hyperlink" Target="https://analytics.zhihuiya.com/patent-view/abst?patentId=3507ef70-20ba-4dbd-af24-964b0cd4af23" TargetMode="External"/><Relationship Id="rId1313" Type="http://schemas.openxmlformats.org/officeDocument/2006/relationships/hyperlink" Target="https://analytics.zhihuiya.com/patent-view/abst?patentId=370d0d66-9185-45b7-817a-481aebc60c94" TargetMode="External"/><Relationship Id="rId1520" Type="http://schemas.openxmlformats.org/officeDocument/2006/relationships/hyperlink" Target="https://analytics.zhihuiya.com/patent-view/abst?patentId=eea88def-2a0e-40d9-974f-3b0608d89b26" TargetMode="External"/><Relationship Id="rId3278" Type="http://schemas.openxmlformats.org/officeDocument/2006/relationships/hyperlink" Target="https://analytics.zhihuiya.com/patent-view/abst?patentId=fa9c0d05-ba2e-4a30-9388-3e8c79915b54" TargetMode="External"/><Relationship Id="rId3485" Type="http://schemas.openxmlformats.org/officeDocument/2006/relationships/hyperlink" Target="https://analytics.zhihuiya.com/patent-view/abst?patentId=192245b7-8e71-4966-b6ee-154581dfe8ea" TargetMode="External"/><Relationship Id="rId3692" Type="http://schemas.openxmlformats.org/officeDocument/2006/relationships/hyperlink" Target="https://analytics.zhihuiya.com/patent-view/abst?patentId=493d3bb5-c20e-48f6-8b1a-fae2622df469" TargetMode="External"/><Relationship Id="rId4329" Type="http://schemas.openxmlformats.org/officeDocument/2006/relationships/hyperlink" Target="https://analytics.zhihuiya.com/patent-view/abst?patentId=b25bc40e-19a5-444c-ae1d-6d7ba3c16b2d" TargetMode="External"/><Relationship Id="rId199" Type="http://schemas.openxmlformats.org/officeDocument/2006/relationships/hyperlink" Target="https://analytics.zhihuiya.com/patent-view/abst?patentId=1cbf5dd7-f520-4da7-9d85-20f433cd3c0c" TargetMode="External"/><Relationship Id="rId2087" Type="http://schemas.openxmlformats.org/officeDocument/2006/relationships/hyperlink" Target="https://analytics.zhihuiya.com/patent-view/abst?patentId=c5142fe3-f14a-495d-b4d7-2a2474203395" TargetMode="External"/><Relationship Id="rId2294" Type="http://schemas.openxmlformats.org/officeDocument/2006/relationships/hyperlink" Target="https://analytics.zhihuiya.com/patent-view/abst?patentId=3624a6a4-185b-47d7-a9ef-02a4bf965a0c" TargetMode="External"/><Relationship Id="rId3138" Type="http://schemas.openxmlformats.org/officeDocument/2006/relationships/hyperlink" Target="https://analytics.zhihuiya.com/patent-view/abst?patentId=11f29e7e-73ac-4ffe-84d9-d81e2c5a2d7b" TargetMode="External"/><Relationship Id="rId3345" Type="http://schemas.openxmlformats.org/officeDocument/2006/relationships/hyperlink" Target="https://analytics.zhihuiya.com/patent-view/abst?patentId=9cb2ec63-f5aa-466f-ba53-24cb61e6fc99" TargetMode="External"/><Relationship Id="rId3552" Type="http://schemas.openxmlformats.org/officeDocument/2006/relationships/hyperlink" Target="https://analytics.zhihuiya.com/patent-view/abst?patentId=5061a967-afab-4929-8a36-3461c9cc2c46" TargetMode="External"/><Relationship Id="rId266" Type="http://schemas.openxmlformats.org/officeDocument/2006/relationships/hyperlink" Target="https://analytics.zhihuiya.com/patent-view/abst?patentId=73b22f85-13c3-4e76-ad28-a76a4099a59c" TargetMode="External"/><Relationship Id="rId473" Type="http://schemas.openxmlformats.org/officeDocument/2006/relationships/hyperlink" Target="https://analytics.zhihuiya.com/patent-view/abst?patentId=6d9267d1-86e4-4f76-a4a5-21ba59496d13" TargetMode="External"/><Relationship Id="rId680" Type="http://schemas.openxmlformats.org/officeDocument/2006/relationships/hyperlink" Target="https://analytics.zhihuiya.com/patent-view/abst?patentId=706eb173-7cf0-4c68-a073-3fd67224b500" TargetMode="External"/><Relationship Id="rId2154" Type="http://schemas.openxmlformats.org/officeDocument/2006/relationships/hyperlink" Target="https://analytics.zhihuiya.com/patent-view/abst?patentId=0313d3c1-ea33-471a-9269-57407462681b" TargetMode="External"/><Relationship Id="rId2361" Type="http://schemas.openxmlformats.org/officeDocument/2006/relationships/hyperlink" Target="https://analytics.zhihuiya.com/patent-view/abst?patentId=b957e34c-ce5a-4b9e-9cfa-44da271f2803" TargetMode="External"/><Relationship Id="rId3205" Type="http://schemas.openxmlformats.org/officeDocument/2006/relationships/hyperlink" Target="https://analytics.zhihuiya.com/patent-view/abst?patentId=df054295-318b-4bb3-b321-e5b2f6d30cd4" TargetMode="External"/><Relationship Id="rId3412" Type="http://schemas.openxmlformats.org/officeDocument/2006/relationships/hyperlink" Target="https://analytics.zhihuiya.com/patent-view/abst?patentId=e87a30a5-3180-45dc-8772-97d5e33f0d01" TargetMode="External"/><Relationship Id="rId126" Type="http://schemas.openxmlformats.org/officeDocument/2006/relationships/hyperlink" Target="https://analytics.zhihuiya.com/patent-view/abst?patentId=f0572f78-eb72-4ea8-b93a-d8a5305d0840" TargetMode="External"/><Relationship Id="rId333" Type="http://schemas.openxmlformats.org/officeDocument/2006/relationships/hyperlink" Target="https://analytics.zhihuiya.com/patent-view/abst?patentId=34a7b1f4-c84b-4e19-83ab-6484bc3754c4" TargetMode="External"/><Relationship Id="rId540" Type="http://schemas.openxmlformats.org/officeDocument/2006/relationships/hyperlink" Target="https://analytics.zhihuiya.com/patent-view/abst?patentId=7766de0e-73fd-4832-8a61-e0dbaf534905" TargetMode="External"/><Relationship Id="rId1170" Type="http://schemas.openxmlformats.org/officeDocument/2006/relationships/hyperlink" Target="https://analytics.zhihuiya.com/patent-view/abst?patentId=1267d9ee-952d-4c05-b2c8-fd099e79dd6b" TargetMode="External"/><Relationship Id="rId2014" Type="http://schemas.openxmlformats.org/officeDocument/2006/relationships/hyperlink" Target="https://analytics.zhihuiya.com/patent-view/abst?patentId=b8a3a8e3-5119-b5a8-8176-b823eb7bf6ca" TargetMode="External"/><Relationship Id="rId2221" Type="http://schemas.openxmlformats.org/officeDocument/2006/relationships/hyperlink" Target="https://analytics.zhihuiya.com/patent-view/abst?patentId=7264dae9-35d6-41d3-8025-45851d18d1b6" TargetMode="External"/><Relationship Id="rId1030" Type="http://schemas.openxmlformats.org/officeDocument/2006/relationships/hyperlink" Target="https://analytics.zhihuiya.com/patent-view/abst?patentId=c91397d5-9ca1-4ac3-8379-2dbe2a5055df" TargetMode="External"/><Relationship Id="rId4186" Type="http://schemas.openxmlformats.org/officeDocument/2006/relationships/hyperlink" Target="https://analytics.zhihuiya.com/patent-view/abst?patentId=96ea18da-f59d-47e8-a5da-0d81386a2333" TargetMode="External"/><Relationship Id="rId400" Type="http://schemas.openxmlformats.org/officeDocument/2006/relationships/hyperlink" Target="https://analytics.zhihuiya.com/patent-view/abst?patentId=a85ad027-f55b-4f18-9f7b-eeb624e15b8b" TargetMode="External"/><Relationship Id="rId1987" Type="http://schemas.openxmlformats.org/officeDocument/2006/relationships/hyperlink" Target="https://analytics.zhihuiya.com/patent-view/abst?patentId=b80dec23-48df-4b8f-946b-df35101dca61" TargetMode="External"/><Relationship Id="rId4393" Type="http://schemas.openxmlformats.org/officeDocument/2006/relationships/hyperlink" Target="https://analytics.zhihuiya.com/patent-view/abst?patentId=eb751ead-5ed6-4fdb-8c11-9a58898ab6a8" TargetMode="External"/><Relationship Id="rId1847" Type="http://schemas.openxmlformats.org/officeDocument/2006/relationships/hyperlink" Target="https://analytics.zhihuiya.com/patent-view/abst?patentId=743df7ad-772c-4abc-a251-154e9d84ccf0" TargetMode="External"/><Relationship Id="rId4046" Type="http://schemas.openxmlformats.org/officeDocument/2006/relationships/hyperlink" Target="https://analytics.zhihuiya.com/patent-view/abst?patentId=504a3ea4-5c0b-4559-898e-bafef09ef2bc" TargetMode="External"/><Relationship Id="rId4253" Type="http://schemas.openxmlformats.org/officeDocument/2006/relationships/hyperlink" Target="https://analytics.zhihuiya.com/patent-view/abst?patentId=04ff973e-59a1-4a30-be8d-7ab9af3e196a" TargetMode="External"/><Relationship Id="rId1707" Type="http://schemas.openxmlformats.org/officeDocument/2006/relationships/hyperlink" Target="https://analytics.zhihuiya.com/patent-view/abst?patentId=82ebbb82-8611-4215-ab36-2d10496a8e98" TargetMode="External"/><Relationship Id="rId3062" Type="http://schemas.openxmlformats.org/officeDocument/2006/relationships/hyperlink" Target="https://analytics.zhihuiya.com/patent-view/abst?patentId=24f306b6-e5db-4cd8-89c8-4db866c81c38" TargetMode="External"/><Relationship Id="rId4113" Type="http://schemas.openxmlformats.org/officeDocument/2006/relationships/hyperlink" Target="https://analytics.zhihuiya.com/patent-view/abst?patentId=560dac6c-5eaf-40f4-ae50-5f4aa720105a" TargetMode="External"/><Relationship Id="rId4320" Type="http://schemas.openxmlformats.org/officeDocument/2006/relationships/hyperlink" Target="https://analytics.zhihuiya.com/patent-view/abst?patentId=6216755b-b5cc-4256-80c2-e4bbec1aea6e" TargetMode="External"/><Relationship Id="rId190" Type="http://schemas.openxmlformats.org/officeDocument/2006/relationships/hyperlink" Target="https://analytics.zhihuiya.com/patent-view/abst?patentId=68ccc10f-dde6-4506-969b-ca5b8e2b6099" TargetMode="External"/><Relationship Id="rId1914" Type="http://schemas.openxmlformats.org/officeDocument/2006/relationships/hyperlink" Target="https://analytics.zhihuiya.com/patent-view/abst?patentId=11310cff-4dd9-4e3c-956d-b0936f4ec265" TargetMode="External"/><Relationship Id="rId3879" Type="http://schemas.openxmlformats.org/officeDocument/2006/relationships/hyperlink" Target="https://analytics.zhihuiya.com/patent-view/abst?patentId=f27d7bf4-5c21-4bbf-abb2-05c61f7ee38d" TargetMode="External"/><Relationship Id="rId2688" Type="http://schemas.openxmlformats.org/officeDocument/2006/relationships/hyperlink" Target="https://analytics.zhihuiya.com/patent-view/abst?patentId=2015cd1e-9953-4d21-aa7b-75c3c1e34b71" TargetMode="External"/><Relationship Id="rId2895" Type="http://schemas.openxmlformats.org/officeDocument/2006/relationships/hyperlink" Target="https://analytics.zhihuiya.com/patent-view/abst?patentId=7bd58266-92d3-4e19-addf-f5163727bf27" TargetMode="External"/><Relationship Id="rId3739" Type="http://schemas.openxmlformats.org/officeDocument/2006/relationships/hyperlink" Target="https://analytics.zhihuiya.com/patent-view/abst?patentId=ef6104bd-97ca-441d-95ed-9123e05f3f47" TargetMode="External"/><Relationship Id="rId3946" Type="http://schemas.openxmlformats.org/officeDocument/2006/relationships/hyperlink" Target="https://analytics.zhihuiya.com/patent-view/abst?patentId=5fe8a226-755e-4f4a-b7a3-2e0dd0885cb1" TargetMode="External"/><Relationship Id="rId867" Type="http://schemas.openxmlformats.org/officeDocument/2006/relationships/hyperlink" Target="https://analytics.zhihuiya.com/patent-view/abst?patentId=9b7e118b-151c-4c10-9610-173ee71c90d0" TargetMode="External"/><Relationship Id="rId1497" Type="http://schemas.openxmlformats.org/officeDocument/2006/relationships/hyperlink" Target="https://analytics.zhihuiya.com/patent-view/abst?patentId=a3f748a0-ee0e-4a7a-8e1c-1ab36c75eadf" TargetMode="External"/><Relationship Id="rId2548" Type="http://schemas.openxmlformats.org/officeDocument/2006/relationships/hyperlink" Target="https://analytics.zhihuiya.com/patent-view/abst?patentId=40921466-3030-44aa-9bbd-5f17356410a4" TargetMode="External"/><Relationship Id="rId2755" Type="http://schemas.openxmlformats.org/officeDocument/2006/relationships/hyperlink" Target="https://analytics.zhihuiya.com/patent-view/abst?patentId=5a9a70df-ab46-46b3-b4a7-5cec3ec6c1d2" TargetMode="External"/><Relationship Id="rId2962" Type="http://schemas.openxmlformats.org/officeDocument/2006/relationships/hyperlink" Target="https://analytics.zhihuiya.com/patent-view/abst?patentId=e1c41b58-a9ce-432a-a069-a1d709e966f7" TargetMode="External"/><Relationship Id="rId3806" Type="http://schemas.openxmlformats.org/officeDocument/2006/relationships/hyperlink" Target="https://analytics.zhihuiya.com/patent-view/abst?patentId=97bef273-3f79-4716-b1cb-cd3e19f64096" TargetMode="External"/><Relationship Id="rId727" Type="http://schemas.openxmlformats.org/officeDocument/2006/relationships/hyperlink" Target="https://analytics.zhihuiya.com/patent-view/abst?patentId=0afbfee8-5fb3-4a51-96e3-99ddea87d485" TargetMode="External"/><Relationship Id="rId934" Type="http://schemas.openxmlformats.org/officeDocument/2006/relationships/hyperlink" Target="https://analytics.zhihuiya.com/patent-view/abst?patentId=5ae22921-905c-4ebc-be17-0589464fb15c" TargetMode="External"/><Relationship Id="rId1357" Type="http://schemas.openxmlformats.org/officeDocument/2006/relationships/hyperlink" Target="https://analytics.zhihuiya.com/patent-view/abst?patentId=01bc452f-fdab-4be7-8fcd-ba4e59013b7e" TargetMode="External"/><Relationship Id="rId1564" Type="http://schemas.openxmlformats.org/officeDocument/2006/relationships/hyperlink" Target="https://analytics.zhihuiya.com/patent-view/abst?patentId=b07697e4-8d30-42f2-92f7-16bc0bbd3759" TargetMode="External"/><Relationship Id="rId1771" Type="http://schemas.openxmlformats.org/officeDocument/2006/relationships/hyperlink" Target="https://analytics.zhihuiya.com/patent-view/abst?patentId=c8fd23ed-98f7-48c0-a279-e85c4d8ce18a" TargetMode="External"/><Relationship Id="rId2408" Type="http://schemas.openxmlformats.org/officeDocument/2006/relationships/hyperlink" Target="https://analytics.zhihuiya.com/patent-view/abst?patentId=28371fdd-a754-43c0-8c70-91aaa75f7079" TargetMode="External"/><Relationship Id="rId2615" Type="http://schemas.openxmlformats.org/officeDocument/2006/relationships/hyperlink" Target="https://analytics.zhihuiya.com/patent-view/abst?patentId=17f9efcb-da4c-4ba6-8e1e-3143de646569" TargetMode="External"/><Relationship Id="rId2822" Type="http://schemas.openxmlformats.org/officeDocument/2006/relationships/hyperlink" Target="https://analytics.zhihuiya.com/patent-view/abst?patentId=eb70c62b-91d0-4103-813d-4722bda4c334" TargetMode="External"/><Relationship Id="rId63" Type="http://schemas.openxmlformats.org/officeDocument/2006/relationships/hyperlink" Target="https://analytics.zhihuiya.com/patent-view/abst?patentId=9e8c85e3-fbd0-485f-8d74-e755e29343e0" TargetMode="External"/><Relationship Id="rId1217" Type="http://schemas.openxmlformats.org/officeDocument/2006/relationships/hyperlink" Target="https://analytics.zhihuiya.com/patent-view/abst?patentId=724e02a2-3ef6-47fd-9f1e-c5231aaffd35" TargetMode="External"/><Relationship Id="rId1424" Type="http://schemas.openxmlformats.org/officeDocument/2006/relationships/hyperlink" Target="https://analytics.zhihuiya.com/patent-view/abst?patentId=1aa215e0-c1ea-4d85-9edc-c7d11bad69d7" TargetMode="External"/><Relationship Id="rId1631" Type="http://schemas.openxmlformats.org/officeDocument/2006/relationships/hyperlink" Target="https://analytics.zhihuiya.com/patent-view/abst?patentId=1817095a-fb94-4263-9c53-c48438e25fa6" TargetMode="External"/><Relationship Id="rId3389" Type="http://schemas.openxmlformats.org/officeDocument/2006/relationships/hyperlink" Target="https://analytics.zhihuiya.com/patent-view/abst?patentId=d83a834b-b76d-4107-89ef-795dfdc232b8" TargetMode="External"/><Relationship Id="rId3596" Type="http://schemas.openxmlformats.org/officeDocument/2006/relationships/hyperlink" Target="https://analytics.zhihuiya.com/patent-view/abst?patentId=bd973279-caba-4a36-a358-51a9d169522d" TargetMode="External"/><Relationship Id="rId2198" Type="http://schemas.openxmlformats.org/officeDocument/2006/relationships/hyperlink" Target="https://analytics.zhihuiya.com/patent-view/abst?patentId=f1affd2d-0b9c-4054-9f31-285609a96513" TargetMode="External"/><Relationship Id="rId3249" Type="http://schemas.openxmlformats.org/officeDocument/2006/relationships/hyperlink" Target="https://analytics.zhihuiya.com/patent-view/abst?patentId=3417f864-bd29-4317-bf79-c8f4a6ee6f98" TargetMode="External"/><Relationship Id="rId3456" Type="http://schemas.openxmlformats.org/officeDocument/2006/relationships/hyperlink" Target="https://analytics.zhihuiya.com/patent-view/abst?patentId=3e73d03f-c264-4913-82ca-970e4eba2b51" TargetMode="External"/><Relationship Id="rId377" Type="http://schemas.openxmlformats.org/officeDocument/2006/relationships/hyperlink" Target="https://analytics.zhihuiya.com/patent-view/abst?patentId=41183f8a-d517-478e-b498-f9ceeb60303a" TargetMode="External"/><Relationship Id="rId584" Type="http://schemas.openxmlformats.org/officeDocument/2006/relationships/hyperlink" Target="https://analytics.zhihuiya.com/patent-view/abst?patentId=2c8bdb0b-f0dd-4d12-b6ba-67b6c0b0a324" TargetMode="External"/><Relationship Id="rId2058" Type="http://schemas.openxmlformats.org/officeDocument/2006/relationships/hyperlink" Target="https://analytics.zhihuiya.com/patent-view/abst?patentId=43ff5dcf-983d-4da7-96a3-a8a28487ffd7" TargetMode="External"/><Relationship Id="rId2265" Type="http://schemas.openxmlformats.org/officeDocument/2006/relationships/hyperlink" Target="https://analytics.zhihuiya.com/patent-view/abst?patentId=7b6d8d9c-9d81-4faf-a942-1fc9e694ccff" TargetMode="External"/><Relationship Id="rId3109" Type="http://schemas.openxmlformats.org/officeDocument/2006/relationships/hyperlink" Target="https://analytics.zhihuiya.com/patent-view/abst?patentId=9658fc5d-06f8-4d30-a65f-d56efae2af8f" TargetMode="External"/><Relationship Id="rId3663" Type="http://schemas.openxmlformats.org/officeDocument/2006/relationships/hyperlink" Target="https://analytics.zhihuiya.com/patent-view/abst?patentId=584a7ed7-0f26-4fd0-8c57-b0cb724b7259" TargetMode="External"/><Relationship Id="rId3870" Type="http://schemas.openxmlformats.org/officeDocument/2006/relationships/hyperlink" Target="https://analytics.zhihuiya.com/patent-view/abst?patentId=86c34acf-2f16-444e-9fea-094dbbed3cde" TargetMode="External"/><Relationship Id="rId237" Type="http://schemas.openxmlformats.org/officeDocument/2006/relationships/hyperlink" Target="https://analytics.zhihuiya.com/patent-view/abst?patentId=c871648b-557e-4fa9-9323-9d827d5bddf5" TargetMode="External"/><Relationship Id="rId791" Type="http://schemas.openxmlformats.org/officeDocument/2006/relationships/hyperlink" Target="https://analytics.zhihuiya.com/patent-view/abst?patentId=a8317f9c-c908-4d52-a2d0-3923afea1305" TargetMode="External"/><Relationship Id="rId1074" Type="http://schemas.openxmlformats.org/officeDocument/2006/relationships/hyperlink" Target="https://analytics.zhihuiya.com/patent-view/abst?patentId=7d62822e-129d-4914-921b-b47a40ce6b89" TargetMode="External"/><Relationship Id="rId2472" Type="http://schemas.openxmlformats.org/officeDocument/2006/relationships/hyperlink" Target="https://analytics.zhihuiya.com/patent-view/abst?patentId=edc388c7-633a-49e4-8cca-0e8eb7b8f4c3" TargetMode="External"/><Relationship Id="rId3316" Type="http://schemas.openxmlformats.org/officeDocument/2006/relationships/hyperlink" Target="https://analytics.zhihuiya.com/patent-view/abst?patentId=759f7b6b-8c70-4501-a551-efc5a1f9f4ba" TargetMode="External"/><Relationship Id="rId3523" Type="http://schemas.openxmlformats.org/officeDocument/2006/relationships/hyperlink" Target="https://analytics.zhihuiya.com/patent-view/abst?patentId=01ec341a-558d-4398-9307-094705b69ec1" TargetMode="External"/><Relationship Id="rId3730" Type="http://schemas.openxmlformats.org/officeDocument/2006/relationships/hyperlink" Target="https://analytics.zhihuiya.com/patent-view/abst?patentId=0804ee91-512d-437c-9359-8e708cebd3e9" TargetMode="External"/><Relationship Id="rId444" Type="http://schemas.openxmlformats.org/officeDocument/2006/relationships/hyperlink" Target="https://analytics.zhihuiya.com/patent-view/abst?patentId=69f9125a-7aea-4027-9871-27ab84cada64" TargetMode="External"/><Relationship Id="rId651" Type="http://schemas.openxmlformats.org/officeDocument/2006/relationships/hyperlink" Target="https://analytics.zhihuiya.com/patent-view/abst?patentId=eebce07a-af51-4080-83d2-7c228a72a03d" TargetMode="External"/><Relationship Id="rId1281" Type="http://schemas.openxmlformats.org/officeDocument/2006/relationships/hyperlink" Target="https://analytics.zhihuiya.com/patent-view/abst?patentId=9d9116bf-ae16-4b22-976e-4d0d1c332199" TargetMode="External"/><Relationship Id="rId2125" Type="http://schemas.openxmlformats.org/officeDocument/2006/relationships/hyperlink" Target="https://analytics.zhihuiya.com/patent-view/abst?patentId=02237684-5b8c-4757-86b7-dab3b063fd02" TargetMode="External"/><Relationship Id="rId2332" Type="http://schemas.openxmlformats.org/officeDocument/2006/relationships/hyperlink" Target="https://analytics.zhihuiya.com/patent-view/abst?patentId=1d3c7eda-a030-402b-bb42-834955549803" TargetMode="External"/><Relationship Id="rId304" Type="http://schemas.openxmlformats.org/officeDocument/2006/relationships/hyperlink" Target="https://analytics.zhihuiya.com/patent-view/abst?patentId=9f746dea-5294-4a41-b667-116c25dcdd20" TargetMode="External"/><Relationship Id="rId511" Type="http://schemas.openxmlformats.org/officeDocument/2006/relationships/hyperlink" Target="https://analytics.zhihuiya.com/patent-view/abst?patentId=162497db-ea5a-4ed6-8d38-7a5b8dbb29c7" TargetMode="External"/><Relationship Id="rId1141" Type="http://schemas.openxmlformats.org/officeDocument/2006/relationships/hyperlink" Target="https://analytics.zhihuiya.com/patent-view/abst?patentId=3c02bee7-7e40-4bc5-92a3-2bd897087a7a" TargetMode="External"/><Relationship Id="rId4297" Type="http://schemas.openxmlformats.org/officeDocument/2006/relationships/hyperlink" Target="https://analytics.zhihuiya.com/patent-view/abst?patentId=f9d49d39-d0ed-4237-8a34-1128485da1ca" TargetMode="External"/><Relationship Id="rId1001" Type="http://schemas.openxmlformats.org/officeDocument/2006/relationships/hyperlink" Target="https://analytics.zhihuiya.com/patent-view/abst?patentId=79747e07-3a90-49f6-8796-2878e0581312" TargetMode="External"/><Relationship Id="rId4157" Type="http://schemas.openxmlformats.org/officeDocument/2006/relationships/hyperlink" Target="https://analytics.zhihuiya.com/patent-view/abst?patentId=1d6ed6a8-b94e-40c3-934c-becf447c4732" TargetMode="External"/><Relationship Id="rId4364" Type="http://schemas.openxmlformats.org/officeDocument/2006/relationships/hyperlink" Target="https://analytics.zhihuiya.com/patent-view/abst?patentId=675309b9-1de6-4800-969e-8e3e99775bea" TargetMode="External"/><Relationship Id="rId1958" Type="http://schemas.openxmlformats.org/officeDocument/2006/relationships/hyperlink" Target="https://analytics.zhihuiya.com/patent-view/abst?patentId=2bf236fe-4cf8-44cf-8f09-6fba93dc8034" TargetMode="External"/><Relationship Id="rId3173" Type="http://schemas.openxmlformats.org/officeDocument/2006/relationships/hyperlink" Target="https://analytics.zhihuiya.com/patent-view/abst?patentId=d38bc7c6-3c76-420a-ac2c-b61fac03ffcc" TargetMode="External"/><Relationship Id="rId3380" Type="http://schemas.openxmlformats.org/officeDocument/2006/relationships/hyperlink" Target="https://analytics.zhihuiya.com/patent-view/abst?patentId=a72708ee-22fd-4714-be2d-fdaf38cc8ed7" TargetMode="External"/><Relationship Id="rId4017" Type="http://schemas.openxmlformats.org/officeDocument/2006/relationships/hyperlink" Target="https://analytics.zhihuiya.com/patent-view/abst?patentId=92559842-9716-4a92-877d-eb94200648fc" TargetMode="External"/><Relationship Id="rId4224" Type="http://schemas.openxmlformats.org/officeDocument/2006/relationships/hyperlink" Target="https://analytics.zhihuiya.com/patent-view/abst?patentId=e024cb45-9717-4046-a6d5-99e700a717dd" TargetMode="External"/><Relationship Id="rId4431" Type="http://schemas.openxmlformats.org/officeDocument/2006/relationships/hyperlink" Target="https://analytics.zhihuiya.com/patent-view/abst?patentId=2e708046-8bcc-4851-bd71-e7acac59bfdf" TargetMode="External"/><Relationship Id="rId1818" Type="http://schemas.openxmlformats.org/officeDocument/2006/relationships/hyperlink" Target="https://analytics.zhihuiya.com/patent-view/abst?patentId=c3e3fc05-d1fd-490b-b872-f1599f3a27af" TargetMode="External"/><Relationship Id="rId3033" Type="http://schemas.openxmlformats.org/officeDocument/2006/relationships/hyperlink" Target="https://analytics.zhihuiya.com/patent-view/abst?patentId=acb053b8-023b-446f-96e2-0cc8c4c1655b" TargetMode="External"/><Relationship Id="rId3240" Type="http://schemas.openxmlformats.org/officeDocument/2006/relationships/hyperlink" Target="https://analytics.zhihuiya.com/patent-view/abst?patentId=c5cdfcf1-4e0a-4457-94fa-b2616273f25d" TargetMode="External"/><Relationship Id="rId161" Type="http://schemas.openxmlformats.org/officeDocument/2006/relationships/hyperlink" Target="https://analytics.zhihuiya.com/patent-view/abst?patentId=49877266-d47f-4a41-a93d-3e289834eb19" TargetMode="External"/><Relationship Id="rId2799" Type="http://schemas.openxmlformats.org/officeDocument/2006/relationships/hyperlink" Target="https://analytics.zhihuiya.com/patent-view/abst?patentId=e3d384e2-2f23-41a0-ba45-ff4be5cfd9ec" TargetMode="External"/><Relationship Id="rId3100" Type="http://schemas.openxmlformats.org/officeDocument/2006/relationships/hyperlink" Target="https://analytics.zhihuiya.com/patent-view/abst?patentId=3fb76ef2-4eb7-488d-9561-a921f7acd24a" TargetMode="External"/><Relationship Id="rId978" Type="http://schemas.openxmlformats.org/officeDocument/2006/relationships/hyperlink" Target="https://analytics.zhihuiya.com/patent-view/abst?patentId=cdebedbb-4b10-4f8a-9b37-b11bf23864ec" TargetMode="External"/><Relationship Id="rId2659" Type="http://schemas.openxmlformats.org/officeDocument/2006/relationships/hyperlink" Target="https://analytics.zhihuiya.com/patent-view/abst?patentId=3655483b-5852-4e89-9df3-f152ac3bb668" TargetMode="External"/><Relationship Id="rId2866" Type="http://schemas.openxmlformats.org/officeDocument/2006/relationships/hyperlink" Target="https://analytics.zhihuiya.com/patent-view/abst?patentId=a8509c37-bf76-4bd3-b312-f7153ced5be7" TargetMode="External"/><Relationship Id="rId3917" Type="http://schemas.openxmlformats.org/officeDocument/2006/relationships/hyperlink" Target="https://analytics.zhihuiya.com/patent-view/abst?patentId=e896e798-4221-4644-89f4-b90830330491" TargetMode="External"/><Relationship Id="rId838" Type="http://schemas.openxmlformats.org/officeDocument/2006/relationships/hyperlink" Target="https://analytics.zhihuiya.com/patent-view/abst?patentId=b1aca0f5-c0bd-4126-977f-307b89fade82" TargetMode="External"/><Relationship Id="rId1468" Type="http://schemas.openxmlformats.org/officeDocument/2006/relationships/hyperlink" Target="https://analytics.zhihuiya.com/patent-view/abst?patentId=debb6cfd-f3d4-447b-9189-f8b1bc527b33" TargetMode="External"/><Relationship Id="rId1675" Type="http://schemas.openxmlformats.org/officeDocument/2006/relationships/hyperlink" Target="https://analytics.zhihuiya.com/patent-view/abst?patentId=60f1380e-454b-41b1-9e82-64be9998667a" TargetMode="External"/><Relationship Id="rId1882" Type="http://schemas.openxmlformats.org/officeDocument/2006/relationships/hyperlink" Target="https://analytics.zhihuiya.com/patent-view/abst?patentId=3c71cf09-eb11-46f8-bc07-3d619096a508" TargetMode="External"/><Relationship Id="rId2519" Type="http://schemas.openxmlformats.org/officeDocument/2006/relationships/hyperlink" Target="https://analytics.zhihuiya.com/patent-view/abst?patentId=754667c6-3093-45a8-8db1-e97518ca2d07" TargetMode="External"/><Relationship Id="rId2726" Type="http://schemas.openxmlformats.org/officeDocument/2006/relationships/hyperlink" Target="https://analytics.zhihuiya.com/patent-view/abst?patentId=c7802c27-e805-41c4-9bb7-e1c30a5f7bba" TargetMode="External"/><Relationship Id="rId4081" Type="http://schemas.openxmlformats.org/officeDocument/2006/relationships/hyperlink" Target="https://analytics.zhihuiya.com/patent-view/abst?patentId=de167923-3311-4011-8dad-2f11ecc4ede0" TargetMode="External"/><Relationship Id="rId1328" Type="http://schemas.openxmlformats.org/officeDocument/2006/relationships/hyperlink" Target="https://analytics.zhihuiya.com/patent-view/abst?patentId=0ce8b60c-9d0d-4fab-9125-7c3c945aabac" TargetMode="External"/><Relationship Id="rId1535" Type="http://schemas.openxmlformats.org/officeDocument/2006/relationships/hyperlink" Target="https://analytics.zhihuiya.com/patent-view/abst?patentId=9c8ba1c4-55fe-4dba-9e18-e0cccb6d83b4" TargetMode="External"/><Relationship Id="rId2933" Type="http://schemas.openxmlformats.org/officeDocument/2006/relationships/hyperlink" Target="https://analytics.zhihuiya.com/patent-view/abst?patentId=9ad3a11e-fd88-494b-9aa6-9ef017ff7915" TargetMode="External"/><Relationship Id="rId905" Type="http://schemas.openxmlformats.org/officeDocument/2006/relationships/hyperlink" Target="https://analytics.zhihuiya.com/patent-view/abst?patentId=4daf1ccb-3eac-45e0-af9a-154a11e019db" TargetMode="External"/><Relationship Id="rId1742" Type="http://schemas.openxmlformats.org/officeDocument/2006/relationships/hyperlink" Target="https://analytics.zhihuiya.com/patent-view/abst?patentId=dd341124-4bbf-4428-979a-e65421c52a83" TargetMode="External"/><Relationship Id="rId34" Type="http://schemas.openxmlformats.org/officeDocument/2006/relationships/hyperlink" Target="https://analytics.zhihuiya.com/patent-view/abst?patentId=a405f82b-faff-4307-b651-7b026a31454a" TargetMode="External"/><Relationship Id="rId1602" Type="http://schemas.openxmlformats.org/officeDocument/2006/relationships/hyperlink" Target="https://analytics.zhihuiya.com/patent-view/abst?patentId=ce9282bb-c07e-48be-9b88-17b66f3d06c6" TargetMode="External"/><Relationship Id="rId3567" Type="http://schemas.openxmlformats.org/officeDocument/2006/relationships/hyperlink" Target="https://analytics.zhihuiya.com/patent-view/abst?patentId=7de27ef3-6101-4e3f-9ed0-b81cc307775d" TargetMode="External"/><Relationship Id="rId3774" Type="http://schemas.openxmlformats.org/officeDocument/2006/relationships/hyperlink" Target="https://analytics.zhihuiya.com/patent-view/abst?patentId=8e6c015d-17c1-4eee-afc9-06ec0d2049c4" TargetMode="External"/><Relationship Id="rId3981" Type="http://schemas.openxmlformats.org/officeDocument/2006/relationships/hyperlink" Target="https://analytics.zhihuiya.com/patent-view/abst?patentId=d9b29c16-cbe3-469e-bb67-169714583c5c" TargetMode="External"/><Relationship Id="rId488" Type="http://schemas.openxmlformats.org/officeDocument/2006/relationships/hyperlink" Target="https://analytics.zhihuiya.com/patent-view/abst?patentId=3b9b6b6a-52ec-43ab-a474-fa77fed77f62" TargetMode="External"/><Relationship Id="rId695" Type="http://schemas.openxmlformats.org/officeDocument/2006/relationships/hyperlink" Target="https://analytics.zhihuiya.com/patent-view/abst?patentId=d0cf467d-4385-41ff-8fab-3f290b63f9f3" TargetMode="External"/><Relationship Id="rId2169" Type="http://schemas.openxmlformats.org/officeDocument/2006/relationships/hyperlink" Target="https://analytics.zhihuiya.com/patent-view/abst?patentId=ade39799-4727-45e8-b1c7-66162bcfaa76" TargetMode="External"/><Relationship Id="rId2376" Type="http://schemas.openxmlformats.org/officeDocument/2006/relationships/hyperlink" Target="https://analytics.zhihuiya.com/patent-view/abst?patentId=3fd1ae8a-b70c-43a6-8ce0-d97587bd9985" TargetMode="External"/><Relationship Id="rId2583" Type="http://schemas.openxmlformats.org/officeDocument/2006/relationships/hyperlink" Target="https://analytics.zhihuiya.com/patent-view/abst?patentId=9bf9758f-2084-4d54-9804-ed4fa207d68d" TargetMode="External"/><Relationship Id="rId2790" Type="http://schemas.openxmlformats.org/officeDocument/2006/relationships/hyperlink" Target="https://analytics.zhihuiya.com/patent-view/abst?patentId=718b5377-d193-4c14-94ef-7054a7e24f84" TargetMode="External"/><Relationship Id="rId3427" Type="http://schemas.openxmlformats.org/officeDocument/2006/relationships/hyperlink" Target="https://analytics.zhihuiya.com/patent-view/abst?patentId=da5f497a-d13f-4ae9-8999-d24c37b92c7c" TargetMode="External"/><Relationship Id="rId3634" Type="http://schemas.openxmlformats.org/officeDocument/2006/relationships/hyperlink" Target="https://analytics.zhihuiya.com/patent-view/abst?patentId=1389bc3a-6987-4294-a2de-6f5840f9bd65" TargetMode="External"/><Relationship Id="rId3841" Type="http://schemas.openxmlformats.org/officeDocument/2006/relationships/hyperlink" Target="https://analytics.zhihuiya.com/patent-view/abst?patentId=6e02e9bc-4b03-409b-a58f-4a3aec71e762" TargetMode="External"/><Relationship Id="rId348" Type="http://schemas.openxmlformats.org/officeDocument/2006/relationships/hyperlink" Target="https://analytics.zhihuiya.com/patent-view/abst?patentId=5767aef1-bd58-4202-ac33-1cdf3471d78a" TargetMode="External"/><Relationship Id="rId555" Type="http://schemas.openxmlformats.org/officeDocument/2006/relationships/hyperlink" Target="https://analytics.zhihuiya.com/patent-view/abst?patentId=ef0f67ff-b7aa-4fb4-8818-b0f6072405b4" TargetMode="External"/><Relationship Id="rId762" Type="http://schemas.openxmlformats.org/officeDocument/2006/relationships/hyperlink" Target="https://analytics.zhihuiya.com/patent-view/abst?patentId=a622745a-b70a-427b-8745-e2b6223e2291" TargetMode="External"/><Relationship Id="rId1185" Type="http://schemas.openxmlformats.org/officeDocument/2006/relationships/hyperlink" Target="https://analytics.zhihuiya.com/patent-view/abst?patentId=79c7527e-add3-44e8-b910-8e8cd05d8a5f" TargetMode="External"/><Relationship Id="rId1392" Type="http://schemas.openxmlformats.org/officeDocument/2006/relationships/hyperlink" Target="https://analytics.zhihuiya.com/patent-view/abst?patentId=497ce8b6-5598-4e8a-a66f-1f5e034590aa" TargetMode="External"/><Relationship Id="rId2029" Type="http://schemas.openxmlformats.org/officeDocument/2006/relationships/hyperlink" Target="https://analytics.zhihuiya.com/patent-view/abst?patentId=41968ba0-75d1-4640-9437-2cc9ec7cb999" TargetMode="External"/><Relationship Id="rId2236" Type="http://schemas.openxmlformats.org/officeDocument/2006/relationships/hyperlink" Target="https://analytics.zhihuiya.com/patent-view/abst?patentId=f0de7070-3999-4e8d-bbf0-8b6d4cc82f34" TargetMode="External"/><Relationship Id="rId2443" Type="http://schemas.openxmlformats.org/officeDocument/2006/relationships/hyperlink" Target="https://analytics.zhihuiya.com/patent-view/abst?patentId=cc78ce3b-dccc-4dc6-b1ca-7fb5442e2b00" TargetMode="External"/><Relationship Id="rId2650" Type="http://schemas.openxmlformats.org/officeDocument/2006/relationships/hyperlink" Target="https://analytics.zhihuiya.com/patent-view/abst?patentId=5c8a4baf-3b4d-420a-a9f6-157942ffb98e" TargetMode="External"/><Relationship Id="rId3701" Type="http://schemas.openxmlformats.org/officeDocument/2006/relationships/hyperlink" Target="https://analytics.zhihuiya.com/patent-view/abst?patentId=e2b0c241-f11c-4334-8b99-dbec17159c7d" TargetMode="External"/><Relationship Id="rId208" Type="http://schemas.openxmlformats.org/officeDocument/2006/relationships/hyperlink" Target="https://analytics.zhihuiya.com/patent-view/abst?patentId=b6fa2c37-a805-4aaf-bd90-9a2af6f96a57" TargetMode="External"/><Relationship Id="rId415" Type="http://schemas.openxmlformats.org/officeDocument/2006/relationships/hyperlink" Target="https://analytics.zhihuiya.com/patent-view/abst?patentId=510a37b3-ca42-4312-a5ff-93b29e1d00f8" TargetMode="External"/><Relationship Id="rId622" Type="http://schemas.openxmlformats.org/officeDocument/2006/relationships/hyperlink" Target="https://analytics.zhihuiya.com/patent-view/abst?patentId=6e674944-0e13-4b57-ba9e-0324578d8478" TargetMode="External"/><Relationship Id="rId1045" Type="http://schemas.openxmlformats.org/officeDocument/2006/relationships/hyperlink" Target="https://analytics.zhihuiya.com/patent-view/abst?patentId=522a98a2-37b5-4588-b501-900aa3f2deb9" TargetMode="External"/><Relationship Id="rId1252" Type="http://schemas.openxmlformats.org/officeDocument/2006/relationships/hyperlink" Target="https://analytics.zhihuiya.com/patent-view/abst?patentId=22be872d-afd4-499d-8897-8f4cd4b68530" TargetMode="External"/><Relationship Id="rId2303" Type="http://schemas.openxmlformats.org/officeDocument/2006/relationships/hyperlink" Target="https://analytics.zhihuiya.com/patent-view/abst?patentId=0ec4d7f5-a324-4398-9950-7bfe87044848" TargetMode="External"/><Relationship Id="rId2510" Type="http://schemas.openxmlformats.org/officeDocument/2006/relationships/hyperlink" Target="https://analytics.zhihuiya.com/patent-view/abst?patentId=c57d193d-2fbe-46e1-8d70-857091db990b" TargetMode="External"/><Relationship Id="rId1112" Type="http://schemas.openxmlformats.org/officeDocument/2006/relationships/hyperlink" Target="https://analytics.zhihuiya.com/patent-view/abst?patentId=7765ab14-7b2f-4359-9550-9d11daa2c1da" TargetMode="External"/><Relationship Id="rId4268" Type="http://schemas.openxmlformats.org/officeDocument/2006/relationships/hyperlink" Target="https://analytics.zhihuiya.com/patent-view/abst?patentId=372322c0-0cf5-4c58-9347-5df58fd90ef9" TargetMode="External"/><Relationship Id="rId3077" Type="http://schemas.openxmlformats.org/officeDocument/2006/relationships/hyperlink" Target="https://analytics.zhihuiya.com/patent-view/abst?patentId=fe955158-eaf3-47d1-9d01-2d79286e7e22" TargetMode="External"/><Relationship Id="rId3284" Type="http://schemas.openxmlformats.org/officeDocument/2006/relationships/hyperlink" Target="https://analytics.zhihuiya.com/patent-view/abst?patentId=47ece6df-9d99-4135-85fc-4ade6dffeab4" TargetMode="External"/><Relationship Id="rId4128" Type="http://schemas.openxmlformats.org/officeDocument/2006/relationships/hyperlink" Target="https://analytics.zhihuiya.com/patent-view/abst?patentId=ba067ecf-6f35-492d-b76a-a4e9fece29ef" TargetMode="External"/><Relationship Id="rId1929" Type="http://schemas.openxmlformats.org/officeDocument/2006/relationships/hyperlink" Target="https://analytics.zhihuiya.com/patent-view/abst?patentId=e409b767-7fa7-4135-885f-8acd7a9f6da8" TargetMode="External"/><Relationship Id="rId2093" Type="http://schemas.openxmlformats.org/officeDocument/2006/relationships/hyperlink" Target="https://analytics.zhihuiya.com/patent-view/abst?patentId=4f809ffb-6c6c-40d1-954f-b29270c94ec7" TargetMode="External"/><Relationship Id="rId3491" Type="http://schemas.openxmlformats.org/officeDocument/2006/relationships/hyperlink" Target="https://analytics.zhihuiya.com/patent-view/abst?patentId=9440fc64-0422-4399-9f7a-a84ee6aa9502" TargetMode="External"/><Relationship Id="rId4335" Type="http://schemas.openxmlformats.org/officeDocument/2006/relationships/hyperlink" Target="https://analytics.zhihuiya.com/patent-view/abst?patentId=add28189-7240-4be8-bc4d-8a59ab41da80" TargetMode="External"/><Relationship Id="rId3144" Type="http://schemas.openxmlformats.org/officeDocument/2006/relationships/hyperlink" Target="https://analytics.zhihuiya.com/patent-view/abst?patentId=0cd28c2a-8ff9-48b5-97b9-c6690f8da59d" TargetMode="External"/><Relationship Id="rId3351" Type="http://schemas.openxmlformats.org/officeDocument/2006/relationships/hyperlink" Target="https://analytics.zhihuiya.com/patent-view/abst?patentId=d5f6e6c6-8de3-40e8-b3fa-abedf6f1f482" TargetMode="External"/><Relationship Id="rId4402" Type="http://schemas.openxmlformats.org/officeDocument/2006/relationships/hyperlink" Target="https://analytics.zhihuiya.com/patent-view/abst?patentId=24540588-5e38-4c26-9f45-56eb73e88c39" TargetMode="External"/><Relationship Id="rId272" Type="http://schemas.openxmlformats.org/officeDocument/2006/relationships/hyperlink" Target="https://analytics.zhihuiya.com/patent-view/abst?patentId=5ecc91eb-5352-4f02-9825-22ca9b75d14c" TargetMode="External"/><Relationship Id="rId2160" Type="http://schemas.openxmlformats.org/officeDocument/2006/relationships/hyperlink" Target="https://analytics.zhihuiya.com/patent-view/abst?patentId=c796fe8b-f6fb-444a-8047-03c81d25df40" TargetMode="External"/><Relationship Id="rId3004" Type="http://schemas.openxmlformats.org/officeDocument/2006/relationships/hyperlink" Target="https://analytics.zhihuiya.com/patent-view/abst?patentId=9630fd46-8275-46e3-9717-9d5584c254f2" TargetMode="External"/><Relationship Id="rId3211" Type="http://schemas.openxmlformats.org/officeDocument/2006/relationships/hyperlink" Target="https://analytics.zhihuiya.com/patent-view/abst?patentId=23312971-3658-4b2f-8c04-a30dd2b5a61b" TargetMode="External"/><Relationship Id="rId132" Type="http://schemas.openxmlformats.org/officeDocument/2006/relationships/hyperlink" Target="https://analytics.zhihuiya.com/patent-view/abst?patentId=982f6048-31dc-4388-8b1d-881258ebe860" TargetMode="External"/><Relationship Id="rId2020" Type="http://schemas.openxmlformats.org/officeDocument/2006/relationships/hyperlink" Target="https://analytics.zhihuiya.com/patent-view/abst?patentId=84698997-4e11-42bb-b046-9e6d06115a2b" TargetMode="External"/><Relationship Id="rId1579" Type="http://schemas.openxmlformats.org/officeDocument/2006/relationships/hyperlink" Target="https://analytics.zhihuiya.com/patent-view/abst?patentId=c7ffb006-ea54-4265-bf27-a549db81051e" TargetMode="External"/><Relationship Id="rId2977" Type="http://schemas.openxmlformats.org/officeDocument/2006/relationships/hyperlink" Target="https://analytics.zhihuiya.com/patent-view/abst?patentId=89f57bf7-16a6-4c2c-b412-23c01919556c" TargetMode="External"/><Relationship Id="rId4192" Type="http://schemas.openxmlformats.org/officeDocument/2006/relationships/hyperlink" Target="https://analytics.zhihuiya.com/patent-view/abst?patentId=c00de9c7-298d-44d9-b626-712c517d40b1" TargetMode="External"/><Relationship Id="rId949" Type="http://schemas.openxmlformats.org/officeDocument/2006/relationships/hyperlink" Target="https://analytics.zhihuiya.com/patent-view/abst?patentId=6004695a-3a60-4a2d-9b50-82116c7a5a5c" TargetMode="External"/><Relationship Id="rId1786" Type="http://schemas.openxmlformats.org/officeDocument/2006/relationships/hyperlink" Target="https://analytics.zhihuiya.com/patent-view/abst?patentId=e398ec44-ef75-4a42-8850-396bd473193f" TargetMode="External"/><Relationship Id="rId1993" Type="http://schemas.openxmlformats.org/officeDocument/2006/relationships/hyperlink" Target="https://analytics.zhihuiya.com/patent-view/abst?patentId=99607dd5-a4c3-4ad1-a4e4-49e801e847f6" TargetMode="External"/><Relationship Id="rId2837" Type="http://schemas.openxmlformats.org/officeDocument/2006/relationships/hyperlink" Target="https://analytics.zhihuiya.com/patent-view/abst?patentId=6f56af9b-ebf1-4ff2-991c-99664ebaa94d" TargetMode="External"/><Relationship Id="rId4052" Type="http://schemas.openxmlformats.org/officeDocument/2006/relationships/hyperlink" Target="https://analytics.zhihuiya.com/patent-view/abst?patentId=6222b9dc-ba3e-4705-94a8-ee1ec9a678b7" TargetMode="External"/><Relationship Id="rId78" Type="http://schemas.openxmlformats.org/officeDocument/2006/relationships/hyperlink" Target="https://analytics.zhihuiya.com/patent-view/abst?patentId=5a37feaa-cffd-4dbe-accb-95aad9e5765b" TargetMode="External"/><Relationship Id="rId809" Type="http://schemas.openxmlformats.org/officeDocument/2006/relationships/hyperlink" Target="https://analytics.zhihuiya.com/patent-view/abst?patentId=0983ff32-b72f-4e08-aa67-404d4d180e38" TargetMode="External"/><Relationship Id="rId1439" Type="http://schemas.openxmlformats.org/officeDocument/2006/relationships/hyperlink" Target="https://analytics.zhihuiya.com/patent-view/abst?patentId=c44d9479-345b-415b-876d-da66bdeae4dc" TargetMode="External"/><Relationship Id="rId1646" Type="http://schemas.openxmlformats.org/officeDocument/2006/relationships/hyperlink" Target="https://analytics.zhihuiya.com/patent-view/abst?patentId=fdb49c99-883d-4ca0-b08b-ad97f7f3a3cb" TargetMode="External"/><Relationship Id="rId1853" Type="http://schemas.openxmlformats.org/officeDocument/2006/relationships/hyperlink" Target="https://analytics.zhihuiya.com/patent-view/abst?patentId=c9864a49-ffe0-4218-b29a-3354cc0ab2ad" TargetMode="External"/><Relationship Id="rId2904" Type="http://schemas.openxmlformats.org/officeDocument/2006/relationships/hyperlink" Target="https://analytics.zhihuiya.com/patent-view/abst?patentId=70bd8de0-5a61-4f08-bc5f-1d0d7534d10e" TargetMode="External"/><Relationship Id="rId1506" Type="http://schemas.openxmlformats.org/officeDocument/2006/relationships/hyperlink" Target="https://analytics.zhihuiya.com/patent-view/abst?patentId=b5e21826-e9ee-4f00-9ed1-c3cba79efe32" TargetMode="External"/><Relationship Id="rId1713" Type="http://schemas.openxmlformats.org/officeDocument/2006/relationships/hyperlink" Target="https://analytics.zhihuiya.com/patent-view/abst?patentId=b8816d18-f0cf-4e9b-8a70-f6f6643c7492" TargetMode="External"/><Relationship Id="rId1920" Type="http://schemas.openxmlformats.org/officeDocument/2006/relationships/hyperlink" Target="https://analytics.zhihuiya.com/patent-view/abst?patentId=9f12f233-a4b8-42a3-8416-07c512b4e34c" TargetMode="External"/><Relationship Id="rId3678" Type="http://schemas.openxmlformats.org/officeDocument/2006/relationships/hyperlink" Target="https://analytics.zhihuiya.com/patent-view/abst?patentId=904894f2-af48-4c82-ae49-84e27fea4ae9" TargetMode="External"/><Relationship Id="rId3885" Type="http://schemas.openxmlformats.org/officeDocument/2006/relationships/hyperlink" Target="https://analytics.zhihuiya.com/patent-view/abst?patentId=1f99ec88-aba7-4436-967e-2d2ab0a91ac2" TargetMode="External"/><Relationship Id="rId599" Type="http://schemas.openxmlformats.org/officeDocument/2006/relationships/hyperlink" Target="https://analytics.zhihuiya.com/patent-view/abst?patentId=51b0ba24-f644-4be3-8770-92cf560b9700" TargetMode="External"/><Relationship Id="rId2487" Type="http://schemas.openxmlformats.org/officeDocument/2006/relationships/hyperlink" Target="https://analytics.zhihuiya.com/patent-view/abst?patentId=caa6c19c-a369-4197-8ffa-2d0c7bcfdda8" TargetMode="External"/><Relationship Id="rId2694" Type="http://schemas.openxmlformats.org/officeDocument/2006/relationships/hyperlink" Target="https://analytics.zhihuiya.com/patent-view/abst?patentId=bdf25b17-5524-4f83-bf10-0c2819d52ee7" TargetMode="External"/><Relationship Id="rId3538" Type="http://schemas.openxmlformats.org/officeDocument/2006/relationships/hyperlink" Target="https://analytics.zhihuiya.com/patent-view/abst?patentId=db81dba2-ec48-491f-a7a7-239ffb6e7f6f" TargetMode="External"/><Relationship Id="rId3745" Type="http://schemas.openxmlformats.org/officeDocument/2006/relationships/hyperlink" Target="https://analytics.zhihuiya.com/patent-view/abst?patentId=74790539-b71b-46ca-b5f3-b97226d71e69" TargetMode="External"/><Relationship Id="rId459" Type="http://schemas.openxmlformats.org/officeDocument/2006/relationships/hyperlink" Target="https://analytics.zhihuiya.com/patent-view/abst?patentId=f287c3ce-ef6c-45fc-b885-23c93ee74275" TargetMode="External"/><Relationship Id="rId666" Type="http://schemas.openxmlformats.org/officeDocument/2006/relationships/hyperlink" Target="https://analytics.zhihuiya.com/patent-view/abst?patentId=24bd8059-f202-46d7-a917-aad37767bb0f" TargetMode="External"/><Relationship Id="rId873" Type="http://schemas.openxmlformats.org/officeDocument/2006/relationships/hyperlink" Target="https://analytics.zhihuiya.com/patent-view/abst?patentId=3f913686-2fa6-4705-b0a3-1f3ab81112ad" TargetMode="External"/><Relationship Id="rId1089" Type="http://schemas.openxmlformats.org/officeDocument/2006/relationships/hyperlink" Target="https://analytics.zhihuiya.com/patent-view/abst?patentId=71b35d32-3f59-4cc0-8915-9e958dac515b" TargetMode="External"/><Relationship Id="rId1296" Type="http://schemas.openxmlformats.org/officeDocument/2006/relationships/hyperlink" Target="https://analytics.zhihuiya.com/patent-view/abst?patentId=a5f62b7b-dd53-4c14-a321-d7fefe5541f2" TargetMode="External"/><Relationship Id="rId2347" Type="http://schemas.openxmlformats.org/officeDocument/2006/relationships/hyperlink" Target="https://analytics.zhihuiya.com/patent-view/abst?patentId=0d091c3d-3a82-4623-8e27-1e8c61f83ab0" TargetMode="External"/><Relationship Id="rId2554" Type="http://schemas.openxmlformats.org/officeDocument/2006/relationships/hyperlink" Target="https://analytics.zhihuiya.com/patent-view/abst?patentId=85dd77c7-6835-4456-ad3c-910ceb4fab7c" TargetMode="External"/><Relationship Id="rId3952" Type="http://schemas.openxmlformats.org/officeDocument/2006/relationships/hyperlink" Target="https://analytics.zhihuiya.com/patent-view/abst?patentId=5403a58a-eadf-4e5e-b643-6876d321589a" TargetMode="External"/><Relationship Id="rId319" Type="http://schemas.openxmlformats.org/officeDocument/2006/relationships/hyperlink" Target="https://analytics.zhihuiya.com/patent-view/abst?patentId=8667a341-fb4c-42b8-9298-39abcedb77c9" TargetMode="External"/><Relationship Id="rId526" Type="http://schemas.openxmlformats.org/officeDocument/2006/relationships/hyperlink" Target="https://analytics.zhihuiya.com/patent-view/abst?patentId=3db38d14-df13-43df-adad-a2a93f553696" TargetMode="External"/><Relationship Id="rId1156" Type="http://schemas.openxmlformats.org/officeDocument/2006/relationships/hyperlink" Target="https://analytics.zhihuiya.com/patent-view/abst?patentId=f8e54e8d-7054-48c0-880d-b567f3d0f73f" TargetMode="External"/><Relationship Id="rId1363" Type="http://schemas.openxmlformats.org/officeDocument/2006/relationships/hyperlink" Target="https://analytics.zhihuiya.com/patent-view/abst?patentId=1cc6ac38-e9c7-4fc1-a44f-1b8f963684a5" TargetMode="External"/><Relationship Id="rId2207" Type="http://schemas.openxmlformats.org/officeDocument/2006/relationships/hyperlink" Target="https://analytics.zhihuiya.com/patent-view/abst?patentId=2db8fc5e-3d1c-4975-8400-bd51173dd9bf" TargetMode="External"/><Relationship Id="rId2761" Type="http://schemas.openxmlformats.org/officeDocument/2006/relationships/hyperlink" Target="https://analytics.zhihuiya.com/patent-view/abst?patentId=b67912e5-087f-479c-964c-02751c45be02" TargetMode="External"/><Relationship Id="rId3605" Type="http://schemas.openxmlformats.org/officeDocument/2006/relationships/hyperlink" Target="https://analytics.zhihuiya.com/patent-view/abst?patentId=1dcbfc8b-8c0d-431a-9d70-cfd7493439a4" TargetMode="External"/><Relationship Id="rId3812" Type="http://schemas.openxmlformats.org/officeDocument/2006/relationships/hyperlink" Target="https://analytics.zhihuiya.com/patent-view/abst?patentId=ba5261a9-441a-4035-8c5f-b7d3469253fe" TargetMode="External"/><Relationship Id="rId733" Type="http://schemas.openxmlformats.org/officeDocument/2006/relationships/hyperlink" Target="https://analytics.zhihuiya.com/patent-view/abst?patentId=4442f152-631d-456d-8300-6092fd8b8277" TargetMode="External"/><Relationship Id="rId940" Type="http://schemas.openxmlformats.org/officeDocument/2006/relationships/hyperlink" Target="https://analytics.zhihuiya.com/patent-view/abst?patentId=9e44496a-1fd0-401c-b747-d141e5dae43d" TargetMode="External"/><Relationship Id="rId1016" Type="http://schemas.openxmlformats.org/officeDocument/2006/relationships/hyperlink" Target="https://analytics.zhihuiya.com/patent-view/abst?patentId=d8ce6816-6ecb-482c-8049-31c3b9fbe940" TargetMode="External"/><Relationship Id="rId1570" Type="http://schemas.openxmlformats.org/officeDocument/2006/relationships/hyperlink" Target="https://analytics.zhihuiya.com/patent-view/abst?patentId=d2007c5a-3800-4f4f-8950-22ebd73efa22" TargetMode="External"/><Relationship Id="rId2414" Type="http://schemas.openxmlformats.org/officeDocument/2006/relationships/hyperlink" Target="https://analytics.zhihuiya.com/patent-view/abst?patentId=1b939567-369e-451f-bb11-30c6dc825402" TargetMode="External"/><Relationship Id="rId2621" Type="http://schemas.openxmlformats.org/officeDocument/2006/relationships/hyperlink" Target="https://analytics.zhihuiya.com/patent-view/abst?patentId=f3c3d6c4-9958-46e1-a4dc-d27631c509fe" TargetMode="External"/><Relationship Id="rId800" Type="http://schemas.openxmlformats.org/officeDocument/2006/relationships/hyperlink" Target="https://analytics.zhihuiya.com/patent-view/abst?patentId=b7f8eb09-8d04-4a38-9b25-eef4aef1f040" TargetMode="External"/><Relationship Id="rId1223" Type="http://schemas.openxmlformats.org/officeDocument/2006/relationships/hyperlink" Target="https://analytics.zhihuiya.com/patent-view/abst?patentId=a4712888-08ac-49d3-803a-0903399dbd3c" TargetMode="External"/><Relationship Id="rId1430" Type="http://schemas.openxmlformats.org/officeDocument/2006/relationships/hyperlink" Target="https://analytics.zhihuiya.com/patent-view/abst?patentId=c9f52c5c-eb80-4fd3-9d47-a0755efd19dd" TargetMode="External"/><Relationship Id="rId4379" Type="http://schemas.openxmlformats.org/officeDocument/2006/relationships/hyperlink" Target="https://analytics.zhihuiya.com/patent-view/abst?patentId=dbab1f5b-7f50-45b5-84d6-2e92c708d5cb" TargetMode="External"/><Relationship Id="rId3188" Type="http://schemas.openxmlformats.org/officeDocument/2006/relationships/hyperlink" Target="https://analytics.zhihuiya.com/patent-view/abst?patentId=213c509c-9e02-46f0-baf5-2f10584f39c2" TargetMode="External"/><Relationship Id="rId3395" Type="http://schemas.openxmlformats.org/officeDocument/2006/relationships/hyperlink" Target="https://analytics.zhihuiya.com/patent-view/abst?patentId=7d1af3ef-5283-4022-9706-0f22b34f211c" TargetMode="External"/><Relationship Id="rId4239" Type="http://schemas.openxmlformats.org/officeDocument/2006/relationships/hyperlink" Target="https://analytics.zhihuiya.com/patent-view/abst?patentId=0a26f360-6344-457b-b2b0-606f7efa4f7f" TargetMode="External"/><Relationship Id="rId4446" Type="http://schemas.openxmlformats.org/officeDocument/2006/relationships/hyperlink" Target="https://analytics.zhihuiya.com/patent-view/abst?patentId=215e1719-dd60-4b6f-b68a-0a591a267a18" TargetMode="External"/><Relationship Id="rId3048" Type="http://schemas.openxmlformats.org/officeDocument/2006/relationships/hyperlink" Target="https://analytics.zhihuiya.com/patent-view/abst?patentId=d604bc82-8b9f-4dfb-927f-49301e21e0fa" TargetMode="External"/><Relationship Id="rId3255" Type="http://schemas.openxmlformats.org/officeDocument/2006/relationships/hyperlink" Target="https://analytics.zhihuiya.com/patent-view/abst?patentId=3d83bb31-7344-4479-9ed3-b24b567ac88d" TargetMode="External"/><Relationship Id="rId3462" Type="http://schemas.openxmlformats.org/officeDocument/2006/relationships/hyperlink" Target="https://analytics.zhihuiya.com/patent-view/abst?patentId=a42dd419-b683-45b4-b9c9-7483eba649ae" TargetMode="External"/><Relationship Id="rId4306" Type="http://schemas.openxmlformats.org/officeDocument/2006/relationships/hyperlink" Target="https://analytics.zhihuiya.com/patent-view/abst?patentId=31b9e59d-39fa-425b-b547-89993a54d075" TargetMode="External"/><Relationship Id="rId176" Type="http://schemas.openxmlformats.org/officeDocument/2006/relationships/hyperlink" Target="https://analytics.zhihuiya.com/patent-view/abst?patentId=08633148-9e92-4500-ac5a-8728c7fda465" TargetMode="External"/><Relationship Id="rId383" Type="http://schemas.openxmlformats.org/officeDocument/2006/relationships/hyperlink" Target="https://analytics.zhihuiya.com/patent-view/abst?patentId=a7621560-bf55-4108-98e7-bd7674ec8049" TargetMode="External"/><Relationship Id="rId590" Type="http://schemas.openxmlformats.org/officeDocument/2006/relationships/hyperlink" Target="https://analytics.zhihuiya.com/patent-view/abst?patentId=327fbf02-f659-483f-a852-6d7ed0bf4824" TargetMode="External"/><Relationship Id="rId2064" Type="http://schemas.openxmlformats.org/officeDocument/2006/relationships/hyperlink" Target="https://analytics.zhihuiya.com/patent-view/abst?patentId=ab7d52ff-c0dd-4606-9440-8eb7240961ed" TargetMode="External"/><Relationship Id="rId2271" Type="http://schemas.openxmlformats.org/officeDocument/2006/relationships/hyperlink" Target="https://analytics.zhihuiya.com/patent-view/abst?patentId=9ed667a6-ee51-4e38-a3d2-2017796c18cf" TargetMode="External"/><Relationship Id="rId3115" Type="http://schemas.openxmlformats.org/officeDocument/2006/relationships/hyperlink" Target="https://analytics.zhihuiya.com/patent-view/abst?patentId=0d971a99-dbc9-4698-b7bf-607b8761d10d" TargetMode="External"/><Relationship Id="rId3322" Type="http://schemas.openxmlformats.org/officeDocument/2006/relationships/hyperlink" Target="https://analytics.zhihuiya.com/patent-view/abst?patentId=5ddb2a6a-42fe-4850-abef-a063a7c988c9" TargetMode="External"/><Relationship Id="rId243" Type="http://schemas.openxmlformats.org/officeDocument/2006/relationships/hyperlink" Target="https://analytics.zhihuiya.com/patent-view/abst?patentId=70aec62a-109d-427a-9a03-98c667246a52" TargetMode="External"/><Relationship Id="rId450" Type="http://schemas.openxmlformats.org/officeDocument/2006/relationships/hyperlink" Target="https://analytics.zhihuiya.com/patent-view/abst?patentId=55fa45d5-44cf-4b5b-9160-cecf74ffe087" TargetMode="External"/><Relationship Id="rId1080" Type="http://schemas.openxmlformats.org/officeDocument/2006/relationships/hyperlink" Target="https://analytics.zhihuiya.com/patent-view/abst?patentId=f162e98a-cfc3-41f6-ac1f-8b7e1295cc99" TargetMode="External"/><Relationship Id="rId2131" Type="http://schemas.openxmlformats.org/officeDocument/2006/relationships/hyperlink" Target="https://analytics.zhihuiya.com/patent-view/abst?patentId=1ea7bed2-6173-4ff2-b6dd-70cd06ae3275" TargetMode="External"/><Relationship Id="rId103" Type="http://schemas.openxmlformats.org/officeDocument/2006/relationships/hyperlink" Target="https://analytics.zhihuiya.com/patent-view/abst?patentId=b6499d19-a746-4e2a-b799-65204c604e38" TargetMode="External"/><Relationship Id="rId310" Type="http://schemas.openxmlformats.org/officeDocument/2006/relationships/hyperlink" Target="https://analytics.zhihuiya.com/patent-view/abst?patentId=300f2589-3c3c-480f-a480-f59a904e9d0c" TargetMode="External"/><Relationship Id="rId4096" Type="http://schemas.openxmlformats.org/officeDocument/2006/relationships/hyperlink" Target="https://analytics.zhihuiya.com/patent-view/abst?patentId=16bc4c24-7e6d-4369-82b7-df465e6ec78b" TargetMode="External"/><Relationship Id="rId1897" Type="http://schemas.openxmlformats.org/officeDocument/2006/relationships/hyperlink" Target="https://analytics.zhihuiya.com/patent-view/abst?patentId=98e09c84-7984-494b-bdef-6493f923e4ad" TargetMode="External"/><Relationship Id="rId2948" Type="http://schemas.openxmlformats.org/officeDocument/2006/relationships/hyperlink" Target="https://analytics.zhihuiya.com/patent-view/abst?patentId=1582153f-e61d-4253-a446-161656b7ac20" TargetMode="External"/><Relationship Id="rId1757" Type="http://schemas.openxmlformats.org/officeDocument/2006/relationships/hyperlink" Target="https://analytics.zhihuiya.com/patent-view/abst?patentId=6265e888-061c-4c06-b890-cb1346fe68e5" TargetMode="External"/><Relationship Id="rId1964" Type="http://schemas.openxmlformats.org/officeDocument/2006/relationships/hyperlink" Target="https://analytics.zhihuiya.com/patent-view/abst?patentId=553beb2f-3196-4c53-b7d7-c79f48905b05" TargetMode="External"/><Relationship Id="rId2808" Type="http://schemas.openxmlformats.org/officeDocument/2006/relationships/hyperlink" Target="https://analytics.zhihuiya.com/patent-view/abst?patentId=c14eec82-b317-43f2-8bf3-c01181f0106f" TargetMode="External"/><Relationship Id="rId4163" Type="http://schemas.openxmlformats.org/officeDocument/2006/relationships/hyperlink" Target="https://analytics.zhihuiya.com/patent-view/abst?patentId=baf9c64f-9322-4cad-a645-7fb57b153272" TargetMode="External"/><Relationship Id="rId4370" Type="http://schemas.openxmlformats.org/officeDocument/2006/relationships/hyperlink" Target="https://analytics.zhihuiya.com/patent-view/abst?patentId=0885f215-a194-41f3-a7fb-510d2bbc1b46" TargetMode="External"/><Relationship Id="rId49" Type="http://schemas.openxmlformats.org/officeDocument/2006/relationships/hyperlink" Target="https://analytics.zhihuiya.com/patent-view/abst?patentId=8fde0eba-2930-49ae-a541-13ef6b415f16" TargetMode="External"/><Relationship Id="rId1617" Type="http://schemas.openxmlformats.org/officeDocument/2006/relationships/hyperlink" Target="https://analytics.zhihuiya.com/patent-view/abst?patentId=4278d24c-fffd-ee03-ba62-e2c41d183316" TargetMode="External"/><Relationship Id="rId1824" Type="http://schemas.openxmlformats.org/officeDocument/2006/relationships/hyperlink" Target="https://analytics.zhihuiya.com/patent-view/abst?patentId=7b3de6f3-2a59-44ed-8050-49edb29c95b1" TargetMode="External"/><Relationship Id="rId4023" Type="http://schemas.openxmlformats.org/officeDocument/2006/relationships/hyperlink" Target="https://analytics.zhihuiya.com/patent-view/abst?patentId=3dc13fc7-b07c-45c8-a4d0-dbd29b0ebfad" TargetMode="External"/><Relationship Id="rId4230" Type="http://schemas.openxmlformats.org/officeDocument/2006/relationships/hyperlink" Target="https://analytics.zhihuiya.com/patent-view/abst?patentId=496691e1-d341-41a3-9ff8-68912acf4015" TargetMode="External"/><Relationship Id="rId3789" Type="http://schemas.openxmlformats.org/officeDocument/2006/relationships/hyperlink" Target="https://analytics.zhihuiya.com/patent-view/abst?patentId=f7b4a76d-eda3-4b46-973e-bd269175c47f" TargetMode="External"/><Relationship Id="rId2598" Type="http://schemas.openxmlformats.org/officeDocument/2006/relationships/hyperlink" Target="https://analytics.zhihuiya.com/patent-view/abst?patentId=4f1d2f58-a825-45a0-8437-fcea882072ac" TargetMode="External"/><Relationship Id="rId3996" Type="http://schemas.openxmlformats.org/officeDocument/2006/relationships/hyperlink" Target="https://analytics.zhihuiya.com/patent-view/abst?patentId=0bc3feb8-6f09-45ec-961d-5d2253f723f9" TargetMode="External"/><Relationship Id="rId3649" Type="http://schemas.openxmlformats.org/officeDocument/2006/relationships/hyperlink" Target="https://analytics.zhihuiya.com/patent-view/abst?patentId=c38cc3d4-44e4-44ab-930f-d200f738cd1b" TargetMode="External"/><Relationship Id="rId3856" Type="http://schemas.openxmlformats.org/officeDocument/2006/relationships/hyperlink" Target="https://analytics.zhihuiya.com/patent-view/abst?patentId=caa438ee-d1a3-413c-89bd-e5696a5861ea" TargetMode="External"/><Relationship Id="rId777" Type="http://schemas.openxmlformats.org/officeDocument/2006/relationships/hyperlink" Target="https://analytics.zhihuiya.com/patent-view/abst?patentId=38598e81-819f-4a6a-8420-e31362691d81" TargetMode="External"/><Relationship Id="rId984" Type="http://schemas.openxmlformats.org/officeDocument/2006/relationships/hyperlink" Target="https://analytics.zhihuiya.com/patent-view/abst?patentId=46945b14-b07d-4fa3-95c3-5abbcbb64d5a" TargetMode="External"/><Relationship Id="rId2458" Type="http://schemas.openxmlformats.org/officeDocument/2006/relationships/hyperlink" Target="https://analytics.zhihuiya.com/patent-view/abst?patentId=497e3650-1621-4ad0-9224-6bb7703e800a" TargetMode="External"/><Relationship Id="rId2665" Type="http://schemas.openxmlformats.org/officeDocument/2006/relationships/hyperlink" Target="https://analytics.zhihuiya.com/patent-view/abst?patentId=17b0e355-9bc4-43b0-b6b9-dfe7e01a47a0" TargetMode="External"/><Relationship Id="rId2872" Type="http://schemas.openxmlformats.org/officeDocument/2006/relationships/hyperlink" Target="https://analytics.zhihuiya.com/patent-view/abst?patentId=ac2c4f0e-a5c5-4aed-b219-48f2473eada5" TargetMode="External"/><Relationship Id="rId3509" Type="http://schemas.openxmlformats.org/officeDocument/2006/relationships/hyperlink" Target="https://analytics.zhihuiya.com/patent-view/abst?patentId=6e4bff98-85e4-415e-8e2f-12c19e44d7ab" TargetMode="External"/><Relationship Id="rId3716" Type="http://schemas.openxmlformats.org/officeDocument/2006/relationships/hyperlink" Target="https://analytics.zhihuiya.com/patent-view/abst?patentId=75c4e121-719a-49e6-bb35-da5d68b61251" TargetMode="External"/><Relationship Id="rId3923" Type="http://schemas.openxmlformats.org/officeDocument/2006/relationships/hyperlink" Target="https://analytics.zhihuiya.com/patent-view/abst?patentId=bb54bb68-063a-4069-b60c-7c94bd8eec49" TargetMode="External"/><Relationship Id="rId637" Type="http://schemas.openxmlformats.org/officeDocument/2006/relationships/hyperlink" Target="https://analytics.zhihuiya.com/patent-view/abst?patentId=b0a2136e-8efb-43af-ad3c-6b1a88502a91" TargetMode="External"/><Relationship Id="rId844" Type="http://schemas.openxmlformats.org/officeDocument/2006/relationships/hyperlink" Target="https://analytics.zhihuiya.com/patent-view/abst?patentId=e0e9564c-1d3c-460b-bfe2-51c68e0ca116" TargetMode="External"/><Relationship Id="rId1267" Type="http://schemas.openxmlformats.org/officeDocument/2006/relationships/hyperlink" Target="https://analytics.zhihuiya.com/patent-view/abst?patentId=2eab542b-d725-4961-8a56-ee8402239ba8" TargetMode="External"/><Relationship Id="rId1474" Type="http://schemas.openxmlformats.org/officeDocument/2006/relationships/hyperlink" Target="https://analytics.zhihuiya.com/patent-view/abst?patentId=74393794-a3ba-47e4-b0bf-0826d6b294b5" TargetMode="External"/><Relationship Id="rId1681" Type="http://schemas.openxmlformats.org/officeDocument/2006/relationships/hyperlink" Target="https://analytics.zhihuiya.com/patent-view/abst?patentId=c32b77e1-48f2-4789-8010-9fff38246bcc" TargetMode="External"/><Relationship Id="rId2318" Type="http://schemas.openxmlformats.org/officeDocument/2006/relationships/hyperlink" Target="https://analytics.zhihuiya.com/patent-view/abst?patentId=f154618f-e97e-4675-8190-0d12572c120e" TargetMode="External"/><Relationship Id="rId2525" Type="http://schemas.openxmlformats.org/officeDocument/2006/relationships/hyperlink" Target="https://analytics.zhihuiya.com/patent-view/abst?patentId=f67f342a-e926-43a1-8700-f6663278deec" TargetMode="External"/><Relationship Id="rId2732" Type="http://schemas.openxmlformats.org/officeDocument/2006/relationships/hyperlink" Target="https://analytics.zhihuiya.com/patent-view/abst?patentId=af2daf84-4848-4135-aedb-d08265ad716c" TargetMode="External"/><Relationship Id="rId704" Type="http://schemas.openxmlformats.org/officeDocument/2006/relationships/hyperlink" Target="https://analytics.zhihuiya.com/patent-view/abst?patentId=07ed82ef-d566-4a9a-b904-a8b82083f9d7" TargetMode="External"/><Relationship Id="rId911" Type="http://schemas.openxmlformats.org/officeDocument/2006/relationships/hyperlink" Target="https://analytics.zhihuiya.com/patent-view/abst?patentId=fa0fad22-1c36-4588-8599-f96452003f74" TargetMode="External"/><Relationship Id="rId1127" Type="http://schemas.openxmlformats.org/officeDocument/2006/relationships/hyperlink" Target="https://analytics.zhihuiya.com/patent-view/abst?patentId=d46dad3a-9374-4d2f-9e03-d1aa33b1caa4" TargetMode="External"/><Relationship Id="rId1334" Type="http://schemas.openxmlformats.org/officeDocument/2006/relationships/hyperlink" Target="https://analytics.zhihuiya.com/patent-view/abst?patentId=84ab993d-c146-48c1-9675-e844d7460954" TargetMode="External"/><Relationship Id="rId1541" Type="http://schemas.openxmlformats.org/officeDocument/2006/relationships/hyperlink" Target="https://analytics.zhihuiya.com/patent-view/abst?patentId=0927134f-eae2-48a2-924a-9e1911455475" TargetMode="External"/><Relationship Id="rId40" Type="http://schemas.openxmlformats.org/officeDocument/2006/relationships/hyperlink" Target="https://analytics.zhihuiya.com/patent-view/abst?patentId=a737ff80-309e-43a2-adbb-1fdacc5d7945" TargetMode="External"/><Relationship Id="rId1401" Type="http://schemas.openxmlformats.org/officeDocument/2006/relationships/hyperlink" Target="https://analytics.zhihuiya.com/patent-view/abst?patentId=fd523078-c4b6-44f3-bf96-efdfc051572b" TargetMode="External"/><Relationship Id="rId3299" Type="http://schemas.openxmlformats.org/officeDocument/2006/relationships/hyperlink" Target="https://analytics.zhihuiya.com/patent-view/abst?patentId=459b054e-0a98-445d-8f7f-cdda443a5105" TargetMode="External"/><Relationship Id="rId3159" Type="http://schemas.openxmlformats.org/officeDocument/2006/relationships/hyperlink" Target="https://analytics.zhihuiya.com/patent-view/abst?patentId=abae2f6b-66d4-4282-997f-787c8ca62a1b" TargetMode="External"/><Relationship Id="rId3366" Type="http://schemas.openxmlformats.org/officeDocument/2006/relationships/hyperlink" Target="https://analytics.zhihuiya.com/patent-view/abst?patentId=e777debe-549d-4458-a930-3fe869f7e1d5" TargetMode="External"/><Relationship Id="rId3573" Type="http://schemas.openxmlformats.org/officeDocument/2006/relationships/hyperlink" Target="https://analytics.zhihuiya.com/patent-view/abst?patentId=e293901b-12f3-4e25-a7d3-3444b8b30e6e" TargetMode="External"/><Relationship Id="rId4417" Type="http://schemas.openxmlformats.org/officeDocument/2006/relationships/hyperlink" Target="https://analytics.zhihuiya.com/patent-view/abst?patentId=0fb94dd8-94bb-421b-89b4-0c7d3530b1af" TargetMode="External"/><Relationship Id="rId287" Type="http://schemas.openxmlformats.org/officeDocument/2006/relationships/hyperlink" Target="https://analytics.zhihuiya.com/patent-view/abst?patentId=17bc68f8-f9a8-43bd-b8e6-76ff6d4fa260" TargetMode="External"/><Relationship Id="rId494" Type="http://schemas.openxmlformats.org/officeDocument/2006/relationships/hyperlink" Target="https://analytics.zhihuiya.com/patent-view/abst?patentId=493c1ff0-0f80-4b36-bfdb-ee1bef5cc9f0" TargetMode="External"/><Relationship Id="rId2175" Type="http://schemas.openxmlformats.org/officeDocument/2006/relationships/hyperlink" Target="https://analytics.zhihuiya.com/patent-view/abst?patentId=cf153dec-26ba-41ab-aba6-e894743528e5" TargetMode="External"/><Relationship Id="rId2382" Type="http://schemas.openxmlformats.org/officeDocument/2006/relationships/hyperlink" Target="https://analytics.zhihuiya.com/patent-view/abst?patentId=52582666-f0d7-4a23-a144-688d3fddf4dd" TargetMode="External"/><Relationship Id="rId3019" Type="http://schemas.openxmlformats.org/officeDocument/2006/relationships/hyperlink" Target="https://analytics.zhihuiya.com/patent-view/abst?patentId=d5b776d1-5bc0-49a2-b620-9c124f543fb9" TargetMode="External"/><Relationship Id="rId3226" Type="http://schemas.openxmlformats.org/officeDocument/2006/relationships/hyperlink" Target="https://analytics.zhihuiya.com/patent-view/abst?patentId=18f80d86-8adb-4ff9-aa97-e8d4c2a15de4" TargetMode="External"/><Relationship Id="rId3780" Type="http://schemas.openxmlformats.org/officeDocument/2006/relationships/hyperlink" Target="https://analytics.zhihuiya.com/patent-view/abst?patentId=9a274dda-9f34-41e3-9115-67b321f8be26" TargetMode="External"/><Relationship Id="rId147" Type="http://schemas.openxmlformats.org/officeDocument/2006/relationships/hyperlink" Target="https://analytics.zhihuiya.com/patent-view/abst?patentId=25676e7f-eb86-422e-b1f4-7ee8572bf6fe" TargetMode="External"/><Relationship Id="rId354" Type="http://schemas.openxmlformats.org/officeDocument/2006/relationships/hyperlink" Target="https://analytics.zhihuiya.com/patent-view/abst?patentId=56a37d45-2cfe-4cc0-b446-b4fa0b71e948" TargetMode="External"/><Relationship Id="rId1191" Type="http://schemas.openxmlformats.org/officeDocument/2006/relationships/hyperlink" Target="https://analytics.zhihuiya.com/patent-view/abst?patentId=2516f1f5-7bdc-412e-bcbe-825fe0d42ddd" TargetMode="External"/><Relationship Id="rId2035" Type="http://schemas.openxmlformats.org/officeDocument/2006/relationships/hyperlink" Target="https://analytics.zhihuiya.com/patent-view/abst?patentId=10132109-efd5-40a7-96a7-b6b1fc1a429c" TargetMode="External"/><Relationship Id="rId3433" Type="http://schemas.openxmlformats.org/officeDocument/2006/relationships/hyperlink" Target="https://analytics.zhihuiya.com/patent-view/abst?patentId=352777d1-4c8e-4c07-94f9-f901398391fe" TargetMode="External"/><Relationship Id="rId3640" Type="http://schemas.openxmlformats.org/officeDocument/2006/relationships/hyperlink" Target="https://analytics.zhihuiya.com/patent-view/abst?patentId=469f2a9e-c598-441c-b29b-40df8692d0df" TargetMode="External"/><Relationship Id="rId561" Type="http://schemas.openxmlformats.org/officeDocument/2006/relationships/hyperlink" Target="https://analytics.zhihuiya.com/patent-view/abst?patentId=40c2689e-f388-4b64-95d6-a06822253f34" TargetMode="External"/><Relationship Id="rId2242" Type="http://schemas.openxmlformats.org/officeDocument/2006/relationships/hyperlink" Target="https://analytics.zhihuiya.com/patent-view/abst?patentId=50fbc2f0-979d-4947-8c7e-16c59166bd91" TargetMode="External"/><Relationship Id="rId3500" Type="http://schemas.openxmlformats.org/officeDocument/2006/relationships/hyperlink" Target="https://analytics.zhihuiya.com/patent-view/abst?patentId=17b27a9a-cdb7-46bd-b3e3-d6c01adc5b4e" TargetMode="External"/><Relationship Id="rId214" Type="http://schemas.openxmlformats.org/officeDocument/2006/relationships/hyperlink" Target="https://analytics.zhihuiya.com/patent-view/abst?patentId=fd89549c-6e04-4ac8-b01d-112827dbeab9" TargetMode="External"/><Relationship Id="rId421" Type="http://schemas.openxmlformats.org/officeDocument/2006/relationships/hyperlink" Target="https://analytics.zhihuiya.com/patent-view/abst?patentId=1db4450f-a3fc-4829-a625-57ac10133c3e" TargetMode="External"/><Relationship Id="rId1051" Type="http://schemas.openxmlformats.org/officeDocument/2006/relationships/hyperlink" Target="https://analytics.zhihuiya.com/patent-view/abst?patentId=e09f1736-0275-4b98-a068-0543817b5f84" TargetMode="External"/><Relationship Id="rId2102" Type="http://schemas.openxmlformats.org/officeDocument/2006/relationships/hyperlink" Target="https://analytics.zhihuiya.com/patent-view/abst?patentId=261138d1-e462-4acf-a67d-c256548f5034" TargetMode="External"/><Relationship Id="rId1868" Type="http://schemas.openxmlformats.org/officeDocument/2006/relationships/hyperlink" Target="https://analytics.zhihuiya.com/patent-view/abst?patentId=f28cce7c-2dea-4f16-ae85-6d7261a0085e" TargetMode="External"/><Relationship Id="rId4067" Type="http://schemas.openxmlformats.org/officeDocument/2006/relationships/hyperlink" Target="https://analytics.zhihuiya.com/patent-view/abst?patentId=b8b18aed-07df-4e65-abe4-9e5f8c59088b" TargetMode="External"/><Relationship Id="rId4274" Type="http://schemas.openxmlformats.org/officeDocument/2006/relationships/hyperlink" Target="https://analytics.zhihuiya.com/patent-view/abst?patentId=638d8c0a-386e-498d-b0cc-23458eeae618" TargetMode="External"/><Relationship Id="rId2919" Type="http://schemas.openxmlformats.org/officeDocument/2006/relationships/hyperlink" Target="https://analytics.zhihuiya.com/patent-view/abst?patentId=97a0eafb-a734-4bed-90b6-bb2d696e0823" TargetMode="External"/><Relationship Id="rId3083" Type="http://schemas.openxmlformats.org/officeDocument/2006/relationships/hyperlink" Target="https://analytics.zhihuiya.com/patent-view/abst?patentId=b45f994a-13ca-4797-b714-be6c5a3c5b3c" TargetMode="External"/><Relationship Id="rId3290" Type="http://schemas.openxmlformats.org/officeDocument/2006/relationships/hyperlink" Target="https://analytics.zhihuiya.com/patent-view/abst?patentId=fc190bbb-9b28-48f9-a884-271d0b9b349a" TargetMode="External"/><Relationship Id="rId4134" Type="http://schemas.openxmlformats.org/officeDocument/2006/relationships/hyperlink" Target="https://analytics.zhihuiya.com/patent-view/abst?patentId=03fe66ba-08a2-4d7b-b53f-60806ba8930e" TargetMode="External"/><Relationship Id="rId4341" Type="http://schemas.openxmlformats.org/officeDocument/2006/relationships/hyperlink" Target="https://analytics.zhihuiya.com/patent-view/abst?patentId=fff73871-48e8-47e9-9bae-407854019d70" TargetMode="External"/><Relationship Id="rId1728" Type="http://schemas.openxmlformats.org/officeDocument/2006/relationships/hyperlink" Target="https://analytics.zhihuiya.com/patent-view/abst?patentId=14761276-7e45-4a74-a8e7-24918b63713d" TargetMode="External"/><Relationship Id="rId1935" Type="http://schemas.openxmlformats.org/officeDocument/2006/relationships/hyperlink" Target="https://analytics.zhihuiya.com/patent-view/abst?patentId=3db1a829-1757-4045-8c32-b5841d51c3b1" TargetMode="External"/><Relationship Id="rId3150" Type="http://schemas.openxmlformats.org/officeDocument/2006/relationships/hyperlink" Target="https://analytics.zhihuiya.com/patent-view/abst?patentId=f9ec909a-c915-41b7-bc7a-5b4a00f76bd9" TargetMode="External"/><Relationship Id="rId4201" Type="http://schemas.openxmlformats.org/officeDocument/2006/relationships/hyperlink" Target="https://analytics.zhihuiya.com/patent-view/abst?patentId=81b367a9-f1f8-4c3f-9782-3e8c3ab15a3f" TargetMode="External"/><Relationship Id="rId3010" Type="http://schemas.openxmlformats.org/officeDocument/2006/relationships/hyperlink" Target="https://analytics.zhihuiya.com/patent-view/abst?patentId=98bfa8c7-af0b-4818-a0f3-f05d5ff44f2b" TargetMode="External"/><Relationship Id="rId3967" Type="http://schemas.openxmlformats.org/officeDocument/2006/relationships/hyperlink" Target="https://analytics.zhihuiya.com/patent-view/abst?patentId=b88b0b67-850d-4c64-91c8-8e1d8e581b1f" TargetMode="External"/><Relationship Id="rId4" Type="http://schemas.openxmlformats.org/officeDocument/2006/relationships/hyperlink" Target="https://analytics.zhihuiya.com/patent-view/abst?patentId=f2b832d6-54d3-458b-af6a-bedaa395d74d" TargetMode="External"/><Relationship Id="rId888" Type="http://schemas.openxmlformats.org/officeDocument/2006/relationships/hyperlink" Target="https://analytics.zhihuiya.com/patent-view/abst?patentId=991561c5-cdc9-4302-886a-87fd67b47243" TargetMode="External"/><Relationship Id="rId2569" Type="http://schemas.openxmlformats.org/officeDocument/2006/relationships/hyperlink" Target="https://analytics.zhihuiya.com/patent-view/abst?patentId=2e250894-5dfb-4869-bbdb-300c49f28b92" TargetMode="External"/><Relationship Id="rId2776" Type="http://schemas.openxmlformats.org/officeDocument/2006/relationships/hyperlink" Target="https://analytics.zhihuiya.com/patent-view/abst?patentId=8d56844f-3956-4032-801a-60f802832f25" TargetMode="External"/><Relationship Id="rId2983" Type="http://schemas.openxmlformats.org/officeDocument/2006/relationships/hyperlink" Target="https://analytics.zhihuiya.com/patent-view/abst?patentId=cf83cd12-271a-4f8e-bbd0-18d4a488895c" TargetMode="External"/><Relationship Id="rId3827" Type="http://schemas.openxmlformats.org/officeDocument/2006/relationships/hyperlink" Target="https://analytics.zhihuiya.com/patent-view/abst?patentId=9dbe6df9-5345-4c5f-9e4c-8478a1d189fd" TargetMode="External"/><Relationship Id="rId748" Type="http://schemas.openxmlformats.org/officeDocument/2006/relationships/hyperlink" Target="https://analytics.zhihuiya.com/patent-view/abst?patentId=b72514c5-49a8-43f7-a366-cd1c22ab45f9" TargetMode="External"/><Relationship Id="rId955" Type="http://schemas.openxmlformats.org/officeDocument/2006/relationships/hyperlink" Target="https://analytics.zhihuiya.com/patent-view/abst?patentId=df0bf573-6bcd-4fb8-9c57-6b2514de7fd2" TargetMode="External"/><Relationship Id="rId1378" Type="http://schemas.openxmlformats.org/officeDocument/2006/relationships/hyperlink" Target="https://analytics.zhihuiya.com/patent-view/abst?patentId=973d1a1c-61b3-4bad-a2c8-f8bcfc869e89" TargetMode="External"/><Relationship Id="rId1585" Type="http://schemas.openxmlformats.org/officeDocument/2006/relationships/hyperlink" Target="https://analytics.zhihuiya.com/patent-view/abst?patentId=a4c471cd-6ae8-4234-ba2f-f2a78cb9c2c1" TargetMode="External"/><Relationship Id="rId1792" Type="http://schemas.openxmlformats.org/officeDocument/2006/relationships/hyperlink" Target="https://analytics.zhihuiya.com/patent-view/abst?patentId=e6a7d62a-8be8-401f-9c6c-8ea37328c44d" TargetMode="External"/><Relationship Id="rId2429" Type="http://schemas.openxmlformats.org/officeDocument/2006/relationships/hyperlink" Target="https://analytics.zhihuiya.com/patent-view/abst?patentId=3fb53adf-d66b-4040-a7d9-4212d3b0db52" TargetMode="External"/><Relationship Id="rId2636" Type="http://schemas.openxmlformats.org/officeDocument/2006/relationships/hyperlink" Target="https://analytics.zhihuiya.com/patent-view/abst?patentId=d029aa96-a159-4edb-9837-1b544c3109af" TargetMode="External"/><Relationship Id="rId2843" Type="http://schemas.openxmlformats.org/officeDocument/2006/relationships/hyperlink" Target="https://analytics.zhihuiya.com/patent-view/abst?patentId=9e00e45b-9bc2-4e7f-9bb9-024fd23fb756" TargetMode="External"/><Relationship Id="rId84" Type="http://schemas.openxmlformats.org/officeDocument/2006/relationships/hyperlink" Target="https://analytics.zhihuiya.com/patent-view/abst?patentId=7cd8d436-b703-4760-a94f-fc0716461b89" TargetMode="External"/><Relationship Id="rId608" Type="http://schemas.openxmlformats.org/officeDocument/2006/relationships/hyperlink" Target="https://analytics.zhihuiya.com/patent-view/abst?patentId=5544d739-d8d7-459d-a15e-5a400cb8ab15" TargetMode="External"/><Relationship Id="rId815" Type="http://schemas.openxmlformats.org/officeDocument/2006/relationships/hyperlink" Target="https://analytics.zhihuiya.com/patent-view/abst?patentId=e448299f-a011-43bc-a2bf-d3d9d4860ab8" TargetMode="External"/><Relationship Id="rId1238" Type="http://schemas.openxmlformats.org/officeDocument/2006/relationships/hyperlink" Target="https://analytics.zhihuiya.com/patent-view/abst?patentId=5ee1a38a-8cd3-4e46-af44-f7fedd6e8d6c" TargetMode="External"/><Relationship Id="rId1445" Type="http://schemas.openxmlformats.org/officeDocument/2006/relationships/hyperlink" Target="https://analytics.zhihuiya.com/patent-view/abst?patentId=9e3a5b63-700d-42fc-85e7-e4a8ed956e49" TargetMode="External"/><Relationship Id="rId1652" Type="http://schemas.openxmlformats.org/officeDocument/2006/relationships/hyperlink" Target="https://analytics.zhihuiya.com/patent-view/abst?patentId=62b8b7d3-6e0d-4633-b17a-232073bee0e6" TargetMode="External"/><Relationship Id="rId1305" Type="http://schemas.openxmlformats.org/officeDocument/2006/relationships/hyperlink" Target="https://analytics.zhihuiya.com/patent-view/abst?patentId=7d090545-bb61-4666-902f-a6f36cd66710" TargetMode="External"/><Relationship Id="rId2703" Type="http://schemas.openxmlformats.org/officeDocument/2006/relationships/hyperlink" Target="https://analytics.zhihuiya.com/patent-view/abst?patentId=45967de2-8507-4e47-a906-6889605617d9" TargetMode="External"/><Relationship Id="rId2910" Type="http://schemas.openxmlformats.org/officeDocument/2006/relationships/hyperlink" Target="https://analytics.zhihuiya.com/patent-view/abst?patentId=b47f694a-c69f-409b-9430-1e721614a500" TargetMode="External"/><Relationship Id="rId1512" Type="http://schemas.openxmlformats.org/officeDocument/2006/relationships/hyperlink" Target="https://analytics.zhihuiya.com/patent-view/abst?patentId=79cb0678-aacf-4ad2-8274-b2a190edebc1" TargetMode="External"/><Relationship Id="rId11" Type="http://schemas.openxmlformats.org/officeDocument/2006/relationships/hyperlink" Target="https://analytics.zhihuiya.com/patent-view/abst?patentId=e9ad11c8-d150-475b-a032-1e7946653c4d" TargetMode="External"/><Relationship Id="rId398" Type="http://schemas.openxmlformats.org/officeDocument/2006/relationships/hyperlink" Target="https://analytics.zhihuiya.com/patent-view/abst?patentId=16d5666e-a196-4c62-b91a-aefb0ef7c8a9" TargetMode="External"/><Relationship Id="rId2079" Type="http://schemas.openxmlformats.org/officeDocument/2006/relationships/hyperlink" Target="https://analytics.zhihuiya.com/patent-view/abst?patentId=25dca1b3-5d2e-4c93-89e3-a2d116d1e0f8" TargetMode="External"/><Relationship Id="rId3477" Type="http://schemas.openxmlformats.org/officeDocument/2006/relationships/hyperlink" Target="https://analytics.zhihuiya.com/patent-view/abst?patentId=d7eb9a8c-b909-4cb7-9ddb-803e16b7a65f" TargetMode="External"/><Relationship Id="rId3684" Type="http://schemas.openxmlformats.org/officeDocument/2006/relationships/hyperlink" Target="https://analytics.zhihuiya.com/patent-view/abst?patentId=0733a107-455e-430d-a54f-2d62a700f332" TargetMode="External"/><Relationship Id="rId3891" Type="http://schemas.openxmlformats.org/officeDocument/2006/relationships/hyperlink" Target="https://analytics.zhihuiya.com/patent-view/abst?patentId=d0fbffd9-0319-4bbf-895e-48a315d70921" TargetMode="External"/><Relationship Id="rId2286" Type="http://schemas.openxmlformats.org/officeDocument/2006/relationships/hyperlink" Target="https://analytics.zhihuiya.com/patent-view/abst?patentId=8e39af54-ce86-422c-b524-72b17b515769" TargetMode="External"/><Relationship Id="rId2493" Type="http://schemas.openxmlformats.org/officeDocument/2006/relationships/hyperlink" Target="https://analytics.zhihuiya.com/patent-view/abst?patentId=42ea3190-b11b-4676-92e9-18e70feda7a7" TargetMode="External"/><Relationship Id="rId3337" Type="http://schemas.openxmlformats.org/officeDocument/2006/relationships/hyperlink" Target="https://analytics.zhihuiya.com/patent-view/abst?patentId=0b6300b7-6131-40d0-8aa6-dd9773344da3" TargetMode="External"/><Relationship Id="rId3544" Type="http://schemas.openxmlformats.org/officeDocument/2006/relationships/hyperlink" Target="https://analytics.zhihuiya.com/patent-view/abst?patentId=0c6bd6a0-6590-47f8-ba9a-99762b96eb2b" TargetMode="External"/><Relationship Id="rId3751" Type="http://schemas.openxmlformats.org/officeDocument/2006/relationships/hyperlink" Target="https://analytics.zhihuiya.com/patent-view/abst?patentId=7a380291-06e4-4281-b041-577acc4ba6d6" TargetMode="External"/><Relationship Id="rId258" Type="http://schemas.openxmlformats.org/officeDocument/2006/relationships/hyperlink" Target="https://analytics.zhihuiya.com/patent-view/abst?patentId=661f530a-72e8-47ea-a7ef-b87c411bfea2" TargetMode="External"/><Relationship Id="rId465" Type="http://schemas.openxmlformats.org/officeDocument/2006/relationships/hyperlink" Target="https://analytics.zhihuiya.com/patent-view/abst?patentId=25b5a2ac-74f5-44b3-b30a-ad9e2d1f98f6" TargetMode="External"/><Relationship Id="rId672" Type="http://schemas.openxmlformats.org/officeDocument/2006/relationships/hyperlink" Target="https://analytics.zhihuiya.com/patent-view/abst?patentId=3ae1336f-88c5-4f43-bc02-3b8648978512" TargetMode="External"/><Relationship Id="rId1095" Type="http://schemas.openxmlformats.org/officeDocument/2006/relationships/hyperlink" Target="https://analytics.zhihuiya.com/patent-view/abst?patentId=2ef18ccf-3123-4ef4-a283-fd5bcfc9eb49" TargetMode="External"/><Relationship Id="rId2146" Type="http://schemas.openxmlformats.org/officeDocument/2006/relationships/hyperlink" Target="https://analytics.zhihuiya.com/patent-view/abst?patentId=a709356d-3531-41ef-b428-e32a70ff9409" TargetMode="External"/><Relationship Id="rId2353" Type="http://schemas.openxmlformats.org/officeDocument/2006/relationships/hyperlink" Target="https://analytics.zhihuiya.com/patent-view/abst?patentId=0c9e66c4-dac0-4cff-9a0e-2b93e9f36674" TargetMode="External"/><Relationship Id="rId2560" Type="http://schemas.openxmlformats.org/officeDocument/2006/relationships/hyperlink" Target="https://analytics.zhihuiya.com/patent-view/abst?patentId=722dab4d-6a3d-4d42-8733-921135a705a5" TargetMode="External"/><Relationship Id="rId3404" Type="http://schemas.openxmlformats.org/officeDocument/2006/relationships/hyperlink" Target="https://analytics.zhihuiya.com/patent-view/abst?patentId=575d2571-d90f-46de-b430-92e0459fc081" TargetMode="External"/><Relationship Id="rId3611" Type="http://schemas.openxmlformats.org/officeDocument/2006/relationships/hyperlink" Target="https://analytics.zhihuiya.com/patent-view/abst?patentId=9ea7402e-9698-4932-b5a7-528c73a40363" TargetMode="External"/><Relationship Id="rId118" Type="http://schemas.openxmlformats.org/officeDocument/2006/relationships/hyperlink" Target="https://analytics.zhihuiya.com/patent-view/abst?patentId=d753a3b3-bd3b-4e8f-a21a-272f270b0c69" TargetMode="External"/><Relationship Id="rId325" Type="http://schemas.openxmlformats.org/officeDocument/2006/relationships/hyperlink" Target="https://analytics.zhihuiya.com/patent-view/abst?patentId=b8ef7006-1b67-487b-999c-7e6fe5516a6b" TargetMode="External"/><Relationship Id="rId532" Type="http://schemas.openxmlformats.org/officeDocument/2006/relationships/hyperlink" Target="https://analytics.zhihuiya.com/patent-view/abst?patentId=ca0fc406-3fc7-4b24-bc68-f345d377a8c5" TargetMode="External"/><Relationship Id="rId1162" Type="http://schemas.openxmlformats.org/officeDocument/2006/relationships/hyperlink" Target="https://analytics.zhihuiya.com/patent-view/abst?patentId=a2b5c62d-0985-478d-9b77-89c564898b9c" TargetMode="External"/><Relationship Id="rId2006" Type="http://schemas.openxmlformats.org/officeDocument/2006/relationships/hyperlink" Target="https://analytics.zhihuiya.com/patent-view/abst?patentId=a58fd968-aa9c-4924-bea4-8d26496d6652" TargetMode="External"/><Relationship Id="rId2213" Type="http://schemas.openxmlformats.org/officeDocument/2006/relationships/hyperlink" Target="https://analytics.zhihuiya.com/patent-view/abst?patentId=6a994489-51b8-4ef1-b581-7c8e01ad4004" TargetMode="External"/><Relationship Id="rId2420" Type="http://schemas.openxmlformats.org/officeDocument/2006/relationships/hyperlink" Target="https://analytics.zhihuiya.com/patent-view/abst?patentId=d79a42ef-e75e-4a6f-9e42-9771b2d68c3e" TargetMode="External"/><Relationship Id="rId1022" Type="http://schemas.openxmlformats.org/officeDocument/2006/relationships/hyperlink" Target="https://analytics.zhihuiya.com/patent-view/abst?patentId=72826b9f-fb1a-42c0-891a-c7955b6c0295" TargetMode="External"/><Relationship Id="rId4178" Type="http://schemas.openxmlformats.org/officeDocument/2006/relationships/hyperlink" Target="https://analytics.zhihuiya.com/patent-view/abst?patentId=2c757ad6-61db-497b-87cd-605c6cdf5d80" TargetMode="External"/><Relationship Id="rId4385" Type="http://schemas.openxmlformats.org/officeDocument/2006/relationships/hyperlink" Target="https://analytics.zhihuiya.com/patent-view/abst?patentId=0f95e53c-7ed8-4e6f-8687-29a0665695e1" TargetMode="External"/><Relationship Id="rId1979" Type="http://schemas.openxmlformats.org/officeDocument/2006/relationships/hyperlink" Target="https://analytics.zhihuiya.com/patent-view/abst?patentId=037e4ced-f006-4005-9ac1-e20fe703ebe4" TargetMode="External"/><Relationship Id="rId3194" Type="http://schemas.openxmlformats.org/officeDocument/2006/relationships/hyperlink" Target="https://analytics.zhihuiya.com/patent-view/abst?patentId=c8a9a1e7-b835-4ed5-936a-afbdfc2a412b" TargetMode="External"/><Relationship Id="rId4038" Type="http://schemas.openxmlformats.org/officeDocument/2006/relationships/hyperlink" Target="https://analytics.zhihuiya.com/patent-view/abst?patentId=4c83da3f-d856-41a2-b9fc-916b3967568b" TargetMode="External"/><Relationship Id="rId4245" Type="http://schemas.openxmlformats.org/officeDocument/2006/relationships/hyperlink" Target="https://analytics.zhihuiya.com/patent-view/abst?patentId=cab2e07f-a41f-42b8-993b-6476fda67035" TargetMode="External"/><Relationship Id="rId1839" Type="http://schemas.openxmlformats.org/officeDocument/2006/relationships/hyperlink" Target="https://analytics.zhihuiya.com/patent-view/abst?patentId=89084bd0-0d29-4da7-a50d-86d58ccddcef" TargetMode="External"/><Relationship Id="rId3054" Type="http://schemas.openxmlformats.org/officeDocument/2006/relationships/hyperlink" Target="https://analytics.zhihuiya.com/patent-view/abst?patentId=086c869b-096f-4266-8ce0-1b31afd6a578" TargetMode="External"/><Relationship Id="rId4452" Type="http://schemas.openxmlformats.org/officeDocument/2006/relationships/hyperlink" Target="https://analytics.zhihuiya.com/patent-view/abst?patentId=d2229b3c-ce9e-4a4d-ae9d-d4e0d22b587e" TargetMode="External"/><Relationship Id="rId182" Type="http://schemas.openxmlformats.org/officeDocument/2006/relationships/hyperlink" Target="https://analytics.zhihuiya.com/patent-view/abst?patentId=78ee1f17-8d8c-4185-9a21-544acb5f319b" TargetMode="External"/><Relationship Id="rId1906" Type="http://schemas.openxmlformats.org/officeDocument/2006/relationships/hyperlink" Target="https://analytics.zhihuiya.com/patent-view/abst?patentId=2f098065-99e9-4033-9812-c85ae21e452e" TargetMode="External"/><Relationship Id="rId3261" Type="http://schemas.openxmlformats.org/officeDocument/2006/relationships/hyperlink" Target="https://analytics.zhihuiya.com/patent-view/abst?patentId=2eb69c38-ff44-4d70-b3b4-49b60b86f408" TargetMode="External"/><Relationship Id="rId4105" Type="http://schemas.openxmlformats.org/officeDocument/2006/relationships/hyperlink" Target="https://analytics.zhihuiya.com/patent-view/abst?patentId=1e4704ea-fd00-4d25-ac0f-4d8739a41a5a" TargetMode="External"/><Relationship Id="rId4312" Type="http://schemas.openxmlformats.org/officeDocument/2006/relationships/hyperlink" Target="https://analytics.zhihuiya.com/patent-view/abst?patentId=41acf913-87bf-451b-b458-c9baf7182d48" TargetMode="External"/><Relationship Id="rId2070" Type="http://schemas.openxmlformats.org/officeDocument/2006/relationships/hyperlink" Target="https://analytics.zhihuiya.com/patent-view/abst?patentId=e57e8e84-e10b-4a49-872b-1b471a742110" TargetMode="External"/><Relationship Id="rId3121" Type="http://schemas.openxmlformats.org/officeDocument/2006/relationships/hyperlink" Target="https://analytics.zhihuiya.com/patent-view/abst?patentId=bf5a9e80-b671-492b-98dd-73f8262105d5" TargetMode="External"/><Relationship Id="rId999" Type="http://schemas.openxmlformats.org/officeDocument/2006/relationships/hyperlink" Target="https://analytics.zhihuiya.com/patent-view/abst?patentId=b9801d8b-d348-4249-a82b-d24c51f584fd" TargetMode="External"/><Relationship Id="rId2887" Type="http://schemas.openxmlformats.org/officeDocument/2006/relationships/hyperlink" Target="https://analytics.zhihuiya.com/patent-view/abst?patentId=48939b03-88d4-4168-9c8e-334c0f5939b0" TargetMode="External"/><Relationship Id="rId859" Type="http://schemas.openxmlformats.org/officeDocument/2006/relationships/hyperlink" Target="https://analytics.zhihuiya.com/patent-view/abst?patentId=5e783909-8f76-4c28-929c-737800981a67" TargetMode="External"/><Relationship Id="rId1489" Type="http://schemas.openxmlformats.org/officeDocument/2006/relationships/hyperlink" Target="https://analytics.zhihuiya.com/patent-view/abst?patentId=e3000e17-f801-4174-af72-41245518154b" TargetMode="External"/><Relationship Id="rId1696" Type="http://schemas.openxmlformats.org/officeDocument/2006/relationships/hyperlink" Target="https://analytics.zhihuiya.com/patent-view/abst?patentId=1b0a0188-317c-4c51-b372-b1e75d741dd8" TargetMode="External"/><Relationship Id="rId3938" Type="http://schemas.openxmlformats.org/officeDocument/2006/relationships/hyperlink" Target="https://analytics.zhihuiya.com/patent-view/abst?patentId=89ba6920-8c1e-4e98-9c1d-68b87e72ab2e" TargetMode="External"/><Relationship Id="rId1349" Type="http://schemas.openxmlformats.org/officeDocument/2006/relationships/hyperlink" Target="https://analytics.zhihuiya.com/patent-view/abst?patentId=aa23ee42-c7d4-4b2f-8e6c-68ba02f3c86f" TargetMode="External"/><Relationship Id="rId2747" Type="http://schemas.openxmlformats.org/officeDocument/2006/relationships/hyperlink" Target="https://analytics.zhihuiya.com/patent-view/abst?patentId=7c21bee3-0308-40ac-8945-7eedc2488726" TargetMode="External"/><Relationship Id="rId2954" Type="http://schemas.openxmlformats.org/officeDocument/2006/relationships/hyperlink" Target="https://analytics.zhihuiya.com/patent-view/abst?patentId=9a3fd376-ea16-4463-96d9-596eb382fd73" TargetMode="External"/><Relationship Id="rId719" Type="http://schemas.openxmlformats.org/officeDocument/2006/relationships/hyperlink" Target="https://analytics.zhihuiya.com/patent-view/abst?patentId=dabffa1d-3aeb-4f64-b3f8-a281f5db1ce4" TargetMode="External"/><Relationship Id="rId926" Type="http://schemas.openxmlformats.org/officeDocument/2006/relationships/hyperlink" Target="https://analytics.zhihuiya.com/patent-view/abst?patentId=abf00218-de09-4f07-8388-6494d70b40c4" TargetMode="External"/><Relationship Id="rId1556" Type="http://schemas.openxmlformats.org/officeDocument/2006/relationships/hyperlink" Target="https://analytics.zhihuiya.com/patent-view/abst?patentId=8a3008dd-91d0-4dda-a46b-dadf7227df29" TargetMode="External"/><Relationship Id="rId1763" Type="http://schemas.openxmlformats.org/officeDocument/2006/relationships/hyperlink" Target="https://analytics.zhihuiya.com/patent-view/abst?patentId=daea0241-1c3b-4af9-94ed-f789411b7e84" TargetMode="External"/><Relationship Id="rId1970" Type="http://schemas.openxmlformats.org/officeDocument/2006/relationships/hyperlink" Target="https://analytics.zhihuiya.com/patent-view/abst?patentId=e4423f37-4f37-4ccb-9249-65b3a3456e0a" TargetMode="External"/><Relationship Id="rId2607" Type="http://schemas.openxmlformats.org/officeDocument/2006/relationships/hyperlink" Target="https://analytics.zhihuiya.com/patent-view/abst?patentId=56eb0ba0-6c1f-458d-b363-956729d1e220" TargetMode="External"/><Relationship Id="rId2814" Type="http://schemas.openxmlformats.org/officeDocument/2006/relationships/hyperlink" Target="https://analytics.zhihuiya.com/patent-view/abst?patentId=8a895949-3116-4f39-83a8-eee87e089411" TargetMode="External"/><Relationship Id="rId55" Type="http://schemas.openxmlformats.org/officeDocument/2006/relationships/hyperlink" Target="https://analytics.zhihuiya.com/patent-view/abst?patentId=33c1f523-85f2-45a1-a2b3-89f52b4ea0c0" TargetMode="External"/><Relationship Id="rId1209" Type="http://schemas.openxmlformats.org/officeDocument/2006/relationships/hyperlink" Target="https://analytics.zhihuiya.com/patent-view/abst?patentId=4a068eaf-6442-4c40-92e1-8f685846f409" TargetMode="External"/><Relationship Id="rId1416" Type="http://schemas.openxmlformats.org/officeDocument/2006/relationships/hyperlink" Target="https://analytics.zhihuiya.com/patent-view/abst?patentId=22edb2ee-8ac5-4d09-81ec-c4657f619647" TargetMode="External"/><Relationship Id="rId1623" Type="http://schemas.openxmlformats.org/officeDocument/2006/relationships/hyperlink" Target="https://analytics.zhihuiya.com/patent-view/abst?patentId=9cde8092-3aa8-47aa-b9b1-3217bd0eb657" TargetMode="External"/><Relationship Id="rId1830" Type="http://schemas.openxmlformats.org/officeDocument/2006/relationships/hyperlink" Target="https://analytics.zhihuiya.com/patent-view/abst?patentId=1531b850-b517-44e9-89c0-456b37381fbb" TargetMode="External"/><Relationship Id="rId3588" Type="http://schemas.openxmlformats.org/officeDocument/2006/relationships/hyperlink" Target="https://analytics.zhihuiya.com/patent-view/abst?patentId=c0c7af26-7a81-4614-8ec9-1357c0de5f6a" TargetMode="External"/><Relationship Id="rId3795" Type="http://schemas.openxmlformats.org/officeDocument/2006/relationships/hyperlink" Target="https://analytics.zhihuiya.com/patent-view/abst?patentId=d6ee9f9a-4aba-454f-bc07-75ced792eacb" TargetMode="External"/><Relationship Id="rId2397" Type="http://schemas.openxmlformats.org/officeDocument/2006/relationships/hyperlink" Target="https://analytics.zhihuiya.com/patent-view/abst?patentId=63608a99-fa23-4263-b376-014811a6efde" TargetMode="External"/><Relationship Id="rId3448" Type="http://schemas.openxmlformats.org/officeDocument/2006/relationships/hyperlink" Target="https://analytics.zhihuiya.com/patent-view/abst?patentId=742379da-cafb-4c27-bb19-7fb0ccd5b370" TargetMode="External"/><Relationship Id="rId3655" Type="http://schemas.openxmlformats.org/officeDocument/2006/relationships/hyperlink" Target="https://analytics.zhihuiya.com/patent-view/abst?patentId=f0efe8a5-ba0c-4eeb-be47-04782933e469" TargetMode="External"/><Relationship Id="rId3862" Type="http://schemas.openxmlformats.org/officeDocument/2006/relationships/hyperlink" Target="https://analytics.zhihuiya.com/patent-view/abst?patentId=4b256a25-7248-4e50-b116-d70ba308b61e" TargetMode="External"/><Relationship Id="rId369" Type="http://schemas.openxmlformats.org/officeDocument/2006/relationships/hyperlink" Target="https://analytics.zhihuiya.com/patent-view/abst?patentId=80506733-1186-4069-ae3a-ca0f56c957b3" TargetMode="External"/><Relationship Id="rId576" Type="http://schemas.openxmlformats.org/officeDocument/2006/relationships/hyperlink" Target="https://analytics.zhihuiya.com/patent-view/abst?patentId=44c40dda-a352-4969-8ec9-22af63dae278" TargetMode="External"/><Relationship Id="rId783" Type="http://schemas.openxmlformats.org/officeDocument/2006/relationships/hyperlink" Target="https://analytics.zhihuiya.com/patent-view/abst?patentId=fbf15c83-34f2-4d25-8951-7a06574bdc7e" TargetMode="External"/><Relationship Id="rId990" Type="http://schemas.openxmlformats.org/officeDocument/2006/relationships/hyperlink" Target="https://analytics.zhihuiya.com/patent-view/abst?patentId=d4fc43a3-ab87-4b16-ade7-64dece59ad33" TargetMode="External"/><Relationship Id="rId2257" Type="http://schemas.openxmlformats.org/officeDocument/2006/relationships/hyperlink" Target="https://analytics.zhihuiya.com/patent-view/abst?patentId=7664b765-fda2-4596-b686-945ce43df1b0" TargetMode="External"/><Relationship Id="rId2464" Type="http://schemas.openxmlformats.org/officeDocument/2006/relationships/hyperlink" Target="https://analytics.zhihuiya.com/patent-view/abst?patentId=39fd6376-e633-4dbf-ae8c-cd8de673fe47" TargetMode="External"/><Relationship Id="rId2671" Type="http://schemas.openxmlformats.org/officeDocument/2006/relationships/hyperlink" Target="https://analytics.zhihuiya.com/patent-view/abst?patentId=5ff66c58-55b9-4c80-b8a9-b9d5820da6a2" TargetMode="External"/><Relationship Id="rId3308" Type="http://schemas.openxmlformats.org/officeDocument/2006/relationships/hyperlink" Target="https://analytics.zhihuiya.com/patent-view/abst?patentId=45294c7e-1148-494d-8bf7-1f4cec4a74bc" TargetMode="External"/><Relationship Id="rId3515" Type="http://schemas.openxmlformats.org/officeDocument/2006/relationships/hyperlink" Target="https://analytics.zhihuiya.com/patent-view/abst?patentId=586e92a1-0121-46db-bd71-5217ef993b17" TargetMode="External"/><Relationship Id="rId229" Type="http://schemas.openxmlformats.org/officeDocument/2006/relationships/hyperlink" Target="https://analytics.zhihuiya.com/patent-view/abst?patentId=f1e7fbdb-34e6-4e9e-8a4d-6819af275a4c" TargetMode="External"/><Relationship Id="rId436" Type="http://schemas.openxmlformats.org/officeDocument/2006/relationships/hyperlink" Target="https://analytics.zhihuiya.com/patent-view/abst?patentId=1141f1d0-081e-40df-bf0c-2e5367434042" TargetMode="External"/><Relationship Id="rId643" Type="http://schemas.openxmlformats.org/officeDocument/2006/relationships/hyperlink" Target="https://analytics.zhihuiya.com/patent-view/abst?patentId=841ecefd-9a19-44df-84ea-c1022a001f4a" TargetMode="External"/><Relationship Id="rId1066" Type="http://schemas.openxmlformats.org/officeDocument/2006/relationships/hyperlink" Target="https://analytics.zhihuiya.com/patent-view/abst?patentId=77f9dfa9-2c93-4ae6-a391-74448cbedde2" TargetMode="External"/><Relationship Id="rId1273" Type="http://schemas.openxmlformats.org/officeDocument/2006/relationships/hyperlink" Target="https://analytics.zhihuiya.com/patent-view/abst?patentId=97c77da2-ab5c-431b-8ca7-8538e1b1db8a" TargetMode="External"/><Relationship Id="rId1480" Type="http://schemas.openxmlformats.org/officeDocument/2006/relationships/hyperlink" Target="https://analytics.zhihuiya.com/patent-view/abst?patentId=d29e79c4-a507-40c1-8297-379db21bc14f" TargetMode="External"/><Relationship Id="rId2117" Type="http://schemas.openxmlformats.org/officeDocument/2006/relationships/hyperlink" Target="https://analytics.zhihuiya.com/patent-view/abst?patentId=997f5b27-51ce-4e21-af4a-c9aad9cab611" TargetMode="External"/><Relationship Id="rId2324" Type="http://schemas.openxmlformats.org/officeDocument/2006/relationships/hyperlink" Target="https://analytics.zhihuiya.com/patent-view/abst?patentId=11cf54b6-29d5-4b21-9cfd-46cc66ac5f4a" TargetMode="External"/><Relationship Id="rId3722" Type="http://schemas.openxmlformats.org/officeDocument/2006/relationships/hyperlink" Target="https://analytics.zhihuiya.com/patent-view/abst?patentId=e891ecd4-46df-4c10-b85b-92b1e5d0ca04" TargetMode="External"/><Relationship Id="rId850" Type="http://schemas.openxmlformats.org/officeDocument/2006/relationships/hyperlink" Target="https://analytics.zhihuiya.com/patent-view/abst?patentId=b1ff30ac-025c-4101-81e4-f28d24a24148" TargetMode="External"/><Relationship Id="rId1133" Type="http://schemas.openxmlformats.org/officeDocument/2006/relationships/hyperlink" Target="https://analytics.zhihuiya.com/patent-view/abst?patentId=761eebce-dd2f-4ada-90da-39d147350b73" TargetMode="External"/><Relationship Id="rId2531" Type="http://schemas.openxmlformats.org/officeDocument/2006/relationships/hyperlink" Target="https://analytics.zhihuiya.com/patent-view/abst?patentId=e8f07e1c-2f33-438d-ba98-fbd169578689" TargetMode="External"/><Relationship Id="rId4289" Type="http://schemas.openxmlformats.org/officeDocument/2006/relationships/hyperlink" Target="https://analytics.zhihuiya.com/patent-view/abst?patentId=5ead9834-8b83-483f-9aac-8eb5301b2640" TargetMode="External"/><Relationship Id="rId503" Type="http://schemas.openxmlformats.org/officeDocument/2006/relationships/hyperlink" Target="https://analytics.zhihuiya.com/patent-view/abst?patentId=81358b39-d342-4d13-bf69-b191d9ed249c" TargetMode="External"/><Relationship Id="rId710" Type="http://schemas.openxmlformats.org/officeDocument/2006/relationships/hyperlink" Target="https://analytics.zhihuiya.com/patent-view/abst?patentId=38df7e41-83bf-4bcf-9edc-140c930a3ae9" TargetMode="External"/><Relationship Id="rId1340" Type="http://schemas.openxmlformats.org/officeDocument/2006/relationships/hyperlink" Target="https://analytics.zhihuiya.com/patent-view/abst?patentId=1c00ae3b-5266-42ea-9168-af42bfa76876" TargetMode="External"/><Relationship Id="rId3098" Type="http://schemas.openxmlformats.org/officeDocument/2006/relationships/hyperlink" Target="https://analytics.zhihuiya.com/patent-view/abst?patentId=6be79648-96ea-47e5-ba6e-8e0642a61efe" TargetMode="External"/><Relationship Id="rId1200" Type="http://schemas.openxmlformats.org/officeDocument/2006/relationships/hyperlink" Target="https://analytics.zhihuiya.com/patent-view/abst?patentId=dbe14892-14d8-42b4-982f-125f63f98a79" TargetMode="External"/><Relationship Id="rId4149" Type="http://schemas.openxmlformats.org/officeDocument/2006/relationships/hyperlink" Target="https://analytics.zhihuiya.com/patent-view/abst?patentId=a0ddd005-bff9-4124-a3ab-3864593dc5a6" TargetMode="External"/><Relationship Id="rId4356" Type="http://schemas.openxmlformats.org/officeDocument/2006/relationships/hyperlink" Target="https://analytics.zhihuiya.com/patent-view/abst?patentId=0af863a8-7eaf-4407-911d-3df3fa1fc91d" TargetMode="External"/><Relationship Id="rId3165" Type="http://schemas.openxmlformats.org/officeDocument/2006/relationships/hyperlink" Target="https://analytics.zhihuiya.com/patent-view/abst?patentId=3752fb33-e2d4-4ad2-8c71-2692917e5061" TargetMode="External"/><Relationship Id="rId3372" Type="http://schemas.openxmlformats.org/officeDocument/2006/relationships/hyperlink" Target="https://analytics.zhihuiya.com/patent-view/abst?patentId=51b73eac-c236-4c70-bf21-c1418f6224bf" TargetMode="External"/><Relationship Id="rId4009" Type="http://schemas.openxmlformats.org/officeDocument/2006/relationships/hyperlink" Target="https://analytics.zhihuiya.com/patent-view/abst?patentId=75cf29e1-e861-4a49-82fc-441d4e1446e9" TargetMode="External"/><Relationship Id="rId4216" Type="http://schemas.openxmlformats.org/officeDocument/2006/relationships/hyperlink" Target="https://analytics.zhihuiya.com/patent-view/abst?patentId=1f17c291-da36-4a0f-97b3-153fa1c056e7" TargetMode="External"/><Relationship Id="rId4423" Type="http://schemas.openxmlformats.org/officeDocument/2006/relationships/hyperlink" Target="https://analytics.zhihuiya.com/patent-view/abst?patentId=091ae3ea-2746-4acc-ba4e-9fad7617bbb6" TargetMode="External"/><Relationship Id="rId293" Type="http://schemas.openxmlformats.org/officeDocument/2006/relationships/hyperlink" Target="https://analytics.zhihuiya.com/patent-view/abst?patentId=deb4bce5-feae-4483-9043-7c8534ae0e84" TargetMode="External"/><Relationship Id="rId2181" Type="http://schemas.openxmlformats.org/officeDocument/2006/relationships/hyperlink" Target="https://analytics.zhihuiya.com/patent-view/abst?patentId=d2641e27-f684-4ce3-bbf4-01d0a928a7f5" TargetMode="External"/><Relationship Id="rId3025" Type="http://schemas.openxmlformats.org/officeDocument/2006/relationships/hyperlink" Target="https://analytics.zhihuiya.com/patent-view/abst?patentId=c2906845-158d-4f0d-bff4-c98afa1efbbf" TargetMode="External"/><Relationship Id="rId3232" Type="http://schemas.openxmlformats.org/officeDocument/2006/relationships/hyperlink" Target="https://analytics.zhihuiya.com/patent-view/abst?patentId=08ebee5a-2bc0-4c94-ba7b-1488e6c1452a" TargetMode="External"/><Relationship Id="rId153" Type="http://schemas.openxmlformats.org/officeDocument/2006/relationships/hyperlink" Target="https://analytics.zhihuiya.com/patent-view/abst?patentId=1d908a15-487c-4a76-93c5-d8e8db41f60e" TargetMode="External"/><Relationship Id="rId360" Type="http://schemas.openxmlformats.org/officeDocument/2006/relationships/hyperlink" Target="https://analytics.zhihuiya.com/patent-view/abst?patentId=50dd6fd4-c136-48b0-8b5b-946ba0ec0f50" TargetMode="External"/><Relationship Id="rId2041" Type="http://schemas.openxmlformats.org/officeDocument/2006/relationships/hyperlink" Target="https://analytics.zhihuiya.com/patent-view/abst?patentId=d723e9bf-68cb-44f5-a525-80925fde817c" TargetMode="External"/><Relationship Id="rId220" Type="http://schemas.openxmlformats.org/officeDocument/2006/relationships/hyperlink" Target="https://analytics.zhihuiya.com/patent-view/abst?patentId=11b31fc7-7650-456e-a3d2-fbc3cae9c6e1" TargetMode="External"/><Relationship Id="rId2998" Type="http://schemas.openxmlformats.org/officeDocument/2006/relationships/hyperlink" Target="https://analytics.zhihuiya.com/patent-view/abst?patentId=1490f53c-c40a-4396-a5d5-42463199343d" TargetMode="External"/><Relationship Id="rId2858" Type="http://schemas.openxmlformats.org/officeDocument/2006/relationships/hyperlink" Target="https://analytics.zhihuiya.com/patent-view/abst?patentId=e056ae34-4226-4435-be9d-a8667282a5f6" TargetMode="External"/><Relationship Id="rId3909" Type="http://schemas.openxmlformats.org/officeDocument/2006/relationships/hyperlink" Target="https://analytics.zhihuiya.com/patent-view/abst?patentId=d1f0b20a-3b1e-42e1-b5c6-b7f36b30a042" TargetMode="External"/><Relationship Id="rId4073" Type="http://schemas.openxmlformats.org/officeDocument/2006/relationships/hyperlink" Target="https://analytics.zhihuiya.com/patent-view/abst?patentId=6e028c95-7c43-4ed7-8314-2173f1368a73" TargetMode="External"/><Relationship Id="rId99" Type="http://schemas.openxmlformats.org/officeDocument/2006/relationships/hyperlink" Target="https://analytics.zhihuiya.com/patent-view/abst?patentId=525cc963-322f-43db-92ce-1ad3c8082a7f" TargetMode="External"/><Relationship Id="rId1667" Type="http://schemas.openxmlformats.org/officeDocument/2006/relationships/hyperlink" Target="https://analytics.zhihuiya.com/patent-view/abst?patentId=c713ce6e-1e24-408d-8f30-17b3db16fbee" TargetMode="External"/><Relationship Id="rId1874" Type="http://schemas.openxmlformats.org/officeDocument/2006/relationships/hyperlink" Target="https://analytics.zhihuiya.com/patent-view/abst?patentId=28030933-8413-42b2-8754-731893f2dd02" TargetMode="External"/><Relationship Id="rId2718" Type="http://schemas.openxmlformats.org/officeDocument/2006/relationships/hyperlink" Target="https://analytics.zhihuiya.com/patent-view/abst?patentId=4f26b93f-728e-41f7-b697-62cd481b8dad" TargetMode="External"/><Relationship Id="rId2925" Type="http://schemas.openxmlformats.org/officeDocument/2006/relationships/hyperlink" Target="https://analytics.zhihuiya.com/patent-view/abst?patentId=dc957b64-b5ac-472a-a550-aab29bf691c3" TargetMode="External"/><Relationship Id="rId4280" Type="http://schemas.openxmlformats.org/officeDocument/2006/relationships/hyperlink" Target="https://analytics.zhihuiya.com/patent-view/abst?patentId=bc0f242e-0b0f-4d43-b47f-45c53e73bcbd" TargetMode="External"/><Relationship Id="rId1527" Type="http://schemas.openxmlformats.org/officeDocument/2006/relationships/hyperlink" Target="https://analytics.zhihuiya.com/patent-view/abst?patentId=b195f9be-7f59-4be3-b605-245da85ee13f" TargetMode="External"/><Relationship Id="rId1734" Type="http://schemas.openxmlformats.org/officeDocument/2006/relationships/hyperlink" Target="https://analytics.zhihuiya.com/patent-view/abst?patentId=fd578e68-0413-4aea-9ea7-db15a3c814b6" TargetMode="External"/><Relationship Id="rId1941" Type="http://schemas.openxmlformats.org/officeDocument/2006/relationships/hyperlink" Target="https://analytics.zhihuiya.com/patent-view/abst?patentId=945b4fe3-4f68-49f6-ac4e-7201ad4e5c24" TargetMode="External"/><Relationship Id="rId4140" Type="http://schemas.openxmlformats.org/officeDocument/2006/relationships/hyperlink" Target="https://analytics.zhihuiya.com/patent-view/abst?patentId=04a2cdc5-a249-4056-abfa-e612e9416a51" TargetMode="External"/><Relationship Id="rId26" Type="http://schemas.openxmlformats.org/officeDocument/2006/relationships/hyperlink" Target="https://analytics.zhihuiya.com/patent-view/abst?patentId=46465e07-a6ad-4655-b8dd-e042755801b1" TargetMode="External"/><Relationship Id="rId3699" Type="http://schemas.openxmlformats.org/officeDocument/2006/relationships/hyperlink" Target="https://analytics.zhihuiya.com/patent-view/abst?patentId=81300e8d-70d4-4610-b9a6-0cff7f170407" TargetMode="External"/><Relationship Id="rId4000" Type="http://schemas.openxmlformats.org/officeDocument/2006/relationships/hyperlink" Target="https://analytics.zhihuiya.com/patent-view/abst?patentId=abff2652-26ef-47e1-9106-b9a0aae9ee62" TargetMode="External"/><Relationship Id="rId1801" Type="http://schemas.openxmlformats.org/officeDocument/2006/relationships/hyperlink" Target="https://analytics.zhihuiya.com/patent-view/abst?patentId=3eb5aae1-1f36-4e9b-9060-17cdcd90b27f" TargetMode="External"/><Relationship Id="rId3559" Type="http://schemas.openxmlformats.org/officeDocument/2006/relationships/hyperlink" Target="https://analytics.zhihuiya.com/patent-view/abst?patentId=a9af347d-ab37-4f32-af94-569eaa788e28" TargetMode="External"/><Relationship Id="rId687" Type="http://schemas.openxmlformats.org/officeDocument/2006/relationships/hyperlink" Target="https://analytics.zhihuiya.com/patent-view/abst?patentId=064b5b39-f595-4c37-aeb1-00612284dc52" TargetMode="External"/><Relationship Id="rId2368" Type="http://schemas.openxmlformats.org/officeDocument/2006/relationships/hyperlink" Target="https://analytics.zhihuiya.com/patent-view/abst?patentId=930bfe57-fbcb-45eb-ba6a-fb0143a2c925" TargetMode="External"/><Relationship Id="rId3766" Type="http://schemas.openxmlformats.org/officeDocument/2006/relationships/hyperlink" Target="https://analytics.zhihuiya.com/patent-view/abst?patentId=fa87f13a-b036-4f8d-8687-b1a2ad783be5" TargetMode="External"/><Relationship Id="rId3973" Type="http://schemas.openxmlformats.org/officeDocument/2006/relationships/hyperlink" Target="https://analytics.zhihuiya.com/patent-view/abst?patentId=24a5c304-cbf4-414d-abe4-c66c0f45f4a3" TargetMode="External"/><Relationship Id="rId894" Type="http://schemas.openxmlformats.org/officeDocument/2006/relationships/hyperlink" Target="https://analytics.zhihuiya.com/patent-view/abst?patentId=9f276085-abe2-4825-bf90-6da275bbf244" TargetMode="External"/><Relationship Id="rId1177" Type="http://schemas.openxmlformats.org/officeDocument/2006/relationships/hyperlink" Target="https://analytics.zhihuiya.com/patent-view/abst?patentId=1e8c3958-8103-4631-99ba-afb78130164d" TargetMode="External"/><Relationship Id="rId2575" Type="http://schemas.openxmlformats.org/officeDocument/2006/relationships/hyperlink" Target="https://analytics.zhihuiya.com/patent-view/abst?patentId=8e5ee9e9-80b9-438f-9e2e-d69d7621a59e" TargetMode="External"/><Relationship Id="rId2782" Type="http://schemas.openxmlformats.org/officeDocument/2006/relationships/hyperlink" Target="https://analytics.zhihuiya.com/patent-view/abst?patentId=6a069867-825d-4df6-bb10-30237c31352b" TargetMode="External"/><Relationship Id="rId3419" Type="http://schemas.openxmlformats.org/officeDocument/2006/relationships/hyperlink" Target="https://analytics.zhihuiya.com/patent-view/abst?patentId=d85496cc-4ddb-47e3-8419-1794010105ea" TargetMode="External"/><Relationship Id="rId3626" Type="http://schemas.openxmlformats.org/officeDocument/2006/relationships/hyperlink" Target="https://analytics.zhihuiya.com/patent-view/abst?patentId=c961cfbe-33ae-4cc6-841a-882c10677b89" TargetMode="External"/><Relationship Id="rId3833" Type="http://schemas.openxmlformats.org/officeDocument/2006/relationships/hyperlink" Target="https://analytics.zhihuiya.com/patent-view/abst?patentId=03d87df9-87ef-458c-ac1d-b69f600d413d" TargetMode="External"/><Relationship Id="rId547" Type="http://schemas.openxmlformats.org/officeDocument/2006/relationships/hyperlink" Target="https://analytics.zhihuiya.com/patent-view/abst?patentId=16fa543a-04ff-417d-8bb0-73107ecb7996" TargetMode="External"/><Relationship Id="rId754" Type="http://schemas.openxmlformats.org/officeDocument/2006/relationships/hyperlink" Target="https://analytics.zhihuiya.com/patent-view/abst?patentId=e1fc4362-cd16-4203-9b1f-a169287b62e3" TargetMode="External"/><Relationship Id="rId961" Type="http://schemas.openxmlformats.org/officeDocument/2006/relationships/hyperlink" Target="https://analytics.zhihuiya.com/patent-view/abst?patentId=019ac19e-dc89-4654-83d7-edae71c05ae6" TargetMode="External"/><Relationship Id="rId1384" Type="http://schemas.openxmlformats.org/officeDocument/2006/relationships/hyperlink" Target="https://analytics.zhihuiya.com/patent-view/abst?patentId=1c8504f2-a861-4f4b-b78c-b0c2a7ef004e" TargetMode="External"/><Relationship Id="rId1591" Type="http://schemas.openxmlformats.org/officeDocument/2006/relationships/hyperlink" Target="https://analytics.zhihuiya.com/patent-view/abst?patentId=90b5355a-eeed-46e6-b7bc-d0ca025237ba" TargetMode="External"/><Relationship Id="rId2228" Type="http://schemas.openxmlformats.org/officeDocument/2006/relationships/hyperlink" Target="https://analytics.zhihuiya.com/patent-view/abst?patentId=191f5477-1b08-423b-91c1-ee85efa035e7" TargetMode="External"/><Relationship Id="rId2435" Type="http://schemas.openxmlformats.org/officeDocument/2006/relationships/hyperlink" Target="https://analytics.zhihuiya.com/patent-view/abst?patentId=595624d7-51eb-4051-9195-02de2f668e8c" TargetMode="External"/><Relationship Id="rId2642" Type="http://schemas.openxmlformats.org/officeDocument/2006/relationships/hyperlink" Target="https://analytics.zhihuiya.com/patent-view/abst?patentId=bc06563c-5324-41ff-8a22-2c515082d2fb" TargetMode="External"/><Relationship Id="rId3900" Type="http://schemas.openxmlformats.org/officeDocument/2006/relationships/hyperlink" Target="https://analytics.zhihuiya.com/patent-view/abst?patentId=c1ce9eaa-0906-4282-a053-a67b00c56166" TargetMode="External"/><Relationship Id="rId90" Type="http://schemas.openxmlformats.org/officeDocument/2006/relationships/hyperlink" Target="https://analytics.zhihuiya.com/patent-view/abst?patentId=30806186-2a8e-4d3b-b5b2-89df4d0060f1" TargetMode="External"/><Relationship Id="rId407" Type="http://schemas.openxmlformats.org/officeDocument/2006/relationships/hyperlink" Target="https://analytics.zhihuiya.com/patent-view/abst?patentId=f9def7aa-3585-48ff-a885-584b849bdd13" TargetMode="External"/><Relationship Id="rId614" Type="http://schemas.openxmlformats.org/officeDocument/2006/relationships/hyperlink" Target="https://analytics.zhihuiya.com/patent-view/abst?patentId=9141a27d-0ba6-4b31-a70c-301241bbb0e7" TargetMode="External"/><Relationship Id="rId821" Type="http://schemas.openxmlformats.org/officeDocument/2006/relationships/hyperlink" Target="https://analytics.zhihuiya.com/patent-view/abst?patentId=368f3992-1bee-443e-91c1-2342a35a99ca" TargetMode="External"/><Relationship Id="rId1037" Type="http://schemas.openxmlformats.org/officeDocument/2006/relationships/hyperlink" Target="https://analytics.zhihuiya.com/patent-view/abst?patentId=09888178-6c97-4de8-ab26-d0359b7d4960" TargetMode="External"/><Relationship Id="rId1244" Type="http://schemas.openxmlformats.org/officeDocument/2006/relationships/hyperlink" Target="https://analytics.zhihuiya.com/patent-view/abst?patentId=b6040d94-dd39-4300-8b48-0fc545490a24" TargetMode="External"/><Relationship Id="rId1451" Type="http://schemas.openxmlformats.org/officeDocument/2006/relationships/hyperlink" Target="https://analytics.zhihuiya.com/patent-view/abst?patentId=8ef11aa6-303b-4780-817f-9dc487c1d97f" TargetMode="External"/><Relationship Id="rId2502" Type="http://schemas.openxmlformats.org/officeDocument/2006/relationships/hyperlink" Target="https://analytics.zhihuiya.com/patent-view/abst?patentId=e6b86e12-fb42-4574-8e0e-2ac317c2dde2" TargetMode="External"/><Relationship Id="rId1104" Type="http://schemas.openxmlformats.org/officeDocument/2006/relationships/hyperlink" Target="https://analytics.zhihuiya.com/patent-view/abst?patentId=e59374f3-2b52-48ee-84db-390efdbf7244" TargetMode="External"/><Relationship Id="rId1311" Type="http://schemas.openxmlformats.org/officeDocument/2006/relationships/hyperlink" Target="https://analytics.zhihuiya.com/patent-view/abst?patentId=696b7afd-7aef-4c96-bdc3-1f3c76d1a849" TargetMode="External"/><Relationship Id="rId3069" Type="http://schemas.openxmlformats.org/officeDocument/2006/relationships/hyperlink" Target="https://analytics.zhihuiya.com/patent-view/abst?patentId=c5ec5399-ca86-43fa-a35e-a7cd02f7ebac" TargetMode="External"/><Relationship Id="rId3276" Type="http://schemas.openxmlformats.org/officeDocument/2006/relationships/hyperlink" Target="https://analytics.zhihuiya.com/patent-view/abst?patentId=74fdeb13-91ed-4b9b-99df-73d15f245d50" TargetMode="External"/><Relationship Id="rId3483" Type="http://schemas.openxmlformats.org/officeDocument/2006/relationships/hyperlink" Target="https://analytics.zhihuiya.com/patent-view/abst?patentId=a57b6c17-b133-480c-a174-ee30cf7a9549" TargetMode="External"/><Relationship Id="rId3690" Type="http://schemas.openxmlformats.org/officeDocument/2006/relationships/hyperlink" Target="https://analytics.zhihuiya.com/patent-view/abst?patentId=2edbf07a-9f52-45f6-9af6-8c5923970e9c" TargetMode="External"/><Relationship Id="rId4327" Type="http://schemas.openxmlformats.org/officeDocument/2006/relationships/hyperlink" Target="https://analytics.zhihuiya.com/patent-view/abst?patentId=fb084ac1-d7e7-4c67-9810-96e25012277f" TargetMode="External"/><Relationship Id="rId197" Type="http://schemas.openxmlformats.org/officeDocument/2006/relationships/hyperlink" Target="https://analytics.zhihuiya.com/patent-view/abst?patentId=bdc9de69-1a60-492d-ab92-059261b4555c" TargetMode="External"/><Relationship Id="rId2085" Type="http://schemas.openxmlformats.org/officeDocument/2006/relationships/hyperlink" Target="https://analytics.zhihuiya.com/patent-view/abst?patentId=b27966dd-b9f9-4ff4-b04a-ebc2c71863f2" TargetMode="External"/><Relationship Id="rId2292" Type="http://schemas.openxmlformats.org/officeDocument/2006/relationships/hyperlink" Target="https://analytics.zhihuiya.com/patent-view/abst?patentId=bee16dd3-2f42-445d-b876-41f2e0a44555" TargetMode="External"/><Relationship Id="rId3136" Type="http://schemas.openxmlformats.org/officeDocument/2006/relationships/hyperlink" Target="https://analytics.zhihuiya.com/patent-view/abst?patentId=39972416-0eb4-4e1a-b1f1-483fd4775c5b" TargetMode="External"/><Relationship Id="rId3343" Type="http://schemas.openxmlformats.org/officeDocument/2006/relationships/hyperlink" Target="https://analytics.zhihuiya.com/patent-view/abst?patentId=616e47e5-0964-4401-a793-5b656a1d3625" TargetMode="External"/><Relationship Id="rId264" Type="http://schemas.openxmlformats.org/officeDocument/2006/relationships/hyperlink" Target="https://analytics.zhihuiya.com/patent-view/abst?patentId=b55b6f5e-7cb4-486b-bf9c-960633be2a09" TargetMode="External"/><Relationship Id="rId471" Type="http://schemas.openxmlformats.org/officeDocument/2006/relationships/hyperlink" Target="https://analytics.zhihuiya.com/patent-view/abst?patentId=d1074c7c-bb6b-42f5-99b5-fe7be0b6839b" TargetMode="External"/><Relationship Id="rId2152" Type="http://schemas.openxmlformats.org/officeDocument/2006/relationships/hyperlink" Target="https://analytics.zhihuiya.com/patent-view/abst?patentId=ec3024c2-bc55-4b81-b228-8230649b8559" TargetMode="External"/><Relationship Id="rId3550" Type="http://schemas.openxmlformats.org/officeDocument/2006/relationships/hyperlink" Target="https://analytics.zhihuiya.com/patent-view/abst?patentId=49622213-6293-489b-a601-9bfbda83671e" TargetMode="External"/><Relationship Id="rId124" Type="http://schemas.openxmlformats.org/officeDocument/2006/relationships/hyperlink" Target="https://analytics.zhihuiya.com/patent-view/abst?patentId=d2a294f8-a9ff-4bb6-bf00-254261dd3498" TargetMode="External"/><Relationship Id="rId3203" Type="http://schemas.openxmlformats.org/officeDocument/2006/relationships/hyperlink" Target="https://analytics.zhihuiya.com/patent-view/abst?patentId=1794798a-1235-4bdc-9718-b625ee5aaa35" TargetMode="External"/><Relationship Id="rId3410" Type="http://schemas.openxmlformats.org/officeDocument/2006/relationships/hyperlink" Target="https://analytics.zhihuiya.com/patent-view/abst?patentId=3ac70cba-a5d8-4335-9c8b-61f742839fe1" TargetMode="External"/><Relationship Id="rId331" Type="http://schemas.openxmlformats.org/officeDocument/2006/relationships/hyperlink" Target="https://analytics.zhihuiya.com/patent-view/abst?patentId=419f5952-e93d-414d-9fc6-acbe1bc32133" TargetMode="External"/><Relationship Id="rId2012" Type="http://schemas.openxmlformats.org/officeDocument/2006/relationships/hyperlink" Target="https://analytics.zhihuiya.com/patent-view/abst?patentId=e25e2924-91fb-4bf0-a7a4-1234d2ac4f6c" TargetMode="External"/><Relationship Id="rId2969" Type="http://schemas.openxmlformats.org/officeDocument/2006/relationships/hyperlink" Target="https://analytics.zhihuiya.com/patent-view/abst?patentId=4f9774f3-8513-466b-8e98-69554c94497c" TargetMode="External"/><Relationship Id="rId1778" Type="http://schemas.openxmlformats.org/officeDocument/2006/relationships/hyperlink" Target="https://analytics.zhihuiya.com/patent-view/abst?patentId=8fa299d9-caf0-435b-8d81-fc9a0a576b33" TargetMode="External"/><Relationship Id="rId1985" Type="http://schemas.openxmlformats.org/officeDocument/2006/relationships/hyperlink" Target="https://analytics.zhihuiya.com/patent-view/abst?patentId=04995ddd-923f-499e-9c0d-2177bec742f9" TargetMode="External"/><Relationship Id="rId2829" Type="http://schemas.openxmlformats.org/officeDocument/2006/relationships/hyperlink" Target="https://analytics.zhihuiya.com/patent-view/abst?patentId=44e1a0f5-c159-406b-bb30-976cc7570b47" TargetMode="External"/><Relationship Id="rId4184" Type="http://schemas.openxmlformats.org/officeDocument/2006/relationships/hyperlink" Target="https://analytics.zhihuiya.com/patent-view/abst?patentId=ef8b3f4e-6436-4db0-8785-6aaa126e9e39" TargetMode="External"/><Relationship Id="rId4391" Type="http://schemas.openxmlformats.org/officeDocument/2006/relationships/hyperlink" Target="https://analytics.zhihuiya.com/patent-view/abst?patentId=9af8ce97-993e-4b4a-b97a-8ec8008241b1" TargetMode="External"/><Relationship Id="rId1638" Type="http://schemas.openxmlformats.org/officeDocument/2006/relationships/hyperlink" Target="https://analytics.zhihuiya.com/patent-view/abst?patentId=f8eecfe8-9709-4d53-9fb0-1100b0f8556b" TargetMode="External"/><Relationship Id="rId4044" Type="http://schemas.openxmlformats.org/officeDocument/2006/relationships/hyperlink" Target="https://analytics.zhihuiya.com/patent-view/abst?patentId=efa12b4e-d62d-41aa-bf56-dfe9ddb8fd8b" TargetMode="External"/><Relationship Id="rId4251" Type="http://schemas.openxmlformats.org/officeDocument/2006/relationships/hyperlink" Target="https://analytics.zhihuiya.com/patent-view/abst?patentId=cf9f3ede-834d-4a25-b2de-fa8ead5827df" TargetMode="External"/><Relationship Id="rId1845" Type="http://schemas.openxmlformats.org/officeDocument/2006/relationships/hyperlink" Target="https://analytics.zhihuiya.com/patent-view/abst?patentId=05c02316-a984-41f2-996a-ef52ce153ca3" TargetMode="External"/><Relationship Id="rId3060" Type="http://schemas.openxmlformats.org/officeDocument/2006/relationships/hyperlink" Target="https://analytics.zhihuiya.com/patent-view/abst?patentId=c02c3a17-deb1-4864-a55b-53daec6a1ed7" TargetMode="External"/><Relationship Id="rId4111" Type="http://schemas.openxmlformats.org/officeDocument/2006/relationships/hyperlink" Target="https://analytics.zhihuiya.com/patent-view/abst?patentId=641cb30d-e058-40cc-8aef-163073e20fbd" TargetMode="External"/><Relationship Id="rId1705" Type="http://schemas.openxmlformats.org/officeDocument/2006/relationships/hyperlink" Target="https://analytics.zhihuiya.com/patent-view/abst?patentId=ec9a2135-b001-4e38-b302-081aabfb257a" TargetMode="External"/><Relationship Id="rId1912" Type="http://schemas.openxmlformats.org/officeDocument/2006/relationships/hyperlink" Target="https://analytics.zhihuiya.com/patent-view/abst?patentId=5d4b3907-d523-41ed-9f58-4cc1da622946" TargetMode="External"/><Relationship Id="rId3877" Type="http://schemas.openxmlformats.org/officeDocument/2006/relationships/hyperlink" Target="https://analytics.zhihuiya.com/patent-view/abst?patentId=d97ba3ff-48b1-4b00-8d40-f34193e9ba4a" TargetMode="External"/><Relationship Id="rId798" Type="http://schemas.openxmlformats.org/officeDocument/2006/relationships/hyperlink" Target="https://analytics.zhihuiya.com/patent-view/abst?patentId=23ea187f-0002-4434-8b73-68f27530d1b2" TargetMode="External"/><Relationship Id="rId2479" Type="http://schemas.openxmlformats.org/officeDocument/2006/relationships/hyperlink" Target="https://analytics.zhihuiya.com/patent-view/abst?patentId=9d46791e-7b6e-4d4b-a6ed-6713b40780dd" TargetMode="External"/><Relationship Id="rId2686" Type="http://schemas.openxmlformats.org/officeDocument/2006/relationships/hyperlink" Target="https://analytics.zhihuiya.com/patent-view/abst?patentId=c659a45d-6d5c-4189-b101-698d5c966aaa" TargetMode="External"/><Relationship Id="rId2893" Type="http://schemas.openxmlformats.org/officeDocument/2006/relationships/hyperlink" Target="https://analytics.zhihuiya.com/patent-view/abst?patentId=74ac0584-8deb-4e77-a36f-95f7de91013a" TargetMode="External"/><Relationship Id="rId3737" Type="http://schemas.openxmlformats.org/officeDocument/2006/relationships/hyperlink" Target="https://analytics.zhihuiya.com/patent-view/abst?patentId=a3738d27-5117-4c40-8c09-3e46f8fc61c4" TargetMode="External"/><Relationship Id="rId3944" Type="http://schemas.openxmlformats.org/officeDocument/2006/relationships/hyperlink" Target="https://analytics.zhihuiya.com/patent-view/abst?patentId=71ccfbff-d871-4e2e-b5dd-912ab8298c4c" TargetMode="External"/><Relationship Id="rId658" Type="http://schemas.openxmlformats.org/officeDocument/2006/relationships/hyperlink" Target="https://analytics.zhihuiya.com/patent-view/abst?patentId=d7129b48-319e-40ff-a364-fb438bce1132" TargetMode="External"/><Relationship Id="rId865" Type="http://schemas.openxmlformats.org/officeDocument/2006/relationships/hyperlink" Target="https://analytics.zhihuiya.com/patent-view/abst?patentId=b2d30bdc-89c8-4f82-b867-fcd00423f7dd" TargetMode="External"/><Relationship Id="rId1288" Type="http://schemas.openxmlformats.org/officeDocument/2006/relationships/hyperlink" Target="https://analytics.zhihuiya.com/patent-view/abst?patentId=c0f32f34-7d11-44cf-b085-23c3f19447a3" TargetMode="External"/><Relationship Id="rId1495" Type="http://schemas.openxmlformats.org/officeDocument/2006/relationships/hyperlink" Target="https://analytics.zhihuiya.com/patent-view/abst?patentId=22b9f22c-bfe6-4d0f-b521-f357560d276c" TargetMode="External"/><Relationship Id="rId2339" Type="http://schemas.openxmlformats.org/officeDocument/2006/relationships/hyperlink" Target="https://analytics.zhihuiya.com/patent-view/abst?patentId=c688e7a4-bd4b-425e-ab0a-4ccbb01421c3" TargetMode="External"/><Relationship Id="rId2546" Type="http://schemas.openxmlformats.org/officeDocument/2006/relationships/hyperlink" Target="https://analytics.zhihuiya.com/patent-view/abst?patentId=be9f7b02-94b5-40da-830a-223249a7bd7a" TargetMode="External"/><Relationship Id="rId2753" Type="http://schemas.openxmlformats.org/officeDocument/2006/relationships/hyperlink" Target="https://analytics.zhihuiya.com/patent-view/abst?patentId=1a0a0faf-fb4c-4724-8f79-de86ac8865b2" TargetMode="External"/><Relationship Id="rId2960" Type="http://schemas.openxmlformats.org/officeDocument/2006/relationships/hyperlink" Target="https://analytics.zhihuiya.com/patent-view/abst?patentId=cdca7a7c-742d-4398-9b32-c59eaee31619" TargetMode="External"/><Relationship Id="rId3804" Type="http://schemas.openxmlformats.org/officeDocument/2006/relationships/hyperlink" Target="https://analytics.zhihuiya.com/patent-view/abst?patentId=a88984e1-bf7c-4e0a-ae16-8efd5f868952" TargetMode="External"/><Relationship Id="rId518" Type="http://schemas.openxmlformats.org/officeDocument/2006/relationships/hyperlink" Target="https://analytics.zhihuiya.com/patent-view/abst?patentId=19dbd0dd-130d-4713-81c1-68425a01c787" TargetMode="External"/><Relationship Id="rId725" Type="http://schemas.openxmlformats.org/officeDocument/2006/relationships/hyperlink" Target="https://analytics.zhihuiya.com/patent-view/abst?patentId=c42a37c3-cbc9-440d-8ad7-8b549c7be923" TargetMode="External"/><Relationship Id="rId932" Type="http://schemas.openxmlformats.org/officeDocument/2006/relationships/hyperlink" Target="https://analytics.zhihuiya.com/patent-view/abst?patentId=7dd7ed73-960b-438b-8db2-9fb02a50036c" TargetMode="External"/><Relationship Id="rId1148" Type="http://schemas.openxmlformats.org/officeDocument/2006/relationships/hyperlink" Target="https://analytics.zhihuiya.com/patent-view/abst?patentId=98c46757-dea3-4552-a107-a26d92fb83f9" TargetMode="External"/><Relationship Id="rId1355" Type="http://schemas.openxmlformats.org/officeDocument/2006/relationships/hyperlink" Target="https://analytics.zhihuiya.com/patent-view/abst?patentId=26c99091-4605-41f9-819b-bd017233e191" TargetMode="External"/><Relationship Id="rId1562" Type="http://schemas.openxmlformats.org/officeDocument/2006/relationships/hyperlink" Target="https://analytics.zhihuiya.com/patent-view/abst?patentId=567f8d92-ab96-48af-b5e1-9c3b5d483d91" TargetMode="External"/><Relationship Id="rId2406" Type="http://schemas.openxmlformats.org/officeDocument/2006/relationships/hyperlink" Target="https://analytics.zhihuiya.com/patent-view/abst?patentId=7dc331e1-a08b-4506-b7bf-193cb9219cb2" TargetMode="External"/><Relationship Id="rId2613" Type="http://schemas.openxmlformats.org/officeDocument/2006/relationships/hyperlink" Target="https://analytics.zhihuiya.com/patent-view/abst?patentId=4b2ec9ab-4117-434c-b14f-02c222b7b438" TargetMode="External"/><Relationship Id="rId1008" Type="http://schemas.openxmlformats.org/officeDocument/2006/relationships/hyperlink" Target="https://analytics.zhihuiya.com/patent-view/abst?patentId=bc65fc22-0b41-41bc-94a2-cbe245f99f9d" TargetMode="External"/><Relationship Id="rId1215" Type="http://schemas.openxmlformats.org/officeDocument/2006/relationships/hyperlink" Target="https://analytics.zhihuiya.com/patent-view/abst?patentId=ce83c729-1c17-46ec-8767-ca61f4cb6969" TargetMode="External"/><Relationship Id="rId1422" Type="http://schemas.openxmlformats.org/officeDocument/2006/relationships/hyperlink" Target="https://analytics.zhihuiya.com/patent-view/abst?patentId=b91280cf-7aad-4cb2-8493-b69519628fa5" TargetMode="External"/><Relationship Id="rId2820" Type="http://schemas.openxmlformats.org/officeDocument/2006/relationships/hyperlink" Target="https://analytics.zhihuiya.com/patent-view/abst?patentId=25e1b04c-f1a1-41d9-9fb5-bd6719236490" TargetMode="External"/><Relationship Id="rId61" Type="http://schemas.openxmlformats.org/officeDocument/2006/relationships/hyperlink" Target="https://analytics.zhihuiya.com/patent-view/abst?patentId=0a79b8c5-09fb-433f-8a69-6f988bcaa904" TargetMode="External"/><Relationship Id="rId3387" Type="http://schemas.openxmlformats.org/officeDocument/2006/relationships/hyperlink" Target="https://analytics.zhihuiya.com/patent-view/abst?patentId=a5b0ab9b-3c9e-48eb-87cb-cf65ad1b6e08" TargetMode="External"/><Relationship Id="rId2196" Type="http://schemas.openxmlformats.org/officeDocument/2006/relationships/hyperlink" Target="https://analytics.zhihuiya.com/patent-view/abst?patentId=d1cb1fb6-da67-49ed-8abb-6b46655ee562" TargetMode="External"/><Relationship Id="rId3594" Type="http://schemas.openxmlformats.org/officeDocument/2006/relationships/hyperlink" Target="https://analytics.zhihuiya.com/patent-view/abst?patentId=6b6fa9c5-dcf6-4ab0-be69-77e6f8ef8e7e" TargetMode="External"/><Relationship Id="rId4438" Type="http://schemas.openxmlformats.org/officeDocument/2006/relationships/hyperlink" Target="https://analytics.zhihuiya.com/patent-view/abst?patentId=770da80a-e07d-41e8-9d96-de0aac80ba53" TargetMode="External"/><Relationship Id="rId168" Type="http://schemas.openxmlformats.org/officeDocument/2006/relationships/hyperlink" Target="https://analytics.zhihuiya.com/patent-view/abst?patentId=2e296489-16ba-4e44-a00d-1d1175d8bd31" TargetMode="External"/><Relationship Id="rId3247" Type="http://schemas.openxmlformats.org/officeDocument/2006/relationships/hyperlink" Target="https://analytics.zhihuiya.com/patent-view/abst?patentId=a9d1487f-0ab2-440a-a748-0556bfbbc939" TargetMode="External"/><Relationship Id="rId3454" Type="http://schemas.openxmlformats.org/officeDocument/2006/relationships/hyperlink" Target="https://analytics.zhihuiya.com/patent-view/abst?patentId=7a99e5db-2dd4-499c-9856-db01b6f1e28a" TargetMode="External"/><Relationship Id="rId3661" Type="http://schemas.openxmlformats.org/officeDocument/2006/relationships/hyperlink" Target="https://analytics.zhihuiya.com/patent-view/abst?patentId=ac7aab0d-dec5-4a67-a22d-fbf6daaaa033" TargetMode="External"/><Relationship Id="rId375" Type="http://schemas.openxmlformats.org/officeDocument/2006/relationships/hyperlink" Target="https://analytics.zhihuiya.com/patent-view/abst?patentId=7dd685e2-7157-43a1-8e28-74730f0a5d2a" TargetMode="External"/><Relationship Id="rId582" Type="http://schemas.openxmlformats.org/officeDocument/2006/relationships/hyperlink" Target="https://analytics.zhihuiya.com/patent-view/abst?patentId=c7f824e9-0a77-4d96-a95d-29bf04a1f950" TargetMode="External"/><Relationship Id="rId2056" Type="http://schemas.openxmlformats.org/officeDocument/2006/relationships/hyperlink" Target="https://analytics.zhihuiya.com/patent-view/abst?patentId=6a8da8a5-9d0c-41b1-8f63-300149acf266" TargetMode="External"/><Relationship Id="rId2263" Type="http://schemas.openxmlformats.org/officeDocument/2006/relationships/hyperlink" Target="https://analytics.zhihuiya.com/patent-view/abst?patentId=f17f60b1-9ddb-4709-9845-f9581fc97f84" TargetMode="External"/><Relationship Id="rId2470" Type="http://schemas.openxmlformats.org/officeDocument/2006/relationships/hyperlink" Target="https://analytics.zhihuiya.com/patent-view/abst?patentId=a96abe42-dd70-44f1-a12f-ededaac1b1b2" TargetMode="External"/><Relationship Id="rId3107" Type="http://schemas.openxmlformats.org/officeDocument/2006/relationships/hyperlink" Target="https://analytics.zhihuiya.com/patent-view/abst?patentId=fc0c44d8-b2dd-48f8-84af-6e796f98dc9c" TargetMode="External"/><Relationship Id="rId3314" Type="http://schemas.openxmlformats.org/officeDocument/2006/relationships/hyperlink" Target="https://analytics.zhihuiya.com/patent-view/abst?patentId=1ef25bc4-3395-477f-973f-fb0ef44a31f6" TargetMode="External"/><Relationship Id="rId3521" Type="http://schemas.openxmlformats.org/officeDocument/2006/relationships/hyperlink" Target="https://analytics.zhihuiya.com/patent-view/abst?patentId=abaf115e-f336-4b21-85dc-d3f2513cf63b" TargetMode="External"/><Relationship Id="rId235" Type="http://schemas.openxmlformats.org/officeDocument/2006/relationships/hyperlink" Target="https://analytics.zhihuiya.com/patent-view/abst?patentId=8627a9dc-2bd8-408a-a63b-a6cac27cdafb" TargetMode="External"/><Relationship Id="rId442" Type="http://schemas.openxmlformats.org/officeDocument/2006/relationships/hyperlink" Target="https://analytics.zhihuiya.com/patent-view/abst?patentId=c7d58fec-832e-40b0-9dc2-d2bcf754f55d" TargetMode="External"/><Relationship Id="rId1072" Type="http://schemas.openxmlformats.org/officeDocument/2006/relationships/hyperlink" Target="https://analytics.zhihuiya.com/patent-view/abst?patentId=64fd7c48-34a5-44a6-bf6c-71c8dd72b0a7" TargetMode="External"/><Relationship Id="rId2123" Type="http://schemas.openxmlformats.org/officeDocument/2006/relationships/hyperlink" Target="https://analytics.zhihuiya.com/patent-view/abst?patentId=d5e50e6f-609a-4116-af07-aa55f55ec4f6" TargetMode="External"/><Relationship Id="rId2330" Type="http://schemas.openxmlformats.org/officeDocument/2006/relationships/hyperlink" Target="https://analytics.zhihuiya.com/patent-view/abst?patentId=b0bd8034-1d39-45c5-8d52-cc844805c54a" TargetMode="External"/><Relationship Id="rId302" Type="http://schemas.openxmlformats.org/officeDocument/2006/relationships/hyperlink" Target="https://analytics.zhihuiya.com/patent-view/abst?patentId=8239374e-edf1-4adc-94be-d2368125cd8a" TargetMode="External"/><Relationship Id="rId4088" Type="http://schemas.openxmlformats.org/officeDocument/2006/relationships/hyperlink" Target="https://analytics.zhihuiya.com/patent-view/abst?patentId=48b766b5-6e78-40b1-afb8-171f135336aa" TargetMode="External"/><Relationship Id="rId4295" Type="http://schemas.openxmlformats.org/officeDocument/2006/relationships/hyperlink" Target="https://analytics.zhihuiya.com/patent-view/abst?patentId=2be6cfb2-22bb-449a-9441-e87909f6d5a2" TargetMode="External"/><Relationship Id="rId1889" Type="http://schemas.openxmlformats.org/officeDocument/2006/relationships/hyperlink" Target="https://analytics.zhihuiya.com/patent-view/abst?patentId=2463b58f-8b98-4d68-b021-35205cf84425" TargetMode="External"/><Relationship Id="rId4155" Type="http://schemas.openxmlformats.org/officeDocument/2006/relationships/hyperlink" Target="https://analytics.zhihuiya.com/patent-view/abst?patentId=e85d541e-2bd2-48d9-a101-a07e2469e8fb" TargetMode="External"/><Relationship Id="rId4362" Type="http://schemas.openxmlformats.org/officeDocument/2006/relationships/hyperlink" Target="https://analytics.zhihuiya.com/patent-view/abst?patentId=f21b4dea-f21a-4dc1-a2bc-7bded06f48ca" TargetMode="External"/><Relationship Id="rId1749" Type="http://schemas.openxmlformats.org/officeDocument/2006/relationships/hyperlink" Target="https://analytics.zhihuiya.com/patent-view/abst?patentId=204e033d-21a0-4858-8129-64113bc9a241" TargetMode="External"/><Relationship Id="rId1956" Type="http://schemas.openxmlformats.org/officeDocument/2006/relationships/hyperlink" Target="https://analytics.zhihuiya.com/patent-view/abst?patentId=c0781496-cd55-430b-8ab6-3403bc75ae40" TargetMode="External"/><Relationship Id="rId3171" Type="http://schemas.openxmlformats.org/officeDocument/2006/relationships/hyperlink" Target="https://analytics.zhihuiya.com/patent-view/abst?patentId=01e673cb-e752-4868-85d1-327613307683" TargetMode="External"/><Relationship Id="rId4015" Type="http://schemas.openxmlformats.org/officeDocument/2006/relationships/hyperlink" Target="https://analytics.zhihuiya.com/patent-view/abst?patentId=ee55e629-a39d-4619-86a4-41f38c47678b" TargetMode="External"/><Relationship Id="rId1609" Type="http://schemas.openxmlformats.org/officeDocument/2006/relationships/hyperlink" Target="https://analytics.zhihuiya.com/patent-view/abst?patentId=118a2ecd-c555-4ab4-881e-76cc17be80fc" TargetMode="External"/><Relationship Id="rId1816" Type="http://schemas.openxmlformats.org/officeDocument/2006/relationships/hyperlink" Target="https://analytics.zhihuiya.com/patent-view/abst?patentId=6e9ddd2c-90ff-46bb-9523-7b6e21c1c2bb" TargetMode="External"/><Relationship Id="rId4222" Type="http://schemas.openxmlformats.org/officeDocument/2006/relationships/hyperlink" Target="https://analytics.zhihuiya.com/patent-view/abst?patentId=b7d0c20c-a3e9-4e08-84fe-bf5ce07d4e37" TargetMode="External"/><Relationship Id="rId3031" Type="http://schemas.openxmlformats.org/officeDocument/2006/relationships/hyperlink" Target="https://analytics.zhihuiya.com/patent-view/abst?patentId=e65df157-8090-4408-bd32-117f1318bbee" TargetMode="External"/><Relationship Id="rId3988" Type="http://schemas.openxmlformats.org/officeDocument/2006/relationships/hyperlink" Target="https://analytics.zhihuiya.com/patent-view/abst?patentId=7bcd43f3-bc07-4ce5-8842-eb7409b43ffa" TargetMode="External"/><Relationship Id="rId2797" Type="http://schemas.openxmlformats.org/officeDocument/2006/relationships/hyperlink" Target="https://analytics.zhihuiya.com/patent-view/abst?patentId=4e811c7d-0514-4a2b-8531-e6d4d987ef0f" TargetMode="External"/><Relationship Id="rId3848" Type="http://schemas.openxmlformats.org/officeDocument/2006/relationships/hyperlink" Target="https://analytics.zhihuiya.com/patent-view/abst?patentId=a3e8961d-ed86-4fb6-8208-c2b640071ea5" TargetMode="External"/><Relationship Id="rId769" Type="http://schemas.openxmlformats.org/officeDocument/2006/relationships/hyperlink" Target="https://analytics.zhihuiya.com/patent-view/abst?patentId=e8d7df7a-8bea-44fe-b458-07c1e92d3904" TargetMode="External"/><Relationship Id="rId976" Type="http://schemas.openxmlformats.org/officeDocument/2006/relationships/hyperlink" Target="https://analytics.zhihuiya.com/patent-view/abst?patentId=402cb5e9-d0c7-4160-95cd-7a117928f899" TargetMode="External"/><Relationship Id="rId1399" Type="http://schemas.openxmlformats.org/officeDocument/2006/relationships/hyperlink" Target="https://analytics.zhihuiya.com/patent-view/abst?patentId=03c14910-5588-4b50-b351-4767ad7bff5d" TargetMode="External"/><Relationship Id="rId2657" Type="http://schemas.openxmlformats.org/officeDocument/2006/relationships/hyperlink" Target="https://analytics.zhihuiya.com/patent-view/abst?patentId=c6439c2c-4432-4a9e-abee-0843eab8def1" TargetMode="External"/><Relationship Id="rId629" Type="http://schemas.openxmlformats.org/officeDocument/2006/relationships/hyperlink" Target="https://analytics.zhihuiya.com/patent-view/abst?patentId=c192e1c0-aa7b-41ee-a784-8eb64a2e7950" TargetMode="External"/><Relationship Id="rId1259" Type="http://schemas.openxmlformats.org/officeDocument/2006/relationships/hyperlink" Target="https://analytics.zhihuiya.com/patent-view/abst?patentId=d6070dd8-f365-428f-bc83-eed4b962aaba" TargetMode="External"/><Relationship Id="rId1466" Type="http://schemas.openxmlformats.org/officeDocument/2006/relationships/hyperlink" Target="https://analytics.zhihuiya.com/patent-view/abst?patentId=075cacb9-86f6-4f9b-b47e-86fa5de8441f" TargetMode="External"/><Relationship Id="rId2864" Type="http://schemas.openxmlformats.org/officeDocument/2006/relationships/hyperlink" Target="https://analytics.zhihuiya.com/patent-view/abst?patentId=0ec6e72f-182c-4055-81b9-32d8fe7d65ec" TargetMode="External"/><Relationship Id="rId3708" Type="http://schemas.openxmlformats.org/officeDocument/2006/relationships/hyperlink" Target="https://analytics.zhihuiya.com/patent-view/abst?patentId=547d8e34-2872-4291-9290-7cb8ddb67ad9" TargetMode="External"/><Relationship Id="rId3915" Type="http://schemas.openxmlformats.org/officeDocument/2006/relationships/hyperlink" Target="https://analytics.zhihuiya.com/patent-view/abst?patentId=af8d98f0-d62b-455e-a454-d2a1d277b60e" TargetMode="External"/><Relationship Id="rId836" Type="http://schemas.openxmlformats.org/officeDocument/2006/relationships/hyperlink" Target="https://analytics.zhihuiya.com/patent-view/abst?patentId=046872fd-75db-445c-a026-8017db67aec9" TargetMode="External"/><Relationship Id="rId1119" Type="http://schemas.openxmlformats.org/officeDocument/2006/relationships/hyperlink" Target="https://analytics.zhihuiya.com/patent-view/abst?patentId=60bb0bea-e88e-43d5-9da2-b7aa3e6ceee3" TargetMode="External"/><Relationship Id="rId1673" Type="http://schemas.openxmlformats.org/officeDocument/2006/relationships/hyperlink" Target="https://analytics.zhihuiya.com/patent-view/abst?patentId=fe45b9c6-1494-4fc8-a7e3-75e2b8392802" TargetMode="External"/><Relationship Id="rId1880" Type="http://schemas.openxmlformats.org/officeDocument/2006/relationships/hyperlink" Target="https://analytics.zhihuiya.com/patent-view/abst?patentId=593f3e3b-f343-449e-a2f2-42bce9d0229d" TargetMode="External"/><Relationship Id="rId2517" Type="http://schemas.openxmlformats.org/officeDocument/2006/relationships/hyperlink" Target="https://analytics.zhihuiya.com/patent-view/abst?patentId=eb59ad78-baf5-444c-b0c1-c49add2e770a" TargetMode="External"/><Relationship Id="rId2724" Type="http://schemas.openxmlformats.org/officeDocument/2006/relationships/hyperlink" Target="https://analytics.zhihuiya.com/patent-view/abst?patentId=9839e630-a556-49b4-b3ab-a1e3fa936766" TargetMode="External"/><Relationship Id="rId2931" Type="http://schemas.openxmlformats.org/officeDocument/2006/relationships/hyperlink" Target="https://analytics.zhihuiya.com/patent-view/abst?patentId=cfdb0735-9a4a-452a-8128-1b5cbb38e256" TargetMode="External"/><Relationship Id="rId903" Type="http://schemas.openxmlformats.org/officeDocument/2006/relationships/hyperlink" Target="https://analytics.zhihuiya.com/patent-view/abst?patentId=f927ec53-7688-4eca-bef6-3898eef04042" TargetMode="External"/><Relationship Id="rId1326" Type="http://schemas.openxmlformats.org/officeDocument/2006/relationships/hyperlink" Target="https://analytics.zhihuiya.com/patent-view/abst?patentId=0547fb79-af47-4716-9f33-c1dbcf8c8294" TargetMode="External"/><Relationship Id="rId1533" Type="http://schemas.openxmlformats.org/officeDocument/2006/relationships/hyperlink" Target="https://analytics.zhihuiya.com/patent-view/abst?patentId=ee96ec5f-5a15-4ad7-bd35-c27e576f2bcf" TargetMode="External"/><Relationship Id="rId1740" Type="http://schemas.openxmlformats.org/officeDocument/2006/relationships/hyperlink" Target="https://analytics.zhihuiya.com/patent-view/abst?patentId=5287bc38-8def-4077-95d8-001afc4805b5" TargetMode="External"/><Relationship Id="rId32" Type="http://schemas.openxmlformats.org/officeDocument/2006/relationships/hyperlink" Target="https://analytics.zhihuiya.com/patent-view/abst?patentId=a783888c-8521-483f-8d5c-b5cf46ca2b92" TargetMode="External"/><Relationship Id="rId1600" Type="http://schemas.openxmlformats.org/officeDocument/2006/relationships/hyperlink" Target="https://analytics.zhihuiya.com/patent-view/abst?patentId=60e419bf-1b3f-4ecd-a76e-32180443d375" TargetMode="External"/><Relationship Id="rId3498" Type="http://schemas.openxmlformats.org/officeDocument/2006/relationships/hyperlink" Target="https://analytics.zhihuiya.com/patent-view/abst?patentId=2aaac266-9c77-4659-a5d4-ca0aeffcde93" TargetMode="External"/><Relationship Id="rId3358" Type="http://schemas.openxmlformats.org/officeDocument/2006/relationships/hyperlink" Target="https://analytics.zhihuiya.com/patent-view/abst?patentId=375301d8-a016-44ce-8556-79eef78428e6" TargetMode="External"/><Relationship Id="rId3565" Type="http://schemas.openxmlformats.org/officeDocument/2006/relationships/hyperlink" Target="https://analytics.zhihuiya.com/patent-view/abst?patentId=1193b632-42bb-4e9b-bcd8-57a7c6055bea" TargetMode="External"/><Relationship Id="rId3772" Type="http://schemas.openxmlformats.org/officeDocument/2006/relationships/hyperlink" Target="https://analytics.zhihuiya.com/patent-view/abst?patentId=26fd6fcd-d73b-4747-ac5d-c8d402baad5d" TargetMode="External"/><Relationship Id="rId4409" Type="http://schemas.openxmlformats.org/officeDocument/2006/relationships/hyperlink" Target="https://analytics.zhihuiya.com/patent-view/abst?patentId=99c7f860-9d2e-4371-ba60-2e632faa6f20" TargetMode="External"/><Relationship Id="rId279" Type="http://schemas.openxmlformats.org/officeDocument/2006/relationships/hyperlink" Target="https://analytics.zhihuiya.com/patent-view/abst?patentId=d4322d43-6d13-49ab-9c89-b198d8d4a6ed" TargetMode="External"/><Relationship Id="rId486" Type="http://schemas.openxmlformats.org/officeDocument/2006/relationships/hyperlink" Target="https://analytics.zhihuiya.com/patent-view/abst?patentId=8d3d5d94-42fe-4294-8e65-8e9d4cf8efdc" TargetMode="External"/><Relationship Id="rId693" Type="http://schemas.openxmlformats.org/officeDocument/2006/relationships/hyperlink" Target="https://analytics.zhihuiya.com/patent-view/abst?patentId=49c7282d-8938-4b6e-97b3-a83f91dc7f74" TargetMode="External"/><Relationship Id="rId2167" Type="http://schemas.openxmlformats.org/officeDocument/2006/relationships/hyperlink" Target="https://analytics.zhihuiya.com/patent-view/abst?patentId=ee7e0333-4e2c-4af2-a02b-25d805fe55b6" TargetMode="External"/><Relationship Id="rId2374" Type="http://schemas.openxmlformats.org/officeDocument/2006/relationships/hyperlink" Target="https://analytics.zhihuiya.com/patent-view/abst?patentId=52c53e4e-fb6c-4152-8b1f-64f7be987976" TargetMode="External"/><Relationship Id="rId2581" Type="http://schemas.openxmlformats.org/officeDocument/2006/relationships/hyperlink" Target="https://analytics.zhihuiya.com/patent-view/abst?patentId=544ae769-463a-4017-aa7a-e28a0400633f" TargetMode="External"/><Relationship Id="rId3218" Type="http://schemas.openxmlformats.org/officeDocument/2006/relationships/hyperlink" Target="https://analytics.zhihuiya.com/patent-view/abst?patentId=ab15c3f4-d35b-4f50-8825-203a478b17bc" TargetMode="External"/><Relationship Id="rId3425" Type="http://schemas.openxmlformats.org/officeDocument/2006/relationships/hyperlink" Target="https://analytics.zhihuiya.com/patent-view/abst?patentId=ac7939e7-5049-4f57-96e2-985d63f82119" TargetMode="External"/><Relationship Id="rId3632" Type="http://schemas.openxmlformats.org/officeDocument/2006/relationships/hyperlink" Target="https://analytics.zhihuiya.com/patent-view/abst?patentId=78ab8137-9453-4270-be94-8befcb8b0f98" TargetMode="External"/><Relationship Id="rId139" Type="http://schemas.openxmlformats.org/officeDocument/2006/relationships/hyperlink" Target="https://analytics.zhihuiya.com/patent-view/abst?patentId=50d78aeb-4bda-4d7b-85dd-c46be9669bb9" TargetMode="External"/><Relationship Id="rId346" Type="http://schemas.openxmlformats.org/officeDocument/2006/relationships/hyperlink" Target="https://analytics.zhihuiya.com/patent-view/abst?patentId=d10ca468-ab47-4555-8a5c-2c6a6b6fdb02" TargetMode="External"/><Relationship Id="rId553" Type="http://schemas.openxmlformats.org/officeDocument/2006/relationships/hyperlink" Target="https://analytics.zhihuiya.com/patent-view/abst?patentId=b8ca0f77-fa61-44cc-abc8-af6613e524fe" TargetMode="External"/><Relationship Id="rId760" Type="http://schemas.openxmlformats.org/officeDocument/2006/relationships/hyperlink" Target="https://analytics.zhihuiya.com/patent-view/abst?patentId=c883139b-b143-45b0-b081-461d5cff1318" TargetMode="External"/><Relationship Id="rId1183" Type="http://schemas.openxmlformats.org/officeDocument/2006/relationships/hyperlink" Target="https://analytics.zhihuiya.com/patent-view/abst?patentId=7b94a061-a85f-4ff3-ae7a-c483c7e88929" TargetMode="External"/><Relationship Id="rId1390" Type="http://schemas.openxmlformats.org/officeDocument/2006/relationships/hyperlink" Target="https://analytics.zhihuiya.com/patent-view/abst?patentId=a9088526-77b8-4fe7-b57b-ade3e929a734" TargetMode="External"/><Relationship Id="rId2027" Type="http://schemas.openxmlformats.org/officeDocument/2006/relationships/hyperlink" Target="https://analytics.zhihuiya.com/patent-view/abst?patentId=0202b965-ec19-45dc-bd54-e5b3ca18ed97" TargetMode="External"/><Relationship Id="rId2234" Type="http://schemas.openxmlformats.org/officeDocument/2006/relationships/hyperlink" Target="https://analytics.zhihuiya.com/patent-view/abst?patentId=6d15dcb0-f009-4f89-b1f9-2904c4dd779d" TargetMode="External"/><Relationship Id="rId2441" Type="http://schemas.openxmlformats.org/officeDocument/2006/relationships/hyperlink" Target="https://analytics.zhihuiya.com/patent-view/abst?patentId=8a9e6e71-ac1d-4e67-9826-8ed948b080c4" TargetMode="External"/><Relationship Id="rId206" Type="http://schemas.openxmlformats.org/officeDocument/2006/relationships/hyperlink" Target="https://analytics.zhihuiya.com/patent-view/abst?patentId=7eb2b7ed-0b93-4857-9b3b-99f5a846bdb2" TargetMode="External"/><Relationship Id="rId413" Type="http://schemas.openxmlformats.org/officeDocument/2006/relationships/hyperlink" Target="https://analytics.zhihuiya.com/patent-view/abst?patentId=1c89cef0-dc63-422b-99b0-4a893448fc34" TargetMode="External"/><Relationship Id="rId1043" Type="http://schemas.openxmlformats.org/officeDocument/2006/relationships/hyperlink" Target="https://analytics.zhihuiya.com/patent-view/abst?patentId=21a5571f-3a6c-4f2d-9fba-dea521d4594f" TargetMode="External"/><Relationship Id="rId4199" Type="http://schemas.openxmlformats.org/officeDocument/2006/relationships/hyperlink" Target="https://analytics.zhihuiya.com/patent-view/abst?patentId=554671f1-2971-44f5-866a-13765e213457" TargetMode="External"/><Relationship Id="rId620" Type="http://schemas.openxmlformats.org/officeDocument/2006/relationships/hyperlink" Target="https://analytics.zhihuiya.com/patent-view/abst?patentId=d69aec99-922c-43ca-83bb-c0ba93600637" TargetMode="External"/><Relationship Id="rId1250" Type="http://schemas.openxmlformats.org/officeDocument/2006/relationships/hyperlink" Target="https://analytics.zhihuiya.com/patent-view/abst?patentId=50c7e3df-98a4-473c-a54b-6f8e52cb821f" TargetMode="External"/><Relationship Id="rId2301" Type="http://schemas.openxmlformats.org/officeDocument/2006/relationships/hyperlink" Target="https://analytics.zhihuiya.com/patent-view/abst?patentId=793f5d20-a5fa-4155-84c3-7f7ba58ae31e" TargetMode="External"/><Relationship Id="rId4059" Type="http://schemas.openxmlformats.org/officeDocument/2006/relationships/hyperlink" Target="https://analytics.zhihuiya.com/patent-view/abst?patentId=cb12272f-d282-462a-9a60-f0f492c92687" TargetMode="External"/><Relationship Id="rId1110" Type="http://schemas.openxmlformats.org/officeDocument/2006/relationships/hyperlink" Target="https://analytics.zhihuiya.com/patent-view/abst?patentId=1eafc1a0-f420-440f-8a16-5dd4ddc4d212" TargetMode="External"/><Relationship Id="rId4266" Type="http://schemas.openxmlformats.org/officeDocument/2006/relationships/hyperlink" Target="https://analytics.zhihuiya.com/patent-view/abst?patentId=d30fed83-00af-4246-9b17-47881791e004" TargetMode="External"/><Relationship Id="rId1927" Type="http://schemas.openxmlformats.org/officeDocument/2006/relationships/hyperlink" Target="https://analytics.zhihuiya.com/patent-view/abst?patentId=9fa0ab77-0678-4e2f-a02d-e72da93b093b" TargetMode="External"/><Relationship Id="rId3075" Type="http://schemas.openxmlformats.org/officeDocument/2006/relationships/hyperlink" Target="https://analytics.zhihuiya.com/patent-view/abst?patentId=65433082-f3ca-4953-9b70-f5b24e0699db" TargetMode="External"/><Relationship Id="rId3282" Type="http://schemas.openxmlformats.org/officeDocument/2006/relationships/hyperlink" Target="https://analytics.zhihuiya.com/patent-view/abst?patentId=79bf88b3-79d9-4701-8e3e-3cbfd24266fb" TargetMode="External"/><Relationship Id="rId4126" Type="http://schemas.openxmlformats.org/officeDocument/2006/relationships/hyperlink" Target="https://analytics.zhihuiya.com/patent-view/abst?patentId=91ad683f-c977-4ff7-828a-e6fa2c006e9d" TargetMode="External"/><Relationship Id="rId4333" Type="http://schemas.openxmlformats.org/officeDocument/2006/relationships/hyperlink" Target="https://analytics.zhihuiya.com/patent-view/abst?patentId=3b8010f6-c1a5-4fbc-bbc2-0756e72f3d7a" TargetMode="External"/><Relationship Id="rId2091" Type="http://schemas.openxmlformats.org/officeDocument/2006/relationships/hyperlink" Target="https://analytics.zhihuiya.com/patent-view/abst?patentId=8a8b5434-1d8b-4219-9cb4-da9bafae50b8" TargetMode="External"/><Relationship Id="rId3142" Type="http://schemas.openxmlformats.org/officeDocument/2006/relationships/hyperlink" Target="https://analytics.zhihuiya.com/patent-view/abst?patentId=d8156dba-f139-4e39-b828-eec591fc6d08" TargetMode="External"/><Relationship Id="rId4400" Type="http://schemas.openxmlformats.org/officeDocument/2006/relationships/hyperlink" Target="https://analytics.zhihuiya.com/patent-view/abst?patentId=7618bd66-f7ee-46db-8252-4369874af677" TargetMode="External"/><Relationship Id="rId270" Type="http://schemas.openxmlformats.org/officeDocument/2006/relationships/hyperlink" Target="https://analytics.zhihuiya.com/patent-view/abst?patentId=5e6c7d7d-f538-4869-b64d-05b8d1997315" TargetMode="External"/><Relationship Id="rId3002" Type="http://schemas.openxmlformats.org/officeDocument/2006/relationships/hyperlink" Target="https://analytics.zhihuiya.com/patent-view/abst?patentId=d127bbe9-406f-4b88-9938-42e6a0f6de8c" TargetMode="External"/><Relationship Id="rId130" Type="http://schemas.openxmlformats.org/officeDocument/2006/relationships/hyperlink" Target="https://analytics.zhihuiya.com/patent-view/abst?patentId=df6fde13-123a-4468-9107-f1e903ae59a4" TargetMode="External"/><Relationship Id="rId3959" Type="http://schemas.openxmlformats.org/officeDocument/2006/relationships/hyperlink" Target="https://analytics.zhihuiya.com/patent-view/abst?patentId=bb6d0763-5568-4ab0-8ae9-cfbd89f372c6" TargetMode="External"/><Relationship Id="rId2768" Type="http://schemas.openxmlformats.org/officeDocument/2006/relationships/hyperlink" Target="https://analytics.zhihuiya.com/patent-view/abst?patentId=ba1f282f-180e-42e0-a084-a2a72755ba1f" TargetMode="External"/><Relationship Id="rId2975" Type="http://schemas.openxmlformats.org/officeDocument/2006/relationships/hyperlink" Target="https://analytics.zhihuiya.com/patent-view/abst?patentId=b61e3d66-0040-4956-91a5-c4424edb5041" TargetMode="External"/><Relationship Id="rId3819" Type="http://schemas.openxmlformats.org/officeDocument/2006/relationships/hyperlink" Target="https://analytics.zhihuiya.com/patent-view/abst?patentId=b9c0b747-cbef-4bf3-8ff6-64767d6736db" TargetMode="External"/><Relationship Id="rId947" Type="http://schemas.openxmlformats.org/officeDocument/2006/relationships/hyperlink" Target="https://analytics.zhihuiya.com/patent-view/abst?patentId=85da9180-477f-464e-b37f-a7285e496287" TargetMode="External"/><Relationship Id="rId1577" Type="http://schemas.openxmlformats.org/officeDocument/2006/relationships/hyperlink" Target="https://analytics.zhihuiya.com/patent-view/abst?patentId=8fc41e63-3364-4364-8305-ede633d1c0f5" TargetMode="External"/><Relationship Id="rId1784" Type="http://schemas.openxmlformats.org/officeDocument/2006/relationships/hyperlink" Target="https://analytics.zhihuiya.com/patent-view/abst?patentId=a5de9262-64b1-4799-a243-0f4ea92ddc5b" TargetMode="External"/><Relationship Id="rId1991" Type="http://schemas.openxmlformats.org/officeDocument/2006/relationships/hyperlink" Target="https://analytics.zhihuiya.com/patent-view/abst?patentId=345209f0-6eb1-46cf-8d9b-3c4d4b93b85d" TargetMode="External"/><Relationship Id="rId2628" Type="http://schemas.openxmlformats.org/officeDocument/2006/relationships/hyperlink" Target="https://analytics.zhihuiya.com/patent-view/abst?patentId=ca2b1cd7-415d-4170-94e9-017e9955a1cd" TargetMode="External"/><Relationship Id="rId2835" Type="http://schemas.openxmlformats.org/officeDocument/2006/relationships/hyperlink" Target="https://analytics.zhihuiya.com/patent-view/abst?patentId=c0245cce-0609-4674-9a11-f8055916ff90" TargetMode="External"/><Relationship Id="rId4190" Type="http://schemas.openxmlformats.org/officeDocument/2006/relationships/hyperlink" Target="https://analytics.zhihuiya.com/patent-view/abst?patentId=49157f5e-52db-4d5c-b71d-1d475a962e78" TargetMode="External"/><Relationship Id="rId76" Type="http://schemas.openxmlformats.org/officeDocument/2006/relationships/hyperlink" Target="https://analytics.zhihuiya.com/patent-view/abst?patentId=008d332c-b058-4197-9990-866c1567c1c6" TargetMode="External"/><Relationship Id="rId807" Type="http://schemas.openxmlformats.org/officeDocument/2006/relationships/hyperlink" Target="https://analytics.zhihuiya.com/patent-view/abst?patentId=1f0d997c-31fc-4472-8cbf-bdf50293d502" TargetMode="External"/><Relationship Id="rId1437" Type="http://schemas.openxmlformats.org/officeDocument/2006/relationships/hyperlink" Target="https://analytics.zhihuiya.com/patent-view/abst?patentId=85ceb533-b421-46d7-a01d-910de286aed6" TargetMode="External"/><Relationship Id="rId1644" Type="http://schemas.openxmlformats.org/officeDocument/2006/relationships/hyperlink" Target="https://analytics.zhihuiya.com/patent-view/abst?patentId=2ac0e1b8-d393-4821-965f-cfa46d206249" TargetMode="External"/><Relationship Id="rId1851" Type="http://schemas.openxmlformats.org/officeDocument/2006/relationships/hyperlink" Target="https://analytics.zhihuiya.com/patent-view/abst?patentId=10a9dd09-105e-4882-a431-80dc7289690d" TargetMode="External"/><Relationship Id="rId2902" Type="http://schemas.openxmlformats.org/officeDocument/2006/relationships/hyperlink" Target="https://analytics.zhihuiya.com/patent-view/abst?patentId=6ea1048c-b443-4a0b-9c99-738988923e58" TargetMode="External"/><Relationship Id="rId4050" Type="http://schemas.openxmlformats.org/officeDocument/2006/relationships/hyperlink" Target="https://analytics.zhihuiya.com/patent-view/abst?patentId=df931d17-7a34-4cc8-bdef-c682bf3a5449" TargetMode="External"/><Relationship Id="rId1504" Type="http://schemas.openxmlformats.org/officeDocument/2006/relationships/hyperlink" Target="https://analytics.zhihuiya.com/patent-view/abst?patentId=47ac320b-bbe8-4cdb-9cf0-b403f435615d" TargetMode="External"/><Relationship Id="rId1711" Type="http://schemas.openxmlformats.org/officeDocument/2006/relationships/hyperlink" Target="https://analytics.zhihuiya.com/patent-view/abst?patentId=73df2e1e-2b87-41c6-b2a7-4cc7b0aa0b84" TargetMode="External"/><Relationship Id="rId3469" Type="http://schemas.openxmlformats.org/officeDocument/2006/relationships/hyperlink" Target="https://analytics.zhihuiya.com/patent-view/abst?patentId=2336ff88-8c84-42d1-8567-40b821087a7b" TargetMode="External"/><Relationship Id="rId3676" Type="http://schemas.openxmlformats.org/officeDocument/2006/relationships/hyperlink" Target="https://analytics.zhihuiya.com/patent-view/abst?patentId=7a4307f1-7e8d-40e5-be13-555758126fdc" TargetMode="External"/><Relationship Id="rId597" Type="http://schemas.openxmlformats.org/officeDocument/2006/relationships/hyperlink" Target="https://analytics.zhihuiya.com/patent-view/abst?patentId=718b6951-7e4e-4272-8cce-51af22f01d59" TargetMode="External"/><Relationship Id="rId2278" Type="http://schemas.openxmlformats.org/officeDocument/2006/relationships/hyperlink" Target="https://analytics.zhihuiya.com/patent-view/abst?patentId=65e75f09-5a59-471e-a61d-ec28e276a4ff" TargetMode="External"/><Relationship Id="rId2485" Type="http://schemas.openxmlformats.org/officeDocument/2006/relationships/hyperlink" Target="https://analytics.zhihuiya.com/patent-view/abst?patentId=7ef7b7f1-51e5-4d6b-8254-68baa02a8d40" TargetMode="External"/><Relationship Id="rId3329" Type="http://schemas.openxmlformats.org/officeDocument/2006/relationships/hyperlink" Target="https://analytics.zhihuiya.com/patent-view/abst?patentId=01b6115d-0e01-4eac-a27d-73d5d169b6e1" TargetMode="External"/><Relationship Id="rId3883" Type="http://schemas.openxmlformats.org/officeDocument/2006/relationships/hyperlink" Target="https://analytics.zhihuiya.com/patent-view/abst?patentId=d9cbc4a5-29fd-4256-a5a5-433c4b4179cf" TargetMode="External"/><Relationship Id="rId457" Type="http://schemas.openxmlformats.org/officeDocument/2006/relationships/hyperlink" Target="https://analytics.zhihuiya.com/patent-view/abst?patentId=91ba2979-842f-4b1d-a97d-2f158c93a473" TargetMode="External"/><Relationship Id="rId1087" Type="http://schemas.openxmlformats.org/officeDocument/2006/relationships/hyperlink" Target="https://analytics.zhihuiya.com/patent-view/abst?patentId=310460fa-0054-4123-b2c7-7fe30e6dc2f7" TargetMode="External"/><Relationship Id="rId1294" Type="http://schemas.openxmlformats.org/officeDocument/2006/relationships/hyperlink" Target="https://analytics.zhihuiya.com/patent-view/abst?patentId=213ad6e8-9191-43bf-8837-f323ba4879ba" TargetMode="External"/><Relationship Id="rId2138" Type="http://schemas.openxmlformats.org/officeDocument/2006/relationships/hyperlink" Target="https://analytics.zhihuiya.com/patent-view/abst?patentId=114d4d09-434f-401a-b0eb-4b559a685b42" TargetMode="External"/><Relationship Id="rId2692" Type="http://schemas.openxmlformats.org/officeDocument/2006/relationships/hyperlink" Target="https://analytics.zhihuiya.com/patent-view/abst?patentId=1c1e5dc1-2fc6-4ac5-a2bb-aafae3470725" TargetMode="External"/><Relationship Id="rId3536" Type="http://schemas.openxmlformats.org/officeDocument/2006/relationships/hyperlink" Target="https://analytics.zhihuiya.com/patent-view/abst?patentId=1497bc7d-a3ec-4b11-afee-d7623cea936f" TargetMode="External"/><Relationship Id="rId3743" Type="http://schemas.openxmlformats.org/officeDocument/2006/relationships/hyperlink" Target="https://analytics.zhihuiya.com/patent-view/abst?patentId=1fe90db9-1907-40b6-979a-a0e2362b2e05" TargetMode="External"/><Relationship Id="rId3950" Type="http://schemas.openxmlformats.org/officeDocument/2006/relationships/hyperlink" Target="https://analytics.zhihuiya.com/patent-view/abst?patentId=0170fc06-1b7d-4d1f-92f1-35523c29fb34" TargetMode="External"/><Relationship Id="rId664" Type="http://schemas.openxmlformats.org/officeDocument/2006/relationships/hyperlink" Target="https://analytics.zhihuiya.com/patent-view/abst?patentId=e4776964-40e5-48df-a074-ba43a0931210" TargetMode="External"/><Relationship Id="rId871" Type="http://schemas.openxmlformats.org/officeDocument/2006/relationships/hyperlink" Target="https://analytics.zhihuiya.com/patent-view/abst?patentId=ff7bdac5-74be-4695-8cc5-1bba44a5727b" TargetMode="External"/><Relationship Id="rId2345" Type="http://schemas.openxmlformats.org/officeDocument/2006/relationships/hyperlink" Target="https://analytics.zhihuiya.com/patent-view/abst?patentId=b7fd0145-2e98-412f-9777-e2bdd3df6a73" TargetMode="External"/><Relationship Id="rId2552" Type="http://schemas.openxmlformats.org/officeDocument/2006/relationships/hyperlink" Target="https://analytics.zhihuiya.com/patent-view/abst?patentId=d0a1b52d-ba03-4c4b-91e7-8f4aff27463a" TargetMode="External"/><Relationship Id="rId3603" Type="http://schemas.openxmlformats.org/officeDocument/2006/relationships/hyperlink" Target="https://analytics.zhihuiya.com/patent-view/abst?patentId=d2cd8fb7-b43d-406a-9ce4-520032f036b1" TargetMode="External"/><Relationship Id="rId3810" Type="http://schemas.openxmlformats.org/officeDocument/2006/relationships/hyperlink" Target="https://analytics.zhihuiya.com/patent-view/abst?patentId=b9bdb90a-108c-4740-a5b8-22b9bc6ac03a" TargetMode="External"/><Relationship Id="rId317" Type="http://schemas.openxmlformats.org/officeDocument/2006/relationships/hyperlink" Target="https://analytics.zhihuiya.com/patent-view/abst?patentId=35401bda-39d8-40c4-a162-e12efa6ed857" TargetMode="External"/><Relationship Id="rId524" Type="http://schemas.openxmlformats.org/officeDocument/2006/relationships/hyperlink" Target="https://analytics.zhihuiya.com/patent-view/abst?patentId=684462af-3f7d-463e-aa90-8c51ee7bf0b6" TargetMode="External"/><Relationship Id="rId731" Type="http://schemas.openxmlformats.org/officeDocument/2006/relationships/hyperlink" Target="https://analytics.zhihuiya.com/patent-view/abst?patentId=20578563-3595-4b21-9ad8-44367295cf6a" TargetMode="External"/><Relationship Id="rId1154" Type="http://schemas.openxmlformats.org/officeDocument/2006/relationships/hyperlink" Target="https://analytics.zhihuiya.com/patent-view/abst?patentId=b11b6c7f-43e7-4218-8fb9-91b2b5b9b5f2" TargetMode="External"/><Relationship Id="rId1361" Type="http://schemas.openxmlformats.org/officeDocument/2006/relationships/hyperlink" Target="https://analytics.zhihuiya.com/patent-view/abst?patentId=4d5f41eb-923e-423c-b6a8-f42b7a7a3842" TargetMode="External"/><Relationship Id="rId2205" Type="http://schemas.openxmlformats.org/officeDocument/2006/relationships/hyperlink" Target="https://analytics.zhihuiya.com/patent-view/abst?patentId=23e7e953-a909-462d-a5c9-1e95e27c117e" TargetMode="External"/><Relationship Id="rId2412" Type="http://schemas.openxmlformats.org/officeDocument/2006/relationships/hyperlink" Target="https://analytics.zhihuiya.com/patent-view/abst?patentId=d709c0c2-10d2-414b-9d0f-e6f636ca8f20" TargetMode="External"/><Relationship Id="rId1014" Type="http://schemas.openxmlformats.org/officeDocument/2006/relationships/hyperlink" Target="https://analytics.zhihuiya.com/patent-view/abst?patentId=8258f0c6-67ce-49ce-a309-0786262296d7" TargetMode="External"/><Relationship Id="rId1221" Type="http://schemas.openxmlformats.org/officeDocument/2006/relationships/hyperlink" Target="https://analytics.zhihuiya.com/patent-view/abst?patentId=3596deea-25fb-489a-b1d9-206b72a1f66c" TargetMode="External"/><Relationship Id="rId4377" Type="http://schemas.openxmlformats.org/officeDocument/2006/relationships/hyperlink" Target="https://analytics.zhihuiya.com/patent-view/abst?patentId=86f9eb31-b4d3-4d4f-b8cf-da57e0942a4e" TargetMode="External"/><Relationship Id="rId3186" Type="http://schemas.openxmlformats.org/officeDocument/2006/relationships/hyperlink" Target="https://analytics.zhihuiya.com/patent-view/abst?patentId=65719c10-f466-4596-a9c6-0bd40682e4f5" TargetMode="External"/><Relationship Id="rId3393" Type="http://schemas.openxmlformats.org/officeDocument/2006/relationships/hyperlink" Target="https://analytics.zhihuiya.com/patent-view/abst?patentId=1c4be962-a76a-4bfe-bc97-bb84c25d972c" TargetMode="External"/><Relationship Id="rId4237" Type="http://schemas.openxmlformats.org/officeDocument/2006/relationships/hyperlink" Target="https://analytics.zhihuiya.com/patent-view/abst?patentId=3c93eb1a-b324-456a-930b-43159949586d" TargetMode="External"/><Relationship Id="rId4444" Type="http://schemas.openxmlformats.org/officeDocument/2006/relationships/hyperlink" Target="https://analytics.zhihuiya.com/patent-view/abst?patentId=6f94884a-11eb-4161-bd88-54553b205047" TargetMode="External"/><Relationship Id="rId3046" Type="http://schemas.openxmlformats.org/officeDocument/2006/relationships/hyperlink" Target="https://analytics.zhihuiya.com/patent-view/abst?patentId=7322b8f3-d878-4279-b3ac-89631b6cba56" TargetMode="External"/><Relationship Id="rId3253" Type="http://schemas.openxmlformats.org/officeDocument/2006/relationships/hyperlink" Target="https://analytics.zhihuiya.com/patent-view/abst?patentId=0b0c8af2-7e55-4526-89d9-ee84856296f5" TargetMode="External"/><Relationship Id="rId3460" Type="http://schemas.openxmlformats.org/officeDocument/2006/relationships/hyperlink" Target="https://analytics.zhihuiya.com/patent-view/abst?patentId=9ef079b2-e60e-42d2-99e2-3bb9a3f8dfc2" TargetMode="External"/><Relationship Id="rId4304" Type="http://schemas.openxmlformats.org/officeDocument/2006/relationships/hyperlink" Target="https://analytics.zhihuiya.com/patent-view/abst?patentId=4e70f802-834d-469f-bdeb-349edc538ae3" TargetMode="External"/><Relationship Id="rId174" Type="http://schemas.openxmlformats.org/officeDocument/2006/relationships/hyperlink" Target="https://analytics.zhihuiya.com/patent-view/abst?patentId=ed3f134f-7ddb-40ab-98c1-49e643126335" TargetMode="External"/><Relationship Id="rId381" Type="http://schemas.openxmlformats.org/officeDocument/2006/relationships/hyperlink" Target="https://analytics.zhihuiya.com/patent-view/abst?patentId=46607fed-33ee-4903-a3ec-32b5614d3285" TargetMode="External"/><Relationship Id="rId2062" Type="http://schemas.openxmlformats.org/officeDocument/2006/relationships/hyperlink" Target="https://analytics.zhihuiya.com/patent-view/abst?patentId=9ba71d1d-9df1-4c36-9c56-f00309e56550" TargetMode="External"/><Relationship Id="rId3113" Type="http://schemas.openxmlformats.org/officeDocument/2006/relationships/hyperlink" Target="https://analytics.zhihuiya.com/patent-view/abst?patentId=af3b8dc3-a7a2-4019-9e72-d90a2e329e65" TargetMode="External"/><Relationship Id="rId241" Type="http://schemas.openxmlformats.org/officeDocument/2006/relationships/hyperlink" Target="https://analytics.zhihuiya.com/patent-view/abst?patentId=df6d70be-9d6a-4a6a-a30e-e57005fdda8b" TargetMode="External"/><Relationship Id="rId3320" Type="http://schemas.openxmlformats.org/officeDocument/2006/relationships/hyperlink" Target="https://analytics.zhihuiya.com/patent-view/abst?patentId=fefb11d7-e843-4584-8e4b-b68a8010f2ee" TargetMode="External"/><Relationship Id="rId2879" Type="http://schemas.openxmlformats.org/officeDocument/2006/relationships/hyperlink" Target="https://analytics.zhihuiya.com/patent-view/abst?patentId=cee807d5-6a8a-413f-9a38-0f625e53e4a5" TargetMode="External"/><Relationship Id="rId101" Type="http://schemas.openxmlformats.org/officeDocument/2006/relationships/hyperlink" Target="https://analytics.zhihuiya.com/patent-view/abst?patentId=dfeb395d-1490-43a2-99b9-04a04ffdfba0" TargetMode="External"/><Relationship Id="rId1688" Type="http://schemas.openxmlformats.org/officeDocument/2006/relationships/hyperlink" Target="https://analytics.zhihuiya.com/patent-view/abst?patentId=ed276ae2-4051-4e34-b1d7-97aad5c947e5" TargetMode="External"/><Relationship Id="rId1895" Type="http://schemas.openxmlformats.org/officeDocument/2006/relationships/hyperlink" Target="https://analytics.zhihuiya.com/patent-view/abst?patentId=0f66ca60-d413-4349-be5e-28cd1504bd5c" TargetMode="External"/><Relationship Id="rId2739" Type="http://schemas.openxmlformats.org/officeDocument/2006/relationships/hyperlink" Target="https://analytics.zhihuiya.com/patent-view/abst?patentId=86557f07-dd2d-4012-a0c8-ae952f797a24" TargetMode="External"/><Relationship Id="rId2946" Type="http://schemas.openxmlformats.org/officeDocument/2006/relationships/hyperlink" Target="https://analytics.zhihuiya.com/patent-view/abst?patentId=325082e0-1df1-4140-9523-50d038acf6be" TargetMode="External"/><Relationship Id="rId4094" Type="http://schemas.openxmlformats.org/officeDocument/2006/relationships/hyperlink" Target="https://analytics.zhihuiya.com/patent-view/abst?patentId=6f193fe1-4c6b-4551-bed8-e18081669383" TargetMode="External"/><Relationship Id="rId918" Type="http://schemas.openxmlformats.org/officeDocument/2006/relationships/hyperlink" Target="https://analytics.zhihuiya.com/patent-view/abst?patentId=28b00b6c-24d3-4668-b1b0-57ad7ff1a84a" TargetMode="External"/><Relationship Id="rId1548" Type="http://schemas.openxmlformats.org/officeDocument/2006/relationships/hyperlink" Target="https://analytics.zhihuiya.com/patent-view/abst?patentId=cb8c6876-f183-4546-be15-ba0a41c98d8b" TargetMode="External"/><Relationship Id="rId1755" Type="http://schemas.openxmlformats.org/officeDocument/2006/relationships/hyperlink" Target="https://analytics.zhihuiya.com/patent-view/abst?patentId=605415b5-c455-4ff0-a832-45cc8756d510" TargetMode="External"/><Relationship Id="rId4161" Type="http://schemas.openxmlformats.org/officeDocument/2006/relationships/hyperlink" Target="https://analytics.zhihuiya.com/patent-view/abst?patentId=20fe1c19-ad5c-4d10-976d-14a23a561d63" TargetMode="External"/><Relationship Id="rId1408" Type="http://schemas.openxmlformats.org/officeDocument/2006/relationships/hyperlink" Target="https://analytics.zhihuiya.com/patent-view/abst?patentId=c5e1bd68-4c49-474b-a2b1-12f5cb07e1ee" TargetMode="External"/><Relationship Id="rId1962" Type="http://schemas.openxmlformats.org/officeDocument/2006/relationships/hyperlink" Target="https://analytics.zhihuiya.com/patent-view/abst?patentId=448ee1ee-c656-4c26-b56d-1b79e69b5c89" TargetMode="External"/><Relationship Id="rId2806" Type="http://schemas.openxmlformats.org/officeDocument/2006/relationships/hyperlink" Target="https://analytics.zhihuiya.com/patent-view/abst?patentId=4cd0d498-8033-4939-8cda-b269500c11c5" TargetMode="External"/><Relationship Id="rId4021" Type="http://schemas.openxmlformats.org/officeDocument/2006/relationships/hyperlink" Target="https://analytics.zhihuiya.com/patent-view/abst?patentId=4640f464-4d03-4523-a59b-dcd1f5bd986a" TargetMode="External"/><Relationship Id="rId47" Type="http://schemas.openxmlformats.org/officeDocument/2006/relationships/hyperlink" Target="https://analytics.zhihuiya.com/patent-view/abst?patentId=e4324631-29b6-4c3c-be49-cc0039d64e10" TargetMode="External"/><Relationship Id="rId1615" Type="http://schemas.openxmlformats.org/officeDocument/2006/relationships/hyperlink" Target="https://analytics.zhihuiya.com/patent-view/abst?patentId=6fdeb331-8d66-47f6-9a68-b8c60eb98194" TargetMode="External"/><Relationship Id="rId1822" Type="http://schemas.openxmlformats.org/officeDocument/2006/relationships/hyperlink" Target="https://analytics.zhihuiya.com/patent-view/abst?patentId=3f3219ba-3b56-4fc4-bda6-9284c281c9a0" TargetMode="External"/><Relationship Id="rId3787" Type="http://schemas.openxmlformats.org/officeDocument/2006/relationships/hyperlink" Target="https://analytics.zhihuiya.com/patent-view/abst?patentId=7fbf0a6a-caea-428d-93cd-c3e5ed3b82cd" TargetMode="External"/><Relationship Id="rId3994" Type="http://schemas.openxmlformats.org/officeDocument/2006/relationships/hyperlink" Target="https://analytics.zhihuiya.com/patent-view/abst?patentId=7e46a03c-0866-40cc-871b-3cabfc58ae1b" TargetMode="External"/><Relationship Id="rId2389" Type="http://schemas.openxmlformats.org/officeDocument/2006/relationships/hyperlink" Target="https://analytics.zhihuiya.com/patent-view/abst?patentId=246d2bd2-d981-4f3c-a331-a6ff534762a4" TargetMode="External"/><Relationship Id="rId2596" Type="http://schemas.openxmlformats.org/officeDocument/2006/relationships/hyperlink" Target="https://analytics.zhihuiya.com/patent-view/abst?patentId=96592a9e-81ce-4f17-953d-d93447cdc21b" TargetMode="External"/><Relationship Id="rId3647" Type="http://schemas.openxmlformats.org/officeDocument/2006/relationships/hyperlink" Target="https://analytics.zhihuiya.com/patent-view/abst?patentId=e851216c-ca9f-4a10-8f1b-dc74ba1290aa" TargetMode="External"/><Relationship Id="rId3854" Type="http://schemas.openxmlformats.org/officeDocument/2006/relationships/hyperlink" Target="https://analytics.zhihuiya.com/patent-view/abst?patentId=26bde702-7959-4c1f-86cb-b418a6cf16ef" TargetMode="External"/><Relationship Id="rId568" Type="http://schemas.openxmlformats.org/officeDocument/2006/relationships/hyperlink" Target="https://analytics.zhihuiya.com/patent-view/abst?patentId=cf62aaac-0d25-4848-a575-b8e6a1fea5c5" TargetMode="External"/><Relationship Id="rId775" Type="http://schemas.openxmlformats.org/officeDocument/2006/relationships/hyperlink" Target="https://analytics.zhihuiya.com/patent-view/abst?patentId=73967343-293e-4a92-8784-89d1e9fd9938" TargetMode="External"/><Relationship Id="rId982" Type="http://schemas.openxmlformats.org/officeDocument/2006/relationships/hyperlink" Target="https://analytics.zhihuiya.com/patent-view/abst?patentId=c7dcfb47-6c0f-4eb5-b8f9-242e9f5ab1cf" TargetMode="External"/><Relationship Id="rId1198" Type="http://schemas.openxmlformats.org/officeDocument/2006/relationships/hyperlink" Target="https://analytics.zhihuiya.com/patent-view/abst?patentId=7d7c8578-388a-4f27-ad11-7c82224955ca" TargetMode="External"/><Relationship Id="rId2249" Type="http://schemas.openxmlformats.org/officeDocument/2006/relationships/hyperlink" Target="https://analytics.zhihuiya.com/patent-view/abst?patentId=49cbb30f-3144-4c29-9bfe-5212f230e846" TargetMode="External"/><Relationship Id="rId2456" Type="http://schemas.openxmlformats.org/officeDocument/2006/relationships/hyperlink" Target="https://analytics.zhihuiya.com/patent-view/abst?patentId=47daebc9-abe3-44f0-9f5a-8722a81709df" TargetMode="External"/><Relationship Id="rId2663" Type="http://schemas.openxmlformats.org/officeDocument/2006/relationships/hyperlink" Target="https://analytics.zhihuiya.com/patent-view/abst?patentId=656272f0-41e8-4742-8b87-dda24ec11a09" TargetMode="External"/><Relationship Id="rId2870" Type="http://schemas.openxmlformats.org/officeDocument/2006/relationships/hyperlink" Target="https://analytics.zhihuiya.com/patent-view/abst?patentId=83401f9c-aece-499b-ab54-f860f66f1672" TargetMode="External"/><Relationship Id="rId3507" Type="http://schemas.openxmlformats.org/officeDocument/2006/relationships/hyperlink" Target="https://analytics.zhihuiya.com/patent-view/abst?patentId=a5f874ca-0624-49c4-b19a-af034a5ab043" TargetMode="External"/><Relationship Id="rId3714" Type="http://schemas.openxmlformats.org/officeDocument/2006/relationships/hyperlink" Target="https://analytics.zhihuiya.com/patent-view/abst?patentId=872e0163-a9e2-4523-a18a-d2839f018241" TargetMode="External"/><Relationship Id="rId3921" Type="http://schemas.openxmlformats.org/officeDocument/2006/relationships/hyperlink" Target="https://analytics.zhihuiya.com/patent-view/abst?patentId=6b04c476-a588-4323-8765-e64ebc72af11" TargetMode="External"/><Relationship Id="rId428" Type="http://schemas.openxmlformats.org/officeDocument/2006/relationships/hyperlink" Target="https://analytics.zhihuiya.com/patent-view/abst?patentId=7a083001-2cda-404f-8f0b-0608c96464f2" TargetMode="External"/><Relationship Id="rId635" Type="http://schemas.openxmlformats.org/officeDocument/2006/relationships/hyperlink" Target="https://analytics.zhihuiya.com/patent-view/abst?patentId=c7eeadd1-14c6-492c-a377-c31b08ad2ed4" TargetMode="External"/><Relationship Id="rId842" Type="http://schemas.openxmlformats.org/officeDocument/2006/relationships/hyperlink" Target="https://analytics.zhihuiya.com/patent-view/abst?patentId=3965fb0c-986f-40cc-9598-98bf12e56952" TargetMode="External"/><Relationship Id="rId1058" Type="http://schemas.openxmlformats.org/officeDocument/2006/relationships/hyperlink" Target="https://analytics.zhihuiya.com/patent-view/abst?patentId=43f1150e-aeb3-448b-b1bb-ad6003a4fcc4" TargetMode="External"/><Relationship Id="rId1265" Type="http://schemas.openxmlformats.org/officeDocument/2006/relationships/hyperlink" Target="https://analytics.zhihuiya.com/patent-view/abst?patentId=2dc22320-ae56-490b-8b4c-6dd455e2ca01" TargetMode="External"/><Relationship Id="rId1472" Type="http://schemas.openxmlformats.org/officeDocument/2006/relationships/hyperlink" Target="https://analytics.zhihuiya.com/patent-view/abst?patentId=51d4b900-e57a-4bce-9703-666738b6cace" TargetMode="External"/><Relationship Id="rId2109" Type="http://schemas.openxmlformats.org/officeDocument/2006/relationships/hyperlink" Target="https://analytics.zhihuiya.com/patent-view/abst?patentId=3c8ef986-1818-45b7-b019-36c470e95c52" TargetMode="External"/><Relationship Id="rId2316" Type="http://schemas.openxmlformats.org/officeDocument/2006/relationships/hyperlink" Target="https://analytics.zhihuiya.com/patent-view/abst?patentId=957edeff-103d-4286-bd90-bd4cc1d19119" TargetMode="External"/><Relationship Id="rId2523" Type="http://schemas.openxmlformats.org/officeDocument/2006/relationships/hyperlink" Target="https://analytics.zhihuiya.com/patent-view/abst?patentId=d19755dc-5526-4646-adda-5a605270b1b1" TargetMode="External"/><Relationship Id="rId2730" Type="http://schemas.openxmlformats.org/officeDocument/2006/relationships/hyperlink" Target="https://analytics.zhihuiya.com/patent-view/abst?patentId=07f2c8c4-3a43-41f7-b424-bb3f4f532899" TargetMode="External"/><Relationship Id="rId702" Type="http://schemas.openxmlformats.org/officeDocument/2006/relationships/hyperlink" Target="https://analytics.zhihuiya.com/patent-view/abst?patentId=f8da2adb-b269-4071-81f9-d4c6111bfe43" TargetMode="External"/><Relationship Id="rId1125" Type="http://schemas.openxmlformats.org/officeDocument/2006/relationships/hyperlink" Target="https://analytics.zhihuiya.com/patent-view/abst?patentId=87aa4fae-c897-49c7-b736-9033681b8a0d" TargetMode="External"/><Relationship Id="rId1332" Type="http://schemas.openxmlformats.org/officeDocument/2006/relationships/hyperlink" Target="https://analytics.zhihuiya.com/patent-view/abst?patentId=94b7f5ea-b7e0-4ebf-93a2-b880272b9434" TargetMode="External"/><Relationship Id="rId3297" Type="http://schemas.openxmlformats.org/officeDocument/2006/relationships/hyperlink" Target="https://analytics.zhihuiya.com/patent-view/abst?patentId=068fedbb-9eec-40ec-abdb-79fc24cfc61a" TargetMode="External"/><Relationship Id="rId4348" Type="http://schemas.openxmlformats.org/officeDocument/2006/relationships/hyperlink" Target="https://analytics.zhihuiya.com/patent-view/abst?patentId=327883fd-3e13-4687-a025-074f7f451e9e" TargetMode="External"/><Relationship Id="rId3157" Type="http://schemas.openxmlformats.org/officeDocument/2006/relationships/hyperlink" Target="https://analytics.zhihuiya.com/patent-view/abst?patentId=96b55964-79f7-45ea-a988-d0ed916f0800" TargetMode="External"/><Relationship Id="rId285" Type="http://schemas.openxmlformats.org/officeDocument/2006/relationships/hyperlink" Target="https://analytics.zhihuiya.com/patent-view/abst?patentId=70de3055-d24e-4da3-9905-35095ab61c98" TargetMode="External"/><Relationship Id="rId3364" Type="http://schemas.openxmlformats.org/officeDocument/2006/relationships/hyperlink" Target="https://analytics.zhihuiya.com/patent-view/abst?patentId=d1799634-d5fb-43cb-804a-dff40a408123" TargetMode="External"/><Relationship Id="rId3571" Type="http://schemas.openxmlformats.org/officeDocument/2006/relationships/hyperlink" Target="https://analytics.zhihuiya.com/patent-view/abst?patentId=586712e3-ee34-4813-9f52-f6ede9e5a556" TargetMode="External"/><Relationship Id="rId4208" Type="http://schemas.openxmlformats.org/officeDocument/2006/relationships/hyperlink" Target="https://analytics.zhihuiya.com/patent-view/abst?patentId=6ae0a073-237f-43b0-a32a-e5c3daf0ca6b" TargetMode="External"/><Relationship Id="rId4415" Type="http://schemas.openxmlformats.org/officeDocument/2006/relationships/hyperlink" Target="https://analytics.zhihuiya.com/patent-view/abst?patentId=8df4fc1e-8c27-42e2-9203-f1289e03ff7e" TargetMode="External"/><Relationship Id="rId492" Type="http://schemas.openxmlformats.org/officeDocument/2006/relationships/hyperlink" Target="https://analytics.zhihuiya.com/patent-view/abst?patentId=1f7024e7-5bf6-4f44-abaa-13ebd8ce8e3c" TargetMode="External"/><Relationship Id="rId2173" Type="http://schemas.openxmlformats.org/officeDocument/2006/relationships/hyperlink" Target="https://analytics.zhihuiya.com/patent-view/abst?patentId=d24eff37-6522-4973-9c53-e8ec7bed4f86" TargetMode="External"/><Relationship Id="rId2380" Type="http://schemas.openxmlformats.org/officeDocument/2006/relationships/hyperlink" Target="https://analytics.zhihuiya.com/patent-view/abst?patentId=ae468edd-ade5-44b6-bf25-a14f9a50daa7" TargetMode="External"/><Relationship Id="rId3017" Type="http://schemas.openxmlformats.org/officeDocument/2006/relationships/hyperlink" Target="https://analytics.zhihuiya.com/patent-view/abst?patentId=5ac4a34c-207c-4ab8-ad5d-0241eb0d618b" TargetMode="External"/><Relationship Id="rId3224" Type="http://schemas.openxmlformats.org/officeDocument/2006/relationships/hyperlink" Target="https://analytics.zhihuiya.com/patent-view/abst?patentId=bd3ca6c9-902a-4aa1-93e1-0941dc1c2a5f" TargetMode="External"/><Relationship Id="rId3431" Type="http://schemas.openxmlformats.org/officeDocument/2006/relationships/hyperlink" Target="https://analytics.zhihuiya.com/patent-view/abst?patentId=ba8c7333-e766-4fbc-8179-dea2874991cf" TargetMode="External"/><Relationship Id="rId145" Type="http://schemas.openxmlformats.org/officeDocument/2006/relationships/hyperlink" Target="https://analytics.zhihuiya.com/patent-view/abst?patentId=cf8279bd-4e2b-4d79-9bc1-b4a900dceb96" TargetMode="External"/><Relationship Id="rId352" Type="http://schemas.openxmlformats.org/officeDocument/2006/relationships/hyperlink" Target="https://analytics.zhihuiya.com/patent-view/abst?patentId=1c5a1f37-3197-4264-b36c-eb137b3323a5" TargetMode="External"/><Relationship Id="rId2033" Type="http://schemas.openxmlformats.org/officeDocument/2006/relationships/hyperlink" Target="https://analytics.zhihuiya.com/patent-view/abst?patentId=cbad83c6-300a-4cc9-8967-4a7da35e7cfd" TargetMode="External"/><Relationship Id="rId2240" Type="http://schemas.openxmlformats.org/officeDocument/2006/relationships/hyperlink" Target="https://analytics.zhihuiya.com/patent-view/abst?patentId=7d799f9f-5024-4d9b-a9c0-7f179ce06a6a" TargetMode="External"/><Relationship Id="rId212" Type="http://schemas.openxmlformats.org/officeDocument/2006/relationships/hyperlink" Target="https://analytics.zhihuiya.com/patent-view/abst?patentId=f1c9bdda-bdb3-4cef-8ea5-c476ae478564" TargetMode="External"/><Relationship Id="rId1799" Type="http://schemas.openxmlformats.org/officeDocument/2006/relationships/hyperlink" Target="https://analytics.zhihuiya.com/patent-view/abst?patentId=99167d5b-0ade-47de-b8de-a085acbceb90" TargetMode="External"/><Relationship Id="rId2100" Type="http://schemas.openxmlformats.org/officeDocument/2006/relationships/hyperlink" Target="https://analytics.zhihuiya.com/patent-view/abst?patentId=a2aef415-8dcd-44bb-9899-7165d8d04f0c" TargetMode="External"/><Relationship Id="rId4065" Type="http://schemas.openxmlformats.org/officeDocument/2006/relationships/hyperlink" Target="https://analytics.zhihuiya.com/patent-view/abst?patentId=91c0d4d1-67b2-4992-aa77-98b28730defd" TargetMode="External"/><Relationship Id="rId4272" Type="http://schemas.openxmlformats.org/officeDocument/2006/relationships/hyperlink" Target="https://analytics.zhihuiya.com/patent-view/abst?patentId=68c40a6e-e41e-4253-9dec-566058829f86" TargetMode="External"/><Relationship Id="rId1659" Type="http://schemas.openxmlformats.org/officeDocument/2006/relationships/hyperlink" Target="https://analytics.zhihuiya.com/patent-view/abst?patentId=74bbb627-cb46-464e-97e3-c21842e86c21" TargetMode="External"/><Relationship Id="rId1866" Type="http://schemas.openxmlformats.org/officeDocument/2006/relationships/hyperlink" Target="https://analytics.zhihuiya.com/patent-view/abst?patentId=a724f582-b414-44a0-8a88-567d00d8a202" TargetMode="External"/><Relationship Id="rId2917" Type="http://schemas.openxmlformats.org/officeDocument/2006/relationships/hyperlink" Target="https://analytics.zhihuiya.com/patent-view/abst?patentId=ea30fc25-882d-47a5-9d91-8199ad9be2e1" TargetMode="External"/><Relationship Id="rId3081" Type="http://schemas.openxmlformats.org/officeDocument/2006/relationships/hyperlink" Target="https://analytics.zhihuiya.com/patent-view/abst?patentId=93ed7ac9-71fe-42ad-933b-f6627735202b" TargetMode="External"/><Relationship Id="rId4132" Type="http://schemas.openxmlformats.org/officeDocument/2006/relationships/hyperlink" Target="https://analytics.zhihuiya.com/patent-view/abst?patentId=d4cc967d-1859-4a2f-9930-0773990d24f4" TargetMode="External"/><Relationship Id="rId1519" Type="http://schemas.openxmlformats.org/officeDocument/2006/relationships/hyperlink" Target="https://analytics.zhihuiya.com/patent-view/abst?patentId=5ddcacd6-653e-4f6b-9efb-30fb01cd1378" TargetMode="External"/><Relationship Id="rId1726" Type="http://schemas.openxmlformats.org/officeDocument/2006/relationships/hyperlink" Target="https://analytics.zhihuiya.com/patent-view/abst?patentId=1d21de11-2e6f-4d65-808d-518d82c597cd" TargetMode="External"/><Relationship Id="rId1933" Type="http://schemas.openxmlformats.org/officeDocument/2006/relationships/hyperlink" Target="https://analytics.zhihuiya.com/patent-view/abst?patentId=e4aec6b4-c7b0-44f5-a187-a1510448b921" TargetMode="External"/><Relationship Id="rId18" Type="http://schemas.openxmlformats.org/officeDocument/2006/relationships/hyperlink" Target="https://analytics.zhihuiya.com/patent-view/abst?patentId=3c9d8ca9-2a69-4b86-aef3-44d0c2628090" TargetMode="External"/><Relationship Id="rId3898" Type="http://schemas.openxmlformats.org/officeDocument/2006/relationships/hyperlink" Target="https://analytics.zhihuiya.com/patent-view/abst?patentId=d4c7d6a5-64a4-4ffd-833a-c05ea259952f" TargetMode="External"/><Relationship Id="rId3758" Type="http://schemas.openxmlformats.org/officeDocument/2006/relationships/hyperlink" Target="https://analytics.zhihuiya.com/patent-view/abst?patentId=b07e0171-39d5-4f87-b235-56ad931e50fa" TargetMode="External"/><Relationship Id="rId3965" Type="http://schemas.openxmlformats.org/officeDocument/2006/relationships/hyperlink" Target="https://analytics.zhihuiya.com/patent-view/abst?patentId=f64a20d8-180b-4f21-9f88-df40e05677e5" TargetMode="External"/><Relationship Id="rId679" Type="http://schemas.openxmlformats.org/officeDocument/2006/relationships/hyperlink" Target="https://analytics.zhihuiya.com/patent-view/abst?patentId=b2bf8759-18ad-45ad-ba4b-aeb456442f8e" TargetMode="External"/><Relationship Id="rId886" Type="http://schemas.openxmlformats.org/officeDocument/2006/relationships/hyperlink" Target="https://analytics.zhihuiya.com/patent-view/abst?patentId=efcfc99c-5898-49d1-a358-549a348b1bf1" TargetMode="External"/><Relationship Id="rId2567" Type="http://schemas.openxmlformats.org/officeDocument/2006/relationships/hyperlink" Target="https://analytics.zhihuiya.com/patent-view/abst?patentId=a477203e-2b5e-4125-8ae8-d27f4b029d9b" TargetMode="External"/><Relationship Id="rId2774" Type="http://schemas.openxmlformats.org/officeDocument/2006/relationships/hyperlink" Target="https://analytics.zhihuiya.com/patent-view/abst?patentId=ba64aace-9e8f-4fb0-8b1a-a53cef52b87d" TargetMode="External"/><Relationship Id="rId3618" Type="http://schemas.openxmlformats.org/officeDocument/2006/relationships/hyperlink" Target="https://analytics.zhihuiya.com/patent-view/abst?patentId=6812c63d-7381-4e4c-a84c-52b74cfc5c84" TargetMode="External"/><Relationship Id="rId2" Type="http://schemas.openxmlformats.org/officeDocument/2006/relationships/hyperlink" Target="https://analytics.zhihuiya.com/patent-view/abst?patentId=a72938ff-301a-49a1-8c09-d7db0f321a63" TargetMode="External"/><Relationship Id="rId539" Type="http://schemas.openxmlformats.org/officeDocument/2006/relationships/hyperlink" Target="https://analytics.zhihuiya.com/patent-view/abst?patentId=e1083de2-2b3f-42f3-a2be-6de3d77ea9f9" TargetMode="External"/><Relationship Id="rId746" Type="http://schemas.openxmlformats.org/officeDocument/2006/relationships/hyperlink" Target="https://analytics.zhihuiya.com/patent-view/abst?patentId=0aa166ac-b615-4343-ad3a-8f9835d8a974" TargetMode="External"/><Relationship Id="rId1169" Type="http://schemas.openxmlformats.org/officeDocument/2006/relationships/hyperlink" Target="https://analytics.zhihuiya.com/patent-view/abst?patentId=707a6406-a5e7-48bb-9512-052fc1f16c86" TargetMode="External"/><Relationship Id="rId1376" Type="http://schemas.openxmlformats.org/officeDocument/2006/relationships/hyperlink" Target="https://analytics.zhihuiya.com/patent-view/abst?patentId=a0ee6f27-fbb4-4f35-a345-d3ce1746341b" TargetMode="External"/><Relationship Id="rId1583" Type="http://schemas.openxmlformats.org/officeDocument/2006/relationships/hyperlink" Target="https://analytics.zhihuiya.com/patent-view/abst?patentId=0ff7d147-7893-4aae-b60b-b54be4150de5" TargetMode="External"/><Relationship Id="rId2427" Type="http://schemas.openxmlformats.org/officeDocument/2006/relationships/hyperlink" Target="https://analytics.zhihuiya.com/patent-view/abst?patentId=a801e828-0d10-4670-a0da-7c46f2921d49" TargetMode="External"/><Relationship Id="rId2981" Type="http://schemas.openxmlformats.org/officeDocument/2006/relationships/hyperlink" Target="https://analytics.zhihuiya.com/patent-view/abst?patentId=f9df0ca6-b8a6-4acf-beb3-e7a1d355a459" TargetMode="External"/><Relationship Id="rId3825" Type="http://schemas.openxmlformats.org/officeDocument/2006/relationships/hyperlink" Target="https://analytics.zhihuiya.com/patent-view/abst?patentId=6753e25d-431e-41e8-b3b7-58452918f864" TargetMode="External"/><Relationship Id="rId953" Type="http://schemas.openxmlformats.org/officeDocument/2006/relationships/hyperlink" Target="https://analytics.zhihuiya.com/patent-view/abst?patentId=11ff827d-7dca-45a9-9eb4-1d68c44c655a" TargetMode="External"/><Relationship Id="rId1029" Type="http://schemas.openxmlformats.org/officeDocument/2006/relationships/hyperlink" Target="https://analytics.zhihuiya.com/patent-view/abst?patentId=892fe7db-cf9f-4006-a5f6-5feb4c6e946e" TargetMode="External"/><Relationship Id="rId1236" Type="http://schemas.openxmlformats.org/officeDocument/2006/relationships/hyperlink" Target="https://analytics.zhihuiya.com/patent-view/abst?patentId=0908d466-0e4c-42e7-859e-cf5ca02544ef" TargetMode="External"/><Relationship Id="rId1790" Type="http://schemas.openxmlformats.org/officeDocument/2006/relationships/hyperlink" Target="https://analytics.zhihuiya.com/patent-view/abst?patentId=ee514641-c8f9-4b4a-8a4f-4a48932a91e5" TargetMode="External"/><Relationship Id="rId2634" Type="http://schemas.openxmlformats.org/officeDocument/2006/relationships/hyperlink" Target="https://analytics.zhihuiya.com/patent-view/abst?patentId=688a5afd-2667-487e-8516-a19507569c0a" TargetMode="External"/><Relationship Id="rId2841" Type="http://schemas.openxmlformats.org/officeDocument/2006/relationships/hyperlink" Target="https://analytics.zhihuiya.com/patent-view/abst?patentId=1971baec-c22d-4fcd-8195-7d1c2af3e079" TargetMode="External"/><Relationship Id="rId82" Type="http://schemas.openxmlformats.org/officeDocument/2006/relationships/hyperlink" Target="https://analytics.zhihuiya.com/patent-view/abst?patentId=46988014-5509-46e7-98eb-2c1bcb0e00f0" TargetMode="External"/><Relationship Id="rId606" Type="http://schemas.openxmlformats.org/officeDocument/2006/relationships/hyperlink" Target="https://analytics.zhihuiya.com/patent-view/abst?patentId=c4167a84-9b73-441b-9222-8c7a5999aaf5" TargetMode="External"/><Relationship Id="rId813" Type="http://schemas.openxmlformats.org/officeDocument/2006/relationships/hyperlink" Target="https://analytics.zhihuiya.com/patent-view/abst?patentId=207083ec-9699-46a8-b9f3-1743d1e946bf" TargetMode="External"/><Relationship Id="rId1443" Type="http://schemas.openxmlformats.org/officeDocument/2006/relationships/hyperlink" Target="https://analytics.zhihuiya.com/patent-view/abst?patentId=18f50eac-cea6-4874-8428-b154c1119186" TargetMode="External"/><Relationship Id="rId1650" Type="http://schemas.openxmlformats.org/officeDocument/2006/relationships/hyperlink" Target="https://analytics.zhihuiya.com/patent-view/abst?patentId=12bb9136-c4ad-4360-8c11-35f4e404d1fa" TargetMode="External"/><Relationship Id="rId2701" Type="http://schemas.openxmlformats.org/officeDocument/2006/relationships/hyperlink" Target="https://analytics.zhihuiya.com/patent-view/abst?patentId=3dadf9fd-4c42-4c66-ab32-083d5ebeb2e5" TargetMode="External"/><Relationship Id="rId1303" Type="http://schemas.openxmlformats.org/officeDocument/2006/relationships/hyperlink" Target="https://analytics.zhihuiya.com/patent-view/abst?patentId=3bbddb00-8763-4f9b-8699-7dd0404182d6" TargetMode="External"/><Relationship Id="rId1510" Type="http://schemas.openxmlformats.org/officeDocument/2006/relationships/hyperlink" Target="https://analytics.zhihuiya.com/patent-view/abst?patentId=6b54ac4b-e8e2-41e8-a7fb-faf047b070df" TargetMode="External"/><Relationship Id="rId3268" Type="http://schemas.openxmlformats.org/officeDocument/2006/relationships/hyperlink" Target="https://analytics.zhihuiya.com/patent-view/abst?patentId=5c3b504b-120c-42e0-8255-0c84e27b66df" TargetMode="External"/><Relationship Id="rId3475" Type="http://schemas.openxmlformats.org/officeDocument/2006/relationships/hyperlink" Target="https://analytics.zhihuiya.com/patent-view/abst?patentId=d108a9ce-aab0-4630-a7ac-4941b2769829" TargetMode="External"/><Relationship Id="rId3682" Type="http://schemas.openxmlformats.org/officeDocument/2006/relationships/hyperlink" Target="https://analytics.zhihuiya.com/patent-view/abst?patentId=bbc71f45-3d4f-4a82-b45f-6cfe5dcf7ca3" TargetMode="External"/><Relationship Id="rId4319" Type="http://schemas.openxmlformats.org/officeDocument/2006/relationships/hyperlink" Target="https://analytics.zhihuiya.com/patent-view/abst?patentId=80e07e09-5ef6-4c1a-bad3-01a2c4ffebe3" TargetMode="External"/><Relationship Id="rId189" Type="http://schemas.openxmlformats.org/officeDocument/2006/relationships/hyperlink" Target="https://analytics.zhihuiya.com/patent-view/abst?patentId=3b52d2cb-2994-4df3-ac5e-10e276342048" TargetMode="External"/><Relationship Id="rId396" Type="http://schemas.openxmlformats.org/officeDocument/2006/relationships/hyperlink" Target="https://analytics.zhihuiya.com/patent-view/abst?patentId=cda2f28c-88c8-41a5-8e20-bf04a8bec3ad" TargetMode="External"/><Relationship Id="rId2077" Type="http://schemas.openxmlformats.org/officeDocument/2006/relationships/hyperlink" Target="https://analytics.zhihuiya.com/patent-view/abst?patentId=d27a115e-10ef-42f9-a02f-dabe8a203d4d" TargetMode="External"/><Relationship Id="rId2284" Type="http://schemas.openxmlformats.org/officeDocument/2006/relationships/hyperlink" Target="https://analytics.zhihuiya.com/patent-view/abst?patentId=134872bb-c86d-4c7c-899d-67ffae246242" TargetMode="External"/><Relationship Id="rId2491" Type="http://schemas.openxmlformats.org/officeDocument/2006/relationships/hyperlink" Target="https://analytics.zhihuiya.com/patent-view/abst?patentId=76de90d9-81eb-4fe2-8d1b-ec40f198476a" TargetMode="External"/><Relationship Id="rId3128" Type="http://schemas.openxmlformats.org/officeDocument/2006/relationships/hyperlink" Target="https://analytics.zhihuiya.com/patent-view/abst?patentId=0f05c390-b36e-4966-a452-ea10527ca735" TargetMode="External"/><Relationship Id="rId3335" Type="http://schemas.openxmlformats.org/officeDocument/2006/relationships/hyperlink" Target="https://analytics.zhihuiya.com/patent-view/abst?patentId=e31ee707-3d77-40af-b858-2cb77912ac97" TargetMode="External"/><Relationship Id="rId3542" Type="http://schemas.openxmlformats.org/officeDocument/2006/relationships/hyperlink" Target="https://analytics.zhihuiya.com/patent-view/abst?patentId=a074774e-57a0-4826-8a37-93e16716cdd2" TargetMode="External"/><Relationship Id="rId256" Type="http://schemas.openxmlformats.org/officeDocument/2006/relationships/hyperlink" Target="https://analytics.zhihuiya.com/patent-view/abst?patentId=aecd31cc-bf7b-4299-99d9-f47a73b1a136" TargetMode="External"/><Relationship Id="rId463" Type="http://schemas.openxmlformats.org/officeDocument/2006/relationships/hyperlink" Target="https://analytics.zhihuiya.com/patent-view/abst?patentId=9a28d14f-1b24-4056-9aa1-ea292cb69cd9" TargetMode="External"/><Relationship Id="rId670" Type="http://schemas.openxmlformats.org/officeDocument/2006/relationships/hyperlink" Target="https://analytics.zhihuiya.com/patent-view/abst?patentId=e9517357-989c-4b76-8876-6bd5703ba245" TargetMode="External"/><Relationship Id="rId1093" Type="http://schemas.openxmlformats.org/officeDocument/2006/relationships/hyperlink" Target="https://analytics.zhihuiya.com/patent-view/abst?patentId=ddcc2edb-7985-4251-9192-abad5169cfe0" TargetMode="External"/><Relationship Id="rId2144" Type="http://schemas.openxmlformats.org/officeDocument/2006/relationships/hyperlink" Target="https://analytics.zhihuiya.com/patent-view/abst?patentId=c3cffc9f-da4f-4b6c-8912-6dd036d4bbc1" TargetMode="External"/><Relationship Id="rId2351" Type="http://schemas.openxmlformats.org/officeDocument/2006/relationships/hyperlink" Target="https://analytics.zhihuiya.com/patent-view/abst?patentId=61053907-deb6-4022-b058-ab4d3c067aaf" TargetMode="External"/><Relationship Id="rId3402" Type="http://schemas.openxmlformats.org/officeDocument/2006/relationships/hyperlink" Target="https://analytics.zhihuiya.com/patent-view/abst?patentId=c3d7ffe3-bb03-4391-a287-f04a72f5cc44" TargetMode="External"/><Relationship Id="rId116" Type="http://schemas.openxmlformats.org/officeDocument/2006/relationships/hyperlink" Target="https://analytics.zhihuiya.com/patent-view/abst?patentId=a868d48b-fe3d-4cc3-80aa-9731c3f4b467" TargetMode="External"/><Relationship Id="rId323" Type="http://schemas.openxmlformats.org/officeDocument/2006/relationships/hyperlink" Target="https://analytics.zhihuiya.com/patent-view/abst?patentId=9418147f-54ed-44f4-8b37-dcc2865753b9" TargetMode="External"/><Relationship Id="rId530" Type="http://schemas.openxmlformats.org/officeDocument/2006/relationships/hyperlink" Target="https://analytics.zhihuiya.com/patent-view/abst?patentId=2175bdae-4044-47ab-b8e5-71200618590e" TargetMode="External"/><Relationship Id="rId1160" Type="http://schemas.openxmlformats.org/officeDocument/2006/relationships/hyperlink" Target="https://analytics.zhihuiya.com/patent-view/abst?patentId=47b4de81-42eb-489a-b0c7-33d7f1a33482" TargetMode="External"/><Relationship Id="rId2004" Type="http://schemas.openxmlformats.org/officeDocument/2006/relationships/hyperlink" Target="https://analytics.zhihuiya.com/patent-view/abst?patentId=469135e2-a264-422d-a67a-8637fd0b4c0a" TargetMode="External"/><Relationship Id="rId2211" Type="http://schemas.openxmlformats.org/officeDocument/2006/relationships/hyperlink" Target="https://analytics.zhihuiya.com/patent-view/abst?patentId=2e712ae6-ab04-4eff-b24b-1b72eec29cd3" TargetMode="External"/><Relationship Id="rId4176" Type="http://schemas.openxmlformats.org/officeDocument/2006/relationships/hyperlink" Target="https://analytics.zhihuiya.com/patent-view/abst?patentId=05616cbe-7adb-4f94-a9a1-cebf867b6b30" TargetMode="External"/><Relationship Id="rId1020" Type="http://schemas.openxmlformats.org/officeDocument/2006/relationships/hyperlink" Target="https://analytics.zhihuiya.com/patent-view/abst?patentId=40365759-4ce0-4758-b504-5faa7ee333d1" TargetMode="External"/><Relationship Id="rId1977" Type="http://schemas.openxmlformats.org/officeDocument/2006/relationships/hyperlink" Target="https://analytics.zhihuiya.com/patent-view/abst?patentId=256e77d7-228f-4ec2-86da-43991865a429" TargetMode="External"/><Relationship Id="rId4383" Type="http://schemas.openxmlformats.org/officeDocument/2006/relationships/hyperlink" Target="https://analytics.zhihuiya.com/patent-view/abst?patentId=cce36e4d-2760-405a-ab06-498b42808f66" TargetMode="External"/><Relationship Id="rId1837" Type="http://schemas.openxmlformats.org/officeDocument/2006/relationships/hyperlink" Target="https://analytics.zhihuiya.com/patent-view/abst?patentId=ccdffc6c-928f-4a06-b4a4-ccf8c4711949" TargetMode="External"/><Relationship Id="rId3192" Type="http://schemas.openxmlformats.org/officeDocument/2006/relationships/hyperlink" Target="https://analytics.zhihuiya.com/patent-view/abst?patentId=78414d08-1d58-4409-a04e-d22745b7a730" TargetMode="External"/><Relationship Id="rId4036" Type="http://schemas.openxmlformats.org/officeDocument/2006/relationships/hyperlink" Target="https://analytics.zhihuiya.com/patent-view/abst?patentId=036bdf39-928b-49ed-b7a7-2de13b7f429e" TargetMode="External"/><Relationship Id="rId4243" Type="http://schemas.openxmlformats.org/officeDocument/2006/relationships/hyperlink" Target="https://analytics.zhihuiya.com/patent-view/abst?patentId=2bb95c64-964e-4852-b57f-c5e8bda2df43" TargetMode="External"/><Relationship Id="rId4450" Type="http://schemas.openxmlformats.org/officeDocument/2006/relationships/hyperlink" Target="https://analytics.zhihuiya.com/patent-view/abst?patentId=111d594a-fa77-454c-af4d-cff03c356de1" TargetMode="External"/><Relationship Id="rId3052" Type="http://schemas.openxmlformats.org/officeDocument/2006/relationships/hyperlink" Target="https://analytics.zhihuiya.com/patent-view/abst?patentId=4bc8526d-d029-45a9-8a17-36deeda7f71d" TargetMode="External"/><Relationship Id="rId4103" Type="http://schemas.openxmlformats.org/officeDocument/2006/relationships/hyperlink" Target="https://analytics.zhihuiya.com/patent-view/abst?patentId=d752c35b-fcec-4920-a140-e900cc9372a0" TargetMode="External"/><Relationship Id="rId4310" Type="http://schemas.openxmlformats.org/officeDocument/2006/relationships/hyperlink" Target="https://analytics.zhihuiya.com/patent-view/abst?patentId=4aeddb73-4b4c-4afd-a4fd-8b92697eb534" TargetMode="External"/><Relationship Id="rId180" Type="http://schemas.openxmlformats.org/officeDocument/2006/relationships/hyperlink" Target="https://analytics.zhihuiya.com/patent-view/abst?patentId=ebd7353c-ca38-4964-b721-54cf780dfb5e" TargetMode="External"/><Relationship Id="rId1904" Type="http://schemas.openxmlformats.org/officeDocument/2006/relationships/hyperlink" Target="https://analytics.zhihuiya.com/patent-view/abst?patentId=0c93fd79-aab6-4f5e-8857-6eb3f6ca190a" TargetMode="External"/><Relationship Id="rId3869" Type="http://schemas.openxmlformats.org/officeDocument/2006/relationships/hyperlink" Target="https://analytics.zhihuiya.com/patent-view/abst?patentId=d5847da5-5cbc-4807-818c-c6e57fa957eb" TargetMode="External"/><Relationship Id="rId997" Type="http://schemas.openxmlformats.org/officeDocument/2006/relationships/hyperlink" Target="https://analytics.zhihuiya.com/patent-view/abst?patentId=6f1289e9-7398-4088-b1a3-ff79b3bbaab0" TargetMode="External"/><Relationship Id="rId2678" Type="http://schemas.openxmlformats.org/officeDocument/2006/relationships/hyperlink" Target="https://analytics.zhihuiya.com/patent-view/abst?patentId=76ad45d9-8326-4f36-ad76-06280e581573" TargetMode="External"/><Relationship Id="rId2885" Type="http://schemas.openxmlformats.org/officeDocument/2006/relationships/hyperlink" Target="https://analytics.zhihuiya.com/patent-view/abst?patentId=abefd0fa-046e-4527-b1f2-4d1ff7c1250d" TargetMode="External"/><Relationship Id="rId3729" Type="http://schemas.openxmlformats.org/officeDocument/2006/relationships/hyperlink" Target="https://analytics.zhihuiya.com/patent-view/abst?patentId=f768bb33-6ffe-4e0e-ba23-32d988b67fa9" TargetMode="External"/><Relationship Id="rId3936" Type="http://schemas.openxmlformats.org/officeDocument/2006/relationships/hyperlink" Target="https://analytics.zhihuiya.com/patent-view/abst?patentId=4b0ccc2b-9860-43a2-9a1c-050a32c9ca2a" TargetMode="External"/><Relationship Id="rId857" Type="http://schemas.openxmlformats.org/officeDocument/2006/relationships/hyperlink" Target="https://analytics.zhihuiya.com/patent-view/abst?patentId=9d0af364-8456-4bbb-b8e5-04279669234c" TargetMode="External"/><Relationship Id="rId1487" Type="http://schemas.openxmlformats.org/officeDocument/2006/relationships/hyperlink" Target="https://analytics.zhihuiya.com/patent-view/abst?patentId=d2cd0a8a-33ff-4827-997b-36e610c18c18" TargetMode="External"/><Relationship Id="rId1694" Type="http://schemas.openxmlformats.org/officeDocument/2006/relationships/hyperlink" Target="https://analytics.zhihuiya.com/patent-view/abst?patentId=f5828d8a-dc48-428b-8571-080be3f8fc53" TargetMode="External"/><Relationship Id="rId2538" Type="http://schemas.openxmlformats.org/officeDocument/2006/relationships/hyperlink" Target="https://analytics.zhihuiya.com/patent-view/abst?patentId=ab33d081-2168-405d-9c10-d520e7f9ad9f" TargetMode="External"/><Relationship Id="rId2745" Type="http://schemas.openxmlformats.org/officeDocument/2006/relationships/hyperlink" Target="https://analytics.zhihuiya.com/patent-view/abst?patentId=9c498f9e-3c9b-44d2-a1f3-73c224c6b197" TargetMode="External"/><Relationship Id="rId2952" Type="http://schemas.openxmlformats.org/officeDocument/2006/relationships/hyperlink" Target="https://analytics.zhihuiya.com/patent-view/abst?patentId=626c75a1-720b-4b14-a4c4-49a5acb66dab" TargetMode="External"/><Relationship Id="rId717" Type="http://schemas.openxmlformats.org/officeDocument/2006/relationships/hyperlink" Target="https://analytics.zhihuiya.com/patent-view/abst?patentId=d2281bc8-5022-4b4c-a9e7-31c61c83ca31" TargetMode="External"/><Relationship Id="rId924" Type="http://schemas.openxmlformats.org/officeDocument/2006/relationships/hyperlink" Target="https://analytics.zhihuiya.com/patent-view/abst?patentId=cd154b7a-7075-4040-b882-01d4d3847822" TargetMode="External"/><Relationship Id="rId1347" Type="http://schemas.openxmlformats.org/officeDocument/2006/relationships/hyperlink" Target="https://analytics.zhihuiya.com/patent-view/abst?patentId=21a83aee-ace0-4655-8db9-401e5117bb0e" TargetMode="External"/><Relationship Id="rId1554" Type="http://schemas.openxmlformats.org/officeDocument/2006/relationships/hyperlink" Target="https://analytics.zhihuiya.com/patent-view/abst?patentId=4d8e4866-7273-42df-8fa9-78f2880940c1" TargetMode="External"/><Relationship Id="rId1761" Type="http://schemas.openxmlformats.org/officeDocument/2006/relationships/hyperlink" Target="https://analytics.zhihuiya.com/patent-view/abst?patentId=03c7c78e-829b-40cf-bfdd-fa0952ee4e46" TargetMode="External"/><Relationship Id="rId2605" Type="http://schemas.openxmlformats.org/officeDocument/2006/relationships/hyperlink" Target="https://analytics.zhihuiya.com/patent-view/abst?patentId=986fda7f-a014-41dd-8a61-f53eb6704b8a" TargetMode="External"/><Relationship Id="rId2812" Type="http://schemas.openxmlformats.org/officeDocument/2006/relationships/hyperlink" Target="https://analytics.zhihuiya.com/patent-view/abst?patentId=00a9b48b-9366-4538-9617-3d7bec764cc0" TargetMode="External"/><Relationship Id="rId53" Type="http://schemas.openxmlformats.org/officeDocument/2006/relationships/hyperlink" Target="https://analytics.zhihuiya.com/patent-view/abst?patentId=ebdc7cba-e040-4cdf-8678-00693066a46c" TargetMode="External"/><Relationship Id="rId1207" Type="http://schemas.openxmlformats.org/officeDocument/2006/relationships/hyperlink" Target="https://analytics.zhihuiya.com/patent-view/abst?patentId=c755a7c5-720c-40bb-9db1-3787544df2b3" TargetMode="External"/><Relationship Id="rId1414" Type="http://schemas.openxmlformats.org/officeDocument/2006/relationships/hyperlink" Target="https://analytics.zhihuiya.com/patent-view/abst?patentId=cd2818a6-833a-40e9-9b6d-50f18cb17b81" TargetMode="External"/><Relationship Id="rId1621" Type="http://schemas.openxmlformats.org/officeDocument/2006/relationships/hyperlink" Target="https://analytics.zhihuiya.com/patent-view/abst?patentId=9bf7760f-400f-447a-b578-cf9a2d209ffc" TargetMode="External"/><Relationship Id="rId3379" Type="http://schemas.openxmlformats.org/officeDocument/2006/relationships/hyperlink" Target="https://analytics.zhihuiya.com/patent-view/abst?patentId=0c625912-95f4-47b9-8ab4-2c1f4d1c6752" TargetMode="External"/><Relationship Id="rId3586" Type="http://schemas.openxmlformats.org/officeDocument/2006/relationships/hyperlink" Target="https://analytics.zhihuiya.com/patent-view/abst?patentId=d17ea3ab-5df6-4efe-a310-b1e4f4c16c01" TargetMode="External"/><Relationship Id="rId3793" Type="http://schemas.openxmlformats.org/officeDocument/2006/relationships/hyperlink" Target="https://analytics.zhihuiya.com/patent-view/abst?patentId=c55a6a5e-c53a-4841-8620-5e693e9b6f7f" TargetMode="External"/><Relationship Id="rId2188" Type="http://schemas.openxmlformats.org/officeDocument/2006/relationships/hyperlink" Target="https://analytics.zhihuiya.com/patent-view/abst?patentId=4fb8c067-2bd5-40cd-ab0d-087dbe3e1537" TargetMode="External"/><Relationship Id="rId2395" Type="http://schemas.openxmlformats.org/officeDocument/2006/relationships/hyperlink" Target="https://analytics.zhihuiya.com/patent-view/abst?patentId=b5b9ec3f-ffe0-472a-80a1-03db5ab5348f" TargetMode="External"/><Relationship Id="rId3239" Type="http://schemas.openxmlformats.org/officeDocument/2006/relationships/hyperlink" Target="https://analytics.zhihuiya.com/patent-view/abst?patentId=d284b0b8-ee29-4360-bb00-c21c65c1d7f4" TargetMode="External"/><Relationship Id="rId3446" Type="http://schemas.openxmlformats.org/officeDocument/2006/relationships/hyperlink" Target="https://analytics.zhihuiya.com/patent-view/abst?patentId=7da50fe5-1e87-49e8-bf05-aa1e874cee1f" TargetMode="External"/><Relationship Id="rId367" Type="http://schemas.openxmlformats.org/officeDocument/2006/relationships/hyperlink" Target="https://analytics.zhihuiya.com/patent-view/abst?patentId=354ef5d6-8ead-4dc1-bca2-65ec0cb80b42" TargetMode="External"/><Relationship Id="rId574" Type="http://schemas.openxmlformats.org/officeDocument/2006/relationships/hyperlink" Target="https://analytics.zhihuiya.com/patent-view/abst?patentId=2428f99f-1629-41e9-b41e-9554ca55d032" TargetMode="External"/><Relationship Id="rId2048" Type="http://schemas.openxmlformats.org/officeDocument/2006/relationships/hyperlink" Target="https://analytics.zhihuiya.com/patent-view/abst?patentId=0e9acdf9-b815-477f-a228-244a491db39a" TargetMode="External"/><Relationship Id="rId2255" Type="http://schemas.openxmlformats.org/officeDocument/2006/relationships/hyperlink" Target="https://analytics.zhihuiya.com/patent-view/abst?patentId=596aa849-97f0-4990-9215-876d874e8982" TargetMode="External"/><Relationship Id="rId3653" Type="http://schemas.openxmlformats.org/officeDocument/2006/relationships/hyperlink" Target="https://analytics.zhihuiya.com/patent-view/abst?patentId=699f478b-fa68-462d-af5e-de2c512366de" TargetMode="External"/><Relationship Id="rId3860" Type="http://schemas.openxmlformats.org/officeDocument/2006/relationships/hyperlink" Target="https://analytics.zhihuiya.com/patent-view/abst?patentId=e0d64c72-3c1e-46c9-887f-401cab20f036" TargetMode="External"/><Relationship Id="rId227" Type="http://schemas.openxmlformats.org/officeDocument/2006/relationships/hyperlink" Target="https://analytics.zhihuiya.com/patent-view/abst?patentId=bdaf758c-7e02-4693-9064-2785e7eef99c" TargetMode="External"/><Relationship Id="rId781" Type="http://schemas.openxmlformats.org/officeDocument/2006/relationships/hyperlink" Target="https://analytics.zhihuiya.com/patent-view/abst?patentId=9b4c5576-1d6d-4600-aa56-4a2e8273b92a" TargetMode="External"/><Relationship Id="rId2462" Type="http://schemas.openxmlformats.org/officeDocument/2006/relationships/hyperlink" Target="https://analytics.zhihuiya.com/patent-view/abst?patentId=babb18b1-d19e-4e08-8ce5-42d102134452" TargetMode="External"/><Relationship Id="rId3306" Type="http://schemas.openxmlformats.org/officeDocument/2006/relationships/hyperlink" Target="https://analytics.zhihuiya.com/patent-view/abst?patentId=1a6edb5d-cab3-412b-8ac7-434fc98242aa" TargetMode="External"/><Relationship Id="rId3513" Type="http://schemas.openxmlformats.org/officeDocument/2006/relationships/hyperlink" Target="https://analytics.zhihuiya.com/patent-view/abst?patentId=20301110-9f70-4d40-843d-6e7c817e6bbf" TargetMode="External"/><Relationship Id="rId3720" Type="http://schemas.openxmlformats.org/officeDocument/2006/relationships/hyperlink" Target="https://analytics.zhihuiya.com/patent-view/abst?patentId=9a0a075a-b280-4ea0-9dab-61584d75f37a" TargetMode="External"/><Relationship Id="rId434" Type="http://schemas.openxmlformats.org/officeDocument/2006/relationships/hyperlink" Target="https://analytics.zhihuiya.com/patent-view/abst?patentId=1e0fc575-99ea-4c0f-b643-19725d912cbe" TargetMode="External"/><Relationship Id="rId641" Type="http://schemas.openxmlformats.org/officeDocument/2006/relationships/hyperlink" Target="https://analytics.zhihuiya.com/patent-view/abst?patentId=e2f75618-6f70-4c35-a093-1e9934d588dc" TargetMode="External"/><Relationship Id="rId1064" Type="http://schemas.openxmlformats.org/officeDocument/2006/relationships/hyperlink" Target="https://analytics.zhihuiya.com/patent-view/abst?patentId=10ff89be-5a01-4a3f-a49f-1699f98e4c80" TargetMode="External"/><Relationship Id="rId1271" Type="http://schemas.openxmlformats.org/officeDocument/2006/relationships/hyperlink" Target="https://analytics.zhihuiya.com/patent-view/abst?patentId=035f381c-c6ff-4d84-9ccf-a41cbf904835" TargetMode="External"/><Relationship Id="rId2115" Type="http://schemas.openxmlformats.org/officeDocument/2006/relationships/hyperlink" Target="https://analytics.zhihuiya.com/patent-view/abst?patentId=165926ca-4ec3-4188-84b9-b5389e18aae1" TargetMode="External"/><Relationship Id="rId2322" Type="http://schemas.openxmlformats.org/officeDocument/2006/relationships/hyperlink" Target="https://analytics.zhihuiya.com/patent-view/abst?patentId=c198944c-dedf-4e7d-9bb0-fcdcc321f248" TargetMode="External"/><Relationship Id="rId501" Type="http://schemas.openxmlformats.org/officeDocument/2006/relationships/hyperlink" Target="https://analytics.zhihuiya.com/patent-view/abst?patentId=29b0068c-5c03-4e03-ab77-1dac144759f0" TargetMode="External"/><Relationship Id="rId1131" Type="http://schemas.openxmlformats.org/officeDocument/2006/relationships/hyperlink" Target="https://analytics.zhihuiya.com/patent-view/abst?patentId=479f2c5d-6121-4b28-8a53-2c6310710338" TargetMode="External"/><Relationship Id="rId4287" Type="http://schemas.openxmlformats.org/officeDocument/2006/relationships/hyperlink" Target="https://analytics.zhihuiya.com/patent-view/abst?patentId=b3119863-5941-4dd8-9796-4303bf042017" TargetMode="External"/><Relationship Id="rId3096" Type="http://schemas.openxmlformats.org/officeDocument/2006/relationships/hyperlink" Target="https://analytics.zhihuiya.com/patent-view/abst?patentId=4d6cbeac-4220-4ef5-a41b-1dbd035f898f" TargetMode="External"/><Relationship Id="rId4147" Type="http://schemas.openxmlformats.org/officeDocument/2006/relationships/hyperlink" Target="https://analytics.zhihuiya.com/patent-view/abst?patentId=1c40df76-50b8-4c81-a591-900a1f65e6d3" TargetMode="External"/><Relationship Id="rId4354" Type="http://schemas.openxmlformats.org/officeDocument/2006/relationships/hyperlink" Target="https://analytics.zhihuiya.com/patent-view/abst?patentId=67867380-bf11-443c-bf5b-7df074afcf8b" TargetMode="External"/><Relationship Id="rId1948" Type="http://schemas.openxmlformats.org/officeDocument/2006/relationships/hyperlink" Target="https://analytics.zhihuiya.com/patent-view/abst?patentId=f92c907a-f951-459e-b9bf-11a0f07d0ac7" TargetMode="External"/><Relationship Id="rId3163" Type="http://schemas.openxmlformats.org/officeDocument/2006/relationships/hyperlink" Target="https://analytics.zhihuiya.com/patent-view/abst?patentId=019c1fd3-7d3b-42c2-a481-799310d21b38" TargetMode="External"/><Relationship Id="rId3370" Type="http://schemas.openxmlformats.org/officeDocument/2006/relationships/hyperlink" Target="https://analytics.zhihuiya.com/patent-view/abst?patentId=780d469c-e8e6-4cbd-bdff-1be3fb8bba38" TargetMode="External"/><Relationship Id="rId4007" Type="http://schemas.openxmlformats.org/officeDocument/2006/relationships/hyperlink" Target="https://analytics.zhihuiya.com/patent-view/abst?patentId=81546c37-33ff-4c8c-8637-c62dae3b17c7" TargetMode="External"/><Relationship Id="rId4214" Type="http://schemas.openxmlformats.org/officeDocument/2006/relationships/hyperlink" Target="https://analytics.zhihuiya.com/patent-view/abst?patentId=36127c91-2d05-4136-88b3-14f0656ba744" TargetMode="External"/><Relationship Id="rId4421" Type="http://schemas.openxmlformats.org/officeDocument/2006/relationships/hyperlink" Target="https://analytics.zhihuiya.com/patent-view/abst?patentId=c4be740b-0273-4d91-99de-bb7b130995e8" TargetMode="External"/><Relationship Id="rId291" Type="http://schemas.openxmlformats.org/officeDocument/2006/relationships/hyperlink" Target="https://analytics.zhihuiya.com/patent-view/abst?patentId=7503a95e-f5d9-4022-b501-725dc7affd5a" TargetMode="External"/><Relationship Id="rId1808" Type="http://schemas.openxmlformats.org/officeDocument/2006/relationships/hyperlink" Target="https://analytics.zhihuiya.com/patent-view/abst?patentId=a232774e-7480-428f-83a6-e760ffb4ee61" TargetMode="External"/><Relationship Id="rId3023" Type="http://schemas.openxmlformats.org/officeDocument/2006/relationships/hyperlink" Target="https://analytics.zhihuiya.com/patent-view/abst?patentId=f036d6f6-d768-4943-9b54-1faa015f9e1a" TargetMode="External"/><Relationship Id="rId151" Type="http://schemas.openxmlformats.org/officeDocument/2006/relationships/hyperlink" Target="https://analytics.zhihuiya.com/patent-view/abst?patentId=a02b8dec-27b3-42c9-bad7-ff85f3feb9e7" TargetMode="External"/><Relationship Id="rId3230" Type="http://schemas.openxmlformats.org/officeDocument/2006/relationships/hyperlink" Target="https://analytics.zhihuiya.com/patent-view/abst?patentId=c0848527-7e86-4c67-ab75-d30fe52fd759" TargetMode="External"/><Relationship Id="rId2789" Type="http://schemas.openxmlformats.org/officeDocument/2006/relationships/hyperlink" Target="https://analytics.zhihuiya.com/patent-view/abst?patentId=a936c95b-15bd-4480-996c-4c82c629f4b8" TargetMode="External"/><Relationship Id="rId2996" Type="http://schemas.openxmlformats.org/officeDocument/2006/relationships/hyperlink" Target="https://analytics.zhihuiya.com/patent-view/abst?patentId=5ea2ce66-4af1-4271-9c2b-8bb3de47c2eb" TargetMode="External"/><Relationship Id="rId968" Type="http://schemas.openxmlformats.org/officeDocument/2006/relationships/hyperlink" Target="https://analytics.zhihuiya.com/patent-view/abst?patentId=0c772997-5046-40cf-9ecb-297e42bf6f31" TargetMode="External"/><Relationship Id="rId1598" Type="http://schemas.openxmlformats.org/officeDocument/2006/relationships/hyperlink" Target="https://analytics.zhihuiya.com/patent-view/abst?patentId=a3da01a2-c990-4d22-817e-126025775310" TargetMode="External"/><Relationship Id="rId2649" Type="http://schemas.openxmlformats.org/officeDocument/2006/relationships/hyperlink" Target="https://analytics.zhihuiya.com/patent-view/abst?patentId=aa37e6dc-7e07-4482-883a-86abf4b6d9f3" TargetMode="External"/><Relationship Id="rId2856" Type="http://schemas.openxmlformats.org/officeDocument/2006/relationships/hyperlink" Target="https://analytics.zhihuiya.com/patent-view/abst?patentId=28c2e553-2785-4d50-828a-ad4ba964a9be" TargetMode="External"/><Relationship Id="rId3907" Type="http://schemas.openxmlformats.org/officeDocument/2006/relationships/hyperlink" Target="https://analytics.zhihuiya.com/patent-view/abst?patentId=a24e14e9-9e28-48b3-8c04-4267ab283ad0" TargetMode="External"/><Relationship Id="rId97" Type="http://schemas.openxmlformats.org/officeDocument/2006/relationships/hyperlink" Target="https://analytics.zhihuiya.com/patent-view/abst?patentId=8822a34a-bcdc-4609-8165-8b8c669bcd89" TargetMode="External"/><Relationship Id="rId828" Type="http://schemas.openxmlformats.org/officeDocument/2006/relationships/hyperlink" Target="https://analytics.zhihuiya.com/patent-view/abst?patentId=e694a14d-f029-4ef2-a482-b58c3a5b33f4" TargetMode="External"/><Relationship Id="rId1458" Type="http://schemas.openxmlformats.org/officeDocument/2006/relationships/hyperlink" Target="https://analytics.zhihuiya.com/patent-view/abst?patentId=637d1845-f7fb-4692-9274-95fb7f8ca7a3" TargetMode="External"/><Relationship Id="rId1665" Type="http://schemas.openxmlformats.org/officeDocument/2006/relationships/hyperlink" Target="https://analytics.zhihuiya.com/patent-view/abst?patentId=555cfc06-a711-4b8c-babf-47f3df0cc367" TargetMode="External"/><Relationship Id="rId1872" Type="http://schemas.openxmlformats.org/officeDocument/2006/relationships/hyperlink" Target="https://analytics.zhihuiya.com/patent-view/abst?patentId=d070031d-6528-4309-ac23-2d60e1b413b7" TargetMode="External"/><Relationship Id="rId2509" Type="http://schemas.openxmlformats.org/officeDocument/2006/relationships/hyperlink" Target="https://analytics.zhihuiya.com/patent-view/abst?patentId=70a92426-f28b-46cb-b2be-9e586e5c5253" TargetMode="External"/><Relationship Id="rId2716" Type="http://schemas.openxmlformats.org/officeDocument/2006/relationships/hyperlink" Target="https://analytics.zhihuiya.com/patent-view/abst?patentId=2af06b86-2e23-41a1-9138-6c171f08659c" TargetMode="External"/><Relationship Id="rId4071" Type="http://schemas.openxmlformats.org/officeDocument/2006/relationships/hyperlink" Target="https://analytics.zhihuiya.com/patent-view/abst?patentId=00b39f61-4b33-4cae-b152-25e76f7f897c" TargetMode="External"/><Relationship Id="rId1318" Type="http://schemas.openxmlformats.org/officeDocument/2006/relationships/hyperlink" Target="https://analytics.zhihuiya.com/patent-view/abst?patentId=1152cc8a-82d6-4749-82a3-1d8ba07746e5" TargetMode="External"/><Relationship Id="rId1525" Type="http://schemas.openxmlformats.org/officeDocument/2006/relationships/hyperlink" Target="https://analytics.zhihuiya.com/patent-view/abst?patentId=5f742cbe-faa2-42a5-b28c-2a8639c9fe3b" TargetMode="External"/><Relationship Id="rId2923" Type="http://schemas.openxmlformats.org/officeDocument/2006/relationships/hyperlink" Target="https://analytics.zhihuiya.com/patent-view/abst?patentId=f1b859d1-eb6e-4b2a-9853-557311c347f2" TargetMode="External"/><Relationship Id="rId1732" Type="http://schemas.openxmlformats.org/officeDocument/2006/relationships/hyperlink" Target="https://analytics.zhihuiya.com/patent-view/abst?patentId=93c674e2-a887-47e2-911c-abdf3d26e376" TargetMode="External"/><Relationship Id="rId24" Type="http://schemas.openxmlformats.org/officeDocument/2006/relationships/hyperlink" Target="https://analytics.zhihuiya.com/patent-view/abst?patentId=01f8e47b-de8d-4044-8f7b-bf52058f2ff0" TargetMode="External"/><Relationship Id="rId2299" Type="http://schemas.openxmlformats.org/officeDocument/2006/relationships/hyperlink" Target="https://analytics.zhihuiya.com/patent-view/abst?patentId=9f9238c8-bd8d-4274-98cb-f3e041e220f6" TargetMode="External"/><Relationship Id="rId3697" Type="http://schemas.openxmlformats.org/officeDocument/2006/relationships/hyperlink" Target="https://analytics.zhihuiya.com/patent-view/abst?patentId=bd91fa6d-90be-4c4f-9eee-ff474fa3bcc7" TargetMode="External"/><Relationship Id="rId3557" Type="http://schemas.openxmlformats.org/officeDocument/2006/relationships/hyperlink" Target="https://analytics.zhihuiya.com/patent-view/abst?patentId=d0eaede9-b39d-41a1-ba5c-57dd9834f816" TargetMode="External"/><Relationship Id="rId3764" Type="http://schemas.openxmlformats.org/officeDocument/2006/relationships/hyperlink" Target="https://analytics.zhihuiya.com/patent-view/abst?patentId=0b73530a-5e98-4633-8980-b62c53f45d25" TargetMode="External"/><Relationship Id="rId3971" Type="http://schemas.openxmlformats.org/officeDocument/2006/relationships/hyperlink" Target="https://analytics.zhihuiya.com/patent-view/abst?patentId=31658c4e-66ef-4f96-9a7d-f5e13877d596" TargetMode="External"/><Relationship Id="rId478" Type="http://schemas.openxmlformats.org/officeDocument/2006/relationships/hyperlink" Target="https://analytics.zhihuiya.com/patent-view/abst?patentId=95ec3ff1-1601-4fed-9b50-7ec6d4011f91" TargetMode="External"/><Relationship Id="rId685" Type="http://schemas.openxmlformats.org/officeDocument/2006/relationships/hyperlink" Target="https://analytics.zhihuiya.com/patent-view/abst?patentId=0bfc976f-c804-497d-ac46-1c1d6b25ad2b" TargetMode="External"/><Relationship Id="rId892" Type="http://schemas.openxmlformats.org/officeDocument/2006/relationships/hyperlink" Target="https://analytics.zhihuiya.com/patent-view/abst?patentId=c0d601fe-c9a3-453a-8996-cc614d5ceff6" TargetMode="External"/><Relationship Id="rId2159" Type="http://schemas.openxmlformats.org/officeDocument/2006/relationships/hyperlink" Target="https://analytics.zhihuiya.com/patent-view/abst?patentId=9a3a0b6e-8311-4825-a04d-e008602da25e" TargetMode="External"/><Relationship Id="rId2366" Type="http://schemas.openxmlformats.org/officeDocument/2006/relationships/hyperlink" Target="https://analytics.zhihuiya.com/patent-view/abst?patentId=6f60268a-c9fd-4c9a-aa67-f100027e052c" TargetMode="External"/><Relationship Id="rId2573" Type="http://schemas.openxmlformats.org/officeDocument/2006/relationships/hyperlink" Target="https://analytics.zhihuiya.com/patent-view/abst?patentId=3adee41c-cb48-4ae4-a6d5-1863a0662fd1" TargetMode="External"/><Relationship Id="rId2780" Type="http://schemas.openxmlformats.org/officeDocument/2006/relationships/hyperlink" Target="https://analytics.zhihuiya.com/patent-view/abst?patentId=3c828f87-8e79-4ec7-a49b-c3860e7320b0" TargetMode="External"/><Relationship Id="rId3417" Type="http://schemas.openxmlformats.org/officeDocument/2006/relationships/hyperlink" Target="https://analytics.zhihuiya.com/patent-view/abst?patentId=f2c05623-a903-42e6-961d-527533acf220" TargetMode="External"/><Relationship Id="rId3624" Type="http://schemas.openxmlformats.org/officeDocument/2006/relationships/hyperlink" Target="https://analytics.zhihuiya.com/patent-view/abst?patentId=296404bf-b722-4527-805a-d1632155d37e" TargetMode="External"/><Relationship Id="rId3831" Type="http://schemas.openxmlformats.org/officeDocument/2006/relationships/hyperlink" Target="https://analytics.zhihuiya.com/patent-view/abst?patentId=9921d445-5f37-45a1-8feb-fa5d86726fd1" TargetMode="External"/><Relationship Id="rId338" Type="http://schemas.openxmlformats.org/officeDocument/2006/relationships/hyperlink" Target="https://analytics.zhihuiya.com/patent-view/abst?patentId=f43e107a-36d8-48af-bb6d-38953c9b21c1" TargetMode="External"/><Relationship Id="rId545" Type="http://schemas.openxmlformats.org/officeDocument/2006/relationships/hyperlink" Target="https://analytics.zhihuiya.com/patent-view/abst?patentId=f692d936-e4a4-4a6e-ba72-d95f4a7e7c3c" TargetMode="External"/><Relationship Id="rId752" Type="http://schemas.openxmlformats.org/officeDocument/2006/relationships/hyperlink" Target="https://analytics.zhihuiya.com/patent-view/abst?patentId=b3dc79e8-9786-433f-ba78-abefe3f76bbc" TargetMode="External"/><Relationship Id="rId1175" Type="http://schemas.openxmlformats.org/officeDocument/2006/relationships/hyperlink" Target="https://analytics.zhihuiya.com/patent-view/abst?patentId=ab284d80-ddd9-42e0-b410-1c13b96ba8d1" TargetMode="External"/><Relationship Id="rId1382" Type="http://schemas.openxmlformats.org/officeDocument/2006/relationships/hyperlink" Target="https://analytics.zhihuiya.com/patent-view/abst?patentId=7ac648a8-05d5-4b10-aa45-11ad653065fb" TargetMode="External"/><Relationship Id="rId2019" Type="http://schemas.openxmlformats.org/officeDocument/2006/relationships/hyperlink" Target="https://analytics.zhihuiya.com/patent-view/abst?patentId=70a17b37-ec51-4f41-9a98-9678f4a3711d" TargetMode="External"/><Relationship Id="rId2226" Type="http://schemas.openxmlformats.org/officeDocument/2006/relationships/hyperlink" Target="https://analytics.zhihuiya.com/patent-view/abst?patentId=84ca0bcb-3aab-4960-aa7a-308cae50061f" TargetMode="External"/><Relationship Id="rId2433" Type="http://schemas.openxmlformats.org/officeDocument/2006/relationships/hyperlink" Target="https://analytics.zhihuiya.com/patent-view/abst?patentId=419975ae-251d-476f-9e1c-33541c7c1d45" TargetMode="External"/><Relationship Id="rId2640" Type="http://schemas.openxmlformats.org/officeDocument/2006/relationships/hyperlink" Target="https://analytics.zhihuiya.com/patent-view/abst?patentId=b9c12131-d36a-41cb-9aac-4b3a4e280e58" TargetMode="External"/><Relationship Id="rId405" Type="http://schemas.openxmlformats.org/officeDocument/2006/relationships/hyperlink" Target="https://analytics.zhihuiya.com/patent-view/abst?patentId=d72c873c-7ba7-490e-9377-982a88f9b59f" TargetMode="External"/><Relationship Id="rId612" Type="http://schemas.openxmlformats.org/officeDocument/2006/relationships/hyperlink" Target="https://analytics.zhihuiya.com/patent-view/abst?patentId=9e3b7e0e-a786-40a9-a544-b2eef659d919" TargetMode="External"/><Relationship Id="rId1035" Type="http://schemas.openxmlformats.org/officeDocument/2006/relationships/hyperlink" Target="https://analytics.zhihuiya.com/patent-view/abst?patentId=69524adb-56d2-491e-b28e-0d758d4fae33" TargetMode="External"/><Relationship Id="rId1242" Type="http://schemas.openxmlformats.org/officeDocument/2006/relationships/hyperlink" Target="https://analytics.zhihuiya.com/patent-view/abst?patentId=80a94df3-4183-48a4-8b0a-adae3c7ec6f0" TargetMode="External"/><Relationship Id="rId2500" Type="http://schemas.openxmlformats.org/officeDocument/2006/relationships/hyperlink" Target="https://analytics.zhihuiya.com/patent-view/abst?patentId=b4e2d8d2-5a47-480c-87f9-26b9a895184b" TargetMode="External"/><Relationship Id="rId4398" Type="http://schemas.openxmlformats.org/officeDocument/2006/relationships/hyperlink" Target="https://analytics.zhihuiya.com/patent-view/abst?patentId=b7b8ad86-2f83-4af3-8522-d96628a86bcb" TargetMode="External"/><Relationship Id="rId1102" Type="http://schemas.openxmlformats.org/officeDocument/2006/relationships/hyperlink" Target="https://analytics.zhihuiya.com/patent-view/abst?patentId=69a5441c-7522-4860-a505-c1a0e7680a18" TargetMode="External"/><Relationship Id="rId4258" Type="http://schemas.openxmlformats.org/officeDocument/2006/relationships/hyperlink" Target="https://analytics.zhihuiya.com/patent-view/abst?patentId=5dd0029f-2bc7-4697-8e41-bdc534590dff" TargetMode="External"/><Relationship Id="rId3067" Type="http://schemas.openxmlformats.org/officeDocument/2006/relationships/hyperlink" Target="https://analytics.zhihuiya.com/patent-view/abst?patentId=45286eb5-0d27-4195-be77-54186bc110ee" TargetMode="External"/><Relationship Id="rId3274" Type="http://schemas.openxmlformats.org/officeDocument/2006/relationships/hyperlink" Target="https://analytics.zhihuiya.com/patent-view/abst?patentId=eb039d36-cc3b-44b3-8d4a-bceffcc94526" TargetMode="External"/><Relationship Id="rId4118" Type="http://schemas.openxmlformats.org/officeDocument/2006/relationships/hyperlink" Target="https://analytics.zhihuiya.com/patent-view/abst?patentId=e22d9d2a-7794-485b-9722-1735f577ac38" TargetMode="External"/><Relationship Id="rId195" Type="http://schemas.openxmlformats.org/officeDocument/2006/relationships/hyperlink" Target="https://analytics.zhihuiya.com/patent-view/abst?patentId=b2b26477-caa3-429b-9999-152747ec4f41" TargetMode="External"/><Relationship Id="rId1919" Type="http://schemas.openxmlformats.org/officeDocument/2006/relationships/hyperlink" Target="https://analytics.zhihuiya.com/patent-view/abst?patentId=4b2a54a8-f33e-4d8f-8729-455390699b33" TargetMode="External"/><Relationship Id="rId3481" Type="http://schemas.openxmlformats.org/officeDocument/2006/relationships/hyperlink" Target="https://analytics.zhihuiya.com/patent-view/abst?patentId=9d0b32ac-d91c-4560-8075-c4315fd2a55f" TargetMode="External"/><Relationship Id="rId4325" Type="http://schemas.openxmlformats.org/officeDocument/2006/relationships/hyperlink" Target="https://analytics.zhihuiya.com/patent-view/abst?patentId=e1fa4537-efd8-4265-b879-1d3b92a011e2" TargetMode="External"/><Relationship Id="rId2083" Type="http://schemas.openxmlformats.org/officeDocument/2006/relationships/hyperlink" Target="https://analytics.zhihuiya.com/patent-view/abst?patentId=470ec3bb-6e0d-4cfc-ac92-1440a237bb6d" TargetMode="External"/><Relationship Id="rId2290" Type="http://schemas.openxmlformats.org/officeDocument/2006/relationships/hyperlink" Target="https://analytics.zhihuiya.com/patent-view/abst?patentId=bd030a1c-0949-4479-b899-ccf2d12cca23" TargetMode="External"/><Relationship Id="rId3134" Type="http://schemas.openxmlformats.org/officeDocument/2006/relationships/hyperlink" Target="https://analytics.zhihuiya.com/patent-view/abst?patentId=94a0c17f-7664-4b46-8b39-f80cddbd404d" TargetMode="External"/><Relationship Id="rId3341" Type="http://schemas.openxmlformats.org/officeDocument/2006/relationships/hyperlink" Target="https://analytics.zhihuiya.com/patent-view/abst?patentId=82508f29-cbf0-455f-af04-ce0574d685ab" TargetMode="External"/><Relationship Id="rId262" Type="http://schemas.openxmlformats.org/officeDocument/2006/relationships/hyperlink" Target="https://analytics.zhihuiya.com/patent-view/abst?patentId=50a0585a-8cf7-44dc-bdb2-774b148c422e" TargetMode="External"/><Relationship Id="rId2150" Type="http://schemas.openxmlformats.org/officeDocument/2006/relationships/hyperlink" Target="https://analytics.zhihuiya.com/patent-view/abst?patentId=fe68a489-87f2-4690-9f69-c0bf0d254d99" TargetMode="External"/><Relationship Id="rId3201" Type="http://schemas.openxmlformats.org/officeDocument/2006/relationships/hyperlink" Target="https://analytics.zhihuiya.com/patent-view/abst?patentId=d5a5f4f3-e940-4d3b-aacf-e398e31a0c8e" TargetMode="External"/><Relationship Id="rId122" Type="http://schemas.openxmlformats.org/officeDocument/2006/relationships/hyperlink" Target="https://analytics.zhihuiya.com/patent-view/abst?patentId=7fac3649-e831-4b28-bbfb-c3488cbc1a21" TargetMode="External"/><Relationship Id="rId2010" Type="http://schemas.openxmlformats.org/officeDocument/2006/relationships/hyperlink" Target="https://analytics.zhihuiya.com/patent-view/abst?patentId=3339164b-5d3e-4bbc-91e7-c8a03a3c5c0f" TargetMode="External"/><Relationship Id="rId1569" Type="http://schemas.openxmlformats.org/officeDocument/2006/relationships/hyperlink" Target="https://analytics.zhihuiya.com/patent-view/abst?patentId=76d81ded-f7ad-48ae-82ee-13ab3174d0c1" TargetMode="External"/><Relationship Id="rId2967" Type="http://schemas.openxmlformats.org/officeDocument/2006/relationships/hyperlink" Target="https://analytics.zhihuiya.com/patent-view/abst?patentId=51576773-45b4-446b-9673-638e9d8f1a31" TargetMode="External"/><Relationship Id="rId4182" Type="http://schemas.openxmlformats.org/officeDocument/2006/relationships/hyperlink" Target="https://analytics.zhihuiya.com/patent-view/abst?patentId=2b8471d2-6a57-468d-bdce-0a68523e17f9" TargetMode="External"/><Relationship Id="rId939" Type="http://schemas.openxmlformats.org/officeDocument/2006/relationships/hyperlink" Target="https://analytics.zhihuiya.com/patent-view/abst?patentId=1ccd7b42-df01-4680-acc8-13339f053806" TargetMode="External"/><Relationship Id="rId1776" Type="http://schemas.openxmlformats.org/officeDocument/2006/relationships/hyperlink" Target="https://analytics.zhihuiya.com/patent-view/abst?patentId=e0a0ec60-e944-49be-a011-a70934f7433a" TargetMode="External"/><Relationship Id="rId1983" Type="http://schemas.openxmlformats.org/officeDocument/2006/relationships/hyperlink" Target="https://analytics.zhihuiya.com/patent-view/abst?patentId=6ec5b2db-064c-45fd-8eed-a5cb1bb79402" TargetMode="External"/><Relationship Id="rId2827" Type="http://schemas.openxmlformats.org/officeDocument/2006/relationships/hyperlink" Target="https://analytics.zhihuiya.com/patent-view/abst?patentId=2c7a420b-72af-4288-a2fe-aad7324ccaad" TargetMode="External"/><Relationship Id="rId4042" Type="http://schemas.openxmlformats.org/officeDocument/2006/relationships/hyperlink" Target="https://analytics.zhihuiya.com/patent-view/abst?patentId=30050a5e-4701-4e28-a6e8-5731fda559f6" TargetMode="External"/><Relationship Id="rId68" Type="http://schemas.openxmlformats.org/officeDocument/2006/relationships/hyperlink" Target="https://analytics.zhihuiya.com/patent-view/abst?patentId=8a2f70ed-4147-4c27-806f-378dc17dfaab" TargetMode="External"/><Relationship Id="rId1429" Type="http://schemas.openxmlformats.org/officeDocument/2006/relationships/hyperlink" Target="https://analytics.zhihuiya.com/patent-view/abst?patentId=b46cf362-c9e3-4207-adb4-a4150fbf25f4" TargetMode="External"/><Relationship Id="rId1636" Type="http://schemas.openxmlformats.org/officeDocument/2006/relationships/hyperlink" Target="https://analytics.zhihuiya.com/patent-view/abst?patentId=4bd3053f-ef27-45d7-80d8-fb3f2c0c0920" TargetMode="External"/><Relationship Id="rId1843" Type="http://schemas.openxmlformats.org/officeDocument/2006/relationships/hyperlink" Target="https://analytics.zhihuiya.com/patent-view/abst?patentId=4bc07586-ad83-44ca-9c87-93ac19b29b7e" TargetMode="External"/><Relationship Id="rId1703" Type="http://schemas.openxmlformats.org/officeDocument/2006/relationships/hyperlink" Target="https://analytics.zhihuiya.com/patent-view/abst?patentId=1f0633fe-71e3-45bd-8b17-63508e6de283" TargetMode="External"/><Relationship Id="rId1910" Type="http://schemas.openxmlformats.org/officeDocument/2006/relationships/hyperlink" Target="https://analytics.zhihuiya.com/patent-view/abst?patentId=e16f5b92-7f52-426a-98e7-36589ad200d3" TargetMode="External"/><Relationship Id="rId3668" Type="http://schemas.openxmlformats.org/officeDocument/2006/relationships/hyperlink" Target="https://analytics.zhihuiya.com/patent-view/abst?patentId=6d5d1533-b9ff-4efe-a197-b91c2babcfb8" TargetMode="External"/><Relationship Id="rId3875" Type="http://schemas.openxmlformats.org/officeDocument/2006/relationships/hyperlink" Target="https://analytics.zhihuiya.com/patent-view/abst?patentId=83e0d13d-b90c-4cbe-979b-27bb97b7641d" TargetMode="External"/><Relationship Id="rId589" Type="http://schemas.openxmlformats.org/officeDocument/2006/relationships/hyperlink" Target="https://analytics.zhihuiya.com/patent-view/abst?patentId=d44158cf-6c10-4cc7-b09e-ef60efc13372" TargetMode="External"/><Relationship Id="rId796" Type="http://schemas.openxmlformats.org/officeDocument/2006/relationships/hyperlink" Target="https://analytics.zhihuiya.com/patent-view/abst?patentId=dd4fdbb6-b796-4402-89c1-52bb36e50573" TargetMode="External"/><Relationship Id="rId2477" Type="http://schemas.openxmlformats.org/officeDocument/2006/relationships/hyperlink" Target="https://analytics.zhihuiya.com/patent-view/abst?patentId=d436ba86-bb49-493c-892b-33a54716dd1b" TargetMode="External"/><Relationship Id="rId2684" Type="http://schemas.openxmlformats.org/officeDocument/2006/relationships/hyperlink" Target="https://analytics.zhihuiya.com/patent-view/abst?patentId=9dce363e-dfa6-407b-9ce5-636d2478cf3c" TargetMode="External"/><Relationship Id="rId3528" Type="http://schemas.openxmlformats.org/officeDocument/2006/relationships/hyperlink" Target="https://analytics.zhihuiya.com/patent-view/abst?patentId=ec75bdfb-d02b-47a9-9a05-bd6740a8f16d" TargetMode="External"/><Relationship Id="rId3735" Type="http://schemas.openxmlformats.org/officeDocument/2006/relationships/hyperlink" Target="https://analytics.zhihuiya.com/patent-view/abst?patentId=4ec11df5-4e1b-4395-9389-1daa92e9364d" TargetMode="External"/><Relationship Id="rId449" Type="http://schemas.openxmlformats.org/officeDocument/2006/relationships/hyperlink" Target="https://analytics.zhihuiya.com/patent-view/abst?patentId=462c2851-3ba4-4a90-adfd-b9828fdfd024" TargetMode="External"/><Relationship Id="rId656" Type="http://schemas.openxmlformats.org/officeDocument/2006/relationships/hyperlink" Target="https://analytics.zhihuiya.com/patent-view/abst?patentId=04d50a53-5b35-492d-9e1f-602160c17f9f" TargetMode="External"/><Relationship Id="rId863" Type="http://schemas.openxmlformats.org/officeDocument/2006/relationships/hyperlink" Target="https://analytics.zhihuiya.com/patent-view/abst?patentId=8fd4d369-2b1f-4cbe-b761-02209ba78888" TargetMode="External"/><Relationship Id="rId1079" Type="http://schemas.openxmlformats.org/officeDocument/2006/relationships/hyperlink" Target="https://analytics.zhihuiya.com/patent-view/abst?patentId=6a27134f-8d00-43bf-a3a6-63cb506d0d36" TargetMode="External"/><Relationship Id="rId1286" Type="http://schemas.openxmlformats.org/officeDocument/2006/relationships/hyperlink" Target="https://analytics.zhihuiya.com/patent-view/abst?patentId=e41d4521-a533-e781-1bdb-704cca22ef2b" TargetMode="External"/><Relationship Id="rId1493" Type="http://schemas.openxmlformats.org/officeDocument/2006/relationships/hyperlink" Target="https://analytics.zhihuiya.com/patent-view/abst?patentId=95ca329b-eaa9-4958-b4f3-1685826a9ef3" TargetMode="External"/><Relationship Id="rId2337" Type="http://schemas.openxmlformats.org/officeDocument/2006/relationships/hyperlink" Target="https://analytics.zhihuiya.com/patent-view/abst?patentId=c54e4307-84e4-427d-93a2-a61b3388cc89" TargetMode="External"/><Relationship Id="rId2544" Type="http://schemas.openxmlformats.org/officeDocument/2006/relationships/hyperlink" Target="https://analytics.zhihuiya.com/patent-view/abst?patentId=76d38ac5-784a-46f9-93aa-500d829fd998" TargetMode="External"/><Relationship Id="rId2891" Type="http://schemas.openxmlformats.org/officeDocument/2006/relationships/hyperlink" Target="https://analytics.zhihuiya.com/patent-view/abst?patentId=6d6c9917-7da3-44cf-9677-61b00e8cfd80" TargetMode="External"/><Relationship Id="rId3942" Type="http://schemas.openxmlformats.org/officeDocument/2006/relationships/hyperlink" Target="https://analytics.zhihuiya.com/patent-view/abst?patentId=d9c93fa3-bdac-4c8a-929e-5c06e1d83897" TargetMode="External"/><Relationship Id="rId309" Type="http://schemas.openxmlformats.org/officeDocument/2006/relationships/hyperlink" Target="https://analytics.zhihuiya.com/patent-view/abst?patentId=03bb9391-084c-488e-b65e-fcbde7cfb85a" TargetMode="External"/><Relationship Id="rId516" Type="http://schemas.openxmlformats.org/officeDocument/2006/relationships/hyperlink" Target="https://analytics.zhihuiya.com/patent-view/abst?patentId=4213bf84-7c10-4b3b-94c6-842c70f5f3e9" TargetMode="External"/><Relationship Id="rId1146" Type="http://schemas.openxmlformats.org/officeDocument/2006/relationships/hyperlink" Target="https://analytics.zhihuiya.com/patent-view/abst?patentId=d1c00f19-5da5-4af9-b30d-03ad0544a213" TargetMode="External"/><Relationship Id="rId2751" Type="http://schemas.openxmlformats.org/officeDocument/2006/relationships/hyperlink" Target="https://analytics.zhihuiya.com/patent-view/abst?patentId=57482dbf-2111-45ad-9ae8-6236b406e02c" TargetMode="External"/><Relationship Id="rId3802" Type="http://schemas.openxmlformats.org/officeDocument/2006/relationships/hyperlink" Target="https://analytics.zhihuiya.com/patent-view/abst?patentId=8a7cdb18-4cb6-4d2b-b053-9e4a07ab8e7d" TargetMode="External"/><Relationship Id="rId723" Type="http://schemas.openxmlformats.org/officeDocument/2006/relationships/hyperlink" Target="https://analytics.zhihuiya.com/patent-view/abst?patentId=1cd9ac6f-b153-4642-ac98-6081810b70b5" TargetMode="External"/><Relationship Id="rId930" Type="http://schemas.openxmlformats.org/officeDocument/2006/relationships/hyperlink" Target="https://analytics.zhihuiya.com/patent-view/abst?patentId=cb8972f7-2e34-4a04-9088-7bd40eee69dc" TargetMode="External"/><Relationship Id="rId1006" Type="http://schemas.openxmlformats.org/officeDocument/2006/relationships/hyperlink" Target="https://analytics.zhihuiya.com/patent-view/abst?patentId=4b0e6b15-6308-4ebe-aa74-3e606dc3b393" TargetMode="External"/><Relationship Id="rId1353" Type="http://schemas.openxmlformats.org/officeDocument/2006/relationships/hyperlink" Target="https://analytics.zhihuiya.com/patent-view/abst?patentId=d4496699-6784-4ad4-8e41-695eadc93d7d" TargetMode="External"/><Relationship Id="rId1560" Type="http://schemas.openxmlformats.org/officeDocument/2006/relationships/hyperlink" Target="https://analytics.zhihuiya.com/patent-view/abst?patentId=e8251351-5dc8-4b6a-81a6-221dcf232b51" TargetMode="External"/><Relationship Id="rId2404" Type="http://schemas.openxmlformats.org/officeDocument/2006/relationships/hyperlink" Target="https://analytics.zhihuiya.com/patent-view/abst?patentId=b14d2742-3ffd-4fb0-b13e-f5ab8cb16052" TargetMode="External"/><Relationship Id="rId2611" Type="http://schemas.openxmlformats.org/officeDocument/2006/relationships/hyperlink" Target="https://analytics.zhihuiya.com/patent-view/abst?patentId=39b11ff1-420f-4861-be74-ef2bcfc90ed7" TargetMode="External"/><Relationship Id="rId1213" Type="http://schemas.openxmlformats.org/officeDocument/2006/relationships/hyperlink" Target="https://analytics.zhihuiya.com/patent-view/abst?patentId=24c430a4-30d7-4a0f-8929-3d8f4e83056e" TargetMode="External"/><Relationship Id="rId1420" Type="http://schemas.openxmlformats.org/officeDocument/2006/relationships/hyperlink" Target="https://analytics.zhihuiya.com/patent-view/abst?patentId=12e9e70f-b10d-4e49-9745-80c5acc6b834" TargetMode="External"/><Relationship Id="rId4369" Type="http://schemas.openxmlformats.org/officeDocument/2006/relationships/hyperlink" Target="https://analytics.zhihuiya.com/patent-view/abst?patentId=c5556f7e-1842-4900-a501-5972c6a4eaa2" TargetMode="External"/><Relationship Id="rId3178" Type="http://schemas.openxmlformats.org/officeDocument/2006/relationships/hyperlink" Target="https://analytics.zhihuiya.com/patent-view/abst?patentId=dade4970-68be-427e-832b-de62bf7b5eb9" TargetMode="External"/><Relationship Id="rId3385" Type="http://schemas.openxmlformats.org/officeDocument/2006/relationships/hyperlink" Target="https://analytics.zhihuiya.com/patent-view/abst?patentId=67b6c3c1-2f3a-4a5a-8dca-b1f86b186736" TargetMode="External"/><Relationship Id="rId3592" Type="http://schemas.openxmlformats.org/officeDocument/2006/relationships/hyperlink" Target="https://analytics.zhihuiya.com/patent-view/abst?patentId=9a727e40-cbfd-4ca9-9173-3eef333db975" TargetMode="External"/><Relationship Id="rId4229" Type="http://schemas.openxmlformats.org/officeDocument/2006/relationships/hyperlink" Target="https://analytics.zhihuiya.com/patent-view/abst?patentId=abec1c8a-5740-445e-ab9f-e4e9744cfe7f" TargetMode="External"/><Relationship Id="rId4436" Type="http://schemas.openxmlformats.org/officeDocument/2006/relationships/hyperlink" Target="https://analytics.zhihuiya.com/patent-view/abst?patentId=c86b513f-2e49-4b24-881c-16c142f53ab4" TargetMode="External"/><Relationship Id="rId2194" Type="http://schemas.openxmlformats.org/officeDocument/2006/relationships/hyperlink" Target="https://analytics.zhihuiya.com/patent-view/abst?patentId=c0a30f6d-97bc-4410-bf49-19ff78d4dc12" TargetMode="External"/><Relationship Id="rId3038" Type="http://schemas.openxmlformats.org/officeDocument/2006/relationships/hyperlink" Target="https://analytics.zhihuiya.com/patent-view/abst?patentId=7f3d5a6c-1817-475d-8a98-3604ffc6330a" TargetMode="External"/><Relationship Id="rId3245" Type="http://schemas.openxmlformats.org/officeDocument/2006/relationships/hyperlink" Target="https://analytics.zhihuiya.com/patent-view/abst?patentId=4c322bff-e7a2-42b9-ac03-fcf9b77e3ea6" TargetMode="External"/><Relationship Id="rId3452" Type="http://schemas.openxmlformats.org/officeDocument/2006/relationships/hyperlink" Target="https://analytics.zhihuiya.com/patent-view/abst?patentId=12ba033b-67d7-4271-b337-5f860c95fa02" TargetMode="External"/><Relationship Id="rId166" Type="http://schemas.openxmlformats.org/officeDocument/2006/relationships/hyperlink" Target="https://analytics.zhihuiya.com/patent-view/abst?patentId=3cf3a14d-9647-4fe8-a064-8ecf0f1f1c7c" TargetMode="External"/><Relationship Id="rId373" Type="http://schemas.openxmlformats.org/officeDocument/2006/relationships/hyperlink" Target="https://analytics.zhihuiya.com/patent-view/abst?patentId=6c96e14a-5006-4bde-8be4-009f75026ecb" TargetMode="External"/><Relationship Id="rId580" Type="http://schemas.openxmlformats.org/officeDocument/2006/relationships/hyperlink" Target="https://analytics.zhihuiya.com/patent-view/abst?patentId=b8c1afca-cadf-4c3e-a081-44dd65ad4050" TargetMode="External"/><Relationship Id="rId2054" Type="http://schemas.openxmlformats.org/officeDocument/2006/relationships/hyperlink" Target="https://analytics.zhihuiya.com/patent-view/abst?patentId=06dd4902-0776-4bef-96c4-87ccd7228c9b" TargetMode="External"/><Relationship Id="rId2261" Type="http://schemas.openxmlformats.org/officeDocument/2006/relationships/hyperlink" Target="https://analytics.zhihuiya.com/patent-view/abst?patentId=945ca65f-6b69-4974-9359-15faf3089be5" TargetMode="External"/><Relationship Id="rId3105" Type="http://schemas.openxmlformats.org/officeDocument/2006/relationships/hyperlink" Target="https://analytics.zhihuiya.com/patent-view/abst?patentId=9c24c910-fadf-4492-b75c-a9b6cf04ce92" TargetMode="External"/><Relationship Id="rId3312" Type="http://schemas.openxmlformats.org/officeDocument/2006/relationships/hyperlink" Target="https://analytics.zhihuiya.com/patent-view/abst?patentId=83d98ffd-66c8-46ca-b359-04f9cadc7adf" TargetMode="External"/><Relationship Id="rId233" Type="http://schemas.openxmlformats.org/officeDocument/2006/relationships/hyperlink" Target="https://analytics.zhihuiya.com/patent-view/abst?patentId=9246aa06-38e8-4aa3-93d0-9bd6fba6735c" TargetMode="External"/><Relationship Id="rId440" Type="http://schemas.openxmlformats.org/officeDocument/2006/relationships/hyperlink" Target="https://analytics.zhihuiya.com/patent-view/abst?patentId=f5f0dc25-aae5-42dd-8f7e-1b8672b1c02e" TargetMode="External"/><Relationship Id="rId1070" Type="http://schemas.openxmlformats.org/officeDocument/2006/relationships/hyperlink" Target="https://analytics.zhihuiya.com/patent-view/abst?patentId=5eef8c40-e743-4ea6-8e27-af2b0234f9bc" TargetMode="External"/><Relationship Id="rId2121" Type="http://schemas.openxmlformats.org/officeDocument/2006/relationships/hyperlink" Target="https://analytics.zhihuiya.com/patent-view/abst?patentId=0cf40520-6a56-47fd-962a-a5f0a7f2ac66" TargetMode="External"/><Relationship Id="rId300" Type="http://schemas.openxmlformats.org/officeDocument/2006/relationships/hyperlink" Target="https://analytics.zhihuiya.com/patent-view/abst?patentId=cd7d13f3-a10d-49e6-9ed0-5ef49ae284df" TargetMode="External"/><Relationship Id="rId4086" Type="http://schemas.openxmlformats.org/officeDocument/2006/relationships/hyperlink" Target="https://analytics.zhihuiya.com/patent-view/abst?patentId=cf08f4e5-c02d-4ab7-af40-5d2cb4a56591" TargetMode="External"/><Relationship Id="rId1887" Type="http://schemas.openxmlformats.org/officeDocument/2006/relationships/hyperlink" Target="https://analytics.zhihuiya.com/patent-view/abst?patentId=7271eb0a-17f4-4d00-9422-2d4614dad027" TargetMode="External"/><Relationship Id="rId2938" Type="http://schemas.openxmlformats.org/officeDocument/2006/relationships/hyperlink" Target="https://analytics.zhihuiya.com/patent-view/abst?patentId=9e0a087f-6877-4f2d-bea6-99a68c29cdff" TargetMode="External"/><Relationship Id="rId4293" Type="http://schemas.openxmlformats.org/officeDocument/2006/relationships/hyperlink" Target="https://analytics.zhihuiya.com/patent-view/abst?patentId=7cc7e0b8-58b7-4d34-85b3-446677fddde6" TargetMode="External"/><Relationship Id="rId1747" Type="http://schemas.openxmlformats.org/officeDocument/2006/relationships/hyperlink" Target="https://analytics.zhihuiya.com/patent-view/abst?patentId=8c16d165-4178-422d-bdbf-8dbaeaa267f4" TargetMode="External"/><Relationship Id="rId1954" Type="http://schemas.openxmlformats.org/officeDocument/2006/relationships/hyperlink" Target="https://analytics.zhihuiya.com/patent-view/abst?patentId=4ec623e5-24f0-4794-9713-480a2f5c24ec" TargetMode="External"/><Relationship Id="rId4153" Type="http://schemas.openxmlformats.org/officeDocument/2006/relationships/hyperlink" Target="https://analytics.zhihuiya.com/patent-view/abst?patentId=2b297df6-4f53-4ca5-a7d8-a6aa50856e62" TargetMode="External"/><Relationship Id="rId4360" Type="http://schemas.openxmlformats.org/officeDocument/2006/relationships/hyperlink" Target="https://analytics.zhihuiya.com/patent-view/abst?patentId=1828aaa8-8868-4249-9839-c335cfb6a98c" TargetMode="External"/><Relationship Id="rId39" Type="http://schemas.openxmlformats.org/officeDocument/2006/relationships/hyperlink" Target="https://analytics.zhihuiya.com/patent-view/abst?patentId=8da70f30-5b12-4018-b4c9-40df45dc3d6b" TargetMode="External"/><Relationship Id="rId1607" Type="http://schemas.openxmlformats.org/officeDocument/2006/relationships/hyperlink" Target="https://analytics.zhihuiya.com/patent-view/abst?patentId=2b6bba43-ddfe-48ae-81e4-042c28842530" TargetMode="External"/><Relationship Id="rId1814" Type="http://schemas.openxmlformats.org/officeDocument/2006/relationships/hyperlink" Target="https://analytics.zhihuiya.com/patent-view/abst?patentId=287e229b-7e50-432b-9d90-5f7ad9d14679" TargetMode="External"/><Relationship Id="rId4013" Type="http://schemas.openxmlformats.org/officeDocument/2006/relationships/hyperlink" Target="https://analytics.zhihuiya.com/patent-view/abst?patentId=b8c27278-2bcd-4c50-b8c0-46da70739921" TargetMode="External"/><Relationship Id="rId4220" Type="http://schemas.openxmlformats.org/officeDocument/2006/relationships/hyperlink" Target="https://analytics.zhihuiya.com/patent-view/abst?patentId=089ed7ac-2db1-4f63-b032-8a7a41b015ca" TargetMode="External"/><Relationship Id="rId3779" Type="http://schemas.openxmlformats.org/officeDocument/2006/relationships/hyperlink" Target="https://analytics.zhihuiya.com/patent-view/abst?patentId=6c312de3-1d23-454b-967a-e4590dc6ddd6" TargetMode="External"/><Relationship Id="rId2588" Type="http://schemas.openxmlformats.org/officeDocument/2006/relationships/hyperlink" Target="https://analytics.zhihuiya.com/patent-view/abst?patentId=8dc3ac24-ac0d-4306-8e84-f81d3834ec6b" TargetMode="External"/><Relationship Id="rId3986" Type="http://schemas.openxmlformats.org/officeDocument/2006/relationships/hyperlink" Target="https://analytics.zhihuiya.com/patent-view/abst?patentId=d930b29d-85e6-4529-9fa0-9ac8f4764eef" TargetMode="External"/><Relationship Id="rId1397" Type="http://schemas.openxmlformats.org/officeDocument/2006/relationships/hyperlink" Target="https://analytics.zhihuiya.com/patent-view/abst?patentId=df036442-b0e1-40b6-bda9-16f725a65679" TargetMode="External"/><Relationship Id="rId2795" Type="http://schemas.openxmlformats.org/officeDocument/2006/relationships/hyperlink" Target="https://analytics.zhihuiya.com/patent-view/abst?patentId=ea794ab6-cf4d-471d-b9cd-a572aa560597" TargetMode="External"/><Relationship Id="rId3639" Type="http://schemas.openxmlformats.org/officeDocument/2006/relationships/hyperlink" Target="https://analytics.zhihuiya.com/patent-view/abst?patentId=eea90d5e-f94d-44a4-a0d6-2932b3adb5cd" TargetMode="External"/><Relationship Id="rId3846" Type="http://schemas.openxmlformats.org/officeDocument/2006/relationships/hyperlink" Target="https://analytics.zhihuiya.com/patent-view/abst?patentId=132d4989-fd58-457b-9073-d458db9d6aac" TargetMode="External"/><Relationship Id="rId767" Type="http://schemas.openxmlformats.org/officeDocument/2006/relationships/hyperlink" Target="https://analytics.zhihuiya.com/patent-view/abst?patentId=2d4a0094-a92b-4438-9af3-12a8fa5363c0" TargetMode="External"/><Relationship Id="rId974" Type="http://schemas.openxmlformats.org/officeDocument/2006/relationships/hyperlink" Target="https://analytics.zhihuiya.com/patent-view/abst?patentId=95ce7a5c-128d-47c1-8a5a-4f862837de7f" TargetMode="External"/><Relationship Id="rId2448" Type="http://schemas.openxmlformats.org/officeDocument/2006/relationships/hyperlink" Target="https://analytics.zhihuiya.com/patent-view/abst?patentId=80a40aaf-7322-44ec-8203-ee7be7d6c474" TargetMode="External"/><Relationship Id="rId2655" Type="http://schemas.openxmlformats.org/officeDocument/2006/relationships/hyperlink" Target="https://analytics.zhihuiya.com/patent-view/abst?patentId=15385982-a89a-45ea-b3f0-f9b81bc9b659" TargetMode="External"/><Relationship Id="rId2862" Type="http://schemas.openxmlformats.org/officeDocument/2006/relationships/hyperlink" Target="https://analytics.zhihuiya.com/patent-view/abst?patentId=f1909f4b-ca68-4639-b213-21b30b45124f" TargetMode="External"/><Relationship Id="rId3706" Type="http://schemas.openxmlformats.org/officeDocument/2006/relationships/hyperlink" Target="https://analytics.zhihuiya.com/patent-view/abst?patentId=0f1bd8f9-27a0-49b3-8a8c-af72f724f3a1" TargetMode="External"/><Relationship Id="rId3913" Type="http://schemas.openxmlformats.org/officeDocument/2006/relationships/hyperlink" Target="https://analytics.zhihuiya.com/patent-view/abst?patentId=fc012edb-aa52-4eb3-98aa-42bebed62c00" TargetMode="External"/><Relationship Id="rId627" Type="http://schemas.openxmlformats.org/officeDocument/2006/relationships/hyperlink" Target="https://analytics.zhihuiya.com/patent-view/abst?patentId=20264142-b056-427b-8246-2c33470f4f92" TargetMode="External"/><Relationship Id="rId834" Type="http://schemas.openxmlformats.org/officeDocument/2006/relationships/hyperlink" Target="https://analytics.zhihuiya.com/patent-view/abst?patentId=e41fb80c-307a-49e9-aa29-80882a49a5c9" TargetMode="External"/><Relationship Id="rId1257" Type="http://schemas.openxmlformats.org/officeDocument/2006/relationships/hyperlink" Target="https://analytics.zhihuiya.com/patent-view/abst?patentId=f2df0a33-c7b1-4acd-af49-e11ee706e9ba" TargetMode="External"/><Relationship Id="rId1464" Type="http://schemas.openxmlformats.org/officeDocument/2006/relationships/hyperlink" Target="https://analytics.zhihuiya.com/patent-view/abst?patentId=2b9317c6-5737-4544-bfa5-4749e04b60dd" TargetMode="External"/><Relationship Id="rId1671" Type="http://schemas.openxmlformats.org/officeDocument/2006/relationships/hyperlink" Target="https://analytics.zhihuiya.com/patent-view/abst?patentId=1a218dc3-61f9-409a-b1e7-6a2c9982e728" TargetMode="External"/><Relationship Id="rId2308" Type="http://schemas.openxmlformats.org/officeDocument/2006/relationships/hyperlink" Target="https://analytics.zhihuiya.com/patent-view/abst?patentId=7dfd4a99-aafd-4b9b-afb6-0c43bfb80f14" TargetMode="External"/><Relationship Id="rId2515" Type="http://schemas.openxmlformats.org/officeDocument/2006/relationships/hyperlink" Target="https://analytics.zhihuiya.com/patent-view/abst?patentId=8275da52-86fe-4413-9dce-da42b56a6a69" TargetMode="External"/><Relationship Id="rId2722" Type="http://schemas.openxmlformats.org/officeDocument/2006/relationships/hyperlink" Target="https://analytics.zhihuiya.com/patent-view/abst?patentId=ae26af54-7393-426b-b3a2-fddab9881479" TargetMode="External"/><Relationship Id="rId901" Type="http://schemas.openxmlformats.org/officeDocument/2006/relationships/hyperlink" Target="https://analytics.zhihuiya.com/patent-view/abst?patentId=adda98da-0520-45e7-a4df-a42495ebcf8c" TargetMode="External"/><Relationship Id="rId1117" Type="http://schemas.openxmlformats.org/officeDocument/2006/relationships/hyperlink" Target="https://analytics.zhihuiya.com/patent-view/abst?patentId=36f0f535-75c0-4cc8-9101-70308ba16a4a" TargetMode="External"/><Relationship Id="rId1324" Type="http://schemas.openxmlformats.org/officeDocument/2006/relationships/hyperlink" Target="https://analytics.zhihuiya.com/patent-view/abst?patentId=567db85d-0a49-49d1-b67e-2522cbde5d1b" TargetMode="External"/><Relationship Id="rId1531" Type="http://schemas.openxmlformats.org/officeDocument/2006/relationships/hyperlink" Target="https://analytics.zhihuiya.com/patent-view/abst?patentId=17ee3620-8a22-4e46-bdb7-a246e9df13a8" TargetMode="External"/><Relationship Id="rId30" Type="http://schemas.openxmlformats.org/officeDocument/2006/relationships/hyperlink" Target="https://analytics.zhihuiya.com/patent-view/abst?patentId=408eb1d1-927b-4d53-b6d1-13a4cbcf3744" TargetMode="External"/><Relationship Id="rId3289" Type="http://schemas.openxmlformats.org/officeDocument/2006/relationships/hyperlink" Target="https://analytics.zhihuiya.com/patent-view/abst?patentId=ca79c2e2-1351-494d-938f-afa4b94c2a33" TargetMode="External"/><Relationship Id="rId3496" Type="http://schemas.openxmlformats.org/officeDocument/2006/relationships/hyperlink" Target="https://analytics.zhihuiya.com/patent-view/abst?patentId=f1174057-8fd2-4ebe-89eb-c12d8e5f9fda" TargetMode="External"/><Relationship Id="rId2098" Type="http://schemas.openxmlformats.org/officeDocument/2006/relationships/hyperlink" Target="https://analytics.zhihuiya.com/patent-view/abst?patentId=10cbc811-1da3-4097-a672-d63126d90ed8" TargetMode="External"/><Relationship Id="rId3149" Type="http://schemas.openxmlformats.org/officeDocument/2006/relationships/hyperlink" Target="https://analytics.zhihuiya.com/patent-view/abst?patentId=25242159-a0a3-4667-9de1-1363885d31d3" TargetMode="External"/><Relationship Id="rId3356" Type="http://schemas.openxmlformats.org/officeDocument/2006/relationships/hyperlink" Target="https://analytics.zhihuiya.com/patent-view/abst?patentId=0cba1165-5c51-4e68-bf07-5f3cebd11d22" TargetMode="External"/><Relationship Id="rId3563" Type="http://schemas.openxmlformats.org/officeDocument/2006/relationships/hyperlink" Target="https://analytics.zhihuiya.com/patent-view/abst?patentId=a85e087c-8443-4d74-8d62-8026c2549f8b" TargetMode="External"/><Relationship Id="rId4407" Type="http://schemas.openxmlformats.org/officeDocument/2006/relationships/hyperlink" Target="https://analytics.zhihuiya.com/patent-view/abst?patentId=570e8e4d-62e0-4bca-8494-a5d3828ffd12" TargetMode="External"/><Relationship Id="rId277" Type="http://schemas.openxmlformats.org/officeDocument/2006/relationships/hyperlink" Target="https://analytics.zhihuiya.com/patent-view/abst?patentId=8b22145d-5cf8-419c-a431-a1607898d98d" TargetMode="External"/><Relationship Id="rId484" Type="http://schemas.openxmlformats.org/officeDocument/2006/relationships/hyperlink" Target="https://analytics.zhihuiya.com/patent-view/abst?patentId=cd516fee-d5f0-41a3-beb2-93c3f60f52d7" TargetMode="External"/><Relationship Id="rId2165" Type="http://schemas.openxmlformats.org/officeDocument/2006/relationships/hyperlink" Target="https://analytics.zhihuiya.com/patent-view/abst?patentId=dc2686e3-e781-4d33-b9d4-712043e674ef" TargetMode="External"/><Relationship Id="rId3009" Type="http://schemas.openxmlformats.org/officeDocument/2006/relationships/hyperlink" Target="https://analytics.zhihuiya.com/patent-view/abst?patentId=adc033b6-9c66-4d0d-9d94-69dd5887ac80" TargetMode="External"/><Relationship Id="rId3216" Type="http://schemas.openxmlformats.org/officeDocument/2006/relationships/hyperlink" Target="https://analytics.zhihuiya.com/patent-view/abst?patentId=a2934e41-abb4-47f6-a0a6-477508acf1c8" TargetMode="External"/><Relationship Id="rId3770" Type="http://schemas.openxmlformats.org/officeDocument/2006/relationships/hyperlink" Target="https://analytics.zhihuiya.com/patent-view/abst?patentId=fffed4b3-375d-44b5-8cc7-992a871fd2ec" TargetMode="External"/><Relationship Id="rId137" Type="http://schemas.openxmlformats.org/officeDocument/2006/relationships/hyperlink" Target="https://analytics.zhihuiya.com/patent-view/abst?patentId=ebd50842-ef06-4dd5-8ac9-3f2be26dcd29" TargetMode="External"/><Relationship Id="rId344" Type="http://schemas.openxmlformats.org/officeDocument/2006/relationships/hyperlink" Target="https://analytics.zhihuiya.com/patent-view/abst?patentId=e4b670c0-7afd-4282-95e6-87a65efbcd35" TargetMode="External"/><Relationship Id="rId691" Type="http://schemas.openxmlformats.org/officeDocument/2006/relationships/hyperlink" Target="https://analytics.zhihuiya.com/patent-view/abst?patentId=59980a69-c03c-4e01-a989-7b135e226e9f" TargetMode="External"/><Relationship Id="rId2025" Type="http://schemas.openxmlformats.org/officeDocument/2006/relationships/hyperlink" Target="https://analytics.zhihuiya.com/patent-view/abst?patentId=784d5159-4f7c-4f49-a23e-18fb48654e8e" TargetMode="External"/><Relationship Id="rId2372" Type="http://schemas.openxmlformats.org/officeDocument/2006/relationships/hyperlink" Target="https://analytics.zhihuiya.com/patent-view/abst?patentId=e5a5fabf-f08b-4783-aa5b-dbe54969c5b7" TargetMode="External"/><Relationship Id="rId3423" Type="http://schemas.openxmlformats.org/officeDocument/2006/relationships/hyperlink" Target="https://analytics.zhihuiya.com/patent-view/abst?patentId=e0728601-bb80-4897-8d94-bba7eb2e5394" TargetMode="External"/><Relationship Id="rId3630" Type="http://schemas.openxmlformats.org/officeDocument/2006/relationships/hyperlink" Target="https://analytics.zhihuiya.com/patent-view/abst?patentId=21afce30-ccf7-4352-9cc0-0b66d00280d7" TargetMode="External"/><Relationship Id="rId551" Type="http://schemas.openxmlformats.org/officeDocument/2006/relationships/hyperlink" Target="https://analytics.zhihuiya.com/patent-view/abst?patentId=0d5f2ef9-6bd9-46e8-9450-d2b9559f4814" TargetMode="External"/><Relationship Id="rId1181" Type="http://schemas.openxmlformats.org/officeDocument/2006/relationships/hyperlink" Target="https://analytics.zhihuiya.com/patent-view/abst?patentId=dcaa03d5-b04b-435f-b5e0-0df2111c6022" TargetMode="External"/><Relationship Id="rId2232" Type="http://schemas.openxmlformats.org/officeDocument/2006/relationships/hyperlink" Target="https://analytics.zhihuiya.com/patent-view/abst?patentId=8e5b528f-52b8-4d2d-acd0-374ab6d9f243" TargetMode="External"/><Relationship Id="rId204" Type="http://schemas.openxmlformats.org/officeDocument/2006/relationships/hyperlink" Target="https://analytics.zhihuiya.com/patent-view/abst?patentId=bb6d015f-7157-4eb9-926f-894ada2be959" TargetMode="External"/><Relationship Id="rId411" Type="http://schemas.openxmlformats.org/officeDocument/2006/relationships/hyperlink" Target="https://analytics.zhihuiya.com/patent-view/abst?patentId=7dbb0ea4-a3b2-4b99-bf10-4b6617ddee75" TargetMode="External"/><Relationship Id="rId1041" Type="http://schemas.openxmlformats.org/officeDocument/2006/relationships/hyperlink" Target="https://analytics.zhihuiya.com/patent-view/abst?patentId=77944fa5-d47a-46f1-982a-6d5b2e007bd8" TargetMode="External"/><Relationship Id="rId1998" Type="http://schemas.openxmlformats.org/officeDocument/2006/relationships/hyperlink" Target="https://analytics.zhihuiya.com/patent-view/abst?patentId=b4de58ce-774b-40d1-96c0-cc473b9282cd" TargetMode="External"/><Relationship Id="rId4197" Type="http://schemas.openxmlformats.org/officeDocument/2006/relationships/hyperlink" Target="https://analytics.zhihuiya.com/patent-view/abst?patentId=a91632c6-a9cf-42c8-a946-c3bde1bb06fd" TargetMode="External"/><Relationship Id="rId1858" Type="http://schemas.openxmlformats.org/officeDocument/2006/relationships/hyperlink" Target="https://analytics.zhihuiya.com/patent-view/abst?patentId=70741c23-22b1-4a99-9753-d71d9c1673d8" TargetMode="External"/><Relationship Id="rId4057" Type="http://schemas.openxmlformats.org/officeDocument/2006/relationships/hyperlink" Target="https://analytics.zhihuiya.com/patent-view/abst?patentId=e678fe6c-0338-4c9d-b3f7-2c69081a99cc" TargetMode="External"/><Relationship Id="rId4264" Type="http://schemas.openxmlformats.org/officeDocument/2006/relationships/hyperlink" Target="https://analytics.zhihuiya.com/patent-view/abst?patentId=5b226dc1-b740-4efc-9bbd-39eaa0ebd3e1" TargetMode="External"/><Relationship Id="rId2909" Type="http://schemas.openxmlformats.org/officeDocument/2006/relationships/hyperlink" Target="https://analytics.zhihuiya.com/patent-view/abst?patentId=7ceae09a-a949-478a-9757-b844d2bdd318" TargetMode="External"/><Relationship Id="rId3073" Type="http://schemas.openxmlformats.org/officeDocument/2006/relationships/hyperlink" Target="https://analytics.zhihuiya.com/patent-view/abst?patentId=ec7cebfb-7358-481f-b680-5ded1728ec5f" TargetMode="External"/><Relationship Id="rId3280" Type="http://schemas.openxmlformats.org/officeDocument/2006/relationships/hyperlink" Target="https://analytics.zhihuiya.com/patent-view/abst?patentId=a912e6b7-5454-4b29-ad2f-ab7ec2376a6d" TargetMode="External"/><Relationship Id="rId4124" Type="http://schemas.openxmlformats.org/officeDocument/2006/relationships/hyperlink" Target="https://analytics.zhihuiya.com/patent-view/abst?patentId=b36af58f-7db5-4d61-a9cb-f1ceb18b4fde" TargetMode="External"/><Relationship Id="rId4331" Type="http://schemas.openxmlformats.org/officeDocument/2006/relationships/hyperlink" Target="https://analytics.zhihuiya.com/patent-view/abst?patentId=b998407e-4b36-44f6-ac63-616a21859be7" TargetMode="External"/><Relationship Id="rId1718" Type="http://schemas.openxmlformats.org/officeDocument/2006/relationships/hyperlink" Target="https://analytics.zhihuiya.com/patent-view/abst?patentId=ae8ce8b2-4cdf-4ddd-b520-969a6c60134a" TargetMode="External"/><Relationship Id="rId1925" Type="http://schemas.openxmlformats.org/officeDocument/2006/relationships/hyperlink" Target="https://analytics.zhihuiya.com/patent-view/abst?patentId=0192b08f-5619-4d46-8971-bbf98f517fd2" TargetMode="External"/><Relationship Id="rId3140" Type="http://schemas.openxmlformats.org/officeDocument/2006/relationships/hyperlink" Target="https://analytics.zhihuiya.com/patent-view/abst?patentId=1c06eb19-ca6e-4427-adc6-9abd7bd2860c" TargetMode="External"/><Relationship Id="rId2699" Type="http://schemas.openxmlformats.org/officeDocument/2006/relationships/hyperlink" Target="https://analytics.zhihuiya.com/patent-view/abst?patentId=f2ce0454-2f9c-4eba-92d8-d0c743efe170" TargetMode="External"/><Relationship Id="rId3000" Type="http://schemas.openxmlformats.org/officeDocument/2006/relationships/hyperlink" Target="https://analytics.zhihuiya.com/patent-view/abst?patentId=469b0644-4e34-4d46-9fa8-600b0e6526af" TargetMode="External"/><Relationship Id="rId3957" Type="http://schemas.openxmlformats.org/officeDocument/2006/relationships/hyperlink" Target="https://analytics.zhihuiya.com/patent-view/abst?patentId=72d39134-119c-4616-b5e8-646e44603f7d" TargetMode="External"/><Relationship Id="rId878" Type="http://schemas.openxmlformats.org/officeDocument/2006/relationships/hyperlink" Target="https://analytics.zhihuiya.com/patent-view/abst?patentId=83e2b8d8-ff64-4502-b3dd-df7ac464b979" TargetMode="External"/><Relationship Id="rId2559" Type="http://schemas.openxmlformats.org/officeDocument/2006/relationships/hyperlink" Target="https://analytics.zhihuiya.com/patent-view/abst?patentId=3532bda3-e87f-4c22-b8c8-7cfc6f64a0a0" TargetMode="External"/><Relationship Id="rId2766" Type="http://schemas.openxmlformats.org/officeDocument/2006/relationships/hyperlink" Target="https://analytics.zhihuiya.com/patent-view/abst?patentId=fcb7a586-8c72-4b29-8375-bfa285dd9243" TargetMode="External"/><Relationship Id="rId2973" Type="http://schemas.openxmlformats.org/officeDocument/2006/relationships/hyperlink" Target="https://analytics.zhihuiya.com/patent-view/abst?patentId=3f3989d2-731d-4397-84cb-8f7c7581a588" TargetMode="External"/><Relationship Id="rId3817" Type="http://schemas.openxmlformats.org/officeDocument/2006/relationships/hyperlink" Target="https://analytics.zhihuiya.com/patent-view/abst?patentId=710f9e7d-eb8b-45f7-87be-4aa30f8abfa4" TargetMode="External"/><Relationship Id="rId738" Type="http://schemas.openxmlformats.org/officeDocument/2006/relationships/hyperlink" Target="https://analytics.zhihuiya.com/patent-view/abst?patentId=eca0507d-ce02-42e3-8eb5-a21ccb1f0c25" TargetMode="External"/><Relationship Id="rId945" Type="http://schemas.openxmlformats.org/officeDocument/2006/relationships/hyperlink" Target="https://analytics.zhihuiya.com/patent-view/abst?patentId=68e105c8-e32d-4514-bfe4-96ca80aefcea" TargetMode="External"/><Relationship Id="rId1368" Type="http://schemas.openxmlformats.org/officeDocument/2006/relationships/hyperlink" Target="https://analytics.zhihuiya.com/patent-view/abst?patentId=1145f536-2271-4738-85c8-0febfef12a34" TargetMode="External"/><Relationship Id="rId1575" Type="http://schemas.openxmlformats.org/officeDocument/2006/relationships/hyperlink" Target="https://analytics.zhihuiya.com/patent-view/abst?patentId=f2c931c0-b3b9-408c-b242-e48b429c2951" TargetMode="External"/><Relationship Id="rId1782" Type="http://schemas.openxmlformats.org/officeDocument/2006/relationships/hyperlink" Target="https://analytics.zhihuiya.com/patent-view/abst?patentId=b304203d-1ab3-4818-b737-7b15c38bb816" TargetMode="External"/><Relationship Id="rId2419" Type="http://schemas.openxmlformats.org/officeDocument/2006/relationships/hyperlink" Target="https://analytics.zhihuiya.com/patent-view/abst?patentId=6d896c67-5d4c-4621-96e2-dd4b44f89203" TargetMode="External"/><Relationship Id="rId2626" Type="http://schemas.openxmlformats.org/officeDocument/2006/relationships/hyperlink" Target="https://analytics.zhihuiya.com/patent-view/abst?patentId=6549adc2-a36d-460d-a360-feb1ab0c7f5b" TargetMode="External"/><Relationship Id="rId2833" Type="http://schemas.openxmlformats.org/officeDocument/2006/relationships/hyperlink" Target="https://analytics.zhihuiya.com/patent-view/abst?patentId=3954f8b5-17f5-4d2a-a5b3-4db8530d0e89" TargetMode="External"/><Relationship Id="rId74" Type="http://schemas.openxmlformats.org/officeDocument/2006/relationships/hyperlink" Target="https://analytics.zhihuiya.com/patent-view/abst?patentId=32052d6b-15cf-455d-8436-05a6633521a0" TargetMode="External"/><Relationship Id="rId805" Type="http://schemas.openxmlformats.org/officeDocument/2006/relationships/hyperlink" Target="https://analytics.zhihuiya.com/patent-view/abst?patentId=8487f8e2-90b9-4c06-92d6-011fb8e9164a" TargetMode="External"/><Relationship Id="rId1228" Type="http://schemas.openxmlformats.org/officeDocument/2006/relationships/hyperlink" Target="https://analytics.zhihuiya.com/patent-view/abst?patentId=f0905061-1319-4d57-b595-665df6fe83d1" TargetMode="External"/><Relationship Id="rId1435" Type="http://schemas.openxmlformats.org/officeDocument/2006/relationships/hyperlink" Target="https://analytics.zhihuiya.com/patent-view/abst?patentId=c3898c80-c930-45e9-a6ab-5a788c59bd9f" TargetMode="External"/><Relationship Id="rId1642" Type="http://schemas.openxmlformats.org/officeDocument/2006/relationships/hyperlink" Target="https://analytics.zhihuiya.com/patent-view/abst?patentId=00171b86-e06a-4631-8597-b187cbdb7ed1" TargetMode="External"/><Relationship Id="rId2900" Type="http://schemas.openxmlformats.org/officeDocument/2006/relationships/hyperlink" Target="https://analytics.zhihuiya.com/patent-view/abst?patentId=a2372329-a82d-45bb-9fb8-fed6342cec52" TargetMode="External"/><Relationship Id="rId1502" Type="http://schemas.openxmlformats.org/officeDocument/2006/relationships/hyperlink" Target="https://analytics.zhihuiya.com/patent-view/abst?patentId=07c4b7d0-999c-4d67-aa35-229136d0f1eb" TargetMode="External"/><Relationship Id="rId388" Type="http://schemas.openxmlformats.org/officeDocument/2006/relationships/hyperlink" Target="https://analytics.zhihuiya.com/patent-view/abst?patentId=bc5a4d99-79be-4a09-b2c4-25100edb4f01" TargetMode="External"/><Relationship Id="rId2069" Type="http://schemas.openxmlformats.org/officeDocument/2006/relationships/hyperlink" Target="https://analytics.zhihuiya.com/patent-view/abst?patentId=05bc3e9a-bb8c-4665-8828-964f67d32601" TargetMode="External"/><Relationship Id="rId3467" Type="http://schemas.openxmlformats.org/officeDocument/2006/relationships/hyperlink" Target="https://analytics.zhihuiya.com/patent-view/abst?patentId=b49b5b81-bd0d-4e12-aeeb-c02e1bfe3ca2" TargetMode="External"/><Relationship Id="rId3674" Type="http://schemas.openxmlformats.org/officeDocument/2006/relationships/hyperlink" Target="https://analytics.zhihuiya.com/patent-view/abst?patentId=edba3de8-0c9d-4d33-be29-2abff07b028f" TargetMode="External"/><Relationship Id="rId3881" Type="http://schemas.openxmlformats.org/officeDocument/2006/relationships/hyperlink" Target="https://analytics.zhihuiya.com/patent-view/abst?patentId=52d134d5-9e9d-4f8c-8d69-98c06b320e7e" TargetMode="External"/><Relationship Id="rId595" Type="http://schemas.openxmlformats.org/officeDocument/2006/relationships/hyperlink" Target="https://analytics.zhihuiya.com/patent-view/abst?patentId=bdbb06ee-8082-42f6-9a84-27948b85c8c5" TargetMode="External"/><Relationship Id="rId2276" Type="http://schemas.openxmlformats.org/officeDocument/2006/relationships/hyperlink" Target="https://analytics.zhihuiya.com/patent-view/abst?patentId=cf3a8582-e93c-4e05-9fbe-fd3ae9a5bfbf" TargetMode="External"/><Relationship Id="rId2483" Type="http://schemas.openxmlformats.org/officeDocument/2006/relationships/hyperlink" Target="https://analytics.zhihuiya.com/patent-view/abst?patentId=2d9a513b-20e2-4609-8ff3-61f28bedb57d" TargetMode="External"/><Relationship Id="rId2690" Type="http://schemas.openxmlformats.org/officeDocument/2006/relationships/hyperlink" Target="https://analytics.zhihuiya.com/patent-view/abst?patentId=4099bfa5-7095-4e12-8eeb-76b07d1df836" TargetMode="External"/><Relationship Id="rId3327" Type="http://schemas.openxmlformats.org/officeDocument/2006/relationships/hyperlink" Target="https://analytics.zhihuiya.com/patent-view/abst?patentId=84742433-2480-4fdd-9265-5580c691534d" TargetMode="External"/><Relationship Id="rId3534" Type="http://schemas.openxmlformats.org/officeDocument/2006/relationships/hyperlink" Target="https://analytics.zhihuiya.com/patent-view/abst?patentId=f165bfc3-368a-4855-9ee3-69331f284981" TargetMode="External"/><Relationship Id="rId3741" Type="http://schemas.openxmlformats.org/officeDocument/2006/relationships/hyperlink" Target="https://analytics.zhihuiya.com/patent-view/abst?patentId=5d95516e-4e83-489f-8fa8-62c156f6b76e" TargetMode="External"/><Relationship Id="rId248" Type="http://schemas.openxmlformats.org/officeDocument/2006/relationships/hyperlink" Target="https://analytics.zhihuiya.com/patent-view/abst?patentId=230fc366-5473-417b-a802-4c954367f3e3" TargetMode="External"/><Relationship Id="rId455" Type="http://schemas.openxmlformats.org/officeDocument/2006/relationships/hyperlink" Target="https://analytics.zhihuiya.com/patent-view/abst?patentId=6cdda4c0-f6d5-49e7-a60a-9d37cbf63680" TargetMode="External"/><Relationship Id="rId662" Type="http://schemas.openxmlformats.org/officeDocument/2006/relationships/hyperlink" Target="https://analytics.zhihuiya.com/patent-view/abst?patentId=44f8f496-45e1-4f8c-af30-6bc5e1c8374d" TargetMode="External"/><Relationship Id="rId1085" Type="http://schemas.openxmlformats.org/officeDocument/2006/relationships/hyperlink" Target="https://analytics.zhihuiya.com/patent-view/abst?patentId=186da1da-c775-4a5a-bbad-4faf2ac1b118" TargetMode="External"/><Relationship Id="rId1292" Type="http://schemas.openxmlformats.org/officeDocument/2006/relationships/hyperlink" Target="https://analytics.zhihuiya.com/patent-view/abst?patentId=f7b1bd47-c6bf-4ac8-bce6-e367cc66c81f" TargetMode="External"/><Relationship Id="rId2136" Type="http://schemas.openxmlformats.org/officeDocument/2006/relationships/hyperlink" Target="https://analytics.zhihuiya.com/patent-view/abst?patentId=248bcd5f-b1a5-4cfe-be69-5302c1c0965a" TargetMode="External"/><Relationship Id="rId2343" Type="http://schemas.openxmlformats.org/officeDocument/2006/relationships/hyperlink" Target="https://analytics.zhihuiya.com/patent-view/abst?patentId=19d6eccf-4ea0-4d36-9e0b-9c82bd76d4da" TargetMode="External"/><Relationship Id="rId2550" Type="http://schemas.openxmlformats.org/officeDocument/2006/relationships/hyperlink" Target="https://analytics.zhihuiya.com/patent-view/abst?patentId=f11aa62c-a71f-4b8c-9378-a19e36c8da28" TargetMode="External"/><Relationship Id="rId3601" Type="http://schemas.openxmlformats.org/officeDocument/2006/relationships/hyperlink" Target="https://analytics.zhihuiya.com/patent-view/abst?patentId=281a10f8-e50d-48f8-bfcf-3cda532bc0e0" TargetMode="External"/><Relationship Id="rId108" Type="http://schemas.openxmlformats.org/officeDocument/2006/relationships/hyperlink" Target="https://analytics.zhihuiya.com/patent-view/abst?patentId=7bb87abc-7633-4c55-bd4d-ea4a0baf0dba" TargetMode="External"/><Relationship Id="rId315" Type="http://schemas.openxmlformats.org/officeDocument/2006/relationships/hyperlink" Target="https://analytics.zhihuiya.com/patent-view/abst?patentId=dae657b2-66bf-4f1b-9dcd-82c742b74261" TargetMode="External"/><Relationship Id="rId522" Type="http://schemas.openxmlformats.org/officeDocument/2006/relationships/hyperlink" Target="https://analytics.zhihuiya.com/patent-view/abst?patentId=29aac974-89ed-4733-b5ff-2825c8c72b23" TargetMode="External"/><Relationship Id="rId1152" Type="http://schemas.openxmlformats.org/officeDocument/2006/relationships/hyperlink" Target="https://analytics.zhihuiya.com/patent-view/abst?patentId=36fe71a1-bfd0-4d58-aa56-145dbccbd951" TargetMode="External"/><Relationship Id="rId2203" Type="http://schemas.openxmlformats.org/officeDocument/2006/relationships/hyperlink" Target="https://analytics.zhihuiya.com/patent-view/abst?patentId=3914b45e-ac72-4541-a11e-e7e0333adabf" TargetMode="External"/><Relationship Id="rId2410" Type="http://schemas.openxmlformats.org/officeDocument/2006/relationships/hyperlink" Target="https://analytics.zhihuiya.com/patent-view/abst?patentId=8a09bd22-6a91-484e-a54f-edf721a33c27" TargetMode="External"/><Relationship Id="rId1012" Type="http://schemas.openxmlformats.org/officeDocument/2006/relationships/hyperlink" Target="https://analytics.zhihuiya.com/patent-view/abst?patentId=67211a0a-3b7e-4a27-b311-803eb2b45be3" TargetMode="External"/><Relationship Id="rId4168" Type="http://schemas.openxmlformats.org/officeDocument/2006/relationships/hyperlink" Target="https://analytics.zhihuiya.com/patent-view/abst?patentId=05ba0ba0-f702-47da-8384-770775835751" TargetMode="External"/><Relationship Id="rId4375" Type="http://schemas.openxmlformats.org/officeDocument/2006/relationships/hyperlink" Target="https://analytics.zhihuiya.com/patent-view/abst?patentId=d4a26668-a0a9-4dc3-b528-3e36b9c7d550" TargetMode="External"/><Relationship Id="rId1969" Type="http://schemas.openxmlformats.org/officeDocument/2006/relationships/hyperlink" Target="https://analytics.zhihuiya.com/patent-view/abst?patentId=9839a10e-4faa-4e67-af9e-9504bceea5cf" TargetMode="External"/><Relationship Id="rId3184" Type="http://schemas.openxmlformats.org/officeDocument/2006/relationships/hyperlink" Target="https://analytics.zhihuiya.com/patent-view/abst?patentId=94a0c7aa-343d-494b-a843-f86ec3228c6a" TargetMode="External"/><Relationship Id="rId4028" Type="http://schemas.openxmlformats.org/officeDocument/2006/relationships/hyperlink" Target="https://analytics.zhihuiya.com/patent-view/abst?patentId=4464053f-2677-403e-b8d9-4ffbb8069a9d" TargetMode="External"/><Relationship Id="rId4235" Type="http://schemas.openxmlformats.org/officeDocument/2006/relationships/hyperlink" Target="https://analytics.zhihuiya.com/patent-view/abst?patentId=55941c73-5196-42c1-b9a5-3118fe2d18c1" TargetMode="External"/><Relationship Id="rId1829" Type="http://schemas.openxmlformats.org/officeDocument/2006/relationships/hyperlink" Target="https://analytics.zhihuiya.com/patent-view/abst?patentId=2cc5da6d-a7f1-4fc9-9e3a-b275418e873f" TargetMode="External"/><Relationship Id="rId3391" Type="http://schemas.openxmlformats.org/officeDocument/2006/relationships/hyperlink" Target="https://analytics.zhihuiya.com/patent-view/abst?patentId=e1bc7785-11af-405a-bde3-448b684733a6" TargetMode="External"/><Relationship Id="rId4442" Type="http://schemas.openxmlformats.org/officeDocument/2006/relationships/hyperlink" Target="https://analytics.zhihuiya.com/patent-view/abst?patentId=15e060c8-5857-45c9-98c5-3f18faf8bee8" TargetMode="External"/><Relationship Id="rId3044" Type="http://schemas.openxmlformats.org/officeDocument/2006/relationships/hyperlink" Target="https://analytics.zhihuiya.com/patent-view/abst?patentId=545c3b8d-f96d-4ed2-8a9e-06e3b0b5d643" TargetMode="External"/><Relationship Id="rId3251" Type="http://schemas.openxmlformats.org/officeDocument/2006/relationships/hyperlink" Target="https://analytics.zhihuiya.com/patent-view/abst?patentId=31b70f6c-e0ee-40a4-8064-38a727661820" TargetMode="External"/><Relationship Id="rId4302" Type="http://schemas.openxmlformats.org/officeDocument/2006/relationships/hyperlink" Target="https://analytics.zhihuiya.com/patent-view/abst?patentId=25d3d099-f9f7-4b8b-b0b0-45b5c8cd975c" TargetMode="External"/><Relationship Id="rId172" Type="http://schemas.openxmlformats.org/officeDocument/2006/relationships/hyperlink" Target="https://analytics.zhihuiya.com/patent-view/abst?patentId=a2f5eb20-efae-4a7e-bf2f-92e19cb508a4" TargetMode="External"/><Relationship Id="rId2060" Type="http://schemas.openxmlformats.org/officeDocument/2006/relationships/hyperlink" Target="https://analytics.zhihuiya.com/patent-view/abst?patentId=2f3399cc-3f46-414a-be47-efa9ebf87ace" TargetMode="External"/><Relationship Id="rId3111" Type="http://schemas.openxmlformats.org/officeDocument/2006/relationships/hyperlink" Target="https://analytics.zhihuiya.com/patent-view/abst?patentId=12313817-6558-49a0-8b2b-12b5715991f4" TargetMode="External"/><Relationship Id="rId989" Type="http://schemas.openxmlformats.org/officeDocument/2006/relationships/hyperlink" Target="https://analytics.zhihuiya.com/patent-view/abst?patentId=9e878c5f-ac24-499e-a385-84937f763a6e" TargetMode="External"/><Relationship Id="rId2877" Type="http://schemas.openxmlformats.org/officeDocument/2006/relationships/hyperlink" Target="https://analytics.zhihuiya.com/patent-view/abst?patentId=24c1b5f0-3a30-4e83-b429-6079a666cec9" TargetMode="External"/><Relationship Id="rId849" Type="http://schemas.openxmlformats.org/officeDocument/2006/relationships/hyperlink" Target="https://analytics.zhihuiya.com/patent-view/abst?patentId=35b86034-fc41-45c4-9ecc-988d4d2eb8ad" TargetMode="External"/><Relationship Id="rId1479" Type="http://schemas.openxmlformats.org/officeDocument/2006/relationships/hyperlink" Target="https://analytics.zhihuiya.com/patent-view/abst?patentId=7c285c3d-4606-48c6-96c1-8370d25666d5" TargetMode="External"/><Relationship Id="rId1686" Type="http://schemas.openxmlformats.org/officeDocument/2006/relationships/hyperlink" Target="https://analytics.zhihuiya.com/patent-view/abst?patentId=4667f128-1eac-4bbf-b57a-a796266ddbd3" TargetMode="External"/><Relationship Id="rId3928" Type="http://schemas.openxmlformats.org/officeDocument/2006/relationships/hyperlink" Target="https://analytics.zhihuiya.com/patent-view/abst?patentId=d28e5322-f0e8-4d6b-9cd5-2edfa424cedc" TargetMode="External"/><Relationship Id="rId4092" Type="http://schemas.openxmlformats.org/officeDocument/2006/relationships/hyperlink" Target="https://analytics.zhihuiya.com/patent-view/abst?patentId=e1778161-e348-4dbc-80bc-ff48f098d5f5" TargetMode="External"/><Relationship Id="rId1339" Type="http://schemas.openxmlformats.org/officeDocument/2006/relationships/hyperlink" Target="https://analytics.zhihuiya.com/patent-view/abst?patentId=30aa5b38-0fd3-42e3-884c-7c9cd15b22d4" TargetMode="External"/><Relationship Id="rId1893" Type="http://schemas.openxmlformats.org/officeDocument/2006/relationships/hyperlink" Target="https://analytics.zhihuiya.com/patent-view/abst?patentId=7c2417c2-511b-4255-86ba-c5e07758cabd" TargetMode="External"/><Relationship Id="rId2737" Type="http://schemas.openxmlformats.org/officeDocument/2006/relationships/hyperlink" Target="https://analytics.zhihuiya.com/patent-view/abst?patentId=2f9a16ce-3325-4987-887a-cfe202e4675d" TargetMode="External"/><Relationship Id="rId2944" Type="http://schemas.openxmlformats.org/officeDocument/2006/relationships/hyperlink" Target="https://analytics.zhihuiya.com/patent-view/abst?patentId=f128cf8a-85c2-44d4-9ded-b8a24a1370b1" TargetMode="External"/><Relationship Id="rId709" Type="http://schemas.openxmlformats.org/officeDocument/2006/relationships/hyperlink" Target="https://analytics.zhihuiya.com/patent-view/abst?patentId=09a83d7f-5e56-4343-9ab0-d99ea8b06f28" TargetMode="External"/><Relationship Id="rId916" Type="http://schemas.openxmlformats.org/officeDocument/2006/relationships/hyperlink" Target="https://analytics.zhihuiya.com/patent-view/abst?patentId=6f86f9fb-71c7-489a-a9c2-af987e4cb389" TargetMode="External"/><Relationship Id="rId1546" Type="http://schemas.openxmlformats.org/officeDocument/2006/relationships/hyperlink" Target="https://analytics.zhihuiya.com/patent-view/abst?patentId=6e576869-939b-4544-b237-9311e72b14a1" TargetMode="External"/><Relationship Id="rId1753" Type="http://schemas.openxmlformats.org/officeDocument/2006/relationships/hyperlink" Target="https://analytics.zhihuiya.com/patent-view/abst?patentId=aa7a98c6-cdd8-4ff9-a0d8-41726e75ece9" TargetMode="External"/><Relationship Id="rId1960" Type="http://schemas.openxmlformats.org/officeDocument/2006/relationships/hyperlink" Target="https://analytics.zhihuiya.com/patent-view/abst?patentId=ee466475-8542-45b8-993d-c2cb53a6eb5e" TargetMode="External"/><Relationship Id="rId2804" Type="http://schemas.openxmlformats.org/officeDocument/2006/relationships/hyperlink" Target="https://analytics.zhihuiya.com/patent-view/abst?patentId=7aa9eeec-688a-40a8-ac96-c22aa66c1654" TargetMode="External"/><Relationship Id="rId45" Type="http://schemas.openxmlformats.org/officeDocument/2006/relationships/hyperlink" Target="https://analytics.zhihuiya.com/patent-view/abst?patentId=12460db6-722f-4a8b-8ca6-f3ae719cf761" TargetMode="External"/><Relationship Id="rId1406" Type="http://schemas.openxmlformats.org/officeDocument/2006/relationships/hyperlink" Target="https://analytics.zhihuiya.com/patent-view/abst?patentId=2ba138fa-fa60-4179-bdb6-6efe52e47a10" TargetMode="External"/><Relationship Id="rId1613" Type="http://schemas.openxmlformats.org/officeDocument/2006/relationships/hyperlink" Target="https://analytics.zhihuiya.com/patent-view/abst?patentId=069d9570-9744-4b77-9f50-49e92054488b" TargetMode="External"/><Relationship Id="rId1820" Type="http://schemas.openxmlformats.org/officeDocument/2006/relationships/hyperlink" Target="https://analytics.zhihuiya.com/patent-view/abst?patentId=de916b7f-ef63-43ad-a4a4-196c13fec8bb" TargetMode="External"/><Relationship Id="rId3578" Type="http://schemas.openxmlformats.org/officeDocument/2006/relationships/hyperlink" Target="https://analytics.zhihuiya.com/patent-view/abst?patentId=33a7f606-9c3d-4ca8-a08a-294de0ec56b2" TargetMode="External"/><Relationship Id="rId3785" Type="http://schemas.openxmlformats.org/officeDocument/2006/relationships/hyperlink" Target="https://analytics.zhihuiya.com/patent-view/abst?patentId=391f4493-9ec6-4e68-9abd-3458fc4d4ee0" TargetMode="External"/><Relationship Id="rId3992" Type="http://schemas.openxmlformats.org/officeDocument/2006/relationships/hyperlink" Target="https://analytics.zhihuiya.com/patent-view/abst?patentId=5fce0e62-5279-4b90-96c7-30450fa0418c" TargetMode="External"/><Relationship Id="rId499" Type="http://schemas.openxmlformats.org/officeDocument/2006/relationships/hyperlink" Target="https://analytics.zhihuiya.com/patent-view/abst?patentId=473785df-b67d-4bc9-8837-1dccc92d6954" TargetMode="External"/><Relationship Id="rId2387" Type="http://schemas.openxmlformats.org/officeDocument/2006/relationships/hyperlink" Target="https://analytics.zhihuiya.com/patent-view/abst?patentId=bac83e13-da8e-48e1-89eb-34308a000de8" TargetMode="External"/><Relationship Id="rId2594" Type="http://schemas.openxmlformats.org/officeDocument/2006/relationships/hyperlink" Target="https://analytics.zhihuiya.com/patent-view/abst?patentId=256e26b1-5e23-4599-ae00-e2e0a00755d0" TargetMode="External"/><Relationship Id="rId3438" Type="http://schemas.openxmlformats.org/officeDocument/2006/relationships/hyperlink" Target="https://analytics.zhihuiya.com/patent-view/abst?patentId=f15470e1-5191-43aa-a659-db967bab9d8a" TargetMode="External"/><Relationship Id="rId3645" Type="http://schemas.openxmlformats.org/officeDocument/2006/relationships/hyperlink" Target="https://analytics.zhihuiya.com/patent-view/abst?patentId=b9e5a5ed-8c52-4435-a4ee-bd86d1fc9b74" TargetMode="External"/><Relationship Id="rId3852" Type="http://schemas.openxmlformats.org/officeDocument/2006/relationships/hyperlink" Target="https://analytics.zhihuiya.com/patent-view/abst?patentId=9e3b0bf5-54d3-4eec-b8ce-8dda42c6844f" TargetMode="External"/><Relationship Id="rId359" Type="http://schemas.openxmlformats.org/officeDocument/2006/relationships/hyperlink" Target="https://analytics.zhihuiya.com/patent-view/abst?patentId=3490a4f1-82b0-471a-ad0a-1a21542d389f" TargetMode="External"/><Relationship Id="rId566" Type="http://schemas.openxmlformats.org/officeDocument/2006/relationships/hyperlink" Target="https://analytics.zhihuiya.com/patent-view/abst?patentId=090356ca-941b-4648-9f72-a44e1ec3dc1b" TargetMode="External"/><Relationship Id="rId773" Type="http://schemas.openxmlformats.org/officeDocument/2006/relationships/hyperlink" Target="https://analytics.zhihuiya.com/patent-view/abst?patentId=f13e8ef4-4554-41b4-813e-e96e513e32e7" TargetMode="External"/><Relationship Id="rId1196" Type="http://schemas.openxmlformats.org/officeDocument/2006/relationships/hyperlink" Target="https://analytics.zhihuiya.com/patent-view/abst?patentId=d5b433c3-5938-4071-bd66-c01c0155c6f5" TargetMode="External"/><Relationship Id="rId2247" Type="http://schemas.openxmlformats.org/officeDocument/2006/relationships/hyperlink" Target="https://analytics.zhihuiya.com/patent-view/abst?patentId=7066bd12-e513-4765-94a2-21a37390e25e" TargetMode="External"/><Relationship Id="rId2454" Type="http://schemas.openxmlformats.org/officeDocument/2006/relationships/hyperlink" Target="https://analytics.zhihuiya.com/patent-view/abst?patentId=78f9849b-26fe-4ce8-914e-7111580c9e24" TargetMode="External"/><Relationship Id="rId3505" Type="http://schemas.openxmlformats.org/officeDocument/2006/relationships/hyperlink" Target="https://analytics.zhihuiya.com/patent-view/abst?patentId=6de57201-6abc-4268-9471-9f698372cc5f" TargetMode="External"/><Relationship Id="rId219" Type="http://schemas.openxmlformats.org/officeDocument/2006/relationships/hyperlink" Target="https://analytics.zhihuiya.com/patent-view/abst?patentId=d4eac1f8-0412-4332-b3c2-baf2cc355472" TargetMode="External"/><Relationship Id="rId426" Type="http://schemas.openxmlformats.org/officeDocument/2006/relationships/hyperlink" Target="https://analytics.zhihuiya.com/patent-view/abst?patentId=6c6651df-750b-47c6-96fb-79e87612a026" TargetMode="External"/><Relationship Id="rId633" Type="http://schemas.openxmlformats.org/officeDocument/2006/relationships/hyperlink" Target="https://analytics.zhihuiya.com/patent-view/abst?patentId=513d0301-1490-496a-8f2f-1d56ab1ebf00" TargetMode="External"/><Relationship Id="rId980" Type="http://schemas.openxmlformats.org/officeDocument/2006/relationships/hyperlink" Target="https://analytics.zhihuiya.com/patent-view/abst?patentId=5614bb86-88ac-482b-bcbc-b88086939f6b" TargetMode="External"/><Relationship Id="rId1056" Type="http://schemas.openxmlformats.org/officeDocument/2006/relationships/hyperlink" Target="https://analytics.zhihuiya.com/patent-view/abst?patentId=601e6147-486d-4c3d-8814-e422c49ed293" TargetMode="External"/><Relationship Id="rId1263" Type="http://schemas.openxmlformats.org/officeDocument/2006/relationships/hyperlink" Target="https://analytics.zhihuiya.com/patent-view/abst?patentId=848050d3-742e-4d4f-bf41-6a8a5cb5e68b" TargetMode="External"/><Relationship Id="rId2107" Type="http://schemas.openxmlformats.org/officeDocument/2006/relationships/hyperlink" Target="https://analytics.zhihuiya.com/patent-view/abst?patentId=f889bf96-feed-440a-ba9d-e86f0af881ca" TargetMode="External"/><Relationship Id="rId2314" Type="http://schemas.openxmlformats.org/officeDocument/2006/relationships/hyperlink" Target="https://analytics.zhihuiya.com/patent-view/abst?patentId=3627ccba-ff5c-4dc1-8ffe-f6f0c398e9bc" TargetMode="External"/><Relationship Id="rId2661" Type="http://schemas.openxmlformats.org/officeDocument/2006/relationships/hyperlink" Target="https://analytics.zhihuiya.com/patent-view/abst?patentId=4d97e44e-14e1-42bf-ade3-8381f2a6b525" TargetMode="External"/><Relationship Id="rId3712" Type="http://schemas.openxmlformats.org/officeDocument/2006/relationships/hyperlink" Target="https://analytics.zhihuiya.com/patent-view/abst?patentId=fd3b671a-1e93-4960-9172-944dea07b05f" TargetMode="External"/><Relationship Id="rId840" Type="http://schemas.openxmlformats.org/officeDocument/2006/relationships/hyperlink" Target="https://analytics.zhihuiya.com/patent-view/abst?patentId=dcbed737-3afd-46f3-b277-0ce49f3fcc76" TargetMode="External"/><Relationship Id="rId1470" Type="http://schemas.openxmlformats.org/officeDocument/2006/relationships/hyperlink" Target="https://analytics.zhihuiya.com/patent-view/abst?patentId=f43f2257-6040-4533-a258-b58a92679752" TargetMode="External"/><Relationship Id="rId2521" Type="http://schemas.openxmlformats.org/officeDocument/2006/relationships/hyperlink" Target="https://analytics.zhihuiya.com/patent-view/abst?patentId=1964ad0f-b539-4568-a6b0-34203278893e" TargetMode="External"/><Relationship Id="rId4279" Type="http://schemas.openxmlformats.org/officeDocument/2006/relationships/hyperlink" Target="https://analytics.zhihuiya.com/patent-view/abst?patentId=30328586-ab59-480e-8147-d77d3f1f6dc2" TargetMode="External"/><Relationship Id="rId700" Type="http://schemas.openxmlformats.org/officeDocument/2006/relationships/hyperlink" Target="https://analytics.zhihuiya.com/patent-view/abst?patentId=2d315651-dd0d-4725-b077-7f0a66547c3f" TargetMode="External"/><Relationship Id="rId1123" Type="http://schemas.openxmlformats.org/officeDocument/2006/relationships/hyperlink" Target="https://analytics.zhihuiya.com/patent-view/abst?patentId=ad372d51-89ef-429b-a7a1-09df0d2491bf" TargetMode="External"/><Relationship Id="rId1330" Type="http://schemas.openxmlformats.org/officeDocument/2006/relationships/hyperlink" Target="https://analytics.zhihuiya.com/patent-view/abst?patentId=c5fbefda-b167-4857-b7c5-6cc0df634186" TargetMode="External"/><Relationship Id="rId3088" Type="http://schemas.openxmlformats.org/officeDocument/2006/relationships/hyperlink" Target="https://analytics.zhihuiya.com/patent-view/abst?patentId=14c209c9-e0c5-4abc-85d4-f9a41083c443" TargetMode="External"/><Relationship Id="rId3295" Type="http://schemas.openxmlformats.org/officeDocument/2006/relationships/hyperlink" Target="https://analytics.zhihuiya.com/patent-view/abst?patentId=f4bdf636-4a5e-467d-b293-b20342bf6a6c" TargetMode="External"/><Relationship Id="rId4139" Type="http://schemas.openxmlformats.org/officeDocument/2006/relationships/hyperlink" Target="https://analytics.zhihuiya.com/patent-view/abst?patentId=195c84bc-88a2-4726-b83a-138543f87d8e" TargetMode="External"/><Relationship Id="rId4346" Type="http://schemas.openxmlformats.org/officeDocument/2006/relationships/hyperlink" Target="https://analytics.zhihuiya.com/patent-view/abst?patentId=e99d152d-7397-4010-ac7d-9cd27ccb449d" TargetMode="External"/><Relationship Id="rId3155" Type="http://schemas.openxmlformats.org/officeDocument/2006/relationships/hyperlink" Target="https://analytics.zhihuiya.com/patent-view/abst?patentId=c30f0076-5abc-4558-abe1-b0526d27ac23" TargetMode="External"/><Relationship Id="rId3362" Type="http://schemas.openxmlformats.org/officeDocument/2006/relationships/hyperlink" Target="https://analytics.zhihuiya.com/patent-view/abst?patentId=23eb097b-525f-490d-b07c-ac080766bfe7" TargetMode="External"/><Relationship Id="rId4206" Type="http://schemas.openxmlformats.org/officeDocument/2006/relationships/hyperlink" Target="https://analytics.zhihuiya.com/patent-view/abst?patentId=3368566c-5668-4f55-85f9-fd681f716576" TargetMode="External"/><Relationship Id="rId4413" Type="http://schemas.openxmlformats.org/officeDocument/2006/relationships/hyperlink" Target="https://analytics.zhihuiya.com/patent-view/abst?patentId=916355b8-d8d5-448b-9b76-b0703cb4c7b2" TargetMode="External"/><Relationship Id="rId283" Type="http://schemas.openxmlformats.org/officeDocument/2006/relationships/hyperlink" Target="https://analytics.zhihuiya.com/patent-view/abst?patentId=c52f2bca-0d84-4359-b5b7-32e4277146a3" TargetMode="External"/><Relationship Id="rId490" Type="http://schemas.openxmlformats.org/officeDocument/2006/relationships/hyperlink" Target="https://analytics.zhihuiya.com/patent-view/abst?patentId=32713421-eb3c-4afe-9cf3-24cc2ee160df" TargetMode="External"/><Relationship Id="rId2171" Type="http://schemas.openxmlformats.org/officeDocument/2006/relationships/hyperlink" Target="https://analytics.zhihuiya.com/patent-view/abst?patentId=c4b218f7-bde4-42e8-8609-379e70e11798" TargetMode="External"/><Relationship Id="rId3015" Type="http://schemas.openxmlformats.org/officeDocument/2006/relationships/hyperlink" Target="https://analytics.zhihuiya.com/patent-view/abst?patentId=622c6bfc-c126-409e-9d16-1312107b83ef" TargetMode="External"/><Relationship Id="rId3222" Type="http://schemas.openxmlformats.org/officeDocument/2006/relationships/hyperlink" Target="https://analytics.zhihuiya.com/patent-view/abst?patentId=5441a030-bdb8-4227-80a2-38fb1b0eb72f" TargetMode="External"/><Relationship Id="rId143" Type="http://schemas.openxmlformats.org/officeDocument/2006/relationships/hyperlink" Target="https://analytics.zhihuiya.com/patent-view/abst?patentId=44309b8a-3fb7-4d95-98e5-50af91faaeab" TargetMode="External"/><Relationship Id="rId350" Type="http://schemas.openxmlformats.org/officeDocument/2006/relationships/hyperlink" Target="https://analytics.zhihuiya.com/patent-view/abst?patentId=de05a13a-5d76-49d5-939f-c52e7a96aee0" TargetMode="External"/><Relationship Id="rId2031" Type="http://schemas.openxmlformats.org/officeDocument/2006/relationships/hyperlink" Target="https://analytics.zhihuiya.com/patent-view/abst?patentId=09cba206-bee7-46cf-81f7-8d7f93dc73f2" TargetMode="External"/><Relationship Id="rId9" Type="http://schemas.openxmlformats.org/officeDocument/2006/relationships/hyperlink" Target="https://analytics.zhihuiya.com/patent-view/abst?patentId=2e25dbdb-dbda-4c81-9a7c-b07515c6a5c0" TargetMode="External"/><Relationship Id="rId210" Type="http://schemas.openxmlformats.org/officeDocument/2006/relationships/hyperlink" Target="https://analytics.zhihuiya.com/patent-view/abst?patentId=4271b1ac-db24-4590-b061-0930cc0c2a01" TargetMode="External"/><Relationship Id="rId2988" Type="http://schemas.openxmlformats.org/officeDocument/2006/relationships/hyperlink" Target="https://analytics.zhihuiya.com/patent-view/abst?patentId=0fcaee9c-8215-4f1b-9d1a-37ed0cc3aa29" TargetMode="External"/><Relationship Id="rId1797" Type="http://schemas.openxmlformats.org/officeDocument/2006/relationships/hyperlink" Target="https://analytics.zhihuiya.com/patent-view/abst?patentId=828b962a-28c8-476f-a32a-fbc48021ecd4" TargetMode="External"/><Relationship Id="rId2848" Type="http://schemas.openxmlformats.org/officeDocument/2006/relationships/hyperlink" Target="https://analytics.zhihuiya.com/patent-view/abst?patentId=6357deeb-06ac-4a70-8f27-e1a126a3f257" TargetMode="External"/><Relationship Id="rId89" Type="http://schemas.openxmlformats.org/officeDocument/2006/relationships/hyperlink" Target="https://analytics.zhihuiya.com/patent-view/abst?patentId=1cb4e189-96c4-4dfd-b9da-ef4afaeb69f1" TargetMode="External"/><Relationship Id="rId1657" Type="http://schemas.openxmlformats.org/officeDocument/2006/relationships/hyperlink" Target="https://analytics.zhihuiya.com/patent-view/abst?patentId=d90066c8-4934-4d11-ba48-e5103bb3041b" TargetMode="External"/><Relationship Id="rId1864" Type="http://schemas.openxmlformats.org/officeDocument/2006/relationships/hyperlink" Target="https://analytics.zhihuiya.com/patent-view/abst?patentId=7705beb6-ed7f-4745-9ea2-8706aaffce60" TargetMode="External"/><Relationship Id="rId2708" Type="http://schemas.openxmlformats.org/officeDocument/2006/relationships/hyperlink" Target="https://analytics.zhihuiya.com/patent-view/abst?patentId=b730a9fb-9111-47f7-999d-3b1fd03d6869" TargetMode="External"/><Relationship Id="rId2915" Type="http://schemas.openxmlformats.org/officeDocument/2006/relationships/hyperlink" Target="https://analytics.zhihuiya.com/patent-view/abst?patentId=60ca4e54-9ade-4b72-9f92-f4a6967d8949" TargetMode="External"/><Relationship Id="rId4063" Type="http://schemas.openxmlformats.org/officeDocument/2006/relationships/hyperlink" Target="https://analytics.zhihuiya.com/patent-view/abst?patentId=a92c8ecb-6b32-48e1-ab3a-f473bcfac337" TargetMode="External"/><Relationship Id="rId4270" Type="http://schemas.openxmlformats.org/officeDocument/2006/relationships/hyperlink" Target="https://analytics.zhihuiya.com/patent-view/abst?patentId=3f30a4e5-a970-4d90-8075-3c9083a74257" TargetMode="External"/><Relationship Id="rId1517" Type="http://schemas.openxmlformats.org/officeDocument/2006/relationships/hyperlink" Target="https://analytics.zhihuiya.com/patent-view/abst?patentId=c5afe757-ebda-4ea0-9aca-0e51d6d4e747" TargetMode="External"/><Relationship Id="rId1724" Type="http://schemas.openxmlformats.org/officeDocument/2006/relationships/hyperlink" Target="https://analytics.zhihuiya.com/patent-view/abst?patentId=554568f7-b6d1-4814-a1f4-819fc662e617" TargetMode="External"/><Relationship Id="rId4130" Type="http://schemas.openxmlformats.org/officeDocument/2006/relationships/hyperlink" Target="https://analytics.zhihuiya.com/patent-view/abst?patentId=68f3ce15-06b6-4386-a36a-800c7ccfbc6d" TargetMode="External"/><Relationship Id="rId16" Type="http://schemas.openxmlformats.org/officeDocument/2006/relationships/hyperlink" Target="https://analytics.zhihuiya.com/patent-view/abst?patentId=b6fd545a-4c5b-48a3-9582-8ee80b3e276a" TargetMode="External"/><Relationship Id="rId1931" Type="http://schemas.openxmlformats.org/officeDocument/2006/relationships/hyperlink" Target="https://analytics.zhihuiya.com/patent-view/abst?patentId=3103c600-d7b3-4208-9042-915435328005" TargetMode="External"/><Relationship Id="rId3689" Type="http://schemas.openxmlformats.org/officeDocument/2006/relationships/hyperlink" Target="https://analytics.zhihuiya.com/patent-view/abst?patentId=eded34ac-cc84-469d-973a-27879f33dd48" TargetMode="External"/><Relationship Id="rId3896" Type="http://schemas.openxmlformats.org/officeDocument/2006/relationships/hyperlink" Target="https://analytics.zhihuiya.com/patent-view/abst?patentId=4c7d16a4-66de-44d1-8c60-90bb738d1686" TargetMode="External"/><Relationship Id="rId2498" Type="http://schemas.openxmlformats.org/officeDocument/2006/relationships/hyperlink" Target="https://analytics.zhihuiya.com/patent-view/abst?patentId=2a3d2f66-70d3-47a1-ad33-cdcd565e50e3" TargetMode="External"/><Relationship Id="rId3549" Type="http://schemas.openxmlformats.org/officeDocument/2006/relationships/hyperlink" Target="https://analytics.zhihuiya.com/patent-view/abst?patentId=4188b2f1-ae60-470a-bd99-36c2f71ca89f" TargetMode="External"/><Relationship Id="rId677" Type="http://schemas.openxmlformats.org/officeDocument/2006/relationships/hyperlink" Target="https://analytics.zhihuiya.com/patent-view/abst?patentId=340ff724-d96a-4c21-b8ad-1d3f391dc46a" TargetMode="External"/><Relationship Id="rId2358" Type="http://schemas.openxmlformats.org/officeDocument/2006/relationships/hyperlink" Target="https://analytics.zhihuiya.com/patent-view/abst?patentId=94648a8a-8c12-482d-87a9-95a7884527d0" TargetMode="External"/><Relationship Id="rId3756" Type="http://schemas.openxmlformats.org/officeDocument/2006/relationships/hyperlink" Target="https://analytics.zhihuiya.com/patent-view/abst?patentId=5c1fe1cc-867c-46ff-93c8-340e0262ceda" TargetMode="External"/><Relationship Id="rId3963" Type="http://schemas.openxmlformats.org/officeDocument/2006/relationships/hyperlink" Target="https://analytics.zhihuiya.com/patent-view/abst?patentId=65b00102-2820-4e88-a655-34df86e10b17" TargetMode="External"/><Relationship Id="rId884" Type="http://schemas.openxmlformats.org/officeDocument/2006/relationships/hyperlink" Target="https://analytics.zhihuiya.com/patent-view/abst?patentId=177bded9-7b50-41f1-96b6-029ae661ff6b" TargetMode="External"/><Relationship Id="rId2565" Type="http://schemas.openxmlformats.org/officeDocument/2006/relationships/hyperlink" Target="https://analytics.zhihuiya.com/patent-view/abst?patentId=257f64dc-3bda-4072-97d8-7ca324798d15" TargetMode="External"/><Relationship Id="rId2772" Type="http://schemas.openxmlformats.org/officeDocument/2006/relationships/hyperlink" Target="https://analytics.zhihuiya.com/patent-view/abst?patentId=b0a5b029-f602-4e09-8504-91d72d040c7e" TargetMode="External"/><Relationship Id="rId3409" Type="http://schemas.openxmlformats.org/officeDocument/2006/relationships/hyperlink" Target="https://analytics.zhihuiya.com/patent-view/abst?patentId=d29cfae5-4dd9-4539-8d63-d850ec48a800" TargetMode="External"/><Relationship Id="rId3616" Type="http://schemas.openxmlformats.org/officeDocument/2006/relationships/hyperlink" Target="https://analytics.zhihuiya.com/patent-view/abst?patentId=ed8f658d-ac97-455b-84d0-7ae7dd24ef73" TargetMode="External"/><Relationship Id="rId3823" Type="http://schemas.openxmlformats.org/officeDocument/2006/relationships/hyperlink" Target="https://analytics.zhihuiya.com/patent-view/abst?patentId=ef025d01-2877-4b61-977c-25e6b0844a8a" TargetMode="External"/><Relationship Id="rId537" Type="http://schemas.openxmlformats.org/officeDocument/2006/relationships/hyperlink" Target="https://analytics.zhihuiya.com/patent-view/abst?patentId=45487ac1-af34-46d7-9e10-2dc2af1025a0" TargetMode="External"/><Relationship Id="rId744" Type="http://schemas.openxmlformats.org/officeDocument/2006/relationships/hyperlink" Target="https://analytics.zhihuiya.com/patent-view/abst?patentId=9cd14850-d329-463e-9a1d-907cb4103bf1" TargetMode="External"/><Relationship Id="rId951" Type="http://schemas.openxmlformats.org/officeDocument/2006/relationships/hyperlink" Target="https://analytics.zhihuiya.com/patent-view/abst?patentId=a3c603ad-0751-429e-87d5-52e0b24ec8de" TargetMode="External"/><Relationship Id="rId1167" Type="http://schemas.openxmlformats.org/officeDocument/2006/relationships/hyperlink" Target="https://analytics.zhihuiya.com/patent-view/abst?patentId=51df06ba-03c4-426c-9bc6-bd7f65b00f62" TargetMode="External"/><Relationship Id="rId1374" Type="http://schemas.openxmlformats.org/officeDocument/2006/relationships/hyperlink" Target="https://analytics.zhihuiya.com/patent-view/abst?patentId=731b5de5-9d8a-4f70-acd0-6e38f877ded5" TargetMode="External"/><Relationship Id="rId1581" Type="http://schemas.openxmlformats.org/officeDocument/2006/relationships/hyperlink" Target="https://analytics.zhihuiya.com/patent-view/abst?patentId=3250c3d3-4393-4b1e-8621-0f6a9f37a381" TargetMode="External"/><Relationship Id="rId2218" Type="http://schemas.openxmlformats.org/officeDocument/2006/relationships/hyperlink" Target="https://analytics.zhihuiya.com/patent-view/abst?patentId=2b8f3876-5a67-43e5-9cf4-20aa3c8404c1" TargetMode="External"/><Relationship Id="rId2425" Type="http://schemas.openxmlformats.org/officeDocument/2006/relationships/hyperlink" Target="https://analytics.zhihuiya.com/patent-view/abst?patentId=c7498c80-2178-47d9-bc7e-44decea9c565" TargetMode="External"/><Relationship Id="rId2632" Type="http://schemas.openxmlformats.org/officeDocument/2006/relationships/hyperlink" Target="https://analytics.zhihuiya.com/patent-view/abst?patentId=ae8b0f3c-fbbd-48a3-9efd-a2e3f6cb4bcf" TargetMode="External"/><Relationship Id="rId80" Type="http://schemas.openxmlformats.org/officeDocument/2006/relationships/hyperlink" Target="https://analytics.zhihuiya.com/patent-view/abst?patentId=90aca06e-893a-46a0-bd0a-8a712f191e8f" TargetMode="External"/><Relationship Id="rId604" Type="http://schemas.openxmlformats.org/officeDocument/2006/relationships/hyperlink" Target="https://analytics.zhihuiya.com/patent-view/abst?patentId=311c73b7-a00b-4a56-bbc9-157f0daa72de" TargetMode="External"/><Relationship Id="rId811" Type="http://schemas.openxmlformats.org/officeDocument/2006/relationships/hyperlink" Target="https://analytics.zhihuiya.com/patent-view/abst?patentId=53a5eba6-782e-49c9-bce0-35eda4834ad1" TargetMode="External"/><Relationship Id="rId1027" Type="http://schemas.openxmlformats.org/officeDocument/2006/relationships/hyperlink" Target="https://analytics.zhihuiya.com/patent-view/abst?patentId=a06734f0-4af4-40e7-a572-75be239434b3" TargetMode="External"/><Relationship Id="rId1234" Type="http://schemas.openxmlformats.org/officeDocument/2006/relationships/hyperlink" Target="https://analytics.zhihuiya.com/patent-view/abst?patentId=4c32f76c-1cc5-4cfc-b724-9e4eb44be2a6" TargetMode="External"/><Relationship Id="rId1441" Type="http://schemas.openxmlformats.org/officeDocument/2006/relationships/hyperlink" Target="https://analytics.zhihuiya.com/patent-view/abst?patentId=ceeb9421-ed61-4d35-b6c1-8e276cc6e22b" TargetMode="External"/><Relationship Id="rId1301" Type="http://schemas.openxmlformats.org/officeDocument/2006/relationships/hyperlink" Target="https://analytics.zhihuiya.com/patent-view/abst?patentId=bf760442-6951-4cdf-98c6-8ed9957e3649" TargetMode="External"/><Relationship Id="rId3199" Type="http://schemas.openxmlformats.org/officeDocument/2006/relationships/hyperlink" Target="https://analytics.zhihuiya.com/patent-view/abst?patentId=2b737e1e-3e09-4b57-b163-1f0f2db1c1af" TargetMode="External"/><Relationship Id="rId3059" Type="http://schemas.openxmlformats.org/officeDocument/2006/relationships/hyperlink" Target="https://analytics.zhihuiya.com/patent-view/abst?patentId=24cee7a1-89c8-498c-a77e-b6aea456814d" TargetMode="External"/><Relationship Id="rId3266" Type="http://schemas.openxmlformats.org/officeDocument/2006/relationships/hyperlink" Target="https://analytics.zhihuiya.com/patent-view/abst?patentId=7382d6aa-16ad-42ae-8aad-2f121605c5b5" TargetMode="External"/><Relationship Id="rId3473" Type="http://schemas.openxmlformats.org/officeDocument/2006/relationships/hyperlink" Target="https://analytics.zhihuiya.com/patent-view/abst?patentId=b4dd2e94-73c1-4988-a0f1-9a500f3d3c9f" TargetMode="External"/><Relationship Id="rId4317" Type="http://schemas.openxmlformats.org/officeDocument/2006/relationships/hyperlink" Target="https://analytics.zhihuiya.com/patent-view/abst?patentId=3a2432d0-dc38-433c-b5bb-08f502a88d5c" TargetMode="External"/><Relationship Id="rId187" Type="http://schemas.openxmlformats.org/officeDocument/2006/relationships/hyperlink" Target="https://analytics.zhihuiya.com/patent-view/abst?patentId=73d30a7f-8d43-4626-98f6-cf8a060fedfe" TargetMode="External"/><Relationship Id="rId394" Type="http://schemas.openxmlformats.org/officeDocument/2006/relationships/hyperlink" Target="https://analytics.zhihuiya.com/patent-view/abst?patentId=1f1f5d7e-fdfd-4a11-b774-29216441beea" TargetMode="External"/><Relationship Id="rId2075" Type="http://schemas.openxmlformats.org/officeDocument/2006/relationships/hyperlink" Target="https://analytics.zhihuiya.com/patent-view/abst?patentId=659aa19b-e080-44d4-8b0c-532969050dec" TargetMode="External"/><Relationship Id="rId2282" Type="http://schemas.openxmlformats.org/officeDocument/2006/relationships/hyperlink" Target="https://analytics.zhihuiya.com/patent-view/abst?patentId=b9478e6a-4dd2-4602-9242-f9e0d90c207e" TargetMode="External"/><Relationship Id="rId3126" Type="http://schemas.openxmlformats.org/officeDocument/2006/relationships/hyperlink" Target="https://analytics.zhihuiya.com/patent-view/abst?patentId=d91d9594-8c5a-446d-80ba-422773027805" TargetMode="External"/><Relationship Id="rId3680" Type="http://schemas.openxmlformats.org/officeDocument/2006/relationships/hyperlink" Target="https://analytics.zhihuiya.com/patent-view/abst?patentId=162d961e-719d-4d80-9415-f8638bf53e46" TargetMode="External"/><Relationship Id="rId254" Type="http://schemas.openxmlformats.org/officeDocument/2006/relationships/hyperlink" Target="https://analytics.zhihuiya.com/patent-view/abst?patentId=62031744-40dd-4214-aed6-3b30aed871e3" TargetMode="External"/><Relationship Id="rId1091" Type="http://schemas.openxmlformats.org/officeDocument/2006/relationships/hyperlink" Target="https://analytics.zhihuiya.com/patent-view/abst?patentId=a00975e6-ff6e-498d-a069-86163fa7c410" TargetMode="External"/><Relationship Id="rId3333" Type="http://schemas.openxmlformats.org/officeDocument/2006/relationships/hyperlink" Target="https://analytics.zhihuiya.com/patent-view/abst?patentId=a65801ea-fb2c-42a9-96bd-b6528429c077" TargetMode="External"/><Relationship Id="rId3540" Type="http://schemas.openxmlformats.org/officeDocument/2006/relationships/hyperlink" Target="https://analytics.zhihuiya.com/patent-view/abst?patentId=c28b7517-7196-42dd-aff0-6945afd9a64f" TargetMode="External"/><Relationship Id="rId114" Type="http://schemas.openxmlformats.org/officeDocument/2006/relationships/hyperlink" Target="https://analytics.zhihuiya.com/patent-view/abst?patentId=22ee5ac5-d554-421b-b301-52403c0cb882" TargetMode="External"/><Relationship Id="rId461" Type="http://schemas.openxmlformats.org/officeDocument/2006/relationships/hyperlink" Target="https://analytics.zhihuiya.com/patent-view/abst?patentId=9a9a65c9-6f50-4f51-ace2-0e3fc79950fc" TargetMode="External"/><Relationship Id="rId2142" Type="http://schemas.openxmlformats.org/officeDocument/2006/relationships/hyperlink" Target="https://analytics.zhihuiya.com/patent-view/abst?patentId=2499e375-2a14-4799-a9fd-df14d45a8c39" TargetMode="External"/><Relationship Id="rId3400" Type="http://schemas.openxmlformats.org/officeDocument/2006/relationships/hyperlink" Target="https://analytics.zhihuiya.com/patent-view/abst?patentId=4f03e9b8-eb60-445f-8a3d-5912a03d1e55" TargetMode="External"/><Relationship Id="rId321" Type="http://schemas.openxmlformats.org/officeDocument/2006/relationships/hyperlink" Target="https://analytics.zhihuiya.com/patent-view/abst?patentId=16a1fb30-75f3-4b5a-82d7-d008404f2c6b" TargetMode="External"/><Relationship Id="rId2002" Type="http://schemas.openxmlformats.org/officeDocument/2006/relationships/hyperlink" Target="https://analytics.zhihuiya.com/patent-view/abst?patentId=25c7fbdd-9262-480e-8b1d-086caf108631" TargetMode="External"/><Relationship Id="rId2959" Type="http://schemas.openxmlformats.org/officeDocument/2006/relationships/hyperlink" Target="https://analytics.zhihuiya.com/patent-view/abst?patentId=5a97f276-574c-4ec0-bdd0-df646ccdb411" TargetMode="External"/><Relationship Id="rId1768" Type="http://schemas.openxmlformats.org/officeDocument/2006/relationships/hyperlink" Target="https://analytics.zhihuiya.com/patent-view/abst?patentId=08872fab-e4df-4357-9c17-35cd1f444588" TargetMode="External"/><Relationship Id="rId2819" Type="http://schemas.openxmlformats.org/officeDocument/2006/relationships/hyperlink" Target="https://analytics.zhihuiya.com/patent-view/abst?patentId=7174ea71-84c3-4d0f-8c0d-066f30294bcb" TargetMode="External"/><Relationship Id="rId4174" Type="http://schemas.openxmlformats.org/officeDocument/2006/relationships/hyperlink" Target="https://analytics.zhihuiya.com/patent-view/abst?patentId=ee1f0e54-5a3d-4b43-839b-63afa0d85e51" TargetMode="External"/><Relationship Id="rId4381" Type="http://schemas.openxmlformats.org/officeDocument/2006/relationships/hyperlink" Target="https://analytics.zhihuiya.com/patent-view/abst?patentId=5f6dacfa-3d50-43d2-8d20-1b20e38687f8" TargetMode="External"/><Relationship Id="rId1628" Type="http://schemas.openxmlformats.org/officeDocument/2006/relationships/hyperlink" Target="https://analytics.zhihuiya.com/patent-view/abst?patentId=9be53a2a-8155-4ee1-a289-98afe9d069ce" TargetMode="External"/><Relationship Id="rId1975" Type="http://schemas.openxmlformats.org/officeDocument/2006/relationships/hyperlink" Target="https://analytics.zhihuiya.com/patent-view/abst?patentId=0e0e0d99-9f03-4522-a4f5-883946de792f" TargetMode="External"/><Relationship Id="rId3190" Type="http://schemas.openxmlformats.org/officeDocument/2006/relationships/hyperlink" Target="https://analytics.zhihuiya.com/patent-view/abst?patentId=d77b4cb2-685f-4973-9b50-812fb2b0cb87" TargetMode="External"/><Relationship Id="rId4034" Type="http://schemas.openxmlformats.org/officeDocument/2006/relationships/hyperlink" Target="https://analytics.zhihuiya.com/patent-view/abst?patentId=644497e5-57ca-4fb6-a17f-b687fc8e898f" TargetMode="External"/><Relationship Id="rId4241" Type="http://schemas.openxmlformats.org/officeDocument/2006/relationships/hyperlink" Target="https://analytics.zhihuiya.com/patent-view/abst?patentId=6aaca2b9-4b1a-4140-85d4-70d377b3d4d3" TargetMode="External"/><Relationship Id="rId1835" Type="http://schemas.openxmlformats.org/officeDocument/2006/relationships/hyperlink" Target="https://analytics.zhihuiya.com/patent-view/abst?patentId=fcdd8c12-f53d-404d-aa9f-dfbf45a7e148" TargetMode="External"/><Relationship Id="rId3050" Type="http://schemas.openxmlformats.org/officeDocument/2006/relationships/hyperlink" Target="https://analytics.zhihuiya.com/patent-view/abst?patentId=5323a932-f9af-4507-9461-6d9cd62e50d7" TargetMode="External"/><Relationship Id="rId4101" Type="http://schemas.openxmlformats.org/officeDocument/2006/relationships/hyperlink" Target="https://analytics.zhihuiya.com/patent-view/abst?patentId=3525fd2c-9b6e-48f1-b855-4c4240528ad1" TargetMode="External"/><Relationship Id="rId1902" Type="http://schemas.openxmlformats.org/officeDocument/2006/relationships/hyperlink" Target="https://analytics.zhihuiya.com/patent-view/abst?patentId=3e27517a-abf4-42fe-a202-f4c9af981424" TargetMode="External"/><Relationship Id="rId3867" Type="http://schemas.openxmlformats.org/officeDocument/2006/relationships/hyperlink" Target="https://analytics.zhihuiya.com/patent-view/abst?patentId=035056c8-b470-4bcc-b067-6b79df6da124" TargetMode="External"/><Relationship Id="rId788" Type="http://schemas.openxmlformats.org/officeDocument/2006/relationships/hyperlink" Target="https://analytics.zhihuiya.com/patent-view/abst?patentId=baf61e96-5b28-453a-a763-af0d9b437bd0" TargetMode="External"/><Relationship Id="rId995" Type="http://schemas.openxmlformats.org/officeDocument/2006/relationships/hyperlink" Target="https://analytics.zhihuiya.com/patent-view/abst?patentId=782c3476-1aae-4209-ac41-238fc772eca4" TargetMode="External"/><Relationship Id="rId2469" Type="http://schemas.openxmlformats.org/officeDocument/2006/relationships/hyperlink" Target="https://analytics.zhihuiya.com/patent-view/abst?patentId=35d251a4-9756-435b-bd54-1258890c130f" TargetMode="External"/><Relationship Id="rId2676" Type="http://schemas.openxmlformats.org/officeDocument/2006/relationships/hyperlink" Target="https://analytics.zhihuiya.com/patent-view/abst?patentId=94c54bc7-bfa3-449e-8093-7bfb81e26454" TargetMode="External"/><Relationship Id="rId2883" Type="http://schemas.openxmlformats.org/officeDocument/2006/relationships/hyperlink" Target="https://analytics.zhihuiya.com/patent-view/abst?patentId=f833e853-fcb7-4996-b490-78f30ee3501d" TargetMode="External"/><Relationship Id="rId3727" Type="http://schemas.openxmlformats.org/officeDocument/2006/relationships/hyperlink" Target="https://analytics.zhihuiya.com/patent-view/abst?patentId=869b338c-614d-4f8e-b454-1b62f6032938" TargetMode="External"/><Relationship Id="rId3934" Type="http://schemas.openxmlformats.org/officeDocument/2006/relationships/hyperlink" Target="https://analytics.zhihuiya.com/patent-view/abst?patentId=8bfebc5e-54e9-4cfe-8461-91302cc8b397" TargetMode="External"/><Relationship Id="rId648" Type="http://schemas.openxmlformats.org/officeDocument/2006/relationships/hyperlink" Target="https://analytics.zhihuiya.com/patent-view/abst?patentId=821492c1-f8e3-4741-8a55-7bd0f2f9c738" TargetMode="External"/><Relationship Id="rId855" Type="http://schemas.openxmlformats.org/officeDocument/2006/relationships/hyperlink" Target="https://analytics.zhihuiya.com/patent-view/abst?patentId=d4a6ac25-ceef-4ab9-af87-9fb3e6e4f6f0" TargetMode="External"/><Relationship Id="rId1278" Type="http://schemas.openxmlformats.org/officeDocument/2006/relationships/hyperlink" Target="https://analytics.zhihuiya.com/patent-view/abst?patentId=d0c8fd43-b12c-45b7-8807-294fdcd0fb06" TargetMode="External"/><Relationship Id="rId1485" Type="http://schemas.openxmlformats.org/officeDocument/2006/relationships/hyperlink" Target="https://analytics.zhihuiya.com/patent-view/abst?patentId=a4b2b258-f669-4c1e-88dd-cc3b86f53291" TargetMode="External"/><Relationship Id="rId1692" Type="http://schemas.openxmlformats.org/officeDocument/2006/relationships/hyperlink" Target="https://analytics.zhihuiya.com/patent-view/abst?patentId=8af133ae-59d7-4e72-aa7c-0a26d60937cc" TargetMode="External"/><Relationship Id="rId2329" Type="http://schemas.openxmlformats.org/officeDocument/2006/relationships/hyperlink" Target="https://analytics.zhihuiya.com/patent-view/abst?patentId=61e1c79e-afa5-455c-8e44-e43e9d38902d" TargetMode="External"/><Relationship Id="rId2536" Type="http://schemas.openxmlformats.org/officeDocument/2006/relationships/hyperlink" Target="https://analytics.zhihuiya.com/patent-view/abst?patentId=33474764-8e3f-45c5-924f-d1f3a4037b2a" TargetMode="External"/><Relationship Id="rId2743" Type="http://schemas.openxmlformats.org/officeDocument/2006/relationships/hyperlink" Target="https://analytics.zhihuiya.com/patent-view/abst?patentId=39e3a537-f4a1-43c4-95df-deb11364efdb" TargetMode="External"/><Relationship Id="rId508" Type="http://schemas.openxmlformats.org/officeDocument/2006/relationships/hyperlink" Target="https://analytics.zhihuiya.com/patent-view/abst?patentId=75bfc212-057d-4e88-9153-ce2eda9003e8" TargetMode="External"/><Relationship Id="rId715" Type="http://schemas.openxmlformats.org/officeDocument/2006/relationships/hyperlink" Target="https://analytics.zhihuiya.com/patent-view/abst?patentId=30564ebe-6f4a-4716-9e88-9e4b18cb225d" TargetMode="External"/><Relationship Id="rId922" Type="http://schemas.openxmlformats.org/officeDocument/2006/relationships/hyperlink" Target="https://analytics.zhihuiya.com/patent-view/abst?patentId=70b83a3c-95b4-4636-bedd-2f4b032b1d5f" TargetMode="External"/><Relationship Id="rId1138" Type="http://schemas.openxmlformats.org/officeDocument/2006/relationships/hyperlink" Target="https://analytics.zhihuiya.com/patent-view/abst?patentId=2e2d17a5-d73b-4ff5-a5c7-9fc51a5c63e4" TargetMode="External"/><Relationship Id="rId1345" Type="http://schemas.openxmlformats.org/officeDocument/2006/relationships/hyperlink" Target="https://analytics.zhihuiya.com/patent-view/abst?patentId=991c94eb-6822-425b-a51c-4148d00a1d11" TargetMode="External"/><Relationship Id="rId1552" Type="http://schemas.openxmlformats.org/officeDocument/2006/relationships/hyperlink" Target="https://analytics.zhihuiya.com/patent-view/abst?patentId=a0394955-8064-447a-9840-24cf0d92932c" TargetMode="External"/><Relationship Id="rId2603" Type="http://schemas.openxmlformats.org/officeDocument/2006/relationships/hyperlink" Target="https://analytics.zhihuiya.com/patent-view/abst?patentId=573cd616-c2ba-48d1-a848-c00adfa3441f" TargetMode="External"/><Relationship Id="rId2950" Type="http://schemas.openxmlformats.org/officeDocument/2006/relationships/hyperlink" Target="https://analytics.zhihuiya.com/patent-view/abst?patentId=743d3a75-0ca7-4e51-a5a3-02edd2eaaf12" TargetMode="External"/><Relationship Id="rId1205" Type="http://schemas.openxmlformats.org/officeDocument/2006/relationships/hyperlink" Target="https://analytics.zhihuiya.com/patent-view/abst?patentId=82f455c8-c02a-49b0-b94c-ff198bb6a0a1" TargetMode="External"/><Relationship Id="rId2810" Type="http://schemas.openxmlformats.org/officeDocument/2006/relationships/hyperlink" Target="https://analytics.zhihuiya.com/patent-view/abst?patentId=2c700855-abe7-4900-9d71-81a3de2d881a" TargetMode="External"/><Relationship Id="rId51" Type="http://schemas.openxmlformats.org/officeDocument/2006/relationships/hyperlink" Target="https://analytics.zhihuiya.com/patent-view/abst?patentId=e0bcf79d-02e7-4451-95a3-efb2311666da" TargetMode="External"/><Relationship Id="rId1412" Type="http://schemas.openxmlformats.org/officeDocument/2006/relationships/hyperlink" Target="https://analytics.zhihuiya.com/patent-view/abst?patentId=085ec158-60e0-4733-ac45-243c9aa06f33" TargetMode="External"/><Relationship Id="rId3377" Type="http://schemas.openxmlformats.org/officeDocument/2006/relationships/hyperlink" Target="https://analytics.zhihuiya.com/patent-view/abst?patentId=88b9dc7f-7ecf-4520-a2b6-7db64bf789c0" TargetMode="External"/><Relationship Id="rId298" Type="http://schemas.openxmlformats.org/officeDocument/2006/relationships/hyperlink" Target="https://analytics.zhihuiya.com/patent-view/abst?patentId=e2771943-2e52-4ed4-977d-dedd585901d4" TargetMode="External"/><Relationship Id="rId3584" Type="http://schemas.openxmlformats.org/officeDocument/2006/relationships/hyperlink" Target="https://analytics.zhihuiya.com/patent-view/abst?patentId=d4cff366-58ce-4a13-aaa3-aa5369c65758" TargetMode="External"/><Relationship Id="rId3791" Type="http://schemas.openxmlformats.org/officeDocument/2006/relationships/hyperlink" Target="https://analytics.zhihuiya.com/patent-view/abst?patentId=7bc375f0-04cc-49fb-9cd3-aa854f713a88" TargetMode="External"/><Relationship Id="rId4428" Type="http://schemas.openxmlformats.org/officeDocument/2006/relationships/hyperlink" Target="https://analytics.zhihuiya.com/patent-view/abst?patentId=de3234d5-507f-4e6f-8686-556f85eddbac" TargetMode="External"/><Relationship Id="rId158" Type="http://schemas.openxmlformats.org/officeDocument/2006/relationships/hyperlink" Target="https://analytics.zhihuiya.com/patent-view/abst?patentId=cc7e1833-3072-4aab-825f-01e71e0fbdf9" TargetMode="External"/><Relationship Id="rId2186" Type="http://schemas.openxmlformats.org/officeDocument/2006/relationships/hyperlink" Target="https://analytics.zhihuiya.com/patent-view/abst?patentId=62eb1aa5-756a-4243-a2c9-70ce808f771c" TargetMode="External"/><Relationship Id="rId2393" Type="http://schemas.openxmlformats.org/officeDocument/2006/relationships/hyperlink" Target="https://analytics.zhihuiya.com/patent-view/abst?patentId=df42b9ce-e64f-4ae0-b209-47b3dc6134d4" TargetMode="External"/><Relationship Id="rId3237" Type="http://schemas.openxmlformats.org/officeDocument/2006/relationships/hyperlink" Target="https://analytics.zhihuiya.com/patent-view/abst?patentId=5b1f7e68-2de1-4aea-84d0-5a0d7dac674f" TargetMode="External"/><Relationship Id="rId3444" Type="http://schemas.openxmlformats.org/officeDocument/2006/relationships/hyperlink" Target="https://analytics.zhihuiya.com/patent-view/abst?patentId=4a7ac2d0-9280-488a-8bea-d750f1ad819a" TargetMode="External"/><Relationship Id="rId3651" Type="http://schemas.openxmlformats.org/officeDocument/2006/relationships/hyperlink" Target="https://analytics.zhihuiya.com/patent-view/abst?patentId=b972acd9-c72c-4546-b7e9-15ee3d221ec5" TargetMode="External"/><Relationship Id="rId365" Type="http://schemas.openxmlformats.org/officeDocument/2006/relationships/hyperlink" Target="https://analytics.zhihuiya.com/patent-view/abst?patentId=f5453f6e-5f73-4979-bb93-6aa9b85adbf6" TargetMode="External"/><Relationship Id="rId572" Type="http://schemas.openxmlformats.org/officeDocument/2006/relationships/hyperlink" Target="https://analytics.zhihuiya.com/patent-view/abst?patentId=846ccb07-8872-428e-ae86-7f7aa3f46087" TargetMode="External"/><Relationship Id="rId2046" Type="http://schemas.openxmlformats.org/officeDocument/2006/relationships/hyperlink" Target="https://analytics.zhihuiya.com/patent-view/abst?patentId=e696938b-99ad-4d0a-bb6e-cee2030519cc" TargetMode="External"/><Relationship Id="rId2253" Type="http://schemas.openxmlformats.org/officeDocument/2006/relationships/hyperlink" Target="https://analytics.zhihuiya.com/patent-view/abst?patentId=9013ca6a-1321-4645-876f-183b4c468674" TargetMode="External"/><Relationship Id="rId2460" Type="http://schemas.openxmlformats.org/officeDocument/2006/relationships/hyperlink" Target="https://analytics.zhihuiya.com/patent-view/abst?patentId=206c0638-77a0-4ce4-a3ec-be5f5f514964" TargetMode="External"/><Relationship Id="rId3304" Type="http://schemas.openxmlformats.org/officeDocument/2006/relationships/hyperlink" Target="https://analytics.zhihuiya.com/patent-view/abst?patentId=9cbe367c-794d-4a93-a0a3-5be5af06b9b2" TargetMode="External"/><Relationship Id="rId3511" Type="http://schemas.openxmlformats.org/officeDocument/2006/relationships/hyperlink" Target="https://analytics.zhihuiya.com/patent-view/abst?patentId=3f15b861-76c6-4bd8-8872-e09a09743bc1" TargetMode="External"/><Relationship Id="rId225" Type="http://schemas.openxmlformats.org/officeDocument/2006/relationships/hyperlink" Target="https://analytics.zhihuiya.com/patent-view/abst?patentId=52cd931c-0fe7-45fe-99ec-e74a4951d6ec" TargetMode="External"/><Relationship Id="rId432" Type="http://schemas.openxmlformats.org/officeDocument/2006/relationships/hyperlink" Target="https://analytics.zhihuiya.com/patent-view/abst?patentId=51dcf24f-04c4-46aa-b75b-aa1525514e2e" TargetMode="External"/><Relationship Id="rId1062" Type="http://schemas.openxmlformats.org/officeDocument/2006/relationships/hyperlink" Target="https://analytics.zhihuiya.com/patent-view/abst?patentId=d9c2834e-3b36-4fd4-83bf-799d5eceb9b1" TargetMode="External"/><Relationship Id="rId2113" Type="http://schemas.openxmlformats.org/officeDocument/2006/relationships/hyperlink" Target="https://analytics.zhihuiya.com/patent-view/abst?patentId=37a8c967-504f-46fa-8322-11a734d4ee20" TargetMode="External"/><Relationship Id="rId2320" Type="http://schemas.openxmlformats.org/officeDocument/2006/relationships/hyperlink" Target="https://analytics.zhihuiya.com/patent-view/abst?patentId=6ef7bdf8-732f-46ba-86c7-1122d68b8168" TargetMode="External"/><Relationship Id="rId4078" Type="http://schemas.openxmlformats.org/officeDocument/2006/relationships/hyperlink" Target="https://analytics.zhihuiya.com/patent-view/abst?patentId=c85c78ce-e497-4d80-bacd-5f560fe79d7f" TargetMode="External"/><Relationship Id="rId4285" Type="http://schemas.openxmlformats.org/officeDocument/2006/relationships/hyperlink" Target="https://analytics.zhihuiya.com/patent-view/abst?patentId=d23b452e-5e97-42a2-bbe6-ccbce30691db" TargetMode="External"/><Relationship Id="rId1879" Type="http://schemas.openxmlformats.org/officeDocument/2006/relationships/hyperlink" Target="https://analytics.zhihuiya.com/patent-view/abst?patentId=b8ce2a66-05d9-43f7-b028-66b74ad9b849" TargetMode="External"/><Relationship Id="rId3094" Type="http://schemas.openxmlformats.org/officeDocument/2006/relationships/hyperlink" Target="https://analytics.zhihuiya.com/patent-view/abst?patentId=3e0b97ae-7f2f-439f-b7e5-a743d5d7cfd2" TargetMode="External"/><Relationship Id="rId4145" Type="http://schemas.openxmlformats.org/officeDocument/2006/relationships/hyperlink" Target="https://analytics.zhihuiya.com/patent-view/abst?patentId=b7165351-389c-4b10-9b4f-935b150f59fb" TargetMode="External"/><Relationship Id="rId1739" Type="http://schemas.openxmlformats.org/officeDocument/2006/relationships/hyperlink" Target="https://analytics.zhihuiya.com/patent-view/abst?patentId=4ddaef18-2145-42ea-8de3-c1d1815f116d" TargetMode="External"/><Relationship Id="rId1946" Type="http://schemas.openxmlformats.org/officeDocument/2006/relationships/hyperlink" Target="https://analytics.zhihuiya.com/patent-view/abst?patentId=c296854f-933f-4182-a86f-1d2cd2218d04" TargetMode="External"/><Relationship Id="rId4005" Type="http://schemas.openxmlformats.org/officeDocument/2006/relationships/hyperlink" Target="https://analytics.zhihuiya.com/patent-view/abst?patentId=7693db14-73a3-46f3-89d3-e783772d4294" TargetMode="External"/><Relationship Id="rId4352" Type="http://schemas.openxmlformats.org/officeDocument/2006/relationships/hyperlink" Target="https://analytics.zhihuiya.com/patent-view/abst?patentId=edba4bc7-247b-4b08-a4c0-0110ae87fe6b" TargetMode="External"/><Relationship Id="rId1806" Type="http://schemas.openxmlformats.org/officeDocument/2006/relationships/hyperlink" Target="https://analytics.zhihuiya.com/patent-view/abst?patentId=7553b1b9-ecf4-4dc7-952f-ff9d68cbd373" TargetMode="External"/><Relationship Id="rId3161" Type="http://schemas.openxmlformats.org/officeDocument/2006/relationships/hyperlink" Target="https://analytics.zhihuiya.com/patent-view/abst?patentId=37f7433b-d946-4b04-9357-8a218b9bef62" TargetMode="External"/><Relationship Id="rId4212" Type="http://schemas.openxmlformats.org/officeDocument/2006/relationships/hyperlink" Target="https://analytics.zhihuiya.com/patent-view/abst?patentId=0e479639-4459-49b8-a46c-e36b53db033f" TargetMode="External"/><Relationship Id="rId3021" Type="http://schemas.openxmlformats.org/officeDocument/2006/relationships/hyperlink" Target="https://analytics.zhihuiya.com/patent-view/abst?patentId=7f66b8fd-3a14-4c68-be75-af00cc1f45cf" TargetMode="External"/><Relationship Id="rId3978" Type="http://schemas.openxmlformats.org/officeDocument/2006/relationships/hyperlink" Target="https://analytics.zhihuiya.com/patent-view/abst?patentId=d5e640d6-6278-43ca-acfe-ca6f40965dbc" TargetMode="External"/><Relationship Id="rId899" Type="http://schemas.openxmlformats.org/officeDocument/2006/relationships/hyperlink" Target="https://analytics.zhihuiya.com/patent-view/abst?patentId=00f92f4b-b327-4a08-84e1-7ad97ee9b2e7" TargetMode="External"/><Relationship Id="rId2787" Type="http://schemas.openxmlformats.org/officeDocument/2006/relationships/hyperlink" Target="https://analytics.zhihuiya.com/patent-view/abst?patentId=70c31774-5370-454f-a556-0d08287a7b7b" TargetMode="External"/><Relationship Id="rId3838" Type="http://schemas.openxmlformats.org/officeDocument/2006/relationships/hyperlink" Target="https://analytics.zhihuiya.com/patent-view/abst?patentId=66f889ae-2be4-4512-84ed-d87c8042a002" TargetMode="External"/><Relationship Id="rId759" Type="http://schemas.openxmlformats.org/officeDocument/2006/relationships/hyperlink" Target="https://analytics.zhihuiya.com/patent-view/abst?patentId=102fd896-4b62-4788-bfd2-31ddafe21915" TargetMode="External"/><Relationship Id="rId966" Type="http://schemas.openxmlformats.org/officeDocument/2006/relationships/hyperlink" Target="https://analytics.zhihuiya.com/patent-view/abst?patentId=f5a47c97-30f8-44a9-bb76-bc9fa44cefb3" TargetMode="External"/><Relationship Id="rId1389" Type="http://schemas.openxmlformats.org/officeDocument/2006/relationships/hyperlink" Target="https://analytics.zhihuiya.com/patent-view/abst?patentId=8a2af649-7993-4b79-b6a0-f8415a5a5c54" TargetMode="External"/><Relationship Id="rId1596" Type="http://schemas.openxmlformats.org/officeDocument/2006/relationships/hyperlink" Target="https://analytics.zhihuiya.com/patent-view/abst?patentId=3eb4ef53-0046-4d0b-ae9f-dc4d0f6955b3" TargetMode="External"/><Relationship Id="rId2647" Type="http://schemas.openxmlformats.org/officeDocument/2006/relationships/hyperlink" Target="https://analytics.zhihuiya.com/patent-view/abst?patentId=437cf53e-0b7b-4e67-9eb8-22fbe7f88ef5" TargetMode="External"/><Relationship Id="rId2994" Type="http://schemas.openxmlformats.org/officeDocument/2006/relationships/hyperlink" Target="https://analytics.zhihuiya.com/patent-view/abst?patentId=8c10e19e-7a79-48f8-a3d8-d223da27b592" TargetMode="External"/><Relationship Id="rId619" Type="http://schemas.openxmlformats.org/officeDocument/2006/relationships/hyperlink" Target="https://analytics.zhihuiya.com/patent-view/abst?patentId=5e997ad0-7c18-4a9e-bd9c-95143665b901" TargetMode="External"/><Relationship Id="rId1249" Type="http://schemas.openxmlformats.org/officeDocument/2006/relationships/hyperlink" Target="https://analytics.zhihuiya.com/patent-view/abst?patentId=2738f6e4-5026-4ba5-951f-badd126014dd" TargetMode="External"/><Relationship Id="rId2854" Type="http://schemas.openxmlformats.org/officeDocument/2006/relationships/hyperlink" Target="https://analytics.zhihuiya.com/patent-view/abst?patentId=d0351837-8783-49d8-882f-4c507839abea" TargetMode="External"/><Relationship Id="rId3905" Type="http://schemas.openxmlformats.org/officeDocument/2006/relationships/hyperlink" Target="https://analytics.zhihuiya.com/patent-view/abst?patentId=b9e078a0-827a-47f1-99ba-36a3a4c92ba6" TargetMode="External"/><Relationship Id="rId95" Type="http://schemas.openxmlformats.org/officeDocument/2006/relationships/hyperlink" Target="https://analytics.zhihuiya.com/patent-view/abst?patentId=0101b895-9467-486d-afc6-df20d18fa961" TargetMode="External"/><Relationship Id="rId826" Type="http://schemas.openxmlformats.org/officeDocument/2006/relationships/hyperlink" Target="https://analytics.zhihuiya.com/patent-view/abst?patentId=215c85c7-4f8e-4665-b2c7-c31cea609eeb" TargetMode="External"/><Relationship Id="rId1109" Type="http://schemas.openxmlformats.org/officeDocument/2006/relationships/hyperlink" Target="https://analytics.zhihuiya.com/patent-view/abst?patentId=90b32363-59a6-473e-8edb-6e949cec1697" TargetMode="External"/><Relationship Id="rId1456" Type="http://schemas.openxmlformats.org/officeDocument/2006/relationships/hyperlink" Target="https://analytics.zhihuiya.com/patent-view/abst?patentId=6842de14-bba2-4ff8-8345-05db487c661e" TargetMode="External"/><Relationship Id="rId1663" Type="http://schemas.openxmlformats.org/officeDocument/2006/relationships/hyperlink" Target="https://analytics.zhihuiya.com/patent-view/abst?patentId=6d11c071-852a-4195-b663-04917eac2329" TargetMode="External"/><Relationship Id="rId1870" Type="http://schemas.openxmlformats.org/officeDocument/2006/relationships/hyperlink" Target="https://analytics.zhihuiya.com/patent-view/abst?patentId=1f9d1953-48bb-42b7-b869-77dc3dc7eb06" TargetMode="External"/><Relationship Id="rId2507" Type="http://schemas.openxmlformats.org/officeDocument/2006/relationships/hyperlink" Target="https://analytics.zhihuiya.com/patent-view/abst?patentId=7421d3bb-63dc-4030-a154-38559e2cea97" TargetMode="External"/><Relationship Id="rId2714" Type="http://schemas.openxmlformats.org/officeDocument/2006/relationships/hyperlink" Target="https://analytics.zhihuiya.com/patent-view/abst?patentId=60e383bd-497d-478e-b2ff-2a6227cc792b" TargetMode="External"/><Relationship Id="rId2921" Type="http://schemas.openxmlformats.org/officeDocument/2006/relationships/hyperlink" Target="https://analytics.zhihuiya.com/patent-view/abst?patentId=bfc3251d-2b0a-41a5-9db3-c25f4967cd91" TargetMode="External"/><Relationship Id="rId1316" Type="http://schemas.openxmlformats.org/officeDocument/2006/relationships/hyperlink" Target="https://analytics.zhihuiya.com/patent-view/abst?patentId=ee6d5bda-f6af-4c9f-afdd-d1ac8ff1d243" TargetMode="External"/><Relationship Id="rId1523" Type="http://schemas.openxmlformats.org/officeDocument/2006/relationships/hyperlink" Target="https://analytics.zhihuiya.com/patent-view/abst?patentId=621c50ab-8377-4caa-adb6-7a5e87dc2797" TargetMode="External"/><Relationship Id="rId1730" Type="http://schemas.openxmlformats.org/officeDocument/2006/relationships/hyperlink" Target="https://analytics.zhihuiya.com/patent-view/abst?patentId=c9341098-9fb5-4cbc-8f8c-c0e1138baeb9" TargetMode="External"/><Relationship Id="rId22" Type="http://schemas.openxmlformats.org/officeDocument/2006/relationships/hyperlink" Target="https://analytics.zhihuiya.com/patent-view/abst?patentId=adf9dc13-0059-4f3a-9426-c055329f6bd0" TargetMode="External"/><Relationship Id="rId3488" Type="http://schemas.openxmlformats.org/officeDocument/2006/relationships/hyperlink" Target="https://analytics.zhihuiya.com/patent-view/abst?patentId=efc38dcf-755a-4232-bb3d-94b9ba038ef4" TargetMode="External"/><Relationship Id="rId3695" Type="http://schemas.openxmlformats.org/officeDocument/2006/relationships/hyperlink" Target="https://analytics.zhihuiya.com/patent-view/abst?patentId=11ddb3dc-1144-4037-be44-e8ed90cd6a10" TargetMode="External"/><Relationship Id="rId2297" Type="http://schemas.openxmlformats.org/officeDocument/2006/relationships/hyperlink" Target="https://analytics.zhihuiya.com/patent-view/abst?patentId=4cab61a8-30e8-41b1-918f-e72f0d070afe" TargetMode="External"/><Relationship Id="rId3348" Type="http://schemas.openxmlformats.org/officeDocument/2006/relationships/hyperlink" Target="https://analytics.zhihuiya.com/patent-view/abst?patentId=aca6c13f-482c-4ab6-8567-f8f994d51d22" TargetMode="External"/><Relationship Id="rId3555" Type="http://schemas.openxmlformats.org/officeDocument/2006/relationships/hyperlink" Target="https://analytics.zhihuiya.com/patent-view/abst?patentId=89cb08aa-43ec-4595-b8d3-6b58c70b7f65" TargetMode="External"/><Relationship Id="rId3762" Type="http://schemas.openxmlformats.org/officeDocument/2006/relationships/hyperlink" Target="https://analytics.zhihuiya.com/patent-view/abst?patentId=e0fc87db-31c3-4627-bb3d-611ed9c6302e" TargetMode="External"/><Relationship Id="rId269" Type="http://schemas.openxmlformats.org/officeDocument/2006/relationships/hyperlink" Target="https://analytics.zhihuiya.com/patent-view/abst?patentId=3d68770e-ba50-49fc-abd8-1c403afe7bbe" TargetMode="External"/><Relationship Id="rId476" Type="http://schemas.openxmlformats.org/officeDocument/2006/relationships/hyperlink" Target="https://analytics.zhihuiya.com/patent-view/abst?patentId=81df91cc-1114-4b8e-ba0f-ab0667324994" TargetMode="External"/><Relationship Id="rId683" Type="http://schemas.openxmlformats.org/officeDocument/2006/relationships/hyperlink" Target="https://analytics.zhihuiya.com/patent-view/abst?patentId=114142d8-237d-4d27-bc49-fc4c685f3b53" TargetMode="External"/><Relationship Id="rId890" Type="http://schemas.openxmlformats.org/officeDocument/2006/relationships/hyperlink" Target="https://analytics.zhihuiya.com/patent-view/abst?patentId=8d5ed7a8-2921-4fd4-961b-3484b9bba253" TargetMode="External"/><Relationship Id="rId2157" Type="http://schemas.openxmlformats.org/officeDocument/2006/relationships/hyperlink" Target="https://analytics.zhihuiya.com/patent-view/abst?patentId=c0088d32-1c89-47ad-ba7f-f9bbdef0a66b" TargetMode="External"/><Relationship Id="rId2364" Type="http://schemas.openxmlformats.org/officeDocument/2006/relationships/hyperlink" Target="https://analytics.zhihuiya.com/patent-view/abst?patentId=349183d8-20eb-4ad6-aa86-a48b510a5d11" TargetMode="External"/><Relationship Id="rId2571" Type="http://schemas.openxmlformats.org/officeDocument/2006/relationships/hyperlink" Target="https://analytics.zhihuiya.com/patent-view/abst?patentId=f009869d-486e-412e-9056-946f14dfa0fd" TargetMode="External"/><Relationship Id="rId3208" Type="http://schemas.openxmlformats.org/officeDocument/2006/relationships/hyperlink" Target="https://analytics.zhihuiya.com/patent-view/abst?patentId=2bae9621-ae02-4a25-aa1e-f88501d1eade" TargetMode="External"/><Relationship Id="rId3415" Type="http://schemas.openxmlformats.org/officeDocument/2006/relationships/hyperlink" Target="https://analytics.zhihuiya.com/patent-view/abst?patentId=24222c93-7a9b-43c3-8ef8-b2f91b940056" TargetMode="External"/><Relationship Id="rId129" Type="http://schemas.openxmlformats.org/officeDocument/2006/relationships/hyperlink" Target="https://analytics.zhihuiya.com/patent-view/abst?patentId=02675049-37a2-46b5-9c1b-024c95e1c907" TargetMode="External"/><Relationship Id="rId336" Type="http://schemas.openxmlformats.org/officeDocument/2006/relationships/hyperlink" Target="https://analytics.zhihuiya.com/patent-view/abst?patentId=9d567f0c-6d23-4c0e-9a35-05cd50432b64" TargetMode="External"/><Relationship Id="rId543" Type="http://schemas.openxmlformats.org/officeDocument/2006/relationships/hyperlink" Target="https://analytics.zhihuiya.com/patent-view/abst?patentId=f8e4d066-747b-4b4d-94dc-2f9152c3f45a" TargetMode="External"/><Relationship Id="rId1173" Type="http://schemas.openxmlformats.org/officeDocument/2006/relationships/hyperlink" Target="https://analytics.zhihuiya.com/patent-view/abst?patentId=57d23735-597f-45f8-adfd-1e3894b44299" TargetMode="External"/><Relationship Id="rId1380" Type="http://schemas.openxmlformats.org/officeDocument/2006/relationships/hyperlink" Target="https://analytics.zhihuiya.com/patent-view/abst?patentId=563b817e-72bf-414a-962f-00f87b306bbb" TargetMode="External"/><Relationship Id="rId2017" Type="http://schemas.openxmlformats.org/officeDocument/2006/relationships/hyperlink" Target="https://analytics.zhihuiya.com/patent-view/abst?patentId=d3ba56a5-1987-425a-8251-54807e6b578b" TargetMode="External"/><Relationship Id="rId2224" Type="http://schemas.openxmlformats.org/officeDocument/2006/relationships/hyperlink" Target="https://analytics.zhihuiya.com/patent-view/abst?patentId=aaba8408-d8ab-437c-8ff2-22119b5b1eae" TargetMode="External"/><Relationship Id="rId3622" Type="http://schemas.openxmlformats.org/officeDocument/2006/relationships/hyperlink" Target="https://analytics.zhihuiya.com/patent-view/abst?patentId=58b4fe93-040d-4228-892e-f5a046581b6e" TargetMode="External"/><Relationship Id="rId403" Type="http://schemas.openxmlformats.org/officeDocument/2006/relationships/hyperlink" Target="https://analytics.zhihuiya.com/patent-view/abst?patentId=b9f05316-c9d5-4c11-ade6-2ece5fdb8f64" TargetMode="External"/><Relationship Id="rId750" Type="http://schemas.openxmlformats.org/officeDocument/2006/relationships/hyperlink" Target="https://analytics.zhihuiya.com/patent-view/abst?patentId=1edbf669-8b18-4d0e-b391-3a878da3d1ce" TargetMode="External"/><Relationship Id="rId1033" Type="http://schemas.openxmlformats.org/officeDocument/2006/relationships/hyperlink" Target="https://analytics.zhihuiya.com/patent-view/abst?patentId=7bac7163-ccc7-4e81-84dd-09118bda0726" TargetMode="External"/><Relationship Id="rId2431" Type="http://schemas.openxmlformats.org/officeDocument/2006/relationships/hyperlink" Target="https://analytics.zhihuiya.com/patent-view/abst?patentId=741cdd29-94e5-435e-9249-87c9235cf6ee" TargetMode="External"/><Relationship Id="rId4189" Type="http://schemas.openxmlformats.org/officeDocument/2006/relationships/hyperlink" Target="https://analytics.zhihuiya.com/patent-view/abst?patentId=a296b699-03de-41c5-a5cf-7a66bb79caf5" TargetMode="External"/><Relationship Id="rId610" Type="http://schemas.openxmlformats.org/officeDocument/2006/relationships/hyperlink" Target="https://analytics.zhihuiya.com/patent-view/abst?patentId=1c3b2fe7-5788-4aeb-bf97-26133ca79a38" TargetMode="External"/><Relationship Id="rId1240" Type="http://schemas.openxmlformats.org/officeDocument/2006/relationships/hyperlink" Target="https://analytics.zhihuiya.com/patent-view/abst?patentId=638d7ef2-c821-4ad8-a5c0-23f164d5c9d4" TargetMode="External"/><Relationship Id="rId4049" Type="http://schemas.openxmlformats.org/officeDocument/2006/relationships/hyperlink" Target="https://analytics.zhihuiya.com/patent-view/abst?patentId=ce72f8b8-5c37-4106-8bbd-41c47d22bef1" TargetMode="External"/><Relationship Id="rId4396" Type="http://schemas.openxmlformats.org/officeDocument/2006/relationships/hyperlink" Target="https://analytics.zhihuiya.com/patent-view/abst?patentId=a9104fd8-5e9d-4169-ab14-03d537a99bd4" TargetMode="External"/><Relationship Id="rId1100" Type="http://schemas.openxmlformats.org/officeDocument/2006/relationships/hyperlink" Target="https://analytics.zhihuiya.com/patent-view/abst?patentId=cf9c64f6-2d1a-4aa2-993d-ec9e2cbea754" TargetMode="External"/><Relationship Id="rId4256" Type="http://schemas.openxmlformats.org/officeDocument/2006/relationships/hyperlink" Target="https://analytics.zhihuiya.com/patent-view/abst?patentId=98b3cde8-78d3-43ca-bcd1-49e736fd48af" TargetMode="External"/><Relationship Id="rId1917" Type="http://schemas.openxmlformats.org/officeDocument/2006/relationships/hyperlink" Target="https://analytics.zhihuiya.com/patent-view/abst?patentId=1754e0c7-5f81-4a86-b07d-7ad502739a98" TargetMode="External"/><Relationship Id="rId3065" Type="http://schemas.openxmlformats.org/officeDocument/2006/relationships/hyperlink" Target="https://analytics.zhihuiya.com/patent-view/abst?patentId=5aa3732d-b6f8-4634-9f54-172975dd8238" TargetMode="External"/><Relationship Id="rId3272" Type="http://schemas.openxmlformats.org/officeDocument/2006/relationships/hyperlink" Target="https://analytics.zhihuiya.com/patent-view/abst?patentId=04d5e288-8ee6-40bf-8d67-c677572b205d" TargetMode="External"/><Relationship Id="rId4116" Type="http://schemas.openxmlformats.org/officeDocument/2006/relationships/hyperlink" Target="https://analytics.zhihuiya.com/patent-view/abst?patentId=81653dff-9f6d-454b-8370-17f1e9929cc6" TargetMode="External"/><Relationship Id="rId4323" Type="http://schemas.openxmlformats.org/officeDocument/2006/relationships/hyperlink" Target="https://analytics.zhihuiya.com/patent-view/abst?patentId=50337d83-d6a1-479f-88f7-8995e5daeecd" TargetMode="External"/><Relationship Id="rId193" Type="http://schemas.openxmlformats.org/officeDocument/2006/relationships/hyperlink" Target="https://analytics.zhihuiya.com/patent-view/abst?patentId=9ab4483b-85ab-4617-8e48-6412f291ec48" TargetMode="External"/><Relationship Id="rId2081" Type="http://schemas.openxmlformats.org/officeDocument/2006/relationships/hyperlink" Target="https://analytics.zhihuiya.com/patent-view/abst?patentId=234af754-ec97-4d69-b6c1-7dc08d4e61ba" TargetMode="External"/><Relationship Id="rId3132" Type="http://schemas.openxmlformats.org/officeDocument/2006/relationships/hyperlink" Target="https://analytics.zhihuiya.com/patent-view/abst?patentId=4dcfd89d-37cc-43d1-ac0b-52976c0ffcd5" TargetMode="External"/><Relationship Id="rId260" Type="http://schemas.openxmlformats.org/officeDocument/2006/relationships/hyperlink" Target="https://analytics.zhihuiya.com/patent-view/abst?patentId=c66686e5-9b59-4791-b695-1922a7969c0d" TargetMode="External"/><Relationship Id="rId120" Type="http://schemas.openxmlformats.org/officeDocument/2006/relationships/hyperlink" Target="https://analytics.zhihuiya.com/patent-view/abst?patentId=780dc9e1-e305-42ea-af09-c62bd26df1f7" TargetMode="External"/><Relationship Id="rId2898" Type="http://schemas.openxmlformats.org/officeDocument/2006/relationships/hyperlink" Target="https://analytics.zhihuiya.com/patent-view/abst?patentId=aedc64d3-7ae8-41ac-afba-c3f3d006f9c7" TargetMode="External"/><Relationship Id="rId3949" Type="http://schemas.openxmlformats.org/officeDocument/2006/relationships/hyperlink" Target="https://analytics.zhihuiya.com/patent-view/abst?patentId=7d0fdc45-c361-4398-89c1-947ed9a31b1b" TargetMode="External"/><Relationship Id="rId2758" Type="http://schemas.openxmlformats.org/officeDocument/2006/relationships/hyperlink" Target="https://analytics.zhihuiya.com/patent-view/abst?patentId=fa66d0bf-7e0c-4122-bdb9-09743d94cf5e" TargetMode="External"/><Relationship Id="rId2965" Type="http://schemas.openxmlformats.org/officeDocument/2006/relationships/hyperlink" Target="https://analytics.zhihuiya.com/patent-view/abst?patentId=9fd29497-beb0-4ae9-a26c-a08e42fa133e" TargetMode="External"/><Relationship Id="rId3809" Type="http://schemas.openxmlformats.org/officeDocument/2006/relationships/hyperlink" Target="https://analytics.zhihuiya.com/patent-view/abst?patentId=84f59736-d770-4538-9050-846361748f22" TargetMode="External"/><Relationship Id="rId937" Type="http://schemas.openxmlformats.org/officeDocument/2006/relationships/hyperlink" Target="https://analytics.zhihuiya.com/patent-view/abst?patentId=681960b2-a5ea-45d2-bba5-a9d01cd0e7d7" TargetMode="External"/><Relationship Id="rId1567" Type="http://schemas.openxmlformats.org/officeDocument/2006/relationships/hyperlink" Target="https://analytics.zhihuiya.com/patent-view/abst?patentId=b6fb9b81-775f-4566-b43b-f2b8bd870069" TargetMode="External"/><Relationship Id="rId1774" Type="http://schemas.openxmlformats.org/officeDocument/2006/relationships/hyperlink" Target="https://analytics.zhihuiya.com/patent-view/abst?patentId=21c223ae-5238-4dd6-93f0-225aa9a947bd" TargetMode="External"/><Relationship Id="rId1981" Type="http://schemas.openxmlformats.org/officeDocument/2006/relationships/hyperlink" Target="https://analytics.zhihuiya.com/patent-view/abst?patentId=52a6773c-e97e-44bc-95ea-376e137652a8" TargetMode="External"/><Relationship Id="rId2618" Type="http://schemas.openxmlformats.org/officeDocument/2006/relationships/hyperlink" Target="https://analytics.zhihuiya.com/patent-view/abst?patentId=172d0bd3-06a6-4d62-8d0b-a439abf6108b" TargetMode="External"/><Relationship Id="rId2825" Type="http://schemas.openxmlformats.org/officeDocument/2006/relationships/hyperlink" Target="https://analytics.zhihuiya.com/patent-view/abst?patentId=e695d5d8-1690-49b7-9686-0b611ef3e0af" TargetMode="External"/><Relationship Id="rId4180" Type="http://schemas.openxmlformats.org/officeDocument/2006/relationships/hyperlink" Target="https://analytics.zhihuiya.com/patent-view/abst?patentId=5c8eafbd-4b62-4008-883e-3f65c379a59c" TargetMode="External"/><Relationship Id="rId66" Type="http://schemas.openxmlformats.org/officeDocument/2006/relationships/hyperlink" Target="https://analytics.zhihuiya.com/patent-view/abst?patentId=2bab8f9f-6ddc-419c-86e4-2245afed1b94" TargetMode="External"/><Relationship Id="rId1427" Type="http://schemas.openxmlformats.org/officeDocument/2006/relationships/hyperlink" Target="https://analytics.zhihuiya.com/patent-view/abst?patentId=5622c86b-dbbb-4e9c-b1be-40066a56190c" TargetMode="External"/><Relationship Id="rId1634" Type="http://schemas.openxmlformats.org/officeDocument/2006/relationships/hyperlink" Target="https://analytics.zhihuiya.com/patent-view/abst?patentId=336dec7a-7b55-4a01-9367-b32c02555595" TargetMode="External"/><Relationship Id="rId1841" Type="http://schemas.openxmlformats.org/officeDocument/2006/relationships/hyperlink" Target="https://analytics.zhihuiya.com/patent-view/abst?patentId=eebbfc30-b8b2-4a57-9fd0-35ce0669df47" TargetMode="External"/><Relationship Id="rId4040" Type="http://schemas.openxmlformats.org/officeDocument/2006/relationships/hyperlink" Target="https://analytics.zhihuiya.com/patent-view/abst?patentId=7beaa3c3-c4be-48bb-92ab-251ee3777329" TargetMode="External"/><Relationship Id="rId3599" Type="http://schemas.openxmlformats.org/officeDocument/2006/relationships/hyperlink" Target="https://analytics.zhihuiya.com/patent-view/abst?patentId=63e41069-fa1c-42ca-a50b-8e7d846ac4e4" TargetMode="External"/><Relationship Id="rId1701" Type="http://schemas.openxmlformats.org/officeDocument/2006/relationships/hyperlink" Target="https://analytics.zhihuiya.com/patent-view/abst?patentId=6b6719f2-b020-4f87-91cf-828665d748f9" TargetMode="External"/><Relationship Id="rId3459" Type="http://schemas.openxmlformats.org/officeDocument/2006/relationships/hyperlink" Target="https://analytics.zhihuiya.com/patent-view/abst?patentId=3cbe7692-405c-46a1-b5b6-e3ccd09b70dc" TargetMode="External"/><Relationship Id="rId3666" Type="http://schemas.openxmlformats.org/officeDocument/2006/relationships/hyperlink" Target="https://analytics.zhihuiya.com/patent-view/abst?patentId=a5d9101d-59a4-408e-b9d5-cb1a9b286770" TargetMode="External"/><Relationship Id="rId587" Type="http://schemas.openxmlformats.org/officeDocument/2006/relationships/hyperlink" Target="https://analytics.zhihuiya.com/patent-view/abst?patentId=314ed348-b34b-4b64-b972-04dc05919286" TargetMode="External"/><Relationship Id="rId2268" Type="http://schemas.openxmlformats.org/officeDocument/2006/relationships/hyperlink" Target="https://analytics.zhihuiya.com/patent-view/abst?patentId=9158b89a-4f71-4f6f-b663-2a0cfc0b6c44" TargetMode="External"/><Relationship Id="rId3319" Type="http://schemas.openxmlformats.org/officeDocument/2006/relationships/hyperlink" Target="https://analytics.zhihuiya.com/patent-view/abst?patentId=fb2cb01b-25ac-4478-9c9b-32955a6390b7" TargetMode="External"/><Relationship Id="rId3873" Type="http://schemas.openxmlformats.org/officeDocument/2006/relationships/hyperlink" Target="https://analytics.zhihuiya.com/patent-view/abst?patentId=ad229c34-4525-45ba-9509-7ce79b92f31a" TargetMode="External"/><Relationship Id="rId447" Type="http://schemas.openxmlformats.org/officeDocument/2006/relationships/hyperlink" Target="https://analytics.zhihuiya.com/patent-view/abst?patentId=ca7e9a2c-50ee-4da6-90f9-c64a37a113df" TargetMode="External"/><Relationship Id="rId794" Type="http://schemas.openxmlformats.org/officeDocument/2006/relationships/hyperlink" Target="https://analytics.zhihuiya.com/patent-view/abst?patentId=f2bd3072-3500-49bd-a22d-72c51733b758" TargetMode="External"/><Relationship Id="rId1077" Type="http://schemas.openxmlformats.org/officeDocument/2006/relationships/hyperlink" Target="https://analytics.zhihuiya.com/patent-view/abst?patentId=7ae05e12-7cfe-4ded-8a13-c4892cd9153e" TargetMode="External"/><Relationship Id="rId2128" Type="http://schemas.openxmlformats.org/officeDocument/2006/relationships/hyperlink" Target="https://analytics.zhihuiya.com/patent-view/abst?patentId=272a320a-3ac2-4eb2-9925-295a24cb97c8" TargetMode="External"/><Relationship Id="rId2475" Type="http://schemas.openxmlformats.org/officeDocument/2006/relationships/hyperlink" Target="https://analytics.zhihuiya.com/patent-view/abst?patentId=14f2c0e9-2985-45b7-8eca-77521696389b" TargetMode="External"/><Relationship Id="rId2682" Type="http://schemas.openxmlformats.org/officeDocument/2006/relationships/hyperlink" Target="https://analytics.zhihuiya.com/patent-view/abst?patentId=ae8ca450-c606-47d1-929f-a0acf012b874" TargetMode="External"/><Relationship Id="rId3526" Type="http://schemas.openxmlformats.org/officeDocument/2006/relationships/hyperlink" Target="https://analytics.zhihuiya.com/patent-view/abst?patentId=b2883b0c-4583-408c-adfd-40ea1ed23490" TargetMode="External"/><Relationship Id="rId3733" Type="http://schemas.openxmlformats.org/officeDocument/2006/relationships/hyperlink" Target="https://analytics.zhihuiya.com/patent-view/abst?patentId=6a61dd2c-ddc1-4771-9847-c84dae6c6172" TargetMode="External"/><Relationship Id="rId3940" Type="http://schemas.openxmlformats.org/officeDocument/2006/relationships/hyperlink" Target="https://analytics.zhihuiya.com/patent-view/abst?patentId=139feed7-1406-4794-a6fb-171998df3bb1" TargetMode="External"/><Relationship Id="rId654" Type="http://schemas.openxmlformats.org/officeDocument/2006/relationships/hyperlink" Target="https://analytics.zhihuiya.com/patent-view/abst?patentId=1387f04d-a3b4-41ea-a5ef-9561d21266b5" TargetMode="External"/><Relationship Id="rId861" Type="http://schemas.openxmlformats.org/officeDocument/2006/relationships/hyperlink" Target="https://analytics.zhihuiya.com/patent-view/abst?patentId=eb50dcab-acd3-44e6-a81e-64508e20cd27" TargetMode="External"/><Relationship Id="rId1284" Type="http://schemas.openxmlformats.org/officeDocument/2006/relationships/hyperlink" Target="https://analytics.zhihuiya.com/patent-view/abst?patentId=c83906a0-832e-4804-94d7-ed72c7bc7975" TargetMode="External"/><Relationship Id="rId1491" Type="http://schemas.openxmlformats.org/officeDocument/2006/relationships/hyperlink" Target="https://analytics.zhihuiya.com/patent-view/abst?patentId=6af9c881-f3db-4a29-a193-fd8ea5d12d60" TargetMode="External"/><Relationship Id="rId2335" Type="http://schemas.openxmlformats.org/officeDocument/2006/relationships/hyperlink" Target="https://analytics.zhihuiya.com/patent-view/abst?patentId=bebc703c-69ea-43c6-848a-56bd8e689917" TargetMode="External"/><Relationship Id="rId2542" Type="http://schemas.openxmlformats.org/officeDocument/2006/relationships/hyperlink" Target="https://analytics.zhihuiya.com/patent-view/abst?patentId=a2598099-f06c-434e-a243-98e6dcb783c0" TargetMode="External"/><Relationship Id="rId3800" Type="http://schemas.openxmlformats.org/officeDocument/2006/relationships/hyperlink" Target="https://analytics.zhihuiya.com/patent-view/abst?patentId=eaeca42b-1a4a-4d2a-986e-6a1b98f368dd" TargetMode="External"/><Relationship Id="rId307" Type="http://schemas.openxmlformats.org/officeDocument/2006/relationships/hyperlink" Target="https://analytics.zhihuiya.com/patent-view/abst?patentId=fc02b5b7-441a-46dd-ba55-3dbb1a39c6ef" TargetMode="External"/><Relationship Id="rId514" Type="http://schemas.openxmlformats.org/officeDocument/2006/relationships/hyperlink" Target="https://analytics.zhihuiya.com/patent-view/abst?patentId=73352f20-26d3-4691-ae7d-9bdb6c6bb56d" TargetMode="External"/><Relationship Id="rId721" Type="http://schemas.openxmlformats.org/officeDocument/2006/relationships/hyperlink" Target="https://analytics.zhihuiya.com/patent-view/abst?patentId=84071b0a-3939-4744-9ab4-f462b091a6c4" TargetMode="External"/><Relationship Id="rId1144" Type="http://schemas.openxmlformats.org/officeDocument/2006/relationships/hyperlink" Target="https://analytics.zhihuiya.com/patent-view/abst?patentId=3b652e82-a96b-4dd9-80f9-8deaafc72e7a" TargetMode="External"/><Relationship Id="rId1351" Type="http://schemas.openxmlformats.org/officeDocument/2006/relationships/hyperlink" Target="https://analytics.zhihuiya.com/patent-view/abst?patentId=bd54b6ad-092f-5ee6-52ed-46cbec677a7b" TargetMode="External"/><Relationship Id="rId2402" Type="http://schemas.openxmlformats.org/officeDocument/2006/relationships/hyperlink" Target="https://analytics.zhihuiya.com/patent-view/abst?patentId=3b777cd2-6284-43cd-a9f7-8ddcb6cd8215" TargetMode="External"/><Relationship Id="rId1004" Type="http://schemas.openxmlformats.org/officeDocument/2006/relationships/hyperlink" Target="https://analytics.zhihuiya.com/patent-view/abst?patentId=6cba34fc-df4b-4a3e-9e51-7c1d99416180" TargetMode="External"/><Relationship Id="rId1211" Type="http://schemas.openxmlformats.org/officeDocument/2006/relationships/hyperlink" Target="https://analytics.zhihuiya.com/patent-view/abst?patentId=d5bfdef8-45db-4987-9e05-465332211bb0" TargetMode="External"/><Relationship Id="rId4367" Type="http://schemas.openxmlformats.org/officeDocument/2006/relationships/hyperlink" Target="https://analytics.zhihuiya.com/patent-view/abst?patentId=48561bdf-cfb7-445a-810c-2067d1bcf33d" TargetMode="External"/><Relationship Id="rId3176" Type="http://schemas.openxmlformats.org/officeDocument/2006/relationships/hyperlink" Target="https://analytics.zhihuiya.com/patent-view/abst?patentId=c059fee8-bc9d-413b-b612-1c388aa940e0" TargetMode="External"/><Relationship Id="rId3383" Type="http://schemas.openxmlformats.org/officeDocument/2006/relationships/hyperlink" Target="https://analytics.zhihuiya.com/patent-view/abst?patentId=df91d788-69f7-47a4-923f-749349db81b6" TargetMode="External"/><Relationship Id="rId3590" Type="http://schemas.openxmlformats.org/officeDocument/2006/relationships/hyperlink" Target="https://analytics.zhihuiya.com/patent-view/abst?patentId=e44c73e5-4125-4f46-920e-7c7dc3653f96" TargetMode="External"/><Relationship Id="rId4227" Type="http://schemas.openxmlformats.org/officeDocument/2006/relationships/hyperlink" Target="https://analytics.zhihuiya.com/patent-view/abst?patentId=6815ac7b-0142-4a60-a256-42b3ae4e8dbd" TargetMode="External"/><Relationship Id="rId4434" Type="http://schemas.openxmlformats.org/officeDocument/2006/relationships/hyperlink" Target="https://analytics.zhihuiya.com/patent-view/abst?patentId=2947bdd0-5350-43ea-bf58-970d98f80385" TargetMode="External"/><Relationship Id="rId2192" Type="http://schemas.openxmlformats.org/officeDocument/2006/relationships/hyperlink" Target="https://analytics.zhihuiya.com/patent-view/abst?patentId=759f2e21-c49d-4ce0-aaeb-88903f6d75dc" TargetMode="External"/><Relationship Id="rId3036" Type="http://schemas.openxmlformats.org/officeDocument/2006/relationships/hyperlink" Target="https://analytics.zhihuiya.com/patent-view/abst?patentId=83633ddb-8944-489d-a736-c6fedef0e961" TargetMode="External"/><Relationship Id="rId3243" Type="http://schemas.openxmlformats.org/officeDocument/2006/relationships/hyperlink" Target="https://analytics.zhihuiya.com/patent-view/abst?patentId=cce09191-89b8-40bd-9756-625c3851e799" TargetMode="External"/><Relationship Id="rId164" Type="http://schemas.openxmlformats.org/officeDocument/2006/relationships/hyperlink" Target="https://analytics.zhihuiya.com/patent-view/abst?patentId=11151c9a-6797-45ec-9e8a-61b0f4a9b554" TargetMode="External"/><Relationship Id="rId371" Type="http://schemas.openxmlformats.org/officeDocument/2006/relationships/hyperlink" Target="https://analytics.zhihuiya.com/patent-view/abst?patentId=eed582b1-a5e2-41f5-ab52-90d818526e76" TargetMode="External"/><Relationship Id="rId2052" Type="http://schemas.openxmlformats.org/officeDocument/2006/relationships/hyperlink" Target="https://analytics.zhihuiya.com/patent-view/abst?patentId=af69d86d-2a71-4be5-af06-a3e11626d9a6" TargetMode="External"/><Relationship Id="rId3450" Type="http://schemas.openxmlformats.org/officeDocument/2006/relationships/hyperlink" Target="https://analytics.zhihuiya.com/patent-view/abst?patentId=59c3fe06-6676-4ee2-a614-64dec5a444b3" TargetMode="External"/><Relationship Id="rId3103" Type="http://schemas.openxmlformats.org/officeDocument/2006/relationships/hyperlink" Target="https://analytics.zhihuiya.com/patent-view/abst?patentId=75487027-49b5-4994-9dac-bcb325eb7337" TargetMode="External"/><Relationship Id="rId3310" Type="http://schemas.openxmlformats.org/officeDocument/2006/relationships/hyperlink" Target="https://analytics.zhihuiya.com/patent-view/abst?patentId=f9e293db-f508-4539-b684-a3c99a11cec7" TargetMode="External"/><Relationship Id="rId231" Type="http://schemas.openxmlformats.org/officeDocument/2006/relationships/hyperlink" Target="https://analytics.zhihuiya.com/patent-view/abst?patentId=b7173720-23a0-4b07-88d5-7fe7ddf983e5" TargetMode="External"/><Relationship Id="rId2869" Type="http://schemas.openxmlformats.org/officeDocument/2006/relationships/hyperlink" Target="https://analytics.zhihuiya.com/patent-view/abst?patentId=7be9a34b-0272-4f82-8042-3589910d51fb" TargetMode="External"/><Relationship Id="rId1678" Type="http://schemas.openxmlformats.org/officeDocument/2006/relationships/hyperlink" Target="https://analytics.zhihuiya.com/patent-view/abst?patentId=448516e0-53fc-449c-9be4-064c6816a8d4" TargetMode="External"/><Relationship Id="rId1885" Type="http://schemas.openxmlformats.org/officeDocument/2006/relationships/hyperlink" Target="https://analytics.zhihuiya.com/patent-view/abst?patentId=e4c02e20-9bb3-4f40-b976-ab2b96790370" TargetMode="External"/><Relationship Id="rId2729" Type="http://schemas.openxmlformats.org/officeDocument/2006/relationships/hyperlink" Target="https://analytics.zhihuiya.com/patent-view/abst?patentId=8f7f1126-a0b0-4fe3-a14a-3d9ee9c91d3a" TargetMode="External"/><Relationship Id="rId2936" Type="http://schemas.openxmlformats.org/officeDocument/2006/relationships/hyperlink" Target="https://analytics.zhihuiya.com/patent-view/abst?patentId=0dded8ce-fd19-4cf9-b527-b8ef9e525e68" TargetMode="External"/><Relationship Id="rId4084" Type="http://schemas.openxmlformats.org/officeDocument/2006/relationships/hyperlink" Target="https://analytics.zhihuiya.com/patent-view/abst?patentId=164aad96-94c3-4b00-9050-0c18bee1739a" TargetMode="External"/><Relationship Id="rId4291" Type="http://schemas.openxmlformats.org/officeDocument/2006/relationships/hyperlink" Target="https://analytics.zhihuiya.com/patent-view/abst?patentId=d56c9b40-9b86-4eea-b768-c4d9ec1912f0" TargetMode="External"/><Relationship Id="rId908" Type="http://schemas.openxmlformats.org/officeDocument/2006/relationships/hyperlink" Target="https://analytics.zhihuiya.com/patent-view/abst?patentId=fd34126a-c8d6-4375-8fa0-e94cd4c79547" TargetMode="External"/><Relationship Id="rId1538" Type="http://schemas.openxmlformats.org/officeDocument/2006/relationships/hyperlink" Target="https://analytics.zhihuiya.com/patent-view/abst?patentId=85aad1ee-7d31-46d3-95e8-d26dcd0debf5" TargetMode="External"/><Relationship Id="rId4151" Type="http://schemas.openxmlformats.org/officeDocument/2006/relationships/hyperlink" Target="https://analytics.zhihuiya.com/patent-view/abst?patentId=98c6065e-0eb2-47c7-9153-a4b5757f4383" TargetMode="External"/><Relationship Id="rId1745" Type="http://schemas.openxmlformats.org/officeDocument/2006/relationships/hyperlink" Target="https://analytics.zhihuiya.com/patent-view/abst?patentId=08f2b072-e4be-4701-8cd4-78a2aff5f7ec" TargetMode="External"/><Relationship Id="rId1952" Type="http://schemas.openxmlformats.org/officeDocument/2006/relationships/hyperlink" Target="https://analytics.zhihuiya.com/patent-view/abst?patentId=99cef19a-a8f6-4831-af66-689e03bd48be" TargetMode="External"/><Relationship Id="rId4011" Type="http://schemas.openxmlformats.org/officeDocument/2006/relationships/hyperlink" Target="https://analytics.zhihuiya.com/patent-view/abst?patentId=84ac0d1c-a6d5-425c-bc74-db144dbe6826" TargetMode="External"/><Relationship Id="rId37" Type="http://schemas.openxmlformats.org/officeDocument/2006/relationships/hyperlink" Target="https://analytics.zhihuiya.com/patent-view/abst?patentId=0a437713-7a4e-4811-b41f-755fab5f085d" TargetMode="External"/><Relationship Id="rId1605" Type="http://schemas.openxmlformats.org/officeDocument/2006/relationships/hyperlink" Target="https://analytics.zhihuiya.com/patent-view/abst?patentId=f94634b9-d23a-4799-81f6-e5bd0b942d6d" TargetMode="External"/><Relationship Id="rId1812" Type="http://schemas.openxmlformats.org/officeDocument/2006/relationships/hyperlink" Target="https://analytics.zhihuiya.com/patent-view/abst?patentId=30cd906e-c23b-4b94-8f53-2623067879b0" TargetMode="External"/><Relationship Id="rId3777" Type="http://schemas.openxmlformats.org/officeDocument/2006/relationships/hyperlink" Target="https://analytics.zhihuiya.com/patent-view/abst?patentId=477fe023-113e-4bc8-844f-27f218941b4a" TargetMode="External"/><Relationship Id="rId3984" Type="http://schemas.openxmlformats.org/officeDocument/2006/relationships/hyperlink" Target="https://analytics.zhihuiya.com/patent-view/abst?patentId=d15465da-2483-4661-a945-cf4bec246309" TargetMode="External"/><Relationship Id="rId698" Type="http://schemas.openxmlformats.org/officeDocument/2006/relationships/hyperlink" Target="https://analytics.zhihuiya.com/patent-view/abst?patentId=808a28e7-b581-4b35-b346-a98afd8690b8" TargetMode="External"/><Relationship Id="rId2379" Type="http://schemas.openxmlformats.org/officeDocument/2006/relationships/hyperlink" Target="https://analytics.zhihuiya.com/patent-view/abst?patentId=c84a73a8-c41e-4444-87fc-d7b592471205" TargetMode="External"/><Relationship Id="rId2586" Type="http://schemas.openxmlformats.org/officeDocument/2006/relationships/hyperlink" Target="https://analytics.zhihuiya.com/patent-view/abst?patentId=61d5ddfb-707e-48f3-9e16-94c03506c006" TargetMode="External"/><Relationship Id="rId2793" Type="http://schemas.openxmlformats.org/officeDocument/2006/relationships/hyperlink" Target="https://analytics.zhihuiya.com/patent-view/abst?patentId=70c21f98-f3b0-4514-b746-393c5e15e448" TargetMode="External"/><Relationship Id="rId3637" Type="http://schemas.openxmlformats.org/officeDocument/2006/relationships/hyperlink" Target="https://analytics.zhihuiya.com/patent-view/abst?patentId=1d97890e-11ba-4edc-960f-d3f0edececd7" TargetMode="External"/><Relationship Id="rId3844" Type="http://schemas.openxmlformats.org/officeDocument/2006/relationships/hyperlink" Target="https://analytics.zhihuiya.com/patent-view/abst?patentId=6b2afa4e-90f3-4f82-8d41-e794b778255f" TargetMode="External"/><Relationship Id="rId558" Type="http://schemas.openxmlformats.org/officeDocument/2006/relationships/hyperlink" Target="https://analytics.zhihuiya.com/patent-view/abst?patentId=9cbba4ff-2865-4a02-8352-681dbb74ad34" TargetMode="External"/><Relationship Id="rId765" Type="http://schemas.openxmlformats.org/officeDocument/2006/relationships/hyperlink" Target="https://analytics.zhihuiya.com/patent-view/abst?patentId=cdcfdce8-3c42-43c4-8270-00bbd0e36916" TargetMode="External"/><Relationship Id="rId972" Type="http://schemas.openxmlformats.org/officeDocument/2006/relationships/hyperlink" Target="https://analytics.zhihuiya.com/patent-view/abst?patentId=6b1ee51b-bd48-4efc-a30d-9bcbddb283e0" TargetMode="External"/><Relationship Id="rId1188" Type="http://schemas.openxmlformats.org/officeDocument/2006/relationships/hyperlink" Target="https://analytics.zhihuiya.com/patent-view/abst?patentId=a3e8d5b3-77c4-4520-ab79-d41957785ec3" TargetMode="External"/><Relationship Id="rId1395" Type="http://schemas.openxmlformats.org/officeDocument/2006/relationships/hyperlink" Target="https://analytics.zhihuiya.com/patent-view/abst?patentId=1781254e-9afd-4202-a6d3-a7cdf7805647" TargetMode="External"/><Relationship Id="rId2239" Type="http://schemas.openxmlformats.org/officeDocument/2006/relationships/hyperlink" Target="https://analytics.zhihuiya.com/patent-view/abst?patentId=14d60dc0-72bf-4de0-b783-af1b573ffd82" TargetMode="External"/><Relationship Id="rId2446" Type="http://schemas.openxmlformats.org/officeDocument/2006/relationships/hyperlink" Target="https://analytics.zhihuiya.com/patent-view/abst?patentId=05ee73b0-cb5b-4e34-ad19-25dd29b996f8" TargetMode="External"/><Relationship Id="rId2653" Type="http://schemas.openxmlformats.org/officeDocument/2006/relationships/hyperlink" Target="https://analytics.zhihuiya.com/patent-view/abst?patentId=03cf0b69-e95e-4040-b978-1a77c9166d48" TargetMode="External"/><Relationship Id="rId2860" Type="http://schemas.openxmlformats.org/officeDocument/2006/relationships/hyperlink" Target="https://analytics.zhihuiya.com/patent-view/abst?patentId=8996d216-3f0c-4e9e-a6c4-7354990d7911" TargetMode="External"/><Relationship Id="rId3704" Type="http://schemas.openxmlformats.org/officeDocument/2006/relationships/hyperlink" Target="https://analytics.zhihuiya.com/patent-view/abst?patentId=e4d871b0-c3a2-497e-b0dc-36043071253b" TargetMode="External"/><Relationship Id="rId418" Type="http://schemas.openxmlformats.org/officeDocument/2006/relationships/hyperlink" Target="https://analytics.zhihuiya.com/patent-view/abst?patentId=c75be308-fdc6-46d2-85da-40b75a10fb19" TargetMode="External"/><Relationship Id="rId625" Type="http://schemas.openxmlformats.org/officeDocument/2006/relationships/hyperlink" Target="https://analytics.zhihuiya.com/patent-view/abst?patentId=5af9edca-aac8-48e6-9406-9ef6dc6e3bec" TargetMode="External"/><Relationship Id="rId832" Type="http://schemas.openxmlformats.org/officeDocument/2006/relationships/hyperlink" Target="https://analytics.zhihuiya.com/patent-view/abst?patentId=65f95c54-1f31-492f-9c2f-09f8942c2d00" TargetMode="External"/><Relationship Id="rId1048" Type="http://schemas.openxmlformats.org/officeDocument/2006/relationships/hyperlink" Target="https://analytics.zhihuiya.com/patent-view/abst?patentId=a5eaa9f6-f520-4244-bc1a-e886da25f5d3" TargetMode="External"/><Relationship Id="rId1255" Type="http://schemas.openxmlformats.org/officeDocument/2006/relationships/hyperlink" Target="https://analytics.zhihuiya.com/patent-view/abst?patentId=7da575a4-4172-4349-8dff-eaa4db81916a" TargetMode="External"/><Relationship Id="rId1462" Type="http://schemas.openxmlformats.org/officeDocument/2006/relationships/hyperlink" Target="https://analytics.zhihuiya.com/patent-view/abst?patentId=d0630578-b06f-48a9-a0ea-0c15e9f94377" TargetMode="External"/><Relationship Id="rId2306" Type="http://schemas.openxmlformats.org/officeDocument/2006/relationships/hyperlink" Target="https://analytics.zhihuiya.com/patent-view/abst?patentId=e89dc50b-abb7-4bd2-ac46-dbdbad2baabe" TargetMode="External"/><Relationship Id="rId2513" Type="http://schemas.openxmlformats.org/officeDocument/2006/relationships/hyperlink" Target="https://analytics.zhihuiya.com/patent-view/abst?patentId=8f4aeb92-42fc-4482-baaf-864ed5aa468b" TargetMode="External"/><Relationship Id="rId3911" Type="http://schemas.openxmlformats.org/officeDocument/2006/relationships/hyperlink" Target="https://analytics.zhihuiya.com/patent-view/abst?patentId=3384ae04-8bcb-43bd-aa43-a359fbcd6aa3" TargetMode="External"/><Relationship Id="rId1115" Type="http://schemas.openxmlformats.org/officeDocument/2006/relationships/hyperlink" Target="https://analytics.zhihuiya.com/patent-view/abst?patentId=329b8e8b-1ede-4152-bb90-27f62ab6f080" TargetMode="External"/><Relationship Id="rId1322" Type="http://schemas.openxmlformats.org/officeDocument/2006/relationships/hyperlink" Target="https://analytics.zhihuiya.com/patent-view/abst?patentId=37b4ee24-f165-47a7-bd6a-c511df205e4a" TargetMode="External"/><Relationship Id="rId2720" Type="http://schemas.openxmlformats.org/officeDocument/2006/relationships/hyperlink" Target="https://analytics.zhihuiya.com/patent-view/abst?patentId=1fad6f02-d41c-4672-943d-aeb30b253213" TargetMode="External"/><Relationship Id="rId3287" Type="http://schemas.openxmlformats.org/officeDocument/2006/relationships/hyperlink" Target="https://analytics.zhihuiya.com/patent-view/abst?patentId=2b119e84-164a-40bf-86d2-492544374cda" TargetMode="External"/><Relationship Id="rId4338" Type="http://schemas.openxmlformats.org/officeDocument/2006/relationships/hyperlink" Target="https://analytics.zhihuiya.com/patent-view/abst?patentId=0447fd98-eb9c-45cf-af75-e401a802eea7" TargetMode="External"/><Relationship Id="rId2096" Type="http://schemas.openxmlformats.org/officeDocument/2006/relationships/hyperlink" Target="https://analytics.zhihuiya.com/patent-view/abst?patentId=26ddb7d0-f159-4103-ab18-e8f60716a061" TargetMode="External"/><Relationship Id="rId3494" Type="http://schemas.openxmlformats.org/officeDocument/2006/relationships/hyperlink" Target="https://analytics.zhihuiya.com/patent-view/abst?patentId=6cba4eb0-881a-492e-bae8-011c55719cc9" TargetMode="External"/><Relationship Id="rId3147" Type="http://schemas.openxmlformats.org/officeDocument/2006/relationships/hyperlink" Target="https://analytics.zhihuiya.com/patent-view/abst?patentId=4d0c087c-0172-46aa-af37-c79b6fcdff32" TargetMode="External"/><Relationship Id="rId3354" Type="http://schemas.openxmlformats.org/officeDocument/2006/relationships/hyperlink" Target="https://analytics.zhihuiya.com/patent-view/abst?patentId=db0d220a-3de3-40ef-ae7a-8721f4813f9a" TargetMode="External"/><Relationship Id="rId3561" Type="http://schemas.openxmlformats.org/officeDocument/2006/relationships/hyperlink" Target="https://analytics.zhihuiya.com/patent-view/abst?patentId=929b08c8-25ae-4ce2-872f-a6cef9cb7a65" TargetMode="External"/><Relationship Id="rId4405" Type="http://schemas.openxmlformats.org/officeDocument/2006/relationships/hyperlink" Target="https://analytics.zhihuiya.com/patent-view/abst?patentId=cc8e7db5-2659-4202-930b-c5c72fc943dc" TargetMode="External"/><Relationship Id="rId275" Type="http://schemas.openxmlformats.org/officeDocument/2006/relationships/hyperlink" Target="https://analytics.zhihuiya.com/patent-view/abst?patentId=1eb96098-a029-43bf-a443-1b1dda37c2d8" TargetMode="External"/><Relationship Id="rId482" Type="http://schemas.openxmlformats.org/officeDocument/2006/relationships/hyperlink" Target="https://analytics.zhihuiya.com/patent-view/abst?patentId=533d7442-1e6b-4f0b-8e32-6d37827724a7" TargetMode="External"/><Relationship Id="rId2163" Type="http://schemas.openxmlformats.org/officeDocument/2006/relationships/hyperlink" Target="https://analytics.zhihuiya.com/patent-view/abst?patentId=e6e6c58a-34a8-4d08-b7ba-6e1244eb927f" TargetMode="External"/><Relationship Id="rId2370" Type="http://schemas.openxmlformats.org/officeDocument/2006/relationships/hyperlink" Target="https://analytics.zhihuiya.com/patent-view/abst?patentId=2edc4107-06f0-4038-b891-450e3ab47b49" TargetMode="External"/><Relationship Id="rId3007" Type="http://schemas.openxmlformats.org/officeDocument/2006/relationships/hyperlink" Target="https://analytics.zhihuiya.com/patent-view/abst?patentId=c7170175-6d66-40e6-bf04-3d35411382e8" TargetMode="External"/><Relationship Id="rId3214" Type="http://schemas.openxmlformats.org/officeDocument/2006/relationships/hyperlink" Target="https://analytics.zhihuiya.com/patent-view/abst?patentId=feac058a-c964-41c7-bad3-5a9cbf1a9d22" TargetMode="External"/><Relationship Id="rId3421" Type="http://schemas.openxmlformats.org/officeDocument/2006/relationships/hyperlink" Target="https://analytics.zhihuiya.com/patent-view/abst?patentId=1d2e2be9-ad69-41c7-becd-f26f1fa49937" TargetMode="External"/><Relationship Id="rId135" Type="http://schemas.openxmlformats.org/officeDocument/2006/relationships/hyperlink" Target="https://analytics.zhihuiya.com/patent-view/abst?patentId=6af05ac3-7ca2-4b7f-93a1-26f2a3573663" TargetMode="External"/><Relationship Id="rId342" Type="http://schemas.openxmlformats.org/officeDocument/2006/relationships/hyperlink" Target="https://analytics.zhihuiya.com/patent-view/abst?patentId=39e7d36b-3fa8-4717-ac71-2299f41cd4d7" TargetMode="External"/><Relationship Id="rId2023" Type="http://schemas.openxmlformats.org/officeDocument/2006/relationships/hyperlink" Target="https://analytics.zhihuiya.com/patent-view/abst?patentId=f6b4baa0-a313-4187-86e5-d2d64da6241b" TargetMode="External"/><Relationship Id="rId2230" Type="http://schemas.openxmlformats.org/officeDocument/2006/relationships/hyperlink" Target="https://analytics.zhihuiya.com/patent-view/abst?patentId=2d6699bc-823f-418d-96cf-3bcaf06c550e" TargetMode="External"/><Relationship Id="rId202" Type="http://schemas.openxmlformats.org/officeDocument/2006/relationships/hyperlink" Target="https://analytics.zhihuiya.com/patent-view/abst?patentId=0039eb6d-5447-4cd5-8a5a-0a9708303819" TargetMode="External"/><Relationship Id="rId4195" Type="http://schemas.openxmlformats.org/officeDocument/2006/relationships/hyperlink" Target="https://analytics.zhihuiya.com/patent-view/abst?patentId=415eb24e-8924-4daa-a034-79a736be1c3e" TargetMode="External"/><Relationship Id="rId1789" Type="http://schemas.openxmlformats.org/officeDocument/2006/relationships/hyperlink" Target="https://analytics.zhihuiya.com/patent-view/abst?patentId=29e84d45-6663-41ba-9201-f1301e2049d9" TargetMode="External"/><Relationship Id="rId1996" Type="http://schemas.openxmlformats.org/officeDocument/2006/relationships/hyperlink" Target="https://analytics.zhihuiya.com/patent-view/abst?patentId=ceba56fe-9c66-45bb-a3fa-352787e6fcbc" TargetMode="External"/><Relationship Id="rId4055" Type="http://schemas.openxmlformats.org/officeDocument/2006/relationships/hyperlink" Target="https://analytics.zhihuiya.com/patent-view/abst?patentId=04fe91a4-c2af-47a1-aeee-a306f8f69db6" TargetMode="External"/><Relationship Id="rId4262" Type="http://schemas.openxmlformats.org/officeDocument/2006/relationships/hyperlink" Target="https://analytics.zhihuiya.com/patent-view/abst?patentId=34e99b4e-ea56-49e3-8992-503e95818a24" TargetMode="External"/><Relationship Id="rId1649" Type="http://schemas.openxmlformats.org/officeDocument/2006/relationships/hyperlink" Target="https://analytics.zhihuiya.com/patent-view/abst?patentId=6fbab0ec-e69d-49bf-b737-b59e8c712580" TargetMode="External"/><Relationship Id="rId1856" Type="http://schemas.openxmlformats.org/officeDocument/2006/relationships/hyperlink" Target="https://analytics.zhihuiya.com/patent-view/abst?patentId=ac124c76-974a-4914-8653-d644cc44f5eb" TargetMode="External"/><Relationship Id="rId2907" Type="http://schemas.openxmlformats.org/officeDocument/2006/relationships/hyperlink" Target="https://analytics.zhihuiya.com/patent-view/abst?patentId=14ab3887-1a05-4d37-931b-e68557348363" TargetMode="External"/><Relationship Id="rId3071" Type="http://schemas.openxmlformats.org/officeDocument/2006/relationships/hyperlink" Target="https://analytics.zhihuiya.com/patent-view/abst?patentId=c72be1fb-bd80-47b7-b705-f51a47cdd55d" TargetMode="External"/><Relationship Id="rId1509" Type="http://schemas.openxmlformats.org/officeDocument/2006/relationships/hyperlink" Target="https://analytics.zhihuiya.com/patent-view/abst?patentId=e373178e-40ef-4266-aa3a-3f983a269340" TargetMode="External"/><Relationship Id="rId1716" Type="http://schemas.openxmlformats.org/officeDocument/2006/relationships/hyperlink" Target="https://analytics.zhihuiya.com/patent-view/abst?patentId=b20ad824-b38a-4828-ba10-87244d02c339" TargetMode="External"/><Relationship Id="rId1923" Type="http://schemas.openxmlformats.org/officeDocument/2006/relationships/hyperlink" Target="https://analytics.zhihuiya.com/patent-view/abst?patentId=9016bf2b-431b-4dbe-b049-4bff20a948d2" TargetMode="External"/><Relationship Id="rId4122" Type="http://schemas.openxmlformats.org/officeDocument/2006/relationships/hyperlink" Target="https://analytics.zhihuiya.com/patent-view/abst?patentId=6258d443-052a-49bf-8b42-7a7ef5c4539c" TargetMode="External"/><Relationship Id="rId3888" Type="http://schemas.openxmlformats.org/officeDocument/2006/relationships/hyperlink" Target="https://analytics.zhihuiya.com/patent-view/abst?patentId=a66b4e86-ee4c-446a-a3f2-dcf66bbb727b" TargetMode="External"/><Relationship Id="rId2697" Type="http://schemas.openxmlformats.org/officeDocument/2006/relationships/hyperlink" Target="https://analytics.zhihuiya.com/patent-view/abst?patentId=4fe7b20c-82a3-4b75-bc03-783fae7be83b" TargetMode="External"/><Relationship Id="rId3748" Type="http://schemas.openxmlformats.org/officeDocument/2006/relationships/hyperlink" Target="https://analytics.zhihuiya.com/patent-view/abst?patentId=d6de7dff-cf7b-4aa5-8a6b-56f8534d908c" TargetMode="External"/><Relationship Id="rId669" Type="http://schemas.openxmlformats.org/officeDocument/2006/relationships/hyperlink" Target="https://analytics.zhihuiya.com/patent-view/abst?patentId=6143b5ec-4ab5-4396-9dce-092b3237ad15" TargetMode="External"/><Relationship Id="rId876" Type="http://schemas.openxmlformats.org/officeDocument/2006/relationships/hyperlink" Target="https://analytics.zhihuiya.com/patent-view/abst?patentId=c2968ef0-35a1-4cf2-b011-24cc8256cf2c" TargetMode="External"/><Relationship Id="rId1299" Type="http://schemas.openxmlformats.org/officeDocument/2006/relationships/hyperlink" Target="https://analytics.zhihuiya.com/patent-view/abst?patentId=94ceeca4-d302-47e1-a880-3d7a38a90fa4" TargetMode="External"/><Relationship Id="rId2557" Type="http://schemas.openxmlformats.org/officeDocument/2006/relationships/hyperlink" Target="https://analytics.zhihuiya.com/patent-view/abst?patentId=13e84256-68a2-4d2c-ae13-9aa70049f7cf" TargetMode="External"/><Relationship Id="rId3608" Type="http://schemas.openxmlformats.org/officeDocument/2006/relationships/hyperlink" Target="https://analytics.zhihuiya.com/patent-view/abst?patentId=423ea7f2-2f7b-495c-a1ed-e10199a90f9a" TargetMode="External"/><Relationship Id="rId3955" Type="http://schemas.openxmlformats.org/officeDocument/2006/relationships/hyperlink" Target="https://analytics.zhihuiya.com/patent-view/abst?patentId=b62c18be-c6d0-4464-b473-aa70fa5fd49f" TargetMode="External"/><Relationship Id="rId529" Type="http://schemas.openxmlformats.org/officeDocument/2006/relationships/hyperlink" Target="https://analytics.zhihuiya.com/patent-view/abst?patentId=aaed5f72-a298-41f4-bfd9-323511b8fddd" TargetMode="External"/><Relationship Id="rId736" Type="http://schemas.openxmlformats.org/officeDocument/2006/relationships/hyperlink" Target="https://analytics.zhihuiya.com/patent-view/abst?patentId=059f75d1-6f64-4e65-94ee-4e0b9a0e2e00" TargetMode="External"/><Relationship Id="rId1159" Type="http://schemas.openxmlformats.org/officeDocument/2006/relationships/hyperlink" Target="https://analytics.zhihuiya.com/patent-view/abst?patentId=68bfdf82-a46b-440c-a988-025271b2bf91" TargetMode="External"/><Relationship Id="rId1366" Type="http://schemas.openxmlformats.org/officeDocument/2006/relationships/hyperlink" Target="https://analytics.zhihuiya.com/patent-view/abst?patentId=e21993fc-83b8-43de-91bb-69ff6de51ef0" TargetMode="External"/><Relationship Id="rId2417" Type="http://schemas.openxmlformats.org/officeDocument/2006/relationships/hyperlink" Target="https://analytics.zhihuiya.com/patent-view/abst?patentId=99b8cdfe-2f2a-451f-8491-84be18afff31" TargetMode="External"/><Relationship Id="rId2764" Type="http://schemas.openxmlformats.org/officeDocument/2006/relationships/hyperlink" Target="https://analytics.zhihuiya.com/patent-view/abst?patentId=1500cbd0-d12b-4269-a2f6-30e4e5ef5edb" TargetMode="External"/><Relationship Id="rId2971" Type="http://schemas.openxmlformats.org/officeDocument/2006/relationships/hyperlink" Target="https://analytics.zhihuiya.com/patent-view/abst?patentId=5bfb85fa-4e17-44bb-b356-60d2013f2c6b" TargetMode="External"/><Relationship Id="rId3815" Type="http://schemas.openxmlformats.org/officeDocument/2006/relationships/hyperlink" Target="https://analytics.zhihuiya.com/patent-view/abst?patentId=d2203678-17e8-4609-b7a3-671c4c959bbc" TargetMode="External"/><Relationship Id="rId943" Type="http://schemas.openxmlformats.org/officeDocument/2006/relationships/hyperlink" Target="https://analytics.zhihuiya.com/patent-view/abst?patentId=b9e67703-4115-4ea0-9f2a-55897522c248" TargetMode="External"/><Relationship Id="rId1019" Type="http://schemas.openxmlformats.org/officeDocument/2006/relationships/hyperlink" Target="https://analytics.zhihuiya.com/patent-view/abst?patentId=92fba88f-bead-4b20-acc0-f9b64fdc6094" TargetMode="External"/><Relationship Id="rId1573" Type="http://schemas.openxmlformats.org/officeDocument/2006/relationships/hyperlink" Target="https://analytics.zhihuiya.com/patent-view/abst?patentId=b913e273-78f5-4646-8204-60d34c673034" TargetMode="External"/><Relationship Id="rId1780" Type="http://schemas.openxmlformats.org/officeDocument/2006/relationships/hyperlink" Target="https://analytics.zhihuiya.com/patent-view/abst?patentId=b3e68d9f-3b30-44a5-86bc-f82b0736e560" TargetMode="External"/><Relationship Id="rId2624" Type="http://schemas.openxmlformats.org/officeDocument/2006/relationships/hyperlink" Target="https://analytics.zhihuiya.com/patent-view/abst?patentId=5cead0a7-fa18-4f61-ab6b-b075ecc52ec4" TargetMode="External"/><Relationship Id="rId2831" Type="http://schemas.openxmlformats.org/officeDocument/2006/relationships/hyperlink" Target="https://analytics.zhihuiya.com/patent-view/abst?patentId=8d09bb59-b37d-40b9-a9b1-9316152ac29d" TargetMode="External"/><Relationship Id="rId72" Type="http://schemas.openxmlformats.org/officeDocument/2006/relationships/hyperlink" Target="https://analytics.zhihuiya.com/patent-view/abst?patentId=046f7225-c0dc-4f41-a664-50197897b21f" TargetMode="External"/><Relationship Id="rId803" Type="http://schemas.openxmlformats.org/officeDocument/2006/relationships/hyperlink" Target="https://analytics.zhihuiya.com/patent-view/abst?patentId=40b3c635-dc0b-419e-bb5f-2ffd92139b8f" TargetMode="External"/><Relationship Id="rId1226" Type="http://schemas.openxmlformats.org/officeDocument/2006/relationships/hyperlink" Target="https://analytics.zhihuiya.com/patent-view/abst?patentId=b827af34-acf5-4609-ba22-0d84ac2850d2" TargetMode="External"/><Relationship Id="rId1433" Type="http://schemas.openxmlformats.org/officeDocument/2006/relationships/hyperlink" Target="https://analytics.zhihuiya.com/patent-view/abst?patentId=ce9c3497-9d47-4491-b103-b91c5395aa80" TargetMode="External"/><Relationship Id="rId1640" Type="http://schemas.openxmlformats.org/officeDocument/2006/relationships/hyperlink" Target="https://analytics.zhihuiya.com/patent-view/abst?patentId=0fff4c7b-08ff-4344-a0f5-c54da4cb35ac" TargetMode="External"/><Relationship Id="rId1500" Type="http://schemas.openxmlformats.org/officeDocument/2006/relationships/hyperlink" Target="https://analytics.zhihuiya.com/patent-view/abst?patentId=10243f2a-2ee1-4897-95ce-20aab5cc7416" TargetMode="External"/><Relationship Id="rId3398" Type="http://schemas.openxmlformats.org/officeDocument/2006/relationships/hyperlink" Target="https://analytics.zhihuiya.com/patent-view/abst?patentId=e95f3959-fb96-4735-91cf-eafca6a3cc12" TargetMode="External"/><Relationship Id="rId4449" Type="http://schemas.openxmlformats.org/officeDocument/2006/relationships/hyperlink" Target="https://analytics.zhihuiya.com/patent-view/abst?patentId=07d56c4a-84d1-4b02-9462-27a12f71dfd2" TargetMode="External"/><Relationship Id="rId3258" Type="http://schemas.openxmlformats.org/officeDocument/2006/relationships/hyperlink" Target="https://analytics.zhihuiya.com/patent-view/abst?patentId=032e4326-e85d-44dd-91b1-2e9193b5f237" TargetMode="External"/><Relationship Id="rId3465" Type="http://schemas.openxmlformats.org/officeDocument/2006/relationships/hyperlink" Target="https://analytics.zhihuiya.com/patent-view/abst?patentId=470b5f95-0fa4-4f16-821f-2cd2fc04e161" TargetMode="External"/><Relationship Id="rId3672" Type="http://schemas.openxmlformats.org/officeDocument/2006/relationships/hyperlink" Target="https://analytics.zhihuiya.com/patent-view/abst?patentId=539836c4-4f65-4adc-964b-e477903a6e91" TargetMode="External"/><Relationship Id="rId4309" Type="http://schemas.openxmlformats.org/officeDocument/2006/relationships/hyperlink" Target="https://analytics.zhihuiya.com/patent-view/abst?patentId=62f25c12-c06d-4a4b-b2db-730e842a3845" TargetMode="External"/><Relationship Id="rId179" Type="http://schemas.openxmlformats.org/officeDocument/2006/relationships/hyperlink" Target="https://analytics.zhihuiya.com/patent-view/abst?patentId=a536f74c-4f24-4307-bd2a-861067a03935" TargetMode="External"/><Relationship Id="rId386" Type="http://schemas.openxmlformats.org/officeDocument/2006/relationships/hyperlink" Target="https://analytics.zhihuiya.com/patent-view/abst?patentId=11dd0406-3986-41d6-a56b-67aab9657357" TargetMode="External"/><Relationship Id="rId593" Type="http://schemas.openxmlformats.org/officeDocument/2006/relationships/hyperlink" Target="https://analytics.zhihuiya.com/patent-view/abst?patentId=ab2cfb92-1343-4101-9b7a-c2e64d76c0b3" TargetMode="External"/><Relationship Id="rId2067" Type="http://schemas.openxmlformats.org/officeDocument/2006/relationships/hyperlink" Target="https://analytics.zhihuiya.com/patent-view/abst?patentId=90fb2cf8-7c64-433e-835f-6b52008acd9f" TargetMode="External"/><Relationship Id="rId2274" Type="http://schemas.openxmlformats.org/officeDocument/2006/relationships/hyperlink" Target="https://analytics.zhihuiya.com/patent-view/abst?patentId=d3810733-8c88-447a-9be8-f11b7b107ca9" TargetMode="External"/><Relationship Id="rId2481" Type="http://schemas.openxmlformats.org/officeDocument/2006/relationships/hyperlink" Target="https://analytics.zhihuiya.com/patent-view/abst?patentId=5d54cdcf-cdd9-4494-b96b-b5c961f8e9ac" TargetMode="External"/><Relationship Id="rId3118" Type="http://schemas.openxmlformats.org/officeDocument/2006/relationships/hyperlink" Target="https://analytics.zhihuiya.com/patent-view/abst?patentId=f0953a76-2445-4fed-8b04-e9794c07a6db" TargetMode="External"/><Relationship Id="rId3325" Type="http://schemas.openxmlformats.org/officeDocument/2006/relationships/hyperlink" Target="https://analytics.zhihuiya.com/patent-view/abst?patentId=526c7cb6-1753-4c02-9557-fbc628e4df45" TargetMode="External"/><Relationship Id="rId3532" Type="http://schemas.openxmlformats.org/officeDocument/2006/relationships/hyperlink" Target="https://analytics.zhihuiya.com/patent-view/abst?patentId=44d0cd72-6cb4-4346-80db-0dd69e6d9d99" TargetMode="External"/><Relationship Id="rId246" Type="http://schemas.openxmlformats.org/officeDocument/2006/relationships/hyperlink" Target="https://analytics.zhihuiya.com/patent-view/abst?patentId=efd29962-7b01-4b43-b1dc-75dec88b7f88" TargetMode="External"/><Relationship Id="rId453" Type="http://schemas.openxmlformats.org/officeDocument/2006/relationships/hyperlink" Target="https://analytics.zhihuiya.com/patent-view/abst?patentId=caa098f2-9408-48bb-9301-0165a98895ef" TargetMode="External"/><Relationship Id="rId660" Type="http://schemas.openxmlformats.org/officeDocument/2006/relationships/hyperlink" Target="https://analytics.zhihuiya.com/patent-view/abst?patentId=9007aa62-996e-48e8-aed7-d4ee48798e38" TargetMode="External"/><Relationship Id="rId1083" Type="http://schemas.openxmlformats.org/officeDocument/2006/relationships/hyperlink" Target="https://analytics.zhihuiya.com/patent-view/abst?patentId=6b8e8e3c-07bf-431a-b0b9-27925c4987ab" TargetMode="External"/><Relationship Id="rId1290" Type="http://schemas.openxmlformats.org/officeDocument/2006/relationships/hyperlink" Target="https://analytics.zhihuiya.com/patent-view/abst?patentId=fb52735d-fe5a-49e0-9bc2-75aae55cd39a" TargetMode="External"/><Relationship Id="rId2134" Type="http://schemas.openxmlformats.org/officeDocument/2006/relationships/hyperlink" Target="https://analytics.zhihuiya.com/patent-view/abst?patentId=19df69a5-9891-405d-a660-ffbe6b0bf9b5" TargetMode="External"/><Relationship Id="rId2341" Type="http://schemas.openxmlformats.org/officeDocument/2006/relationships/hyperlink" Target="https://analytics.zhihuiya.com/patent-view/abst?patentId=b8981b8d-4981-4eb5-a4eb-97ca86ce7216" TargetMode="External"/><Relationship Id="rId106" Type="http://schemas.openxmlformats.org/officeDocument/2006/relationships/hyperlink" Target="https://analytics.zhihuiya.com/patent-view/abst?patentId=cbc6c270-e330-4a37-8ef1-3dd0cebf17c5" TargetMode="External"/><Relationship Id="rId313" Type="http://schemas.openxmlformats.org/officeDocument/2006/relationships/hyperlink" Target="https://analytics.zhihuiya.com/patent-view/abst?patentId=e21c735c-38ad-4252-8af0-ee8a268f91ea" TargetMode="External"/><Relationship Id="rId1150" Type="http://schemas.openxmlformats.org/officeDocument/2006/relationships/hyperlink" Target="https://analytics.zhihuiya.com/patent-view/abst?patentId=51f9e5c2-e9f4-423c-985a-e2523ee8ba79" TargetMode="External"/><Relationship Id="rId4099" Type="http://schemas.openxmlformats.org/officeDocument/2006/relationships/hyperlink" Target="https://analytics.zhihuiya.com/patent-view/abst?patentId=e831b8ec-589e-4524-b270-a28007e90a9e" TargetMode="External"/><Relationship Id="rId520" Type="http://schemas.openxmlformats.org/officeDocument/2006/relationships/hyperlink" Target="https://analytics.zhihuiya.com/patent-view/abst?patentId=5d03de3e-ba59-40a0-b30b-70da9728ef1b" TargetMode="External"/><Relationship Id="rId2201" Type="http://schemas.openxmlformats.org/officeDocument/2006/relationships/hyperlink" Target="https://analytics.zhihuiya.com/patent-view/abst?patentId=e241b2c2-4c11-4f3c-9180-69b16247c7bb" TargetMode="External"/><Relationship Id="rId1010" Type="http://schemas.openxmlformats.org/officeDocument/2006/relationships/hyperlink" Target="https://analytics.zhihuiya.com/patent-view/abst?patentId=222b84ff-9112-42c8-b17f-1189b3f82b20" TargetMode="External"/><Relationship Id="rId1967" Type="http://schemas.openxmlformats.org/officeDocument/2006/relationships/hyperlink" Target="https://analytics.zhihuiya.com/patent-view/abst?patentId=e0d93da6-d5ab-4747-834a-a9d1a6769e2c" TargetMode="External"/><Relationship Id="rId4166" Type="http://schemas.openxmlformats.org/officeDocument/2006/relationships/hyperlink" Target="https://analytics.zhihuiya.com/patent-view/abst?patentId=c633e2ec-8c93-46d8-9fac-7e05722b2595" TargetMode="External"/><Relationship Id="rId4373" Type="http://schemas.openxmlformats.org/officeDocument/2006/relationships/hyperlink" Target="https://analytics.zhihuiya.com/patent-view/abst?patentId=69de7f44-9649-4cca-baa0-27bbbfadfb46" TargetMode="External"/><Relationship Id="rId4026" Type="http://schemas.openxmlformats.org/officeDocument/2006/relationships/hyperlink" Target="https://analytics.zhihuiya.com/patent-view/abst?patentId=9a379b8c-8cb0-44c3-a75e-fbaee0eb2797" TargetMode="External"/><Relationship Id="rId4440" Type="http://schemas.openxmlformats.org/officeDocument/2006/relationships/hyperlink" Target="https://analytics.zhihuiya.com/patent-view/abst?patentId=7e007888-80cb-48be-a767-cce78c9b0fa0" TargetMode="External"/><Relationship Id="rId3042" Type="http://schemas.openxmlformats.org/officeDocument/2006/relationships/hyperlink" Target="https://analytics.zhihuiya.com/patent-view/abst?patentId=abab5e0f-3e97-4a8e-b445-b73776d2172d" TargetMode="External"/><Relationship Id="rId3859" Type="http://schemas.openxmlformats.org/officeDocument/2006/relationships/hyperlink" Target="https://analytics.zhihuiya.com/patent-view/abst?patentId=2ed43f57-a197-492d-8b34-5e026bb4cdf2" TargetMode="External"/><Relationship Id="rId2875" Type="http://schemas.openxmlformats.org/officeDocument/2006/relationships/hyperlink" Target="https://analytics.zhihuiya.com/patent-view/abst?patentId=39fb956b-65e7-466c-823f-5e5db8eff4a7" TargetMode="External"/><Relationship Id="rId3926" Type="http://schemas.openxmlformats.org/officeDocument/2006/relationships/hyperlink" Target="https://analytics.zhihuiya.com/patent-view/abst?patentId=bba91f29-d785-49c1-ba1f-febea770fa2b" TargetMode="External"/><Relationship Id="rId847" Type="http://schemas.openxmlformats.org/officeDocument/2006/relationships/hyperlink" Target="https://analytics.zhihuiya.com/patent-view/abst?patentId=ffcb53b6-cf18-49f9-8120-ff9e2be416e4" TargetMode="External"/><Relationship Id="rId1477" Type="http://schemas.openxmlformats.org/officeDocument/2006/relationships/hyperlink" Target="https://analytics.zhihuiya.com/patent-view/abst?patentId=335a1df5-be0c-41f4-b5dc-a2e18b1e99bc" TargetMode="External"/><Relationship Id="rId1891" Type="http://schemas.openxmlformats.org/officeDocument/2006/relationships/hyperlink" Target="https://analytics.zhihuiya.com/patent-view/abst?patentId=f8f0d21b-66e2-4abb-b673-26fbc1a9106f" TargetMode="External"/><Relationship Id="rId2528" Type="http://schemas.openxmlformats.org/officeDocument/2006/relationships/hyperlink" Target="https://analytics.zhihuiya.com/patent-view/abst?patentId=24394fbf-8633-4916-b215-72fa5fe146ea" TargetMode="External"/><Relationship Id="rId2942" Type="http://schemas.openxmlformats.org/officeDocument/2006/relationships/hyperlink" Target="https://analytics.zhihuiya.com/patent-view/abst?patentId=de56ac77-d015-43cc-b445-174e06d3ac53" TargetMode="External"/><Relationship Id="rId914" Type="http://schemas.openxmlformats.org/officeDocument/2006/relationships/hyperlink" Target="https://analytics.zhihuiya.com/patent-view/abst?patentId=69814cb8-020c-42c1-85b0-e6696a1f4003" TargetMode="External"/><Relationship Id="rId1544" Type="http://schemas.openxmlformats.org/officeDocument/2006/relationships/hyperlink" Target="https://analytics.zhihuiya.com/patent-view/abst?patentId=d73d6e68-1ece-420d-b4e5-dd29e85a2494" TargetMode="External"/><Relationship Id="rId1611" Type="http://schemas.openxmlformats.org/officeDocument/2006/relationships/hyperlink" Target="https://analytics.zhihuiya.com/patent-view/abst?patentId=212e2249-e66e-480c-9aa9-f8a59b8a55bf" TargetMode="External"/><Relationship Id="rId3369" Type="http://schemas.openxmlformats.org/officeDocument/2006/relationships/hyperlink" Target="https://analytics.zhihuiya.com/patent-view/abst?patentId=a8ec739f-3e74-4923-90bd-a1db107d3984" TargetMode="External"/><Relationship Id="rId2385" Type="http://schemas.openxmlformats.org/officeDocument/2006/relationships/hyperlink" Target="https://analytics.zhihuiya.com/patent-view/abst?patentId=37001c99-b186-4e09-8539-8a39d42ebe77" TargetMode="External"/><Relationship Id="rId3783" Type="http://schemas.openxmlformats.org/officeDocument/2006/relationships/hyperlink" Target="https://analytics.zhihuiya.com/patent-view/abst?patentId=aa231908-8189-4558-9f62-dd8815d4f9a8" TargetMode="External"/><Relationship Id="rId357" Type="http://schemas.openxmlformats.org/officeDocument/2006/relationships/hyperlink" Target="https://analytics.zhihuiya.com/patent-view/abst?patentId=2a88407b-9026-4f97-bef0-b1c92b80f6f5" TargetMode="External"/><Relationship Id="rId2038" Type="http://schemas.openxmlformats.org/officeDocument/2006/relationships/hyperlink" Target="https://analytics.zhihuiya.com/patent-view/abst?patentId=143c9010-3796-4a64-98e2-2423758bf447" TargetMode="External"/><Relationship Id="rId3436" Type="http://schemas.openxmlformats.org/officeDocument/2006/relationships/hyperlink" Target="https://analytics.zhihuiya.com/patent-view/abst?patentId=5201a2ea-1690-4daa-ad3e-7ce08d7d681b" TargetMode="External"/><Relationship Id="rId3850" Type="http://schemas.openxmlformats.org/officeDocument/2006/relationships/hyperlink" Target="https://analytics.zhihuiya.com/patent-view/abst?patentId=a4c18e96-3352-4d2a-85cd-0baf9d35c948" TargetMode="External"/><Relationship Id="rId771" Type="http://schemas.openxmlformats.org/officeDocument/2006/relationships/hyperlink" Target="https://analytics.zhihuiya.com/patent-view/abst?patentId=191b9074-6922-4c3d-b625-a119fe571bcb" TargetMode="External"/><Relationship Id="rId2452" Type="http://schemas.openxmlformats.org/officeDocument/2006/relationships/hyperlink" Target="https://analytics.zhihuiya.com/patent-view/abst?patentId=29ad2613-84e0-4c0a-b039-b2544f38f23b" TargetMode="External"/><Relationship Id="rId3503" Type="http://schemas.openxmlformats.org/officeDocument/2006/relationships/hyperlink" Target="https://analytics.zhihuiya.com/patent-view/abst?patentId=7a20c301-6fbf-4128-b662-39e1d19e9868" TargetMode="External"/><Relationship Id="rId424" Type="http://schemas.openxmlformats.org/officeDocument/2006/relationships/hyperlink" Target="https://analytics.zhihuiya.com/patent-view/abst?patentId=355e4008-a2cb-42d4-85e8-79f1bbe72f32" TargetMode="External"/><Relationship Id="rId1054" Type="http://schemas.openxmlformats.org/officeDocument/2006/relationships/hyperlink" Target="https://analytics.zhihuiya.com/patent-view/abst?patentId=d6965bbe-0442-4d19-aff9-b12f68f1a567" TargetMode="External"/><Relationship Id="rId2105" Type="http://schemas.openxmlformats.org/officeDocument/2006/relationships/hyperlink" Target="https://analytics.zhihuiya.com/patent-view/abst?patentId=25a44eae-3b3b-4d96-bdd1-4128173d1ba8" TargetMode="External"/><Relationship Id="rId1121" Type="http://schemas.openxmlformats.org/officeDocument/2006/relationships/hyperlink" Target="https://analytics.zhihuiya.com/patent-view/abst?patentId=4ae3ef31-e312-4e07-9fbe-5c60accb40e7" TargetMode="External"/><Relationship Id="rId4277" Type="http://schemas.openxmlformats.org/officeDocument/2006/relationships/hyperlink" Target="https://analytics.zhihuiya.com/patent-view/abst?patentId=76c019ff-7b1b-48c3-8f12-af4ce19d5462" TargetMode="External"/><Relationship Id="rId3293" Type="http://schemas.openxmlformats.org/officeDocument/2006/relationships/hyperlink" Target="https://analytics.zhihuiya.com/patent-view/abst?patentId=a05eb43f-f328-4f28-9dc7-f7655820b1c4" TargetMode="External"/><Relationship Id="rId4344" Type="http://schemas.openxmlformats.org/officeDocument/2006/relationships/hyperlink" Target="https://analytics.zhihuiya.com/patent-view/abst?patentId=056b49c7-0f25-4c94-9adf-7d63341c333f" TargetMode="External"/><Relationship Id="rId1938" Type="http://schemas.openxmlformats.org/officeDocument/2006/relationships/hyperlink" Target="https://analytics.zhihuiya.com/patent-view/abst?patentId=eeaf9ebf-fd9d-446c-9e2a-edb2d7dfd53e" TargetMode="External"/><Relationship Id="rId3360" Type="http://schemas.openxmlformats.org/officeDocument/2006/relationships/hyperlink" Target="https://analytics.zhihuiya.com/patent-view/abst?patentId=01c0c953-9b3b-4919-9b99-257911334a87" TargetMode="External"/><Relationship Id="rId281" Type="http://schemas.openxmlformats.org/officeDocument/2006/relationships/hyperlink" Target="https://analytics.zhihuiya.com/patent-view/abst?patentId=26def0c8-b330-48bb-9320-7a85b2966ea4" TargetMode="External"/><Relationship Id="rId3013" Type="http://schemas.openxmlformats.org/officeDocument/2006/relationships/hyperlink" Target="https://analytics.zhihuiya.com/patent-view/abst?patentId=b98d583b-6681-410b-8838-036a4f40ca98" TargetMode="External"/><Relationship Id="rId4411" Type="http://schemas.openxmlformats.org/officeDocument/2006/relationships/hyperlink" Target="https://analytics.zhihuiya.com/patent-view/abst?patentId=095ce266-1424-4b8c-91bd-8e790d2def71" TargetMode="External"/><Relationship Id="rId2779" Type="http://schemas.openxmlformats.org/officeDocument/2006/relationships/hyperlink" Target="https://analytics.zhihuiya.com/patent-view/abst?patentId=65968f9f-9ca8-415e-8737-9d576db4eab4" TargetMode="External"/><Relationship Id="rId1795" Type="http://schemas.openxmlformats.org/officeDocument/2006/relationships/hyperlink" Target="https://analytics.zhihuiya.com/patent-view/abst?patentId=42bb8a56-aed2-42d7-bb3f-7f6929c1d7b4" TargetMode="External"/><Relationship Id="rId2846" Type="http://schemas.openxmlformats.org/officeDocument/2006/relationships/hyperlink" Target="https://analytics.zhihuiya.com/patent-view/abst?patentId=55c07175-13f5-4bd9-b15d-c3d7b1f56bd7" TargetMode="External"/><Relationship Id="rId87" Type="http://schemas.openxmlformats.org/officeDocument/2006/relationships/hyperlink" Target="https://analytics.zhihuiya.com/patent-view/abst?patentId=be1de6ad-76e5-4f52-ba48-44a0c717ac0d" TargetMode="External"/><Relationship Id="rId818" Type="http://schemas.openxmlformats.org/officeDocument/2006/relationships/hyperlink" Target="https://analytics.zhihuiya.com/patent-view/abst?patentId=e18d3f9e-c30c-4da3-91e2-dc2c9fb1cc28" TargetMode="External"/><Relationship Id="rId1448" Type="http://schemas.openxmlformats.org/officeDocument/2006/relationships/hyperlink" Target="https://analytics.zhihuiya.com/patent-view/abst?patentId=05874d51-fa04-49fc-bac4-6aaacf7a3585" TargetMode="External"/><Relationship Id="rId1862" Type="http://schemas.openxmlformats.org/officeDocument/2006/relationships/hyperlink" Target="https://analytics.zhihuiya.com/patent-view/abst?patentId=4562a8df-3372-4bb6-97dd-dbbe05bc397e" TargetMode="External"/><Relationship Id="rId2913" Type="http://schemas.openxmlformats.org/officeDocument/2006/relationships/hyperlink" Target="https://analytics.zhihuiya.com/patent-view/abst?patentId=9e6cb786-060d-42f0-a934-66c15937f7c0" TargetMode="External"/><Relationship Id="rId1515" Type="http://schemas.openxmlformats.org/officeDocument/2006/relationships/hyperlink" Target="https://analytics.zhihuiya.com/patent-view/abst?patentId=f66cb334-5331-4a57-b059-6736e4050dcd" TargetMode="External"/><Relationship Id="rId3687" Type="http://schemas.openxmlformats.org/officeDocument/2006/relationships/hyperlink" Target="https://analytics.zhihuiya.com/patent-view/abst?patentId=e4765d1c-673e-41a0-bc30-3ee2d05a32e1" TargetMode="External"/><Relationship Id="rId2289" Type="http://schemas.openxmlformats.org/officeDocument/2006/relationships/hyperlink" Target="https://analytics.zhihuiya.com/patent-view/abst?patentId=a77cc2b8-b337-4a8f-8673-c7aca7bd2023" TargetMode="External"/><Relationship Id="rId3754" Type="http://schemas.openxmlformats.org/officeDocument/2006/relationships/hyperlink" Target="https://analytics.zhihuiya.com/patent-view/abst?patentId=9c538efc-5c62-4851-b5a6-d2d0b789bdf0" TargetMode="External"/><Relationship Id="rId675" Type="http://schemas.openxmlformats.org/officeDocument/2006/relationships/hyperlink" Target="https://analytics.zhihuiya.com/patent-view/abst?patentId=ed38de49-8584-40e3-abf7-2103f00afbab" TargetMode="External"/><Relationship Id="rId2356" Type="http://schemas.openxmlformats.org/officeDocument/2006/relationships/hyperlink" Target="https://analytics.zhihuiya.com/patent-view/abst?patentId=de5669b4-1edc-41c6-b42f-cae5822ef412" TargetMode="External"/><Relationship Id="rId2770" Type="http://schemas.openxmlformats.org/officeDocument/2006/relationships/hyperlink" Target="https://analytics.zhihuiya.com/patent-view/abst?patentId=d726ed6c-34c3-424d-a8f1-270a8e61b2dd" TargetMode="External"/><Relationship Id="rId3407" Type="http://schemas.openxmlformats.org/officeDocument/2006/relationships/hyperlink" Target="https://analytics.zhihuiya.com/patent-view/abst?patentId=8c0abe99-79f8-4831-9a51-e92e9819fb9f" TargetMode="External"/><Relationship Id="rId3821" Type="http://schemas.openxmlformats.org/officeDocument/2006/relationships/hyperlink" Target="https://analytics.zhihuiya.com/patent-view/abst?patentId=bf3ad3d0-784e-4da4-87f5-9c7172fca925" TargetMode="External"/><Relationship Id="rId328" Type="http://schemas.openxmlformats.org/officeDocument/2006/relationships/hyperlink" Target="https://analytics.zhihuiya.com/patent-view/abst?patentId=a9459590-96c6-421f-965b-3f720a46b317" TargetMode="External"/><Relationship Id="rId742" Type="http://schemas.openxmlformats.org/officeDocument/2006/relationships/hyperlink" Target="https://analytics.zhihuiya.com/patent-view/abst?patentId=4d0ea336-cb4f-47eb-9fd7-5e0f4c02ab3e" TargetMode="External"/><Relationship Id="rId1372" Type="http://schemas.openxmlformats.org/officeDocument/2006/relationships/hyperlink" Target="https://analytics.zhihuiya.com/patent-view/abst?patentId=b187c981-a0df-4f3a-833f-6bb6390c8a38" TargetMode="External"/><Relationship Id="rId2009" Type="http://schemas.openxmlformats.org/officeDocument/2006/relationships/hyperlink" Target="https://analytics.zhihuiya.com/patent-view/abst?patentId=2d188290-533d-4b55-a454-4c0fa72fed3d" TargetMode="External"/><Relationship Id="rId2423" Type="http://schemas.openxmlformats.org/officeDocument/2006/relationships/hyperlink" Target="https://analytics.zhihuiya.com/patent-view/abst?patentId=06c1f2dd-e525-4b30-83ce-4bb8a0edaf5c" TargetMode="External"/><Relationship Id="rId1025" Type="http://schemas.openxmlformats.org/officeDocument/2006/relationships/hyperlink" Target="https://analytics.zhihuiya.com/patent-view/abst?patentId=5bd182b1-b646-46d1-b9d2-043c6d3d89e1" TargetMode="External"/><Relationship Id="rId3197" Type="http://schemas.openxmlformats.org/officeDocument/2006/relationships/hyperlink" Target="https://analytics.zhihuiya.com/patent-view/abst?patentId=8976002d-a0b1-4a62-a90a-3aa2dc538f8c" TargetMode="External"/><Relationship Id="rId4248" Type="http://schemas.openxmlformats.org/officeDocument/2006/relationships/hyperlink" Target="https://analytics.zhihuiya.com/patent-view/abst?patentId=030e1fbc-b704-4910-bd18-eef549dc8915" TargetMode="External"/><Relationship Id="rId185" Type="http://schemas.openxmlformats.org/officeDocument/2006/relationships/hyperlink" Target="https://analytics.zhihuiya.com/patent-view/abst?patentId=5d391cbd-1be9-4345-bef7-9d6051e9c856" TargetMode="External"/><Relationship Id="rId1909" Type="http://schemas.openxmlformats.org/officeDocument/2006/relationships/hyperlink" Target="https://analytics.zhihuiya.com/patent-view/abst?patentId=e94ca305-0e1c-4e73-96ec-c4b6e5cdc40d" TargetMode="External"/><Relationship Id="rId3264" Type="http://schemas.openxmlformats.org/officeDocument/2006/relationships/hyperlink" Target="https://analytics.zhihuiya.com/patent-view/abst?patentId=0cbeca2d-e384-46c8-bac3-56219f4e9c55" TargetMode="External"/><Relationship Id="rId4315" Type="http://schemas.openxmlformats.org/officeDocument/2006/relationships/hyperlink" Target="https://analytics.zhihuiya.com/patent-view/abst?patentId=348dd7c0-61ac-4844-8eca-758f74da07ff" TargetMode="External"/><Relationship Id="rId2280" Type="http://schemas.openxmlformats.org/officeDocument/2006/relationships/hyperlink" Target="https://analytics.zhihuiya.com/patent-view/abst?patentId=700ca5c4-3d13-436f-a8d9-e27ba0a9a164" TargetMode="External"/><Relationship Id="rId3331" Type="http://schemas.openxmlformats.org/officeDocument/2006/relationships/hyperlink" Target="https://analytics.zhihuiya.com/patent-view/abst?patentId=f0f48111-0c59-41b6-b9f5-e5853030b002" TargetMode="External"/><Relationship Id="rId252" Type="http://schemas.openxmlformats.org/officeDocument/2006/relationships/hyperlink" Target="https://analytics.zhihuiya.com/patent-view/abst?patentId=05063f6d-150b-4bdd-bb5d-a39d16b546e1" TargetMode="External"/><Relationship Id="rId1699" Type="http://schemas.openxmlformats.org/officeDocument/2006/relationships/hyperlink" Target="https://analytics.zhihuiya.com/patent-view/abst?patentId=0c6f4b16-115e-4a65-8687-87f5542bba1b" TargetMode="External"/><Relationship Id="rId2000" Type="http://schemas.openxmlformats.org/officeDocument/2006/relationships/hyperlink" Target="https://analytics.zhihuiya.com/patent-view/abst?patentId=5d974e24-8963-475d-927f-a436642b634c" TargetMode="External"/><Relationship Id="rId4172" Type="http://schemas.openxmlformats.org/officeDocument/2006/relationships/hyperlink" Target="https://analytics.zhihuiya.com/patent-view/abst?patentId=9f242dd1-3cf8-4cc5-bc2e-1f13e3472656" TargetMode="External"/><Relationship Id="rId1766" Type="http://schemas.openxmlformats.org/officeDocument/2006/relationships/hyperlink" Target="https://analytics.zhihuiya.com/patent-view/abst?patentId=4dbe41c0-3728-4bf3-8627-5ea2eeb2d8fe" TargetMode="External"/><Relationship Id="rId2817" Type="http://schemas.openxmlformats.org/officeDocument/2006/relationships/hyperlink" Target="https://analytics.zhihuiya.com/patent-view/abst?patentId=6eefee38-6f9e-4cb6-99fe-5b33830a5862" TargetMode="External"/><Relationship Id="rId58" Type="http://schemas.openxmlformats.org/officeDocument/2006/relationships/hyperlink" Target="https://analytics.zhihuiya.com/patent-view/abst?patentId=d01ffa59-a3de-43be-b808-14d4841a4daf" TargetMode="External"/><Relationship Id="rId1419" Type="http://schemas.openxmlformats.org/officeDocument/2006/relationships/hyperlink" Target="https://analytics.zhihuiya.com/patent-view/abst?patentId=aeadef45-3994-4118-ab16-b49241b2a9fc" TargetMode="External"/><Relationship Id="rId1833" Type="http://schemas.openxmlformats.org/officeDocument/2006/relationships/hyperlink" Target="https://analytics.zhihuiya.com/patent-view/abst?patentId=1133ec4b-4ce8-411a-bcef-53bace60f7b0" TargetMode="External"/><Relationship Id="rId1900" Type="http://schemas.openxmlformats.org/officeDocument/2006/relationships/hyperlink" Target="https://analytics.zhihuiya.com/patent-view/abst?patentId=49e2a972-1e74-45a1-97fc-4681481689e1" TargetMode="External"/><Relationship Id="rId3658" Type="http://schemas.openxmlformats.org/officeDocument/2006/relationships/hyperlink" Target="https://analytics.zhihuiya.com/patent-view/abst?patentId=bca4bae6-ffbb-4e0e-a09b-62f23560b9b9" TargetMode="External"/><Relationship Id="rId579" Type="http://schemas.openxmlformats.org/officeDocument/2006/relationships/hyperlink" Target="https://analytics.zhihuiya.com/patent-view/abst?patentId=ddff2bc9-54f7-4375-b7e7-02f6b5cb38a3" TargetMode="External"/><Relationship Id="rId993" Type="http://schemas.openxmlformats.org/officeDocument/2006/relationships/hyperlink" Target="https://analytics.zhihuiya.com/patent-view/abst?patentId=95141261-384c-4c47-a071-708500da4b2d" TargetMode="External"/><Relationship Id="rId2674" Type="http://schemas.openxmlformats.org/officeDocument/2006/relationships/hyperlink" Target="https://analytics.zhihuiya.com/patent-view/abst?patentId=10d16ab6-ed68-43e5-a578-535ccf02f75c" TargetMode="External"/><Relationship Id="rId646" Type="http://schemas.openxmlformats.org/officeDocument/2006/relationships/hyperlink" Target="https://analytics.zhihuiya.com/patent-view/abst?patentId=5ce7eb3b-480a-4a59-93fc-4c5037cabf9e" TargetMode="External"/><Relationship Id="rId1276" Type="http://schemas.openxmlformats.org/officeDocument/2006/relationships/hyperlink" Target="https://analytics.zhihuiya.com/patent-view/abst?patentId=182c6f7c-de46-4fd8-938b-beb06309b5c7" TargetMode="External"/><Relationship Id="rId2327" Type="http://schemas.openxmlformats.org/officeDocument/2006/relationships/hyperlink" Target="https://analytics.zhihuiya.com/patent-view/abst?patentId=d13584a7-f43f-43e0-9909-418f760a66f3" TargetMode="External"/><Relationship Id="rId3725" Type="http://schemas.openxmlformats.org/officeDocument/2006/relationships/hyperlink" Target="https://analytics.zhihuiya.com/patent-view/abst?patentId=983e7c7c-dffd-45b2-a760-02c4b8730b2a" TargetMode="External"/><Relationship Id="rId1690" Type="http://schemas.openxmlformats.org/officeDocument/2006/relationships/hyperlink" Target="https://analytics.zhihuiya.com/patent-view/abst?patentId=7a2e740a-9e24-438f-b02b-783e3eb642a1" TargetMode="External"/><Relationship Id="rId2741" Type="http://schemas.openxmlformats.org/officeDocument/2006/relationships/hyperlink" Target="https://analytics.zhihuiya.com/patent-view/abst?patentId=a92cf6c8-832e-4dc1-8fcc-ffa97b4a261e" TargetMode="External"/><Relationship Id="rId713" Type="http://schemas.openxmlformats.org/officeDocument/2006/relationships/hyperlink" Target="https://analytics.zhihuiya.com/patent-view/abst?patentId=223d8f9d-e902-4919-86fe-46f0ea6a0457" TargetMode="External"/><Relationship Id="rId1343" Type="http://schemas.openxmlformats.org/officeDocument/2006/relationships/hyperlink" Target="https://analytics.zhihuiya.com/patent-view/abst?patentId=f24ddcdd-da05-419d-820a-d074bd1f6d00" TargetMode="External"/><Relationship Id="rId1410" Type="http://schemas.openxmlformats.org/officeDocument/2006/relationships/hyperlink" Target="https://analytics.zhihuiya.com/patent-view/abst?patentId=65d33c4a-7daf-4c89-bb65-acb16c84041d" TargetMode="External"/><Relationship Id="rId3168" Type="http://schemas.openxmlformats.org/officeDocument/2006/relationships/hyperlink" Target="https://analytics.zhihuiya.com/patent-view/abst?patentId=8eee58fe-c4f5-49c9-88d3-745dedaa15c1" TargetMode="External"/><Relationship Id="rId3582" Type="http://schemas.openxmlformats.org/officeDocument/2006/relationships/hyperlink" Target="https://analytics.zhihuiya.com/patent-view/abst?patentId=8037ca41-83d4-4b53-8f36-4b399e51160f" TargetMode="External"/><Relationship Id="rId4219" Type="http://schemas.openxmlformats.org/officeDocument/2006/relationships/hyperlink" Target="https://analytics.zhihuiya.com/patent-view/abst?patentId=a8202cee-c720-466f-adb7-dacf967e98d9" TargetMode="External"/><Relationship Id="rId2184" Type="http://schemas.openxmlformats.org/officeDocument/2006/relationships/hyperlink" Target="https://analytics.zhihuiya.com/patent-view/abst?patentId=8009233f-1239-46c6-95a8-4c041abefc28" TargetMode="External"/><Relationship Id="rId3235" Type="http://schemas.openxmlformats.org/officeDocument/2006/relationships/hyperlink" Target="https://analytics.zhihuiya.com/patent-view/abst?patentId=2cd5753f-a421-478b-9c10-d04b8eab2cad" TargetMode="External"/><Relationship Id="rId156" Type="http://schemas.openxmlformats.org/officeDocument/2006/relationships/hyperlink" Target="https://analytics.zhihuiya.com/patent-view/abst?patentId=d1729b13-b43e-4510-95ac-cf4389fbcfc5" TargetMode="External"/><Relationship Id="rId570" Type="http://schemas.openxmlformats.org/officeDocument/2006/relationships/hyperlink" Target="https://analytics.zhihuiya.com/patent-view/abst?patentId=5b99e2e3-6027-4439-ab1f-8178c3117feb" TargetMode="External"/><Relationship Id="rId2251" Type="http://schemas.openxmlformats.org/officeDocument/2006/relationships/hyperlink" Target="https://analytics.zhihuiya.com/patent-view/abst?patentId=981da96f-baab-49e0-9d91-081f48d52117" TargetMode="External"/><Relationship Id="rId3302" Type="http://schemas.openxmlformats.org/officeDocument/2006/relationships/hyperlink" Target="https://analytics.zhihuiya.com/patent-view/abst?patentId=ba9926bc-2ac1-4be3-99aa-3919b3c7779f" TargetMode="External"/><Relationship Id="rId223" Type="http://schemas.openxmlformats.org/officeDocument/2006/relationships/hyperlink" Target="https://analytics.zhihuiya.com/patent-view/abst?patentId=889bdda5-528c-40b2-bc66-f52fb68c6be4" TargetMode="External"/><Relationship Id="rId4076" Type="http://schemas.openxmlformats.org/officeDocument/2006/relationships/hyperlink" Target="https://analytics.zhihuiya.com/patent-view/abst?patentId=5077664a-532d-4ed0-b355-f06277fe0fe1" TargetMode="External"/><Relationship Id="rId1737" Type="http://schemas.openxmlformats.org/officeDocument/2006/relationships/hyperlink" Target="https://analytics.zhihuiya.com/patent-view/abst?patentId=96c0dc66-58e3-4840-934f-d40311ba5d9d" TargetMode="External"/><Relationship Id="rId3092" Type="http://schemas.openxmlformats.org/officeDocument/2006/relationships/hyperlink" Target="https://analytics.zhihuiya.com/patent-view/abst?patentId=c28fd85c-b643-439c-abd3-e50b67e316db" TargetMode="External"/><Relationship Id="rId4143" Type="http://schemas.openxmlformats.org/officeDocument/2006/relationships/hyperlink" Target="https://analytics.zhihuiya.com/patent-view/abst?patentId=8efca862-7eff-48f2-bc20-b0fc93feac23" TargetMode="External"/><Relationship Id="rId29" Type="http://schemas.openxmlformats.org/officeDocument/2006/relationships/hyperlink" Target="https://analytics.zhihuiya.com/patent-view/abst?patentId=5dd78dc8-4966-42c2-9c0f-267608d6d81e" TargetMode="External"/><Relationship Id="rId4210" Type="http://schemas.openxmlformats.org/officeDocument/2006/relationships/hyperlink" Target="https://analytics.zhihuiya.com/patent-view/abst?patentId=2d71f30a-10c4-4a42-aef6-fa343e158055" TargetMode="External"/><Relationship Id="rId1804" Type="http://schemas.openxmlformats.org/officeDocument/2006/relationships/hyperlink" Target="https://analytics.zhihuiya.com/patent-view/abst?patentId=1f18b281-b4a6-41a4-8522-13789a785fb4" TargetMode="External"/><Relationship Id="rId3976" Type="http://schemas.openxmlformats.org/officeDocument/2006/relationships/hyperlink" Target="https://analytics.zhihuiya.com/patent-view/abst?patentId=5ec9c98e-973d-4bed-a9d5-8e6a3681c805" TargetMode="External"/><Relationship Id="rId897" Type="http://schemas.openxmlformats.org/officeDocument/2006/relationships/hyperlink" Target="https://analytics.zhihuiya.com/patent-view/abst?patentId=29367fc6-9d13-4ba7-8219-1aa61d6de8d2" TargetMode="External"/><Relationship Id="rId2578" Type="http://schemas.openxmlformats.org/officeDocument/2006/relationships/hyperlink" Target="https://analytics.zhihuiya.com/patent-view/abst?patentId=20c12817-ab0a-4dfa-9bfb-47e18f14773b" TargetMode="External"/><Relationship Id="rId2992" Type="http://schemas.openxmlformats.org/officeDocument/2006/relationships/hyperlink" Target="https://analytics.zhihuiya.com/patent-view/abst?patentId=22841826-43d0-4cd5-91eb-137860d1ef3f" TargetMode="External"/><Relationship Id="rId3629" Type="http://schemas.openxmlformats.org/officeDocument/2006/relationships/hyperlink" Target="https://analytics.zhihuiya.com/patent-view/abst?patentId=4916280b-3d9c-4b16-b893-e96feedf5dd4" TargetMode="External"/><Relationship Id="rId964" Type="http://schemas.openxmlformats.org/officeDocument/2006/relationships/hyperlink" Target="https://analytics.zhihuiya.com/patent-view/abst?patentId=d9073d91-4d44-43b7-b3dd-1f733fd3fdef" TargetMode="External"/><Relationship Id="rId1594" Type="http://schemas.openxmlformats.org/officeDocument/2006/relationships/hyperlink" Target="https://analytics.zhihuiya.com/patent-view/abst?patentId=f81836c8-10b6-464e-98c4-f4d44584e606" TargetMode="External"/><Relationship Id="rId2645" Type="http://schemas.openxmlformats.org/officeDocument/2006/relationships/hyperlink" Target="https://analytics.zhihuiya.com/patent-view/abst?patentId=1675fac6-5878-4711-9975-0e13b7437f76" TargetMode="External"/><Relationship Id="rId617" Type="http://schemas.openxmlformats.org/officeDocument/2006/relationships/hyperlink" Target="https://analytics.zhihuiya.com/patent-view/abst?patentId=216f1850-f498-4417-9730-06a6a5a33ddf" TargetMode="External"/><Relationship Id="rId1247" Type="http://schemas.openxmlformats.org/officeDocument/2006/relationships/hyperlink" Target="https://analytics.zhihuiya.com/patent-view/abst?patentId=e14fe1a4-f808-47aa-8c6e-71d997b4a525" TargetMode="External"/><Relationship Id="rId1661" Type="http://schemas.openxmlformats.org/officeDocument/2006/relationships/hyperlink" Target="https://analytics.zhihuiya.com/patent-view/abst?patentId=e8877c1c-a648-4507-8d0e-4147c344d38a" TargetMode="External"/><Relationship Id="rId2712" Type="http://schemas.openxmlformats.org/officeDocument/2006/relationships/hyperlink" Target="https://analytics.zhihuiya.com/patent-view/abst?patentId=9acaedee-bed9-4f2d-901c-676b5caa13bb" TargetMode="External"/><Relationship Id="rId1314" Type="http://schemas.openxmlformats.org/officeDocument/2006/relationships/hyperlink" Target="https://analytics.zhihuiya.com/patent-view/abst?patentId=61873dc0-563c-4eac-aff0-5c9ee36dc4fd" TargetMode="External"/><Relationship Id="rId3486" Type="http://schemas.openxmlformats.org/officeDocument/2006/relationships/hyperlink" Target="https://analytics.zhihuiya.com/patent-view/abst?patentId=4e12ae47-f387-4c0d-a780-cbfef30fe739" TargetMode="External"/><Relationship Id="rId20" Type="http://schemas.openxmlformats.org/officeDocument/2006/relationships/hyperlink" Target="https://analytics.zhihuiya.com/patent-view/abst?patentId=4eb04c7d-9d34-4bba-8aae-b1de973a7110" TargetMode="External"/><Relationship Id="rId2088" Type="http://schemas.openxmlformats.org/officeDocument/2006/relationships/hyperlink" Target="https://analytics.zhihuiya.com/patent-view/abst?patentId=f01aee3f-dc0c-4df2-80fe-6744a12ce306" TargetMode="External"/><Relationship Id="rId3139" Type="http://schemas.openxmlformats.org/officeDocument/2006/relationships/hyperlink" Target="https://analytics.zhihuiya.com/patent-view/abst?patentId=d0b586ae-0cf6-49b1-b855-9afe2d3fdc4b" TargetMode="External"/><Relationship Id="rId474" Type="http://schemas.openxmlformats.org/officeDocument/2006/relationships/hyperlink" Target="https://analytics.zhihuiya.com/patent-view/abst?patentId=d5a2df4c-0eda-4225-accf-999dffea2ca5" TargetMode="External"/><Relationship Id="rId2155" Type="http://schemas.openxmlformats.org/officeDocument/2006/relationships/hyperlink" Target="https://analytics.zhihuiya.com/patent-view/abst?patentId=89a76325-c1db-4d22-bb5b-01c98b4b3fcb" TargetMode="External"/><Relationship Id="rId3553" Type="http://schemas.openxmlformats.org/officeDocument/2006/relationships/hyperlink" Target="https://analytics.zhihuiya.com/patent-view/abst?patentId=1672d21d-35ff-4336-9525-072efcdafefb" TargetMode="External"/><Relationship Id="rId127" Type="http://schemas.openxmlformats.org/officeDocument/2006/relationships/hyperlink" Target="https://analytics.zhihuiya.com/patent-view/abst?patentId=d63c4f61-aed6-4615-be96-1b4b26103961" TargetMode="External"/><Relationship Id="rId3206" Type="http://schemas.openxmlformats.org/officeDocument/2006/relationships/hyperlink" Target="https://analytics.zhihuiya.com/patent-view/abst?patentId=d65440ad-5c7e-4ebf-96dd-9c8f87d85423" TargetMode="External"/><Relationship Id="rId3620" Type="http://schemas.openxmlformats.org/officeDocument/2006/relationships/hyperlink" Target="https://analytics.zhihuiya.com/patent-view/abst?patentId=0dbf81c9-d578-4495-b921-d6a9fd1d6c3b" TargetMode="External"/><Relationship Id="rId541" Type="http://schemas.openxmlformats.org/officeDocument/2006/relationships/hyperlink" Target="https://analytics.zhihuiya.com/patent-view/abst?patentId=974bd3a9-4d98-408f-ac64-d0a323e8697b" TargetMode="External"/><Relationship Id="rId1171" Type="http://schemas.openxmlformats.org/officeDocument/2006/relationships/hyperlink" Target="https://analytics.zhihuiya.com/patent-view/abst?patentId=3f316979-3738-4040-9d80-2e65acd75a05" TargetMode="External"/><Relationship Id="rId2222" Type="http://schemas.openxmlformats.org/officeDocument/2006/relationships/hyperlink" Target="https://analytics.zhihuiya.com/patent-view/abst?patentId=8bfd612a-3c16-4cc1-b9d6-f87f93f26f62" TargetMode="External"/><Relationship Id="rId1988" Type="http://schemas.openxmlformats.org/officeDocument/2006/relationships/hyperlink" Target="https://analytics.zhihuiya.com/patent-view/abst?patentId=fb2c98f0-ce67-4bdc-851e-c269fe221d9d" TargetMode="External"/><Relationship Id="rId4394" Type="http://schemas.openxmlformats.org/officeDocument/2006/relationships/hyperlink" Target="https://analytics.zhihuiya.com/patent-view/abst?patentId=16f845f9-9c9e-46d3-a132-31476cf79d5f" TargetMode="External"/><Relationship Id="rId4047" Type="http://schemas.openxmlformats.org/officeDocument/2006/relationships/hyperlink" Target="https://analytics.zhihuiya.com/patent-view/abst?patentId=4bf0bad0-4ced-44d2-9be7-179ba81031fd" TargetMode="External"/><Relationship Id="rId3063" Type="http://schemas.openxmlformats.org/officeDocument/2006/relationships/hyperlink" Target="https://analytics.zhihuiya.com/patent-view/abst?patentId=bc17b413-6c9b-475d-a970-6c5238cec243" TargetMode="External"/><Relationship Id="rId4114" Type="http://schemas.openxmlformats.org/officeDocument/2006/relationships/hyperlink" Target="https://analytics.zhihuiya.com/patent-view/abst?patentId=b5c4f562-5b01-4cb6-a4e8-469e391f0b1a" TargetMode="External"/><Relationship Id="rId1708" Type="http://schemas.openxmlformats.org/officeDocument/2006/relationships/hyperlink" Target="https://analytics.zhihuiya.com/patent-view/abst?patentId=eefa7fa5-8cea-4ef2-bb64-e12bcc0f10a8" TargetMode="External"/><Relationship Id="rId3130" Type="http://schemas.openxmlformats.org/officeDocument/2006/relationships/hyperlink" Target="https://analytics.zhihuiya.com/patent-view/abst?patentId=223a6597-4db6-4f6d-abc5-ab13c6979fa4" TargetMode="External"/><Relationship Id="rId2896" Type="http://schemas.openxmlformats.org/officeDocument/2006/relationships/hyperlink" Target="https://analytics.zhihuiya.com/patent-view/abst?patentId=79500f10-1116-4a58-ad7d-1a9873b69cd1" TargetMode="External"/><Relationship Id="rId3947" Type="http://schemas.openxmlformats.org/officeDocument/2006/relationships/hyperlink" Target="https://analytics.zhihuiya.com/patent-view/abst?patentId=c6aaec38-fb8f-486a-9342-24c9c9021785" TargetMode="External"/><Relationship Id="rId868" Type="http://schemas.openxmlformats.org/officeDocument/2006/relationships/hyperlink" Target="https://analytics.zhihuiya.com/patent-view/abst?patentId=b0fb288e-5cf6-4035-8c94-4fb94fb8cd61" TargetMode="External"/><Relationship Id="rId1498" Type="http://schemas.openxmlformats.org/officeDocument/2006/relationships/hyperlink" Target="https://analytics.zhihuiya.com/patent-view/abst?patentId=8ac0fec9-1101-42d5-92cf-5b1681bbb357" TargetMode="External"/><Relationship Id="rId2549" Type="http://schemas.openxmlformats.org/officeDocument/2006/relationships/hyperlink" Target="https://analytics.zhihuiya.com/patent-view/abst?patentId=8303adb4-86de-4b7e-8e4d-3398b77d4fa6" TargetMode="External"/><Relationship Id="rId2963" Type="http://schemas.openxmlformats.org/officeDocument/2006/relationships/hyperlink" Target="https://analytics.zhihuiya.com/patent-view/abst?patentId=02cf37e5-418e-42f9-9f89-8e29fb53eb5c" TargetMode="External"/><Relationship Id="rId935" Type="http://schemas.openxmlformats.org/officeDocument/2006/relationships/hyperlink" Target="https://analytics.zhihuiya.com/patent-view/abst?patentId=b171cc2e-1651-45f8-987b-16b5203534b6" TargetMode="External"/><Relationship Id="rId1565" Type="http://schemas.openxmlformats.org/officeDocument/2006/relationships/hyperlink" Target="https://analytics.zhihuiya.com/patent-view/abst?patentId=576d6f15-018e-4491-aa11-8fbc38d6a9e9" TargetMode="External"/><Relationship Id="rId2616" Type="http://schemas.openxmlformats.org/officeDocument/2006/relationships/hyperlink" Target="https://analytics.zhihuiya.com/patent-view/abst?patentId=6ca12410-9e28-48c8-a774-48e335ec2acb" TargetMode="External"/><Relationship Id="rId1218" Type="http://schemas.openxmlformats.org/officeDocument/2006/relationships/hyperlink" Target="https://analytics.zhihuiya.com/patent-view/abst?patentId=390c7a7d-7904-4815-b57f-cb4f0c957ade" TargetMode="External"/><Relationship Id="rId1632" Type="http://schemas.openxmlformats.org/officeDocument/2006/relationships/hyperlink" Target="https://analytics.zhihuiya.com/patent-view/abst?patentId=9ec5f22e-1627-49a6-812d-8b7f1dca97c3" TargetMode="External"/><Relationship Id="rId3457" Type="http://schemas.openxmlformats.org/officeDocument/2006/relationships/hyperlink" Target="https://analytics.zhihuiya.com/patent-view/abst?patentId=c756cfb9-3850-4cd7-bfae-f9c3a3230152" TargetMode="External"/><Relationship Id="rId3871" Type="http://schemas.openxmlformats.org/officeDocument/2006/relationships/hyperlink" Target="https://analytics.zhihuiya.com/patent-view/abst?patentId=93557a55-9dd9-47c2-806c-925e83ab11b9" TargetMode="External"/><Relationship Id="rId378" Type="http://schemas.openxmlformats.org/officeDocument/2006/relationships/hyperlink" Target="https://analytics.zhihuiya.com/patent-view/abst?patentId=bd6cf699-9cd9-4c10-b25e-69ff8feedce8" TargetMode="External"/><Relationship Id="rId792" Type="http://schemas.openxmlformats.org/officeDocument/2006/relationships/hyperlink" Target="https://analytics.zhihuiya.com/patent-view/abst?patentId=9de2c1dd-416b-410a-809e-373e44e02275" TargetMode="External"/><Relationship Id="rId2059" Type="http://schemas.openxmlformats.org/officeDocument/2006/relationships/hyperlink" Target="https://analytics.zhihuiya.com/patent-view/abst?patentId=72b7bd73-fb0d-4ef6-8001-1c2827301440" TargetMode="External"/><Relationship Id="rId2473" Type="http://schemas.openxmlformats.org/officeDocument/2006/relationships/hyperlink" Target="https://analytics.zhihuiya.com/patent-view/abst?patentId=cb792914-90ae-462f-ab0e-73a232af95ec" TargetMode="External"/><Relationship Id="rId3524" Type="http://schemas.openxmlformats.org/officeDocument/2006/relationships/hyperlink" Target="https://analytics.zhihuiya.com/patent-view/abst?patentId=52853cc0-452b-4431-8333-61cbac0a07e2" TargetMode="External"/><Relationship Id="rId445" Type="http://schemas.openxmlformats.org/officeDocument/2006/relationships/hyperlink" Target="https://analytics.zhihuiya.com/patent-view/abst?patentId=d6334530-eb35-42d9-a498-209e7c4c317a" TargetMode="External"/><Relationship Id="rId1075" Type="http://schemas.openxmlformats.org/officeDocument/2006/relationships/hyperlink" Target="https://analytics.zhihuiya.com/patent-view/abst?patentId=d2c08e0e-6c49-4dd4-b2f6-927580973f11" TargetMode="External"/><Relationship Id="rId2126" Type="http://schemas.openxmlformats.org/officeDocument/2006/relationships/hyperlink" Target="https://analytics.zhihuiya.com/patent-view/abst?patentId=55b6db65-e9f8-455e-b4fc-aed9bda63553" TargetMode="External"/><Relationship Id="rId2540" Type="http://schemas.openxmlformats.org/officeDocument/2006/relationships/hyperlink" Target="https://analytics.zhihuiya.com/patent-view/abst?patentId=1be2a385-af7e-4acd-bd12-507fa183929a" TargetMode="External"/><Relationship Id="rId512" Type="http://schemas.openxmlformats.org/officeDocument/2006/relationships/hyperlink" Target="https://analytics.zhihuiya.com/patent-view/abst?patentId=5beb6e4e-eb47-438a-94bd-bf1473ff65b8" TargetMode="External"/><Relationship Id="rId1142" Type="http://schemas.openxmlformats.org/officeDocument/2006/relationships/hyperlink" Target="https://analytics.zhihuiya.com/patent-view/abst?patentId=8a47ea11-fc8e-449d-826d-beeadb3e363d" TargetMode="External"/><Relationship Id="rId4298" Type="http://schemas.openxmlformats.org/officeDocument/2006/relationships/hyperlink" Target="https://analytics.zhihuiya.com/patent-view/abst?patentId=f5b95613-9e22-44e6-9e61-c394d414102f" TargetMode="External"/><Relationship Id="rId4365" Type="http://schemas.openxmlformats.org/officeDocument/2006/relationships/hyperlink" Target="https://analytics.zhihuiya.com/patent-view/abst?patentId=5e57ead3-8131-470c-8b7e-7d27e9e7c1f4" TargetMode="External"/><Relationship Id="rId1959" Type="http://schemas.openxmlformats.org/officeDocument/2006/relationships/hyperlink" Target="https://analytics.zhihuiya.com/patent-view/abst?patentId=0afb0daa-3479-4728-bb64-0f647c277f75" TargetMode="External"/><Relationship Id="rId4018" Type="http://schemas.openxmlformats.org/officeDocument/2006/relationships/hyperlink" Target="https://analytics.zhihuiya.com/patent-view/abst?patentId=4a9e30a6-0902-475f-97ee-f7cd251ce1a3" TargetMode="External"/><Relationship Id="rId3381" Type="http://schemas.openxmlformats.org/officeDocument/2006/relationships/hyperlink" Target="https://analytics.zhihuiya.com/patent-view/abst?patentId=df2cc2e6-277f-4632-af63-fddb7c9641a4" TargetMode="External"/><Relationship Id="rId4432" Type="http://schemas.openxmlformats.org/officeDocument/2006/relationships/hyperlink" Target="https://analytics.zhihuiya.com/patent-view/abst?patentId=4a4a7e9a-0688-41a1-9c9a-6249e142c220" TargetMode="External"/><Relationship Id="rId3034" Type="http://schemas.openxmlformats.org/officeDocument/2006/relationships/hyperlink" Target="https://analytics.zhihuiya.com/patent-view/abst?patentId=f94b04c6-c180-448f-a563-ccc0c8e77287" TargetMode="External"/><Relationship Id="rId2050" Type="http://schemas.openxmlformats.org/officeDocument/2006/relationships/hyperlink" Target="https://analytics.zhihuiya.com/patent-view/abst?patentId=5430b38e-4e44-4011-8393-d51d203a9cd8" TargetMode="External"/><Relationship Id="rId3101" Type="http://schemas.openxmlformats.org/officeDocument/2006/relationships/hyperlink" Target="https://analytics.zhihuiya.com/patent-view/abst?patentId=6f5b5e50-0297-410a-97c1-a5fc1a2d08b6" TargetMode="External"/><Relationship Id="rId839" Type="http://schemas.openxmlformats.org/officeDocument/2006/relationships/hyperlink" Target="https://analytics.zhihuiya.com/patent-view/abst?patentId=e9e95c3f-bc9e-4ba9-b4b2-299d6e902477" TargetMode="External"/><Relationship Id="rId1469" Type="http://schemas.openxmlformats.org/officeDocument/2006/relationships/hyperlink" Target="https://analytics.zhihuiya.com/patent-view/abst?patentId=13408cde-a6a6-45c9-b83f-18459f6b03b0" TargetMode="External"/><Relationship Id="rId2867" Type="http://schemas.openxmlformats.org/officeDocument/2006/relationships/hyperlink" Target="https://analytics.zhihuiya.com/patent-view/abst?patentId=adc6e570-96d1-49d1-a3f7-fe412f8c8cd1" TargetMode="External"/><Relationship Id="rId3918" Type="http://schemas.openxmlformats.org/officeDocument/2006/relationships/hyperlink" Target="https://analytics.zhihuiya.com/patent-view/abst?patentId=a119b4c7-2c89-4cf4-8fbe-29571aec7278" TargetMode="External"/><Relationship Id="rId1883" Type="http://schemas.openxmlformats.org/officeDocument/2006/relationships/hyperlink" Target="https://analytics.zhihuiya.com/patent-view/abst?patentId=ba6ed893-49a3-4d8d-a40e-0a1a38a066e1" TargetMode="External"/><Relationship Id="rId2934" Type="http://schemas.openxmlformats.org/officeDocument/2006/relationships/hyperlink" Target="https://analytics.zhihuiya.com/patent-view/abst?patentId=ca59646a-cb11-4c99-a0ea-3a8ec31a114f" TargetMode="External"/><Relationship Id="rId906" Type="http://schemas.openxmlformats.org/officeDocument/2006/relationships/hyperlink" Target="https://analytics.zhihuiya.com/patent-view/abst?patentId=70b72f90-4db6-4e27-99e8-ddb0dbe90134" TargetMode="External"/><Relationship Id="rId1536" Type="http://schemas.openxmlformats.org/officeDocument/2006/relationships/hyperlink" Target="https://analytics.zhihuiya.com/patent-view/abst?patentId=54053da2-1a7e-41ac-9d7c-2c298c9cf729" TargetMode="External"/><Relationship Id="rId1950" Type="http://schemas.openxmlformats.org/officeDocument/2006/relationships/hyperlink" Target="https://analytics.zhihuiya.com/patent-view/abst?patentId=87e1a88c-9a82-4f96-8e84-8d6537ebc96c" TargetMode="External"/><Relationship Id="rId1603" Type="http://schemas.openxmlformats.org/officeDocument/2006/relationships/hyperlink" Target="https://analytics.zhihuiya.com/patent-view/abst?patentId=fd6da3be-69d0-451d-932f-aa4063712c6f" TargetMode="External"/><Relationship Id="rId3775" Type="http://schemas.openxmlformats.org/officeDocument/2006/relationships/hyperlink" Target="https://analytics.zhihuiya.com/patent-view/abst?patentId=16c66d51-a180-4e43-8fda-2a38c048d2a7" TargetMode="External"/><Relationship Id="rId696" Type="http://schemas.openxmlformats.org/officeDocument/2006/relationships/hyperlink" Target="https://analytics.zhihuiya.com/patent-view/abst?patentId=5650b377-3904-4569-a1ac-f4db7b06ea78" TargetMode="External"/><Relationship Id="rId2377" Type="http://schemas.openxmlformats.org/officeDocument/2006/relationships/hyperlink" Target="https://analytics.zhihuiya.com/patent-view/abst?patentId=0e76e8f9-3634-4491-a237-1bfe82c131d4" TargetMode="External"/><Relationship Id="rId2791" Type="http://schemas.openxmlformats.org/officeDocument/2006/relationships/hyperlink" Target="https://analytics.zhihuiya.com/patent-view/abst?patentId=2ad1ab62-65cb-4ebb-9664-4c313d2672d8" TargetMode="External"/><Relationship Id="rId3428" Type="http://schemas.openxmlformats.org/officeDocument/2006/relationships/hyperlink" Target="https://analytics.zhihuiya.com/patent-view/abst?patentId=78b1da1d-051f-481f-8fa8-ce4b03696b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459"/>
  <sheetViews>
    <sheetView tabSelected="1" workbookViewId="0">
      <selection activeCell="G10" sqref="G10"/>
    </sheetView>
  </sheetViews>
  <sheetFormatPr defaultColWidth="12.5703125" defaultRowHeight="15.75" customHeight="1" x14ac:dyDescent="0.2"/>
  <cols>
    <col min="2" max="2" width="60.42578125" customWidth="1"/>
    <col min="3" max="3" width="29.7109375" customWidth="1"/>
    <col min="4" max="4" width="37.85546875" customWidth="1"/>
  </cols>
  <sheetData>
    <row r="1" spans="1:5" ht="15" x14ac:dyDescent="0.2">
      <c r="A1" s="1" t="s">
        <v>0</v>
      </c>
      <c r="B1" s="8" t="s">
        <v>12426</v>
      </c>
      <c r="C1" s="8" t="s">
        <v>12427</v>
      </c>
      <c r="D1" s="8" t="s">
        <v>12428</v>
      </c>
      <c r="E1" s="9" t="s">
        <v>12429</v>
      </c>
    </row>
    <row r="2" spans="1:5" ht="15.75" customHeight="1" x14ac:dyDescent="0.25">
      <c r="A2" s="2" t="s">
        <v>1</v>
      </c>
      <c r="B2" s="3" t="s">
        <v>2</v>
      </c>
      <c r="C2" s="3" t="str">
        <f ca="1">IFERROR(__xludf.DUMMYFUNCTION("GOOGLETRANSLATE(B2,""auto"",""en"")"),"The development of Industry 4.0 forces us to get along with technology, and multiple tools need to be operated and monitored through the Internet of Things (IoT). The IoT's applications in the school environment are still very small. Therefore, it is nece"&amp;"ssary to recommend an Internet of Things -based tools that can be applied to the education institution in school, and introduce the preparation of the Internet of Things system in a form of easy understanding, so that students can re -create the IoT syste"&amp;"m. The purpose of it through a coach kit is to introduce the concept of the Internet of Things in the trainer's kit, which is called the Internet of Things seminar kit (IWK). The IWK is aimed at school institutions, especially the Department of Electronic"&amp;" Engineering. Based on these goals, IWK is created in a practical and simple way to implement the environment sensor system as a system that can detect indoor temperatures in the school. The IoT seminar kit is the copy of the tool. It can be a study mediu"&amp;"m for vocational school students in the tool framework installed on the kit board. The environment sensor itself is a tool for detecting temperature, and the indoor and outdoor temperatures are available. In addition to temperature, the environment sensor"&amp;" can also display the time and weather of the required city through the screen.")</f>
        <v>The development of Industry 4.0 forces us to get along with technology, and multiple tools need to be operated and monitored through the Internet of Things (IoT). The IoT's applications in the school environment are still very small. Therefore, it is necessary to recommend an Internet of Things -based tools that can be applied to the education institution in school, and introduce the preparation of the Internet of Things system in a form of easy understanding, so that students can re -create the IoT system. The purpose of it through a coach kit is to introduce the concept of the Internet of Things in the trainer's kit, which is called the Internet of Things seminar kit (IWK). The IWK is aimed at school institutions, especially the Department of Electronic Engineering. Based on these goals, IWK is created in a practical and simple way to implement the environment sensor system as a system that can detect indoor temperatures in the school. The IoT seminar kit is the copy of the tool. It can be a study medium for vocational school students in the tool framework installed on the kit board. The environment sensor itself is a tool for detecting temperature, and the indoor and outdoor temperatures are available. In addition to temperature, the environment sensor can also display the time and weather of the required city through the screen.</v>
      </c>
      <c r="D2" s="3" t="s">
        <v>3</v>
      </c>
      <c r="E2" s="4" t="str">
        <f ca="1">IFERROR(__xludf.DUMMYFUNCTION("GOOGLETRANSLATE(D2,""auto"",""en"")"),"Practical device based on the Internet of Things environment temperature sensor")</f>
        <v>Practical device based on the Internet of Things environment temperature sensor</v>
      </c>
    </row>
    <row r="3" spans="1:5" ht="15.75" customHeight="1" x14ac:dyDescent="0.25">
      <c r="A3" s="5" t="s">
        <v>4</v>
      </c>
      <c r="B3" s="6" t="s">
        <v>5</v>
      </c>
      <c r="C3" s="3" t="str">
        <f ca="1">IFERROR(__xludf.DUMMYFUNCTION("GOOGLETRANSLATE(B3,""auto"",""en"")"),"A method and system for providing a system (100) system (100) for cricket learners to classify categorian crickets using convolutional neural networks (CNN) models. The system (100) includes cameras (102). The camera (102) is configured to capture the vid"&amp;"eos of the learner playing campaign. The system executes the following steps: Train CNN models (106) on the comprehensive data set of cricket videos and systems with annotations, learn and use the training data accurately to categorize the lens without hu"&amp;"man intervention, receive the input videos of learners playing balls ( 104) Campaign, use training data to classify the types of learning from the learner, and provide learners with a fast assessment of learning, competition strategy and counseling help. "&amp;"Figure 1-2")</f>
        <v>A method and system for providing a system (100) system (100) for cricket learners to classify categorian crickets using convolutional neural networks (CNN) models. The system (100) includes cameras (102). The camera (102) is configured to capture the videos of the learner playing campaign. The system executes the following steps: Train CNN models (106) on the comprehensive data set of cricket videos and systems with annotations, learn and use the training data accurately to categorize the lens without human intervention, receive the input videos of learners playing balls ( 104) Campaign, use training data to classify the types of learning from the learner, and provide learners with a fast assessment of learning, competition strategy and counseling help. Figure 1-2</v>
      </c>
      <c r="D3" s="6" t="s">
        <v>6</v>
      </c>
      <c r="E3" s="4" t="str">
        <f ca="1">IFERROR(__xludf.DUMMYFUNCTION("GOOGLETRANSLATE(D3,""auto"",""en"")"),"The method and system of using the CNN model as a cricket learner to classify the crickets")</f>
        <v>The method and system of using the CNN model as a cricket learner to classify the crickets</v>
      </c>
    </row>
    <row r="4" spans="1:5" ht="15.75" customHeight="1" x14ac:dyDescent="0.25">
      <c r="A4" s="5" t="s">
        <v>7</v>
      </c>
      <c r="B4" s="6" t="s">
        <v>8</v>
      </c>
      <c r="C4" s="3" t="str">
        <f ca="1">IFERROR(__xludf.DUMMYFUNCTION("GOOGLETRANSLATE(B4,""auto"",""en"")"),"Video Abstract is the most important and related process in the selection and presentation of the longer video. This process is important because it reduces the time and resources required to view and analyze the video, which is easier to extract meaningf"&amp;"ul information from it. Key frame extraction, scene segmentation, and object tracking are some technologies used for video abstracts. The latest progress of machine learning and computer vision has promoted the development of more complex and effective vi"&amp;"deo abstract algorithms. These algorithms can generate accurate, concise and information -rich video abstracts to provide valuable insights for video content. Video summary has a wide range of applications, including monitoring, sports analysis and online"&amp;" video sharing, and it is possible to change our way to interact and understand the content of the video.")</f>
        <v>Video Abstract is the most important and related process in the selection and presentation of the longer video. This process is important because it reduces the time and resources required to view and analyze the video, which is easier to extract meaningful information from it. Key frame extraction, scene segmentation, and object tracking are some technologies used for video abstracts. The latest progress of machine learning and computer vision has promoted the development of more complex and effective video abstract algorithms. These algorithms can generate accurate, concise and information -rich video abstracts to provide valuable insights for video content. Video summary has a wide range of applications, including monitoring, sports analysis and online video sharing, and it is possible to change our way to interact and understand the content of the video.</v>
      </c>
      <c r="D4" s="6" t="s">
        <v>9</v>
      </c>
      <c r="E4" s="4" t="str">
        <f ca="1">IFERROR(__xludf.DUMMYFUNCTION("GOOGLETRANSLATE(D4,""auto"",""en"")"),"IoT enhanced automatic chat robot for personalized financial services")</f>
        <v>IoT enhanced automatic chat robot for personalized financial services</v>
      </c>
    </row>
    <row r="5" spans="1:5" ht="15.75" customHeight="1" x14ac:dyDescent="0.25">
      <c r="A5" s="5" t="s">
        <v>10</v>
      </c>
      <c r="B5" s="6" t="s">
        <v>11</v>
      </c>
      <c r="C5" s="3" t="str">
        <f ca="1">IFERROR(__xludf.DUMMYFUNCTION("GOOGLETRANSLATE(B5,""auto"",""en"")"),"Our invention ""Advanced Network Security Design"" is the use of ""intelligent"" tools and applications connected through the network to improve the performance of individuals and groups. The Internet of Things (IoT) in the sports field refers to all ""in"&amp;"telligent"" tools and programs connected through the network to maximize the damage, create cutting -edge training methods, and use complicated motion improvement methods to improve overall sports performance. The use of the use of the Internet of Things "&amp;"in sports, the safety and privacy goals in sports are closely related, and in recent years, it has become the main concern of the sports industry. Therefore, security faults may have a catastrophic effect, such as the leakage of private information, forge"&amp;"ry of statistical results, damage to the reputation of the company, and major financial losses of sports organizations. As mentioned, one or more of them affect the athletes related to sports organizations and athletes belonging to these organizations, an"&amp;"d have a direct impact on the corresponding sports -related, medical -related and auxiliary medical enterprise groups, especially those specialized sports equipment that provides specialized sports equipment And related services.")</f>
        <v>Our invention "Advanced Network Security Design" is the use of "intelligent" tools and applications connected through the network to improve the performance of individuals and groups. The Internet of Things (IoT) in the sports field refers to all "intelligent" tools and programs connected through the network to maximize the damage, create cutting -edge training methods, and use complicated motion improvement methods to improve overall sports performance. The use of the use of the Internet of Things in sports, the safety and privacy goals in sports are closely related, and in recent years, it has become the main concern of the sports industry. Therefore, security faults may have a catastrophic effect, such as the leakage of private information, forgery of statistical results, damage to the reputation of the company, and major financial losses of sports organizations. As mentioned, one or more of them affect the athletes related to sports organizations and athletes belonging to these organizations, and have a direct impact on the corresponding sports -related, medical -related and auxiliary medical enterprise groups, especially those specialized sports equipment that provides specialized sports equipment And related services.</v>
      </c>
      <c r="D5" s="6" t="s">
        <v>12</v>
      </c>
      <c r="E5" s="4" t="str">
        <f ca="1">IFERROR(__xludf.DUMMYFUNCTION("GOOGLETRANSLATE(D5,""auto"",""en"")"),"Advanced network security design")</f>
        <v>Advanced network security design</v>
      </c>
    </row>
    <row r="6" spans="1:5" ht="15.75" customHeight="1" x14ac:dyDescent="0.25">
      <c r="A6" s="5" t="s">
        <v>13</v>
      </c>
      <c r="B6" s="6" t="s">
        <v>14</v>
      </c>
      <c r="C6" s="3" t="str">
        <f ca="1">IFERROR(__xludf.DUMMYFUNCTION("GOOGLETRANSLATE(B6,""auto"",""en"")"),"A system for monitoring, recording and processing activities, including one or more cameras for videos for automatic recording activities. The remote media system is located at the event location. Online media processors and services communicate with remo"&amp;"te media systems. The remote media system includes one or more cameras that support artificial intelligence. Enabled artificial intelligence cameras are configured as recording activities. The network media processor is configured to activate the activati"&amp;"on request for receiving a camera that enables AI and verify the record request. The system can automatically manage skill -based competitions.")</f>
        <v>A system for monitoring, recording and processing activities, including one or more cameras for videos for automatic recording activities. The remote media system is located at the event location. Online media processors and services communicate with remote media systems. The remote media system includes one or more cameras that support artificial intelligence. Enabled artificial intelligence cameras are configured as recording activities. The network media processor is configured to activate the activation request for receiving a camera that enables AI and verify the record request. The system can automatically manage skill -based competitions.</v>
      </c>
      <c r="D6" s="6" t="s">
        <v>15</v>
      </c>
      <c r="E6" s="4" t="str">
        <f ca="1">IFERROR(__xludf.DUMMYFUNCTION("GOOGLETRANSLATE(D6,""auto"",""en"")"),"Autonomous golf competition system and method")</f>
        <v>Autonomous golf competition system and method</v>
      </c>
    </row>
    <row r="7" spans="1:5" ht="15.75" customHeight="1" x14ac:dyDescent="0.25">
      <c r="A7" s="5" t="s">
        <v>16</v>
      </c>
      <c r="B7" s="6" t="s">
        <v>17</v>
      </c>
      <c r="C7" s="3" t="str">
        <f ca="1">IFERROR(__xludf.DUMMYFUNCTION("GOOGLETRANSLATE(B7,""auto"",""en"")"),"The present invention disclosed the intelligent punishment method, equipment and storage media based on the neural network volleyball game, which includes obtaining sampling images from the real -time video stream, extracting the target detection area ima"&amp;"ge; Zero -point gradient to form a circular dataset and calculate the results of the target sphere; the detection data set is processed after the processing of the target sphere; based on the multi -layer convolutional neural network structure , Generate "&amp;"a target human characteristic diagram, combined with the coordinates of the target sphere, calculate and output the character interactive detection sequence. Get the sampling image from the real -time video stream, and then get the results in the target d"&amp;"etection algorithm. The smaller sphere target detection has better generalization ability. The adaptive sampling method improves the real -timeness of the detection. The structure improves the accuracy of the target human characteristic chart and the targ"&amp;"et sphere prediction results.")</f>
        <v>The present invention disclosed the intelligent punishment method, equipment and storage media based on the neural network volleyball game, which includes obtaining sampling images from the real -time video stream, extracting the target detection area image; Zero -point gradient to form a circular dataset and calculate the results of the target sphere; the detection data set is processed after the processing of the target sphere; based on the multi -layer convolutional neural network structure , Generate a target human characteristic diagram, combined with the coordinates of the target sphere, calculate and output the character interactive detection sequence. Get the sampling image from the real -time video stream, and then get the results in the target detection algorithm. The smaller sphere target detection has better generalization ability. The adaptive sampling method improves the real -timeness of the detection. The structure improves the accuracy of the target human characteristic chart and the target sphere prediction results.</v>
      </c>
      <c r="D7" s="6" t="s">
        <v>18</v>
      </c>
      <c r="E7" s="4" t="str">
        <f ca="1">IFERROR(__xludf.DUMMYFUNCTION("GOOGLETRANSLATE(D7,""auto"",""en"")"),"Intelligent punishment methods, equipment and storage media based on the volleyball game based on neural network")</f>
        <v>Intelligent punishment methods, equipment and storage media based on the volleyball game based on neural network</v>
      </c>
    </row>
    <row r="8" spans="1:5" ht="15.75" customHeight="1" x14ac:dyDescent="0.25">
      <c r="A8" s="5" t="s">
        <v>19</v>
      </c>
      <c r="B8" s="6" t="s">
        <v>20</v>
      </c>
      <c r="C8" s="3" t="str">
        <f ca="1">IFERROR(__xludf.DUMMYFUNCTION("GOOGLETRANSLATE(B8,""auto"",""en"")"),"The artificial intelligence -driven mobile application system of ASHA staff facing pregnant women and junior/community health centers, including text generation guidelines (101), diet plan show (102), and physical exercise recommendation system (103); thi"&amp;"s is based on artificial Intelligent information transmission system; where the system provides asha staff with real -time information and other necessary information about the government or scheduled standards. This application allows pregnant women to r"&amp;"egister easily and start using the mobile verification registration process. After registration, pregnant women can use many useful functions to use all medical services provided by Asha staff.")</f>
        <v>The artificial intelligence -driven mobile application system of ASHA staff facing pregnant women and junior/community health centers, including text generation guidelines (101), diet plan show (102), and physical exercise recommendation system (103); this is based on artificial Intelligent information transmission system; where the system provides asha staff with real -time information and other necessary information about the government or scheduled standards. This application allows pregnant women to register easily and start using the mobile verification registration process. After registration, pregnant women can use many useful functions to use all medical services provided by Asha staff.</v>
      </c>
      <c r="D8" s="6" t="s">
        <v>21</v>
      </c>
      <c r="E8" s="4" t="str">
        <f ca="1">IFERROR(__xludf.DUMMYFUNCTION("GOOGLETRANSLATE(D8,""auto"",""en"")"),"An artificial intelligence auxiliary mobile application system and method for Asa workers")</f>
        <v>An artificial intelligence auxiliary mobile application system and method for Asa workers</v>
      </c>
    </row>
    <row r="9" spans="1:5" ht="15.75" customHeight="1" x14ac:dyDescent="0.25">
      <c r="A9" s="5" t="s">
        <v>22</v>
      </c>
      <c r="B9" s="6" t="s">
        <v>23</v>
      </c>
      <c r="C9" s="3" t="str">
        <f ca="1">IFERROR(__xludf.DUMMYFUNCTION("GOOGLETRANSLATE(B9,""auto"",""en"")"),"The present invention disclosed a basketball action recognition evaluation system and methods based on wearable sensors and machine learning, including wearable sensors, smart mobile terminals, and cloud storage servers, wearable sensors and intelligent m"&amp;"obile terminal data connection, smart mobile terminal and cloud cloud The storage server data is connected, and wearable sensors are set on the arm of basketball players to collect sports data of one or more sports actions in the limbs of basketball playe"&amp;"rs. The intelligent mobile terminal is used to display motion data measured by wearable sensors and display clouds. The identification results returned by the storage server. The technical scheme of the present invention can classify the completion of the"&amp;" same actions. The completion of the action is a professional athlete or amateur enthusiast to help users improve the basketball technology. Firm and reliable, high waterproof performance, high measurement accuracy, convenient use, low cost.")</f>
        <v>The present invention disclosed a basketball action recognition evaluation system and methods based on wearable sensors and machine learning, including wearable sensors, smart mobile terminals, and cloud storage servers, wearable sensors and intelligent mobile terminal data connection, smart mobile terminal and cloud cloud The storage server data is connected, and wearable sensors are set on the arm of basketball players to collect sports data of one or more sports actions in the limbs of basketball players. The intelligent mobile terminal is used to display motion data measured by wearable sensors and display clouds. The identification results returned by the storage server. The technical scheme of the present invention can classify the completion of the same actions. The completion of the action is a professional athlete or amateur enthusiast to help users improve the basketball technology. Firm and reliable, high waterproof performance, high measurement accuracy, convenient use, low cost.</v>
      </c>
      <c r="D9" s="6" t="s">
        <v>24</v>
      </c>
      <c r="E9" s="4" t="str">
        <f ca="1">IFERROR(__xludf.DUMMYFUNCTION("GOOGLETRANSLATE(D9,""auto"",""en"")"),"A basketball action recognition evaluation system and method based on wearable sensors and machine learning")</f>
        <v>A basketball action recognition evaluation system and method based on wearable sensors and machine learning</v>
      </c>
    </row>
    <row r="10" spans="1:5" ht="15.75" customHeight="1" x14ac:dyDescent="0.25">
      <c r="A10" s="5" t="s">
        <v>25</v>
      </c>
      <c r="B10" s="6" t="s">
        <v>26</v>
      </c>
      <c r="C10" s="3" t="str">
        <f ca="1">IFERROR(__xludf.DUMMYFUNCTION("GOOGLETRANSLATE(B10,""auto"",""en"")"),"The invention involves the field of fitness equipment, and the personalized intelligent power adjustment method of power -type fitness equipment is released, including AI capability layers, service layers, interactive channels, and application layers. , U"&amp;"ser portrait module, curriculum action graph module; the service layer includes command words recognition module, physical evaluation module, action completion detection module, muscle group bearing prediction module, curriculum intensity recommendation m"&amp;"odule, action power prediction module, and motion data collection module. Interactive channels. The patented technology of the present invention can make full use of voice recognition technology, user portraits, knowledge maps and artificial intelligence "&amp;"algorithms to provide users with more personalized fitness training services, and during the process of fitness, you can enjoy real -time and accurate automatic power adjustment, so that users can focus more on more focus Fitness itself makes fitness more"&amp;" efficient and scientific.")</f>
        <v>The invention involves the field of fitness equipment, and the personalized intelligent power adjustment method of power -type fitness equipment is released, including AI capability layers, service layers, interactive channels, and application layers. , User portrait module, curriculum action graph module; the service layer includes command words recognition module, physical evaluation module, action completion detection module, muscle group bearing prediction module, curriculum intensity recommendation module, action power prediction module, and motion data collection module. Interactive channels. The patented technology of the present invention can make full use of voice recognition technology, user portraits, knowledge maps and artificial intelligence algorithms to provide users with more personalized fitness training services, and during the process of fitness, you can enjoy real -time and accurate automatic power adjustment, so that users can focus more on more focus Fitness itself makes fitness more efficient and scientific.</v>
      </c>
      <c r="D10" s="6" t="s">
        <v>27</v>
      </c>
      <c r="E10" s="4" t="str">
        <f ca="1">IFERROR(__xludf.DUMMYFUNCTION("GOOGLETRANSLATE(D10,""auto"",""en"")"),"Personal intelligent power adjustment method of a power -type fitness device")</f>
        <v>Personal intelligent power adjustment method of a power -type fitness device</v>
      </c>
    </row>
    <row r="11" spans="1:5" ht="15.75" customHeight="1" x14ac:dyDescent="0.25">
      <c r="A11" s="5" t="s">
        <v>28</v>
      </c>
      <c r="B11" s="6" t="s">
        <v>29</v>
      </c>
      <c r="C11" s="3" t="str">
        <f ca="1">IFERROR(__xludf.DUMMYFUNCTION("GOOGLETRANSLATE(B11,""auto"",""en"")"),"The present invention disclosed a method of using machine learning in the blood glucose meter device to predict blood sugar levels in real time. This method includes the use of sensors to measure blood sugar levels and use machine learning algorithms to c"&amp;"ontinue to analyze data. It also includes data from external sources, such as wearable fitness trackers and nutritional applications for comprehensive analysis. Use collected data training machine learning models to optimize predictions according to indiv"&amp;"idual mode and characteristics. This method also includes the current blood glucose level, trend chart, and predictive insights through the user interface, providing intelligent alarm and personalized suggestions based on the predicted blood glucose level"&amp;", and ensuring privacy and data security through industry standard encryption agreements. The invention provides an advanced method for managing blood sugar levels that can perform real -time analysis and personalized guidance to improve diabetes manageme"&amp;"nt.")</f>
        <v>The present invention disclosed a method of using machine learning in the blood glucose meter device to predict blood sugar levels in real time. This method includes the use of sensors to measure blood sugar levels and use machine learning algorithms to continue to analyze data. It also includes data from external sources, such as wearable fitness trackers and nutritional applications for comprehensive analysis. Use collected data training machine learning models to optimize predictions according to individual mode and characteristics. This method also includes the current blood glucose level, trend chart, and predictive insights through the user interface, providing intelligent alarm and personalized suggestions based on the predicted blood glucose level, and ensuring privacy and data security through industry standard encryption agreements. The invention provides an advanced method for managing blood sugar levels that can perform real -time analysis and personalized guidance to improve diabetes management.</v>
      </c>
      <c r="D11" s="6" t="s">
        <v>30</v>
      </c>
      <c r="E11" s="4" t="str">
        <f ca="1">IFERROR(__xludf.DUMMYFUNCTION("GOOGLETRANSLATE(D11,""auto"",""en"")"),"Use machine learning in the blood glucose meter equipment to learn real -time prediction and analyze the system and method of blood glucose level")</f>
        <v>Use machine learning in the blood glucose meter equipment to learn real -time prediction and analyze the system and method of blood glucose level</v>
      </c>
    </row>
    <row r="12" spans="1:5" ht="15.75" customHeight="1" x14ac:dyDescent="0.25">
      <c r="A12" s="5" t="s">
        <v>31</v>
      </c>
      <c r="B12" s="6" t="s">
        <v>32</v>
      </c>
      <c r="C12" s="3" t="str">
        <f ca="1">IFERROR(__xludf.DUMMYFUNCTION("GOOGLETRANSLATE(B12,""auto"",""en"")"),"The present invention disclosed a kind of tennis pick -up service -oriented robot based on deep learning, including upper machine, control motherboard, double -eyed camera, robot chassis, and tennis pickup mechanism. YOLOV5S recognition algorithm and the "&amp;"three -dimensional algorithm algorithm of polar line constraints. Through the three -dimensional algorithm based on the YOLOV5S identification algorithm and polar line constraints, the three -dimensional coordinates of the target are further calculated ba"&amp;"sed on the principle of two -dimensional vision sparrows to improve the tennis pick -up robot recognition of tennis. The stability is higher, and its accuracy and speed performance is also very excellent. Based on multi -target A &amp; LT; SUPGT;*&amp; LT;/SUPGT;"&amp;" Picking the ball path planning path planning scheme to plan a more efficient and reasonable plan for the robotic planning Picking the ball path, the algorithm will consider the actual obstacles on the court, so that the planned path is more reasonable, a"&amp;"nd ensure that the robot will not hit the obstacle during the pickup stage.")</f>
        <v>The present invention disclosed a kind of tennis pick -up service -oriented robot based on deep learning, including upper machine, control motherboard, double -eyed camera, robot chassis, and tennis pickup mechanism. YOLOV5S recognition algorithm and the three -dimensional algorithm algorithm of polar line constraints. Through the three -dimensional algorithm based on the YOLOV5S identification algorithm and polar line constraints, the three -dimensional coordinates of the target are further calculated based on the principle of two -dimensional vision sparrows to improve the tennis pick -up robot recognition of tennis. The stability is higher, and its accuracy and speed performance is also very excellent. Based on multi -target A &amp; LT; SUPGT;*&amp; LT;/SUPGT; Picking the ball path planning path planning scheme to plan a more efficient and reasonable plan for the robotic planning Picking the ball path, the algorithm will consider the actual obstacles on the court, so that the planned path is more reasonable, and ensure that the robot will not hit the obstacle during the pickup stage.</v>
      </c>
      <c r="D12" s="6" t="s">
        <v>33</v>
      </c>
      <c r="E12" s="4" t="str">
        <f ca="1">IFERROR(__xludf.DUMMYFUNCTION("GOOGLETRANSLATE(D12,""auto"",""en"")"),"A kind of tennis pick -up service robot based on deep learning")</f>
        <v>A kind of tennis pick -up service robot based on deep learning</v>
      </c>
    </row>
    <row r="13" spans="1:5" ht="15.75" customHeight="1" x14ac:dyDescent="0.25">
      <c r="A13" s="5" t="s">
        <v>34</v>
      </c>
      <c r="B13" s="6" t="s">
        <v>35</v>
      </c>
      <c r="C13" s="3" t="str">
        <f ca="1">IFERROR(__xludf.DUMMYFUNCTION("GOOGLETRANSLATE(B13,""auto"",""en"")"),"[0001] The present invention involves the field of artificial intelligence technology and sports teaching. The focus of the invention is artificial intelligence equipment, which can help identify the wrong sports activities in the auditorium of the gym an"&amp;"d promote a safe and effective training environment. The implementation of the real world requires thorough testing, cooperation with fitness experts, and close monitoring accuracy and safety. The camera and deep sensor network are strategically placed to"&amp;" capture the full view of activities. The artificial intelligence system can record the examples of the error activity, storage data for analysis, track the improvement of the situation within a period of time, identify repeated problems, and fine -tune t"&amp;"he model.")</f>
        <v>[0001] The present invention involves the field of artificial intelligence technology and sports teaching. The focus of the invention is artificial intelligence equipment, which can help identify the wrong sports activities in the auditorium of the gym and promote a safe and effective training environment. The implementation of the real world requires thorough testing, cooperation with fitness experts, and close monitoring accuracy and safety. The camera and deep sensor network are strategically placed to capture the full view of activities. The artificial intelligence system can record the examples of the error activity, storage data for analysis, track the improvement of the situation within a period of time, identify repeated problems, and fine -tune the model.</v>
      </c>
      <c r="D13" s="6" t="s">
        <v>36</v>
      </c>
      <c r="E13" s="4" t="str">
        <f ca="1">IFERROR(__xludf.DUMMYFUNCTION("GOOGLETRANSLATE(D13,""auto"",""en"")"),"Use artificial intelligence equipment to identify the new process of error sports activities in the auditorium of the gymnasium")</f>
        <v>Use artificial intelligence equipment to identify the new process of error sports activities in the auditorium of the gymnasium</v>
      </c>
    </row>
    <row r="14" spans="1:5" ht="15.75" customHeight="1" x14ac:dyDescent="0.25">
      <c r="A14" s="5" t="s">
        <v>37</v>
      </c>
      <c r="B14" s="6" t="s">
        <v>38</v>
      </c>
      <c r="C14" s="3" t="str">
        <f ca="1">IFERROR(__xludf.DUMMYFUNCTION("GOOGLETRANSLATE(B14,""auto"",""en"")"),"A system (100) for the Division referee (100) for the referee in the competition. The system includes the shell unit (102) and the processing subsystem (112). The shell unit (102) includes the top unit (104) and the bottom unit (110). The top unit include"&amp;"s multiple cameras (106) used to capture the images and videos of mobile objects in the stadium. Multiple attachments (108) are attached to the shell unit with multiple cameras. The bottom unit can move flexibly. The processing subsystem includes the imag"&amp;"e processing module (118), which is used to use the image captured by artificial intelligence analysis, determine multiple lines and regions to determine the location of the game tool, detect the mobile objects, and correspond to the mobile objects. Pixel"&amp;" coordinates. Mobile objects, detect and analyze one or more decision images, display modules (120) to present the decision -making in real time to the referee.")</f>
        <v>A system (100) for the Division referee (100) for the referee in the competition. The system includes the shell unit (102) and the processing subsystem (112). The shell unit (102) includes the top unit (104) and the bottom unit (110). The top unit includes multiple cameras (106) used to capture the images and videos of mobile objects in the stadium. Multiple attachments (108) are attached to the shell unit with multiple cameras. The bottom unit can move flexibly. The processing subsystem includes the image processing module (118), which is used to use the image captured by artificial intelligence analysis, determine multiple lines and regions to determine the location of the game tool, detect the mobile objects, and correspond to the mobile objects. Pixel coordinates. Mobile objects, detect and analyze one or more decision images, display modules (120) to present the decision -making in real time to the referee.</v>
      </c>
      <c r="D14" s="6" t="s">
        <v>39</v>
      </c>
      <c r="E14" s="4" t="str">
        <f ca="1">IFERROR(__xludf.DUMMYFUNCTION("GOOGLETRANSLATE(D14,""auto"",""en"")"),"A system and operation method for the Division referee in the competition")</f>
        <v>A system and operation method for the Division referee in the competition</v>
      </c>
    </row>
    <row r="15" spans="1:5" ht="15.75" customHeight="1" x14ac:dyDescent="0.25">
      <c r="A15" s="5" t="s">
        <v>40</v>
      </c>
      <c r="B15" s="6" t="s">
        <v>41</v>
      </c>
      <c r="C15" s="3" t="str">
        <f ca="1">IFERROR(__xludf.DUMMYFUNCTION("GOOGLETRANSLATE(B15,""auto"",""en"")"),"The invention involves a intelligent anti -drowning life circle, which combines advanced technology with traditional life -saving equipment to enhance the ability of water rescue operations. The present invention is an integrated intelligent life circle f"&amp;"or detecting and saving drowning people. The present invention describes the system that uses artificial intelligence and machine learning based on battery -based power -based life -based, including the MV camera unit installed on the lifeline 101, the el"&amp;"ectronic driver control (EDC) 102, the Raspberry Pi as the main control unit (MCU) Micro controller) 103, Arduino NANO board 104 as a motor interface unit (MIU), isolation camera 105 for shooting drowning images, and DC motor 106. The main control unit (M"&amp;"CU) processs the data received from the image capture unit and generates any abnormalities. If any abnormal situation is found, a command is issued to protect the drowning person during swimming. The MV camera installed on the lifebuilding circle constant"&amp;"ly scan the drowning person in the water and move quickly to the drowning person to help them get rid of the danger. The invention includes an image tracking algorithm based on the image processing method for face detection. The intelligent lifebuilding c"&amp;"ircle of the present invention transmits the image and location of the drowning person to the rescue team, so that the rescue team can find the accurate position of the drowning person. The intelligent lifebuilding circle of the present invention can resi"&amp;"st the waves of seawater under unfavorable conditions, providing a fast and effective method for life -saving.")</f>
        <v>The invention involves a intelligent anti -drowning life circle, which combines advanced technology with traditional life -saving equipment to enhance the ability of water rescue operations. The present invention is an integrated intelligent life circle for detecting and saving drowning people. The present invention describes the system that uses artificial intelligence and machine learning based on battery -based power -based life -based, including the MV camera unit installed on the lifeline 101, the electronic driver control (EDC) 102, the Raspberry Pi as the main control unit (MCU) Micro controller) 103, Arduino NANO board 104 as a motor interface unit (MIU), isolation camera 105 for shooting drowning images, and DC motor 106. The main control unit (MCU) processs the data received from the image capture unit and generates any abnormalities. If any abnormal situation is found, a command is issued to protect the drowning person during swimming. The MV camera installed on the lifebuilding circle constantly scan the drowning person in the water and move quickly to the drowning person to help them get rid of the danger. The invention includes an image tracking algorithm based on the image processing method for face detection. The intelligent lifebuilding circle of the present invention transmits the image and location of the drowning person to the rescue team, so that the rescue team can find the accurate position of the drowning person. The intelligent lifebuilding circle of the present invention can resist the waves of seawater under unfavorable conditions, providing a fast and effective method for life -saving.</v>
      </c>
      <c r="D15" s="6" t="s">
        <v>42</v>
      </c>
      <c r="E15" s="4" t="str">
        <f ca="1">IFERROR(__xludf.DUMMYFUNCTION("GOOGLETRANSLATE(D15,""auto"",""en"")"),"Intelligent drowning life circle with face recognition algorithm")</f>
        <v>Intelligent drowning life circle with face recognition algorithm</v>
      </c>
    </row>
    <row r="16" spans="1:5" ht="15.75" customHeight="1" x14ac:dyDescent="0.25">
      <c r="A16" s="5" t="s">
        <v>43</v>
      </c>
      <c r="B16" s="6" t="s">
        <v>44</v>
      </c>
      <c r="C16" s="3" t="str">
        <f ca="1">IFERROR(__xludf.DUMMYFUNCTION("GOOGLETRANSLATE(B16,""auto"",""en"")"),"The invention is the field of Internet of Things technology, involving a linkage control method for a household appliances and fitness equipment. During the operation of the household appliances, the operating parameters of the household appliances are co"&amp;"ntrolled according to the operating parameters of the fitness equipment. There is a preset correspondence between the operating parameters of the fitness equipment and the working parameters of the household appliances; during the operation of the househo"&amp;"ld appliances, the current operating parameters of the fitness equipment are obtained; The corresponding relationship of the preset determines the working parameters of the household appliances. The linkage control method of the present invention realizes"&amp;" the linkage between fitness equipment and home appliances. According to the operating parameters of fitness equipment, the work parameters of the home appliances are controlled to make fitness more target challenges, optimize fitness solutions, and close"&amp;"r to user life.")</f>
        <v>The invention is the field of Internet of Things technology, involving a linkage control method for a household appliances and fitness equipment. During the operation of the household appliances, the operating parameters of the household appliances are controlled according to the operating parameters of the fitness equipment. There is a preset correspondence between the operating parameters of the fitness equipment and the working parameters of the household appliances; during the operation of the household appliances, the current operating parameters of the fitness equipment are obtained; The corresponding relationship of the preset determines the working parameters of the household appliances. The linkage control method of the present invention realizes the linkage between fitness equipment and home appliances. According to the operating parameters of fitness equipment, the work parameters of the home appliances are controlled to make fitness more target challenges, optimize fitness solutions, and closer to user life.</v>
      </c>
      <c r="D16" s="6" t="s">
        <v>45</v>
      </c>
      <c r="E16" s="4" t="str">
        <f ca="1">IFERROR(__xludf.DUMMYFUNCTION("GOOGLETRANSLATE(D16,""auto"",""en"")"),"A linkage control of a household appliances and fitness equipment")</f>
        <v>A linkage control of a household appliances and fitness equipment</v>
      </c>
    </row>
    <row r="17" spans="1:5" ht="15.75" customHeight="1" x14ac:dyDescent="0.25">
      <c r="A17" s="5" t="s">
        <v>46</v>
      </c>
      <c r="B17" s="6" t="s">
        <v>47</v>
      </c>
      <c r="C17" s="3" t="str">
        <f ca="1">IFERROR(__xludf.DUMMYFUNCTION("GOOGLETRANSLATE(B17,""auto"",""en"")"),"The present invention disclosed a winning rate prediction system and method based on map learning and uncertain behavior modeling. This system has a multi -dimensional behavior representation module, coupling diagram comparative learning module, random be"&amp;"havioral characteristic module and feed neural network Model; Multi -dimensional behavior representation module has serial charts, knowledge maps, and first diagrams. The serial chart is used to characterize the skill information of the sequence of a sing"&amp;"le player local competition sequence; In cooperation and confrontation information, the first diagram of the attention network adopts the attention mechanism to aggregate the neighbor information of the serial chart and the knowledge map into a player's f"&amp;"eature coupling diagram; the coupling diagram compares the learning module It is used to simulate the real strength of the player and the fluctuations of the player's environmental influence in the game; feed the neural network model input the player's ch"&amp;"aracteristics and output the final predictive results. The present invention improves the accuracy of the prediction.")</f>
        <v>The present invention disclosed a winning rate prediction system and method based on map learning and uncertain behavior modeling. This system has a multi -dimensional behavior representation module, coupling diagram comparative learning module, random behavioral characteristic module and feed neural network Model; Multi -dimensional behavior representation module has serial charts, knowledge maps, and first diagrams. The serial chart is used to characterize the skill information of the sequence of a single player local competition sequence; In cooperation and confrontation information, the first diagram of the attention network adopts the attention mechanism to aggregate the neighbor information of the serial chart and the knowledge map into a player's feature coupling diagram; the coupling diagram compares the learning module It is used to simulate the real strength of the player and the fluctuations of the player's environmental influence in the game; feed the neural network model input the player's characteristics and output the final predictive results. The present invention improves the accuracy of the prediction.</v>
      </c>
      <c r="D17" s="6" t="s">
        <v>48</v>
      </c>
      <c r="E17" s="4" t="str">
        <f ca="1">IFERROR(__xludf.DUMMYFUNCTION("GOOGLETRANSLATE(D17,""auto"",""en"")"),"Based on the winning rate prediction system and method of behavior modeling based on graph learning and uncertainty model modeling")</f>
        <v>Based on the winning rate prediction system and method of behavior modeling based on graph learning and uncertainty model modeling</v>
      </c>
    </row>
    <row r="18" spans="1:5" ht="15.75" customHeight="1" x14ac:dyDescent="0.25">
      <c r="A18" s="5" t="s">
        <v>49</v>
      </c>
      <c r="B18" s="6" t="s">
        <v>50</v>
      </c>
      <c r="C18" s="3" t="str">
        <f ca="1">IFERROR(__xludf.DUMMYFUNCTION("GOOGLETRANSLATE(B18,""auto"",""en"")"),"The present invention involves the technical field of multimedia control, especially an audiovisual conversion control method based on deep learning. The problem of workload and improve the operating efficiency; the method includes: collecting video infor"&amp;"mation in different groups in the same time node; converting video information to audio data and image data; traversing audio data, according to different participants, according to different participants The sound characteristics of the sound features ar"&amp;"e extracted from the voice information data of each participant; the voice information data consists of several independent audio of audio, and several independent audio belongs to the same participants, of which the audio is marked with time. Pred in; tr"&amp;"aversing image data, according to the facial features of different participants, extracted the lip information data of each participant.")</f>
        <v>The present invention involves the technical field of multimedia control, especially an audiovisual conversion control method based on deep learning. The problem of workload and improve the operating efficiency; the method includes: collecting video information in different groups in the same time node; converting video information to audio data and image data; traversing audio data, according to different participants, according to different participants The sound characteristics of the sound features are extracted from the voice information data of each participant; the voice information data consists of several independent audio of audio, and several independent audio belongs to the same participants, of which the audio is marked with time. Pred in; traversing image data, according to the facial features of different participants, extracted the lip information data of each participant.</v>
      </c>
      <c r="D18" s="6" t="s">
        <v>51</v>
      </c>
      <c r="E18" s="4" t="str">
        <f ca="1">IFERROR(__xludf.DUMMYFUNCTION("GOOGLETRANSLATE(D18,""auto"",""en"")"),"Audiovisual conversion control methods, systems and storage media based on deep learning")</f>
        <v>Audiovisual conversion control methods, systems and storage media based on deep learning</v>
      </c>
    </row>
    <row r="19" spans="1:5" ht="15.75" customHeight="1" x14ac:dyDescent="0.25">
      <c r="A19" s="5" t="s">
        <v>52</v>
      </c>
      <c r="B19" s="6" t="s">
        <v>53</v>
      </c>
      <c r="C19" s="3" t="str">
        <f ca="1">IFERROR(__xludf.DUMMYFUNCTION("GOOGLETRANSLATE(B19,""auto"",""en"")"),"The present invention has disclosed a table tennis table with table tennis trajectory recognition and statistical functions, including: table tennis tables including the tabletop and training and training through the tabletop tablet. The device is used to"&amp;" obtain the parameter data of the table tennis trajectory on the table tennis table in real time. The parameter data includes the location, speed and rotation information of table tennis; the trajectory recognition unit is used to analyze the parameter da"&amp;"ta based on machine learning algorithms to obtain trajectory analysis Results; statistical processing units are used to obtain the corresponding ball road strategy based on the results of the trajectory analysis, and then conduct statistical analysis of t"&amp;"he performance of the players, obtain statistical results; data shows that the unit is used to analyze the results of table tennis trajectory, ball road strategy, and statistical results; Develop a visual form. It is conducive to improving the training ef"&amp;"fect and the ability of players.")</f>
        <v>The present invention has disclosed a table tennis table with table tennis trajectory recognition and statistical functions, including: table tennis tables including the tabletop and training and training through the tabletop tablet. The device is used to obtain the parameter data of the table tennis trajectory on the table tennis table in real time. The parameter data includes the location, speed and rotation information of table tennis; the trajectory recognition unit is used to analyze the parameter data based on machine learning algorithms to obtain trajectory analysis Results; statistical processing units are used to obtain the corresponding ball road strategy based on the results of the trajectory analysis, and then conduct statistical analysis of the performance of the players, obtain statistical results; data shows that the unit is used to analyze the results of table tennis trajectory, ball road strategy, and statistical results; Develop a visual form. It is conducive to improving the training effect and the ability of players.</v>
      </c>
      <c r="D19" s="6" t="s">
        <v>54</v>
      </c>
      <c r="E19" s="4" t="str">
        <f ca="1">IFERROR(__xludf.DUMMYFUNCTION("GOOGLETRANSLATE(D19,""auto"",""en"")"),"A table tennis table with table tennis trajectory recognition and statistical function")</f>
        <v>A table tennis table with table tennis trajectory recognition and statistical function</v>
      </c>
    </row>
    <row r="20" spans="1:5" ht="15.75" customHeight="1" x14ac:dyDescent="0.25">
      <c r="A20" s="5" t="s">
        <v>55</v>
      </c>
      <c r="B20" s="6" t="s">
        <v>56</v>
      </c>
      <c r="C20" s="3" t="str">
        <f ca="1">IFERROR(__xludf.DUMMYFUNCTION("GOOGLETRANSLATE(B20,""auto"",""en"")"),"The present invention disclosed a optimization method for obtaining three -dimensional information of sports spheres. Including: the camera standard, obtain the three -dimensional coordinates of the player's position, obtain the two -dimensional image coo"&amp;"rdinates of the sphere B, draw auxiliary cross line, the human brain is based on the context information, and the exact position of the intersection point is estimated by changing the auxiliary cross line. The distance between the sphere, the d_player; th"&amp;"e height of the hit point and the distance from the ball point to the ball network, calculate the three -dimensional coordinates of the sphere. The D_Player guidance method proposed by the present invention can effectively reduce the error of the three -d"&amp;"imensional reconstruction results. According to the known information obtained by the computer vision method, the operator provides visual guidance when the single -eye three -dimensional reconstruction; this method is equivalent to using computer vision "&amp;"calculations to obtain The solution to the next step is restricted, which can avoid the operator from greater errors that exceed the normal range, helping the operator to further improve the accuracy when perceiving badminton players from two -dimensional"&amp;" images.")</f>
        <v>The present invention disclosed a optimization method for obtaining three -dimensional information of sports spheres. Including: the camera standard, obtain the three -dimensional coordinates of the player's position, obtain the two -dimensional image coordinates of the sphere B, draw auxiliary cross line, the human brain is based on the context information, and the exact position of the intersection point is estimated by changing the auxiliary cross line. The distance between the sphere, the d_player; the height of the hit point and the distance from the ball point to the ball network, calculate the three -dimensional coordinates of the sphere. The D_Player guidance method proposed by the present invention can effectively reduce the error of the three -dimensional reconstruction results. According to the known information obtained by the computer vision method, the operator provides visual guidance when the single -eye three -dimensional reconstruction; this method is equivalent to using computer vision calculations to obtain The solution to the next step is restricted, which can avoid the operator from greater errors that exceed the normal range, helping the operator to further improve the accuracy when perceiving badminton players from two -dimensional images.</v>
      </c>
      <c r="D20" s="6" t="s">
        <v>57</v>
      </c>
      <c r="E20" s="4" t="str">
        <f ca="1">IFERROR(__xludf.DUMMYFUNCTION("GOOGLETRANSLATE(D20,""auto"",""en"")"),"A method of optimizing the three -dimensional information of sports sphere")</f>
        <v>A method of optimizing the three -dimensional information of sports sphere</v>
      </c>
    </row>
    <row r="21" spans="1:5" ht="15.75" customHeight="1" x14ac:dyDescent="0.25">
      <c r="A21" s="5" t="s">
        <v>58</v>
      </c>
      <c r="B21" s="6" t="s">
        <v>59</v>
      </c>
      <c r="C21" s="3" t="str">
        <f ca="1">IFERROR(__xludf.DUMMYFUNCTION("GOOGLETRANSLATE(B21,""auto"",""en"")"),"The invention provides the intelligent mirror system described here, aiming to solve these challenges by providing immersive and interactive exercise experiences combining the convenience of family exercise with the personalized guidance and feedback of p"&amp;"rivate coaches. The system uses computer vision and hardware to track user actions and provide real -time feedback on forms and technologies. At the same time, it also provides personalized exercise procedures and progress tracking. By solving these key c"&amp;"hallenges, the smart mirror system may completely change the way of fitness training and achieve health goals.")</f>
        <v>The invention provides the intelligent mirror system described here, aiming to solve these challenges by providing immersive and interactive exercise experiences combining the convenience of family exercise with the personalized guidance and feedback of private coaches. The system uses computer vision and hardware to track user actions and provide real -time feedback on forms and technologies. At the same time, it also provides personalized exercise procedures and progress tracking. By solving these key challenges, the smart mirror system may completely change the way of fitness training and achieve health goals.</v>
      </c>
      <c r="D21" s="6" t="s">
        <v>60</v>
      </c>
      <c r="E21" s="4" t="str">
        <f ca="1">IFERROR(__xludf.DUMMYFUNCTION("GOOGLETRANSLATE(D21,""auto"",""en"")"),"Smart mirror system based on artificial intelligence, for personalized fitness training")</f>
        <v>Smart mirror system based on artificial intelligence, for personalized fitness training</v>
      </c>
    </row>
    <row r="22" spans="1:5" ht="15.75" customHeight="1" x14ac:dyDescent="0.25">
      <c r="A22" s="5" t="s">
        <v>61</v>
      </c>
      <c r="B22" s="6" t="s">
        <v>62</v>
      </c>
      <c r="C22" s="3" t="str">
        <f ca="1">IFERROR(__xludf.DUMMYFUNCTION("GOOGLETRANSLATE(B22,""auto"",""en"")"),"The invention disclosed a horsepower -speed computing system and method based on deep learning. Video that walks around the competition venue before the game through the camera, computing through the light field, object detection based on deep learning, l"&amp;"ight flow field filtration, camera speed of the camera speed Calculate and use the adjustment of the camera speed to use the horses to move the speed of the camera, and the unit conversion finally obtains the average speed of the target horse. The present"&amp;" invention realizes artificial intelligence technology to conduct horses observing in a more scientific method and predict and calculate the speed of horses.")</f>
        <v>The invention disclosed a horsepower -speed computing system and method based on deep learning. Video that walks around the competition venue before the game through the camera, computing through the light field, object detection based on deep learning, light flow field filtration, camera speed of the camera speed Calculate and use the adjustment of the camera speed to use the horses to move the speed of the camera, and the unit conversion finally obtains the average speed of the target horse. The present invention realizes artificial intelligence technology to conduct horses observing in a more scientific method and predict and calculate the speed of horses.</v>
      </c>
      <c r="D22" s="6" t="s">
        <v>63</v>
      </c>
      <c r="E22" s="4" t="str">
        <f ca="1">IFERROR(__xludf.DUMMYFUNCTION("GOOGLETRANSLATE(D22,""auto"",""en"")"),"A horse speed computing system and method based on deep learning.")</f>
        <v>A horse speed computing system and method based on deep learning.</v>
      </c>
    </row>
    <row r="23" spans="1:5" ht="15.75" customHeight="1" x14ac:dyDescent="0.25">
      <c r="A23" s="5" t="s">
        <v>64</v>
      </c>
      <c r="B23" s="6" t="s">
        <v>65</v>
      </c>
      <c r="C23" s="3" t="str">
        <f ca="1">IFERROR(__xludf.DUMMYFUNCTION("GOOGLETRANSLATE(B23,""auto"",""en"")"),"The present invention involves the field of image data processing technology, and specifically involves real -time detection systems based on poor sports training in artificial intelligence, including: after using gradient values ​​to divide the training "&amp;"images, there are trainers in the target area in the ultra -pixel area. During the movement, the movement was blurred, and the approach of the target area was obtained by analyzing the gradient direction direction and the number of pixels in the target ar"&amp;"ea. The time interval of the time to enhance the target area. By adaptable adjustment of the parameters of the segmented linear gray transformation algorithm, the present invention realizes the enhancement process of the area of ​​training images, improve"&amp;"s the details of the details of training images, and further improves the test results of subsequent bad posture of sports training. sex.")</f>
        <v>The present invention involves the field of image data processing technology, and specifically involves real -time detection systems based on poor sports training in artificial intelligence, including: after using gradient values ​​to divide the training images, there are trainers in the target area in the ultra -pixel area. During the movement, the movement was blurred, and the approach of the target area was obtained by analyzing the gradient direction direction and the number of pixels in the target area. The time interval of the time to enhance the target area. By adaptable adjustment of the parameters of the segmented linear gray transformation algorithm, the present invention realizes the enhancement process of the area of ​​training images, improves the details of the details of training images, and further improves the test results of subsequent bad posture of sports training. sex.</v>
      </c>
      <c r="D23" s="6" t="s">
        <v>66</v>
      </c>
      <c r="E23" s="4" t="str">
        <f ca="1">IFERROR(__xludf.DUMMYFUNCTION("GOOGLETRANSLATE(D23,""auto"",""en"")"),"Real -time detection system of sports training based on artificial intelligence training")</f>
        <v>Real -time detection system of sports training based on artificial intelligence training</v>
      </c>
    </row>
    <row r="24" spans="1:5" ht="15.75" customHeight="1" x14ac:dyDescent="0.25">
      <c r="A24" s="5" t="s">
        <v>67</v>
      </c>
      <c r="B24" s="6" t="s">
        <v>68</v>
      </c>
      <c r="C24" s="3" t="str">
        <f ca="1">IFERROR(__xludf.DUMMYFUNCTION("GOOGLETRANSLATE(B24,""auto"",""en"")"),"The present invention provides an intelligent physical education teaching method and system, which is the field of artificial intelligence technology. The method is as follows: According to the location information of the sports test items and test points"&amp;", configure multiple cameras at the test point position, and more described it. A camera is associated with the test point of the test; obtained the candidate test number associated the candidate number to the point of the test point, and started the came"&amp;"ra to record the candidate's test video associated with the test point; When the score is initiated, the candidate's test video is obtained according to the test number, the start time of the test, and the end of the exam. Test the candidate again. The in"&amp;"vention can be released by the rapid retraction of sports test videos, which can improve the accuracy and reliability of sports examinations.")</f>
        <v>The present invention provides an intelligent physical education teaching method and system, which is the field of artificial intelligence technology. The method is as follows: According to the location information of the sports test items and test points, configure multiple cameras at the test point position, and more described it. A camera is associated with the test point of the test; obtained the candidate test number associated the candidate number to the point of the test point, and started the camera to record the candidate's test video associated with the test point; When the score is initiated, the candidate's test video is obtained according to the test number, the start time of the test, and the end of the exam. Test the candidate again. The invention can be released by the rapid retraction of sports test videos, which can improve the accuracy and reliability of sports examinations.</v>
      </c>
      <c r="D24" s="6" t="s">
        <v>69</v>
      </c>
      <c r="E24" s="4" t="str">
        <f ca="1">IFERROR(__xludf.DUMMYFUNCTION("GOOGLETRANSLATE(D24,""auto"",""en"")"),"A intelligent sports teaching management method and system")</f>
        <v>A intelligent sports teaching management method and system</v>
      </c>
    </row>
    <row r="25" spans="1:5" ht="15.75" customHeight="1" x14ac:dyDescent="0.25">
      <c r="A25" s="5" t="s">
        <v>70</v>
      </c>
      <c r="B25" s="6" t="s">
        <v>71</v>
      </c>
      <c r="C25" s="3" t="str">
        <f ca="1">IFERROR(__xludf.DUMMYFUNCTION("GOOGLETRANSLATE(B25,""auto"",""en"")"),"Describe the method of training game characters. This method includes a display of one or more scenes of the game.
  One or more scenes include characters and virtual objects. This method includes receiving input data for users to manipulate characters "&amp;"to interact with virtual objects, as well as analyzing input data to identify the interactive mode of the character in one or more scenes, and also includes. The interactive mode defines the input of artificial intelligence (AI) model associated with user"&amp;" accounts associated with user accounts. This method involves interacting with a new scenario based on AI models. This method involves the interaction between tracking characters and new scenes to conduct additional training on the AI ​​model.")</f>
        <v>Describe the method of training game characters. This method includes a display of one or more scenes of the game.
  One or more scenes include characters and virtual objects. This method includes receiving input data for users to manipulate characters to interact with virtual objects, as well as analyzing input data to identify the interactive mode of the character in one or more scenes, and also includes. The interactive mode defines the input of artificial intelligence (AI) model associated with user accounts associated with user accounts. This method involves interacting with a new scenario based on AI models. This method involves the interaction between tracking characters and new scenes to conduct additional training on the AI ​​model.</v>
      </c>
      <c r="D25" s="6" t="s">
        <v>72</v>
      </c>
      <c r="E25" s="4" t="str">
        <f ca="1">IFERROR(__xludf.DUMMYFUNCTION("GOOGLETRANSLATE(D25,""auto"",""en"")"),"Systems and methods of training competition artificial intelligence models")</f>
        <v>Systems and methods of training competition artificial intelligence models</v>
      </c>
    </row>
    <row r="26" spans="1:5" ht="15" x14ac:dyDescent="0.25">
      <c r="A26" s="5" t="s">
        <v>73</v>
      </c>
      <c r="B26" s="6" t="s">
        <v>74</v>
      </c>
      <c r="C26" s="3" t="str">
        <f ca="1">IFERROR(__xludf.DUMMYFUNCTION("GOOGLETRANSLATE(B26,""auto"",""en"")"),"Due to the unable to contact the coach's new Corphor pneumonia (COVID-19), many people are forced to exercise at home, making it difficult to contact professional coaches to verify the movement posture. Therefore, a automated training facility is needed. "&amp;"To cope with this challenge, this research has developed a deep learning model. This model uses machine learning and computer visual solutions MediaPipe and real -time posture estimation model BlazePose to analyze motion and provide users with real -time "&amp;"feedback. Our model can achieve safer and more effective home exercise procedures by verifying postures and corrected suggestions, while increasing the costs related to professional physical coaches. This invention proposes the model we proposed, which ma"&amp;"y completely change the way people exercise at home. This model has been evaluated on the sports video dataset, and its performance is satisfactory.")</f>
        <v>Due to the unable to contact the coach's new Corphor pneumonia (COVID-19), many people are forced to exercise at home, making it difficult to contact professional coaches to verify the movement posture. Therefore, a automated training facility is needed. To cope with this challenge, this research has developed a deep learning model. This model uses machine learning and computer visual solutions MediaPipe and real -time posture estimation model BlazePose to analyze motion and provide users with real -time feedback. Our model can achieve safer and more effective home exercise procedures by verifying postures and corrected suggestions, while increasing the costs related to professional physical coaches. This invention proposes the model we proposed, which may completely change the way people exercise at home. This model has been evaluated on the sports video dataset, and its performance is satisfactory.</v>
      </c>
      <c r="D26" s="6" t="s">
        <v>75</v>
      </c>
      <c r="E26" s="4" t="str">
        <f ca="1">IFERROR(__xludf.DUMMYFUNCTION("GOOGLETRANSLATE(D26,""auto"",""en"")"),"It is estimated to use the human posture as an artificial intelligence tool for fitness coaches")</f>
        <v>It is estimated to use the human posture as an artificial intelligence tool for fitness coaches</v>
      </c>
    </row>
    <row r="27" spans="1:5" ht="15" x14ac:dyDescent="0.25">
      <c r="A27" s="5" t="s">
        <v>76</v>
      </c>
      <c r="B27" s="6" t="s">
        <v>77</v>
      </c>
      <c r="C27" s="3" t="str">
        <f ca="1">IFERROR(__xludf.DUMMYFUNCTION("GOOGLETRANSLATE(B27,""auto"",""en"")"),"The intelligent counseling system is a computer system that aims to provide users with personalized guidance and feedback. It usually uses artificial intelligence technology and does not require human teachers. Compared with the existing system/applicatio"&amp;"n, the present invention has the following unique features: 1) it acts as a tunnel and fitness assistant. 2) It acts as a fitness coaching system that can improve/re -train the ability to solve problems. 3) It proposes the concepts, suggestions, examples "&amp;"and related tips required for re -training/improve the ability to solve problems. 4) It promotes the solution. Existing platforms only provide explanations of solutions or solutions. The tool/platform we proposed is unique. Unlike other platforms: 1) It w"&amp;"ill enhance the thinking ability of learners to solve similar problems. 2) It will help and guide learners to find solutions for a given problem. 4) Can be customized to meet the needs of the lecturer.")</f>
        <v>The intelligent counseling system is a computer system that aims to provide users with personalized guidance and feedback. It usually uses artificial intelligence technology and does not require human teachers. Compared with the existing system/application, the present invention has the following unique features: 1) it acts as a tunnel and fitness assistant. 2) It acts as a fitness coaching system that can improve/re -train the ability to solve problems. 3) It proposes the concepts, suggestions, examples and related tips required for re -training/improve the ability to solve problems. 4) It promotes the solution. Existing platforms only provide explanations of solutions or solutions. The tool/platform we proposed is unique. Unlike other platforms: 1) It will enhance the thinking ability of learners to solve similar problems. 2) It will help and guide learners to find solutions for a given problem. 4) Can be customized to meet the needs of the lecturer.</v>
      </c>
      <c r="D27" s="6" t="s">
        <v>78</v>
      </c>
      <c r="E27" s="4" t="str">
        <f ca="1">IFERROR(__xludf.DUMMYFUNCTION("GOOGLETRANSLATE(D27,""auto"",""en"")"),"Fitness assistant to learn the concept of mathematics")</f>
        <v>Fitness assistant to learn the concept of mathematics</v>
      </c>
    </row>
    <row r="28" spans="1:5" ht="15" x14ac:dyDescent="0.25">
      <c r="A28" s="5" t="s">
        <v>79</v>
      </c>
      <c r="B28" s="6" t="s">
        <v>80</v>
      </c>
      <c r="C28" s="3" t="str">
        <f ca="1">IFERROR(__xludf.DUMMYFUNCTION("GOOGLETRANSLATE(B28,""auto"",""en"")"),"The present invention discloses an artificial intelligence sports auxiliary device, including the symmetrical vertical settings of the two supporting parts in the tiraded device, and the bottom end of the two support parts is fixed on the ground, and the "&amp;"two lifts can be installed on two lifts on two respectively. On the supporting parts, the top horizontal level of the two lifts is fixed with single leverage, the bracket in the counting device is fixed on the single leverage, and the top surface of the u"&amp;"pper side of the rising frame is fixed with a laser transmitter, and the top surface of the rising frame is another surface. There are answers on the side, and the answers should be installed on the same horizontal line as the laser transmitter, and the t"&amp;"wo drop -down bottoms of the rising frame correspond to the corresponding answers and laser transmitters. When the present invention overcomes the existing trainers to pull up, the coach's sight and standard are not at the same height. Therefore, there is"&amp;" an error in visual vision, and the height of the training for training at the same time has led to inconvenience to the short tall trainers. It affects the flexibility of training.")</f>
        <v>The present invention discloses an artificial intelligence sports auxiliary device, including the symmetrical vertical settings of the two supporting parts in the tiraded device, and the bottom end of the two support parts is fixed on the ground, and the two lifts can be installed on two lifts on two respectively. On the supporting parts, the top horizontal level of the two lifts is fixed with single leverage, the bracket in the counting device is fixed on the single leverage, and the top surface of the upper side of the rising frame is fixed with a laser transmitter, and the top surface of the rising frame is another surface. There are answers on the side, and the answers should be installed on the same horizontal line as the laser transmitter, and the two drop -down bottoms of the rising frame correspond to the corresponding answers and laser transmitters. When the present invention overcomes the existing trainers to pull up, the coach's sight and standard are not at the same height. Therefore, there is an error in visual vision, and the height of the training for training at the same time has led to inconvenience to the short tall trainers. It affects the flexibility of training.</v>
      </c>
      <c r="D28" s="6" t="s">
        <v>81</v>
      </c>
      <c r="E28" s="4" t="str">
        <f ca="1">IFERROR(__xludf.DUMMYFUNCTION("GOOGLETRANSLATE(D28,""auto"",""en"")"),"A kind of artificial intelligence sports auxiliary device")</f>
        <v>A kind of artificial intelligence sports auxiliary device</v>
      </c>
    </row>
    <row r="29" spans="1:5" ht="15" x14ac:dyDescent="0.25">
      <c r="A29" s="5" t="s">
        <v>82</v>
      </c>
      <c r="B29" s="6" t="s">
        <v>83</v>
      </c>
      <c r="C29" s="3" t="str">
        <f ca="1">IFERROR(__xludf.DUMMYFUNCTION("GOOGLETRANSLATE(B29,""auto"",""en"")"),"Steering analysis plays a vital role in understanding and improving the performance of athletes in various sports. Traditional gait analysis technology usually requires expensive laboratory settings and dedicated equipment, making them unable to be used f"&amp;"or conventional performance analysis. However, the latest progress of wearable sensor technology has opened up new possibilities in a more practical and cost -effective way. The patent outlines the gait analysis of the use of wearable sensors for athlete "&amp;"performance analysis. The purpose is to explore the potential of wearable devices to accurately and real time understand the potential of the athletes, such as step -long, step frequency, land -touch time, and joint angle. The use of wearable sensors allo"&amp;"ws athletes to perform gait to analyze in the natural training environment without special facilities. These sensors can be easily integrated into sportswear or shoes, making them non -invasive and convenient for athletes to wear during training or compet"&amp;"ition. Various types of sensors can be used, including acceleration meters, gyroscopes, and pressure sensors to capture related gait data. These sensors collect the original sports data, and then use algorithms specifically designed for gait analysis for "&amp;"processing and analysis. Machine learning technology can also be used to identify the mode and abnormalities of the athletes, providing valuable feedback for performance optimization and damage prevention. In addition, wearable devices can continuously mo"&amp;"nitor the gait characteristics of athletes for a long time, thereby identifying long -term gait characteristics. -The long -term trend and improvement. Coaches, trainers and medical professionals can use these data to make wise decisions on training plans"&amp;", rehabilitation plans and injury management strategies. In short, the use of wearable sensors for gait analysis provides a practical and effective method for athlete performance analysis. Integrate wearable devices into daily training, enabling athletes "&amp;"to obtain real -time feedback from gait, enabling them to optimize performance, prevent injuries and improve overall exercise capabilities. The future research and development of this field has great potential for promoting sports science and improving at"&amp;"hlete's performance.")</f>
        <v>Steering analysis plays a vital role in understanding and improving the performance of athletes in various sports. Traditional gait analysis technology usually requires expensive laboratory settings and dedicated equipment, making them unable to be used for conventional performance analysis. However, the latest progress of wearable sensor technology has opened up new possibilities in a more practical and cost -effective way. The patent outlines the gait analysis of the use of wearable sensors for athlete performance analysis. The purpose is to explore the potential of wearable devices to accurately and real time understand the potential of the athletes, such as step -long, step frequency, land -touch time, and joint angle. The use of wearable sensors allows athletes to perform gait to analyze in the natural training environment without special facilities. These sensors can be easily integrated into sportswear or shoes, making them non -invasive and convenient for athletes to wear during training or competition. Various types of sensors can be used, including acceleration meters, gyroscopes, and pressure sensors to capture related gait data. These sensors collect the original sports data, and then use algorithms specifically designed for gait analysis for processing and analysis. Machine learning technology can also be used to identify the mode and abnormalities of the athletes, providing valuable feedback for performance optimization and damage prevention. In addition, wearable devices can continuously monitor the gait characteristics of athletes for a long time, thereby identifying long -term gait characteristics. -The long -term trend and improvement. Coaches, trainers and medical professionals can use these data to make wise decisions on training plans, rehabilitation plans and injury management strategies. In short, the use of wearable sensors for gait analysis provides a practical and effective method for athlete performance analysis. Integrate wearable devices into daily training, enabling athletes to obtain real -time feedback from gait, enabling them to optimize performance, prevent injuries and improve overall exercise capabilities. The future research and development of this field has great potential for promoting sports science and improving athlete's performance.</v>
      </c>
      <c r="D29" s="6" t="s">
        <v>84</v>
      </c>
      <c r="E29" s="4" t="str">
        <f ca="1">IFERROR(__xludf.DUMMYFUNCTION("GOOGLETRANSLATE(D29,""auto"",""en"")"),"A new type of device that uses gait analysis to predict athlete performance indicators")</f>
        <v>A new type of device that uses gait analysis to predict athlete performance indicators</v>
      </c>
    </row>
    <row r="30" spans="1:5" ht="15" x14ac:dyDescent="0.25">
      <c r="A30" s="5" t="s">
        <v>85</v>
      </c>
      <c r="B30" s="6" t="s">
        <v>86</v>
      </c>
      <c r="C30" s="3" t="str">
        <f ca="1">IFERROR(__xludf.DUMMYFUNCTION("GOOGLETRANSLATE(B30,""auto"",""en"")"),"The Internet of Things technology is rapidly applied to intelligent medical systems for fitness plans, monitoring, data analysis, etc. In order to improve monitoring accuracy, people have conducted many studies. Power absorption and accuracy are key issue"&amp;"s in the Internet of Things cloud system architecture. We study this development to improve the healthcare Internet of Things system. The Internet of Things data transmission and receiving standards can help improve health care development by understandin"&amp;"g equipment power absorption. We use cloud function to check the performance and limitations of the Internet of Things in the health care system. We have also studied the design of the Internet of Things systems used to effectively monitor the problem of "&amp;"elderly healthcare, and the restrictions on the existing system in resources, power absorption and safety as needed as needed in multiple devices. High-strength NB-IoT (Narrow-Belt IoT) applications include blood pressure and heart monitoring of pregnant "&amp;"women. This study uses a single node and multi -node technical analysis of the delay and throughput of narrow belt IoT. MQTTP sending sensor data is more efficient than LAP.")</f>
        <v>The Internet of Things technology is rapidly applied to intelligent medical systems for fitness plans, monitoring, data analysis, etc. In order to improve monitoring accuracy, people have conducted many studies. Power absorption and accuracy are key issues in the Internet of Things cloud system architecture. We study this development to improve the healthcare Internet of Things system. The Internet of Things data transmission and receiving standards can help improve health care development by understanding equipment power absorption. We use cloud function to check the performance and limitations of the Internet of Things in the health care system. We have also studied the design of the Internet of Things systems used to effectively monitor the problem of elderly healthcare, and the restrictions on the existing system in resources, power absorption and safety as needed as needed in multiple devices. High-strength NB-IoT (Narrow-Belt IoT) applications include blood pressure and heart monitoring of pregnant women. This study uses a single node and multi -node technical analysis of the delay and throughput of narrow belt IoT. MQTTP sending sensor data is more efficient than LAP.</v>
      </c>
      <c r="D30" s="6" t="s">
        <v>87</v>
      </c>
      <c r="E30" s="4" t="str">
        <f ca="1">IFERROR(__xludf.DUMMYFUNCTION("GOOGLETRANSLATE(D30,""auto"",""en"")"),"Wireless communications for medical care for the Internet of Things, for intelligent allocation")</f>
        <v>Wireless communications for medical care for the Internet of Things, for intelligent allocation</v>
      </c>
    </row>
    <row r="31" spans="1:5" ht="15" x14ac:dyDescent="0.25">
      <c r="A31" s="5" t="s">
        <v>88</v>
      </c>
      <c r="B31" s="6" t="s">
        <v>89</v>
      </c>
      <c r="C31" s="3" t="str">
        <f ca="1">IFERROR(__xludf.DUMMYFUNCTION("GOOGLETRANSLATE(B31,""auto"",""en"")"),"Due to the aging population of Europe, monitoring is one of this problem. In order to help the elderly live independently and safely in cities, without worrying about being a victim of potential health issues, we have proposed an scalable and easy -to -mo"&amp;"dify real -time auxiliary technology system. This system is based on the comfort and comfort of walking behavior. Innovative shoes. Management of massive data, transmission and pre -processing data, and then analyzes it with real -time or near -time extra"&amp;"ction of valuable insights, which is a major challenge. In fact, information theory is based on this premise. This work is collected by the data collected from 20 different sensors (16 voltage pressure sensors, one acceleration meter returning 3 axis read"&amp;"ings, and 1 temperature sensor). Different user behaviors/events (sitting, sitting, unbalanced standing, unbalanced standing, walking, running, stumbling). The level -level -level structure of binary models has been developed, and it is used together with"&amp;" the ANN algorithm and deep learning method to detect these events. The convolution layered Ann and multi -layer perceptions can generate the most accurate models. The average accuracy of the event detection and the area under the ROC curve were 0.84 and "&amp;"0.96, respectively.")</f>
        <v>Due to the aging population of Europe, monitoring is one of this problem. In order to help the elderly live independently and safely in cities, without worrying about being a victim of potential health issues, we have proposed an scalable and easy -to -modify real -time auxiliary technology system. This system is based on the comfort and comfort of walking behavior. Innovative shoes. Management of massive data, transmission and pre -processing data, and then analyzes it with real -time or near -time extraction of valuable insights, which is a major challenge. In fact, information theory is based on this premise. This work is collected by the data collected from 20 different sensors (16 voltage pressure sensors, one acceleration meter returning 3 axis readings, and 1 temperature sensor). Different user behaviors/events (sitting, sitting, unbalanced standing, unbalanced standing, walking, running, stumbling). The level -level -level structure of binary models has been developed, and it is used together with the ANN algorithm and deep learning method to detect these events. The convolution layered Ann and multi -layer perceptions can generate the most accurate models. The average accuracy of the event detection and the area under the ROC curve were 0.84 and 0.96, respectively.</v>
      </c>
      <c r="D31" s="6" t="s">
        <v>90</v>
      </c>
      <c r="E31" s="4" t="str">
        <f ca="1">IFERROR(__xludf.DUMMYFUNCTION("GOOGLETRANSLATE(D31,""auto"",""en"")"),"Based on machine learning, artificial intelligence, deep learning, and data mining systems, you can evaluate the walking mode of the elderly wearing technology shoes to avoid bone problems")</f>
        <v>Based on machine learning, artificial intelligence, deep learning, and data mining systems, you can evaluate the walking mode of the elderly wearing technology shoes to avoid bone problems</v>
      </c>
    </row>
    <row r="32" spans="1:5" ht="15" x14ac:dyDescent="0.25">
      <c r="A32" s="5" t="s">
        <v>91</v>
      </c>
      <c r="B32" s="6" t="s">
        <v>92</v>
      </c>
      <c r="C32" s="3" t="str">
        <f ca="1">IFERROR(__xludf.DUMMYFUNCTION("GOOGLETRANSLATE(B32,""auto"",""en"")"),"The present invention disclosed a smart cover that supports the Internet of Things, which is designed for real -time water safety and pool event monitoring. The smart hat uses integrated sensors, wireless communication and IoT (IoT) technology to continuo"&amp;"usly monitor water security parameters and track user activities in real time. The patent aims to provide an innovative solution to enhance the safety, risk prevention and real -time alarm in the swimming pool environment.")</f>
        <v>The present invention disclosed a smart cover that supports the Internet of Things, which is designed for real -time water safety and pool event monitoring. The smart hat uses integrated sensors, wireless communication and IoT (IoT) technology to continuously monitor water security parameters and track user activities in real time. The patent aims to provide an innovative solution to enhance the safety, risk prevention and real -time alarm in the swimming pool environment.</v>
      </c>
      <c r="D32" s="6" t="s">
        <v>93</v>
      </c>
      <c r="E32" s="4" t="str">
        <f ca="1">IFERROR(__xludf.DUMMYFUNCTION("GOOGLETRANSLATE(D32,""auto"",""en"")"),"Support the intelligent upper limit of the Internet of Things, for real -time water safety and swimming pool activities monitoring")</f>
        <v>Support the intelligent upper limit of the Internet of Things, for real -time water safety and swimming pool activities monitoring</v>
      </c>
    </row>
    <row r="33" spans="1:5" ht="15" x14ac:dyDescent="0.25">
      <c r="A33" s="5" t="s">
        <v>94</v>
      </c>
      <c r="B33" s="6" t="s">
        <v>95</v>
      </c>
      <c r="C33" s="3" t="str">
        <f ca="1">IFERROR(__xludf.DUMMYFUNCTION("GOOGLETRANSLATE(B33,""auto"",""en"")"),"The present invention disclosed a dynamic visual recognition short -run timing method. It sets a camera at the game site, shoots the starting line and athletes, and obtains the starting images. Feature distribution information, and based on this, test and"&amp;" judge whether the motion object is rushing illegal. In this way, the fairness and credibility of the results of the game can be improved.")</f>
        <v>The present invention disclosed a dynamic visual recognition short -run timing method. It sets a camera at the game site, shoots the starting line and athletes, and obtains the starting images. Feature distribution information, and based on this, test and judge whether the motion object is rushing illegal. In this way, the fairness and credibility of the results of the game can be improved.</v>
      </c>
      <c r="D33" s="6" t="s">
        <v>96</v>
      </c>
      <c r="E33" s="4" t="str">
        <f ca="1">IFERROR(__xludf.DUMMYFUNCTION("GOOGLETRANSLATE(D33,""auto"",""en"")"),"Running timing method based on dynamic visual recognition")</f>
        <v>Running timing method based on dynamic visual recognition</v>
      </c>
    </row>
    <row r="34" spans="1:5" ht="15" x14ac:dyDescent="0.25">
      <c r="A34" s="5" t="s">
        <v>97</v>
      </c>
      <c r="B34" s="6" t="s">
        <v>98</v>
      </c>
      <c r="C34" s="3" t="str">
        <f ca="1">IFERROR(__xludf.DUMMYFUNCTION("GOOGLETRANSLATE(B34,""auto"",""en"")"),"The present invention disclosed a smart training system based on YOLOV5, involving the field of artificial intelligence technology. The system is used for enterprise -level users; enterprise users include upper machine modules, player modules, client modu"&amp;"les, cloud ping pong ping pong The ball settlement point detection and scoring module, display detection results function module, audio prompt interactive module, and control module. The present invention uses an improved YOLO &amp; Nbsp; V5 model to combine "&amp;"the coordinate detection and training scores of table tennis with multi -threaded timing signals. Based on Jetson &amp; NBSP; Nano and a single industrial camera, it saves a lot of costs and can successfully complete the closed loop smoothly. Smart training. "&amp;"In addition to the problem of low accuracy of small objects, the anchor generating mechanism of the exponential exponential brightness balancing algorithm and the improved YOLO &amp; Nbsp; V5 that can automatically adjust the brightness of the brightness, whi"&amp;"ch not only improves the accuracy of model detection, but also improves accuracy of table tennis. Give users a better experience.")</f>
        <v>The present invention disclosed a smart training system based on YOLOV5, involving the field of artificial intelligence technology. The system is used for enterprise -level users; enterprise users include upper machine modules, player modules, client modules, cloud ping pong ping pong The ball settlement point detection and scoring module, display detection results function module, audio prompt interactive module, and control module. The present invention uses an improved YOLO &amp; Nbsp; V5 model to combine the coordinate detection and training scores of table tennis with multi -threaded timing signals. Based on Jetson &amp; NBSP; Nano and a single industrial camera, it saves a lot of costs and can successfully complete the closed loop smoothly. Smart training. In addition to the problem of low accuracy of small objects, the anchor generating mechanism of the exponential exponential brightness balancing algorithm and the improved YOLO &amp; Nbsp; V5 that can automatically adjust the brightness of the brightness, which not only improves the accuracy of model detection, but also improves accuracy of table tennis. Give users a better experience.</v>
      </c>
      <c r="D34" s="6" t="s">
        <v>99</v>
      </c>
      <c r="E34" s="4" t="str">
        <f ca="1">IFERROR(__xludf.DUMMYFUNCTION("GOOGLETRANSLATE(D34,""auto"",""en"")"),"A smart training system based on YOLOV5")</f>
        <v>A smart training system based on YOLOV5</v>
      </c>
    </row>
    <row r="35" spans="1:5" ht="15" x14ac:dyDescent="0.25">
      <c r="A35" s="5" t="s">
        <v>100</v>
      </c>
      <c r="B35" s="6" t="s">
        <v>101</v>
      </c>
      <c r="C35" s="3" t="str">
        <f ca="1">IFERROR(__xludf.DUMMYFUNCTION("GOOGLETRANSLATE(B35,""auto"",""en"")"),"As a portable medical equipment that supports the Internet of Things (IoT), intelligent medical care monitoring systems are surging. The Internet of Things and deep learning in the field of medical care can prevent diseases by developing medical care from"&amp;" face -to -face consulting to remote medical care. In order to protect the athlete's life from training and the serious situation and harm of life in the competition, the real -time monitoring of physiological indicators is essential. In the present inven"&amp;"tion, we proposed a real -time health monitoring system based on deep learning. The proposed system uses wearable medical devices to measure life signs and apply various deep learning algorithms to extract valuable information. For this reason, we take th"&amp;"e scattered athletes as an example. Deep learning algorithms can help doctors correctly analyze the condition of these athletes and provide them with appropriate drugs, even if the doctor is not around. By considering a variety of statistical performance "&amp;"measurement indicators, the use of cross -verification tests is widely evaluated to the performance of the system proposed. The invention is considered to be an effective tool for diagnosis athletes, such as brain tumors, heart disease, cancer, etc.")</f>
        <v>As a portable medical equipment that supports the Internet of Things (IoT), intelligent medical care monitoring systems are surging. The Internet of Things and deep learning in the field of medical care can prevent diseases by developing medical care from face -to -face consulting to remote medical care. In order to protect the athlete's life from training and the serious situation and harm of life in the competition, the real -time monitoring of physiological indicators is essential. In the present invention, we proposed a real -time health monitoring system based on deep learning. The proposed system uses wearable medical devices to measure life signs and apply various deep learning algorithms to extract valuable information. For this reason, we take the scattered athletes as an example. Deep learning algorithms can help doctors correctly analyze the condition of these athletes and provide them with appropriate drugs, even if the doctor is not around. By considering a variety of statistical performance measurement indicators, the use of cross -verification tests is widely evaluated to the performance of the system proposed. The invention is considered to be an effective tool for diagnosis athletes, such as brain tumors, heart disease, cancer, etc.</v>
      </c>
      <c r="D35" s="6" t="s">
        <v>102</v>
      </c>
      <c r="E35" s="4" t="str">
        <f ca="1">IFERROR(__xludf.DUMMYFUNCTION("GOOGLETRANSLATE(D35,""auto"",""en"")"),"Use deep learning and the Internet of Things to analyze the methods and devices of sports health records")</f>
        <v>Use deep learning and the Internet of Things to analyze the methods and devices of sports health records</v>
      </c>
    </row>
    <row r="36" spans="1:5" ht="15" x14ac:dyDescent="0.25">
      <c r="A36" s="5" t="s">
        <v>103</v>
      </c>
      <c r="B36" s="6" t="s">
        <v>104</v>
      </c>
      <c r="C36" s="3" t="str">
        <f ca="1">IFERROR(__xludf.DUMMYFUNCTION("GOOGLETRANSLATE(B36,""auto"",""en"")"),"The present invention involves the technical field of tennis training, especially a tennis training method based on deep learning. It can conduct automated training for the individual differences of the athletes without the guidance of artificial coach, w"&amp;"hich can effectively improve the training effect and tennis skills of the athletes; Including: before training, conduct trial training for athletes to obtain athlete trial data; determine the technical level of athletes based on the first cycle neural net"&amp;"work of pre -training; determine the training intensity according to the technical level of athletes; , Get the athletes and environmental factors after the athletes hit the ball in real time; determine the trajectory of the tennis by the second -cycle ne"&amp;"ural network of pre -trained based on the status of the tennis; combined with the trajectory and training intensity of the tennis, control Cavade.")</f>
        <v>The present invention involves the technical field of tennis training, especially a tennis training method based on deep learning. It can conduct automated training for the individual differences of the athletes without the guidance of artificial coach, which can effectively improve the training effect and tennis skills of the athletes; Including: before training, conduct trial training for athletes to obtain athlete trial data; determine the technical level of athletes based on the first cycle neural network of pre -training; determine the training intensity according to the technical level of athletes; , Get the athletes and environmental factors after the athletes hit the ball in real time; determine the trajectory of the tennis by the second -cycle neural network of pre -trained based on the status of the tennis; combined with the trajectory and training intensity of the tennis, control Cavade.</v>
      </c>
      <c r="D36" s="6" t="s">
        <v>105</v>
      </c>
      <c r="E36" s="4" t="str">
        <f ca="1">IFERROR(__xludf.DUMMYFUNCTION("GOOGLETRANSLATE(D36,""auto"",""en"")"),"Tennis training method and system based on deep learning")</f>
        <v>Tennis training method and system based on deep learning</v>
      </c>
    </row>
    <row r="37" spans="1:5" ht="15" x14ac:dyDescent="0.25">
      <c r="A37" s="5" t="s">
        <v>106</v>
      </c>
      <c r="B37" s="6" t="s">
        <v>107</v>
      </c>
      <c r="C37" s="3" t="str">
        <f ca="1">IFERROR(__xludf.DUMMYFUNCTION("GOOGLETRANSLATE(B37,""auto"",""en"")"),"This application involves the field of artificial intelligence technology, which provides an action count method, device, terminal equipment and readable storage media. The action counting method includes: the speed information of each time within the pre"&amp;"set period, the data information collected by the sensor on the wearable device worn by the user; extract the valid data in the speed information. The data corresponding to the moment when the user is in the motion state; the valid data input the preset m"&amp;"odel to obtain the type output motion type of the preset model; according to the corresponding motion types of each time Number of action. The implementation of this application can identify different types of fitness actions and count it to improve the f"&amp;"itness experience.")</f>
        <v>This application involves the field of artificial intelligence technology, which provides an action count method, device, terminal equipment and readable storage media. The action counting method includes: the speed information of each time within the preset period, the data information collected by the sensor on the wearable device worn by the user; extract the valid data in the speed information. The data corresponding to the moment when the user is in the motion state; the valid data input the preset model to obtain the type output motion type of the preset model; according to the corresponding motion types of each time Number of action. The implementation of this application can identify different types of fitness actions and count it to improve the fitness experience.</v>
      </c>
      <c r="D37" s="6" t="s">
        <v>108</v>
      </c>
      <c r="E37" s="4" t="str">
        <f ca="1">IFERROR(__xludf.DUMMYFUNCTION("GOOGLETRANSLATE(D37,""auto"",""en"")"),"A motion counting method, device, terminal equipment and readable storage media")</f>
        <v>A motion counting method, device, terminal equipment and readable storage media</v>
      </c>
    </row>
    <row r="38" spans="1:5" ht="15" x14ac:dyDescent="0.25">
      <c r="A38" s="5" t="s">
        <v>109</v>
      </c>
      <c r="B38" s="6" t="s">
        <v>110</v>
      </c>
      <c r="C38" s="3" t="str">
        <f ca="1">IFERROR(__xludf.DUMMYFUNCTION("GOOGLETRANSLATE(B38,""auto"",""en"")"),"The present invention provides a method and system of exterior limbs of flexible objects based on deep learning. After obtaining the original image information of the flexible object, this method uses generating network models to enhance the original imag"&amp;"e information. ; Use deep learning models to extract the deformation data of flexible objects in the image information after enhanced processing, and provide real -time feedback on the data of the formal variables, and then control the motion of the exter"&amp;"nal limb robot based on the feedback deformation data to perform the operation of flexible objects. The invention can accurately identify the deformation state of flexible objects, and adjust the outer limb's posture in real time according to the shape st"&amp;"ate, and achieve effective operation and control of flexible objects.")</f>
        <v>The present invention provides a method and system of exterior limbs of flexible objects based on deep learning. After obtaining the original image information of the flexible object, this method uses generating network models to enhance the original image information. ; Use deep learning models to extract the deformation data of flexible objects in the image information after enhanced processing, and provide real -time feedback on the data of the formal variables, and then control the motion of the external limb robot based on the feedback deformation data to perform the operation of flexible objects. The invention can accurately identify the deformation state of flexible objects, and adjust the outer limb's posture in real time according to the shape state, and achieve effective operation and control of flexible objects.</v>
      </c>
      <c r="D38" s="6" t="s">
        <v>111</v>
      </c>
      <c r="E38" s="4" t="str">
        <f ca="1">IFERROR(__xludf.DUMMYFUNCTION("GOOGLETRANSLATE(D38,""auto"",""en"")"),"A method and system of exterior limbs based on deep learning")</f>
        <v>A method and system of exterior limbs based on deep learning</v>
      </c>
    </row>
    <row r="39" spans="1:5" ht="15" x14ac:dyDescent="0.25">
      <c r="A39" s="5" t="s">
        <v>112</v>
      </c>
      <c r="B39" s="6" t="s">
        <v>113</v>
      </c>
      <c r="C39" s="3" t="str">
        <f ca="1">IFERROR(__xludf.DUMMYFUNCTION("GOOGLETRANSLATE(B39,""auto"",""en"")"),"The present invention involves sports and fitness fields, and a method of generating virtual human fitness courses based on bone dot -driven is disclosed, including the following steps: Step 1: Collecting users with various fitness movements through deep "&amp;"learning cameras for various fitness movements; step 2: pair: right The user's body performs bone point detection to obtain key movement posture information; step 3: create a virtual human model; through bone point drive and real -time tracking, it can ac"&amp;"curately capture the user's posture and movement, provide personalized fitness guidance, meet the user’s user’s which Specific demand and capacity level; the system provides real -time feedback through real -time tracking and analyzing the posture and act"&amp;"ions of users to help users adjust the accuracy and safety of their postures and movements, avoid damage caused by wrong posture. Fitness video materials include sports demonstration, guidance, guidance Voice and countdown content can fully guide users' f"&amp;"itness movements and training plans, and improve training effects and efficiency.")</f>
        <v>The present invention involves sports and fitness fields, and a method of generating virtual human fitness courses based on bone dot -driven is disclosed, including the following steps: Step 1: Collecting users with various fitness movements through deep learning cameras for various fitness movements; step 2: pair: right The user's body performs bone point detection to obtain key movement posture information; step 3: create a virtual human model; through bone point drive and real -time tracking, it can accurately capture the user's posture and movement, provide personalized fitness guidance, meet the user’s user’s which Specific demand and capacity level; the system provides real -time feedback through real -time tracking and analyzing the posture and actions of users to help users adjust the accuracy and safety of their postures and movements, avoid damage caused by wrong posture. Fitness video materials include sports demonstration, guidance, guidance Voice and countdown content can fully guide users' fitness movements and training plans, and improve training effects and efficiency.</v>
      </c>
      <c r="D39" s="6" t="s">
        <v>114</v>
      </c>
      <c r="E39" s="4" t="str">
        <f ca="1">IFERROR(__xludf.DUMMYFUNCTION("GOOGLETRANSLATE(D39,""auto"",""en"")"),"A method of generating virtual fitness courses based on bone dots")</f>
        <v>A method of generating virtual fitness courses based on bone dots</v>
      </c>
    </row>
    <row r="40" spans="1:5" ht="15" x14ac:dyDescent="0.25">
      <c r="A40" s="5" t="s">
        <v>115</v>
      </c>
      <c r="B40" s="6" t="s">
        <v>116</v>
      </c>
      <c r="C40" s="3" t="str">
        <f ca="1">IFERROR(__xludf.DUMMYFUNCTION("GOOGLETRANSLATE(B40,""auto"",""en"")"),"This application involves the control method, device and storage medium based on the YOLOV5 algorithm. This method includes: obtaining videos in the process of badminton training, and the video includes multi -frame video image frames; using pre -trained "&amp;"sphere identification networks to perform video in each frame, each frame of video In the image frame, the candidate sphere is detected to determine the corresponding enclosure of the candidate sphere. The sphere recognition network is based on the YOLOV5"&amp;" algorithm. The fusion of layers and preset deep features; according to the distance information of the midline of the enclosure and the corresponding video image frame, the target sphere is screened from the candidate sphere; The actual venue position co"&amp;"rresponding to the location of the target sphere is available in a badminton at the location of the real scene. Through this application, the problem of detection accuracy and low ball efficiency of the identification of badminton's identification.")</f>
        <v>This application involves the control method, device and storage medium based on the YOLOV5 algorithm. This method includes: obtaining videos in the process of badminton training, and the video includes multi -frame video image frames; using pre -trained sphere identification networks to perform video in each frame, each frame of video In the image frame, the candidate sphere is detected to determine the corresponding enclosure of the candidate sphere. The sphere recognition network is based on the YOLOV5 algorithm. The fusion of layers and preset deep features; according to the distance information of the midline of the enclosure and the corresponding video image frame, the target sphere is screened from the candidate sphere; The actual venue position corresponding to the location of the target sphere is available in a badminton at the location of the real scene. Through this application, the problem of detection accuracy and low ball efficiency of the identification of badminton's identification.</v>
      </c>
      <c r="D40" s="6" t="s">
        <v>117</v>
      </c>
      <c r="E40" s="4" t="str">
        <f ca="1">IFERROR(__xludf.DUMMYFUNCTION("GOOGLETRANSLATE(D40,""auto"",""en"")"),"The control method, device and storage medium based on the YOLOV5 algorithm")</f>
        <v>The control method, device and storage medium based on the YOLOV5 algorithm</v>
      </c>
    </row>
    <row r="41" spans="1:5" ht="15" x14ac:dyDescent="0.25">
      <c r="A41" s="5" t="s">
        <v>118</v>
      </c>
      <c r="B41" s="6" t="s">
        <v>119</v>
      </c>
      <c r="C41" s="3" t="str">
        <f ca="1">IFERROR(__xludf.DUMMYFUNCTION("GOOGLETRANSLATE(B41,""auto"",""en"")"),"This application involves a badminton landing method based on one -dimensional convolutional neural network. It includes the following steps: S1: Make a badminton coordinate sequence data set; S2: Construct a badminton landing detection model based on one"&amp;" -dimensional convolutional neural network; S3: Training and verifying the badminton plans detection model; S4: Use the training model to achieve real -time detection of badminton places. The present invention uses one -dimensional convolutional neural ne"&amp;"twork model to detect the badminton trajectory sequence. The input badminton coordinate sequence is input. The model reasoning output does not contain the probability of each point when the point is contained or contained in the landing point. Compared wi"&amp;"th the method of setting up a first test threshold to set up a math model such as the use of curve or to establish mathematical models, the present invention has higher accuracy and stronger generalization, and it is suitable for many sequence feature poi"&amp;"nt detection tasks.")</f>
        <v>This application involves a badminton landing method based on one -dimensional convolutional neural network. It includes the following steps: S1: Make a badminton coordinate sequence data set; S2: Construct a badminton landing detection model based on one -dimensional convolutional neural network; S3: Training and verifying the badminton plans detection model; S4: Use the training model to achieve real -time detection of badminton places. The present invention uses one -dimensional convolutional neural network model to detect the badminton trajectory sequence. The input badminton coordinate sequence is input. The model reasoning output does not contain the probability of each point when the point is contained or contained in the landing point. Compared with the method of setting up a first test threshold to set up a math model such as the use of curve or to establish mathematical models, the present invention has higher accuracy and stronger generalization, and it is suitable for many sequence feature point detection tasks.</v>
      </c>
      <c r="D41" s="6" t="s">
        <v>120</v>
      </c>
      <c r="E41" s="4" t="str">
        <f ca="1">IFERROR(__xludf.DUMMYFUNCTION("GOOGLETRANSLATE(D41,""auto"",""en"")"),"A badminton -to -site detection method based on one -dimensional convolutional neural network")</f>
        <v>A badminton -to -site detection method based on one -dimensional convolutional neural network</v>
      </c>
    </row>
    <row r="42" spans="1:5" ht="15" x14ac:dyDescent="0.25">
      <c r="A42" s="5" t="s">
        <v>121</v>
      </c>
      <c r="B42" s="6" t="s">
        <v>122</v>
      </c>
      <c r="C42" s="3" t="str">
        <f ca="1">IFERROR(__xludf.DUMMYFUNCTION("GOOGLETRANSLATE(B42,""auto"",""en"")"),"The invention disclosed a comprehensive monitoring device based on the Internet of Things and cloud computing systems, involving the field of monitoring technology, including fixed gas beams and cameras. The first work cavity and the second work cavity, t"&amp;"he second work cavity is fixed with a line warehouse, the camera is fixed to the bottom of the line warehouse. The setting of the regulating component can effectively fix the device on the fixed air beam pillar to avoid the monitoring equipment installed "&amp;"on the inflatable structure in the existing technology. In the case of shrinkage, the screws of the connecting parts of the fixed monitoring equipment will be loose, affecting the monitoring effect. At the same time, if the monitoring equipment will not o"&amp;"nly cause the device to damage the device due to loosening and falling, but also the injury will occur.")</f>
        <v>The invention disclosed a comprehensive monitoring device based on the Internet of Things and cloud computing systems, involving the field of monitoring technology, including fixed gas beams and cameras. The first work cavity and the second work cavity, the second work cavity is fixed with a line warehouse, the camera is fixed to the bottom of the line warehouse. The setting of the regulating component can effectively fix the device on the fixed air beam pillar to avoid the monitoring equipment installed on the inflatable structure in the existing technology. In the case of shrinkage, the screws of the connecting parts of the fixed monitoring equipment will be loose, affecting the monitoring effect. At the same time, if the monitoring equipment will not only cause the device to damage the device due to loosening and falling, but also the injury will occur.</v>
      </c>
      <c r="D42" s="6" t="s">
        <v>123</v>
      </c>
      <c r="E42" s="4" t="str">
        <f ca="1">IFERROR(__xludf.DUMMYFUNCTION("GOOGLETRANSLATE(D42,""auto"",""en"")"),"Stadium -based gymnasium based on the Internet of Things and cloud computing systems")</f>
        <v>Stadium -based gymnasium based on the Internet of Things and cloud computing systems</v>
      </c>
    </row>
    <row r="43" spans="1:5" ht="15" x14ac:dyDescent="0.25">
      <c r="A43" s="5" t="s">
        <v>124</v>
      </c>
      <c r="B43" s="6" t="s">
        <v>125</v>
      </c>
      <c r="C43" s="3" t="str">
        <f ca="1">IFERROR(__xludf.DUMMYFUNCTION("GOOGLETRANSLATE(B43,""auto"",""en"")"),"The ticket switching server is configured to distribute the ticket certificate based on the predicted attendance rate. Ticket exchange server access describes a group of training data during the historical events of multiple historical events and a group "&amp;"of training data. Ticket exchange server uses training data training machine learning model. This model is configured to predict the possibility of stadium vacation during the event of the event according to real -time statistics. During the activity held"&amp;" in the stadium, the ticket exchange server detection was associated with the first votes of the first user. Ticket exchange servers determine the value of the second votes of the empty seat by applying the application of the machine learning model to the"&amp;" real -time statistics of the event, and assign the second vote to the second user.")</f>
        <v>The ticket switching server is configured to distribute the ticket certificate based on the predicted attendance rate. Ticket exchange server access describes a group of training data during the historical events of multiple historical events and a group of training data. Ticket exchange server uses training data training machine learning model. This model is configured to predict the possibility of stadium vacation during the event of the event according to real -time statistics. During the activity held in the stadium, the ticket exchange server detection was associated with the first votes of the first user. Ticket exchange servers determine the value of the second votes of the empty seat by applying the application of the machine learning model to the real -time statistics of the event, and assign the second vote to the second user.</v>
      </c>
      <c r="D43" s="6" t="s">
        <v>126</v>
      </c>
      <c r="E43" s="4" t="str">
        <f ca="1">IFERROR(__xludf.DUMMYFUNCTION("GOOGLETRANSLATE(D43,""auto"",""en"")"),"Part of the votes of machine learning")</f>
        <v>Part of the votes of machine learning</v>
      </c>
    </row>
    <row r="44" spans="1:5" ht="15" x14ac:dyDescent="0.25">
      <c r="A44" s="5" t="s">
        <v>127</v>
      </c>
      <c r="B44" s="6" t="s">
        <v>128</v>
      </c>
      <c r="C44" s="3" t="str">
        <f ca="1">IFERROR(__xludf.DUMMYFUNCTION("GOOGLETRANSLATE(B44,""auto"",""en"")"),"The invention provides a physical intelligent monitoring system and method based on the Internet of Things athletes, including: initially set and adjust the parameters of the preset first model based on the user's physical fitness and health information, "&amp;"sports environment and location information and sports projects. , Use the obtained models to monitor and warn the physical state, and generate corresponding suggestions and strategies. The follow -up of the relevant data information in the process of exe"&amp;"rcise is updated and replaced. Monitoring; initially formulated the initial motion plan according to the user's physical fitness and health information, and the user collected based on the feedback of the exercise plan, the objective data information and "&amp;"the individual body can increase or decrease the situation of the exercise plan based on the exercise plan. And local adjustment, thereby improving the effect of exercise and helping athletes to cultivate confidence.")</f>
        <v>The invention provides a physical intelligent monitoring system and method based on the Internet of Things athletes, including: initially set and adjust the parameters of the preset first model based on the user's physical fitness and health information, sports environment and location information and sports projects. , Use the obtained models to monitor and warn the physical state, and generate corresponding suggestions and strategies. The follow -up of the relevant data information in the process of exercise is updated and replaced. Monitoring; initially formulated the initial motion plan according to the user's physical fitness and health information, and the user collected based on the feedback of the exercise plan, the objective data information and the individual body can increase or decrease the situation of the exercise plan based on the exercise plan. And local adjustment, thereby improving the effect of exercise and helping athletes to cultivate confidence.</v>
      </c>
      <c r="D44" s="6" t="s">
        <v>129</v>
      </c>
      <c r="E44" s="4" t="str">
        <f ca="1">IFERROR(__xludf.DUMMYFUNCTION("GOOGLETRANSLATE(D44,""auto"",""en"")"),"A physical fitness monitoring system and method based on the Internet of Things -based athletes")</f>
        <v>A physical fitness monitoring system and method based on the Internet of Things -based athletes</v>
      </c>
    </row>
    <row r="45" spans="1:5" ht="15" x14ac:dyDescent="0.25">
      <c r="A45" s="5" t="s">
        <v>130</v>
      </c>
      <c r="B45" s="6" t="s">
        <v>131</v>
      </c>
      <c r="C45" s="3" t="str">
        <f ca="1">IFERROR(__xludf.DUMMYFUNCTION("GOOGLETRANSLATE(B45,""auto"",""en"")"),"It is used to evaluate the methods, systems and computer program products for evaluating exercise capabilities and generating data. In one embodiment, the athlete's performance data is generated by a computer visual analysis of the video of a video of exe"&amp;"rcise during the exercise or the game. The performance data generated by generated can include, such as maximum speed, maximum acceleration, time to reach the maximum speed, transition time (for example, the time to change direction), approaching the spee"&amp;"d (for example, time close to another athlete's distance), average interval (for the distance from another athlete) (the distance from another athlete) (the distance close to another athlete), average interval (for the distance of another athlete) (the di"&amp;"stance from another athlete) (the distance from another athlete) (time to another athlete) For example, between athletes and another athlete), competition, sports ability (for example, combination of weighted calculations and/or multiple indicators) and/o"&amp;"r other performance data. This performance data can be used to generate files associated with athletes related to athletes, which can be used for higher efficiency and accuracy recruitment, reconnaissance, comparison and/or evaluation athletes.")</f>
        <v>It is used to evaluate the methods, systems and computer program products for evaluating exercise capabilities and generating data. In one embodiment, the athlete's performance data is generated by a computer visual analysis of the video of a video of exercise during the exercise or the game. The performance data generated by generated can include, such as maximum speed, maximum acceleration, time to reach the maximum speed, transition time (for example, the time to change direction), approaching the speed (for example, time close to another athlete's distance), average interval (for the distance from another athlete) (the distance from another athlete) (the distance close to another athlete), average interval (for the distance of another athlete) (the distance from another athlete) (the distance from another athlete) (time to another athlete) For example, between athletes and another athlete), competition, sports ability (for example, combination of weighted calculations and/or multiple indicators) and/or other performance data. This performance data can be used to generate files associated with athletes related to athletes, which can be used for higher efficiency and accuracy recruitment, reconnaissance, comparison and/or evaluation athletes.</v>
      </c>
      <c r="D45" s="6" t="s">
        <v>132</v>
      </c>
      <c r="E45" s="4" t="str">
        <f ca="1">IFERROR(__xludf.DUMMYFUNCTION("GOOGLETRANSLATE(D45,""auto"",""en"")"),"Used to evaluate systems, methods and computer program products that generate performance data")</f>
        <v>Used to evaluate systems, methods and computer program products that generate performance data</v>
      </c>
    </row>
    <row r="46" spans="1:5" ht="15" x14ac:dyDescent="0.25">
      <c r="A46" s="5" t="s">
        <v>133</v>
      </c>
      <c r="B46" s="6" t="s">
        <v>134</v>
      </c>
      <c r="C46" s="3" t="str">
        <f ca="1">IFERROR(__xludf.DUMMYFUNCTION("GOOGLETRANSLATE(B46,""auto"",""en"")"),"Artificial intelligence wearable equipment for real -time cardiopulmonary motion management proposes an artificial intelligence wearable device and system for management of real -time cardiopulmonary exercise. The device includes a heart rate monitor that"&amp;" is used to collect users' real -time heart rate data, as well as a respiratory sensor to measure the oxygen volume and carbon dioxide production of the user each breathing. The processing unit in the device uses a machine learning algorithm to analyze th"&amp;"ese collected data, which helps to explain the user's physiological state. The device is also equipped with a display screen, which can update the progress of the user's scheduled exercise target in real time, thereby promoting fitness persistence and mot"&amp;"ivation. In addition, the device integrates a communication module to seamlessly transmits data to cloud -based storage and processing units, thereby achieving security data storage and additional calculation analysis. This advanced wearable technology pr"&amp;"ovides personalized exercise guidance to promote a healthier and wise lifestyle.")</f>
        <v>Artificial intelligence wearable equipment for real -time cardiopulmonary motion management proposes an artificial intelligence wearable device and system for management of real -time cardiopulmonary exercise. The device includes a heart rate monitor that is used to collect users' real -time heart rate data, as well as a respiratory sensor to measure the oxygen volume and carbon dioxide production of the user each breathing. The processing unit in the device uses a machine learning algorithm to analyze these collected data, which helps to explain the user's physiological state. The device is also equipped with a display screen, which can update the progress of the user's scheduled exercise target in real time, thereby promoting fitness persistence and motivation. In addition, the device integrates a communication module to seamlessly transmits data to cloud -based storage and processing units, thereby achieving security data storage and additional calculation analysis. This advanced wearable technology provides personalized exercise guidance to promote a healthier and wise lifestyle.</v>
      </c>
      <c r="D46" s="6" t="s">
        <v>135</v>
      </c>
      <c r="E46" s="4" t="str">
        <f ca="1">IFERROR(__xludf.DUMMYFUNCTION("GOOGLETRANSLATE(D46,""auto"",""en"")"),"Wearable devices supporting artificial intelligence are used for real -time cardiopulmonary exercise management")</f>
        <v>Wearable devices supporting artificial intelligence are used for real -time cardiopulmonary exercise management</v>
      </c>
    </row>
    <row r="47" spans="1:5" ht="15" x14ac:dyDescent="0.25">
      <c r="A47" s="5" t="s">
        <v>136</v>
      </c>
      <c r="B47" s="6" t="s">
        <v>137</v>
      </c>
      <c r="C47" s="3" t="str">
        <f ca="1">IFERROR(__xludf.DUMMYFUNCTION("GOOGLETRANSLATE(B47,""auto"",""en"")"),"The present invention provides an automatic table tennis pick -up machine based on artificial intelligence, which involves sports equipment technology fields, including the main frame, and the two ends of the main frame are symmetrical with foldable brack"&amp;"ets. The middle part of the main frame is equipped with a mobile institution. On one side of the mobile institution, there is a three -plus one -axis parallel machine hand. On one side, the output end of the back ball mechanism is connected to the externa"&amp;"l ball frame, and multiple high -speed cameras, mobile institutions, San plus one -axis parallel machine hand and return ball -back mechanism are telecommunications connecting artificial intelligence controllers. Internally, the invention calculates the t"&amp;"rajectory of each ball through the monitoring video through an artificial intelligence controller, and controls the ball back of the ball through the mobile institution and the three -plus one -axis parallel machine. Realize the effect of uninterrupted re"&amp;"plenishment training.")</f>
        <v>The present invention provides an automatic table tennis pick -up machine based on artificial intelligence, which involves sports equipment technology fields, including the main frame, and the two ends of the main frame are symmetrical with foldable brackets. The middle part of the main frame is equipped with a mobile institution. On one side of the mobile institution, there is a three -plus one -axis parallel machine hand. On one side, the output end of the back ball mechanism is connected to the external ball frame, and multiple high -speed cameras, mobile institutions, San plus one -axis parallel machine hand and return ball -back mechanism are telecommunications connecting artificial intelligence controllers. Internally, the invention calculates the trajectory of each ball through the monitoring video through an artificial intelligence controller, and controls the ball back of the ball through the mobile institution and the three -plus one -axis parallel machine. Realize the effect of uninterrupted replenishment training.</v>
      </c>
      <c r="D47" s="6" t="s">
        <v>138</v>
      </c>
      <c r="E47" s="4" t="str">
        <f ca="1">IFERROR(__xludf.DUMMYFUNCTION("GOOGLETRANSLATE(D47,""auto"",""en"")"),"An automatic table tennis pick -up machine based on artificial intelligence")</f>
        <v>An automatic table tennis pick -up machine based on artificial intelligence</v>
      </c>
    </row>
    <row r="48" spans="1:5" ht="15" x14ac:dyDescent="0.25">
      <c r="A48" s="5" t="s">
        <v>139</v>
      </c>
      <c r="B48" s="6" t="s">
        <v>140</v>
      </c>
      <c r="C48" s="3" t="str">
        <f ca="1">IFERROR(__xludf.DUMMYFUNCTION("GOOGLETRANSLATE(B48,""auto"",""en"")"),"The present invention provides a multi -target optimization method of automated assembly production line considering the rigid constraints of the process. The specific operation steps are as follows: S1: Optimization of the production line material transp"&amp;"ortation operation processing; S2: optimization processing of production line process process; S3: production line process optimization processing; S4:: S4: Production line robot integration and control optimization operations; S5: data analysis and visua"&amp;"l operation; S6: human -machine interaction interface optimization; S7: optimization of production line resource utilization rate, the present invention can optimize material transportation optimization of automated assembly production lines through the a"&amp;"bove seven steps above , Process process optimization, process optimization, robotic integration and control optimization, data analysis and visual operation, human -computer interaction interface optimization and resource utilization rate optimization ca"&amp;"n achieve comprehensive optimization processing of automated assembly production lines, and the designed process optimization. Can effectively improve the flexibility of process adjustment.")</f>
        <v>The present invention provides a multi -target optimization method of automated assembly production line considering the rigid constraints of the process. The specific operation steps are as follows: S1: Optimization of the production line material transportation operation processing; S2: optimization processing of production line process process; S3: production line process optimization processing; S4:: S4: Production line robot integration and control optimization operations; S5: data analysis and visual operation; S6: human -machine interaction interface optimization; S7: optimization of production line resource utilization rate, the present invention can optimize material transportation optimization of automated assembly production lines through the above seven steps above , Process process optimization, process optimization, robotic integration and control optimization, data analysis and visual operation, human -computer interaction interface optimization and resource utilization rate optimization can achieve comprehensive optimization processing of automated assembly production lines, and the designed process optimization. Can effectively improve the flexibility of process adjustment.</v>
      </c>
      <c r="D48" s="6" t="s">
        <v>141</v>
      </c>
      <c r="E48" s="4" t="str">
        <f ca="1">IFERROR(__xludf.DUMMYFUNCTION("GOOGLETRANSLATE(D48,""auto"",""en"")"),"A multi -target optimization method of automatic assembly production line considering the rigid constraints of the process")</f>
        <v>A multi -target optimization method of automatic assembly production line considering the rigid constraints of the process</v>
      </c>
    </row>
    <row r="49" spans="1:5" ht="15" x14ac:dyDescent="0.25">
      <c r="A49" s="5" t="s">
        <v>142</v>
      </c>
      <c r="B49" s="6" t="s">
        <v>143</v>
      </c>
      <c r="C49" s="3" t="str">
        <f ca="1">IFERROR(__xludf.DUMMYFUNCTION("GOOGLETRANSLATE(B49,""auto"",""en"")"),"The invention provides a smart physical education teaching method based on artificial intelligence. Through VR terminal equipment, the content of the stadium teaching course is processed, determining the target physical education teaching module layout, t"&amp;"eaching the target recipients, the training process for the target trainee training process According to the description of the attitude of the follow -up, compared with the standard posture of the follow -up of the follow -up module and the parameter ind"&amp;"icator, the VR terminal equipment recognizes the wrong posture of the target subject, and correct the attitude of the wrong posture until the movement is correct. Finally, the VR terminal device evaluates and scores the target sports training learning pro"&amp;"cess, and records each movement attitude. Through the implementation of the present invention, it can achieve the limitation of the physical education teaching level and the restrictions of the sports venue and venue in the process of physical education. "&amp;"Users can move through the corresponding scenario in the VR large space. The center of the perspective, a full range of, immersed, and experienced a new visual experience.")</f>
        <v>The invention provides a smart physical education teaching method based on artificial intelligence. Through VR terminal equipment, the content of the stadium teaching course is processed, determining the target physical education teaching module layout, teaching the target recipients, the training process for the target trainee training process According to the description of the attitude of the follow -up, compared with the standard posture of the follow -up of the follow -up module and the parameter indicator, the VR terminal equipment recognizes the wrong posture of the target subject, and correct the attitude of the wrong posture until the movement is correct. Finally, the VR terminal device evaluates and scores the target sports training learning process, and records each movement attitude. Through the implementation of the present invention, it can achieve the limitation of the physical education teaching level and the restrictions of the sports venue and venue in the process of physical education. Users can move through the corresponding scenario in the VR large space. The center of the perspective, a full range of, immersed, and experienced a new visual experience.</v>
      </c>
      <c r="D49" s="6" t="s">
        <v>144</v>
      </c>
      <c r="E49" s="4" t="str">
        <f ca="1">IFERROR(__xludf.DUMMYFUNCTION("GOOGLETRANSLATE(D49,""auto"",""en"")"),"A method of intelligent sports teaching based on artificial intelligence")</f>
        <v>A method of intelligent sports teaching based on artificial intelligence</v>
      </c>
    </row>
    <row r="50" spans="1:5" ht="15" x14ac:dyDescent="0.25">
      <c r="A50" s="5" t="s">
        <v>145</v>
      </c>
      <c r="B50" s="6" t="s">
        <v>146</v>
      </c>
      <c r="C50" s="3" t="str">
        <f ca="1">IFERROR(__xludf.DUMMYFUNCTION("GOOGLETRANSLATE(B50,""auto"",""en"")"),"The voice recognition methods, electronic equipment and storage media for the sports competition system are the field of intelligent voice recognition technology. To solve the use of voice recognition technology in the noisy environment in sports competit"&amp;"ions to improve the quality of voice signals and accurately perform voice recognition. The invention collects the voice signal data of the sports competition system, pre -process the voice signal data of the collected sports competition system, and obtain"&amp;" the digital signal data of the sports competition system to use the MEL frequency spectrum coefficient to extract it. Data for noise reduction processing, obtain noise reduction processing data from the sports competition system; build a voice reference "&amp;"mode library for the sports competition system; the noise reduction processing data of the sports event system uses the voice reference mode library of the constructed sports event system for sports Voice recognition of the event system. The present inven"&amp;"tion improves the quality of voice signals and solves the problem of low recognition rate in the noise environment in the process of voice recognition.")</f>
        <v>The voice recognition methods, electronic equipment and storage media for the sports competition system are the field of intelligent voice recognition technology. To solve the use of voice recognition technology in the noisy environment in sports competitions to improve the quality of voice signals and accurately perform voice recognition. The invention collects the voice signal data of the sports competition system, pre -process the voice signal data of the collected sports competition system, and obtain the digital signal data of the sports competition system to use the MEL frequency spectrum coefficient to extract it. Data for noise reduction processing, obtain noise reduction processing data from the sports competition system; build a voice reference mode library for the sports competition system; the noise reduction processing data of the sports event system uses the voice reference mode library of the constructed sports event system for sports Voice recognition of the event system. The present invention improves the quality of voice signals and solves the problem of low recognition rate in the noise environment in the process of voice recognition.</v>
      </c>
      <c r="D50" s="6" t="s">
        <v>147</v>
      </c>
      <c r="E50" s="4" t="str">
        <f ca="1">IFERROR(__xludf.DUMMYFUNCTION("GOOGLETRANSLATE(D50,""auto"",""en"")"),"Voice recognition methods, electronic equipment and storage media for sports competition systems")</f>
        <v>Voice recognition methods, electronic equipment and storage media for sports competition systems</v>
      </c>
    </row>
    <row r="51" spans="1:5" ht="15" x14ac:dyDescent="0.25">
      <c r="A51" s="5" t="s">
        <v>148</v>
      </c>
      <c r="B51" s="6" t="s">
        <v>149</v>
      </c>
      <c r="C51" s="3" t="str">
        <f ca="1">IFERROR(__xludf.DUMMYFUNCTION("GOOGLETRANSLATE(B51,""auto"",""en"")"),"An auxiliary abalone chessboard game device, including the development of platform 1 placed on the ground, and a touch interactive display panel 3 installed on platform 1, which is used to enter the detailed information of the abalone game mode that the u"&amp;"ser wants to play. The holographic projection unit 4 installed on the platform 1 is used to projected a series of images to guide the user to play games. The audio unit 5 installed on the platform 1 is used to guide users to arrange black and white balls "&amp;"on the face 2 of the relative two ends. And users need to push the opponent's ball into the empty cavity 6 made on the platform 1 to win the game, and the artificial intelligence -based image capture module 7 that is installed on the platform 1 to determi"&amp;"ne the foul behavior.")</f>
        <v>An auxiliary abalone chessboard game device, including the development of platform 1 placed on the ground, and a touch interactive display panel 3 installed on platform 1, which is used to enter the detailed information of the abalone game mode that the user wants to play. The holographic projection unit 4 installed on the platform 1 is used to projected a series of images to guide the user to play games. The audio unit 5 installed on the platform 1 is used to guide users to arrange black and white balls on the face 2 of the relative two ends. And users need to push the opponent's ball into the empty cavity 6 made on the platform 1 to win the game, and the artificial intelligence -based image capture module 7 that is installed on the platform 1 to determine the foul behavior.</v>
      </c>
      <c r="D51" s="6" t="s">
        <v>150</v>
      </c>
      <c r="E51" s="4" t="str">
        <f ca="1">IFERROR(__xludf.DUMMYFUNCTION("GOOGLETRANSLATE(D51,""auto"",""en"")"),"Auxiliary abalone chessboard game device")</f>
        <v>Auxiliary abalone chessboard game device</v>
      </c>
    </row>
    <row r="52" spans="1:5" ht="15" x14ac:dyDescent="0.25">
      <c r="A52" s="5" t="s">
        <v>151</v>
      </c>
      <c r="B52" s="6" t="s">
        <v>152</v>
      </c>
      <c r="C52" s="3" t="str">
        <f ca="1">IFERROR(__xludf.DUMMYFUNCTION("GOOGLETRANSLATE(B52,""auto"",""en"")"),"A motion device that relieve numb, including platform 1, platform 1 configuration with conveyor belt 2 for users to run exercise 2, a pair of telescopic support board 3, artificial intelligent camera 4 used to capture images, for selecting level touch scr"&amp;"een 5 The telescopic rod 6 used for exercise extends to keep the belt angle. The DC motor is used to rotate the belt. The C -shaped electric clip 8 is used to clamp the user's waist. The pressure sensor is used to detect the pressure applied by the clip 8"&amp;". Sending voice commands, cavities stored salt water 10, multiple water sprayers used to spray salt water 11, waste water containers collected wastewater 12, provide comfortable buffer pads, hot air wind turbine for drying, liquid used for detecting water"&amp;" levels to detect water level Bit sensor. Salt water, and calculating unit for notifying the re -filled room 10.")</f>
        <v>A motion device that relieve numb, including platform 1, platform 1 configuration with conveyor belt 2 for users to run exercise 2, a pair of telescopic support board 3, artificial intelligent camera 4 used to capture images, for selecting level touch screen 5 The telescopic rod 6 used for exercise extends to keep the belt angle. The DC motor is used to rotate the belt. The C -shaped electric clip 8 is used to clamp the user's waist. The pressure sensor is used to detect the pressure applied by the clip 8. Sending voice commands, cavities stored salt water 10, multiple water sprayers used to spray salt water 11, waste water containers collected wastewater 12, provide comfortable buffer pads, hot air wind turbine for drying, liquid used for detecting water levels to detect water level Bit sensor. Salt water, and calculating unit for notifying the re -filled room 10.</v>
      </c>
      <c r="D52" s="6" t="s">
        <v>153</v>
      </c>
      <c r="E52" s="4" t="str">
        <f ca="1">IFERROR(__xludf.DUMMYFUNCTION("GOOGLETRANSLATE(D52,""auto"",""en"")"),"Lift the numb sports appliance")</f>
        <v>Lift the numb sports appliance</v>
      </c>
    </row>
    <row r="53" spans="1:5" ht="15" x14ac:dyDescent="0.25">
      <c r="A53" s="5" t="s">
        <v>154</v>
      </c>
      <c r="B53" s="6" t="s">
        <v>155</v>
      </c>
      <c r="C53" s="3" t="str">
        <f ca="1">IFERROR(__xludf.DUMMYFUNCTION("GOOGLETRANSLATE(B53,""auto"",""en"")"),"A kind of tennis player training device, including a U -shaped frame 1, which has a pair of discs that can be hung on the ceiling part of the shell. , This rope 3 is connected to a rope at the best height 3. User interface for users can enter the detailed"&amp;" information about the level of tennis ball training level that the user wants to reach, and the mobile ball nest joints used to provide rotating motion to the ball 5 The impact sensor used to provide rotating motion to the ball detects the contact of the"&amp;" tennis racket and the ball during training. The artificial intelligence -based image capture module 6 detects the posture of users during training, and the audio unit 7 is used to generate audio notifications to in order Remind users to maintain an appro"&amp;"priate posture throughout the training process.")</f>
        <v>A kind of tennis player training device, including a U -shaped frame 1, which has a pair of discs that can be hung on the ceiling part of the shell. , This rope 3 is connected to a rope at the best height 3. User interface for users can enter the detailed information about the level of tennis ball training level that the user wants to reach, and the mobile ball nest joints used to provide rotating motion to the ball 5 The impact sensor used to provide rotating motion to the ball detects the contact of the tennis racket and the ball during training. The artificial intelligence -based image capture module 6 detects the posture of users during training, and the audio unit 7 is used to generate audio notifications to in order Remind users to maintain an appropriate posture throughout the training process.</v>
      </c>
      <c r="D53" s="6" t="s">
        <v>156</v>
      </c>
      <c r="E53" s="4" t="str">
        <f ca="1">IFERROR(__xludf.DUMMYFUNCTION("GOOGLETRANSLATE(D53,""auto"",""en"")"),"Tennis player training device")</f>
        <v>Tennis player training device</v>
      </c>
    </row>
    <row r="54" spans="1:5" ht="15" x14ac:dyDescent="0.25">
      <c r="A54" s="5" t="s">
        <v>157</v>
      </c>
      <c r="B54" s="6" t="s">
        <v>158</v>
      </c>
      <c r="C54" s="3" t="str">
        <f ca="1">IFERROR(__xludf.DUMMYFUNCTION("GOOGLETRANSLATE(B54,""auto"",""en"")"),"Due to the gaming of fitness plans, end users may invest in health. The gamification strategy used in fitness applications and its impact on user behavior and benefits. By carefully studying the main body of the current literature and the popular fitness "&amp;"application, we can find out that the key gamified elements that are often used to motivate users. These elements include points, badges, rankings, challenges and virtual rewards. We also discussed the psychological principles behind gaming, including tar"&amp;"get settings, social influence, internal and external motivations, and internal and external driving forces. These principles and mechanisms help explain how these strategies encourage long -term participation and constructive behavior changes. Running an"&amp;"d jogging can be converted into a system that encourages users to participate in physical health. We can implement a performance system based on user daily goals. The latest added is the physical posture detection function, which can determine whether ind"&amp;"ividuals exercise in the correct posture. This only proves its accessibility. At present, FitSetGo focuses on calorie -based sports, such as walking, cycling and jogging. This idea is to allow users to focus on weightlifting and aerobic exercise, thereby "&amp;"focusing on their own health.")</f>
        <v>Due to the gaming of fitness plans, end users may invest in health. The gamification strategy used in fitness applications and its impact on user behavior and benefits. By carefully studying the main body of the current literature and the popular fitness application, we can find out that the key gamified elements that are often used to motivate users. These elements include points, badges, rankings, challenges and virtual rewards. We also discussed the psychological principles behind gaming, including target settings, social influence, internal and external motivations, and internal and external driving forces. These principles and mechanisms help explain how these strategies encourage long -term participation and constructive behavior changes. Running and jogging can be converted into a system that encourages users to participate in physical health. We can implement a performance system based on user daily goals. The latest added is the physical posture detection function, which can determine whether individuals exercise in the correct posture. This only proves its accessibility. At present, FitSetGo focuses on calorie -based sports, such as walking, cycling and jogging. This idea is to allow users to focus on weightlifting and aerobic exercise, thereby focusing on their own health.</v>
      </c>
      <c r="D54" s="6" t="s">
        <v>159</v>
      </c>
      <c r="E54" s="4" t="str">
        <f ca="1">IFERROR(__xludf.DUMMYFUNCTION("GOOGLETRANSLATE(D54,""auto"",""en"")"),"FitSetGo: Use machine learning to release the potential of gaming in fitness applications to improve exercise persistence and happiness")</f>
        <v>FitSetGo: Use machine learning to release the potential of gaming in fitness applications to improve exercise persistence and happiness</v>
      </c>
    </row>
    <row r="55" spans="1:5" ht="15" x14ac:dyDescent="0.25">
      <c r="A55" s="5" t="s">
        <v>160</v>
      </c>
      <c r="B55" s="6" t="s">
        <v>161</v>
      </c>
      <c r="C55" s="3" t="str">
        <f ca="1">IFERROR(__xludf.DUMMYFUNCTION("GOOGLETRANSLATE(B55,""auto"",""en"")"),"The present invention disclosed a method of badminton -to -ball speed measurement method based on video image technology, involving the field of speed measurement technology, including the following steps: S1, image sequence acquisition: use shooting equi"&amp;"pment at the badminton field to get several badminton sports image sequences, Select one of the vertices of the badminton stadium as the benchmark coordinate system; S2, image sequence interview processing: establish a standard coordinate system according"&amp;" to the specifications of corresponding badminton venues; The location is transformed into a three -dimensional coordinates to form a number of discrete position points; S4, trajectory fitting: use deep learning neural network model to form a continuous m"&amp;"otion of badminton sports; S5, instantaneous speed measurement: According to the continuous motion of badminton, find a badminton instantaneous hitting speed ; To achieve low -cost, real -time, accurate records, and carry out special skills evaluation of "&amp;"badminton play speed, and provide quantitative data support for the special skills of fastening.")</f>
        <v>The present invention disclosed a method of badminton -to -ball speed measurement method based on video image technology, involving the field of speed measurement technology, including the following steps: S1, image sequence acquisition: use shooting equipment at the badminton field to get several badminton sports image sequences, Select one of the vertices of the badminton stadium as the benchmark coordinate system; S2, image sequence interview processing: establish a standard coordinate system according to the specifications of corresponding badminton venues; The location is transformed into a three -dimensional coordinates to form a number of discrete position points; S4, trajectory fitting: use deep learning neural network model to form a continuous motion of badminton sports; S5, instantaneous speed measurement: According to the continuous motion of badminton, find a badminton instantaneous hitting speed ; To achieve low -cost, real -time, accurate records, and carry out special skills evaluation of badminton play speed, and provide quantitative data support for the special skills of fastening.</v>
      </c>
      <c r="D55" s="6" t="s">
        <v>162</v>
      </c>
      <c r="E55" s="4" t="str">
        <f ca="1">IFERROR(__xludf.DUMMYFUNCTION("GOOGLETRANSLATE(D55,""auto"",""en"")"),"A method and system based on video image technology and system")</f>
        <v>A method and system based on video image technology and system</v>
      </c>
    </row>
    <row r="56" spans="1:5" ht="15" x14ac:dyDescent="0.25">
      <c r="A56" s="5" t="s">
        <v>163</v>
      </c>
      <c r="B56" s="6" t="s">
        <v>164</v>
      </c>
      <c r="C56" s="3" t="str">
        <f ca="1">IFERROR(__xludf.DUMMYFUNCTION("GOOGLETRANSLATE(B56,""auto"",""en"")"),"The present invention discloses an intelligent chronograph system based on deep learning and human tracking. It is a new type of timing system based on computer vision and artificial intelligence technology. The terminal, the terminal timing terminal, dis"&amp;"playing the terminal, the connection between the cloud platform and the terminal, the verification and the connection of the lane distribution terminal to the acquisition device, and the out -of -terminal audio output equipment is issued. The end timing o"&amp;"f each lane has a terminal connected to the camera. Manage the cloud platform through the sports swimming test, combined with human face recognition and distribution lanes and deep learning and human posture tracking technology through SNTP accurate schoo"&amp;"ls; through image recognition and face verification of human face verification Learn and real -time human posture tracking to achieve automatic tactile timing, avoid interference caused by water fluctuations due to water fluctuations, avoid interference o"&amp;"f artificial timing errors and subjective factors, ensure fairness and fair , Avoid students' questioning, and record at the same time, record, pictures and videos for appeal and arbitration at the time of touching the wall; reduce the cost of labor, and "&amp;"replace the timing referee through equipment.")</f>
        <v>The present invention discloses an intelligent chronograph system based on deep learning and human tracking. It is a new type of timing system based on computer vision and artificial intelligence technology. The terminal, the terminal timing terminal, displaying the terminal, the connection between the cloud platform and the terminal, the verification and the connection of the lane distribution terminal to the acquisition device, and the out -of -terminal audio output equipment is issued. The end timing of each lane has a terminal connected to the camera. Manage the cloud platform through the sports swimming test, combined with human face recognition and distribution lanes and deep learning and human posture tracking technology through SNTP accurate schools; through image recognition and face verification of human face verification Learn and real -time human posture tracking to achieve automatic tactile timing, avoid interference caused by water fluctuations due to water fluctuations, avoid interference of artificial timing errors and subjective factors, ensure fairness and fair , Avoid students' questioning, and record at the same time, record, pictures and videos for appeal and arbitration at the time of touching the wall; reduce the cost of labor, and replace the timing referee through equipment.</v>
      </c>
      <c r="D56" s="6" t="s">
        <v>165</v>
      </c>
      <c r="E56" s="4" t="str">
        <f ca="1">IFERROR(__xludf.DUMMYFUNCTION("GOOGLETRANSLATE(D56,""auto"",""en"")"),"A intelligent timing system based on deep learning and human tracking swimming test")</f>
        <v>A intelligent timing system based on deep learning and human tracking swimming test</v>
      </c>
    </row>
    <row r="57" spans="1:5" ht="15" x14ac:dyDescent="0.25">
      <c r="A57" s="5" t="s">
        <v>166</v>
      </c>
      <c r="B57" s="6" t="s">
        <v>167</v>
      </c>
      <c r="C57" s="3" t="str">
        <f ca="1">IFERROR(__xludf.DUMMYFUNCTION("GOOGLETRANSLATE(B57,""auto"",""en"")"),"The present invention provides a recommendation method for personalized fitness courses, including the following steps: step 1, interacting questions and answers to users, the content of the question and answer content from the prefabricated knowledge bas"&amp;"e, according to the user's answer, the user is classified as a preliminary category. Based on this classification, preliminary course recommendations are performed; step 2, users train according to the recommended courses, and the system obtains the user'"&amp;"s breathing rate and heart rate in real time. Step 3, the system adjusts the course recommendation according to the user's breathing rate and heart rate. The present invention proposes a method of recommending courses to recommend courses in accordance wi"&amp;"th users and sports capabilities to solve the problem of using online fitness software, and the fitness course is not matched with the user's preferences and exercise capabilities.")</f>
        <v>The present invention provides a recommendation method for personalized fitness courses, including the following steps: step 1, interacting questions and answers to users, the content of the question and answer content from the prefabricated knowledge base, according to the user's answer, the user is classified as a preliminary category. Based on this classification, preliminary course recommendations are performed; step 2, users train according to the recommended courses, and the system obtains the user's breathing rate and heart rate in real time. Step 3, the system adjusts the course recommendation according to the user's breathing rate and heart rate. The present invention proposes a method of recommending courses to recommend courses in accordance with users and sports capabilities to solve the problem of using online fitness software, and the fitness course is not matched with the user's preferences and exercise capabilities.</v>
      </c>
      <c r="D57" s="6" t="s">
        <v>168</v>
      </c>
      <c r="E57" s="4" t="str">
        <f ca="1">IFERROR(__xludf.DUMMYFUNCTION("GOOGLETRANSLATE(D57,""auto"",""en"")"),"A recommendation system and method of a personalized fitness course")</f>
        <v>A recommendation system and method of a personalized fitness course</v>
      </c>
    </row>
    <row r="58" spans="1:5" ht="15" x14ac:dyDescent="0.25">
      <c r="A58" s="5" t="s">
        <v>169</v>
      </c>
      <c r="B58" s="6" t="s">
        <v>170</v>
      </c>
      <c r="C58" s="3" t="str">
        <f ca="1">IFERROR(__xludf.DUMMYFUNCTION("GOOGLETRANSLATE(B58,""auto"",""en"")"),"The patent public content covers the prediction system and method of using the T20 cricket results of ML. 20 20 crickets, abbreviated as T20, is the abbreviation of crickets. In the Twenty20 game, the two teams have 11 players each, each with one game, up"&amp;" to 20 rounds. Sports analysis is undergoing a lot of work, but the analysis of crickets is very small or at all. The project aims to use machine learning methods to make various predictions on the results of cricket games and players' personal scores. We"&amp;" have proved that using machine learning for cricket prediction is more important than random guess made by people. It sounds like magic in the future. Whether it is to detect the intention of buying potential customers in advance, or to figure out the tr"&amp;"end of stock prices. If we can reliably predict the future of something, then we have a huge advantage. The impact features of datasets have been identified using filters -based methods, including correlation -based feature selection, information gain (IG"&amp;"), relief and packaging. More importantly, you can use simple Bayes, random forests, K nearest neighbors (KNN), and model trees (through regression classification) and other machine learning technologies to generate unique features to generate prediction "&amp;"models from the filter -based method.")</f>
        <v>The patent public content covers the prediction system and method of using the T20 cricket results of ML. 20 20 crickets, abbreviated as T20, is the abbreviation of crickets. In the Twenty20 game, the two teams have 11 players each, each with one game, up to 20 rounds. Sports analysis is undergoing a lot of work, but the analysis of crickets is very small or at all. The project aims to use machine learning methods to make various predictions on the results of cricket games and players' personal scores. We have proved that using machine learning for cricket prediction is more important than random guess made by people. It sounds like magic in the future. Whether it is to detect the intention of buying potential customers in advance, or to figure out the trend of stock prices. If we can reliably predict the future of something, then we have a huge advantage. The impact features of datasets have been identified using filters -based methods, including correlation -based feature selection, information gain (IG), relief and packaging. More importantly, you can use simple Bayes, random forests, K nearest neighbors (KNN), and model trees (through regression classification) and other machine learning technologies to generate unique features to generate prediction models from the filter -based method.</v>
      </c>
      <c r="D58" s="6" t="s">
        <v>171</v>
      </c>
      <c r="E58" s="4" t="str">
        <f ca="1">IFERROR(__xludf.DUMMYFUNCTION("GOOGLETRANSLATE(D58,""auto"",""en"")"),"Use machine learning to perform the system and method prediction of T20 cricket game results")</f>
        <v>Use machine learning to perform the system and method prediction of T20 cricket game results</v>
      </c>
    </row>
    <row r="59" spans="1:5" ht="15" x14ac:dyDescent="0.25">
      <c r="A59" s="5" t="s">
        <v>172</v>
      </c>
      <c r="B59" s="6" t="s">
        <v>173</v>
      </c>
      <c r="C59" s="3" t="str">
        <f ca="1">IFERROR(__xludf.DUMMYFUNCTION("GOOGLETRANSLATE(B59,""auto"",""en"")"),"Our life is increasingly relying on the ""implantation framework"", that is, the cutting -edge data technology that has been integrated into our contemporary environment. The implantation framework is a complex of computer hardware and software, which con"&amp;"stitutes a component of the electronic equipment we use every day. We all agree that a healthy life is a basic human rights, and the World Health Organization has used this as its primary mission. Therefore, personal use of the current healthcare system t"&amp;"o maintain health and fitness is essential. The clinical company is experiencing two or three factors to promote market expansion and innovation. People, especially the infant tide generation, are taking care of them better, and need to check their health"&amp;" at home. This promotes the demand for more intelligent and networking equipment, which can monitor the treatment effects of high blood pressure, diabetes and asthma. Power management is essential for maintaining these equipment efficiently. In addition t"&amp;"o internal batteries and power, the power management in medical equipment also includes integrated semiconductor solutions, which supports energy management from various applications such as high -power imaging systems to portable and implanted equipment.")</f>
        <v>Our life is increasingly relying on the "implantation framework", that is, the cutting -edge data technology that has been integrated into our contemporary environment. The implantation framework is a complex of computer hardware and software, which constitutes a component of the electronic equipment we use every day. We all agree that a healthy life is a basic human rights, and the World Health Organization has used this as its primary mission. Therefore, personal use of the current healthcare system to maintain health and fitness is essential. The clinical company is experiencing two or three factors to promote market expansion and innovation. People, especially the infant tide generation, are taking care of them better, and need to check their health at home. This promotes the demand for more intelligent and networking equipment, which can monitor the treatment effects of high blood pressure, diabetes and asthma. Power management is essential for maintaining these equipment efficiently. In addition to internal batteries and power, the power management in medical equipment also includes integrated semiconductor solutions, which supports energy management from various applications such as high -power imaging systems to portable and implanted equipment.</v>
      </c>
      <c r="D59" s="6" t="s">
        <v>174</v>
      </c>
      <c r="E59" s="4" t="str">
        <f ca="1">IFERROR(__xludf.DUMMYFUNCTION("GOOGLETRANSLATE(D59,""auto"",""en"")"),"Monitor and control through the IoT monitoring and control based on embedded medical equipment")</f>
        <v>Monitor and control through the IoT monitoring and control based on embedded medical equipment</v>
      </c>
    </row>
    <row r="60" spans="1:5" ht="15" x14ac:dyDescent="0.25">
      <c r="A60" s="5" t="s">
        <v>175</v>
      </c>
      <c r="B60" s="6" t="s">
        <v>176</v>
      </c>
      <c r="C60" s="3" t="str">
        <f ca="1">IFERROR(__xludf.DUMMYFUNCTION("GOOGLETRANSLATE(B60,""auto"",""en"")"),"The present invention disclosed a method of physical medical data fusion privacy protection method based on the vertical learning of the cloud -fog architecture. It aims to solve the independence and privacy of the data of sports guidance centers and hosp"&amp;"ital data in cloud -fog architecture research. The method of the present invention uses differential privacy technology to protect the privacy of data and models, and use the central server to converge model parameters, thereby avoiding the risk of data l"&amp;"eakage and model privacy. The method is divided into three stages: (1) data pre -processing phase, selected related features from the data concentration of the sports guidance center and the hospital; Mechanical encrypted individual data, transmits the pr"&amp;"ocessed data to the central server for model training, and finally generates a global model of sharing; (3) the application model prediction phase, use the model obtained by the joint modeling for fitness and health guidance, disease prediction and diseas"&amp;"e prediction and disease prediction. Decisions to improve the accuracy of forecasting.")</f>
        <v>The present invention disclosed a method of physical medical data fusion privacy protection method based on the vertical learning of the cloud -fog architecture. It aims to solve the independence and privacy of the data of sports guidance centers and hospital data in cloud -fog architecture research. The method of the present invention uses differential privacy technology to protect the privacy of data and models, and use the central server to converge model parameters, thereby avoiding the risk of data leakage and model privacy. The method is divided into three stages: (1) data pre -processing phase, selected related features from the data concentration of the sports guidance center and the hospital; Mechanical encrypted individual data, transmits the processed data to the central server for model training, and finally generates a global model of sharing; (3) the application model prediction phase, use the model obtained by the joint modeling for fitness and health guidance, disease prediction and disease prediction and disease prediction. Decisions to improve the accuracy of forecasting.</v>
      </c>
      <c r="D60" s="6" t="s">
        <v>177</v>
      </c>
      <c r="E60" s="4" t="str">
        <f ca="1">IFERROR(__xludf.DUMMYFUNCTION("GOOGLETRANSLATE(D60,""auto"",""en"")"),"Physical medical data fusion privacy protection method based on the cloud -fog architecture vertical federal learning")</f>
        <v>Physical medical data fusion privacy protection method based on the cloud -fog architecture vertical federal learning</v>
      </c>
    </row>
    <row r="61" spans="1:5" ht="15" x14ac:dyDescent="0.25">
      <c r="A61" s="5" t="s">
        <v>178</v>
      </c>
      <c r="B61" s="6" t="s">
        <v>179</v>
      </c>
      <c r="C61" s="3" t="str">
        <f ca="1">IFERROR(__xludf.DUMMYFUNCTION("GOOGLETRANSLATE(B61,""auto"",""en"")"),"The present invention is a sports operation field. It involves data analysis technology and is used to solve the interactive sports operation management system in existing technologies. Sports operation management system, including the operation managemen"&amp;"t platform, the communication management platform communication connects regional management modules, cyclical management modules, optimized analysis modules, and storage modules. Regional management modules are used to conduct regional management analysi"&amp;"s of interactive sports museums: interaction will interact The sports area of ​​the sports stadium is divided into several management areas, generating the management cycle, and obtaining the noise data, frequency frequency data, and amplitude data of the"&amp;" management area during the management cycle; And through regional segmentation methods, in the active state of users, it may affect other users to make timely reminders to improve the overall user experience.")</f>
        <v>The present invention is a sports operation field. It involves data analysis technology and is used to solve the interactive sports operation management system in existing technologies. Sports operation management system, including the operation management platform, the communication management platform communication connects regional management modules, cyclical management modules, optimized analysis modules, and storage modules. Regional management modules are used to conduct regional management analysis of interactive sports museums: interaction will interact The sports area of ​​the sports stadium is divided into several management areas, generating the management cycle, and obtaining the noise data, frequency frequency data, and amplitude data of the management area during the management cycle; And through regional segmentation methods, in the active state of users, it may affect other users to make timely reminders to improve the overall user experience.</v>
      </c>
      <c r="D61" s="6" t="s">
        <v>180</v>
      </c>
      <c r="E61" s="4" t="str">
        <f ca="1">IFERROR(__xludf.DUMMYFUNCTION("GOOGLETRANSLATE(D61,""auto"",""en"")"),"An interactive sports operation management system based on artificial intelligence")</f>
        <v>An interactive sports operation management system based on artificial intelligence</v>
      </c>
    </row>
    <row r="62" spans="1:5" ht="15" x14ac:dyDescent="0.25">
      <c r="A62" s="5" t="s">
        <v>181</v>
      </c>
      <c r="B62" s="6" t="s">
        <v>182</v>
      </c>
      <c r="C62" s="3" t="str">
        <f ca="1">IFERROR(__xludf.DUMMYFUNCTION("GOOGLETRANSLATE(B62,""auto"",""en"")"),"A ball machine, including the imaging system and processor used to capture image data. The processor is configured as frames for image data. Use neural network analysis image data to detect multiple people and determine the coordinates on the surface of e"&amp;"ach person's game. Location. Extract the characteristics of each person in multiple detected people, generate the first feature vector of the first group of people corresponding to multiple detected people, and associate the first feature vector to the co"&amp;"ordinate position on the game countertop of the first detected person. Eliminate the first unique identifier, and associate the second feature vector with the coordinate position on the coordinate position on the game venue of the person who is detected t"&amp;"o generate the second unique identifier, and control the serving machine based on The first settings to launch the ball identifier and the second settings corresponding to the second unique identifier.")</f>
        <v>A ball machine, including the imaging system and processor used to capture image data. The processor is configured as frames for image data. Use neural network analysis image data to detect multiple people and determine the coordinates on the surface of each person's game. Location. Extract the characteristics of each person in multiple detected people, generate the first feature vector of the first group of people corresponding to multiple detected people, and associate the first feature vector to the coordinate position on the game countertop of the first detected person. Eliminate the first unique identifier, and associate the second feature vector with the coordinate position on the coordinate position on the game venue of the person who is detected to generate the second unique identifier, and control the serving machine based on The first settings to launch the ball identifier and the second settings corresponding to the second unique identifier.</v>
      </c>
      <c r="D62" s="6" t="s">
        <v>183</v>
      </c>
      <c r="E62" s="4" t="str">
        <f ca="1">IFERROR(__xludf.DUMMYFUNCTION("GOOGLETRANSLATE(D62,""auto"",""en"")"),"Use player recognition and player tracking automatic goal machine device")</f>
        <v>Use player recognition and player tracking automatic goal machine device</v>
      </c>
    </row>
    <row r="63" spans="1:5" ht="15" x14ac:dyDescent="0.25">
      <c r="A63" s="5" t="s">
        <v>184</v>
      </c>
      <c r="B63" s="6" t="s">
        <v>185</v>
      </c>
      <c r="C63" s="3" t="str">
        <f ca="1">IFERROR(__xludf.DUMMYFUNCTION("GOOGLETRANSLATE(B63,""auto"",""en"")"),"The present invention involves deep learning technology fields, and a sports training system based on big data and deep learning has been disclosed, including: image feature extraction module, which is used to generate limb dependence on the CNN model; fe"&amp;"ature conversion module, which is used to rely on CNN to rely on CNN to rely on CNN The output of the model perform vectorization; the characteristic input module, the result of the vectorization of the first convolutional space of each limb corresponding"&amp;" to the first convolution space of each limb is sorted and generates the sequence data according to time; The corresponding sequence data corresponds to the input GMM‑HMM model, and the output hidden state; the present invention considers the human moveme"&amp;"nt characteristics of human body movements and infrared image characteristics of general image characteristics, to decompose the body's limbs, and then introduce the characteristics of motion characteristics to comprehensively introduce the characteristic"&amp;"s of motion characteristics For comprehensive convolution, the comprehensive movement characteristics obtained by convolutional accumulation are based on the HMM model to express the state of force, and the auxiliary visualization can achieve the guidance"&amp;" of the student's pull -up motion.")</f>
        <v>The present invention involves deep learning technology fields, and a sports training system based on big data and deep learning has been disclosed, including: image feature extraction module, which is used to generate limb dependence on the CNN model; feature conversion module, which is used to rely on CNN to rely on CNN to rely on CNN The output of the model perform vectorization; the characteristic input module, the result of the vectorization of the first convolutional space of each limb corresponding to the first convolution space of each limb is sorted and generates the sequence data according to time; The corresponding sequence data corresponds to the input GMM‑HMM model, and the output hidden state; the present invention considers the human movement characteristics of human body movements and infrared image characteristics of general image characteristics, to decompose the body's limbs, and then introduce the characteristics of motion characteristics to comprehensively introduce the characteristics of motion characteristics For comprehensive convolution, the comprehensive movement characteristics obtained by convolutional accumulation are based on the HMM model to express the state of force, and the auxiliary visualization can achieve the guidance of the student's pull -up motion.</v>
      </c>
      <c r="D63" s="6" t="s">
        <v>186</v>
      </c>
      <c r="E63" s="4" t="str">
        <f ca="1">IFERROR(__xludf.DUMMYFUNCTION("GOOGLETRANSLATE(D63,""auto"",""en"")"),"A sports training system and method based on big data and deep learning")</f>
        <v>A sports training system and method based on big data and deep learning</v>
      </c>
    </row>
    <row r="64" spans="1:5" ht="15" x14ac:dyDescent="0.25">
      <c r="A64" s="5" t="s">
        <v>187</v>
      </c>
      <c r="B64" s="6" t="s">
        <v>188</v>
      </c>
      <c r="C64" s="3" t="str">
        <f ca="1">IFERROR(__xludf.DUMMYFUNCTION("GOOGLETRANSLATE(B64,""auto"",""en"")"),"The present invention involves the technical field of intelligent fitness sports. More specifically, the present invention provides an artificial intelligence -based rope -based automatic counting method, including the following steps: S1: Collect real -t"&amp;"ime video information through video data collection equipment, video information pass through Show the screen of the device; S2: capture the face of the person in the video. After determining the person who needs to be tested according to the captured fac"&amp;"e information, the key point of the human posture information of the testers is identified. And shoulder; and collect the location information of the key point of the human posture information of the testers in real time; it can be determined by the teste"&amp;"r through the fixed point of the ankle position, and then the testers collect the testers on the shoulders of the tester during the skipping process of the rope skipping process. Y &amp; lt; subgt; 2 &amp; lt;/subgt; change to automatically count the rope skippin"&amp;"g counting, solving the problem of counting errors caused by counting personnel fatigue by counting rope jump counting.")</f>
        <v>The present invention involves the technical field of intelligent fitness sports. More specifically, the present invention provides an artificial intelligence -based rope -based automatic counting method, including the following steps: S1: Collect real -time video information through video data collection equipment, video information pass through Show the screen of the device; S2: capture the face of the person in the video. After determining the person who needs to be tested according to the captured face information, the key point of the human posture information of the testers is identified. And shoulder; and collect the location information of the key point of the human posture information of the testers in real time; it can be determined by the tester through the fixed point of the ankle position, and then the testers collect the testers on the shoulders of the tester during the skipping process of the rope skipping process. Y &amp; lt; subgt; 2 &amp; lt;/subgt; change to automatically count the rope skipping counting, solving the problem of counting errors caused by counting personnel fatigue by counting rope jump counting.</v>
      </c>
      <c r="D64" s="6" t="s">
        <v>189</v>
      </c>
      <c r="E64" s="4" t="str">
        <f ca="1">IFERROR(__xludf.DUMMYFUNCTION("GOOGLETRANSLATE(D64,""auto"",""en"")"),"An automatic counting method based on artificial intelligence -based rope")</f>
        <v>An automatic counting method based on artificial intelligence -based rope</v>
      </c>
    </row>
    <row r="65" spans="1:5" ht="15" x14ac:dyDescent="0.25">
      <c r="A65" s="5" t="s">
        <v>190</v>
      </c>
      <c r="B65" s="6" t="s">
        <v>191</v>
      </c>
      <c r="C65" s="3" t="str">
        <f ca="1">IFERROR(__xludf.DUMMYFUNCTION("GOOGLETRANSLATE(B65,""auto"",""en"")"),"The present invention disclosed a sports training evaluation system and methods based on artificial intelligence. The system includes: information acquisition module, information storage module, artificial intelligence assessment module and results output"&amp;" module. The basic information and the image information of the sports project; the information storage module is used to store the basic information of students, the standard action, standard action analysis and scoring rules of various sports projects; "&amp;"the artificial intelligence evaluation module is used to treat Evaluation students complete the image information of sports projects for processing and analysis, and combine the standard actions and scoring rules in the information storage module to score"&amp;" the evaluation students to complete the sports program and get the scoring results; the result output module is used to output the scoring results. The system can conduct a guest observation evaluation of students' sports projects and get the results of "&amp;"the evaluation.")</f>
        <v>The present invention disclosed a sports training evaluation system and methods based on artificial intelligence. The system includes: information acquisition module, information storage module, artificial intelligence assessment module and results output module. The basic information and the image information of the sports project; the information storage module is used to store the basic information of students, the standard action, standard action analysis and scoring rules of various sports projects; the artificial intelligence evaluation module is used to treat Evaluation students complete the image information of sports projects for processing and analysis, and combine the standard actions and scoring rules in the information storage module to score the evaluation students to complete the sports program and get the scoring results; the result output module is used to output the scoring results. The system can conduct a guest observation evaluation of students' sports projects and get the results of the evaluation.</v>
      </c>
      <c r="D65" s="6" t="s">
        <v>192</v>
      </c>
      <c r="E65" s="4" t="str">
        <f ca="1">IFERROR(__xludf.DUMMYFUNCTION("GOOGLETRANSLATE(D65,""auto"",""en"")"),"An artificial intelligence -based student sports training evaluation system and method")</f>
        <v>An artificial intelligence -based student sports training evaluation system and method</v>
      </c>
    </row>
    <row r="66" spans="1:5" ht="15" x14ac:dyDescent="0.25">
      <c r="A66" s="5" t="s">
        <v>193</v>
      </c>
      <c r="B66" s="6" t="s">
        <v>194</v>
      </c>
      <c r="C66" s="3" t="str">
        <f ca="1">IFERROR(__xludf.DUMMYFUNCTION("GOOGLETRANSLATE(B66,""auto"",""en"")"),"The present invention is a cross technology field such as computer vision, image processing, and group behavior recognition. The volleyball game group behavior recognition method that integrates space -time information in a lack of frame -missing environm"&amp;"ent is disclosed. This method uses VGG16 network processing input volleyball video frame sequence to obtain global feature Then enter the feature vector and individual border to the Roialign layer to obtain individual characteristics, enter the individual"&amp;" characteristics into the reasoning network of the initial group and individual space -time interaction characteristics, to obtain the original characteristics, enter the original characteristics to the TRANSFORMER module for time and space interactive in"&amp;"formation Modeling, effectively improves the complexity of the discontinuous feature transition through the reasoning network module processing. The invention can complete the overall modeling of time and space dependency, reduce the impact of lack of fra"&amp;"mes, capture the complex interactive relationship of individuals, and effectively improve the ability to recognize the behavior of volleyball game groups.")</f>
        <v>The present invention is a cross technology field such as computer vision, image processing, and group behavior recognition. The volleyball game group behavior recognition method that integrates space -time information in a lack of frame -missing environment is disclosed. This method uses VGG16 network processing input volleyball video frame sequence to obtain global feature Then enter the feature vector and individual border to the Roialign layer to obtain individual characteristics, enter the individual characteristics into the reasoning network of the initial group and individual space -time interaction characteristics, to obtain the original characteristics, enter the original characteristics to the TRANSFORMER module for time and space interactive information Modeling, effectively improves the complexity of the discontinuous feature transition through the reasoning network module processing. The invention can complete the overall modeling of time and space dependency, reduce the impact of lack of frames, capture the complex interactive relationship of individuals, and effectively improve the ability to recognize the behavior of volleyball game groups.</v>
      </c>
      <c r="D66" s="6" t="s">
        <v>195</v>
      </c>
      <c r="E66" s="4" t="str">
        <f ca="1">IFERROR(__xludf.DUMMYFUNCTION("GOOGLETRANSLATE(D66,""auto"",""en"")"),"A volleyball game group behavioral recognition method with a volleyball game with time and space information in a frameless environment")</f>
        <v>A volleyball game group behavioral recognition method with a volleyball game with time and space information in a frameless environment</v>
      </c>
    </row>
    <row r="67" spans="1:5" ht="15" x14ac:dyDescent="0.25">
      <c r="A67" s="5" t="s">
        <v>196</v>
      </c>
      <c r="B67" s="6" t="s">
        <v>197</v>
      </c>
      <c r="C67" s="3" t="str">
        <f ca="1">IFERROR(__xludf.DUMMYFUNCTION("GOOGLETRANSLATE(B67,""auto"",""en"")"),"The present invention provides step -by -step recognition methods, systems, equipment and media based on pre -training and door control neural networks, pre -processing through data in the data segment of the target, and labeling in accordance with the pr"&amp;"eset language; Delivery and splitting of difficult sentences; build an automatic recognition model based on ERNIE_AT‑GRU steps; enter the ERNIE_AT‑GRU model training after split Results; step -by -step recognition methods based on pre -training models and"&amp;" door control neural networks, using ERNIE pre -training models combined with large -scale text content and knowledge maps to learn the deep semantics of text, which improves the deep semantics of traditional machine learning The disadvantages of the inte"&amp;"rnal relationships and characteristics between words, compared with existing technology, the invention effectively extracts the important part of classification in text, so the model is more streamlined and efficient.")</f>
        <v>The present invention provides step -by -step recognition methods, systems, equipment and media based on pre -training and door control neural networks, pre -processing through data in the data segment of the target, and labeling in accordance with the preset language; Delivery and splitting of difficult sentences; build an automatic recognition model based on ERNIE_AT‑GRU steps; enter the ERNIE_AT‑GRU model training after split Results; step -by -step recognition methods based on pre -training models and door control neural networks, using ERNIE pre -training models combined with large -scale text content and knowledge maps to learn the deep semantics of text, which improves the deep semantics of traditional machine learning The disadvantages of the internal relationships and characteristics between words, compared with existing technology, the invention effectively extracts the important part of classification in text, so the model is more streamlined and efficient.</v>
      </c>
      <c r="D67" s="6" t="s">
        <v>198</v>
      </c>
      <c r="E67" s="4" t="str">
        <f ca="1">IFERROR(__xludf.DUMMYFUNCTION("GOOGLETRANSLATE(D67,""auto"",""en"")"),"Step recognition methods, systems, equipment and media based on pre -training and door control neural networks")</f>
        <v>Step recognition methods, systems, equipment and media based on pre -training and door control neural networks</v>
      </c>
    </row>
    <row r="68" spans="1:5" ht="15" x14ac:dyDescent="0.25">
      <c r="A68" s="5" t="s">
        <v>199</v>
      </c>
      <c r="B68" s="6" t="s">
        <v>200</v>
      </c>
      <c r="C68" s="3" t="str">
        <f ca="1">IFERROR(__xludf.DUMMYFUNCTION("GOOGLETRANSLATE(B68,""auto"",""en"")"),"The present invention proposes a method of implementing a virtual reality of curling motion. The invention establishes a model of the relationship between the relationship between the relationship between the curling throwing action and the initial state "&amp;"of the curling of the curling based on the force feedback and action capture technology. In real time in the virtual space based on the friction model The model of the virtual space ice brush motion to the changes in the state of the curling state is base"&amp;"d on the multi -body collision model to predict the location distribution of the curling ball. Finally Essence The method of setting up the virtual reality system of the virtual reality system of curling competition for curling motion modeling can be used"&amp;" in real time to estimate the status and falling point distribution of the curling ball in real time to achieve multiplayer/human -machine interactive curling competition in the virtual reality environment. Provide conditions for the popular promotion of "&amp;"curling.")</f>
        <v>The present invention proposes a method of implementing a virtual reality of curling motion. The invention establishes a model of the relationship between the relationship between the relationship between the curling throwing action and the initial state of the curling of the curling based on the force feedback and action capture technology. In real time in the virtual space based on the friction model The model of the virtual space ice brush motion to the changes in the state of the curling state is based on the multi -body collision model to predict the location distribution of the curling ball. Finally Essence The method of setting up the virtual reality system of the virtual reality system of curling competition for curling motion modeling can be used in real time to estimate the status and falling point distribution of the curling ball in real time to achieve multiplayer/human -machine interactive curling competition in the virtual reality environment. Provide conditions for the popular promotion of curling.</v>
      </c>
      <c r="D68" s="6" t="s">
        <v>201</v>
      </c>
      <c r="E68" s="4" t="str">
        <f ca="1">IFERROR(__xludf.DUMMYFUNCTION("GOOGLETRANSLATE(D68,""auto"",""en"")"),"A method of implementing a curling sports virtual reality competition")</f>
        <v>A method of implementing a curling sports virtual reality competition</v>
      </c>
    </row>
    <row r="69" spans="1:5" ht="15" x14ac:dyDescent="0.25">
      <c r="A69" s="5" t="s">
        <v>202</v>
      </c>
      <c r="B69" s="6" t="s">
        <v>203</v>
      </c>
      <c r="C69" s="3" t="str">
        <f ca="1">IFERROR(__xludf.DUMMYFUNCTION("GOOGLETRANSLATE(B69,""auto"",""en"")"),"The IoT -based intelligent archery automation scoring system This project aims to ensure that the scoring is fair and accurate by reducing man -made mistakes, and improve the scoring process of archery competitions. The current evaluation process has not "&amp;"changed for decades, which can greatly affect the athletes. In order to achieve this goal, a specially designed framework will be placed on the top of the target board, with sensors on each side to collect data at the hit point. The collected data will be"&amp;" processed by the software. The software will allocate scores and provide users with viewing windows. The results of the project will be a digital scoring system that can reduce human errors and improve accuracy, thereby providing a more fair and transpar"&amp;"ent evaluation process for archery.")</f>
        <v>The IoT -based intelligent archery automation scoring system This project aims to ensure that the scoring is fair and accurate by reducing man -made mistakes, and improve the scoring process of archery competitions. The current evaluation process has not changed for decades, which can greatly affect the athletes. In order to achieve this goal, a specially designed framework will be placed on the top of the target board, with sensors on each side to collect data at the hit point. The collected data will be processed by the software. The software will allocate scores and provide users with viewing windows. The results of the project will be a digital scoring system that can reduce human errors and improve accuracy, thereby providing a more fair and transparent evaluation process for archery.</v>
      </c>
      <c r="D69" s="6" t="s">
        <v>204</v>
      </c>
      <c r="E69" s="4" t="str">
        <f ca="1">IFERROR(__xludf.DUMMYFUNCTION("GOOGLETRANSLATE(D69,""auto"",""en"")"),"Intelligent archery automation scoring system based on the Internet of Things")</f>
        <v>Intelligent archery automation scoring system based on the Internet of Things</v>
      </c>
    </row>
    <row r="70" spans="1:5" ht="15" x14ac:dyDescent="0.25">
      <c r="A70" s="5" t="s">
        <v>205</v>
      </c>
      <c r="B70" s="6" t="s">
        <v>206</v>
      </c>
      <c r="C70" s="3" t="str">
        <f ca="1">IFERROR(__xludf.DUMMYFUNCTION("GOOGLETRANSLATE(B70,""auto"",""en"")"),"The invention provides an e -racing management system based on image recognition, including e -racing terminals, player control terminals, full process monitoring terminals, image recognition terminals and referee management terminals; Control the e -spor"&amp;"ts cars in the e -racing racing competition; the full process monitoring terminal of the game is used to generate preparatory process monitoring information, monitoring information and post -match process monitoring information during the competition; Pro"&amp;"cess monitoring information, monitoring information during the competition, and post -match process monitoring information for image recognition and analysis, generate information and analysis information and post -match process analysis information durin"&amp;"g the competition; Analysis of information and analysis of information during the competition and the after -the -game analysis information is made to make corresponding management operations. The present invention has the effect of improving the quality "&amp;"of racing management of e -cars.")</f>
        <v>The invention provides an e -racing management system based on image recognition, including e -racing terminals, player control terminals, full process monitoring terminals, image recognition terminals and referee management terminals; Control the e -sports cars in the e -racing racing competition; the full process monitoring terminal of the game is used to generate preparatory process monitoring information, monitoring information and post -match process monitoring information during the competition; Process monitoring information, monitoring information during the competition, and post -match process monitoring information for image recognition and analysis, generate information and analysis information and post -match process analysis information during the competition; Analysis of information and analysis of information during the competition and the after -the -game analysis information is made to make corresponding management operations. The present invention has the effect of improving the quality of racing management of e -cars.</v>
      </c>
      <c r="D70" s="6" t="s">
        <v>207</v>
      </c>
      <c r="E70" s="4" t="str">
        <f ca="1">IFERROR(__xludf.DUMMYFUNCTION("GOOGLETRANSLATE(D70,""auto"",""en"")"),"A racing management system based on image recognition")</f>
        <v>A racing management system based on image recognition</v>
      </c>
    </row>
    <row r="71" spans="1:5" ht="15" x14ac:dyDescent="0.25">
      <c r="A71" s="5" t="s">
        <v>208</v>
      </c>
      <c r="B71" s="6" t="s">
        <v>209</v>
      </c>
      <c r="C71" s="3" t="str">
        <f ca="1">IFERROR(__xludf.DUMMYFUNCTION("GOOGLETRANSLATE(B71,""auto"",""en"")"),"The invention provides a method and system for tracking trajectory tracking of table tennis rackets. The key point information of the human body, calculate the distance from the racket position obtained in each video frame to the key point of a specific h"&amp;"uman body, screen the wrong racket position, and then use the human key point information to analyze the video according to the racket movement as a forward wave frame and The remaining action frames use the lack of time sequence prediction model and inte"&amp;"rpolation method based on deep learning, respectively, and the two types of video frames are used to merge the two types of video frames to obtain a complete table tennis racket movement trajectory. This method can overcome the problem such as the detecti"&amp;"on rate and the low recall rate of the single target detection algorithm, the poor effect of the single interpolation method, the single use time sequence prediction model, the single use of the single training data, so as to accurately track the motion t"&amp;"rajectory of the table tennis racket.")</f>
        <v>The invention provides a method and system for tracking trajectory tracking of table tennis rackets. The key point information of the human body, calculate the distance from the racket position obtained in each video frame to the key point of a specific human body, screen the wrong racket position, and then use the human key point information to analyze the video according to the racket movement as a forward wave frame and The remaining action frames use the lack of time sequence prediction model and interpolation method based on deep learning, respectively, and the two types of video frames are used to merge the two types of video frames to obtain a complete table tennis racket movement trajectory. This method can overcome the problem such as the detection rate and the low recall rate of the single target detection algorithm, the poor effect of the single interpolation method, the single use time sequence prediction model, the single use of the single training data, so as to accurately track the motion trajectory of the table tennis racket.</v>
      </c>
      <c r="D71" s="6" t="s">
        <v>210</v>
      </c>
      <c r="E71" s="4" t="str">
        <f ca="1">IFERROR(__xludf.DUMMYFUNCTION("GOOGLETRANSLATE(D71,""auto"",""en"")"),"A method and system of a table tennis racket sports trajectory tracking")</f>
        <v>A method and system of a table tennis racket sports trajectory tracking</v>
      </c>
    </row>
    <row r="72" spans="1:5" ht="15" x14ac:dyDescent="0.25">
      <c r="A72" s="5" t="s">
        <v>211</v>
      </c>
      <c r="B72" s="6" t="s">
        <v>212</v>
      </c>
      <c r="C72" s="3" t="str">
        <f ca="1">IFERROR(__xludf.DUMMYFUNCTION("GOOGLETRANSLATE(B72,""auto"",""en"")"),"The present invention disclosed a remote five -proof electromagnetic lock of the Internet of Things, including the lock body, which is fixed on the top of the lock body with indicator lights. The bottom of the indicator light is set to be the NFC signal a"&amp;"rea, and there are two at the bottom of the NFC signal area. In the dimension scanning area, the right side of the installation area is connected to a spring lock tongue, the top of the right side of the lock body is connected to a cover, the inner cavity"&amp;" of the limited block is fixed with the data cable. The wire roller, the top of the top right side of the lock body is fixed with a locking component, and the middle activity of the locking component is connected with a handle. A remote five -proof electr"&amp;"omagnetic lock described in the invention of the present invention. This five -defense electromagnetic locks can be monitored in the state in real time in the switch lock background. You can use WIFE, mobile APP, 5G network, mobile phone, bracelet, key to"&amp;" switch locks The function of the overall operation is efficient, fast, safe and reliable. At the same time, there are five defense functions, switching background remote gimbal monitoring and switching lock status.")</f>
        <v>The present invention disclosed a remote five -proof electromagnetic lock of the Internet of Things, including the lock body, which is fixed on the top of the lock body with indicator lights. The bottom of the indicator light is set to be the NFC signal area, and there are two at the bottom of the NFC signal area. In the dimension scanning area, the right side of the installation area is connected to a spring lock tongue, the top of the right side of the lock body is connected to a cover, the inner cavity of the limited block is fixed with the data cable. The wire roller, the top of the top right side of the lock body is fixed with a locking component, and the middle activity of the locking component is connected with a handle. A remote five -proof electromagnetic lock described in the invention of the present invention. This five -defense electromagnetic locks can be monitored in the state in real time in the switch lock background. You can use WIFE, mobile APP, 5G network, mobile phone, bracelet, key to switch locks The function of the overall operation is efficient, fast, safe and reliable. At the same time, there are five defense functions, switching background remote gimbal monitoring and switching lock status.</v>
      </c>
      <c r="D72" s="6" t="s">
        <v>213</v>
      </c>
      <c r="E72" s="4" t="str">
        <f ca="1">IFERROR(__xludf.DUMMYFUNCTION("GOOGLETRANSLATE(D72,""auto"",""en"")"),"A remote five -proof electromagnetic lock of the Internet of Things")</f>
        <v>A remote five -proof electromagnetic lock of the Internet of Things</v>
      </c>
    </row>
    <row r="73" spans="1:5" ht="15" x14ac:dyDescent="0.25">
      <c r="A73" s="5" t="s">
        <v>214</v>
      </c>
      <c r="B73" s="6" t="s">
        <v>215</v>
      </c>
      <c r="C73" s="3" t="str">
        <f ca="1">IFERROR(__xludf.DUMMYFUNCTION("GOOGLETRANSLATE(B73,""auto"",""en"")"),"The present invention is a field of computer vision and video action recognition. A sports video action recognition method based on action particle size grouping structure is disclosed. Space -time modeling and information fusion mechanism. The steps are "&amp;"as follows: video drawing frames, random frame sampling segments, pre -processing video frames, selecting backbone networks, inserting action particle size group modules in the backbone network to achieve multi -scale space -time feature aggregation. Cros"&amp;"s entropy loss trains, training and verification of the action category. By using the present invention to effectively extract multi -scale action information, it is suitable for sports video action recognition that contains multi -level categories, and s"&amp;"ignificantly improves the accuracy of sports video action recognition. The invention, as a sports video action recognition method based on action particle size grouping structure, can be widely used in the field of sports video action recognition.")</f>
        <v>The present invention is a field of computer vision and video action recognition. A sports video action recognition method based on action particle size grouping structure is disclosed. Space -time modeling and information fusion mechanism. The steps are as follows: video drawing frames, random frame sampling segments, pre -processing video frames, selecting backbone networks, inserting action particle size group modules in the backbone network to achieve multi -scale space -time feature aggregation. Cross entropy loss trains, training and verification of the action category. By using the present invention to effectively extract multi -scale action information, it is suitable for sports video action recognition that contains multi -level categories, and significantly improves the accuracy of sports video action recognition. The invention, as a sports video action recognition method based on action particle size grouping structure, can be widely used in the field of sports video action recognition.</v>
      </c>
      <c r="D73" s="6" t="s">
        <v>216</v>
      </c>
      <c r="E73" s="4" t="str">
        <f ca="1">IFERROR(__xludf.DUMMYFUNCTION("GOOGLETRANSLATE(D73,""auto"",""en"")"),"A sports video action recognition method based on action particle size grouping structure")</f>
        <v>A sports video action recognition method based on action particle size grouping structure</v>
      </c>
    </row>
    <row r="74" spans="1:5" ht="15" x14ac:dyDescent="0.25">
      <c r="A74" s="5" t="s">
        <v>217</v>
      </c>
      <c r="B74" s="6" t="s">
        <v>218</v>
      </c>
      <c r="C74" s="3" t="str">
        <f ca="1">IFERROR(__xludf.DUMMYFUNCTION("GOOGLETRANSLATE(B74,""auto"",""en"")"),"The present invention provides a human temperature data fitting method based on cluster algorithms and neural networks, including: step S1, in the preset period, continuously collects real -time temperature data when running on the treadmill; Step S2, div"&amp;"ide the preset period into multiple child time periods. For each child time period, statistics obtain the real -time temperature data in the child time period as a cluster data set corresponding to the child time period; step S3, for each cluster, for eac"&amp;"h cluster Class dataset, the cluster processing of the real -time temperature data in the cluster dataset to obtain the corresponding cluster center point; step S4, for each experiment, the corresponding centers and clusters of the clusters corresponding "&amp;"to each cluster center point correspond to each experiment. The child time period is input to the pre -constructed neural network model to obtain the corresponding human temperature data fitting curve. The beneficial effect is that the invention can take "&amp;"out the cluster center point and the curve fitting through the cluster algorithm and the neural network, which can effectively reduce the error.")</f>
        <v>The present invention provides a human temperature data fitting method based on cluster algorithms and neural networks, including: step S1, in the preset period, continuously collects real -time temperature data when running on the treadmill; Step S2, divide the preset period into multiple child time periods. For each child time period, statistics obtain the real -time temperature data in the child time period as a cluster data set corresponding to the child time period; step S3, for each cluster, for each cluster Class dataset, the cluster processing of the real -time temperature data in the cluster dataset to obtain the corresponding cluster center point; step S4, for each experiment, the corresponding centers and clusters of the clusters corresponding to each cluster center point correspond to each experiment. The child time period is input to the pre -constructed neural network model to obtain the corresponding human temperature data fitting curve. The beneficial effect is that the invention can take out the cluster center point and the curve fitting through the cluster algorithm and the neural network, which can effectively reduce the error.</v>
      </c>
      <c r="D74" s="6" t="s">
        <v>219</v>
      </c>
      <c r="E74" s="4" t="str">
        <f ca="1">IFERROR(__xludf.DUMMYFUNCTION("GOOGLETRANSLATE(D74,""auto"",""en"")"),"A method of body temperature data fit based on cluster algorithm and neural network")</f>
        <v>A method of body temperature data fit based on cluster algorithm and neural network</v>
      </c>
    </row>
    <row r="75" spans="1:5" ht="15" x14ac:dyDescent="0.25">
      <c r="A75" s="5" t="s">
        <v>220</v>
      </c>
      <c r="B75" s="6" t="s">
        <v>221</v>
      </c>
      <c r="C75" s="3" t="str">
        <f ca="1">IFERROR(__xludf.DUMMYFUNCTION("GOOGLETRANSLATE(B75,""auto"",""en"")"),"This application disclosed a swimming pool regulatory system and its method, involving the field of intelligent supervision. It uses artificial intelligence detection technology based on machine vision to pass the key frames of the swimming monitoring vid"&amp;"eos of the monitoring objects. The hidden association characteristics of the time dimension to extract the semantic understanding of the semantic understanding of the swimming posture of the monitored object, and use the semantic understanding characteris"&amp;"tics of the swimming posture to use the classifier to perform the swimming status of the monitoring object. Normal classification detection. In this way, the swimmer's swimming status can be accurately detected to achieve the safety supervision of swimmer"&amp;"s to avoid drowning incidents and ensure the safety of swimmer's swimming.")</f>
        <v>This application disclosed a swimming pool regulatory system and its method, involving the field of intelligent supervision. It uses artificial intelligence detection technology based on machine vision to pass the key frames of the swimming monitoring videos of the monitoring objects. The hidden association characteristics of the time dimension to extract the semantic understanding of the semantic understanding of the swimming posture of the monitored object, and use the semantic understanding characteristics of the swimming posture to use the classifier to perform the swimming status of the monitoring object. Normal classification detection. In this way, the swimmer's swimming status can be accurately detected to achieve the safety supervision of swimmers to avoid drowning incidents and ensure the safety of swimmer's swimming.</v>
      </c>
      <c r="D75" s="6" t="s">
        <v>222</v>
      </c>
      <c r="E75" s="4" t="str">
        <f ca="1">IFERROR(__xludf.DUMMYFUNCTION("GOOGLETRANSLATE(D75,""auto"",""en"")"),"Swimming pool regulatory system and method")</f>
        <v>Swimming pool regulatory system and method</v>
      </c>
    </row>
    <row r="76" spans="1:5" ht="15" x14ac:dyDescent="0.25">
      <c r="A76" s="5" t="s">
        <v>223</v>
      </c>
      <c r="B76" s="6" t="s">
        <v>224</v>
      </c>
      <c r="C76" s="3" t="str">
        <f ca="1">IFERROR(__xludf.DUMMYFUNCTION("GOOGLETRANSLATE(B76,""auto"",""en"")"),"The invention discloses an integrated smart terminal for cigarette appearance detection and its usage. The smart terminal includes terminal subjects, appearance image acquisition equipment, IoT gateway, handheld PDA, alarm lights and face recognition came"&amp;"ras. Among them,: Inlaid with a touch display on the top of the main body, the touch display is connected to the Internet of Things gateway through the USB line and HDMI cable. The handheld PDA connects to the Internet of Things gateway through Bluetooth,"&amp;" which connects the IO output port of the IoT gateway through the signal line connecting the IoT gateway. Using the integrated intelligent terminal of the present invention, during the production process, it can detect the appearance defects of the produc"&amp;"t in real time, analyze the cause of defects, call the police and call for maintenance, and avoid the appearance of the appearance defects in a timely and effective manner.")</f>
        <v>The invention discloses an integrated smart terminal for cigarette appearance detection and its usage. The smart terminal includes terminal subjects, appearance image acquisition equipment, IoT gateway, handheld PDA, alarm lights and face recognition cameras. Among them,: Inlaid with a touch display on the top of the main body, the touch display is connected to the Internet of Things gateway through the USB line and HDMI cable. The handheld PDA connects to the Internet of Things gateway through Bluetooth, which connects the IO output port of the IoT gateway through the signal line connecting the IoT gateway. Using the integrated intelligent terminal of the present invention, during the production process, it can detect the appearance defects of the product in real time, analyze the cause of defects, call the police and call for maintenance, and avoid the appearance of the appearance defects in a timely and effective manner.</v>
      </c>
      <c r="D76" s="6" t="s">
        <v>225</v>
      </c>
      <c r="E76" s="4" t="str">
        <f ca="1">IFERROR(__xludf.DUMMYFUNCTION("GOOGLETRANSLATE(D76,""auto"",""en"")"),"An integrated intelligent terminal for cigarette appearance detection and how to use it")</f>
        <v>An integrated intelligent terminal for cigarette appearance detection and how to use it</v>
      </c>
    </row>
    <row r="77" spans="1:5" ht="15" x14ac:dyDescent="0.25">
      <c r="A77" s="5" t="s">
        <v>226</v>
      </c>
      <c r="B77" s="6" t="s">
        <v>227</v>
      </c>
      <c r="C77" s="3" t="str">
        <f ca="1">IFERROR(__xludf.DUMMYFUNCTION("GOOGLETRANSLATE(B77,""auto"",""en"")"),"This utility model discloses an integrated intelligent terminal for cigarette appearance detection, including terminal subjects, appearance image acquisition equipment, Internet of Things gateway, handheld PDA, alarm lamp and face recognition camera. Inla"&amp;"id touch screen, touch display is connected to the Internet of Things gateway through the USB line and HDMI cable, which is located at the lower part of the terminal the subjectbone operation of the terminal. The Bluetooth and the Internet of Things gatew"&amp;"ay are connected, the alarm light is connected to the IO output port of the IoT gateway through the signal line, and the face recognition camera is connected to the Internet of Things gateway through the USB line. Using the useful new integrated smart ter"&amp;"minal, during the production process, it can detect the appearance defects of the product in real time, analyze the cause of defects, call the police and call for maintenance, and timely and effectively avoid the occurrence of appearance defects from the "&amp;"root.")</f>
        <v>This utility model discloses an integrated intelligent terminal for cigarette appearance detection, including terminal subjects, appearance image acquisition equipment, Internet of Things gateway, handheld PDA, alarm lamp and face recognition camera. Inlaid touch screen, touch display is connected to the Internet of Things gateway through the USB line and HDMI cable, which is located at the lower part of the terminal the subjectbone operation of the terminal. The Bluetooth and the Internet of Things gateway are connected, the alarm light is connected to the IO output port of the IoT gateway through the signal line, and the face recognition camera is connected to the Internet of Things gateway through the USB line. Using the useful new integrated smart terminal, during the production process, it can detect the appearance defects of the product in real time, analyze the cause of defects, call the police and call for maintenance, and timely and effectively avoid the occurrence of appearance defects from the root.</v>
      </c>
      <c r="D77" s="6" t="s">
        <v>228</v>
      </c>
      <c r="E77" s="4" t="str">
        <f ca="1">IFERROR(__xludf.DUMMYFUNCTION("GOOGLETRANSLATE(D77,""auto"",""en"")"),"A integrated smart terminal for cigarette appearance detection")</f>
        <v>A integrated smart terminal for cigarette appearance detection</v>
      </c>
    </row>
    <row r="78" spans="1:5" ht="15" x14ac:dyDescent="0.25">
      <c r="A78" s="5" t="s">
        <v>229</v>
      </c>
      <c r="B78" s="6" t="s">
        <v>230</v>
      </c>
      <c r="C78" s="3" t="str">
        <f ca="1">IFERROR(__xludf.DUMMYFUNCTION("GOOGLETRANSLATE(B78,""auto"",""en"")"),"1. Design product name: Sports training robot.
 2. The purpose of designing products in this exterior: This design product is used for smart robots for assisting sports training.
 3. Design of the design of the product in appearance: lies in the shape"&amp;".
 4. Pictures or photos that can best show design: stereo.")</f>
        <v>1. Design product name: Sports training robot.
 2. The purpose of designing products in this exterior: This design product is used for smart robots for assisting sports training.
 3. Design of the design of the product in appearance: lies in the shape.
 4. Pictures or photos that can best show design: stereo.</v>
      </c>
      <c r="D78" s="6" t="s">
        <v>231</v>
      </c>
      <c r="E78" s="4" t="str">
        <f ca="1">IFERROR(__xludf.DUMMYFUNCTION("GOOGLETRANSLATE(D78,""auto"",""en"")"),"Sports training robot")</f>
        <v>Sports training robot</v>
      </c>
    </row>
    <row r="79" spans="1:5" ht="15" x14ac:dyDescent="0.25">
      <c r="A79" s="5" t="s">
        <v>232</v>
      </c>
      <c r="B79" s="6" t="s">
        <v>233</v>
      </c>
      <c r="C79" s="3" t="str">
        <f ca="1">IFERROR(__xludf.DUMMYFUNCTION("GOOGLETRANSLATE(B79,""auto"",""en"")"),"The invention is a Yolov5 fabric defect detection method that improves the CA attention mechanism, which involves the replacement of fabric defect detection methods that integrate the CA attention mechanism C3 module in the deep learning network structure"&amp;". The purpose of invention is to solve the excessive dependence of traditional defect detection, and there is a problem with the problem of low detection accuracy and poor modeling performance based on deep learning. The solution is to achieve the origina"&amp;"l C3 module with the C3 module that integrates the CA attention mechanism in the torso network of the YOLOV5 algorithm model to replace the original C3 module. The specific operation process can effectively improve the attention of the model area of ​​the"&amp;" model, enhance the model detection accuracy of the model detection accuracy Improve the model robustness. The main purpose is to improve the identification ability of the model and the accuracy of the detection.")</f>
        <v>The invention is a Yolov5 fabric defect detection method that improves the CA attention mechanism, which involves the replacement of fabric defect detection methods that integrate the CA attention mechanism C3 module in the deep learning network structure. The purpose of invention is to solve the excessive dependence of traditional defect detection, and there is a problem with the problem of low detection accuracy and poor modeling performance based on deep learning. The solution is to achieve the original C3 module with the C3 module that integrates the CA attention mechanism in the torso network of the YOLOV5 algorithm model to replace the original C3 module. The specific operation process can effectively improve the attention of the model area of ​​the model, enhance the model detection accuracy of the model detection accuracy Improve the model robustness. The main purpose is to improve the identification ability of the model and the accuracy of the detection.</v>
      </c>
      <c r="D79" s="6" t="s">
        <v>234</v>
      </c>
      <c r="E79" s="4" t="str">
        <f ca="1">IFERROR(__xludf.DUMMYFUNCTION("GOOGLETRANSLATE(D79,""auto"",""en"")"),"A YOLOV5 fabric defect detection method that improves the CA attention mechanism")</f>
        <v>A YOLOV5 fabric defect detection method that improves the CA attention mechanism</v>
      </c>
    </row>
    <row r="80" spans="1:5" ht="15" x14ac:dyDescent="0.25">
      <c r="A80" s="5" t="s">
        <v>235</v>
      </c>
      <c r="B80" s="6" t="s">
        <v>236</v>
      </c>
      <c r="C80" s="3" t="str">
        <f ca="1">IFERROR(__xludf.DUMMYFUNCTION("GOOGLETRANSLATE(B80,""auto"",""en"")"),"The present invention disclosed a method and system of running posture identification and system based on the high -dimensional sequential network, including: the sensor information of each body part of the runner through the wireless transmission module,"&amp;" filtering and. Feature extraction, parameter learning and model training of the high -dimensional sequential network feature information, the parameter learning and model training of the convolutional neural network, obtain the motion posture recognition"&amp;" model, and monitor in real time. In the process, the wrong body power site will send a correction signal to the body site, and remind and correct through the vibration and attack. The invention is based on the motion posture correction method of the Tuzh"&amp;"u neural network. It can identify the wrong posture in the process of motion in real time and efficiently, and to correct the movement of the motion posture of the movement of the athletes and develop the correct exercise habits.")</f>
        <v>The present invention disclosed a method and system of running posture identification and system based on the high -dimensional sequential network, including: the sensor information of each body part of the runner through the wireless transmission module, filtering and. Feature extraction, parameter learning and model training of the high -dimensional sequential network feature information, the parameter learning and model training of the convolutional neural network, obtain the motion posture recognition model, and monitor in real time. In the process, the wrong body power site will send a correction signal to the body site, and remind and correct through the vibration and attack. The invention is based on the motion posture correction method of the Tuzhu neural network. It can identify the wrong posture in the process of motion in real time and efficiently, and to correct the movement of the motion posture of the movement of the athletes and develop the correct exercise habits.</v>
      </c>
      <c r="D80" s="6" t="s">
        <v>237</v>
      </c>
      <c r="E80" s="4" t="str">
        <f ca="1">IFERROR(__xludf.DUMMYFUNCTION("GOOGLETRANSLATE(D80,""auto"",""en"")"),"Running posture recognition and correction method and system based on the high -dimensional sequential map network")</f>
        <v>Running posture recognition and correction method and system based on the high -dimensional sequential map network</v>
      </c>
    </row>
    <row r="81" spans="1:5" ht="15" x14ac:dyDescent="0.25">
      <c r="A81" s="5" t="s">
        <v>238</v>
      </c>
      <c r="B81" s="6" t="s">
        <v>239</v>
      </c>
      <c r="C81" s="3" t="str">
        <f ca="1">IFERROR(__xludf.DUMMYFUNCTION("GOOGLETRANSLATE(B81,""auto"",""en"")"),"The project aims to improve the assessment process of archery competitions by reducing human errors and ensuring fair and accurate scores. The current evaluation process has not changed for decades, and the inconsistencies will have a great impact on athl"&amp;"etes. To achieve this goal, a specially designed framework will be placed on the top of the target board, and each side will have a sensor to collect the hit data. The collected data will be processed by the software. The software will allocate scores and"&amp;" provide users with viewing windows. The results of the project will be a digital scoring system that can reduce human errors and improve accuracy, thereby providing a more fair and transparent evaluation process for archery.")</f>
        <v>The project aims to improve the assessment process of archery competitions by reducing human errors and ensuring fair and accurate scores. The current evaluation process has not changed for decades, and the inconsistencies will have a great impact on athletes. To achieve this goal, a specially designed framework will be placed on the top of the target board, and each side will have a sensor to collect the hit data. The collected data will be processed by the software. The software will allocate scores and provide users with viewing windows. The results of the project will be a digital scoring system that can reduce human errors and improve accuracy, thereby providing a more fair and transparent evaluation process for archery.</v>
      </c>
      <c r="D81" s="6" t="s">
        <v>240</v>
      </c>
      <c r="E81" s="4" t="str">
        <f ca="1">IFERROR(__xludf.DUMMYFUNCTION("GOOGLETRANSLATE(D81,""auto"",""en"")"),"Automation system based on the IoT archery score")</f>
        <v>Automation system based on the IoT archery score</v>
      </c>
    </row>
    <row r="82" spans="1:5" ht="15" x14ac:dyDescent="0.25">
      <c r="A82" s="5" t="s">
        <v>241</v>
      </c>
      <c r="B82" s="6" t="s">
        <v>242</v>
      </c>
      <c r="C82" s="3" t="str">
        <f ca="1">IFERROR(__xludf.DUMMYFUNCTION("GOOGLETRANSLATE(B82,""auto"",""en"")"),"The present invention involves the speed synchronization method and system based on wearable equipment, including the following steps: to obtain exercise data based on the wearable inertia measurement unit, after processing, the start and end time of divi"&amp;"ding the pace and determining the steps; The trained neural network is estimated to be estimated; the time of the use of the pace and the estimated step -long step is determined to send the controller to achieve speed synchronization. Use the wearable ine"&amp;"rtial measurement unit to obtain the patient's movement data, divide the pace of patients and determine the start and end of the pace according to the movement data, and then use the neural network to estimate the step -length determination of the pace sp"&amp;"eed to transmit the determined pace speed to the treadmill controller to achieve the realization Patient's steps are synchronized with the speed of treadmills, so that conventional treadmills are applicable to patients' rehabilitation fields.")</f>
        <v>The present invention involves the speed synchronization method and system based on wearable equipment, including the following steps: to obtain exercise data based on the wearable inertia measurement unit, after processing, the start and end time of dividing the pace and determining the steps; The trained neural network is estimated to be estimated; the time of the use of the pace and the estimated step -long step is determined to send the controller to achieve speed synchronization. Use the wearable inertial measurement unit to obtain the patient's movement data, divide the pace of patients and determine the start and end of the pace according to the movement data, and then use the neural network to estimate the step -length determination of the pace speed to transmit the determined pace speed to the treadmill controller to achieve the realization Patient's steps are synchronized with the speed of treadmills, so that conventional treadmills are applicable to patients' rehabilitation fields.</v>
      </c>
      <c r="D82" s="6" t="s">
        <v>243</v>
      </c>
      <c r="E82" s="4" t="str">
        <f ca="1">IFERROR(__xludf.DUMMYFUNCTION("GOOGLETRANSLATE(D82,""auto"",""en"")"),"Method and system based on the speed synchronization method and system of wearable equipment")</f>
        <v>Method and system based on the speed synchronization method and system of wearable equipment</v>
      </c>
    </row>
    <row r="83" spans="1:5" ht="15" x14ac:dyDescent="0.25">
      <c r="A83" s="5" t="s">
        <v>244</v>
      </c>
      <c r="B83" s="6" t="s">
        <v>245</v>
      </c>
      <c r="C83" s="3" t="str">
        <f ca="1">IFERROR(__xludf.DUMMYFUNCTION("GOOGLETRANSLATE(B83,""auto"",""en"")"),"A system that identifies the athletes during the time sports event and is a timing. Athletes use image recognition technology to timing. Among them, the camera shoots one or more images of athletes during sports events (106 A, 106 B, or 106 C) with a time"&amp;" stamp to generate the complete time of athletes. By comparing one of the images taken during the sports event, the athletes are compared with the athlete's personal data image.")</f>
        <v>A system that identifies the athletes during the time sports event and is a timing. Athletes use image recognition technology to timing. Among them, the camera shoots one or more images of athletes during sports events (106 A, 106 B, or 106 C) with a time stamp to generate the complete time of athletes. By comparing one of the images taken during the sports event, the athletes are compared with the athlete's personal data image.</v>
      </c>
      <c r="D83" s="6" t="s">
        <v>246</v>
      </c>
      <c r="E83" s="4" t="str">
        <f ca="1">IFERROR(__xludf.DUMMYFUNCTION("GOOGLETRANSLATE(D83,""auto"",""en"")"),"The systems and methods of the brand worn by people in sports events")</f>
        <v>The systems and methods of the brand worn by people in sports events</v>
      </c>
    </row>
    <row r="84" spans="1:5" ht="15" x14ac:dyDescent="0.25">
      <c r="A84" s="5" t="s">
        <v>247</v>
      </c>
      <c r="B84" s="6" t="s">
        <v>248</v>
      </c>
      <c r="C84" s="3" t="str">
        <f ca="1">IFERROR(__xludf.DUMMYFUNCTION("GOOGLETRANSLATE(B84,""auto"",""en"")"),"The present invention discloses a method of controlling the smart human -machine interactive music treadmill control method, which involves the field of treadmill control. It aims to solve the problem of frequently adjusting the speed of running bands in "&amp;"existing technologies. The technical solution adopted is to collect music BPM BPM Value, obtain the best SMF value and the current SMF value, adjust the runner running band speed to make the current SMF value equal to the best SMF value. By obtaining the "&amp;"BPM value of the current played music, the current stride value, combined with the corresponding relationship between the BPM value and SMF, and the relationship between the surface length and motor speed of the movement of the movement and the movement o"&amp;"f the movement of the movement, the motor speed is changed to change the motor speed to change the speed of the motor speed to change to change The user's steps correspond to the BPM value. The present invention can automatically adjust the speed of the r"&amp;"unning belt according to the music. The initiative and freedom of the user's movement can be greatly improved, which can be more convenient for the free and relaxed movement of the desire.")</f>
        <v>The present invention discloses a method of controlling the smart human -machine interactive music treadmill control method, which involves the field of treadmill control. It aims to solve the problem of frequently adjusting the speed of running bands in existing technologies. The technical solution adopted is to collect music BPM BPM Value, obtain the best SMF value and the current SMF value, adjust the runner running band speed to make the current SMF value equal to the best SMF value. By obtaining the BPM value of the current played music, the current stride value, combined with the corresponding relationship between the BPM value and SMF, and the relationship between the surface length and motor speed of the movement of the movement and the movement of the movement of the movement, the motor speed is changed to change the motor speed to change the speed of the motor speed to change to change The user's steps correspond to the BPM value. The present invention can automatically adjust the speed of the running belt according to the music. The initiative and freedom of the user's movement can be greatly improved, which can be more convenient for the free and relaxed movement of the desire.</v>
      </c>
      <c r="D84" s="6" t="s">
        <v>249</v>
      </c>
      <c r="E84" s="4" t="str">
        <f ca="1">IFERROR(__xludf.DUMMYFUNCTION("GOOGLETRANSLATE(D84,""auto"",""en"")"),"A method of controlling a smart human -computer interactive music treadmill control method")</f>
        <v>A method of controlling a smart human -computer interactive music treadmill control method</v>
      </c>
    </row>
    <row r="85" spans="1:5" ht="15" x14ac:dyDescent="0.25">
      <c r="A85" s="5" t="s">
        <v>250</v>
      </c>
      <c r="B85" s="6" t="s">
        <v>251</v>
      </c>
      <c r="C85" s="3" t="str">
        <f ca="1">IFERROR(__xludf.DUMMYFUNCTION("GOOGLETRANSLATE(B85,""auto"",""en"")"),"The present invention involves a kind of offshore wind power installation ship power positioning operation training simulation system, including sensors and positioning modules, motion model simulation modules, human -machine interaction modules, controll"&amp;"er modules, navigation planning modules, promoter allocation modules, network interface modules, records, records, records With the playback module and evaluation module. Coaches can customize the initial state of the ship and the environment of navigatio"&amp;"n operations, and use the simulation driver's desk to realize the navigation and power positioning operation training of simulated wind power installation boats. Compared with the existing technology, the present invention can be used for the training, as"&amp;"sessment, and daily training of wind power installation ship power positioning operators, thereby improving the operating level of power positioning operators, improving the efficiency of maritime operations, and also breaking the monopoly of foreign powe"&amp;"r positioning training. situation.")</f>
        <v>The present invention involves a kind of offshore wind power installation ship power positioning operation training simulation system, including sensors and positioning modules, motion model simulation modules, human -machine interaction modules, controller modules, navigation planning modules, promoter allocation modules, network interface modules, records, records, records With the playback module and evaluation module. Coaches can customize the initial state of the ship and the environment of navigation operations, and use the simulation driver's desk to realize the navigation and power positioning operation training of simulated wind power installation boats. Compared with the existing technology, the present invention can be used for the training, assessment, and daily training of wind power installation ship power positioning operators, thereby improving the operating level of power positioning operators, improving the efficiency of maritime operations, and also breaking the monopoly of foreign power positioning training. situation.</v>
      </c>
      <c r="D85" s="6" t="s">
        <v>252</v>
      </c>
      <c r="E85" s="4" t="str">
        <f ca="1">IFERROR(__xludf.DUMMYFUNCTION("GOOGLETRANSLATE(D85,""auto"",""en"")"),"A kind of sea wind power installation boat power positioning operation training simulation system")</f>
        <v>A kind of sea wind power installation boat power positioning operation training simulation system</v>
      </c>
    </row>
    <row r="86" spans="1:5" ht="15" x14ac:dyDescent="0.25">
      <c r="A86" s="5" t="s">
        <v>253</v>
      </c>
      <c r="B86" s="6" t="s">
        <v>254</v>
      </c>
      <c r="C86" s="3" t="str">
        <f ca="1">IFERROR(__xludf.DUMMYFUNCTION("GOOGLETRANSLATE(B86,""auto"",""en"")"),"1. Design product name: Details of the display screen panel details introduce the graphical user interface. 2. Design product use: Display graphic user interface. 3. Design of design products in this exterior: lies in the graphic user interface displayed "&amp;"on the display screen panel. 4. Pictures or photos that can most indicate design points: main view. 5. The display screen panel is commonly designed, omitting left view, right view, down -view view, viewing view, rear view. 6. The purpose of the graphical"&amp;" user interface: The interface of the design of the product here is the graphic interface introduced by the exercise course details. Users can view the name, coach name, and curriculum introduction of the sports course. The gray picture in this design int"&amp;"erface is a replaceable sports course video cover. The fork number in this design interface represents text and/or numbers and/or alphabetics. This display screen panel is used for mobile phones. 7. Human -computer interaction method of graphics user inte"&amp;"rface: Click the ""Triangle"" icon to play sports video, click the ""flag"" icon to jump to the course collection list, click ""Love"" icon to collect this course, click any gray picture to jump to jump to jump Go to the corresponding course, click the """&amp;"Pentagon"" icon to score the course.")</f>
        <v>1. Design product name: Details of the display screen panel details introduce the graphical user interface. 2. Design product use: Display graphic user interface. 3. Design of design products in this exterior: lies in the graphic user interface displayed on the display screen panel. 4. Pictures or photos that can most indicate design points: main view. 5. The display screen panel is commonly designed, omitting left view, right view, down -view view, viewing view, rear view. 6. The purpose of the graphical user interface: The interface of the design of the product here is the graphic interface introduced by the exercise course details. Users can view the name, coach name, and curriculum introduction of the sports course. The gray picture in this design interface is a replaceable sports course video cover. The fork number in this design interface represents text and/or numbers and/or alphabetics. This display screen panel is used for mobile phones. 7. Human -computer interaction method of graphics user interface: Click the "Triangle" icon to play sports video, click the "flag" icon to jump to the course collection list, click "Love" icon to collect this course, click any gray picture to jump to jump to jump Go to the corresponding course, click the "Pentagon" icon to score the course.</v>
      </c>
      <c r="D86" s="6" t="s">
        <v>255</v>
      </c>
      <c r="E86" s="4" t="str">
        <f ca="1">IFERROR(__xludf.DUMMYFUNCTION("GOOGLETRANSLATE(D86,""auto"",""en"")"),"Display screen panel course details introduction graphic user interface")</f>
        <v>Display screen panel course details introduction graphic user interface</v>
      </c>
    </row>
    <row r="87" spans="1:5" ht="15" x14ac:dyDescent="0.25">
      <c r="A87" s="5" t="s">
        <v>256</v>
      </c>
      <c r="B87" s="6" t="s">
        <v>257</v>
      </c>
      <c r="C87" s="3" t="str">
        <f ca="1">IFERROR(__xludf.DUMMYFUNCTION("GOOGLETRANSLATE(B87,""auto"",""en"")"),"1. Design product name: Search graphic user interface on the display screen panel. 2. Design product use: Display graphic user interface. 3. Design of design products in this exterior: lies in the graphic user interface displayed on the display screen pan"&amp;"el. 4. Pictures or photos that can most indicate design points: main view. 5. The display screen panel is commonly designed, omitting left view, right view, down -view view, viewing view, rear view. 6. The purpose of the graphical user interface: The inte"&amp;"rface of the design of the product in this exterior is the graphic interface of the sports curriculum search. Users can view the course name, video duration, and popular coach rankings. The gray picture in this design interface is a replaceable sports cou"&amp;"rse video cover picture. The fork number in this design interface represents text and/or numbers and/or alphabetics. This display screen panel is used for mobile phones. 7. Human -computer interaction method of graphical user interface: Click the ""magnif"&amp;"ying glass"" icon to search for the course you want. Click the gray picture to jump to the corresponding course.")</f>
        <v>1. Design product name: Search graphic user interface on the display screen panel. 2. Design product use: Display graphic user interface. 3. Design of design products in this exterior: lies in the graphic user interface displayed on the display screen panel. 4. Pictures or photos that can most indicate design points: main view. 5. The display screen panel is commonly designed, omitting left view, right view, down -view view, viewing view, rear view. 6. The purpose of the graphical user interface: The interface of the design of the product in this exterior is the graphic interface of the sports curriculum search. Users can view the course name, video duration, and popular coach rankings. The gray picture in this design interface is a replaceable sports course video cover picture. The fork number in this design interface represents text and/or numbers and/or alphabetics. This display screen panel is used for mobile phones. 7. Human -computer interaction method of graphical user interface: Click the "magnifying glass" icon to search for the course you want. Click the gray picture to jump to the corresponding course.</v>
      </c>
      <c r="D87" s="6" t="s">
        <v>258</v>
      </c>
      <c r="E87" s="4" t="str">
        <f ca="1">IFERROR(__xludf.DUMMYFUNCTION("GOOGLETRANSLATE(D87,""auto"",""en"")"),"Course search graphic user interface on display screen panel")</f>
        <v>Course search graphic user interface on display screen panel</v>
      </c>
    </row>
    <row r="88" spans="1:5" ht="15" x14ac:dyDescent="0.25">
      <c r="A88" s="5" t="s">
        <v>259</v>
      </c>
      <c r="B88" s="6" t="s">
        <v>260</v>
      </c>
      <c r="C88" s="3" t="str">
        <f ca="1">IFERROR(__xludf.DUMMYFUNCTION("GOOGLETRANSLATE(B88,""auto"",""en"")"),"This publicly provides a visual tracking method, device, equipment, and medium for target objects, involving the field of artificial intelligence, which involves technical fields such as computer vision, image processing and deep learning. The specific im"&amp;"plementation plan for the visual tracking method of the target object is: according to the event data collected by the event camera, determine the movement information of the target object of the gymnastics motion; in response to the movement of the targe"&amp;"t object to determine the target object according to the motion information, to meet the visual tracking conditions, obtain the target for targeting The target objects synchronized with video data collected at least two perspectives; and based on video da"&amp;"ta, the gymnastics motion to describe the gymnastics motion to describe the target object to be played.")</f>
        <v>This publicly provides a visual tracking method, device, equipment, and medium for target objects, involving the field of artificial intelligence, which involves technical fields such as computer vision, image processing and deep learning. The specific implementation plan for the visual tracking method of the target object is: according to the event data collected by the event camera, determine the movement information of the target object of the gymnastics motion; in response to the movement of the target object to determine the target object according to the motion information, to meet the visual tracking conditions, obtain the target for targeting The target objects synchronized with video data collected at least two perspectives; and based on video data, the gymnastics motion to describe the gymnastics motion to describe the target object to be played.</v>
      </c>
      <c r="D88" s="6" t="s">
        <v>261</v>
      </c>
      <c r="E88" s="4" t="str">
        <f ca="1">IFERROR(__xludf.DUMMYFUNCTION("GOOGLETRANSLATE(D88,""auto"",""en"")"),"Visual tracking methods, devices, systems, equipment and media for target objects")</f>
        <v>Visual tracking methods, devices, systems, equipment and media for target objects</v>
      </c>
    </row>
    <row r="89" spans="1:5" ht="15" x14ac:dyDescent="0.25">
      <c r="A89" s="5" t="s">
        <v>262</v>
      </c>
      <c r="B89" s="6" t="s">
        <v>263</v>
      </c>
      <c r="C89" s="3" t="str">
        <f ca="1">IFERROR(__xludf.DUMMYFUNCTION("GOOGLETRANSLATE(B89,""auto"",""en"")"),"This article describes systems and technologies for supervising privacy to protect privacy. The disclosed systems and methods can enable separate computers that can be operated by separate physical operations to jointly perform unsupervised learning based"&amp;" on their respective data pools and protect privacy at the same time. The system improves efficiency and scalability, while protecting privacy and avoiding leakage cluster logo. This system can inadvertently transmit (OT) based on 1 in N, and jointly calc"&amp;"ulates the safety distance by multiplied by the corresponding data value X and Y of the computer. In various embodiments, N can be a share of 2, 4 or a certain amount. The first computer can use N into a system to represent its data value X. The second co"&amp;"mputer can form a × n matrix include random number M i, 0 other elements m i, j = (yjn i −m i, 0) module. The first computer can receive output vectors from OT, which is M i = (YX I nitrogen i −m i, 0) module.")</f>
        <v>This article describes systems and technologies for supervising privacy to protect privacy. The disclosed systems and methods can enable separate computers that can be operated by separate physical operations to jointly perform unsupervised learning based on their respective data pools and protect privacy at the same time. The system improves efficiency and scalability, while protecting privacy and avoiding leakage cluster logo. This system can inadvertently transmit (OT) based on 1 in N, and jointly calculates the safety distance by multiplied by the corresponding data value X and Y of the computer. In various embodiments, N can be a share of 2, 4 or a certain amount. The first computer can use N into a system to represent its data value X. The second computer can form a × n matrix include random number M i, 0 other elements m i, j = (yjn i −m i, 0) module. The first computer can receive output vectors from OT, which is M i = (YX I nitrogen i −m i, 0) module.</v>
      </c>
      <c r="D89" s="6" t="s">
        <v>264</v>
      </c>
      <c r="E89" s="4" t="str">
        <f ca="1">IFERROR(__xludf.DUMMYFUNCTION("GOOGLETRANSLATE(D89,""auto"",""en"")"),"Two server privacy protection sets")</f>
        <v>Two server privacy protection sets</v>
      </c>
    </row>
    <row r="90" spans="1:5" ht="15" x14ac:dyDescent="0.25">
      <c r="A90" s="5" t="s">
        <v>265</v>
      </c>
      <c r="B90" s="6" t="s">
        <v>266</v>
      </c>
      <c r="C90" s="3" t="str">
        <f ca="1">IFERROR(__xludf.DUMMYFUNCTION("GOOGLETRANSLATE(B90,""auto"",""en"")"),"Robot holders are widely used in industrial automation and other applications that need to be manipulated accurately and efficiently. However, controlling these fixtures may be challenging, especially for operators who have not been trained by robotics or"&amp;" have limited experience in the control system. To cope with this challenge, we proposed a intuitive control system for robotics, enabling operators to easily and accurately manipulate objects. Our system is based on the combination of computer vision and"&amp;" object sensing. We evaluated our system through a series of experiments and compared it with the traditional clip control system. Our results show that our system allows operators to manipulate objects at higher accuracy and speed than traditional contro"&amp;"l systems. In general, our model provides an intuitive and effective way to control the robot's hand to perform chemical operations.")</f>
        <v>Robot holders are widely used in industrial automation and other applications that need to be manipulated accurately and efficiently. However, controlling these fixtures may be challenging, especially for operators who have not been trained by robotics or have limited experience in the control system. To cope with this challenge, we proposed a intuitive control system for robotics, enabling operators to easily and accurately manipulate objects. Our system is based on the combination of computer vision and object sensing. We evaluated our system through a series of experiments and compared it with the traditional clip control system. Our results show that our system allows operators to manipulate objects at higher accuracy and speed than traditional control systems. In general, our model provides an intuitive and effective way to control the robot's hand to perform chemical operations.</v>
      </c>
      <c r="D90" s="6" t="s">
        <v>267</v>
      </c>
      <c r="E90" s="4" t="str">
        <f ca="1">IFERROR(__xludf.DUMMYFUNCTION("GOOGLETRANSLATE(D90,""auto"",""en"")"),"Use a fixture control system to automatically identify objects")</f>
        <v>Use a fixture control system to automatically identify objects</v>
      </c>
    </row>
    <row r="91" spans="1:5" ht="15" x14ac:dyDescent="0.25">
      <c r="A91" s="5" t="s">
        <v>268</v>
      </c>
      <c r="B91" s="6" t="s">
        <v>269</v>
      </c>
      <c r="C91" s="3" t="str">
        <f ca="1">IFERROR(__xludf.DUMMYFUNCTION("GOOGLETRANSLATE(B91,""auto"",""en"")"),"The invention consists of controlling units, heart rate sensors, SPO2 sensors, acceleration meters, body temperature sensors, ambient temperature sensors, touch screens, AI, offline storage, Bluetooth module, mobile APP and battery. Heart rate sensor, SPO"&amp;"2 sensor, acceleration meter, body temperature sensor and ambient temperature sensor will be embedded in the system. These will be the monitoring data and transmit the data to the control unit. After that, the control unit will display these data on the t"&amp;"ouch screen and store them offline. Storage. When users are close to their smartphones, it will automatically connect to their smartphones via the Bluetooth module, and then control the unit to extract all data from the offline storage and process it arti"&amp;"ficially. Module. With the help of mobile applications, athletes can also see some specific data from other athletes, so that they can better formulate strategies, and coaches can also feedback their data to make the athlete's training plan better.")</f>
        <v>The invention consists of controlling units, heart rate sensors, SPO2 sensors, acceleration meters, body temperature sensors, ambient temperature sensors, touch screens, AI, offline storage, Bluetooth module, mobile APP and battery. Heart rate sensor, SPO2 sensor, acceleration meter, body temperature sensor and ambient temperature sensor will be embedded in the system. These will be the monitoring data and transmit the data to the control unit. After that, the control unit will display these data on the touch screen and store them offline. Storage. When users are close to their smartphones, it will automatically connect to their smartphones via the Bluetooth module, and then control the unit to extract all data from the offline storage and process it artificially. Module. With the help of mobile applications, athletes can also see some specific data from other athletes, so that they can better formulate strategies, and coaches can also feedback their data to make the athlete's training plan better.</v>
      </c>
      <c r="D91" s="6" t="s">
        <v>270</v>
      </c>
      <c r="E91" s="4" t="str">
        <f ca="1">IFERROR(__xludf.DUMMYFUNCTION("GOOGLETRANSLATE(D91,""auto"",""en"")"),"Improving the artificial intelligence system that improves the performance of athletes and predicts competitors")</f>
        <v>Improving the artificial intelligence system that improves the performance of athletes and predicts competitors</v>
      </c>
    </row>
    <row r="92" spans="1:5" ht="15" x14ac:dyDescent="0.25">
      <c r="A92" s="5" t="s">
        <v>271</v>
      </c>
      <c r="B92" s="6" t="s">
        <v>272</v>
      </c>
      <c r="C92" s="3" t="str">
        <f ca="1">IFERROR(__xludf.DUMMYFUNCTION("GOOGLETRANSLATE(B92,""auto"",""en"")"),"The embodiment of the present invention provides an artificial intelligence -based composition method, device and electronic equipment, which belongs to the field of artificial intelligence technology. This method includes: in the composition stage, the m"&amp;"usic is encoded in the preset method. Called chromosomes; for coding chromosomal music, calculate its selection probability and accumulation probability; use cross and variation operations in GA to perform evolution operations after coding chromosomal mus"&amp;"ic to obtain evolution results; use fitness functions to measure the pair of rights Confirm the performance of the evolution results to ensure that the evolutionary results meet the preset requirements. The use of this plan can improve the efficiency of c"&amp;"omposition.")</f>
        <v>The embodiment of the present invention provides an artificial intelligence -based composition method, device and electronic equipment, which belongs to the field of artificial intelligence technology. This method includes: in the composition stage, the music is encoded in the preset method. Called chromosomes; for coding chromosomal music, calculate its selection probability and accumulation probability; use cross and variation operations in GA to perform evolution operations after coding chromosomal music to obtain evolution results; use fitness functions to measure the pair of rights Confirm the performance of the evolution results to ensure that the evolutionary results meet the preset requirements. The use of this plan can improve the efficiency of composition.</v>
      </c>
      <c r="D92" s="6" t="s">
        <v>273</v>
      </c>
      <c r="E92" s="4" t="str">
        <f ca="1">IFERROR(__xludf.DUMMYFUNCTION("GOOGLETRANSLATE(D92,""auto"",""en"")"),"Artificial intelligence composition method and device")</f>
        <v>Artificial intelligence composition method and device</v>
      </c>
    </row>
    <row r="93" spans="1:5" ht="15" x14ac:dyDescent="0.25">
      <c r="A93" s="5" t="s">
        <v>274</v>
      </c>
      <c r="B93" s="6" t="s">
        <v>275</v>
      </c>
      <c r="C93" s="3" t="str">
        <f ca="1">IFERROR(__xludf.DUMMYFUNCTION("GOOGLETRANSLATE(B93,""auto"",""en"")"),"The present invention involves indoor and outdoor environmental and technical fields, and has disclosed a throwing system based on the Internet of Things, including multiple ground throws, clubs and ball nests. The positioning module and ZigBee module are"&amp;" installed inside the rod and ball nest. The positioning module is used to record and track the ground throwing balls; the ZigBee module uses CC2530 to ranging the ball and transmit data on the ground through the connection coil; Record and monitor. The s"&amp;"ystem circuit structure is simple and low in cost. You can play online ball games online, not stubborn. This makes the sport on the ground has a stronger convenience, making it more intelligent and convenient to throw the ball.")</f>
        <v>The present invention involves indoor and outdoor environmental and technical fields, and has disclosed a throwing system based on the Internet of Things, including multiple ground throws, clubs and ball nests. The positioning module and ZigBee module are installed inside the rod and ball nest. The positioning module is used to record and track the ground throwing balls; the ZigBee module uses CC2530 to ranging the ball and transmit data on the ground through the connection coil; Record and monitor. The system circuit structure is simple and low in cost. You can play online ball games online, not stubborn. This makes the sport on the ground has a stronger convenience, making it more intelligent and convenient to throw the ball.</v>
      </c>
      <c r="D93" s="6" t="s">
        <v>276</v>
      </c>
      <c r="E93" s="4" t="str">
        <f ca="1">IFERROR(__xludf.DUMMYFUNCTION("GOOGLETRANSLATE(D93,""auto"",""en"")"),"A throwing system based on the Internet of Things")</f>
        <v>A throwing system based on the Internet of Things</v>
      </c>
    </row>
    <row r="94" spans="1:5" ht="15" x14ac:dyDescent="0.25">
      <c r="A94" s="5" t="s">
        <v>277</v>
      </c>
      <c r="B94" s="6" t="s">
        <v>278</v>
      </c>
      <c r="C94" s="3" t="str">
        <f ca="1">IFERROR(__xludf.DUMMYFUNCTION("GOOGLETRANSLATE(B94,""auto"",""en"")"),"A human -machine interaction guidance correction device and method, it includes pressure sensing unit, body tracking unit, image acquisition unit, core processing unit, display unit, limb positioning unit, users can choose the practice mode according to t"&amp;"heir own needs, the exercise mode includes autonomy autonomy Practice mode and coach guidance mode. When choosing a self -practice mode, the limb positioning unit worn on the user's limbs is coordinated with the limb tracking unit. The core processing uni"&amp;"t determines that the user's physical movement is accurate, so that the user's movement can be more accurate. When choosing a coach guidance mode, the limb tracking unit tracks the position of the limb positioning unit, and feeds the location information "&amp;"to the core processing unit storage, and generates supporting exercise data. When the user chooses an independent practice mode, he can use the generated exercise data for the generated exercise data for performer for performer for performed for performer"&amp;" for performer. practise.")</f>
        <v>A human -machine interaction guidance correction device and method, it includes pressure sensing unit, body tracking unit, image acquisition unit, core processing unit, display unit, limb positioning unit, users can choose the practice mode according to their own needs, the exercise mode includes autonomy autonomy Practice mode and coach guidance mode. When choosing a self -practice mode, the limb positioning unit worn on the user's limbs is coordinated with the limb tracking unit. The core processing unit determines that the user's physical movement is accurate, so that the user's movement can be more accurate. When choosing a coach guidance mode, the limb tracking unit tracks the position of the limb positioning unit, and feeds the location information to the core processing unit storage, and generates supporting exercise data. When the user chooses an independent practice mode, he can use the generated exercise data for the generated exercise data for performer for performer for performed for performer for performer. practise.</v>
      </c>
      <c r="D94" s="6" t="s">
        <v>279</v>
      </c>
      <c r="E94" s="4" t="str">
        <f ca="1">IFERROR(__xludf.DUMMYFUNCTION("GOOGLETRANSLATE(D94,""auto"",""en"")"),"A human -computer interaction guidance correction device and method")</f>
        <v>A human -computer interaction guidance correction device and method</v>
      </c>
    </row>
    <row r="95" spans="1:5" ht="15" x14ac:dyDescent="0.25">
      <c r="A95" s="5" t="s">
        <v>280</v>
      </c>
      <c r="B95" s="6" t="s">
        <v>281</v>
      </c>
      <c r="C95" s="3" t="str">
        <f ca="1">IFERROR(__xludf.DUMMYFUNCTION("GOOGLETRANSLATE(B95,""auto"",""en"")"),"The present invention disclosed a multi -parameter measurement device and method based on artificial intelligence -based swimming animals, including the support chassis, with two support pillars on the support chassis. There is also a pushing motor on the"&amp;" support chassis, which is connected to one end of the output of the push rod motor to one end of the telescopic rod, which is connected to the other end of the expansion rod; There is a three -legged supporting frame, which is set on the three -foot supp"&amp;"ort frame with a installation disk. The installation disk is installed with a horizontal regulating mechanism. The image information of the swimming animals can be obtained through this device, and then analyzed the image information to complete the swimm"&amp;"ing swimming. The process of identification and measurement of animals can eliminate artificial errors. The data obtained by the data obtained can improve the accuracy of the prediction of subsequent prediction dynamic characteristics.")</f>
        <v>The present invention disclosed a multi -parameter measurement device and method based on artificial intelligence -based swimming animals, including the support chassis, with two support pillars on the support chassis. There is also a pushing motor on the support chassis, which is connected to one end of the output of the push rod motor to one end of the telescopic rod, which is connected to the other end of the expansion rod; There is a three -legged supporting frame, which is set on the three -foot support frame with a installation disk. The installation disk is installed with a horizontal regulating mechanism. The image information of the swimming animals can be obtained through this device, and then analyzed the image information to complete the swimming swimming. The process of identification and measurement of animals can eliminate artificial errors. The data obtained by the data obtained can improve the accuracy of the prediction of subsequent prediction dynamic characteristics.</v>
      </c>
      <c r="D95" s="6" t="s">
        <v>282</v>
      </c>
      <c r="E95" s="4" t="str">
        <f ca="1">IFERROR(__xludf.DUMMYFUNCTION("GOOGLETRANSLATE(D95,""auto"",""en"")"),"Multi -parameter measurement device and method of swimming animals based on artificial intelligence")</f>
        <v>Multi -parameter measurement device and method of swimming animals based on artificial intelligence</v>
      </c>
    </row>
    <row r="96" spans="1:5" ht="15" x14ac:dyDescent="0.25">
      <c r="A96" s="5" t="s">
        <v>283</v>
      </c>
      <c r="B96" s="6" t="s">
        <v>284</v>
      </c>
      <c r="C96" s="3" t="str">
        <f ca="1">IFERROR(__xludf.DUMMYFUNCTION("GOOGLETRANSLATE(B96,""auto"",""en"")"),"In this open embodiment, it can include a method of socialized results used to improve individuals with autism. This method may include data to receive data on personal social skills, example*data, video records of self -wearable devices, and feedback fro"&amp;"m nursing staff or social coaches. In addition, the embodiments can include the use of artificial intelligence systems to analyze data so that they can find an improved field, such as recognition of behavioral patterns that may cause social challenges. In"&amp;" addition, embodiments can involve personalized social goals based on the recognized development areas. Examples of such goals include maintaining eye contact, starting to discuss and interpret social signals. Examples can also show personalized social go"&amp;"als to individuals and/or nurses through user interfaces (such as mobile applications or online portals), and provide feedback on the progress of personal or nursing personnel.")</f>
        <v>In this open embodiment, it can include a method of socialized results used to improve individuals with autism. This method may include data to receive data on personal social skills, example*data, video records of self -wearable devices, and feedback from nursing staff or social coaches. In addition, the embodiments can include the use of artificial intelligence systems to analyze data so that they can find an improved field, such as recognition of behavioral patterns that may cause social challenges. In addition, embodiments can involve personalized social goals based on the recognized development areas. Examples of such goals include maintaining eye contact, starting to discuss and interpret social signals. Examples can also show personalized social goals to individuals and/or nurses through user interfaces (such as mobile applications or online portals), and provide feedback on the progress of personal or nursing personnel.</v>
      </c>
      <c r="D96" s="6" t="s">
        <v>285</v>
      </c>
      <c r="E96" s="4" t="str">
        <f ca="1">IFERROR(__xludf.DUMMYFUNCTION("GOOGLETRANSLATE(D96,""auto"",""en"")"),"Artificial intelligence platform that improves social results of autism patients")</f>
        <v>Artificial intelligence platform that improves social results of autism patients</v>
      </c>
    </row>
    <row r="97" spans="1:5" ht="15" x14ac:dyDescent="0.25">
      <c r="A97" s="5" t="s">
        <v>286</v>
      </c>
      <c r="B97" s="6" t="s">
        <v>287</v>
      </c>
      <c r="C97" s="3" t="str">
        <f ca="1">IFERROR(__xludf.DUMMYFUNCTION("GOOGLETRANSLATE(B97,""auto"",""en"")"),"This application provides an automatic grouping method for sports activities, including: based on the group decision -making decision -making to initiate a group invitation to the user; the monitoring whether the organizational task of the organizational "&amp;"invitation is successful; The scoring value of the group decision -making decision to generate the group decision is 1; if the task of the group bureaus is unsuccessful, the scoring value of the group decision -making group decision -making is reduced by "&amp;"1; Sort on multiple group model models at high and low; list the group model with the scoring value of the group model less than the preset threshold as the optimization model; the scoring value of the group model model is greater than equal to the predet"&amp;"ermined threshold The organizational model is listed as a available model, and the use of the available model can generate the next group decision. The methods provided by this application, based on the systems, electronic equipment and storage media prov"&amp;"ided by this, can play artificial intelligence technology in the application scenario of intelligent sports and improve the performance of stadium.")</f>
        <v>This application provides an automatic grouping method for sports activities, including: based on the group decision -making decision -making to initiate a group invitation to the user; the monitoring whether the organizational task of the organizational invitation is successful; The scoring value of the group decision -making decision to generate the group decision is 1; if the task of the group bureaus is unsuccessful, the scoring value of the group decision -making group decision -making is reduced by 1; Sort on multiple group model models at high and low; list the group model with the scoring value of the group model less than the preset threshold as the optimization model; the scoring value of the group model model is greater than equal to the predetermined threshold The organizational model is listed as a available model, and the use of the available model can generate the next group decision. The methods provided by this application, based on the systems, electronic equipment and storage media provided by this, can play artificial intelligence technology in the application scenario of intelligent sports and improve the performance of stadium.</v>
      </c>
      <c r="D97" s="6" t="s">
        <v>288</v>
      </c>
      <c r="E97" s="4" t="str">
        <f ca="1">IFERROR(__xludf.DUMMYFUNCTION("GOOGLETRANSLATE(D97,""auto"",""en"")"),"The automatic grouping method, system, electronic equipment and storage media of sports activities")</f>
        <v>The automatic grouping method, system, electronic equipment and storage media of sports activities</v>
      </c>
    </row>
    <row r="98" spans="1:5" ht="15" x14ac:dyDescent="0.25">
      <c r="A98" s="5" t="s">
        <v>289</v>
      </c>
      <c r="B98" s="6" t="s">
        <v>290</v>
      </c>
      <c r="C98" s="3" t="str">
        <f ca="1">IFERROR(__xludf.DUMMYFUNCTION("GOOGLETRANSLATE(B98,""auto"",""en"")"),"The present invention disclosed a method of artistic gymnastics, including: action capture of professional art gymnastics athletes; advanced audio feature extraction, divided audio features into audio fragments; art gymnastic action capture video is divid"&amp;"ed into video clips; audio The data and video clips are regulated by the data, and then input to the generated diffusion model for model training; the gymnastics movement and audio adaptability of each art gymnastics fragment are scored. Fragment reservat"&amp;"ions; use the loss function to combine the motion quantity gradient decrease method algorithm training the video of the data set, get art gymnastic action generating models, and enter audio to obtain art gymnastic action videos through the model. The pres"&amp;"ent invention uses a diffusion model for art gymnastics. Compared with the neural network models such as GAN, it has long -term modeling capabilities and can generate long -term stable action sequences.")</f>
        <v>The present invention disclosed a method of artistic gymnastics, including: action capture of professional art gymnastics athletes; advanced audio feature extraction, divided audio features into audio fragments; art gymnastic action capture video is divided into video clips; audio The data and video clips are regulated by the data, and then input to the generated diffusion model for model training; the gymnastics movement and audio adaptability of each art gymnastics fragment are scored. Fragment reservations; use the loss function to combine the motion quantity gradient decrease method algorithm training the video of the data set, get art gymnastic action generating models, and enter audio to obtain art gymnastic action videos through the model. The present invention uses a diffusion model for art gymnastics. Compared with the neural network models such as GAN, it has long -term modeling capabilities and can generate long -term stable action sequences.</v>
      </c>
      <c r="D98" s="6" t="s">
        <v>291</v>
      </c>
      <c r="E98" s="4" t="str">
        <f ca="1">IFERROR(__xludf.DUMMYFUNCTION("GOOGLETRANSLATE(D98,""auto"",""en"")"),"A method of generating gymnastics gymnastics")</f>
        <v>A method of generating gymnastics gymnastics</v>
      </c>
    </row>
    <row r="99" spans="1:5" ht="15" x14ac:dyDescent="0.25">
      <c r="A99" s="5" t="s">
        <v>292</v>
      </c>
      <c r="B99" s="6" t="s">
        <v>293</v>
      </c>
      <c r="C99" s="3" t="str">
        <f ca="1">IFERROR(__xludf.DUMMYFUNCTION("GOOGLETRANSLATE(B99,""auto"",""en"")"),"The invention provides a smart pet treadmill that involves the field of pet dog products technology. The smart pet treadmill, including fixed seats, bases, and control mechanisms, internal fixed connections of fixed seats with drive motors. The output end"&amp;" of the drive motor is There is the first transmission chain of the transmission connection. The right side of the right side of the first transmission chain is connected to the second transmission wheel. With the control module, the voice recognition mod"&amp;"ule is used to identify the dog bark, and transmits the information to the control module, and the control module controls the drive motor module and color ball module. The present invention, when a pet dog barks, the voice recognition module recognizes t"&amp;"he signal, and controls the module to control the work of driving motors and color balls, so that the pet dog has shifted attention to the running belt for running exercise.")</f>
        <v>The invention provides a smart pet treadmill that involves the field of pet dog products technology. The smart pet treadmill, including fixed seats, bases, and control mechanisms, internal fixed connections of fixed seats with drive motors. The output end of the drive motor is There is the first transmission chain of the transmission connection. The right side of the right side of the first transmission chain is connected to the second transmission wheel. With the control module, the voice recognition module is used to identify the dog bark, and transmits the information to the control module, and the control module controls the drive motor module and color ball module. The present invention, when a pet dog barks, the voice recognition module recognizes the signal, and controls the module to control the work of driving motors and color balls, so that the pet dog has shifted attention to the running belt for running exercise.</v>
      </c>
      <c r="D99" s="6" t="s">
        <v>294</v>
      </c>
      <c r="E99" s="4" t="str">
        <f ca="1">IFERROR(__xludf.DUMMYFUNCTION("GOOGLETRANSLATE(D99,""auto"",""en"")"),"A smart pet treadmill")</f>
        <v>A smart pet treadmill</v>
      </c>
    </row>
    <row r="100" spans="1:5" ht="15" x14ac:dyDescent="0.25">
      <c r="A100" s="5" t="s">
        <v>295</v>
      </c>
      <c r="B100" s="6" t="s">
        <v>296</v>
      </c>
      <c r="C100" s="3" t="str">
        <f ca="1">IFERROR(__xludf.DUMMYFUNCTION("GOOGLETRANSLATE(B100,""auto"",""en"")"),"A method, system, and device for generating probability (such as being displayed on video feedback), which can be generated or adjusted using machine learning and/or artificial intelligence. One embodiment includes a method for generating and adjusting pr"&amp;"obability, and the probability of generating is to create and display probability graphics on the display device. You can use artificial intelligence or machine learning to generate and/or update graphics. Display information may be updated in real time w"&amp;"ith the changes in the game (such as player injury, replacement, weather conditions, etc.). These changes can be detected by the detection system attached to the player or device on the field.")</f>
        <v>A method, system, and device for generating probability (such as being displayed on video feedback), which can be generated or adjusted using machine learning and/or artificial intelligence. One embodiment includes a method for generating and adjusting probability, and the probability of generating is to create and display probability graphics on the display device. You can use artificial intelligence or machine learning to generate and/or update graphics. Display information may be updated in real time with the changes in the game (such as player injury, replacement, weather conditions, etc.). These changes can be detected by the detection system attached to the player or device on the field.</v>
      </c>
      <c r="D100" s="6" t="s">
        <v>297</v>
      </c>
      <c r="E100" s="4" t="str">
        <f ca="1">IFERROR(__xludf.DUMMYFUNCTION("GOOGLETRANSLATE(D100,""auto"",""en"")"),"Live event information display method, system and device")</f>
        <v>Live event information display method, system and device</v>
      </c>
    </row>
    <row r="101" spans="1:5" ht="15" x14ac:dyDescent="0.25">
      <c r="A101" s="5" t="s">
        <v>298</v>
      </c>
      <c r="B101" s="6" t="s">
        <v>299</v>
      </c>
      <c r="C101" s="3" t="str">
        <f ca="1">IFERROR(__xludf.DUMMYFUNCTION("GOOGLETRANSLATE(B101,""auto"",""en"")"),"The invention involves a sensor connected to the calculation unit, which is equipped with a pre -trained AI chipset, which defines the threshold for certain states (such as normal, relaxation, and tiredness), and then it collects all information based on "&amp;"the EMG sensor. In order to achieve accurate work, the battery power supply is connected to the computing unit to achieve efficient work. The data is then sent by a Bluetooth receiver connected to another calculating unit. The calculation unit is wearable"&amp;" device, such as fitness tracker, smart watch and other similar devices, and then the OLED display is connected to the calculation unit for players to use.")</f>
        <v>The invention involves a sensor connected to the calculation unit, which is equipped with a pre -trained AI chipset, which defines the threshold for certain states (such as normal, relaxation, and tiredness), and then it collects all information based on the EMG sensor. In order to achieve accurate work, the battery power supply is connected to the computing unit to achieve efficient work. The data is then sent by a Bluetooth receiver connected to another calculating unit. The calculation unit is wearable device, such as fitness tracker, smart watch and other similar devices, and then the OLED display is connected to the calculation unit for players to use.</v>
      </c>
      <c r="D101" s="6" t="s">
        <v>300</v>
      </c>
      <c r="E101" s="4" t="str">
        <f ca="1">IFERROR(__xludf.DUMMYFUNCTION("GOOGLETRANSLATE(D101,""auto"",""en"")"),"Sports muscle bone pressure monitoring device based on the Internet of Things")</f>
        <v>Sports muscle bone pressure monitoring device based on the Internet of Things</v>
      </c>
    </row>
    <row r="102" spans="1:5" ht="15" x14ac:dyDescent="0.25">
      <c r="A102" s="5" t="s">
        <v>301</v>
      </c>
      <c r="B102" s="6" t="s">
        <v>302</v>
      </c>
      <c r="C102" s="3" t="str">
        <f ca="1">IFERROR(__xludf.DUMMYFUNCTION("GOOGLETRANSLATE(B102,""auto"",""en"")"),"In physical and emotion, yoga is good for people of all ages. In order to avoid hurting bones, muscles, and ligaments, even if there is no teacher, you should know how to practice yoga accurately. Therefore, artificial intelligence, machine learning and i"&amp;"mage processing will help provide feedback to performers without on -site coaches. The purpose of the method is to demonstrate how to practice yoga posture correctly and provide instant feedback on its form. The text and audio comments of this application"&amp;" can help users avoid injuries and maximize their yoga posture. This form of feedback is included in the user experience. By obtaining multiple images from Internet, you can compile a comprehensive yoga posture database. Using OpenCV and media pipelines, "&amp;"each image captured by the camera is parsed as a data point. When these data are entered into deep learning models based on convolutional neural networks, it helps identify posture defects and calculate errors percentage percentage, and then provide users"&amp;" with appropriate feedback to users in the form of text or audio. The accuracy rate is about 95%.")</f>
        <v>In physical and emotion, yoga is good for people of all ages. In order to avoid hurting bones, muscles, and ligaments, even if there is no teacher, you should know how to practice yoga accurately. Therefore, artificial intelligence, machine learning and image processing will help provide feedback to performers without on -site coaches. The purpose of the method is to demonstrate how to practice yoga posture correctly and provide instant feedback on its form. The text and audio comments of this application can help users avoid injuries and maximize their yoga posture. This form of feedback is included in the user experience. By obtaining multiple images from Internet, you can compile a comprehensive yoga posture database. Using OpenCV and media pipelines, each image captured by the camera is parsed as a data point. When these data are entered into deep learning models based on convolutional neural networks, it helps identify posture defects and calculate errors percentage percentage, and then provide users with appropriate feedback to users in the form of text or audio. The accuracy rate is about 95%.</v>
      </c>
      <c r="D102" s="6" t="s">
        <v>303</v>
      </c>
      <c r="E102" s="4" t="str">
        <f ca="1">IFERROR(__xludf.DUMMYFUNCTION("GOOGLETRANSLATE(D102,""auto"",""en"")"),"The automatic yoga posture detection and training system based on artificial intelligence and the Internet of Things, using machine learning and deep learning algorithms to provide systematic and better yoga training")</f>
        <v>The automatic yoga posture detection and training system based on artificial intelligence and the Internet of Things, using machine learning and deep learning algorithms to provide systematic and better yoga training</v>
      </c>
    </row>
    <row r="103" spans="1:5" ht="15" x14ac:dyDescent="0.25">
      <c r="A103" s="5" t="s">
        <v>304</v>
      </c>
      <c r="B103" s="6" t="s">
        <v>305</v>
      </c>
      <c r="C103" s="3" t="str">
        <f ca="1">IFERROR(__xludf.DUMMYFUNCTION("GOOGLETRANSLATE(B103,""auto"",""en"")"),"The present invention involves the marginal nodes of monitoring rehabilitation athletes and a scalable system based on deep learning. Sports biomechanics represents an important research area. It aims to analyze sports to quantitatively evaluate the perfo"&amp;"rmance of athletes, apply useful tools and guidelines for coaches during the athlete training, and prevent or reduce the risk of injury. Because compact wearable sensors do not affect the technical movements of athletes, recent technological innovation al"&amp;"lows exercise analysis in sports activities. This study involves the recovery of artificial intelligence and cloud auxiliary sports system. Rehabilitation node (1) and (2) information used to collect injured players and transmit them to the edge mode. The"&amp;" edge mode of Wi-Fi will be transmitted from Node (1) and Node (2) to the cloud server and web instrument board. We use EMG sensors (muscle electrical), EMC (electronics), optical, electrical, and gyro sensors. The calculation unit sends information to th"&amp;"e display unit and speaker with the help of battery power supply and keyboard.")</f>
        <v>The present invention involves the marginal nodes of monitoring rehabilitation athletes and a scalable system based on deep learning. Sports biomechanics represents an important research area. It aims to analyze sports to quantitatively evaluate the performance of athletes, apply useful tools and guidelines for coaches during the athlete training, and prevent or reduce the risk of injury. Because compact wearable sensors do not affect the technical movements of athletes, recent technological innovation allows exercise analysis in sports activities. This study involves the recovery of artificial intelligence and cloud auxiliary sports system. Rehabilitation node (1) and (2) information used to collect injured players and transmit them to the edge mode. The edge mode of Wi-Fi will be transmitted from Node (1) and Node (2) to the cloud server and web instrument board. We use EMG sensors (muscle electrical), EMC (electronics), optical, electrical, and gyro sensors. The calculation unit sends information to the display unit and speaker with the help of battery power supply and keyboard.</v>
      </c>
      <c r="D103" s="6" t="s">
        <v>306</v>
      </c>
      <c r="E103" s="4" t="str">
        <f ca="1">IFERROR(__xludf.DUMMYFUNCTION("GOOGLETRANSLATE(D103,""auto"",""en"")"),"Used to monitor the edge nodes of rehabilitation athletes and deep -learning -based scalable systems")</f>
        <v>Used to monitor the edge nodes of rehabilitation athletes and deep -learning -based scalable systems</v>
      </c>
    </row>
    <row r="104" spans="1:5" ht="15" x14ac:dyDescent="0.25">
      <c r="A104" s="5" t="s">
        <v>307</v>
      </c>
      <c r="B104" s="6" t="s">
        <v>308</v>
      </c>
      <c r="C104" s="3" t="str">
        <f ca="1">IFERROR(__xludf.DUMMYFUNCTION("GOOGLETRANSLATE(B104,""auto"",""en"")"),"The present invention provides a method of wearable intelligence -assisted shoulder straps and its blind hand -assisted interactive methods, including: information collection module, processor module, voice feedback module, and vibration warning module. T"&amp;"he information collection module sends the collected data information to the processor module processing. The processor module sends the information processing processing processing to the vibration warning module and voice feedback module, respectively. "&amp;"The vibration warning module urgently reminds people of the visually impaired by vibration. The information collection module, processor module, voice feedback module, and vibration warning module are built in smart shoulder straps and wear on the human b"&amp;"ody. The present invention perceives the external environment by using the RGB 利D camera, and processes information based on deep learning methods. Through voice and vibration, the visually impaired people can help visually impaired people perform running"&amp;" on the sports field. And improve the ability to perceive the environment of the sports field and your own ability.")</f>
        <v>The present invention provides a method of wearable intelligence -assisted shoulder straps and its blind hand -assisted interactive methods, including: information collection module, processor module, voice feedback module, and vibration warning module. The information collection module sends the collected data information to the processor module processing. The processor module sends the information processing processing processing to the vibration warning module and voice feedback module, respectively. The vibration warning module urgently reminds people of the visually impaired by vibration. The information collection module, processor module, voice feedback module, and vibration warning module are built in smart shoulder straps and wear on the human body. The present invention perceives the external environment by using the RGB 利D camera, and processes information based on deep learning methods. Through voice and vibration, the visually impaired people can help visually impaired people perform running on the sports field. And improve the ability to perceive the environment of the sports field and your own ability.</v>
      </c>
      <c r="D104" s="6" t="s">
        <v>309</v>
      </c>
      <c r="E104" s="4" t="str">
        <f ca="1">IFERROR(__xludf.DUMMYFUNCTION("GOOGLETRANSLATE(D104,""auto"",""en"")"),"The method of wearing intelligent blinding sports shoulder straps and its blind sexual assisted interaction")</f>
        <v>The method of wearing intelligent blinding sports shoulder straps and its blind sexual assisted interaction</v>
      </c>
    </row>
    <row r="105" spans="1:5" ht="15" x14ac:dyDescent="0.25">
      <c r="A105" s="5" t="s">
        <v>310</v>
      </c>
      <c r="B105" s="6" t="s">
        <v>311</v>
      </c>
      <c r="C105" s="3" t="str">
        <f ca="1">IFERROR(__xludf.DUMMYFUNCTION("GOOGLETRANSLATE(B105,""auto"",""en"")"),"Identify the system and methods of physical exercise, including: to imagine the user's body, use image processing to determine the reference point on the user's body, and apply the machine learning algorithm to identify the repeated reference point of the"&amp;" reference point determined from the receiving frame sequence. Essence The imaging device is repeatedly recognized by the recognition of at least two different users. The outline of the potential physical exercise is outlined based on the movement of the "&amp;"reference point, and the outline is verified as a physical exercise.")</f>
        <v>Identify the system and methods of physical exercise, including: to imagine the user's body, use image processing to determine the reference point on the user's body, and apply the machine learning algorithm to identify the repeated reference point of the reference point determined from the receiving frame sequence. Essence The imaging device is repeatedly recognized by the recognition of at least two different users. The outline of the potential physical exercise is outlined based on the movement of the reference point, and the outline is verified as a physical exercise.</v>
      </c>
      <c r="D105" s="6" t="s">
        <v>312</v>
      </c>
      <c r="E105" s="4" t="str">
        <f ca="1">IFERROR(__xludf.DUMMYFUNCTION("GOOGLETRANSLATE(D105,""auto"",""en"")"),"Identify the system and method of physical exercise")</f>
        <v>Identify the system and method of physical exercise</v>
      </c>
    </row>
    <row r="106" spans="1:5" ht="15" x14ac:dyDescent="0.25">
      <c r="A106" s="5" t="s">
        <v>313</v>
      </c>
      <c r="B106" s="6" t="s">
        <v>314</v>
      </c>
      <c r="C106" s="3" t="str">
        <f ca="1">IFERROR(__xludf.DUMMYFUNCTION("GOOGLETRANSLATE(B106,""auto"",""en"")"),"The system that provides digital AI legal questions on the embodiment of the present invention is to query the terminal, and requests legal consultation on the query content: and the case information of similar cases similar to the above query. Processed "&amp;"and establish databases in preset forms, and provide legal answers to the above query and negatively provided legal answers in accordance with the establishment information and law. After analyzing the artificial intelligence machine learning algorithm, t"&amp;"he AI ​​law/Q &amp; A server provides positive and negative values. Query terminals show the value to the user in the form of a meter. It is characterized by running.")</f>
        <v>The system that provides digital AI legal questions on the embodiment of the present invention is to query the terminal, and requests legal consultation on the query content: and the case information of similar cases similar to the above query. Processed and establish databases in preset forms, and provide legal answers to the above query and negatively provided legal answers in accordance with the establishment information and law. After analyzing the artificial intelligence machine learning algorithm, the AI ​​law/Q &amp; A server provides positive and negative values. Query terminals show the value to the user in the form of a meter. It is characterized by running.</v>
      </c>
      <c r="D106" s="6" t="s">
        <v>315</v>
      </c>
      <c r="E106" s="4" t="str">
        <f ca="1">IFERROR(__xludf.DUMMYFUNCTION("GOOGLETRANSLATE(D106,""auto"",""en"")"),"One system and method of providing quantitative artificial intelligence answering services for legal issues")</f>
        <v>One system and method of providing quantitative artificial intelligence answering services for legal issues</v>
      </c>
    </row>
    <row r="107" spans="1:5" ht="15" x14ac:dyDescent="0.25">
      <c r="A107" s="5" t="s">
        <v>316</v>
      </c>
      <c r="B107" s="6" t="s">
        <v>317</v>
      </c>
      <c r="C107" s="3" t="str">
        <f ca="1">IFERROR(__xludf.DUMMYFUNCTION("GOOGLETRANSLATE(B107,""auto"",""en"")"),"Emergency evacuation path planning methods facing large stadiums, including: (1) automatic identification and labeling of the goals of the stadium based on convolutional neural networks to build scene information The distribution of stadium personnel; (3)"&amp;" Finally, based on crowd density path planning algorithms, determine the evacuation path of each regional personnel. The invention conducts scientific detection and comprehensive analysis of real -time data such as crowd density, building terrain, and exp"&amp;"ort distribution, thereby achieving functions such as disaster detection, disaster distribution display, crowd evacuation, and rescue solutions. The advantage of the present invention is that when the danger occurs, you can quickly find the best evacuatio"&amp;"n path; scientific and intuitive, easy to use and operate; staff can fully simulate the whole process of evacuation and be familiar with the emergency procedure of disaster prevention in order to master sports. The venue information is immediately reacted"&amp;" when the disaster occurs.")</f>
        <v>Emergency evacuation path planning methods facing large stadiums, including: (1) automatic identification and labeling of the goals of the stadium based on convolutional neural networks to build scene information The distribution of stadium personnel; (3) Finally, based on crowd density path planning algorithms, determine the evacuation path of each regional personnel. The invention conducts scientific detection and comprehensive analysis of real -time data such as crowd density, building terrain, and export distribution, thereby achieving functions such as disaster detection, disaster distribution display, crowd evacuation, and rescue solutions. The advantage of the present invention is that when the danger occurs, you can quickly find the best evacuation path; scientific and intuitive, easy to use and operate; staff can fully simulate the whole process of evacuation and be familiar with the emergency procedure of disaster prevention in order to master sports. The venue information is immediately reacted when the disaster occurs.</v>
      </c>
      <c r="D107" s="6" t="s">
        <v>318</v>
      </c>
      <c r="E107" s="4" t="str">
        <f ca="1">IFERROR(__xludf.DUMMYFUNCTION("GOOGLETRANSLATE(D107,""auto"",""en"")"),"Planning methods for emergency evacuation path for large stadiums for large stadiums")</f>
        <v>Planning methods for emergency evacuation path for large stadiums for large stadiums</v>
      </c>
    </row>
    <row r="108" spans="1:5" ht="15" x14ac:dyDescent="0.25">
      <c r="A108" s="5" t="s">
        <v>319</v>
      </c>
      <c r="B108" s="6" t="s">
        <v>320</v>
      </c>
      <c r="C108" s="3" t="str">
        <f ca="1">IFERROR(__xludf.DUMMYFUNCTION("GOOGLETRANSLATE(B108,""auto"",""en"")"),"Smart bracelets have developed from fashion accessories to comprehensive health and fitness trackers, which can track daily activities, exercise, sleep and general health through various sensors. Smart watches that track blood pressure, abnormal arrhythmi"&amp;"a, and ECG. This should be based on artificial intelligence. If you have any problems, alert will be issued. Application with the above records. The edge -based smart bracelet is a wearable device that can track all aspects of your daily activities and pr"&amp;"ovide insights on your health and fitness. Some common functions of this device include step counting, heart rate monitoring, sleep tracking and calorie tracking. In addition to these basic functions, the bracelet can also have more advanced functions suc"&amp;"h as GPS tracking, blood oxygen monitoring, and pressure monitoring. These features allow you to better understand your health and fitness level.")</f>
        <v>Smart bracelets have developed from fashion accessories to comprehensive health and fitness trackers, which can track daily activities, exercise, sleep and general health through various sensors. Smart watches that track blood pressure, abnormal arrhythmia, and ECG. This should be based on artificial intelligence. If you have any problems, alert will be issued. Application with the above records. The edge -based smart bracelet is a wearable device that can track all aspects of your daily activities and provide insights on your health and fitness. Some common functions of this device include step counting, heart rate monitoring, sleep tracking and calorie tracking. In addition to these basic functions, the bracelet can also have more advanced functions such as GPS tracking, blood oxygen monitoring, and pressure monitoring. These features allow you to better understand your health and fitness level.</v>
      </c>
      <c r="D108" s="6" t="s">
        <v>321</v>
      </c>
      <c r="E108" s="4" t="str">
        <f ca="1">IFERROR(__xludf.DUMMYFUNCTION("GOOGLETRANSLATE(D108,""auto"",""en"")"),"Smart bracelets suitable for daily activities")</f>
        <v>Smart bracelets suitable for daily activities</v>
      </c>
    </row>
    <row r="109" spans="1:5" ht="15" x14ac:dyDescent="0.25">
      <c r="A109" s="5" t="s">
        <v>322</v>
      </c>
      <c r="B109" s="6" t="s">
        <v>323</v>
      </c>
      <c r="C109" s="3" t="str">
        <f ca="1">IFERROR(__xludf.DUMMYFUNCTION("GOOGLETRANSLATE(B109,""auto"",""en"")"),"The present invention belongs to the field of swimming posture evaluation system technology. It is specifically a swimming posture evaluation system based on action capture, including hardware systems and software systems. The hardware system includes POE"&amp;" switches, underwater cameras, GPU servers, data servers and clients. The output of the underwater camera is connected to the input terminal of the POE switch, which is connected to the input terminal of the GPU server, data server, and client. The output"&amp;" end of the video switch is connected to the input terminal of the display. The swimming posture evaluation system uses technologies such as database, process optimization, artificial intelligence and other technologies to build a swimming intelligent aux"&amp;"iliary training evaluation system to achieve automated control of swimming process, intelligent identification of swimming gesture, and scientific guidance function of swimming training to achieve rapid, efficient, efficient, efficient, efficient, efficie"&amp;"nt, efficient, efficient, efficient, and Controlled purpose.")</f>
        <v>The present invention belongs to the field of swimming posture evaluation system technology. It is specifically a swimming posture evaluation system based on action capture, including hardware systems and software systems. The hardware system includes POE switches, underwater cameras, GPU servers, data servers and clients. The output of the underwater camera is connected to the input terminal of the POE switch, which is connected to the input terminal of the GPU server, data server, and client. The output end of the video switch is connected to the input terminal of the display. The swimming posture evaluation system uses technologies such as database, process optimization, artificial intelligence and other technologies to build a swimming intelligent auxiliary training evaluation system to achieve automated control of swimming process, intelligent identification of swimming gesture, and scientific guidance function of swimming training to achieve rapid, efficient, efficient, efficient, efficient, efficient, efficient, efficient, efficient, and Controlled purpose.</v>
      </c>
      <c r="D109" s="6" t="s">
        <v>324</v>
      </c>
      <c r="E109" s="4" t="str">
        <f ca="1">IFERROR(__xludf.DUMMYFUNCTION("GOOGLETRANSLATE(D109,""auto"",""en"")"),"A swimming posture evaluation system based on action capture")</f>
        <v>A swimming posture evaluation system based on action capture</v>
      </c>
    </row>
    <row r="110" spans="1:5" ht="15" x14ac:dyDescent="0.25">
      <c r="A110" s="5" t="s">
        <v>325</v>
      </c>
      <c r="B110" s="6" t="s">
        <v>326</v>
      </c>
      <c r="C110" s="3" t="str">
        <f ca="1">IFERROR(__xludf.DUMMYFUNCTION("GOOGLETRANSLATE(B110,""auto"",""en"")"),"The present invention involves a stretched and breathable electronic tattoo sensor and its preparation methods, including: the piezoelectric sensor film; On the surface of the upper electrode and the two layers of silicone layers on the surface of the low"&amp;"er electrode; and the water -soluble polymer polymer layer attached to the silicone layer on the side of the skin surface; Some areas of the layer are hollowed out and form a highly ductive paper -cut pattern. Compared with the existing technology, the el"&amp;"ectronic tattoo sensor provided by the present invention can be adhered to the various body parts of the user, which will not cause any discomfort of the wearer. Monitor the human body's various biomechanical signals, including the signs of life, and vari"&amp;"ous physical movement signals, and achieve extensive application in clinical medical care, mobile fitness tracking, human -machine interaction, and virtual reality.")</f>
        <v>The present invention involves a stretched and breathable electronic tattoo sensor and its preparation methods, including: the piezoelectric sensor film; On the surface of the upper electrode and the two layers of silicone layers on the surface of the lower electrode; and the water -soluble polymer polymer layer attached to the silicone layer on the side of the skin surface; Some areas of the layer are hollowed out and form a highly ductive paper -cut pattern. Compared with the existing technology, the electronic tattoo sensor provided by the present invention can be adhered to the various body parts of the user, which will not cause any discomfort of the wearer. Monitor the human body's various biomechanical signals, including the signs of life, and various physical movement signals, and achieve extensive application in clinical medical care, mobile fitness tracking, human -machine interaction, and virtual reality.</v>
      </c>
      <c r="D110" s="6" t="s">
        <v>327</v>
      </c>
      <c r="E110" s="4" t="str">
        <f ca="1">IFERROR(__xludf.DUMMYFUNCTION("GOOGLETRANSLATE(D110,""auto"",""en"")"),"An electronic tattoo sensor and preparation method of stretching, breathing can be")</f>
        <v>An electronic tattoo sensor and preparation method of stretching, breathing can be</v>
      </c>
    </row>
    <row r="111" spans="1:5" ht="15" x14ac:dyDescent="0.25">
      <c r="A111" s="5" t="s">
        <v>328</v>
      </c>
      <c r="B111" s="6" t="s">
        <v>329</v>
      </c>
      <c r="C111" s="3" t="str">
        <f ca="1">IFERROR(__xludf.DUMMYFUNCTION("GOOGLETRANSLATE(B111,""auto"",""en"")"),"1. The name of the product of the design of the product: The product information display graphic user interface of the display screen panel.
 2. The purpose of designing products in this exterior: The design of the product is used to display the graphic"&amp;"al user interface.
 3. Design of the design of the product in appearance: lies in the graphic user interface.
 4. Pictures or photos that can best show design: Design 1 main view.
 5. Specify design 1 is the basic design.
 6. The purpose of graphi"&amp;"cal user interface: This graphic user interface is used to display product information.
 7. Human -computer interaction method of graphics user interface: Design 1 to Design 5 Main view User interface is the interface of product information display. Use"&amp;"rs can click on the bar control control of the lower part of the interface to enter the corresponding product details page or search results page. Form control position corresponds to design 1 ""XX lipstick"" and ""XX Essence Cream"" strip control positio"&amp;"n in the lower part of the Dravian.
 The gray color blocks in each design interface are replaceable pictures or videos.
 The fork number in each design interface represents text and/or numbers and/or alphabetics.
 8. Other situations that need to be"&amp;" described and other descriptions: (1) This graphic user interface can be used for mobile phones, computers, tablets, TVs, vehicle central control screens, vehicle navigators, vehicle display devices, game consoles, navigators, multimedia all -in -one mac"&amp;"hines, multimedia all -in -one machines , Smart speakers, smart fitness equipment, smart home appliances, robots with display screens, smart bracelets, smart watches, smart glasses, smart headphones, smart table lamps, smart door systems, advertising disp"&amp;"lay, automatic sale machine, display screen with display screen medical instruments.
 (2) The display screen panel is commonly designed, and the rear views, left view, right view, down -view view, and upper view of various designs are omitted.")</f>
        <v>1. The name of the product of the design of the product: The product information display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product information.
 7. Human -computer interaction method of graphics user interface: Design 1 to Design 5 Main view User interface is the interface of product information display. Users can click on the bar control control of the lower part of the interface to enter the corresponding product details page or search results page. Form control position corresponds to design 1 "XX lipstick" and "XX Essence Cream" strip control position in the lower part of the Dravian.
 The gray color blocks in each design interface are replaceable pictures or videos.
 The fork number in each design interface represents text and/or numbers and/or alphabetics.
 8. Other situations that need to be described and other descriptions: (1) This graphic user interface can be used for mobile phones, computers, tablets, TVs, vehicle central control screens, vehicle navigators, vehicle display devices, game consoles, navigators, multimedia all -in -one machines, multimedia all -in -one machines , Smart speakers, smart fitness equipment, smart home appliances, robots with display screens, smart bracelets, smart watches, smart glasses, smart headphones, smart table lamps, smart door systems, advertising display, automatic sale machine, display screen with display screen medical instruments.
 (2) The display screen panel is commonly designed, and the rear views, left view, right view, down -view view, and upper view of various designs are omitted.</v>
      </c>
      <c r="D111" s="6" t="s">
        <v>330</v>
      </c>
      <c r="E111" s="4" t="str">
        <f ca="1">IFERROR(__xludf.DUMMYFUNCTION("GOOGLETRANSLATE(D111,""auto"",""en"")"),"Product information display graphic user interface of display screen panel")</f>
        <v>Product information display graphic user interface of display screen panel</v>
      </c>
    </row>
    <row r="112" spans="1:5" ht="15" x14ac:dyDescent="0.25">
      <c r="A112" s="5" t="s">
        <v>331</v>
      </c>
      <c r="B112" s="6" t="s">
        <v>332</v>
      </c>
      <c r="C112" s="3" t="str">
        <f ca="1">IFERROR(__xludf.DUMMYFUNCTION("GOOGLETRANSLATE(B112,""auto"",""en"")"),"1. The name of the product in this exterior: The heart sound collection data reported data report user interface for display screen panels. 2. The purpose of designing products in this exterior: The display screen panel is used for interaction and display"&amp;" information. 3. Design of the design of the product in appearance: lies in the graphic user interface. 4. Pictures or photos that can most indicate design points: main view. 5. The display screen panel of this appearance is used to design, omitting the r"&amp;"ear view, left view, right view, downward view, and retry view. 6. The purpose of graphical user interface: The interface of this design is used for the collection of heart sound information. 7. Human -computer interaction method of graphical user interfa"&amp;"ce: The operation of the interface can be triggered by the operation of sliding or clicking the display screen panel, and gradually changes from the main view to the interface change state diagram 1 and the interface change state graph 2. In addition, use"&amp;"rs can click on the steps such as taking photos, recording (heart shape), playback, editing and other functions in the interface and trigger the corresponding functions. 8. Other situations that need to be described. Reference diagram description: The gra"&amp;"phic user interface designed in this exterior can be embedded in other applications (such as WeChat). Omitted. 9.其他需要说明的情形其他说明：本外观设计的显示屏幕面板可以应用于计算机、平板电脑、手机、智能手环、智能手表、智能眼镜、健身监视器、个人数字助理、智能音箱、电视、 Monitor, projector, set -top box, game machine, navigator, dis"&amp;"play screen for vehicles.")</f>
        <v>1. The name of the product in this exterior: The heart sound collection data reported data report user interface for display screen panels. 2. The purpose of designing products in this exterior: The display screen panel is used for interaction and display information. 3. Design of the design of the product in appearance: lies in the graphic user interface. 4. Pictures or photos that can most indicate design points: main view. 5. The display screen panel of this appearance is used to design, omitting the rear view, left view, right view, downward view, and retry view. 6. The purpose of graphical user interface: The interface of this design is used for the collection of heart sound information. 7. Human -computer interaction method of graphical user interface: The operation of the interface can be triggered by the operation of sliding or clicking the display screen panel, and gradually changes from the main view to the interface change state diagram 1 and the interface change state graph 2. In addition, users can click on the steps such as taking photos, recording (heart shape), playback, editing and other functions in the interface and trigger the corresponding functions. 8. Other situations that need to be described. Reference diagram description: The graphic user interface designed in this exterior can be embedded in other applications (such as WeChat). Omitted. 9.其他需要说明的情形其他说明：本外观设计的显示屏幕面板可以应用于计算机、平板电脑、手机、智能手环、智能手表、智能眼镜、健身监视器、个人数字助理、智能音箱、电视、 Monitor, projector, set -top box, game machine, navigator, display screen for vehicles.</v>
      </c>
      <c r="D112" s="6" t="s">
        <v>333</v>
      </c>
      <c r="E112" s="4" t="str">
        <f ca="1">IFERROR(__xludf.DUMMYFUNCTION("GOOGLETRANSLATE(D112,""auto"",""en"")"),"The heart sound collection data of the display screen panel reports the graphic user interface")</f>
        <v>The heart sound collection data of the display screen panel reports the graphic user interface</v>
      </c>
    </row>
    <row r="113" spans="1:5" ht="15" x14ac:dyDescent="0.25">
      <c r="A113" s="5" t="s">
        <v>334</v>
      </c>
      <c r="B113" s="6" t="s">
        <v>335</v>
      </c>
      <c r="C113" s="3" t="str">
        <f ca="1">IFERROR(__xludf.DUMMYFUNCTION("GOOGLETRANSLATE(B113,""auto"",""en"")"),"The present invention involves a user -based user customized non -face -to -face artificial swimming pool system based on the Internet of Things. More specifically, it can automatically perform swimming courses without time and place, and automatically cr"&amp;"eate appropriate artificial waves according to the user's personal health status and swimming level to achieve customized swimming exercises. Face -to -face artificial pool system based on the Internet of Things. To this end, the present invention include"&amp;"s the Kinect device unit, which detects the user's swimming movement; an artificial swimming equipment unit has a pool for users to swim, and includes the control unit control to generate artificial waves to generate a module; the equipment; the equipment"&amp;"; the equipment; Control unit, and connect with artificial swimming equipment units through wireless communication to control the water flow, flow, jet speed, and jet height of artificial swimming equipment to generate artificial swimming equipment. Exerc"&amp;"ise screens and other users' real -time game images and other information; it provides user -based IoT -based non -surface -based manual swimming pool systems, including the terminals that provide an appointment and payment for artificial swimming pools a"&amp;"nd personalized swimming exercise guidelines.")</f>
        <v>The present invention involves a user -based user customized non -face -to -face artificial swimming pool system based on the Internet of Things. More specifically, it can automatically perform swimming courses without time and place, and automatically create appropriate artificial waves according to the user's personal health status and swimming level to achieve customized swimming exercises. Face -to -face artificial pool system based on the Internet of Things. To this end, the present invention includes the Kinect device unit, which detects the user's swimming movement; an artificial swimming equipment unit has a pool for users to swim, and includes the control unit control to generate artificial waves to generate a module; the equipment; the equipment; the equipment; Control unit, and connect with artificial swimming equipment units through wireless communication to control the water flow, flow, jet speed, and jet height of artificial swimming equipment to generate artificial swimming equipment. Exercise screens and other users' real -time game images and other information; it provides user -based IoT -based non -surface -based manual swimming pool systems, including the terminals that provide an appointment and payment for artificial swimming pools and personalized swimming exercise guidelines.</v>
      </c>
      <c r="D113" s="6" t="s">
        <v>336</v>
      </c>
      <c r="E113" s="4" t="str">
        <f ca="1">IFERROR(__xludf.DUMMYFUNCTION("GOOGLETRANSLATE(D113,""auto"",""en"")"),"Users based on the Internet of Things customized non -native manual swimming pool system")</f>
        <v>Users based on the Internet of Things customized non -native manual swimming pool system</v>
      </c>
    </row>
    <row r="114" spans="1:5" ht="15" x14ac:dyDescent="0.25">
      <c r="A114" s="5" t="s">
        <v>337</v>
      </c>
      <c r="B114" s="6" t="s">
        <v>338</v>
      </c>
      <c r="C114" s="3" t="str">
        <f ca="1">IFERROR(__xludf.DUMMYFUNCTION("GOOGLETRANSLATE(B114,""auto"",""en"")"),"1. The name of the product of the design of the product: The shooting graphic user interface of the display screen panel. 2. The purpose of designing products in this exterior: used to display graphic user interface. 3. Design of the design of the product"&amp;" here: It is to display the content and layout of the graphical user interface in the display screen panel. 4. Pictures or photos that can most indicate design points: main view. 5. The purpose of graphical user interface: This graphic user interface is u"&amp;"sed to display and interact with human -computer. Starting from the main view, when the user switchs to the camera mode, click the shooting button to achieve the photo, then enter the interface change state Figure 1; starting from the main view, when the "&amp;"user switchs to the video mode, enter the interface changes. Starting, when the user switch to the video mode, press the shooting button, enter the interface change status Figure 3; starting from the main view, when selecting the filter function, enter th"&amp;"e interface change status Figure 4; starting from the main view, when selecting the filter, when the filter is selected, when the filter is selected, when selecting the filter Function, after browsing the right, enter the interface change state Figure 5; "&amp;"starting from the main view, after selecting the light icon, enter the interface change state Figure 6; starting from the main view, when selecting the beauty icon, enter the interface change state Figure 7. 6. Other situations that need to be explained a"&amp;"nd other descriptions: The display screen panel is used for: computers, laptops, tablets, mobile phones, smartphones, watches, smart watches, fitness monitor, headset headphones, smart bracelets, smart speakers, smart speakers , TV, monitor, projector, ga"&amp;"me console. 7. Because the design of this appearance requires the protection of the graphic user interface, and the display screen panel is commonly designed, the rear view, left view, right view, push -view, and retry view are omitted.")</f>
        <v>1. The name of the product of the design of the product: The shooting graphic user interface of the display screen panel. 2. The purpose of designing products in this exterior: used to display graphic user interface. 3. Design of the design of the product here: It is to display the content and layout of the graphical user interface in the display screen panel. 4. Pictures or photos that can most indicate design points: main view. 5. The purpose of graphical user interface: This graphic user interface is used to display and interact with human -computer. Starting from the main view, when the user switchs to the camera mode, click the shooting button to achieve the photo, then enter the interface change state Figure 1; starting from the main view, when the user switchs to the video mode, enter the interface changes. Starting, when the user switch to the video mode, press the shooting button, enter the interface change status Figure 3; starting from the main view, when selecting the filter function, enter the interface change status Figure 4; starting from the main view, when selecting the filter, when the filter is selected, when the filter is selected, when selecting the filter Function, after browsing the right, enter the interface change state Figure 5; starting from the main view, after selecting the light icon, enter the interface change state Figure 6; starting from the main view, when selecting the beauty icon, enter the interface change state Figure 7. 6. Other situations that need to be explained and other descriptions: The display screen panel is used for: computers, laptops, tablets, mobile phones, smartphones, watches, smart watches, fitness monitor, headset headphones, smart bracelets, smart speakers, smart speakers , TV, monitor, projector, game console. 7. Because the design of this appearance requires the protection of the graphic user interface, and the display screen panel is commonly designed, the rear view, left view, right view, push -view, and retry view are omitted.</v>
      </c>
      <c r="D114" s="6" t="s">
        <v>339</v>
      </c>
      <c r="E114" s="4" t="str">
        <f ca="1">IFERROR(__xludf.DUMMYFUNCTION("GOOGLETRANSLATE(D114,""auto"",""en"")"),"Shooting graphics user interface of display screen panel")</f>
        <v>Shooting graphics user interface of display screen panel</v>
      </c>
    </row>
    <row r="115" spans="1:5" ht="15" x14ac:dyDescent="0.25">
      <c r="A115" s="5" t="s">
        <v>340</v>
      </c>
      <c r="B115" s="6" t="s">
        <v>341</v>
      </c>
      <c r="C115" s="3" t="str">
        <f ca="1">IFERROR(__xludf.DUMMYFUNCTION("GOOGLETRANSLATE(B115,""auto"",""en"")"),"1. Design product name: run consumption of display screen panels and music player graphics user interface.
 2. Design product use: Display graphic user interface.
 3. Design of the design of the product here: lies in the graphic user page displayed on"&amp;" the display screen panel.
 4. Pictures or photos that can most indicate design points: main view.
 5. The display screen panel is commonly designed, omitting left view, right view, down -view view, viewing view, rear view.
 6. The purpose of the gr"&amp;"aphical user interface: The interface of the design of the product in this exterior is the interface of running consumption and music player.
 Users can view the duration of this movement, heart rate and calorie.
 Users can control the music player by"&amp;" themselves during exercise.
 The fork number on this design page represents text and/or numbers and/or alphabetics.
 The fork number at the small bell in the upper right corner represents the number of unreasonable messages.
 This display screen pa"&amp;"nel is used for mobile phones.
 7. Human -computer interaction method of graphical user interface: Click the small humanoid icon in the upper right corner to jump to the personal center page.
 Click the small bell icon in the upper right corner to jum"&amp;"p to the unreasonable message page.
 Click the triangle symbol to adjust the previous or next music, click the circle plus two vertical line icons to pause or play music.")</f>
        <v>1. Design product name: run consumption of display screen panels and music player graphics user interface.
 2. Design product use: Display graphic user interface.
 3. Design of the design of the product here: lies in the graphic user page displayed on the display screen panel.
 4. Pictures or photos that can most indicate design points: main view.
 5. The display screen panel is commonly designed, omitting left view, right view, down -view view, viewing view, rear view.
 6. The purpose of the graphical user interface: The interface of the design of the product in this exterior is the interface of running consumption and music player.
 Users can view the duration of this movement, heart rate and calorie.
 Users can control the music player by themselves during exercise.
 The fork number on this design page represents text and/or numbers and/or alphabetics.
 The fork number at the small bell in the upper right corner represents the number of unreasonable messages.
 This display screen panel is used for mobile phones.
 7. Human -computer interaction method of graphical user interface: Click the small humanoid icon in the upper right corner to jump to the personal center page.
 Click the small bell icon in the upper right corner to jump to the unreasonable message page.
 Click the triangle symbol to adjust the previous or next music, click the circle plus two vertical line icons to pause or play music.</v>
      </c>
      <c r="D115" s="6" t="s">
        <v>342</v>
      </c>
      <c r="E115" s="4" t="str">
        <f ca="1">IFERROR(__xludf.DUMMYFUNCTION("GOOGLETRANSLATE(D115,""auto"",""en"")"),"Running consumption of display screen panels and music player graphics user interface")</f>
        <v>Running consumption of display screen panels and music player graphics user interface</v>
      </c>
    </row>
    <row r="116" spans="1:5" ht="15" x14ac:dyDescent="0.25">
      <c r="A116" s="5" t="s">
        <v>343</v>
      </c>
      <c r="B116" s="6" t="s">
        <v>344</v>
      </c>
      <c r="C116" s="3" t="str">
        <f ca="1">IFERROR(__xludf.DUMMYFUNCTION("GOOGLETRANSLATE(B116,""auto"",""en"")"),"The present invention provides a position measurement method based on a neural network -based software operation arm, including: S1, setting a mark point on the outer side of the software operation arm, controlling the software operation arm bending and d"&amp;"eforming. Tao, the second cavity and the third cavity, the outer wall interval distribution of the bull and convex structure, operates the arm of the air pressure control software in the first cavity, the second cavity, and the third cavity in the third c"&amp;"avity. Image; s3, extract the software operation arm bending image. Among them, by establishing identifying neural networks, extracting the software to operate the arm curved deformation image from the image taken by the camera; Steel operation of the bit"&amp;"ing position of the software operation of the arm. The present invention uses two independent neural networks to ""identify"" and ""measurement"" the software operation arm respectively, and completes the software operating arm position measurement based "&amp;"on the visual sensing method.")</f>
        <v>The present invention provides a position measurement method based on a neural network -based software operation arm, including: S1, setting a mark point on the outer side of the software operation arm, controlling the software operation arm bending and deforming. Tao, the second cavity and the third cavity, the outer wall interval distribution of the bull and convex structure, operates the arm of the air pressure control software in the first cavity, the second cavity, and the third cavity in the third cavity. Image; s3, extract the software operation arm bending image. Among them, by establishing identifying neural networks, extracting the software to operate the arm curved deformation image from the image taken by the camera; Steel operation of the biting position of the software operation of the arm. The present invention uses two independent neural networks to "identify" and "measurement" the software operation arm respectively, and completes the software operating arm position measurement based on the visual sensing method.</v>
      </c>
      <c r="D116" s="6" t="s">
        <v>345</v>
      </c>
      <c r="E116" s="4" t="str">
        <f ca="1">IFERROR(__xludf.DUMMYFUNCTION("GOOGLETRANSLATE(D116,""auto"",""en"")"),"A method of biting the position of the software based on the neural network")</f>
        <v>A method of biting the position of the software based on the neural network</v>
      </c>
    </row>
    <row r="117" spans="1:5" ht="15" x14ac:dyDescent="0.25">
      <c r="A117" s="5" t="s">
        <v>346</v>
      </c>
      <c r="B117" s="6" t="s">
        <v>347</v>
      </c>
      <c r="C117" s="3" t="str">
        <f ca="1">IFERROR(__xludf.DUMMYFUNCTION("GOOGLETRANSLATE(B117,""auto"",""en"")"),"1. The name of the product of the design of the product: The graphic user interface used for display screen panels. 2. The purpose of designing products in this exterior: It is used for shooting or equipment settings such as running programs, displaying c"&amp;"ameras, and cloud cameras. 3. Design of the design of the product in this exterior: lies in the graphic user interface in the display screen panel. 4. Pictures or photos that can most indicate design points: main view. 5. The purpose of the graphical user"&amp;" interface: The design interface of this appearance is the graphical user interface taken in the display screen panel. 6. Human -machine interaction method of graphical user interface: The main view is the interface of the shooting device such as camera, "&amp;"gimbal camera, etc. When the basketball mode enters the camera function, the graphic user interface displays the main view. When the user clicks the yellow long bars icon in the main view interface to enter the interface shown in the interface change stat"&amp;"e. When the user clicks the red circular icon on the right side of the main screen interface to enter the interface shown in the interface change state. ""X"" in various interfaces represents variable text content areas, including text and/or numbers and/"&amp;"or symbols. Lord's use status reference diagram corresponds to the main view, use status reference Figure 1 Corresponding interface change state Figure 1, Reference status reference Figure 2 Corresponding interface change state Figure 2.7. Other situation"&amp;"s that need to be described. Mobile phones, tablets and computers.")</f>
        <v>1. The name of the product of the design of the product: The graphic user interface used for display screen panels. 2. The purpose of designing products in this exterior: It is used for shooting or equipment settings such as running programs, displaying cameras, and cloud cameras. 3. Design of the design of the product in this exterior: lies in the graphic user interface in the display screen panel. 4. Pictures or photos that can most indicate design points: main view. 5. The purpose of the graphical user interface: The design interface of this appearance is the graphical user interface taken in the display screen panel. 6. Human -machine interaction method of graphical user interface: The main view is the interface of the shooting device such as camera, gimbal camera, etc. When the basketball mode enters the camera function, the graphic user interface displays the main view. When the user clicks the yellow long bars icon in the main view interface to enter the interface shown in the interface change state. When the user clicks the red circular icon on the right side of the main screen interface to enter the interface shown in the interface change state. "X" in various interfaces represents variable text content areas, including text and/or numbers and/or symbols. Lord's use status reference diagram corresponds to the main view, use status reference Figure 1 Corresponding interface change state Figure 1, Reference status reference Figure 2 Corresponding interface change state Figure 2.7. Other situations that need to be described. Mobile phones, tablets and computers.</v>
      </c>
      <c r="D117" s="6" t="s">
        <v>348</v>
      </c>
      <c r="E117" s="4" t="str">
        <f ca="1">IFERROR(__xludf.DUMMYFUNCTION("GOOGLETRANSLATE(D117,""auto"",""en"")"),"Used for graphic user interface taken by display screen panel")</f>
        <v>Used for graphic user interface taken by display screen panel</v>
      </c>
    </row>
    <row r="118" spans="1:5" ht="15" x14ac:dyDescent="0.25">
      <c r="A118" s="5" t="s">
        <v>349</v>
      </c>
      <c r="B118" s="6" t="s">
        <v>350</v>
      </c>
      <c r="C118" s="3" t="str">
        <f ca="1">IFERROR(__xludf.DUMMYFUNCTION("GOOGLETRANSLATE(B118,""auto"",""en"")"),"The present invention is a badminton quality testing technology field. It involves a VIT -based badminton head cork image recognition method and their sorting methods. In order to solve the problem of low manual sorting efficiency of badminton head cork, "&amp;"this solution passes step 1: Collect badminton. Head cork image, artificial labeling is labeled; step 2: Image collection of cork circular chips, build negative sample sets, and draw parts from good products for image collection to build positive sample s"&amp;"ets; step 3: For negative sample samples Enhance the restrictions of lack of bad products to achieve the balance of positive and negative samples; step 4: expand the sample; step 5: offline training according to the number of samples after expansion, and "&amp;"then get parameters of deep learning models; step 6: 6: According to the results of the deep learning model, according to the logic of the quality of the cork round tablet, the four quality levels are determined, and the automatic recognition and sorting "&amp;"of the cork of the badminton head is completed to improve the sorting efficiency and sorting accuracy.")</f>
        <v>The present invention is a badminton quality testing technology field. It involves a VIT -based badminton head cork image recognition method and their sorting methods. In order to solve the problem of low manual sorting efficiency of badminton head cork, this solution passes step 1: Collect badminton. Head cork image, artificial labeling is labeled; step 2: Image collection of cork circular chips, build negative sample sets, and draw parts from good products for image collection to build positive sample sets; step 3: For negative sample samples Enhance the restrictions of lack of bad products to achieve the balance of positive and negative samples; step 4: expand the sample; step 5: offline training according to the number of samples after expansion, and then get parameters of deep learning models; step 6: 6: According to the results of the deep learning model, according to the logic of the quality of the cork round tablet, the four quality levels are determined, and the automatic recognition and sorting of the cork of the badminton head is completed to improve the sorting efficiency and sorting accuracy.</v>
      </c>
      <c r="D118" s="6" t="s">
        <v>351</v>
      </c>
      <c r="E118" s="4" t="str">
        <f ca="1">IFERROR(__xludf.DUMMYFUNCTION("GOOGLETRANSLATE(D118,""auto"",""en"")"),"A cork image recognition method and sorting method based on VIT -based badminton head")</f>
        <v>A cork image recognition method and sorting method based on VIT -based badminton head</v>
      </c>
    </row>
    <row r="119" spans="1:5" ht="15" x14ac:dyDescent="0.25">
      <c r="A119" s="5" t="s">
        <v>352</v>
      </c>
      <c r="B119" s="6" t="s">
        <v>353</v>
      </c>
      <c r="C119" s="3" t="str">
        <f ca="1">IFERROR(__xludf.DUMMYFUNCTION("GOOGLETRANSLATE(B119,""auto"",""en"")"),"1. The name of the product designed this product: The answer to the screen panel is uploaded to upload the graphical user interface.
 2. The purpose of designing products in this exterior: The display screen panel is used for interaction and display inf"&amp;"ormation.
 3. Design of the design of the product in appearance: lies in the graphic user interface.
 4. Pictures or photos that can most indicate design points: main view.
 5. The display screen panel of the product is used for usual design. The ba"&amp;"ck view, left view, right view, down -view view and retry view are omitted.
 6. The purpose of the graphical user interface: This design is used to take answers and upload answers photos during subjective questions test exercises.
 7. Human -computer "&amp;"interaction method of graphical user interface: The main view shows the answer camera interface. The buttons such as ""Continue Add"", ""Delete this Zhang"" and ""Confirmation Upload"" in the interface are used to achieve human -machine interaction.
 8."&amp;" The display screen panel of this product can be applied to computers, laptops, tablet computers, mobile phones, smartphones, smart glasses, watches, smart watches, fitness monitor, headset headphones, personal digital assistants, personal digital assista"&amp;"nts , Smart speakers, television, monitor, projector, set -top box, game machine, navigator, display screen for vehicles.")</f>
        <v>1. The name of the product designed this product: The answer to the screen panel is uploaded to upload the graphical user interface.
 2. The purpose of designing products in this exterior: The display screen panel is used for interaction and display information.
 3. Design of the design of the product in appearance: lies in the graphic user interface.
 4. Pictures or photos that can most indicate design points: main view.
 5. The display screen panel of the product is used for usual design. The back view, left view, right view, down -view view and retry view are omitted.
 6. The purpose of the graphical user interface: This design is used to take answers and upload answers photos during subjective questions test exercises.
 7. Human -computer interaction method of graphical user interface: The main view shows the answer camera interface. The buttons such as "Continue Add", "Delete this Zhang" and "Confirmation Upload" in the interface are used to achieve human -machine interaction.
 8. The display screen panel of this product can be applied to computers, laptops, tablet computers, mobile phones, smartphones, smart glasses, watches, smart watches, fitness monitor, headset headphones, personal digital assistants, personal digital assistants , Smart speakers, television, monitor, projector, set -top box, game machine, navigator, display screen for vehicles.</v>
      </c>
      <c r="D119" s="6" t="s">
        <v>354</v>
      </c>
      <c r="E119" s="4" t="str">
        <f ca="1">IFERROR(__xludf.DUMMYFUNCTION("GOOGLETRANSLATE(D119,""auto"",""en"")"),"Answer for the display screen panel to take a picture upload the graphical user interface")</f>
        <v>Answer for the display screen panel to take a picture upload the graphical user interface</v>
      </c>
    </row>
    <row r="120" spans="1:5" ht="15" x14ac:dyDescent="0.25">
      <c r="A120" s="5" t="s">
        <v>355</v>
      </c>
      <c r="B120" s="6" t="s">
        <v>356</v>
      </c>
      <c r="C120" s="3" t="str">
        <f ca="1">IFERROR(__xludf.DUMMYFUNCTION("GOOGLETRANSLATE(B120,""auto"",""en"")"),"The present invention discloses a balanced wood game feedback system and feedback method based on deep photography technology. The method includes the following steps: Step1, photos of gymnastic athletes through deep camera cameras, to produce athletes' m"&amp;"ovement data sets, and on data Make enhanced processing; STEP2, use NnFormer as a gymnast as a gymnast to add split action segmentation model, use supervision and learning training action division model; STEP3, improve the supervision learning method, and"&amp;" train the improved model; STEP4, use the trained children The model divides the image. STEP5, combined with the game feedback system, perform intelligent scoring correction. The present invention proposes to improve the supervision and learning method. C"&amp;"ombining computer vision, the accuracy rate is higher, and it will not increase the reasoning time. The practicality and generalization of the model are higher. And the present invention combines the game feedback system, which can increase the fun of the"&amp;" athletes and be applied to life.")</f>
        <v>The present invention discloses a balanced wood game feedback system and feedback method based on deep photography technology. The method includes the following steps: Step1, photos of gymnastic athletes through deep camera cameras, to produce athletes' movement data sets, and on data Make enhanced processing; STEP2, use NnFormer as a gymnast as a gymnast to add split action segmentation model, use supervision and learning training action division model; STEP3, improve the supervision learning method, and train the improved model; STEP4, use the trained children The model divides the image. STEP5, combined with the game feedback system, perform intelligent scoring correction. The present invention proposes to improve the supervision and learning method. Combining computer vision, the accuracy rate is higher, and it will not increase the reasoning time. The practicality and generalization of the model are higher. And the present invention combines the game feedback system, which can increase the fun of the athletes and be applied to life.</v>
      </c>
      <c r="D120" s="6" t="s">
        <v>357</v>
      </c>
      <c r="E120" s="4" t="str">
        <f ca="1">IFERROR(__xludf.DUMMYFUNCTION("GOOGLETRANSLATE(D120,""auto"",""en"")"),"A balance wood game feedback system and feedback method based on deep photography technology")</f>
        <v>A balance wood game feedback system and feedback method based on deep photography technology</v>
      </c>
    </row>
    <row r="121" spans="1:5" ht="15" x14ac:dyDescent="0.25">
      <c r="A121" s="5" t="s">
        <v>358</v>
      </c>
      <c r="B121" s="6" t="s">
        <v>359</v>
      </c>
      <c r="C121" s="3" t="str">
        <f ca="1">IFERROR(__xludf.DUMMYFUNCTION("GOOGLETRANSLATE(B121,""auto"",""en"")"),"The number of mobile phone users in the world is increasing. The surge of mobile systems equipped with sensors makes the increase in situations perception of user interfaces possible, thereby providing personalized system services based on the situation o"&amp;"f end users. Systems based on machine learning collecting user perception data, but did not provide clear statements about the use and disclosure of sensitive data. The system includes GPS, acceleration meter, agent sensor and microphone to infer the inte"&amp;"lligent mobile system. This model includes the Geo-note that reminds users during the running, tracking the user's location, and jogging track.")</f>
        <v>The number of mobile phone users in the world is increasing. The surge of mobile systems equipped with sensors makes the increase in situations perception of user interfaces possible, thereby providing personalized system services based on the situation of end users. Systems based on machine learning collecting user perception data, but did not provide clear statements about the use and disclosure of sensitive data. The system includes GPS, acceleration meter, agent sensor and microphone to infer the intelligent mobile system. This model includes the Geo-note that reminds users during the running, tracking the user's location, and jogging track.</v>
      </c>
      <c r="D121" s="6" t="s">
        <v>360</v>
      </c>
      <c r="E121" s="4" t="str">
        <f ca="1">IFERROR(__xludf.DUMMYFUNCTION("GOOGLETRANSLATE(D121,""auto"",""en"")"),"Methods and systems to improve the service quality of the mobile system based on context")</f>
        <v>Methods and systems to improve the service quality of the mobile system based on context</v>
      </c>
    </row>
    <row r="122" spans="1:5" ht="15" x14ac:dyDescent="0.25">
      <c r="A122" s="5" t="s">
        <v>361</v>
      </c>
      <c r="B122" s="6" t="s">
        <v>362</v>
      </c>
      <c r="C122" s="3" t="str">
        <f ca="1">IFERROR(__xludf.DUMMYFUNCTION("GOOGLETRANSLATE(B122,""auto"",""en"")"),"The present invention disclosed a table tennis serving system and methods based on deep learning, including the serve machine, control module and deep learning module. The control module is set in the serve mechanism. The control module connects the image"&amp;" acquisition module through the data analysis and processing module. The identification of the camera and the infrared camera are connected to the image acquisition module. Serving institution. The beneficiary effect of the present invention: The present "&amp;"invention sets the identification camera and deep learning module, identifies the camera to know the table tennis mode sent by others, and then the deep learning module will then the machine to remember this mode. , Realize the need to get closer to actua"&amp;"l training.")</f>
        <v>The present invention disclosed a table tennis serving system and methods based on deep learning, including the serve machine, control module and deep learning module. The control module is set in the serve mechanism. The control module connects the image acquisition module through the data analysis and processing module. The identification of the camera and the infrared camera are connected to the image acquisition module. Serving institution. The beneficiary effect of the present invention: The present invention sets the identification camera and deep learning module, identifies the camera to know the table tennis mode sent by others, and then the deep learning module will then the machine to remember this mode. , Realize the need to get closer to actual training.</v>
      </c>
      <c r="D122" s="6" t="s">
        <v>363</v>
      </c>
      <c r="E122" s="4" t="str">
        <f ca="1">IFERROR(__xludf.DUMMYFUNCTION("GOOGLETRANSLATE(D122,""auto"",""en"")"),"A series and method of a table tennis hair player based on deep learning")</f>
        <v>A series and method of a table tennis hair player based on deep learning</v>
      </c>
    </row>
    <row r="123" spans="1:5" ht="15" x14ac:dyDescent="0.25">
      <c r="A123" s="5" t="s">
        <v>364</v>
      </c>
      <c r="B123" s="6" t="s">
        <v>365</v>
      </c>
      <c r="C123" s="3" t="str">
        <f ca="1">IFERROR(__xludf.DUMMYFUNCTION("GOOGLETRANSLATE(B123,""auto"",""en"")"),"The invention involves the field of computer vision monitoring technology, which specifically provides a goal detection method based on multimodal visual information fusion, including: arranging thermal imaging camera in the swimming pool, visible light c"&amp;"amera, and the server obtains thermal imaging data through the shared memory mechanism. Observe visible light data through the RTSP protocol; different image pre -processing of the data of the two modals; the images of the two modals are performed indepen"&amp;"dent YOLOV4 target detection and tracking. The present invention cleverly uses the heat of the water surface to pass through the water surface, and the characteristics of visible light images are comprehensive. It can accurately identify the human body in"&amp;" the complex and changeable swimming view through the deep learning target detection algorithm, and then through the characteristics of motion consistency It has the characteristics of high accuracy, timely discovery, and wide applications.")</f>
        <v>The invention involves the field of computer vision monitoring technology, which specifically provides a goal detection method based on multimodal visual information fusion, including: arranging thermal imaging camera in the swimming pool, visible light camera, and the server obtains thermal imaging data through the shared memory mechanism. Observe visible light data through the RTSP protocol; different image pre -processing of the data of the two modals; the images of the two modals are performed independent YOLOV4 target detection and tracking. The present invention cleverly uses the heat of the water surface to pass through the water surface, and the characteristics of visible light images are comprehensive. It can accurately identify the human body in the complex and changeable swimming view through the deep learning target detection algorithm, and then through the characteristics of motion consistency It has the characteristics of high accuracy, timely discovery, and wide applications.</v>
      </c>
      <c r="D123" s="6" t="s">
        <v>366</v>
      </c>
      <c r="E123" s="4" t="str">
        <f ca="1">IFERROR(__xludf.DUMMYFUNCTION("GOOGLETRANSLATE(D123,""auto"",""en"")"),"A goal detection method based on multimodal visual information fusion")</f>
        <v>A goal detection method based on multimodal visual information fusion</v>
      </c>
    </row>
    <row r="124" spans="1:5" ht="15" x14ac:dyDescent="0.25">
      <c r="A124" s="5" t="s">
        <v>367</v>
      </c>
      <c r="B124" s="6" t="s">
        <v>368</v>
      </c>
      <c r="C124" s="3" t="str">
        <f ca="1">IFERROR(__xludf.DUMMYFUNCTION("GOOGLETRANSLATE(B124,""auto"",""en"")"),"The present invention proposes a shooting method and system that matches with the position analysis and the position, involving the visual field of computer, pre -processing the collected shooting video to get the video image sequence; Value image, determ"&amp;"ine the sports target, build a basketball trajectory based on the center point of the basketball in the sports target, and determine the starting point of the shooting trajectory; according to the starting point of basketball trajectory and shooting traje"&amp;"ctory, deduct the running trajectory, determine the position of the shot and shooting players Press; based on the position of the shooting player, determine the shooting point of the shooting player; the present invention extracts the basketball trajector"&amp;"y and the athlete's hand posture from the static image sequence. Based on these two information The estimation of the initial point, the automatic test of the shooter's goal point will help coaches and athletes formulate tactical strategies and simulation"&amp;" training directions, and increase the winning rate of the team.")</f>
        <v>The present invention proposes a shooting method and system that matches with the position analysis and the position, involving the visual field of computer, pre -processing the collected shooting video to get the video image sequence; Value image, determine the sports target, build a basketball trajectory based on the center point of the basketball in the sports target, and determine the starting point of the shooting trajectory; according to the starting point of basketball trajectory and shooting trajectory, deduct the running trajectory, determine the position of the shot and shooting players Press; based on the position of the shooting player, determine the shooting point of the shooting player; the present invention extracts the basketball trajectory and the athlete's hand posture from the static image sequence. Based on these two information The estimation of the initial point, the automatic test of the shooter's goal point will help coaches and athletes formulate tactical strategies and simulation training directions, and increase the winning rate of the team.</v>
      </c>
      <c r="D124" s="6" t="s">
        <v>369</v>
      </c>
      <c r="E124" s="4" t="str">
        <f ca="1">IFERROR(__xludf.DUMMYFUNCTION("GOOGLETRANSLATE(D124,""auto"",""en"")"),"Based on shooting curve analysis and position matching method and system")</f>
        <v>Based on shooting curve analysis and position matching method and system</v>
      </c>
    </row>
    <row r="125" spans="1:5" ht="15" x14ac:dyDescent="0.25">
      <c r="A125" s="5" t="s">
        <v>370</v>
      </c>
      <c r="B125" s="6" t="s">
        <v>371</v>
      </c>
      <c r="C125" s="3" t="str">
        <f ca="1">IFERROR(__xludf.DUMMYFUNCTION("GOOGLETRANSLATE(B125,""auto"",""en"")"),"A cloud -based method and method with integrated medical care diagnosis and treatment capabilities. In one embodiment, the system and methods include cloud -based game platforms. The platform includes the front end of various game clients that can operate"&amp;" the game environment on one or more game servers, and a game provided by the game server used by the game server. Database and analysis back end. The operating game environment, as well as medical care diagnostic diagnosis and treatment modules integrate"&amp;"d into the platform, including security gateways that meet the HIPPA standards, artificial intelligence auxiliary medical care diagnostic modules, and alarm and treatment modules. Exercise on the fitness equipment compatible with cloud -based game platfor"&amp;"ms can make users feel happy, and at the same time capture data on the physical and psychological performance of the user. These data can be used to diagnose the medical status of the medical treatment. The treatment scheme is through the task in the game"&amp;" environment.")</f>
        <v>A cloud -based method and method with integrated medical care diagnosis and treatment capabilities. In one embodiment, the system and methods include cloud -based game platforms. The platform includes the front end of various game clients that can operate the game environment on one or more game servers, and a game provided by the game server used by the game server. Database and analysis back end. The operating game environment, as well as medical care diagnostic diagnosis and treatment modules integrated into the platform, including security gateways that meet the HIPPA standards, artificial intelligence auxiliary medical care diagnostic modules, and alarm and treatment modules. Exercise on the fitness equipment compatible with cloud -based game platforms can make users feel happy, and at the same time capture data on the physical and psychological performance of the user. These data can be used to diagnose the medical status of the medical treatment. The treatment scheme is through the task in the game environment.</v>
      </c>
      <c r="D125" s="6" t="s">
        <v>372</v>
      </c>
      <c r="E125" s="4" t="str">
        <f ca="1">IFERROR(__xludf.DUMMYFUNCTION("GOOGLETRANSLATE(D125,""auto"",""en"")"),"Health -related data collection system of medical diagnosis and treatment platform")</f>
        <v>Health -related data collection system of medical diagnosis and treatment platform</v>
      </c>
    </row>
    <row r="126" spans="1:5" ht="15" x14ac:dyDescent="0.25">
      <c r="A126" s="5" t="s">
        <v>373</v>
      </c>
      <c r="B126" s="6" t="s">
        <v>374</v>
      </c>
      <c r="C126" s="3" t="str">
        <f ca="1">IFERROR(__xludf.DUMMYFUNCTION("GOOGLETRANSLATE(B126,""auto"",""en"")"),"The present invention proposes a shooting rate prediction method and system that combines the discrimination and strength estimation of the position, involves the field of computer vision technology, and processes the continuous video data of panoramic im"&amp;"ages of the field and continuous video of the player from preparing to shoot. Images; get the coordinates of the wrist, elbow, and the shoulders of the ball to determine the pitching direction of the pitch; use video target tracking to estimate the pitchi"&amp;"ng strength; based on the pitching direction and pitching strength, determine the basketball displacement curve, and finally determine whether to shoot the ball. Fate; the present invention only needs to obtain the video information from the player to sho"&amp;"t, analyze the position of the shooting athlete at the time of shooting, and determine whether the angle of the shot is consistent with the position of the basket. This information calculates the relationship between the launch direction and the coordinat"&amp;"es of the basket, and predict whether the ultimate goal is to improve the efficiency and accuracy of the shooting rate prediction, and better assist the player training.")</f>
        <v>The present invention proposes a shooting rate prediction method and system that combines the discrimination and strength estimation of the position, involves the field of computer vision technology, and processes the continuous video data of panoramic images of the field and continuous video of the player from preparing to shoot. Images; get the coordinates of the wrist, elbow, and the shoulders of the ball to determine the pitching direction of the pitch; use video target tracking to estimate the pitching strength; based on the pitching direction and pitching strength, determine the basketball displacement curve, and finally determine whether to shoot the ball. Fate; the present invention only needs to obtain the video information from the player to shot, analyze the position of the shooting athlete at the time of shooting, and determine whether the angle of the shot is consistent with the position of the basket. This information calculates the relationship between the launch direction and the coordinates of the basket, and predict whether the ultimate goal is to improve the efficiency and accuracy of the shooting rate prediction, and better assist the player training.</v>
      </c>
      <c r="D126" s="6" t="s">
        <v>375</v>
      </c>
      <c r="E126" s="4" t="str">
        <f ca="1">IFERROR(__xludf.DUMMYFUNCTION("GOOGLETRANSLATE(D126,""auto"",""en"")"),"The shooting rate prediction method and system that combines the discrimination and strength estimation of the bit posture")</f>
        <v>The shooting rate prediction method and system that combines the discrimination and strength estimation of the bit posture</v>
      </c>
    </row>
    <row r="127" spans="1:5" ht="15" x14ac:dyDescent="0.25">
      <c r="A127" s="5" t="s">
        <v>376</v>
      </c>
      <c r="B127" s="6" t="s">
        <v>377</v>
      </c>
      <c r="C127" s="3" t="str">
        <f ca="1">IFERROR(__xludf.DUMMYFUNCTION("GOOGLETRANSLATE(B127,""auto"",""en"")"),"The invention discloses a recommended method of fitness planning course based on the knowledge map, which involves the field of fitness and personalized recommendation. The recommendation method of the fitness planning course based on the knowledge map in"&amp;"cludes collecting the user's physical fitness characteristics and the data set of the fitness action course, the knowledge attributes of the fitness courses are described, and the structured knowledge map will be used. V is used as an input. The output is"&amp;" the probability of the user's physical fitness characteristics U to train the training course. The recommendation method of the fitness planning course based on the knowledge map, the fitness personalization recommendation based on the Ripplent is more f"&amp;"inely grained than the CF recommendation model to find the potential fitness movement of the user, and enriches the diversity To 90 %, AUC value to 84.4 %.")</f>
        <v>The invention discloses a recommended method of fitness planning course based on the knowledge map, which involves the field of fitness and personalized recommendation. The recommendation method of the fitness planning course based on the knowledge map includes collecting the user's physical fitness characteristics and the data set of the fitness action course, the knowledge attributes of the fitness courses are described, and the structured knowledge map will be used. V is used as an input. The output is the probability of the user's physical fitness characteristics U to train the training course. The recommendation method of the fitness planning course based on the knowledge map, the fitness personalization recommendation based on the Ripplent is more finely grained than the CF recommendation model to find the potential fitness movement of the user, and enriches the diversity To 90 %, AUC value to 84.4 %.</v>
      </c>
      <c r="D127" s="6" t="s">
        <v>378</v>
      </c>
      <c r="E127" s="4" t="str">
        <f ca="1">IFERROR(__xludf.DUMMYFUNCTION("GOOGLETRANSLATE(D127,""auto"",""en"")"),"A recommendation method for fitness planning courses based on knowledge map")</f>
        <v>A recommendation method for fitness planning courses based on knowledge map</v>
      </c>
    </row>
    <row r="128" spans="1:5" ht="15" x14ac:dyDescent="0.25">
      <c r="A128" s="5" t="s">
        <v>379</v>
      </c>
      <c r="B128" s="6" t="s">
        <v>380</v>
      </c>
      <c r="C128" s="3" t="str">
        <f ca="1">IFERROR(__xludf.DUMMYFUNCTION("GOOGLETRANSLATE(B128,""auto"",""en"")"),"The present invention is helping people in remote areas, and these areas no longer have a suitable intellectual health center for basic evaluation of their emotions and intellectual health. This application believes that all of us are the same correctly. "&amp;"The application can also help the intelligent fitness center test the patient every day. The application hopes to talk to anyone who handles some intellectual health issues to anyone and determine whether they need to treat the correct one -to -one treatm"&amp;"ent with a psychiatrist.")</f>
        <v>The present invention is helping people in remote areas, and these areas no longer have a suitable intellectual health center for basic evaluation of their emotions and intellectual health. This application believes that all of us are the same correctly. The application can also help the intelligent fitness center test the patient every day. The application hopes to talk to anyone who handles some intellectual health issues to anyone and determine whether they need to treat the correct one -to -one treatment with a psychiatrist.</v>
      </c>
      <c r="D128" s="6" t="s">
        <v>381</v>
      </c>
      <c r="E128" s="4" t="str">
        <f ca="1">IFERROR(__xludf.DUMMYFUNCTION("GOOGLETRANSLATE(D128,""auto"",""en"")"),"Cracing mental health based on artificial intelligence -based systems")</f>
        <v>Cracing mental health based on artificial intelligence -based systems</v>
      </c>
    </row>
    <row r="129" spans="1:5" ht="15" x14ac:dyDescent="0.25">
      <c r="A129" s="5" t="s">
        <v>382</v>
      </c>
      <c r="B129" s="6" t="s">
        <v>383</v>
      </c>
      <c r="C129" s="3" t="str">
        <f ca="1">IFERROR(__xludf.DUMMYFUNCTION("GOOGLETRANSLATE(B129,""auto"",""en"")"),"The present invention involves the technical field of candidates allocated, especially the evaluation system of sports entrance examination process based on artificial intelligence visual algorithms, which improves convenience; step 1. Relevant staff base"&amp;"d on the number of classrooms of the test point and the number of classroom seats. Electronic inspection, preliminary estimate of the number of candidates to accommodate the number of candidates is printed into a classroom information form; step 2, releva"&amp;"nt staff hold the classroom information form to check the actual number of classrooms and classroom seats, prevent the existence of tables and chairs from being damaged and cannot be provided to the exam for examinations for examinations for examinations "&amp;"Situation; Step 3. After checking the number of classrooms and the number of classroom seats, the classroom information form is generated and entered to the central service unit; step 4. The staff collects the personal electronic files of the relevant can"&amp;"didates; Information; Step 6. Mix the candidates' personal electronic files and fingerprint information in step 4 to generate the test information verification table of the candidate's examination information into the central service unit.")</f>
        <v>The present invention involves the technical field of candidates allocated, especially the evaluation system of sports entrance examination process based on artificial intelligence visual algorithms, which improves convenience; step 1. Relevant staff based on the number of classrooms of the test point and the number of classroom seats. Electronic inspection, preliminary estimate of the number of candidates to accommodate the number of candidates is printed into a classroom information form; step 2, relevant staff hold the classroom information form to check the actual number of classrooms and classroom seats, prevent the existence of tables and chairs from being damaged and cannot be provided to the exam for examinations for examinations for examinations Situation; Step 3. After checking the number of classrooms and the number of classroom seats, the classroom information form is generated and entered to the central service unit; step 4. The staff collects the personal electronic files of the relevant candidates; Information; Step 6. Mix the candidates' personal electronic files and fingerprint information in step 4 to generate the test information verification table of the candidate's examination information into the central service unit.</v>
      </c>
      <c r="D129" s="6" t="s">
        <v>384</v>
      </c>
      <c r="E129" s="4" t="str">
        <f ca="1">IFERROR(__xludf.DUMMYFUNCTION("GOOGLETRANSLATE(D129,""auto"",""en"")"),"An assessment system based on the sports entrance examination process based on artificial intelligence visual algorithms")</f>
        <v>An assessment system based on the sports entrance examination process based on artificial intelligence visual algorithms</v>
      </c>
    </row>
    <row r="130" spans="1:5" ht="15" x14ac:dyDescent="0.25">
      <c r="A130" s="5" t="s">
        <v>385</v>
      </c>
      <c r="B130" s="6" t="s">
        <v>386</v>
      </c>
      <c r="C130" s="3" t="str">
        <f ca="1">IFERROR(__xludf.DUMMYFUNCTION("GOOGLETRANSLATE(B130,""auto"",""en"")"),"The embodiment of this application provides an artificial intelligence -based VR treadmill user classification control method and system. By conducting the physical parts of the limbs and status vector coding output through the training data of VR running"&amp;" behavior data for training The basic status coding vector in the status coding vector sequence is expanded and derived in different ways, and obtained the first state coding vector sequence sequence and the second state coding vector sequence, which can "&amp;"then analyze VR running preferences according to the status coding vector sequence under different extension methods. The model is optimized for initialization rights. There is no need to initialize the right to optimize the right of the right of training"&amp;" based on the training of VR running behavior data with the training of label data, reduce the number of training collection, and ensure that the VR running preferences of VR running preferences can analyze the performance of the model, and then improve t"&amp;"he VR running VR running The reliability of preference analysis improves the targetedness of subsequent user classification control.")</f>
        <v>The embodiment of this application provides an artificial intelligence -based VR treadmill user classification control method and system. By conducting the physical parts of the limbs and status vector coding output through the training data of VR running behavior data for training The basic status coding vector in the status coding vector sequence is expanded and derived in different ways, and obtained the first state coding vector sequence sequence and the second state coding vector sequence, which can then analyze VR running preferences according to the status coding vector sequence under different extension methods. The model is optimized for initialization rights. There is no need to initialize the right to optimize the right of the right of training based on the training of VR running behavior data with the training of label data, reduce the number of training collection, and ensure that the VR running preferences of VR running preferences can analyze the performance of the model, and then improve the VR running VR running The reliability of preference analysis improves the targetedness of subsequent user classification control.</v>
      </c>
      <c r="D130" s="6" t="s">
        <v>387</v>
      </c>
      <c r="E130" s="4" t="str">
        <f ca="1">IFERROR(__xludf.DUMMYFUNCTION("GOOGLETRANSLATE(D130,""auto"",""en"")"),"An artificial intelligence -based VR treadmill user classification control method and system")</f>
        <v>An artificial intelligence -based VR treadmill user classification control method and system</v>
      </c>
    </row>
    <row r="131" spans="1:5" ht="15" x14ac:dyDescent="0.25">
      <c r="A131" s="5" t="s">
        <v>388</v>
      </c>
      <c r="B131" s="6" t="s">
        <v>389</v>
      </c>
      <c r="C131" s="3" t="str">
        <f ca="1">IFERROR(__xludf.DUMMYFUNCTION("GOOGLETRANSLATE(B131,""auto"",""en"")"),"The present invention disclosed a smart sports system covered by wireless transmission based on the Internet of Things, including router, which is connected to an antenna on the other side of the router. The internal lower end is connected to the circuit "&amp;"board, which is set on the top of the circuit board with a cloud platform data transmission chip. The symmetrical fixing connection of the internal side of the router has a sealing box. In the process of amplifying the signal, the internal components will"&amp;" generate hot temperature. By the micro heat exchanger at the inside of the sealing box, the gas converts the gas into air -conditioning, and then the air -conditioning pump passes through the pipeline to the interior of the diversion box. After the diver"&amp;"sion box is diverted, the air -conditioning is discharged through the nozzle. At this time, the electronic components inside the router can be performed by heat dissipation, and the service life of the device can be better improved.")</f>
        <v>The present invention disclosed a smart sports system covered by wireless transmission based on the Internet of Things, including router, which is connected to an antenna on the other side of the router. The internal lower end is connected to the circuit board, which is set on the top of the circuit board with a cloud platform data transmission chip. The symmetrical fixing connection of the internal side of the router has a sealing box. In the process of amplifying the signal, the internal components will generate hot temperature. By the micro heat exchanger at the inside of the sealing box, the gas converts the gas into air -conditioning, and then the air -conditioning pump passes through the pipeline to the interior of the diversion box. After the diversion box is diverted, the air -conditioning is discharged through the nozzle. At this time, the electronic components inside the router can be performed by heat dissipation, and the service life of the device can be better improved.</v>
      </c>
      <c r="D131" s="6" t="s">
        <v>390</v>
      </c>
      <c r="E131" s="4" t="str">
        <f ca="1">IFERROR(__xludf.DUMMYFUNCTION("GOOGLETRANSLATE(D131,""auto"",""en"")"),"A wireless transmission of wireless transmission based on the Internet of Things with a wide range of smart sports systems")</f>
        <v>A wireless transmission of wireless transmission based on the Internet of Things with a wide range of smart sports systems</v>
      </c>
    </row>
    <row r="132" spans="1:5" ht="15" x14ac:dyDescent="0.25">
      <c r="A132" s="5" t="s">
        <v>391</v>
      </c>
      <c r="B132" s="6" t="s">
        <v>392</v>
      </c>
      <c r="C132" s="3" t="str">
        <f ca="1">IFERROR(__xludf.DUMMYFUNCTION("GOOGLETRANSLATE(B132,""auto"",""en"")"),"Due to controversy in the game, accurate decisions in modern campaign have become increasingly difficult. To overcome this challenge, we are developing an AI -based solution to help the referee (401) and the third referee make LBW decisions. This technolo"&amp;"gy includes the stadium report (603) and the comprehensive cricket rules (702), as well as drones for capturing stadium videos to check soil type (803), cracks (802), grass coverage and humidity. These data will help the board team to make a decision to h"&amp;"it/field after throwing the ball (805) and choose their 11 strongest players (804). In addition, the voice recognition system will be used to solve the rare controversy of the rare side door calls, borders and free throws. This system not only helps fans "&amp;"to better understand the reasons for making decisions, but also allows the referee (401) to clearly understand the relevant laws (702).")</f>
        <v>Due to controversy in the game, accurate decisions in modern campaign have become increasingly difficult. To overcome this challenge, we are developing an AI -based solution to help the referee (401) and the third referee make LBW decisions. This technology includes the stadium report (603) and the comprehensive cricket rules (702), as well as drones for capturing stadium videos to check soil type (803), cracks (802), grass coverage and humidity. These data will help the board team to make a decision to hit/field after throwing the ball (805) and choose their 11 strongest players (804). In addition, the voice recognition system will be used to solve the rare controversy of the rare side door calls, borders and free throws. This system not only helps fans to better understand the reasons for making decisions, but also allows the referee (401) to clearly understand the relevant laws (702).</v>
      </c>
      <c r="D132" s="6" t="s">
        <v>393</v>
      </c>
      <c r="E132" s="4" t="str">
        <f ca="1">IFERROR(__xludf.DUMMYFUNCTION("GOOGLETRANSLATE(D132,""auto"",""en"")"),"For the customized artificial intelligence platform for the stadium report and the automatic third referee decision -making review system")</f>
        <v>For the customized artificial intelligence platform for the stadium report and the automatic third referee decision -making review system</v>
      </c>
    </row>
    <row r="133" spans="1:5" ht="15" x14ac:dyDescent="0.25">
      <c r="A133" s="5" t="s">
        <v>394</v>
      </c>
      <c r="B133" s="6" t="s">
        <v>395</v>
      </c>
      <c r="C133" s="3" t="str">
        <f ca="1">IFERROR(__xludf.DUMMYFUNCTION("GOOGLETRANSLATE(B133,""auto"",""en"")"),"1. The name of the product of the design of the product: The smart receiving review system graphical user interface of the display screen panel.
 2. Design products in this exterior: used to display interface content.
 3. Design of the design of the p"&amp;"roduct in this exterior: lies in the interface content of the graphical user interface.
 4. Pictures or photos that can most indicate design points: main view.
 5. There is no design point for other views, omitting other views.
 6. The purpose of th"&amp;"e graphical user interface: used to identify and review the bills.
 7. Human -computer interaction method of graphical user interface: The main view is the main interface of the intelligent receiving audit system; if the setting is set to a scanner, cli"&amp;"ck the ""Datram Scan"" button in the main view, jump to the interface change state diagram 1 1 ; If the setting device is Gao Pianyi, click the ""Document Scan"" button in the main view, jump to the interface change state Figure 2; click the interface cha"&amp;"nge state Figure 1 ‑ ""Annex"" button in the interface in the interface, or The ""Bills"" button, jump to the interface change state Figure 3; after the bill of recognition, automatically jump to the interface change state Figure 4; after the camera recog"&amp;"nition in the interface change status 4, automatically jump to the interface change status Figure 5; click Interface change status Figure 5 In the ""details"" button in the real area in the real area, jump to the interface change state Figure 6; click the"&amp;" interface change status. 6 In the ""details"" button on the right, jump to the interface to the interface Change status Figure 7; click the ""return"" button in the upper right corner of the interface in the upper right corner of the interface, jump to t"&amp;"he interface change state Figure 8; click the ""details"" button in the reimbursement review area in the interface change state, jump to the interface to the interface Change status Figure 9; click the interface change state Figure 9 In the ""details"" bu"&amp;"tton on the right, jump to the interface change state figure 10; click the interface change state ""Details"" button, jump to the interface change status Figure 11; click the interface change status Figure 11 Based on the ""details"" button on the right s"&amp;"ide of the invoice list; The picture amplification button in the middle, jump to the interface change state Figure 13; double -click interface change state Figure 5 pictures in the left rectangular frame in the left side of the interface, jump to the inte"&amp;"rface change state Figure 14; click the interface changes The ""Review"" button in the review area, jump to the interface change state Figure 15; click the ""document retrieval"" button in the main view, jump to the interface change state Figure 16; click"&amp;" the ""Settings"" button in the main view, jump jump, jump Transfer to the interface change state Figure 17; click the ""Intelligent Identification of Bills"" button in the interface change status. Button, jump to the interface change state diagram 19; cl"&amp;"ick the interface change status Figure 17‑19 The ""Key Field Settings"" button in any interface, jump to the interface change state Figure 20; Blocks are representative as the display area of ​​the content screen, and the ""x"" in the interface is represe"&amp;"ntative as text content.
 8.其他需要说明的情形其他说明：显示用的载体设备为现有设计，该显示屏幕面板可以应用于计算机、笔记本电脑、平板电脑、手机、智能手机、智能手环、智能眼镜、手表、智能Watch, fitness monitor, headset headset, personal digital assistant machine, smart speaker, TV, monitor, set -top box, navigator.")</f>
        <v>1. The name of the product of the design of the product: The smart receiving review system graphical user interface of the display screen panel.
 2. Design products in this exterior: used to display interface content.
 3. Design of the design of the product in this exterior: lies in the interface content of the graphical user interface.
 4. Pictures or photos that can most indicate design points: main view.
 5. There is no design point for other views, omitting other views.
 6. The purpose of the graphical user interface: used to identify and review the bills.
 7. Human -computer interaction method of graphical user interface: The main view is the main interface of the intelligent receiving audit system; if the setting is set to a scanner, click the "Datram Scan" button in the main view, jump to the interface change state diagram 1 1 ; If the setting device is Gao Pianyi, click the "Document Scan" button in the main view, jump to the interface change state Figure 2; click the interface change state Figure 1 ‑ "Annex" button in the interface in the interface, or The "Bills" button, jump to the interface change state Figure 3; after the bill of recognition, automatically jump to the interface change state Figure 4; after the camera recognition in the interface change status 4, automatically jump to the interface change status Figure 5; click Interface change status Figure 5 In the "details" button in the real area in the real area, jump to the interface change state Figure 6; click the interface change status. 6 In the "details" button on the right, jump to the interface to the interface Change status Figure 7; click the "return" button in the upper right corner of the interface in the upper right corner of the interface, jump to the interface change state Figure 8; click the "details" button in the reimbursement review area in the interface change state, jump to the interface to the interface Change status Figure 9; click the interface change state Figure 9 In the "details" button on the right, jump to the interface change state figure 10; click the interface change state "Details" button, jump to the interface change status Figure 11; click the interface change status Figure 11 Based on the "details" button on the right side of the invoice list; The picture amplification button in the middle, jump to the interface change state Figure 13; double -click interface change state Figure 5 pictures in the left rectangular frame in the left side of the interface, jump to the interface change state Figure 14; click the interface changes The "Review" button in the review area, jump to the interface change state Figure 15; click the "document retrieval" button in the main view, jump to the interface change state Figure 16; click the "Settings" button in the main view, jump jump, jump Transfer to the interface change state Figure 17; click the "Intelligent Identification of Bills" button in the interface change status. Button, jump to the interface change state diagram 19; click the interface change status Figure 17‑19 The "Key Field Settings" button in any interface, jump to the interface change state Figure 20; Blocks are representative as the display area of ​​the content screen, and the "x" in the interface is representative as text content.
 8.其他需要说明的情形其他说明：显示用的载体设备为现有设计，该显示屏幕面板可以应用于计算机、笔记本电脑、平板电脑、手机、智能手机、智能手环、智能眼镜、手表、智能Watch, fitness monitor, headset headset, personal digital assistant machine, smart speaker, TV, monitor, set -top box, navigator.</v>
      </c>
      <c r="D133" s="6" t="s">
        <v>396</v>
      </c>
      <c r="E133" s="4" t="str">
        <f ca="1">IFERROR(__xludf.DUMMYFUNCTION("GOOGLETRANSLATE(D133,""auto"",""en"")"),"The smart receiving review system graphical user interface of the display screen panel")</f>
        <v>The smart receiving review system graphical user interface of the display screen panel</v>
      </c>
    </row>
    <row r="134" spans="1:5" ht="15" x14ac:dyDescent="0.25">
      <c r="A134" s="5" t="s">
        <v>397</v>
      </c>
      <c r="B134" s="6" t="s">
        <v>398</v>
      </c>
      <c r="C134" s="3" t="s">
        <v>12408</v>
      </c>
      <c r="D134" s="6" t="s">
        <v>399</v>
      </c>
      <c r="E134" s="4" t="str">
        <f ca="1">IFERROR(__xludf.DUMMYFUNCTION("GOOGLETRANSLATE(D134,""auto"",""en"")"),"Display screen panel with sports graphical user interface")</f>
        <v>Display screen panel with sports graphical user interface</v>
      </c>
    </row>
    <row r="135" spans="1:5" ht="15" x14ac:dyDescent="0.25">
      <c r="A135" s="5" t="s">
        <v>400</v>
      </c>
      <c r="B135" s="6" t="s">
        <v>401</v>
      </c>
      <c r="C135" s="3" t="str">
        <f ca="1">IFERROR(__xludf.DUMMYFUNCTION("GOOGLETRANSLATE(B135,""auto"",""en"")"),"1. Design product name: Sports calendar user interface of the display screen panel.
 2. Design product use: Display graphic user interface.
 3. Design of the design of the product here: lies in the graphic user page displayed on the display screen pan"&amp;"el.
 4. Pictures or photos that can most indicate design points: main view.
 5. The display screen panel is commonly designed, omitting left view, right view, down -view view, viewing view, rear view.
 6. The purpose of the graphical user interface:"&amp;" The interface of the design of the product in this exterior is the interface of the calendar.
 Users can view the month's calendar, historical running journey and time.
 The fork number on this design page represents text and/or numbers and/or alphab"&amp;"etics.
 The fork number at the small bell in the upper right corner represents the number of unreasonable messages.
 This display screen panel is used for mobile phones.
 7. Human -computer interaction method of graphical user interface: Click on an"&amp;"y date in the calendar, you can jump to the functional page of the details of the day's sports.
 Click the small humanoid icon in the upper right corner to jump to the personal center page.
 Click the small bell icon in the upper right corner to jump "&amp;"to the unreasonable message page.")</f>
        <v>1. Design product name: Sports calendar user interface of the display screen panel.
 2. Design product use: Display graphic user interface.
 3. Design of the design of the product here: lies in the graphic user page displayed on the display screen panel.
 4. Pictures or photos that can most indicate design points: main view.
 5. The display screen panel is commonly designed, omitting left view, right view, down -view view, viewing view, rear view.
 6. The purpose of the graphical user interface: The interface of the design of the product in this exterior is the interface of the calendar.
 Users can view the month's calendar, historical running journey and time.
 The fork number on this design page represents text and/or numbers and/or alphabetics.
 The fork number at the small bell in the upper right corner represents the number of unreasonable messages.
 This display screen panel is used for mobile phones.
 7. Human -computer interaction method of graphical user interface: Click on any date in the calendar, you can jump to the functional page of the details of the day's sports.
 Click the small humanoid icon in the upper right corner to jump to the personal center page.
 Click the small bell icon in the upper right corner to jump to the unreasonable message page.</v>
      </c>
      <c r="D135" s="6" t="s">
        <v>402</v>
      </c>
      <c r="E135" s="4" t="str">
        <f ca="1">IFERROR(__xludf.DUMMYFUNCTION("GOOGLETRANSLATE(D135,""auto"",""en"")"),"Sports calendar graphics user interface of display screen panel")</f>
        <v>Sports calendar graphics user interface of display screen panel</v>
      </c>
    </row>
    <row r="136" spans="1:5" ht="15" x14ac:dyDescent="0.25">
      <c r="A136" s="5" t="s">
        <v>403</v>
      </c>
      <c r="B136" s="6" t="s">
        <v>404</v>
      </c>
      <c r="C136" s="3" t="str">
        <f ca="1">IFERROR(__xludf.DUMMYFUNCTION("GOOGLETRANSLATE(B136,""auto"",""en"")"),"A method that uses the Transformer deep learning model to detect the quality of badminton ball heads. It belongs to the field of badminton quality testing technology. In order to solve the problem of low quality evaluation in my country's badminton head p"&amp;"roduction, the problem of low efficiency, unstable quality, and poor consistency in China. This invention Applying the method of using the three key automated identification technologies of the ball head, roundness detection of the ball head, rounding of "&amp;"the ball head, roundness detection of the ball head, and the rounding of the ball head, the roundness of the ball head, and the leather defect detection. The accuracy of the quality assessment of the ball head is mainly used to detect the quality test of "&amp;"the badminton ball head.")</f>
        <v>A method that uses the Transformer deep learning model to detect the quality of badminton ball heads. It belongs to the field of badminton quality testing technology. In order to solve the problem of low quality evaluation in my country's badminton head production, the problem of low efficiency, unstable quality, and poor consistency in China. This invention Applying the method of using the three key automated identification technologies of the ball head, roundness detection of the ball head, rounding of the ball head, roundness detection of the ball head, and the rounding of the ball head, the roundness of the ball head, and the leather defect detection. The accuracy of the quality assessment of the ball head is mainly used to detect the quality test of the badminton ball head.</v>
      </c>
      <c r="D136" s="6" t="s">
        <v>405</v>
      </c>
      <c r="E136" s="4" t="str">
        <f ca="1">IFERROR(__xludf.DUMMYFUNCTION("GOOGLETRANSLATE(D136,""auto"",""en"")"),"A method to use Transformer's deep learning model to detect the quality of badminton ball head")</f>
        <v>A method to use Transformer's deep learning model to detect the quality of badminton ball head</v>
      </c>
    </row>
    <row r="137" spans="1:5" ht="15" x14ac:dyDescent="0.25">
      <c r="A137" s="5" t="s">
        <v>406</v>
      </c>
      <c r="B137" s="6" t="s">
        <v>407</v>
      </c>
      <c r="C137" s="3" t="str">
        <f ca="1">IFERROR(__xludf.DUMMYFUNCTION("GOOGLETRANSLATE(B137,""auto"",""en"")"),"The present invention disclosed a method of using machine learning methods to predict the winner of the IPL cricket game. In the present invention, the inventor uses Python Jupiter as an IDE. They analyzed with Python 3 and its libraries (such as Numpy, P"&amp;"andasm Seaborn, Matplotlib, etc.). The inventor uses Python programming in the Jupiter notebook to analyze the data and give the IPL data problem. They analyzed the solution by using several functions. Understanding IPL records is a very helpful project. "&amp;"They analyzed team records, play records, bowling records, conservation records, referee records, venues and cities. They predict the data of the rainforest to understand the winner of the game.")</f>
        <v>The present invention disclosed a method of using machine learning methods to predict the winner of the IPL cricket game. In the present invention, the inventor uses Python Jupiter as an IDE. They analyzed with Python 3 and its libraries (such as Numpy, Pandasm Seaborn, Matplotlib, etc.). The inventor uses Python programming in the Jupiter notebook to analyze the data and give the IPL data problem. They analyzed the solution by using several functions. Understanding IPL records is a very helpful project. They analyzed team records, play records, bowling records, conservation records, referee records, venues and cities. They predict the data of the rainforest to understand the winner of the game.</v>
      </c>
      <c r="D137" s="6" t="s">
        <v>408</v>
      </c>
      <c r="E137" s="4" t="str">
        <f ca="1">IFERROR(__xludf.DUMMYFUNCTION("GOOGLETRANSLATE(D137,""auto"",""en"")"),"A method of using machine learning methods to predict the winner of the cricket game")</f>
        <v>A method of using machine learning methods to predict the winner of the cricket game</v>
      </c>
    </row>
    <row r="138" spans="1:5" ht="15" x14ac:dyDescent="0.25">
      <c r="A138" s="5" t="s">
        <v>409</v>
      </c>
      <c r="B138" s="6" t="s">
        <v>410</v>
      </c>
      <c r="C138" s="3" t="str">
        <f ca="1">IFERROR(__xludf.DUMMYFUNCTION("GOOGLETRANSLATE(B138,""auto"",""en"")"),"1. The name of the product in appearance: The dynamic graphic user interface for the inspection experiment report for display screen panels. 2. The purpose of designing products in this exterior: The display screen panel is used for interaction and displa"&amp;"y information. 3. Design of the design of the product in appearance: lies in the graphic user interface. 4. Pictures or photos that can most indicate design points: main view. 5. The display screen panel of this appearance is used to design, omitting the "&amp;"rear view, left view, right view, downward view, and retry view. 6. The purpose of the graphical user interface: This design is used to consult the display of the dynamic interface of the experimental report. 7. Human -computer interaction method of graph"&amp;"ic user interface: In the main view, the text area above the middle of the interface shows the current experiment name, and the countdown time is displayed in the upper left corner of the interface to remind the experiment remaining. Show, click on the ex"&amp;"pansion again, the user can click the ""Submit"" in the upper right corner of the interface to enter the submission evaluation session; the experimental report on the left side of the interface is displayed. On the side experimental report, the interface "&amp;"enters the state of change according to this, the state of change status, and the change state. Or click the ""Save"" button to save the experiment report. 8. Other situations that need to be explained and other descriptions: The display screen panel of t"&amp;"he product in this exterior can be applied to computers, laptops, tablets, mobile phones, smartphones, learning machines, smart glasses, smart watches, fitness monitor , Headset headset, personal digital assistant, smart speakers, television, monitor, pro"&amp;"jector, set -top box, game machine, navigator, display screen for vehicles.")</f>
        <v>1. The name of the product in appearance: The dynamic graphic user interface for the inspection experiment report for display screen panels. 2. The purpose of designing products in this exterior: The display screen panel is used for interaction and display information. 3. Design of the design of the product in appearance: lies in the graphic user interface. 4. Pictures or photos that can most indicate design points: main view. 5. The display screen panel of this appearance is used to design, omitting the rear view, left view, right view, downward view, and retry view. 6. The purpose of the graphical user interface: This design is used to consult the display of the dynamic interface of the experimental report. 7. Human -computer interaction method of graphic user interface: In the main view, the text area above the middle of the interface shows the current experiment name, and the countdown time is displayed in the upper left corner of the interface to remind the experiment remaining. Show, click on the expansion again, the user can click the "Submit" in the upper right corner of the interface to enter the submission evaluation session; the experimental report on the left side of the interface is displayed. On the side experimental report, the interface enters the state of change according to this, the state of change status, and the change state. Or click the "Save" button to save the experiment report. 8. Other situations that need to be explained and other descriptions: The display screen panel of the product in this exterior can be applied to computers, laptops, tablets, mobile phones, smartphones, learning machines, smart glasses, smart watches, fitness monitor , Headset headset, personal digital assistant, smart speakers, television, monitor, projector, set -top box, game machine, navigator, display screen for vehicles.</v>
      </c>
      <c r="D138" s="6" t="s">
        <v>411</v>
      </c>
      <c r="E138" s="4" t="str">
        <f ca="1">IFERROR(__xludf.DUMMYFUNCTION("GOOGLETRANSLATE(D138,""auto"",""en"")"),"The dynamic graphic user interface used for check -in experiment report for display screen panels")</f>
        <v>The dynamic graphic user interface used for check -in experiment report for display screen panels</v>
      </c>
    </row>
    <row r="139" spans="1:5" ht="15" x14ac:dyDescent="0.25">
      <c r="A139" s="5" t="s">
        <v>412</v>
      </c>
      <c r="B139" s="6" t="s">
        <v>413</v>
      </c>
      <c r="C139" s="3" t="str">
        <f ca="1">IFERROR(__xludf.DUMMYFUNCTION("GOOGLETRANSLATE(B139,""auto"",""en"")"),"An execution of a platform implemented on a computer includes the sensor data from the first grip and the sensor embedded in fitness equipment when using fitness equipment to exercise with fitness equipment. The user interacts with the first grip and the "&amp;"second grip while using fitness equipment to exercise. This method also includes the performance differences between the left side of the user's body and the right of the user's body, and provides users with personalized activities to compensate these dif"&amp;"ferences.")</f>
        <v>An execution of a platform implemented on a computer includes the sensor data from the first grip and the sensor embedded in fitness equipment when using fitness equipment to exercise with fitness equipment. The user interacts with the first grip and the second grip while using fitness equipment to exercise. This method also includes the performance differences between the left side of the user's body and the right of the user's body, and provides users with personalized activities to compensate these differences.</v>
      </c>
      <c r="D139" s="6" t="s">
        <v>414</v>
      </c>
      <c r="E139" s="4" t="str">
        <f ca="1">IFERROR(__xludf.DUMMYFUNCTION("GOOGLETRANSLATE(D139,""auto"",""en"")"),"Activity data modeling in the human Internet of Things platform")</f>
        <v>Activity data modeling in the human Internet of Things platform</v>
      </c>
    </row>
    <row r="140" spans="1:5" ht="15" x14ac:dyDescent="0.25">
      <c r="A140" s="5" t="s">
        <v>415</v>
      </c>
      <c r="B140" s="6" t="s">
        <v>416</v>
      </c>
      <c r="C140" s="3" t="str">
        <f ca="1">IFERROR(__xludf.DUMMYFUNCTION("GOOGLETRANSLATE(B140,""auto"",""en"")"),"The present invention involves the use of machine learning algorithms to make incorrect yoga activities away from the predefined yoga practice style. The invention includes monitors, Wi-Fi connections, cable connectors, and closed environments for exercis"&amp;"e. In the conventional process, end users came to the yoga room to make their bodies adapt to physical models and began to practice in the environment. The invention allows a variety of design modes of yoga -related activity templates, such as KapalBhati,"&amp;" Anulom Vilom, etc., and based on the user to choose any style mode, and any deviation with the predetermined mode will warn the end user to use this machine to learn the defined path algorithm algorithm algorithm Essence Its purpose is to allow end users"&amp;" to provide energy to the body without any physical yoga coach, without any deviation.")</f>
        <v>The present invention involves the use of machine learning algorithms to make incorrect yoga activities away from the predefined yoga practice style. The invention includes monitors, Wi-Fi connections, cable connectors, and closed environments for exercise. In the conventional process, end users came to the yoga room to make their bodies adapt to physical models and began to practice in the environment. The invention allows a variety of design modes of yoga -related activity templates, such as KapalBhati, Anulom Vilom, etc., and based on the user to choose any style mode, and any deviation with the predetermined mode will warn the end user to use this machine to learn the defined path algorithm algorithm algorithm Essence Its purpose is to allow end users to provide energy to the body without any physical yoga coach, without any deviation.</v>
      </c>
      <c r="D140" s="6" t="s">
        <v>417</v>
      </c>
      <c r="E140" s="4" t="str">
        <f ca="1">IFERROR(__xludf.DUMMYFUNCTION("GOOGLETRANSLATE(D140,""auto"",""en"")"),"Identify the bias of yoga activity based on the IoT -based indoor digital monitoring")</f>
        <v>Identify the bias of yoga activity based on the IoT -based indoor digital monitoring</v>
      </c>
    </row>
    <row r="141" spans="1:5" ht="15" x14ac:dyDescent="0.25">
      <c r="A141" s="5" t="s">
        <v>418</v>
      </c>
      <c r="B141" s="6" t="s">
        <v>419</v>
      </c>
      <c r="C141" s="3" t="str">
        <f ca="1">IFERROR(__xludf.DUMMYFUNCTION("GOOGLETRANSLATE(B141,""auto"",""en"")"),"A method for creating scalable dynamic joint bones (DJS) models to enhance mental movement learning using artificial intelligence (AI) engines or image processors. This method involves the DJS model from the real -time motion image of a athletes, teachers"&amp;" or experts to create a scalable reference model for training. The artificial intelligence engine can extract the physical attributes of the object, including the length of the arm, length, and the torso The length and continuous movements of capturing ex"&amp;"ercise skills, such as swinging the golden club, including position, posture, club position, swing speed and acceleration, twisting, etc.")</f>
        <v>A method for creating scalable dynamic joint bones (DJS) models to enhance mental movement learning using artificial intelligence (AI) engines or image processors. This method involves the DJS model from the real -time motion image of a athletes, teachers or experts to create a scalable reference model for training. The artificial intelligence engine can extract the physical attributes of the object, including the length of the arm, length, and the torso The length and continuous movements of capturing exercise skills, such as swinging the golden club, including position, posture, club position, swing speed and acceleration, twisting, etc.</v>
      </c>
      <c r="D141" s="6" t="s">
        <v>420</v>
      </c>
      <c r="E141" s="4" t="str">
        <f ca="1">IFERROR(__xludf.DUMMYFUNCTION("GOOGLETRANSLATE(D141,""auto"",""en"")"),"Enhance cognitive methods and devices of synchronous feedback in spiritual sports learning")</f>
        <v>Enhance cognitive methods and devices of synchronous feedback in spiritual sports learning</v>
      </c>
    </row>
    <row r="142" spans="1:5" ht="15" x14ac:dyDescent="0.25">
      <c r="A142" s="5" t="s">
        <v>421</v>
      </c>
      <c r="B142" s="6" t="s">
        <v>422</v>
      </c>
      <c r="C142" s="3" t="str">
        <f ca="1">IFERROR(__xludf.DUMMYFUNCTION("GOOGLETRANSLATE(B142,""auto"",""en"")"),"A intelligent system (10), which uses artificial intelligence to manage health and fitness data through IoT devices. The system includes:
  Various IoT devices (1) are used to use IoT sensors and users to enter collecting various data, including user he"&amp;"alth data and fitness data; among them, multiple IoT devices (1) are connected to different fitness equipment and medical monitoring Equipment, among them, multiple IoT devices (1) Receive data from fitness equipment and medical monitoring equipment;
  "&amp;"Data memory (2), used to store multiple IoT devices (1) data processing;
  Communication unit (3), used to transmit the processed data to the user's network and external cloud database;
  Machine learning module (4), including artificial intelligence "&amp;"-based algorithms, is used to process data received from multiple IoT devices (1); and
  Central control unit (5), connect to multiple IoT devices (1), data memory (2), communication unit (3), and machine learning module (4). Intelligent algorithm colle"&amp;"ction, analysis, and storage of users 'health and fitness data, use the central control unit (5) artificial intelligence engine that can analyze users' health and fitness data. Real -time feedback.")</f>
        <v>A intelligent system (10), which uses artificial intelligence to manage health and fitness data through IoT devices. The system includes:
  Various IoT devices (1) are used to use IoT sensors and users to enter collecting various data, including user health data and fitness data; among them, multiple IoT devices (1) are connected to different fitness equipment and medical monitoring Equipment, among them, multiple IoT devices (1) Receive data from fitness equipment and medical monitoring equipment;
  Data memory (2), used to store multiple IoT devices (1) data processing;
  Communication unit (3), used to transmit the processed data to the user's network and external cloud database;
  Machine learning module (4), including artificial intelligence -based algorithms, is used to process data received from multiple IoT devices (1); and
  Central control unit (5), connect to multiple IoT devices (1), data memory (2), communication unit (3), and machine learning module (4). Intelligent algorithm collection, analysis, and storage of users 'health and fitness data, use the central control unit (5) artificial intelligence engine that can analyze users' health and fitness data. Real -time feedback.</v>
      </c>
      <c r="D142" s="6" t="s">
        <v>423</v>
      </c>
      <c r="E142" s="4" t="str">
        <f ca="1">IFERROR(__xludf.DUMMYFUNCTION("GOOGLETRANSLATE(D142,""auto"",""en"")"),"Use the intelligent health and fitness data management system of artificial intelligence and IoT devices")</f>
        <v>Use the intelligent health and fitness data management system of artificial intelligence and IoT devices</v>
      </c>
    </row>
    <row r="143" spans="1:5" ht="15" x14ac:dyDescent="0.25">
      <c r="A143" s="5" t="s">
        <v>424</v>
      </c>
      <c r="B143" s="6" t="s">
        <v>425</v>
      </c>
      <c r="C143" s="3" t="str">
        <f ca="1">IFERROR(__xludf.DUMMYFUNCTION("GOOGLETRANSLATE(B143,""auto"",""en"")"),"The present invention requests to protect a method of error correction method of a pedestrian foot bunning inertial navigation system based on the UWB ranging auxiliary. The present invention includes the following steps: S1: According to the output data "&amp;"of the inertial measurement unit, the Getson used algorithm is used to solve the pedestrian navigation information, and the real -time distance between the two feet is measured according to the UWB module. Factor correction error interval; S2: Use adaptiv"&amp;"e random forest algorithms to identify the pedestrian movement mode, and use zero -speed correction algorithm correction navigation system errors in the static interval; The constraints are highly constrained by the upstairs motion mode, and the error dri"&amp;"ft of the habitual system will ultimately suppress the drift of the habitual system. The present invention can solve the problem of drift direction in the foot -bound pedestrian inertia navigation system, reduce the accumulation error of pedestrian naviga"&amp;"tion positioning, and improve the positioning accuracy.")</f>
        <v>The present invention requests to protect a method of error correction method of a pedestrian foot bunning inertial navigation system based on the UWB ranging auxiliary. The present invention includes the following steps: S1: According to the output data of the inertial measurement unit, the Getson used algorithm is used to solve the pedestrian navigation information, and the real -time distance between the two feet is measured according to the UWB module. Factor correction error interval; S2: Use adaptive random forest algorithms to identify the pedestrian movement mode, and use zero -speed correction algorithm correction navigation system errors in the static interval; The constraints are highly constrained by the upstairs motion mode, and the error drift of the habitual system will ultimately suppress the drift of the habitual system. The present invention can solve the problem of drift direction in the foot -bound pedestrian inertia navigation system, reduce the accumulation error of pedestrian navigation positioning, and improve the positioning accuracy.</v>
      </c>
      <c r="D143" s="6" t="s">
        <v>426</v>
      </c>
      <c r="E143" s="4" t="str">
        <f ca="1">IFERROR(__xludf.DUMMYFUNCTION("GOOGLETRANSLATE(D143,""auto"",""en"")"),"Pedestrian foot binding inertia navigation system error correction method based on UWB ranging auxiliary")</f>
        <v>Pedestrian foot binding inertia navigation system error correction method based on UWB ranging auxiliary</v>
      </c>
    </row>
    <row r="144" spans="1:5" ht="15" x14ac:dyDescent="0.25">
      <c r="A144" s="5" t="s">
        <v>427</v>
      </c>
      <c r="B144" s="6" t="s">
        <v>428</v>
      </c>
      <c r="C144" s="3" t="str">
        <f ca="1">IFERROR(__xludf.DUMMYFUNCTION("GOOGLETRANSLATE(B144,""auto"",""en"")"),"This utility model involves the field of sports and fitness technology, especially a sports fitness equipment based on human -computer interaction. This practical new type is a sports and fitness equipment that can protect the user and improve the securit"&amp;"y of users when the user's inversion. A sports and fitness equipment based on human -machine interaction, including installation racks, relying on boards and feet fixed components. The upper part of the installation frame is connected with a rotary contro"&amp;"ller. Connect with fixed components on the feet. This practical new type supports the body to support the body through the user's inverted hand, which can achieve the effect of protecting the user and improving the safety of the user when standing.")</f>
        <v>This utility model involves the field of sports and fitness technology, especially a sports fitness equipment based on human -computer interaction. This practical new type is a sports and fitness equipment that can protect the user and improve the security of users when the user's inversion. A sports and fitness equipment based on human -machine interaction, including installation racks, relying on boards and feet fixed components. The upper part of the installation frame is connected with a rotary controller. Connect with fixed components on the feet. This practical new type supports the body to support the body through the user's inverted hand, which can achieve the effect of protecting the user and improving the safety of the user when standing.</v>
      </c>
      <c r="D144" s="6" t="s">
        <v>429</v>
      </c>
      <c r="E144" s="4" t="str">
        <f ca="1">IFERROR(__xludf.DUMMYFUNCTION("GOOGLETRANSLATE(D144,""auto"",""en"")"),"A sports fitness equipment based on human -computer interaction")</f>
        <v>A sports fitness equipment based on human -computer interaction</v>
      </c>
    </row>
    <row r="145" spans="1:5" ht="15" x14ac:dyDescent="0.25">
      <c r="A145" s="5" t="s">
        <v>430</v>
      </c>
      <c r="B145" s="6" t="s">
        <v>431</v>
      </c>
      <c r="C145" s="3" t="str">
        <f ca="1">IFERROR(__xludf.DUMMYFUNCTION("GOOGLETRANSLATE(B145,""auto"",""en"")"),"The present invention disclosed a Tai Chi automatic scoring method and device, combining sensor technology in the field of information technology with the Tai Chi competition, using deep cameras, surface muscle systems, and pressure sensors Metropolitan d"&amp;"ata is collected; through the analysis of the athlete data, the 24 -type Tai Chi fisting model based on deep learning is established, and the model is trained using the scoring strategy of the expert; Accuracy, the comprehensive analysis of the in -depth "&amp;"camera, surface muscle sensor, and pressure sensor measurement of the human movement data measured by the invention, and score the specified actions completed by the athletes. And the use of the device is not easily interfered by factors such as environme"&amp;"ntal light conditions, and there is no restrictions on the scene.")</f>
        <v>The present invention disclosed a Tai Chi automatic scoring method and device, combining sensor technology in the field of information technology with the Tai Chi competition, using deep cameras, surface muscle systems, and pressure sensors Metropolitan data is collected; through the analysis of the athlete data, the 24 -type Tai Chi fisting model based on deep learning is established, and the model is trained using the scoring strategy of the expert; Accuracy, the comprehensive analysis of the in -depth camera, surface muscle sensor, and pressure sensor measurement of the human movement data measured by the invention, and score the specified actions completed by the athletes. And the use of the device is not easily interfered by factors such as environmental light conditions, and there is no restrictions on the scene.</v>
      </c>
      <c r="D145" s="6" t="s">
        <v>432</v>
      </c>
      <c r="E145" s="4" t="str">
        <f ca="1">IFERROR(__xludf.DUMMYFUNCTION("GOOGLETRANSLATE(D145,""auto"",""en"")"),"A method and device of the twenty -four Tai Chi automatic scoring method and device")</f>
        <v>A method and device of the twenty -four Tai Chi automatic scoring method and device</v>
      </c>
    </row>
    <row r="146" spans="1:5" ht="15" x14ac:dyDescent="0.25">
      <c r="A146" s="5" t="s">
        <v>433</v>
      </c>
      <c r="B146" s="6" t="s">
        <v>434</v>
      </c>
      <c r="C146" s="3" t="str">
        <f ca="1">IFERROR(__xludf.DUMMYFUNCTION("GOOGLETRANSLATE(B146,""auto"",""en"")"),"This publicly set up a management system based on IoT to assist users around the swimming pool. The system includes multiple sensors, which are configured as sensors that correspond to various predetermined events associated with the swimming pool; the co"&amp;"ntrol unit is coupled to the multiple sensors through communication networks to receive Multiple parameters are configured to process multiple parameters described based on at least one machine learning algorithm to generate the definition of multiple par"&amp;"ameters in the form of signal form associated with the pre -sensor; at least one based on the definition of multiple parameters; at least one is based on The Internet of Things drivers are configured to receive the signal and perform at least one action w"&amp;"hen receiving the signal.")</f>
        <v>This publicly set up a management system based on IoT to assist users around the swimming pool. The system includes multiple sensors, which are configured as sensors that correspond to various predetermined events associated with the swimming pool; the control unit is coupled to the multiple sensors through communication networks to receive Multiple parameters are configured to process multiple parameters described based on at least one machine learning algorithm to generate the definition of multiple parameters in the form of signal form associated with the pre -sensor; at least one based on the definition of multiple parameters; at least one is based on The Internet of Things drivers are configured to receive the signal and perform at least one action when receiving the signal.</v>
      </c>
      <c r="D146" s="6" t="s">
        <v>435</v>
      </c>
      <c r="E146" s="4" t="str">
        <f ca="1">IFERROR(__xludf.DUMMYFUNCTION("GOOGLETRANSLATE(D146,""auto"",""en"")"),"A management system based on the Internet of Things and a method of assisting users around the swimming pool")</f>
        <v>A management system based on the Internet of Things and a method of assisting users around the swimming pool</v>
      </c>
    </row>
    <row r="147" spans="1:5" ht="15" x14ac:dyDescent="0.25">
      <c r="A147" s="5" t="s">
        <v>436</v>
      </c>
      <c r="B147" s="6" t="s">
        <v>437</v>
      </c>
      <c r="C147" s="3" t="str">
        <f ca="1">IFERROR(__xludf.DUMMYFUNCTION("GOOGLETRANSLATE(B147,""auto"",""en"")"),"The present invention involves the field of sports equipment technology, and it involves a kind of artificial intelligence football; including ball bile, valve, fixed module and wireless radio frequency module, the valve mouth runs through the gallbladder"&amp;", the fixed module is set inside the ball gallbladder, the wireless radio frequency module and the fixed fixed Module connection; fixed modules include chip warehouses, fixed seats, fixed columns, resisted spring and guidance arcs. The chip seat has a ins"&amp;"tallation cavity, a fixed seat has a card slot, the chip warehouse is fixed with the ball bile biliary, and is located in the inner wall of the ball biliary wall. , The fixed seat is compatible with the chip warehouse, and the springs are set to the insid"&amp;"e of the installation cavity. The two ends of the spring are fixed with the chip seat and the fixed column, and the fixed column is adapted to the card slot. The fixed column is fixed, and through the above structure, the stability of the connection betwe"&amp;"en the wireless radio frequency module and the ball biliary is obtained, and the effect of the wireless radio frequency module from the ball bile during use will affect the effect of subsequent data analysis results.")</f>
        <v>The present invention involves the field of sports equipment technology, and it involves a kind of artificial intelligence football; including ball bile, valve, fixed module and wireless radio frequency module, the valve mouth runs through the gallbladder, the fixed module is set inside the ball gallbladder, the wireless radio frequency module and the fixed fixed Module connection; fixed modules include chip warehouses, fixed seats, fixed columns, resisted spring and guidance arcs. The chip seat has a installation cavity, a fixed seat has a card slot, the chip warehouse is fixed with the ball bile biliary, and is located in the inner wall of the ball biliary wall. , The fixed seat is compatible with the chip warehouse, and the springs are set to the inside of the installation cavity. The two ends of the spring are fixed with the chip seat and the fixed column, and the fixed column is adapted to the card slot. The fixed column is fixed, and through the above structure, the stability of the connection between the wireless radio frequency module and the ball biliary is obtained, and the effect of the wireless radio frequency module from the ball bile during use will affect the effect of subsequent data analysis results.</v>
      </c>
      <c r="D147" s="6" t="s">
        <v>438</v>
      </c>
      <c r="E147" s="4" t="str">
        <f ca="1">IFERROR(__xludf.DUMMYFUNCTION("GOOGLETRANSLATE(D147,""auto"",""en"")"),"A kind of artificial intelligence football")</f>
        <v>A kind of artificial intelligence football</v>
      </c>
    </row>
    <row r="148" spans="1:5" ht="15" x14ac:dyDescent="0.25">
      <c r="A148" s="5" t="s">
        <v>439</v>
      </c>
      <c r="B148" s="6" t="s">
        <v>440</v>
      </c>
      <c r="C148" s="3" t="str">
        <f ca="1">IFERROR(__xludf.DUMMYFUNCTION("GOOGLETRANSLATE(B148,""auto"",""en"")"),"The invention involves providing a sports training heart rate monitoring system based on artificial intelligence. Artificial intelligence is a new technique of using massive data for machine training and computing algorithms. Artificial intelligence is us"&amp;"ed for robots and automation for complex processes to obtain accurate results. Artificial intelligence also knows artificial neural networks. AI is also used in sports. Intelligent reviews for crickets, predicting ball movements, resolving disputes, monit"&amp;"oring athlete activities, etc. Therefore, it has created an artificial intelligence -based sports training heart rate monitoring system to predict and monitor the heart rate of athletes. Real -time exercise training. This system consists of wearable watch"&amp;"es, heart rate detection sensors, IoT networks, cloud storage engines, intelligent display, warning and alarm systems. Heart rate detection sensor is a pest on the heart. It detect heart sound, heart movement, and heart rhythm. Wearable watches are worn o"&amp;"n the left wrist by sports men. It is connected to the sensor with heart rate detection sensors through the Internet of Things network. Real -time display heart rate, 5 -day history, heart cycle, blood pressure, heartbeat, real -time electrocardiogram.")</f>
        <v>The invention involves providing a sports training heart rate monitoring system based on artificial intelligence. Artificial intelligence is a new technique of using massive data for machine training and computing algorithms. Artificial intelligence is used for robots and automation for complex processes to obtain accurate results. Artificial intelligence also knows artificial neural networks. AI is also used in sports. Intelligent reviews for crickets, predicting ball movements, resolving disputes, monitoring athlete activities, etc. Therefore, it has created an artificial intelligence -based sports training heart rate monitoring system to predict and monitor the heart rate of athletes. Real -time exercise training. This system consists of wearable watches, heart rate detection sensors, IoT networks, cloud storage engines, intelligent display, warning and alarm systems. Heart rate detection sensor is a pest on the heart. It detect heart sound, heart movement, and heart rhythm. Wearable watches are worn on the left wrist by sports men. It is connected to the sensor with heart rate detection sensors through the Internet of Things network. Real -time display heart rate, 5 -day history, heart cycle, blood pressure, heartbeat, real -time electrocardiogram.</v>
      </c>
      <c r="D148" s="6" t="s">
        <v>441</v>
      </c>
      <c r="E148" s="4" t="str">
        <f ca="1">IFERROR(__xludf.DUMMYFUNCTION("GOOGLETRANSLATE(D148,""auto"",""en"")"),"Sport training heart rate monitoring system based on artificial intelligence training")</f>
        <v>Sport training heart rate monitoring system based on artificial intelligence training</v>
      </c>
    </row>
    <row r="149" spans="1:5" ht="15" x14ac:dyDescent="0.25">
      <c r="A149" s="5" t="s">
        <v>442</v>
      </c>
      <c r="B149" s="6" t="s">
        <v>443</v>
      </c>
      <c r="C149" s="3" t="str">
        <f ca="1">IFERROR(__xludf.DUMMYFUNCTION("GOOGLETRANSLATE(B149,""auto"",""en"")"),"The invention involves a network -based intelligent application that is used to use machine learning algorithms to extract human characteristics. This application is extracting the characteristics of human beings, such as leadership quality, handling of p"&amp;"eers, mental health, physical activity, communication ability, coordination ability, processing real -time problems, decision -making ability, sports activities and performance, and calm temperament. All the above -mentioned active performance indexs are "&amp;"generated by machine learning algorithms. This algorithm detects the performance of a single child and extracts her thinking activities based on the performance index.")</f>
        <v>The invention involves a network -based intelligent application that is used to use machine learning algorithms to extract human characteristics. This application is extracting the characteristics of human beings, such as leadership quality, handling of peers, mental health, physical activity, communication ability, coordination ability, processing real -time problems, decision -making ability, sports activities and performance, and calm temperament. All the above -mentioned active performance indexs are generated by machine learning algorithms. This algorithm detects the performance of a single child and extracts her thinking activities based on the performance index.</v>
      </c>
      <c r="D149" s="6" t="s">
        <v>444</v>
      </c>
      <c r="E149" s="4" t="str">
        <f ca="1">IFERROR(__xludf.DUMMYFUNCTION("GOOGLETRANSLATE(D149,""auto"",""en"")"),"Smart applications based on network, thinking about using machine learning algorithms to extract human characteristics")</f>
        <v>Smart applications based on network, thinking about using machine learning algorithms to extract human characteristics</v>
      </c>
    </row>
    <row r="150" spans="1:5" ht="15" x14ac:dyDescent="0.25">
      <c r="A150" s="5" t="s">
        <v>445</v>
      </c>
      <c r="B150" s="6" t="s">
        <v>446</v>
      </c>
      <c r="C150" s="3" t="str">
        <f ca="1">IFERROR(__xludf.DUMMYFUNCTION("GOOGLETRANSLATE(B150,""auto"",""en"")"),"The present invention disclosed a intelligent warehousing management system based on the Internet of Things, involving the field of intelligent warehousing management technology, and solved technical problems that cannot analyze the intelligent decision -"&amp;"making of warehousing processes and reduce the efficiency of warehousing work. Storage procedures existing in existing technologies. The invention analyzes the real -time task execution efficiency of the storage of the storage and determines whether the r"&amp;"eal -time task execution efficiency of the current storage reconnaissance is qualified, and achieves the effect of ensuring the normal implementation of the current task. The invention can reduce the risk of the storage procedure, improve the stability of"&amp;" the overall operation process, and ensure the progress efficiency of the operation process. The present invention also conducts intelligent analysis and decision -making of storage recipients. While improving the intelligent performance of the storage of"&amp;" storage, the operating efficiency of the storage process is ensured, and the operating risks of the storage process are abnormal. Later storage procedures, resulting in unqualified results of the entire operation process.")</f>
        <v>The present invention disclosed a intelligent warehousing management system based on the Internet of Things, involving the field of intelligent warehousing management technology, and solved technical problems that cannot analyze the intelligent decision -making of warehousing processes and reduce the efficiency of warehousing work. Storage procedures existing in existing technologies. The invention analyzes the real -time task execution efficiency of the storage of the storage and determines whether the real -time task execution efficiency of the current storage reconnaissance is qualified, and achieves the effect of ensuring the normal implementation of the current task. The invention can reduce the risk of the storage procedure, improve the stability of the overall operation process, and ensure the progress efficiency of the operation process. The present invention also conducts intelligent analysis and decision -making of storage recipients. While improving the intelligent performance of the storage of storage, the operating efficiency of the storage process is ensured, and the operating risks of the storage process are abnormal. Later storage procedures, resulting in unqualified results of the entire operation process.</v>
      </c>
      <c r="D150" s="6" t="s">
        <v>447</v>
      </c>
      <c r="E150" s="4" t="str">
        <f ca="1">IFERROR(__xludf.DUMMYFUNCTION("GOOGLETRANSLATE(D150,""auto"",""en"")"),"Intelligent warehousing management system based on the Internet of Things")</f>
        <v>Intelligent warehousing management system based on the Internet of Things</v>
      </c>
    </row>
    <row r="151" spans="1:5" ht="15" x14ac:dyDescent="0.25">
      <c r="A151" s="5" t="s">
        <v>448</v>
      </c>
      <c r="B151" s="6" t="s">
        <v>449</v>
      </c>
      <c r="C151" s="3" t="str">
        <f ca="1">IFERROR(__xludf.DUMMYFUNCTION("GOOGLETRANSLATE(B151,""auto"",""en"")"),"A system and method of scoring performances for performers such as cows and gymnastics competitions. You can use the performance video source to complete the score. The computer vision of the system can detect the predetermined body part of the performer "&amp;"in the video frame. Since then, the geometric center of predefined body parts can be defined. Since then, the framework can be constructed by connecting the geometric center, and the time and space changes in the framework can be tracked to determine the "&amp;"predefined physical movement. The scoring module based on deep neural networks can use the predetermined body movements to score the performance.")</f>
        <v>A system and method of scoring performances for performers such as cows and gymnastics competitions. You can use the performance video source to complete the score. The computer vision of the system can detect the predetermined body part of the performer in the video frame. Since then, the geometric center of predefined body parts can be defined. Since then, the framework can be constructed by connecting the geometric center, and the time and space changes in the framework can be tracked to determine the predefined physical movement. The scoring module based on deep neural networks can use the predetermined body movements to score the performance.</v>
      </c>
      <c r="D151" s="6" t="s">
        <v>450</v>
      </c>
      <c r="E151" s="4" t="str">
        <f ca="1">IFERROR(__xludf.DUMMYFUNCTION("GOOGLETRANSLATE(D151,""auto"",""en"")"),"Sports scoring system and method")</f>
        <v>Sports scoring system and method</v>
      </c>
    </row>
    <row r="152" spans="1:5" ht="15" x14ac:dyDescent="0.25">
      <c r="A152" s="5" t="s">
        <v>451</v>
      </c>
      <c r="B152" s="6" t="s">
        <v>452</v>
      </c>
      <c r="C152" s="3" t="str">
        <f ca="1">IFERROR(__xludf.DUMMYFUNCTION("GOOGLETRANSLATE(B152,""auto"",""en"")"),"The invention is an emotional music system. It uses machine learning technology, especially the convolutional neural network (CNN) algorithm to generate a customized music playlist that matches the current emotional state of the user. This system uses a v"&amp;"ariety of methods such as facial expression recognition, heart rate monitoring or self -reported emotional level to analyze the user's emotional state, and generates a list of song playlists that match the current emotional state of the user. The system w"&amp;"ill adjust the playlist in real time with the changes in the user's mood, and use audio characteristics to identify different emotional states to provide users with a more personalized and accurate music experience. This system can be used as wearable dev"&amp;"ices, smartphone applications or in various environments such as retail stores, gym, treatment courses and automotive audio systems to enhance the emotional state and overall experience of users.")</f>
        <v>The invention is an emotional music system. It uses machine learning technology, especially the convolutional neural network (CNN) algorithm to generate a customized music playlist that matches the current emotional state of the user. This system uses a variety of methods such as facial expression recognition, heart rate monitoring or self -reported emotional level to analyze the user's emotional state, and generates a list of song playlists that match the current emotional state of the user. The system will adjust the playlist in real time with the changes in the user's mood, and use audio characteristics to identify different emotional states to provide users with a more personalized and accurate music experience. This system can be used as wearable devices, smartphone applications or in various environments such as retail stores, gym, treatment courses and automotive audio systems to enhance the emotional state and overall experience of users.</v>
      </c>
      <c r="D152" s="6" t="s">
        <v>453</v>
      </c>
      <c r="E152" s="4" t="str">
        <f ca="1">IFERROR(__xludf.DUMMYFUNCTION("GOOGLETRANSLATE(D152,""auto"",""en"")"),"Emotional music system using machine learning technology")</f>
        <v>Emotional music system using machine learning technology</v>
      </c>
    </row>
    <row r="153" spans="1:5" ht="15" x14ac:dyDescent="0.25">
      <c r="A153" s="5" t="s">
        <v>454</v>
      </c>
      <c r="B153" s="6" t="s">
        <v>455</v>
      </c>
      <c r="C153" s="3" t="str">
        <f ca="1">IFERROR(__xludf.DUMMYFUNCTION("GOOGLETRANSLATE(B153,""auto"",""en"")"),"The invention involves the field of artificial intelligence utilization. The system that uses artificial intelligence to improve football performance and analysis includes a data collection module used to collect real -time data of football games, a artif"&amp;"icial intelligence module for processing collected and generating insights to improve the performance of football players, a machine learning module Essence The modules used to analyze and identify the mode of the behavior data collected by the behavior o"&amp;"f football players are used to provide a wise decision and improve their feedback modules to football players and coaches to make a wise decision and improve their feedback modules. Generate prediction modules for the prediction model to show the user int"&amp;"erface module of the prediction model and insights to the player, and the database modules that are used to store and collect data and generate insights for future reference and analysis.")</f>
        <v>The invention involves the field of artificial intelligence utilization. The system that uses artificial intelligence to improve football performance and analysis includes a data collection module used to collect real -time data of football games, a artificial intelligence module for processing collected and generating insights to improve the performance of football players, a machine learning module Essence The modules used to analyze and identify the mode of the behavior data collected by the behavior of football players are used to provide a wise decision and improve their feedback modules to football players and coaches to make a wise decision and improve their feedback modules. Generate prediction modules for the prediction model to show the user interface module of the prediction model and insights to the player, and the database modules that are used to store and collect data and generate insights for future reference and analysis.</v>
      </c>
      <c r="D153" s="6" t="s">
        <v>456</v>
      </c>
      <c r="E153" s="4" t="str">
        <f ca="1">IFERROR(__xludf.DUMMYFUNCTION("GOOGLETRANSLATE(D153,""auto"",""en"")"),"System that uses artificial intelligence to improve football performance and analysis")</f>
        <v>System that uses artificial intelligence to improve football performance and analysis</v>
      </c>
    </row>
    <row r="154" spans="1:5" ht="15" x14ac:dyDescent="0.25">
      <c r="A154" s="5" t="s">
        <v>457</v>
      </c>
      <c r="B154" s="6" t="s">
        <v>458</v>
      </c>
      <c r="C154" s="3" t="str">
        <f ca="1">IFERROR(__xludf.DUMMYFUNCTION("GOOGLETRANSLATE(B154,""auto"",""en"")"),"The purpose of the present invention is to provide a method for providing a method of identifying human posture based on a single RGB camera and MEMS multi -sensor, including the following steps: data collection and posture solution of inertial catheterin"&amp;"g unit; UWB data collection and analysis positioning; through the RGB camera collection Data and data solution; multi -sensor fusion and optimization attitude solution; data format conversion; drive virtual characters, complete human -machine interaction:"&amp;" import the designed human model, analyze the output data and update to each skeletal node to drive the three -dimensional human body Model. The present invention is improved training for coaches and skirs in the future, improves skiing skills, accelerate"&amp;"s the speed of skiing, while reducing the cost of ski training equipment and suitable for ordinary skiing enthusiasts. Flowing of exercise.")</f>
        <v>The purpose of the present invention is to provide a method for providing a method of identifying human posture based on a single RGB camera and MEMS multi -sensor, including the following steps: data collection and posture solution of inertial cathetering unit; UWB data collection and analysis positioning; through the RGB camera collection Data and data solution; multi -sensor fusion and optimization attitude solution; data format conversion; drive virtual characters, complete human -machine interaction: import the designed human model, analyze the output data and update to each skeletal node to drive the three -dimensional human body Model. The present invention is improved training for coaches and skirs in the future, improves skiing skills, accelerates the speed of skiing, while reducing the cost of ski training equipment and suitable for ordinary skiing enthusiasts. Flowing of exercise.</v>
      </c>
      <c r="D154" s="6" t="s">
        <v>459</v>
      </c>
      <c r="E154" s="4" t="str">
        <f ca="1">IFERROR(__xludf.DUMMYFUNCTION("GOOGLETRANSLATE(D154,""auto"",""en"")"),"A method of recognition based on a monocular RGB camera and MEMS multi -sensor fusion of human posture recognition")</f>
        <v>A method of recognition based on a monocular RGB camera and MEMS multi -sensor fusion of human posture recognition</v>
      </c>
    </row>
    <row r="155" spans="1:5" ht="15" x14ac:dyDescent="0.25">
      <c r="A155" s="5" t="s">
        <v>460</v>
      </c>
      <c r="B155" s="6" t="s">
        <v>461</v>
      </c>
      <c r="C155" s="3" t="str">
        <f ca="1">IFERROR(__xludf.DUMMYFUNCTION("GOOGLETRANSLATE(B155,""auto"",""en"")"),"The present invention discloses a motion scoring method, device and equipment for badminton sports. The motion scoring method of the badminton sports includes: obtain badminton video and pre -process badminton video to get multiple sub -videos; mark sub -"&amp;"videos to mark sub -video; , Get the action category and action score of sub -video; get the video to be approved, and enter the 3D convolutional neural network to get the score video input to get the action characteristics of the scoring video; The actio"&amp;"n category of scoring video; choose one of the same action category as a sub -video video as a sample video from multiple sub -video, and use the action score of the sample video as the first action score of the scoring video. By evaluating the first acti"&amp;"on score of the score video, the level of action skills of badminton sports can be evaluated, which is not only convenient, but also helps improve the action skills of badminton.")</f>
        <v>The present invention discloses a motion scoring method, device and equipment for badminton sports. The motion scoring method of the badminton sports includes: obtain badminton video and pre -process badminton video to get multiple sub -videos; mark sub -videos to mark sub -video; , Get the action category and action score of sub -video; get the video to be approved, and enter the 3D convolutional neural network to get the score video input to get the action characteristics of the scoring video; The action category of scoring video; choose one of the same action category as a sub -video video as a sample video from multiple sub -video, and use the action score of the sample video as the first action score of the scoring video. By evaluating the first action score of the score video, the level of action skills of badminton sports can be evaluated, which is not only convenient, but also helps improve the action skills of badminton.</v>
      </c>
      <c r="D155" s="6" t="s">
        <v>462</v>
      </c>
      <c r="E155" s="4" t="str">
        <f ca="1">IFERROR(__xludf.DUMMYFUNCTION("GOOGLETRANSLATE(D155,""auto"",""en"")"),"A badminton action scoring method, device and equipment")</f>
        <v>A badminton action scoring method, device and equipment</v>
      </c>
    </row>
    <row r="156" spans="1:5" ht="15" x14ac:dyDescent="0.25">
      <c r="A156" s="5" t="s">
        <v>463</v>
      </c>
      <c r="B156" s="6" t="s">
        <v>464</v>
      </c>
      <c r="C156" s="3" t="str">
        <f ca="1">IFERROR(__xludf.DUMMYFUNCTION("GOOGLETRANSLATE(B156,""auto"",""en"")"),"The present invention involves the field of smart sports technology, and an IoT -based campus smart sports data analysis system is disclosed, including: action data collection module, which is used to collect students' sports data in sports; action node d"&amp;"ata generation module, its Movement data generating movement node data based on the collection of motion data; key action node data extraction module, which is used to extract key action node data from the collection of motion nodes data generated by stud"&amp;"ents' motion data generated by students; the first sports data analysis module, the first sports data analysis module, It is used to evaluate the current sports data in the current sports projects to determine whether the current students are qualified in"&amp;" the current sports; the present invention collects students' sports data through the Internet of Things with motion capture equipment. Sports data associated database conducts positive and reverse double -sided evaluations to obtain evaluation results.")</f>
        <v>The present invention involves the field of smart sports technology, and an IoT -based campus smart sports data analysis system is disclosed, including: action data collection module, which is used to collect students' sports data in sports; action node data generation module, its Movement data generating movement node data based on the collection of motion data; key action node data extraction module, which is used to extract key action node data from the collection of motion nodes data generated by students' motion data generated by students; the first sports data analysis module, the first sports data analysis module, It is used to evaluate the current sports data in the current sports projects to determine whether the current students are qualified in the current sports; the present invention collects students' sports data through the Internet of Things with motion capture equipment. Sports data associated database conducts positive and reverse double -sided evaluations to obtain evaluation results.</v>
      </c>
      <c r="D156" s="6" t="s">
        <v>465</v>
      </c>
      <c r="E156" s="4" t="str">
        <f ca="1">IFERROR(__xludf.DUMMYFUNCTION("GOOGLETRANSLATE(D156,""auto"",""en"")"),"A campus smart sports data analysis system based on the Internet of Things")</f>
        <v>A campus smart sports data analysis system based on the Internet of Things</v>
      </c>
    </row>
    <row r="157" spans="1:5" ht="15" x14ac:dyDescent="0.25">
      <c r="A157" s="5" t="s">
        <v>466</v>
      </c>
      <c r="B157" s="6" t="s">
        <v>467</v>
      </c>
      <c r="C157" s="3" t="str">
        <f ca="1">IFERROR(__xludf.DUMMYFUNCTION("GOOGLETRANSLATE(B157,""auto"",""en"")"),"A way of choosing a path to use vehicle route guidance was disclosed. This method receives multiple requests including multiple food combinations and multiple destinations; calculates the expected nutritional guidance order volume based on the first machi"&amp;"ne learning process; determines multiple assembly time, which includes multiple assembly time as a nutritional guidance order volume The assembly time for each food combination of the function; select a runner route from multiple runner routes to transpor"&amp;"t at least one nutritional combination of multiple nutritional combinations according to multiple setting time; according to multiple destinations Multiple prediction routes are generated with the approximation of the aggregate station; and paired with th"&amp;"e courier to optimize the predictive route of the target function. A path selection system was also released.")</f>
        <v>A way of choosing a path to use vehicle route guidance was disclosed. This method receives multiple requests including multiple food combinations and multiple destinations; calculates the expected nutritional guidance order volume based on the first machine learning process; determines multiple assembly time, which includes multiple assembly time as a nutritional guidance order volume The assembly time for each food combination of the function; select a runner route from multiple runner routes to transport at least one nutritional combination of multiple nutritional combinations according to multiple setting time; according to multiple destinations Multiple prediction routes are generated with the approximation of the aggregate station; and paired with the courier to optimize the predictive route of the target function. A path selection system was also released.</v>
      </c>
      <c r="D157" s="6" t="s">
        <v>468</v>
      </c>
      <c r="E157" s="4" t="str">
        <f ca="1">IFERROR(__xludf.DUMMYFUNCTION("GOOGLETRANSLATE(D157,""auto"",""en"")"),"A method and system for choosing the delivery path")</f>
        <v>A method and system for choosing the delivery path</v>
      </c>
    </row>
    <row r="158" spans="1:5" ht="15" x14ac:dyDescent="0.25">
      <c r="A158" s="5" t="s">
        <v>469</v>
      </c>
      <c r="B158" s="6" t="s">
        <v>470</v>
      </c>
      <c r="C158" s="3" t="str">
        <f ca="1">IFERROR(__xludf.DUMMYFUNCTION("GOOGLETRANSLATE(B158,""auto"",""en"")"),"The invention involves a portable removable component (100) for the collision helmet. Its detection accident incidents or incidents occur and send alarm and SOS signal to the user -defined number. Intelligent components include sensor modules (102), vehic"&amp;"le controller (101), communication module (103), GSM module (104), GPS module (105), user control switch (106), danger signal light module (108), the Internet of Things Module (109). Intelligent components (100) can be installed or attached to any helmet,"&amp;" and can also be used as a data recorder to record the activities of athletes participating in different sports activities, such as cycling, bicycle races, rolling skating, ice skating, hockey, tracking and tracking and tracking and tracking. There are a "&amp;"lot more.")</f>
        <v>The invention involves a portable removable component (100) for the collision helmet. Its detection accident incidents or incidents occur and send alarm and SOS signal to the user -defined number. Intelligent components include sensor modules (102), vehicle controller (101), communication module (103), GSM module (104), GPS module (105), user control switch (106), danger signal light module (108), the Internet of Things Module (109). Intelligent components (100) can be installed or attached to any helmet, and can also be used as a data recorder to record the activities of athletes participating in different sports activities, such as cycling, bicycle races, rolling skating, ice skating, hockey, tracking and tracking and tracking and tracking. There are a lot more.</v>
      </c>
      <c r="D158" s="6" t="s">
        <v>471</v>
      </c>
      <c r="E158" s="4" t="str">
        <f ca="1">IFERROR(__xludf.DUMMYFUNCTION("GOOGLETRANSLATE(D158,""auto"",""en"")"),"Life -saving smart components used for security helmets")</f>
        <v>Life -saving smart components used for security helmets</v>
      </c>
    </row>
    <row r="159" spans="1:5" ht="15" x14ac:dyDescent="0.25">
      <c r="A159" s="5" t="s">
        <v>472</v>
      </c>
      <c r="B159" s="6" t="s">
        <v>473</v>
      </c>
      <c r="C159" s="3" t="str">
        <f ca="1">IFERROR(__xludf.DUMMYFUNCTION("GOOGLETRANSLATE(B159,""auto"",""en"")"),"The invention involves behavioral recognition and computer vision fields, and a athlete action recognition network and system based on athletes enhanced by movement and timing are disclosed. Among them, the network architecture includes the first volume l"&amp;"ayer, the second volume layer, the third volume accumulation layer, the fourth volume layer, the fifth volume accumulation layer and the full connection layer; Perform convulsions and maximum pooling operations for the input -input sports video frames; th"&amp;"e second convolutional layer to the fifth volume accumulation layer is used to reduce dimension reduction treatment, movement characteristics incentives, time -sequential enhancement and time and space of the receiving feature diagram Feature extraction; "&amp;"the full connection layer is used to classify the characteristics of the feature information output output of the fifth volume, and the output athlete's action recognition results. The present invention can complete the action recognition task of players "&amp;"in sports basketball videos, which can solve problems such as insufficient sports information extraction of players in sports videos and difficulty in extracting for long -sequence features.")</f>
        <v>The invention involves behavioral recognition and computer vision fields, and a athlete action recognition network and system based on athletes enhanced by movement and timing are disclosed. Among them, the network architecture includes the first volume layer, the second volume layer, the third volume accumulation layer, the fourth volume layer, the fifth volume accumulation layer and the full connection layer; Perform convulsions and maximum pooling operations for the input -input sports video frames; the second convolutional layer to the fifth volume accumulation layer is used to reduce dimension reduction treatment, movement characteristics incentives, time -sequential enhancement and time and space of the receiving feature diagram Feature extraction; the full connection layer is used to classify the characteristics of the feature information output output of the fifth volume, and the output athlete's action recognition results. The present invention can complete the action recognition task of players in sports basketball videos, which can solve problems such as insufficient sports information extraction of players in sports videos and difficulty in extracting for long -sequence features.</v>
      </c>
      <c r="D159" s="6" t="s">
        <v>474</v>
      </c>
      <c r="E159" s="4" t="str">
        <f ca="1">IFERROR(__xludf.DUMMYFUNCTION("GOOGLETRANSLATE(D159,""auto"",""en"")"),"A kind of athletes based on motion and timing enhancement network and system")</f>
        <v>A kind of athletes based on motion and timing enhancement network and system</v>
      </c>
    </row>
    <row r="160" spans="1:5" ht="15" x14ac:dyDescent="0.25">
      <c r="A160" s="5" t="s">
        <v>475</v>
      </c>
      <c r="B160" s="6" t="s">
        <v>476</v>
      </c>
      <c r="C160" s="3" t="str">
        <f ca="1">IFERROR(__xludf.DUMMYFUNCTION("GOOGLETRANSLATE(B160,""auto"",""en"")"),"The present invention involves a system and algorithm, so that players who want to play on artificial turf can choose the game that suits them by checking the advertisement, find the disappeared players in their team, and find the right player. Players an"&amp;"d algorithms on ASTROTURF venue; server (1), two of which are controlled through the network through the network, and at least one user, user login (2) in the system, users log in to the system by entering their information. Configure the file page, the u"&amp;"ser checks its own information (2), the user filtering module (4), where the characteristics of the football field and/or players are limited by entering keywords.的信息搜索所需特征过滤模块(4),位置模块,根据用户的位置列出其环境中最合适的球员或球队(6),博客模块,用户可以在其中分享、写下他们的感受、 Thoughts and desires"&amp;" and complaints (7), a communication module, individual can communicate with the players or teams they want to contact with the players or teams they want through audio or written or video exchanges after convenient search (5), in the blog module (7) The "&amp;"evaluation module (9), the post in the post can be scored by the user, including a processor containing artificial intelligence algorithms (10), the system recommends players so that users can handle their player information and join the team.")</f>
        <v>The present invention involves a system and algorithm, so that players who want to play on artificial turf can choose the game that suits them by checking the advertisement, find the disappeared players in their team, and find the right player. Players and algorithms on ASTROTURF venue; server (1), two of which are controlled through the network through the network, and at least one user, user login (2) in the system, users log in to the system by entering their information. Configure the file page, the user checks its own information (2), the user filtering module (4), where the characteristics of the football field and/or players are limited by entering keywords.的信息搜索所需特征过滤模块(4),位置模块,根据用户的位置列出其环境中最合适的球员或球队(6),博客模块,用户可以在其中分享、写下他们的感受、 Thoughts and desires and complaints (7), a communication module, individual can communicate with the players or teams they want to contact with the players or teams they want through audio or written or video exchanges after convenient search (5), in the blog module (7) The evaluation module (9), the post in the post can be scored by the user, including a processor containing artificial intelligence algorithms (10), the system recommends players so that users can handle their player information and join the team.</v>
      </c>
      <c r="D160" s="6" t="s">
        <v>477</v>
      </c>
      <c r="E160" s="4" t="str">
        <f ca="1">IFERROR(__xludf.DUMMYFUNCTION("GOOGLETRANSLATE(D160,""auto"",""en"")"),"Find the player's system and algorithm on the carpet")</f>
        <v>Find the player's system and algorithm on the carpet</v>
      </c>
    </row>
    <row r="161" spans="1:5" ht="15" x14ac:dyDescent="0.25">
      <c r="A161" s="5" t="s">
        <v>478</v>
      </c>
      <c r="B161" s="6" t="s">
        <v>479</v>
      </c>
      <c r="C161" s="3" t="str">
        <f ca="1">IFERROR(__xludf.DUMMYFUNCTION("GOOGLETRANSLATE(B161,""auto"",""en"")"),"The present invention provides a anti -drowning warning method and system based on the lightweight human posture gesture. Among them, the anti -drowning warning method includes: the swimmer of the swimmer of the swimmers taken in real time in the underwat"&amp;"er camera; Image, enter the multi -frame swimming image in turn to the lightweight human posture gesture estimation model for the key points of the human body to obtain the coordinates of the key points of multiple human body; according to the coordinates"&amp;" of the key points of multiple personal physical points, calculate the key point feature vector ; Judging the key point feature vector in the multi -frame swimming image to determine whether the key point feature vector of the collection of the state of t"&amp;"he drowning state is greater than or or equal to its own preset similarity threshold; Signal. The technical solution of the present invention can solve the problem of most deep learning models in the existing technology, too many parameters, and difficult"&amp;" to deploy to embedded equipment for reasoning.")</f>
        <v>The present invention provides a anti -drowning warning method and system based on the lightweight human posture gesture. Among them, the anti -drowning warning method includes: the swimmer of the swimmer of the swimmers taken in real time in the underwater camera; Image, enter the multi -frame swimming image in turn to the lightweight human posture gesture estimation model for the key points of the human body to obtain the coordinates of the key points of multiple human body; according to the coordinates of the key points of multiple personal physical points, calculate the key point feature vector ; Judging the key point feature vector in the multi -frame swimming image to determine whether the key point feature vector of the collection of the state of the drowning state is greater than or or equal to its own preset similarity threshold; Signal. The technical solution of the present invention can solve the problem of most deep learning models in the existing technology, too many parameters, and difficult to deploy to embedded equipment for reasoning.</v>
      </c>
      <c r="D161" s="6" t="s">
        <v>480</v>
      </c>
      <c r="E161" s="4" t="str">
        <f ca="1">IFERROR(__xludf.DUMMYFUNCTION("GOOGLETRANSLATE(D161,""auto"",""en"")"),"Anti -drowning warning method and system based on lightweight human gesture estimation model")</f>
        <v>Anti -drowning warning method and system based on lightweight human gesture estimation model</v>
      </c>
    </row>
    <row r="162" spans="1:5" ht="15" x14ac:dyDescent="0.25">
      <c r="A162" s="5" t="s">
        <v>481</v>
      </c>
      <c r="B162" s="6" t="s">
        <v>482</v>
      </c>
      <c r="C162" s="3" t="str">
        <f ca="1">IFERROR(__xludf.DUMMYFUNCTION("GOOGLETRANSLATE(B162,""auto"",""en"")"),"This article discloses a system and method of calibrating the mobile camera to calibrate sports events. Calculate the system to retrieve the broadcast video feedback of sports events. Broadcast video feedback includes multiple video frames. The computing "&amp;"system is composed of the game surface captured by the neural network mark in each video frame. The computing system matches the subset of the labeling video frame with a set of templates with various camera angles. The computing system fits the game surf"&amp;"ace model to the label video frame that matches the template set. The computing system uses the light flow model to identify the camera movement in each video frame. The computing system is based on the fitting surface model and camera movement based on t"&amp;"he fitting game. The computing system calibrates each camera based on a single -response matrix generated by each video frame.")</f>
        <v>This article discloses a system and method of calibrating the mobile camera to calibrate sports events. Calculate the system to retrieve the broadcast video feedback of sports events. Broadcast video feedback includes multiple video frames. The computing system is composed of the game surface captured by the neural network mark in each video frame. The computing system matches the subset of the labeling video frame with a set of templates with various camera angles. The computing system fits the game surface model to the label video frame that matches the template set. The computing system uses the light flow model to identify the camera movement in each video frame. The computing system is based on the fitting surface model and camera movement based on the fitting game. The computing system calibrates each camera based on a single -response matrix generated by each video frame.</v>
      </c>
      <c r="D162" s="6" t="s">
        <v>483</v>
      </c>
      <c r="E162" s="4" t="str">
        <f ca="1">IFERROR(__xludf.DUMMYFUNCTION("GOOGLETRANSLATE(D162,""auto"",""en"")"),"Systems and methods used to calibrate the mobile camera that captures the mobile camera")</f>
        <v>Systems and methods used to calibrate the mobile camera that captures the mobile camera</v>
      </c>
    </row>
    <row r="163" spans="1:5" ht="15" x14ac:dyDescent="0.25">
      <c r="A163" s="5" t="s">
        <v>484</v>
      </c>
      <c r="B163" s="6" t="s">
        <v>485</v>
      </c>
      <c r="C163" s="3" t="str">
        <f ca="1">IFERROR(__xludf.DUMMYFUNCTION("GOOGLETRANSLATE(B163,""auto"",""en"")"),"The present invention involves the field of boxing competitions, and specifically involves an artificial intelligence -based electronic component boxing method. The method of artificial intelligence -based boxing games includes interactive session that pr"&amp;"esents virtual reality programs performed by the computing device. Use the sensor to control the physical movement of at least one boxer and the arm movement of one boxer against another boxer. Receive sensor data from the computing device for an auxiliar"&amp;"y video stream for interactive session. The status and direction of the trace position and direction of the portable device based on the virtual reality program and the direction of the portable device are used. Executive activities are performed to gener"&amp;"ate recognition participants, and transmitted the marked record image set to the client computing device of the participants through the communication network, which is based on the identity of the participant.")</f>
        <v>The present invention involves the field of boxing competitions, and specifically involves an artificial intelligence -based electronic component boxing method. The method of artificial intelligence -based boxing games includes interactive session that presents virtual reality programs performed by the computing device. Use the sensor to control the physical movement of at least one boxer and the arm movement of one boxer against another boxer. Receive sensor data from the computing device for an auxiliary video stream for interactive session. The status and direction of the trace position and direction of the portable device based on the virtual reality program and the direction of the portable device are used. Executive activities are performed to generate recognition participants, and transmitted the marked record image set to the client computing device of the participants through the communication network, which is based on the identity of the participant.</v>
      </c>
      <c r="D163" s="6" t="s">
        <v>486</v>
      </c>
      <c r="E163" s="4" t="str">
        <f ca="1">IFERROR(__xludf.DUMMYFUNCTION("GOOGLETRANSLATE(D163,""auto"",""en"")"),"Boxing game based on artificial intelligence")</f>
        <v>Boxing game based on artificial intelligence</v>
      </c>
    </row>
    <row r="164" spans="1:5" ht="15" x14ac:dyDescent="0.25">
      <c r="A164" s="5" t="s">
        <v>487</v>
      </c>
      <c r="B164" s="6" t="s">
        <v>488</v>
      </c>
      <c r="C164" s="3" t="str">
        <f ca="1">IFERROR(__xludf.DUMMYFUNCTION("GOOGLETRANSLATE(B164,""auto"",""en"")"),"The present invention provides a kart -based gaming human -machine interaction system based on the Yuan universe, which is operated based on the Yuan universe network; The server is used to provide the meta -universe operations and data services. At the s"&amp;"ame time, as the node of the blockchain, it supports the data preservation, encryption and verification of the data of the blockchain; the user access the interactive system through the client; The monitoring unit obtains the first data generated by the f"&amp;"irst user when using the virtual kart application, thereby analyzing the user's first ability value, and saving the first data and the first ability value on the blockchain; the first user can Choose to disclose its first data and first capacity values ​​"&amp;"through paid public ways; the second user can obtain the first data and interact with the first user to learn the competition skills of the first user.")</f>
        <v>The present invention provides a kart -based gaming human -machine interaction system based on the Yuan universe, which is operated based on the Yuan universe network; The server is used to provide the meta -universe operations and data services. At the same time, as the node of the blockchain, it supports the data preservation, encryption and verification of the data of the blockchain; the user access the interactive system through the client; The monitoring unit obtains the first data generated by the first user when using the virtual kart application, thereby analyzing the user's first ability value, and saving the first data and the first ability value on the blockchain; the first user can Choose to disclose its first data and first capacity values ​​through paid public ways; the second user can obtain the first data and interact with the first user to learn the competition skills of the first user.</v>
      </c>
      <c r="D164" s="6" t="s">
        <v>489</v>
      </c>
      <c r="E164" s="4" t="str">
        <f ca="1">IFERROR(__xludf.DUMMYFUNCTION("GOOGLETRANSLATE(D164,""auto"",""en"")"),"A Kart -based kart simulation e -sports man -machine interaction system")</f>
        <v>A Kart -based kart simulation e -sports man -machine interaction system</v>
      </c>
    </row>
    <row r="165" spans="1:5" ht="15" x14ac:dyDescent="0.25">
      <c r="A165" s="5" t="s">
        <v>490</v>
      </c>
      <c r="B165" s="6" t="s">
        <v>491</v>
      </c>
      <c r="C165" s="3" t="str">
        <f ca="1">IFERROR(__xludf.DUMMYFUNCTION("GOOGLETRANSLATE(B165,""auto"",""en"")"),"When the moving object is approaching the ice layer on the water, the ice layer hot image will be obtained. Thermal image and ambient temperature data are input to the neural network, the neural network outputs all areas of the ice layer, as well as their"&amp;" respective estimation thickness. The classification of each area is determined based on the thickness and mobile objects. This category is one of the preferred or non -options. Classification in the output area.")</f>
        <v>When the moving object is approaching the ice layer on the water, the ice layer hot image will be obtained. Thermal image and ambient temperature data are input to the neural network, the neural network outputs all areas of the ice layer, as well as their respective estimation thickness. The classification of each area is determined based on the thickness and mobile objects. This category is one of the preferred or non -options. Classification in the output area.</v>
      </c>
      <c r="D165" s="6" t="s">
        <v>492</v>
      </c>
      <c r="E165" s="4" t="str">
        <f ca="1">IFERROR(__xludf.DUMMYFUNCTION("GOOGLETRANSLATE(D165,""auto"",""en"")"),"Ice thick estimation of mobile objective operation")</f>
        <v>Ice thick estimation of mobile objective operation</v>
      </c>
    </row>
    <row r="166" spans="1:5" ht="15" x14ac:dyDescent="0.25">
      <c r="A166" s="5" t="s">
        <v>493</v>
      </c>
      <c r="B166" s="6" t="s">
        <v>494</v>
      </c>
      <c r="C166" s="3" t="str">
        <f ca="1">IFERROR(__xludf.DUMMYFUNCTION("GOOGLETRANSLATE(B166,""auto"",""en"")"),"The present invention involves the field of Internet of Things control technology, and a gymnasium IoT control method and system are specifically disclosed. The present invention obtains the appointment information through identification vouchers and dete"&amp;"rmines the appointment venue; according to the reservation venue, planned the admission route, and conducts the guidelines of the lighting of the Internet of Things; according to the appointment information The lighting prompt control of different venue s"&amp;"tatus; identification determines the state of departure, determine the out -of -field route, and perform the lighting guidance control of the seller of the Internet of Things. Based on the Internet of Things technology, recognize the appointment vouchers "&amp;"of users entering the gymnasium, planned the admission route, conducts the guidance control of admission lights, and control the lighting prompt control of time and different venue status when occupying the venue. During the state, the guidelines for leav"&amp;"ing the field lighting are used to apply IoT technology in the gymnasium to achieve automatic management and control of the gymnasium.")</f>
        <v>The present invention involves the field of Internet of Things control technology, and a gymnasium IoT control method and system are specifically disclosed. The present invention obtains the appointment information through identification vouchers and determines the appointment venue; according to the reservation venue, planned the admission route, and conducts the guidelines of the lighting of the Internet of Things; according to the appointment information The lighting prompt control of different venue status; identification determines the state of departure, determine the out -of -field route, and perform the lighting guidance control of the seller of the Internet of Things. Based on the Internet of Things technology, recognize the appointment vouchers of users entering the gymnasium, planned the admission route, conducts the guidance control of admission lights, and control the lighting prompt control of time and different venue status when occupying the venue. During the state, the guidelines for leaving the field lighting are used to apply IoT technology in the gymnasium to achieve automatic management and control of the gymnasium.</v>
      </c>
      <c r="D166" s="6" t="s">
        <v>495</v>
      </c>
      <c r="E166" s="4" t="str">
        <f ca="1">IFERROR(__xludf.DUMMYFUNCTION("GOOGLETRANSLATE(D166,""auto"",""en"")"),"A gymnasium IoT control method and system")</f>
        <v>A gymnasium IoT control method and system</v>
      </c>
    </row>
    <row r="167" spans="1:5" ht="15" x14ac:dyDescent="0.25">
      <c r="A167" s="5" t="s">
        <v>496</v>
      </c>
      <c r="B167" s="6" t="s">
        <v>497</v>
      </c>
      <c r="C167" s="3" t="str">
        <f ca="1">IFERROR(__xludf.DUMMYFUNCTION("GOOGLETRANSLATE(B167,""auto"",""en"")"),"The present invention discloses a kind of traction to detect the upward detection device and method. The traction body detects the device, including the upper bracket of the traction body, and the camera stand on the front side of the upper bracket. The h"&amp;"orizontal rods located between the upper end of the two vertical rods; the upper end of the camera bracket is fixed with a camera, and also includes the control host connected to the camera. The image recognition unit of the control host has a horizontal "&amp;"rod marker and human head module; the image recognition unit The human head module recognized by real -time images is completely placed under the crossbar marker, and then placed on the crossbar marker line, and it is counted as one traction upward moveme"&amp;"nt. The invention can quickly recognize whether the movement of the traction body is completed through the comparison of the human head module and the crossbar marker line, so as to achieve electronic counting, which has the characteristics of convenient "&amp;"and stable stability. There is elastic aid to realize the upward movement of the helper, and enhance the confidence of students or athletes for the movement of the traction.")</f>
        <v>The present invention discloses a kind of traction to detect the upward detection device and method. The traction body detects the device, including the upper bracket of the traction body, and the camera stand on the front side of the upper bracket. The horizontal rods located between the upper end of the two vertical rods; the upper end of the camera bracket is fixed with a camera, and also includes the control host connected to the camera. The image recognition unit of the control host has a horizontal rod marker and human head module; the image recognition unit The human head module recognized by real -time images is completely placed under the crossbar marker, and then placed on the crossbar marker line, and it is counted as one traction upward movement. The invention can quickly recognize whether the movement of the traction body is completed through the comparison of the human head module and the crossbar marker line, so as to achieve electronic counting, which has the characteristics of convenient and stable stability. There is elastic aid to realize the upward movement of the helper, and enhance the confidence of students or athletes for the movement of the traction.</v>
      </c>
      <c r="D167" s="6" t="s">
        <v>498</v>
      </c>
      <c r="E167" s="4" t="str">
        <f ca="1">IFERROR(__xludf.DUMMYFUNCTION("GOOGLETRANSLATE(D167,""auto"",""en"")"),"Ting the device and method upward detection device and method")</f>
        <v>Ting the device and method upward detection device and method</v>
      </c>
    </row>
    <row r="168" spans="1:5" ht="15" x14ac:dyDescent="0.25">
      <c r="A168" s="5" t="s">
        <v>499</v>
      </c>
      <c r="B168" s="6" t="s">
        <v>500</v>
      </c>
      <c r="C168" s="3" t="str">
        <f ca="1">IFERROR(__xludf.DUMMYFUNCTION("GOOGLETRANSLATE(B168,""auto"",""en"")"),"The present invention provides a method of reconstruction of the software operation arm posture based on the LSTM neural network, including: input layers of LSTM neural networks, the optical fiber curvature vector of the input software operation arm outpu"&amp;"t; The stance prediction of the operating arm is obtained by the predicted posture of the software operation arm; in the output layer of the LSTM neural network, the predictive posture vector is described by the probability distribution manner; Amend the "&amp;"posture of the output software. The present invention describes the predictive posture vector by probability distribution, and corrects the probability distribution of the predictable gesture vector vector, thereby reducing the effect of the accuracy of t"&amp;"he software operation arm posture restructuring caused by the system error, improves the accuracy of the accuracy of the stance of the software operation arm posture. Essence")</f>
        <v>The present invention provides a method of reconstruction of the software operation arm posture based on the LSTM neural network, including: input layers of LSTM neural networks, the optical fiber curvature vector of the input software operation arm output; The stance prediction of the operating arm is obtained by the predicted posture of the software operation arm; in the output layer of the LSTM neural network, the predictive posture vector is described by the probability distribution manner; Amend the posture of the output software. The present invention describes the predictive posture vector by probability distribution, and corrects the probability distribution of the predictable gesture vector vector, thereby reducing the effect of the accuracy of the software operation arm posture restructuring caused by the system error, improves the accuracy of the accuracy of the stance of the software operation arm posture. Essence</v>
      </c>
      <c r="D168" s="6" t="s">
        <v>501</v>
      </c>
      <c r="E168" s="4" t="str">
        <f ca="1">IFERROR(__xludf.DUMMYFUNCTION("GOOGLETRANSLATE(D168,""auto"",""en"")"),"A method of software operation arm posture reconstruction based on LSTM neural network")</f>
        <v>A method of software operation arm posture reconstruction based on LSTM neural network</v>
      </c>
    </row>
    <row r="169" spans="1:5" ht="15" x14ac:dyDescent="0.25">
      <c r="A169" s="5" t="s">
        <v>502</v>
      </c>
      <c r="B169" s="6" t="s">
        <v>503</v>
      </c>
      <c r="C169" s="3" t="str">
        <f ca="1">IFERROR(__xludf.DUMMYFUNCTION("GOOGLETRANSLATE(B169,""auto"",""en"")"),"The machine learning system includes a coaching machine learning system. The system uses machine learning to help students learn their system. By monitoring the student learning system, the coaching machine learning system can (through machine learning te"&amp;"chnology) to learn the ""super parameter"" of the student learning system, these ""super parameters"" control the machine learning process of the student learning system. Machine learning coaches can also determine the structural modification of students'"&amp;" learning system architecture. Learning coaches can also control the data flow of the student learning system.")</f>
        <v>The machine learning system includes a coaching machine learning system. The system uses machine learning to help students learn their system. By monitoring the student learning system, the coaching machine learning system can (through machine learning technology) to learn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 of the student learning system.</v>
      </c>
      <c r="D169" s="6" t="s">
        <v>504</v>
      </c>
      <c r="E169" s="4" t="str">
        <f ca="1">IFERROR(__xludf.DUMMYFUNCTION("GOOGLETRANSLATE(D169,""auto"",""en"")"),"Control the distribution of training data to integrated members")</f>
        <v>Control the distribution of training data to integrated members</v>
      </c>
    </row>
    <row r="170" spans="1:5" ht="15" x14ac:dyDescent="0.25">
      <c r="A170" s="5" t="s">
        <v>505</v>
      </c>
      <c r="B170" s="6" t="s">
        <v>506</v>
      </c>
      <c r="C170" s="3" t="str">
        <f ca="1">IFERROR(__xludf.DUMMYFUNCTION("GOOGLETRANSLATE(B170,""auto"",""en"")"),"The present invention disclosed the dance scoring algorithm based on the CNN and GCN gesture estimation and similarity calculation, and designed the gesture similarity algorithm process. Point coordinate information, use the human bone point as the diagra"&amp;"m structure data, use the diagram convolutional neural network (GCN) to extract the characteristic vector of the bone point, and then pass the two layers of full connection network to further extract the characteristic vector of the bones point; after net"&amp;"work training, Calculate the strings between any two bone points characteristic vector, and obtain a 0 to 100 attitude similarity score after the score converting, which can be used in the attitude similarity of dance, sports, emergency rescue training, f"&amp;"ire training and other fields.")</f>
        <v>The present invention disclosed the dance scoring algorithm based on the CNN and GCN gesture estimation and similarity calculation, and designed the gesture similarity algorithm process. Point coordinate information, use the human bone point as the diagram structure data, use the diagram convolutional neural network (GCN) to extract the characteristic vector of the bone point, and then pass the two layers of full connection network to further extract the characteristic vector of the bones point; after network training, Calculate the strings between any two bone points characteristic vector, and obtain a 0 to 100 attitude similarity score after the score converting, which can be used in the attitude similarity of dance, sports, emergency rescue training, fire training and other fields.</v>
      </c>
      <c r="D170" s="6" t="s">
        <v>507</v>
      </c>
      <c r="E170" s="4" t="str">
        <f ca="1">IFERROR(__xludf.DUMMYFUNCTION("GOOGLETRANSLATE(D170,""auto"",""en"")"),"Dance scoring algorithm based on CNN and GCN gesture estimation and similarity")</f>
        <v>Dance scoring algorithm based on CNN and GCN gesture estimation and similarity</v>
      </c>
    </row>
    <row r="171" spans="1:5" ht="15" x14ac:dyDescent="0.25">
      <c r="A171" s="5" t="s">
        <v>508</v>
      </c>
      <c r="B171" s="6" t="s">
        <v>509</v>
      </c>
      <c r="C171" s="3" t="str">
        <f ca="1">IFERROR(__xludf.DUMMYFUNCTION("GOOGLETRANSLATE(B171,""auto"",""en"")"),"Demand forecasting is a technology based on the analysis of the past needs of the product or service under the current market conditions to estimate the possible future for this product or service. If there is no appropriate demand forecast, no company ca"&amp;"n operate. Incorrect demand forecasts will lead to major losses. Different industries or companies have different methods to predict demand. As far as the food industry is concerned, the most important thing is that demand needs to be in the heart of the "&amp;"target, because food materials are easy to rot and have a fixed use time range. Therefore, the daily and weekly needs need accurately to avoid waste, otherwise it will increase operating costs. Food distribution and restaurants benefit from predicting foo"&amp;"d demand, because it increases profits by reducing the uncertainty of labor and food waste. These two costs are the largest cost of the restaurant. The data of the project is obtained from this competition. The project tries to use historical data to pred"&amp;"ict a company's weekly food delivery. Some studies believe that there are problems with the current waste level. For example, Garre and others describe food waste as a complex process driven by uncertainty, which usually leads to negative economic and env"&amp;"ironmental impacts. Machine learning is considered to be an effective tool for reducing these types of uncertainty, so it may improve profitability and reduce waste. In this study, several machine learning methods were tested, but it can be concluded that"&amp;" random forests have produced the best results in terms of accuracy. This method is applied to the training set and test set, with an annual interval to identify the trend, and predicts according to the average of each sales area. According to given data,"&amp;" we have obtained the following features to improve our model performance. Discount amount: This defines the difference between ""basic price"" and ""checkout price"". Discount percentage: This defines the discount percentage provided by customers. Discou"&amp;"nt: Definition whether it provides discounts -if there is a discount, it is 1, and if there is no discount, it is 0. Comparison week price: This defines the increase/decrease of diet prices compared with the previous week. Comparison week price: price ris"&amp;"e or fall -if the price rises, it is 1, and if the price falls from the previous week, it is 0. Quarter: According to the given week, a new feature called Quarter is exported, which defines the quarter of the year. Year: According to the given week, it de"&amp;"rives a new feature called Year and defines Year.")</f>
        <v>Demand forecasting is a technology based on the analysis of the past needs of the product or service under the current market conditions to estimate the possible future for this product or service. If there is no appropriate demand forecast, no company can operate. Incorrect demand forecasts will lead to major losses. Different industries or companies have different methods to predict demand. As far as the food industry is concerned, the most important thing is that demand needs to be in the heart of the target, because food materials are easy to rot and have a fixed use time range. Therefore, the daily and weekly needs need accurately to avoid waste, otherwise it will increase operating costs. Food distribution and restaurants benefit from predicting food demand, because it increases profits by reducing the uncertainty of labor and food waste. These two costs are the largest cost of the restaurant. The data of the project is obtained from this competition. The project tries to use historical data to predict a company's weekly food delivery. Some studies believe that there are problems with the current waste level. For example, Garre and others describe food waste as a complex process driven by uncertainty, which usually leads to negative economic and environmental impacts. Machine learning is considered to be an effective tool for reducing these types of uncertainty, so it may improve profitability and reduce waste. In this study, several machine learning methods were tested, but it can be concluded that random forests have produced the best results in terms of accuracy. This method is applied to the training set and test set, with an annual interval to identify the trend, and predicts according to the average of each sales area. According to given data, we have obtained the following features to improve our model performance. Discount amount: This defines the difference between "basic price" and "checkout price". Discount percentage: This defines the discount percentage provided by customers. Discount: Definition whether it provides discounts -if there is a discount, it is 1, and if there is no discount, it is 0. Comparison week price: This defines the increase/decrease of diet prices compared with the previous week. Comparison week price: price rise or fall -if the price rises, it is 1, and if the price falls from the previous week, it is 0. Quarter: According to the given week, a new feature called Quarter is exported, which defines the quarter of the year. Year: According to the given week, it derives a new feature called Year and defines Year.</v>
      </c>
      <c r="D171" s="6" t="s">
        <v>510</v>
      </c>
      <c r="E171" s="4" t="str">
        <f ca="1">IFERROR(__xludf.DUMMYFUNCTION("GOOGLETRANSLATE(D171,""auto"",""en"")"),"Use machine learning for food demand prediction")</f>
        <v>Use machine learning for food demand prediction</v>
      </c>
    </row>
    <row r="172" spans="1:5" ht="15" x14ac:dyDescent="0.25">
      <c r="A172" s="5" t="s">
        <v>511</v>
      </c>
      <c r="B172" s="6" t="s">
        <v>512</v>
      </c>
      <c r="C172" s="3" t="str">
        <f ca="1">IFERROR(__xludf.DUMMYFUNCTION("GOOGLETRANSLATE(B172,""auto"",""en"")"),"It depicts the automated customized health management system provided by the present invention. The system includes smart devices (1), remote server (2), data management module (3), artificial intelligence -based processor unit (4), output module (5), and"&amp;" data security module (6). Overcoming the shortcomings of existing technologies, that is, based on artificial intelligence, advanced encryption, decryption, and network network standards and technologies, providing users with customized suggestions approv"&amp;"ed by doctors in a highly secure way, so that users can maintain his current advice to provide fitness. The medical history retrieval to provide customized suggestions and provide users with symptomatic medical decision -making support.")</f>
        <v>It depicts the automated customized health management system provided by the present invention. The system includes smart devices (1), remote server (2), data management module (3), artificial intelligence -based processor unit (4), output module (5), and data security module (6). Overcoming the shortcomings of existing technologies, that is, based on artificial intelligence, advanced encryption, decryption, and network network standards and technologies, providing users with customized suggestions approved by doctors in a highly secure way, so that users can maintain his current advice to provide fitness. The medical history retrieval to provide customized suggestions and provide users with symptomatic medical decision -making support.</v>
      </c>
      <c r="D172" s="6" t="s">
        <v>513</v>
      </c>
      <c r="E172" s="4" t="str">
        <f ca="1">IFERROR(__xludf.DUMMYFUNCTION("GOOGLETRANSLATE(D172,""auto"",""en"")"),"Automatic customized health management system")</f>
        <v>Automatic customized health management system</v>
      </c>
    </row>
    <row r="173" spans="1:5" ht="15" x14ac:dyDescent="0.25">
      <c r="A173" s="5" t="s">
        <v>514</v>
      </c>
      <c r="B173" s="6" t="s">
        <v>515</v>
      </c>
      <c r="C173" s="3" t="str">
        <f ca="1">IFERROR(__xludf.DUMMYFUNCTION("GOOGLETRANSLATE(B173,""auto"",""en"")"),"The invention involves the intelligent control technology field of health sports equipment, and the intelligent control system of healthy sports equipment with human -computer interaction function is disclosed, including: sports personnel exercise paramet"&amp;"ers setting modules, sports heart rate analysis modules, motion phase division modules, current status monitoring Analysis module, current posture monitoring analysis module, current sports health analysis module, voice broadcast and personnel behavior an"&amp;"alysis module, treadmill regulation and control analysis and execution module and database. By analyzing the movement status assessment index of the current monitoring period during the exercise stage of the target sports personnel, it not only effectivel"&amp;"y avoids the fitness safety accident caused by the center rate of the corresponding running process or the breathing frequency due to the target. The corresponding voice reminder of the sports personnel can avoid the problem that the target sports personn"&amp;"el cannot achieve the best exercise effect due to the insufficient sports knowledge reserves of the target sports personnel.")</f>
        <v>The invention involves the intelligent control technology field of health sports equipment, and the intelligent control system of healthy sports equipment with human -computer interaction function is disclosed, including: sports personnel exercise parameters setting modules, sports heart rate analysis modules, motion phase division modules, current status monitoring Analysis module, current posture monitoring analysis module, current sports health analysis module, voice broadcast and personnel behavior analysis module, treadmill regulation and control analysis and execution module and database. By analyzing the movement status assessment index of the current monitoring period during the exercise stage of the target sports personnel, it not only effectively avoids the fitness safety accident caused by the center rate of the corresponding running process or the breathing frequency due to the target. The corresponding voice reminder of the sports personnel can avoid the problem that the target sports personnel cannot achieve the best exercise effect due to the insufficient sports knowledge reserves of the target sports personnel.</v>
      </c>
      <c r="D173" s="6" t="s">
        <v>516</v>
      </c>
      <c r="E173" s="4" t="str">
        <f ca="1">IFERROR(__xludf.DUMMYFUNCTION("GOOGLETRANSLATE(D173,""auto"",""en"")"),"A intelligent control system with human -computer interaction functions")</f>
        <v>A intelligent control system with human -computer interaction functions</v>
      </c>
    </row>
    <row r="174" spans="1:5" ht="15" x14ac:dyDescent="0.25">
      <c r="A174" s="5" t="s">
        <v>517</v>
      </c>
      <c r="B174" s="6" t="s">
        <v>518</v>
      </c>
      <c r="C174" s="3" t="str">
        <f ca="1">IFERROR(__xludf.DUMMYFUNCTION("GOOGLETRANSLATE(B174,""auto"",""en"")"),"-")</f>
        <v>-</v>
      </c>
      <c r="D174" s="6" t="s">
        <v>519</v>
      </c>
      <c r="E174" s="4" t="str">
        <f ca="1">IFERROR(__xludf.DUMMYFUNCTION("GOOGLETRANSLATE(D174,""auto"",""en"")"),"Swimming facility energy management platform based on artificial intelligence model")</f>
        <v>Swimming facility energy management platform based on artificial intelligence model</v>
      </c>
    </row>
    <row r="175" spans="1:5" ht="15" x14ac:dyDescent="0.25">
      <c r="A175" s="5" t="s">
        <v>520</v>
      </c>
      <c r="B175" s="6" t="s">
        <v>521</v>
      </c>
      <c r="C175" s="3" t="str">
        <f ca="1">IFERROR(__xludf.DUMMYFUNCTION("GOOGLETRANSLATE(B175,""auto"",""en"")"),"The badminton auxiliary training intelligent robots of the present invention collect and highly improve the badminton by collecting devices and correction and improvement devices, and use gravity to achieve free falling balls. Ball coverage and efficiency"&amp;"; reasonable structure, excellent performance, low cost, low power consumption, and high degree of intelligence. Has the following functions: high efficiency of stacking balls, automatic evasion of obstacles; intelligent identification of the stadium, aut"&amp;"omatically pick up the ball, recover the ball scattered outside the scheduled landing point; divide the stadium into the coordinate system or the sender or the serve machine. Determine the position through the Bluetooth connection; by assigning a value of"&amp;" different areas, calculating the player score, and intuitively evaluating the player's ability to control the ball under specific technical actions. If you collect and score the balls within a specific range in order, then collect and score the ball scat"&amp;"tered on the court through your own perception.")</f>
        <v>The badminton auxiliary training intelligent robots of the present invention collect and highly improve the badminton by collecting devices and correction and improvement devices, and use gravity to achieve free falling balls. Ball coverage and efficiency; reasonable structure, excellent performance, low cost, low power consumption, and high degree of intelligence. Has the following functions: high efficiency of stacking balls, automatic evasion of obstacles; intelligent identification of the stadium, automatically pick up the ball, recover the ball scattered outside the scheduled landing point; divide the stadium into the coordinate system or the sender or the serve machine. Determine the position through the Bluetooth connection; by assigning a value of different areas, calculating the player score, and intuitively evaluating the player's ability to control the ball under specific technical actions. If you collect and score the balls within a specific range in order, then collect and score the ball scattered on the court through your own perception.</v>
      </c>
      <c r="D175" s="6" t="s">
        <v>522</v>
      </c>
      <c r="E175" s="4" t="str">
        <f ca="1">IFERROR(__xludf.DUMMYFUNCTION("GOOGLETRANSLATE(D175,""auto"",""en"")"),"Badminton auxiliary training smart robots")</f>
        <v>Badminton auxiliary training smart robots</v>
      </c>
    </row>
    <row r="176" spans="1:5" ht="15" x14ac:dyDescent="0.25">
      <c r="A176" s="5" t="s">
        <v>523</v>
      </c>
      <c r="B176" s="6" t="s">
        <v>524</v>
      </c>
      <c r="C176" s="3" t="str">
        <f ca="1">IFERROR(__xludf.DUMMYFUNCTION("GOOGLETRANSLATE(B176,""auto"",""en"")"),"This article provides a system and method of re -identifying the players in the broadcast video feedback. Calculate the system to retrieve the broadcast video feedback of sports events. Broadcast video feedback includes multiple video frames. The computin"&amp;"g system generates multiple tracks based on multiple video frames. Each track includes multiple image blocks associated with at least one player. Each image block in multiple image blocks is a subset of the corresponding frames in multiple video frames. F"&amp;"or each orbit, the computing system generates a image patch. You can see the jersey number of each player in each image block of the gallery. The computing system matches between the gallery through the convolution automatic encoder. The computing system "&amp;"measures the similarity scores of each matching purpose through the neural network, and associates two tracks based on the measurement similarity.")</f>
        <v>This article provides a system and method of re -identifying the players in the broadcast video feedback. Calculate the system to retrieve the broadcast video feedback of sports events. Broadcast video feedback includes multiple video frames. The computing system generates multiple tracks based on multiple video frames. Each track includes multiple image blocks associated with at least one player. Each image block in multiple image blocks is a subset of the corresponding frames in multiple video frames. For each orbit, the computing system generates a image patch. You can see the jersey number of each player in each image block of the gallery. The computing system matches between the gallery through the convolution automatic encoder. The computing system measures the similarity scores of each matching purpose through the neural network, and associates two tracks based on the measurement similarity.</v>
      </c>
      <c r="D176" s="6" t="s">
        <v>525</v>
      </c>
      <c r="E176" s="4" t="str">
        <f ca="1">IFERROR(__xludf.DUMMYFUNCTION("GOOGLETRANSLATE(D176,""auto"",""en"")"),"Systems and methods used to re -identify players in broadcasting videos")</f>
        <v>Systems and methods used to re -identify players in broadcasting videos</v>
      </c>
    </row>
    <row r="177" spans="1:5" ht="15" x14ac:dyDescent="0.25">
      <c r="A177" s="5" t="s">
        <v>526</v>
      </c>
      <c r="B177" s="6" t="s">
        <v>527</v>
      </c>
      <c r="C177" s="3" t="str">
        <f ca="1">IFERROR(__xludf.DUMMYFUNCTION("GOOGLETRANSLATE(B177,""auto"",""en"")"),"The present invention involves the field of image processing technology, which specifically involves an artificial intelligence -based drowning method and emergency treatment system. This method first enters the collected swimming pool video into the trai"&amp;"ned drowning recognition network, and outputs the characteristic vector of drowning, and the drowning feature vector is determined whether the drowning situation occurs; Point computing video image mode similarity; two or two matches the historical swimmi"&amp;"ng pool video to get video pairs; according to the ash value frequency of the background area of ​​the video image, calculate the background similarity; The two videos of the two videos are matched with two or two to get the image pair; It improves the ac"&amp;"curacy of the network's recognition of normal swimming and drowning, and avoids the casualties that cause personnel in time when drowning movements and normal swimming movements.")</f>
        <v>The present invention involves the field of image processing technology, which specifically involves an artificial intelligence -based drowning method and emergency treatment system. This method first enters the collected swimming pool video into the trained drowning recognition network, and outputs the characteristic vector of drowning, and the drowning feature vector is determined whether the drowning situation occurs; Point computing video image mode similarity; two or two matches the historical swimming pool video to get video pairs; according to the ash value frequency of the background area of ​​the video image, calculate the background similarity; The two videos of the two videos are matched with two or two to get the image pair; It improves the accuracy of the network's recognition of normal swimming and drowning, and avoids the casualties that cause personnel in time when drowning movements and normal swimming movements.</v>
      </c>
      <c r="D177" s="6" t="s">
        <v>528</v>
      </c>
      <c r="E177" s="4" t="str">
        <f ca="1">IFERROR(__xludf.DUMMYFUNCTION("GOOGLETRANSLATE(D177,""auto"",""en"")"),"An artificial intelligence -based drowning method and emergency treatment system")</f>
        <v>An artificial intelligence -based drowning method and emergency treatment system</v>
      </c>
    </row>
    <row r="178" spans="1:5" ht="15" x14ac:dyDescent="0.25">
      <c r="A178" s="5" t="s">
        <v>529</v>
      </c>
      <c r="B178" s="6" t="s">
        <v>530</v>
      </c>
      <c r="C178" s="3" t="str">
        <f ca="1">IFERROR(__xludf.DUMMYFUNCTION("GOOGLETRANSLATE(B178,""auto"",""en"")"),"1. The name of the product of the design of the product: The information of the display screen panel display the graphical user interface.
 2. Design products in appearance: used for running procedures, information display, and human -computer interacti"&amp;"on.
 3. Design of the design of the product in this exterior: lies in the interface content of the graphic user interface in the screen.
 4. Pictures or photos that can best show design: Design 1 main view.
 5. Specify design 1 is the basic design.
"&amp;" 
 6. The purpose of graphical user interface: This graphic user interface is used for automated intervention rate information display.
 Design 1 The main view is the SAS intervention rate display interface. The system analyzes statistical analysis of t"&amp;"he intervention of the coal mining machine from the remote and local modes. Users can perform related operations according to the interface prompts.
 Design 2 main view is the SAC intervention rate display interface. The system analyzes the intervention"&amp;" of the coal mining machine from the remote and local modes. The user can perform related operations according to the interface prompt.
 7. Other situations that need to be described and other descriptions: This display screen panel is applied to comput"&amp;"ers, laptops, tablets, mobile phones, smart watches, smart bracelets, fitness monitor, headset headphones, personal digital assistants (PDA), smart smart Speakers, television, set -top boxes, projectors, game consoles or navigators, vehicles.")</f>
        <v>1. The name of the product of the design of the product: The information of the display screen panel display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automated intervention rate information display.
 Design 1 The main view is the SAS intervention rate display interface. The system analyzes statistical analysis of the intervention of the coal mining machine from the remote and local modes. Users can perform related operations according to the interface prompts.
 Design 2 main view is the SAC intervention rate display interface. The system analyzes the intervention of the coal mining machine from the remote and local modes. The user can perform related operations according to the interface prompt.
 7. Other situations that need to be described and other descriptions: This display screen panel is applied to computers, laptops, tablets, mobile phones, smart watches, smart bracelets, fitness monitor, headset headphones, personal digital assistants (PDA), smart smart Speakers, television, set -top boxes, projectors, game consoles or navigators, vehicles.</v>
      </c>
      <c r="D178" s="6" t="s">
        <v>531</v>
      </c>
      <c r="E178" s="4" t="str">
        <f ca="1">IFERROR(__xludf.DUMMYFUNCTION("GOOGLETRANSLATE(D178,""auto"",""en"")"),"Information on display screen panel display graphics user interface")</f>
        <v>Information on display screen panel display graphics user interface</v>
      </c>
    </row>
    <row r="179" spans="1:5" ht="15" x14ac:dyDescent="0.25">
      <c r="A179" s="5" t="s">
        <v>532</v>
      </c>
      <c r="B179" s="6" t="s">
        <v>533</v>
      </c>
      <c r="C179" s="3" t="str">
        <f ca="1">IFERROR(__xludf.DUMMYFUNCTION("GOOGLETRANSLATE(B179,""auto"",""en"")"),"When the present invention uses a mobile phone or tablet device to reach out or set up a terminal to take a picture of itself, it is estimated that in real time to perform human identification by having an automatic zooming and reduction function, and to "&amp;"correct the posture for real -time automatic physical recognition by real -time automatic physical recognition The artificial intelligence posture system and method of functional mobile devices can support the estimation and correction guidance of artific"&amp;"ial intelligence posture in family fitness and other sports environments.
  Related national research and development project
  【Detailed task number】 Inno-2022-01
  [Department and Management Institution Name] Research Foundation
  [Project Name]"&amp;" Joint Research Project of Innovation Project in Jingfu University
  [Task name] Real -time motion analysis program development based on artificial intelligence (AI) data
  [Executive Agency Name] Jingfu University Industry and Academic Cooperation Co"&amp;"nsortium
  [Research period] November 1, 2022. ~ February 28, 2023.")</f>
        <v>When the present invention uses a mobile phone or tablet device to reach out or set up a terminal to take a picture of itself, it is estimated that in real time to perform human identification by having an automatic zooming and reduction function, and to correct the posture for real -time automatic physical recognition by real -time automatic physical recognition The artificial intelligence posture system and method of functional mobile devices can support the estimation and correction guidance of artificial intelligence posture in family fitness and other sports environments.
  Related national research and development project
  【Detailed task number】 Inno-2022-01
  [Department and Management Institution Name] Research Foundation
  [Project Name] Joint Research Project of Innovation Project in Jingfu University
  [Task name] Real -time motion analysis program development based on artificial intelligence (AI) data
  [Executive Agency Name] Jingfu University Industry and Academic Cooperation Consortium
  [Research period] November 1, 2022. ~ February 28, 2023.</v>
      </c>
      <c r="D179" s="6" t="s">
        <v>534</v>
      </c>
      <c r="E179" s="4" t="str">
        <f ca="1">IFERROR(__xludf.DUMMYFUNCTION("GOOGLETRANSLATE(D179,""auto"",""en"")"),"Artificial intelligence posture estimation system and method for mobile devices with real -time automatic physical recognition functions")</f>
        <v>Artificial intelligence posture estimation system and method for mobile devices with real -time automatic physical recognition functions</v>
      </c>
    </row>
    <row r="180" spans="1:5" ht="15" x14ac:dyDescent="0.25">
      <c r="A180" s="5" t="s">
        <v>535</v>
      </c>
      <c r="B180" s="6" t="s">
        <v>536</v>
      </c>
      <c r="C180" s="3" t="str">
        <f ca="1">IFERROR(__xludf.DUMMYFUNCTION("GOOGLETRANSLATE(B180,""auto"",""en"")"),"A system of presence of competitions for the player played on the audience, including a set of cameras deployed around the real game field, memory for storing video fragments. Players' frame sequences; each player's 3D model, which is generated in the pre"&amp;"vious video stream based on the performance of each player before the game; the object detection module, including at least one processor, is suitable for receiving and processing the video. Fragment; identify each player and real game venue in each frame"&amp;" of the video segment; determine the location of each player on the game in each frame; use deep learning models to extract the bones and bones and bones and bones and of each player from the video fragment Skin characteristics; use 3D models and extracti"&amp;"on features to generate 3D avatars for all players, animated their respective 3D avatars; continue to track the position and movement of each player through the video fragment Essence The transmitter sends the data, location data, and 3D incarnations rela"&amp;"ted to the game venue to software applications on the audience side, and the computer -based terminal device executes software application on the audience side, so as to generate synthetic game venues and make the 3D incarnation animation. The posture cha"&amp;"racteristics of each player.")</f>
        <v>A system of presence of competitions for the player played on the audience, including a set of cameras deployed around the real game field, memory for storing video fragments. Players' frame sequences; each player's 3D model, which is generated in the previous video stream based on the performance of each player before the game; the object detection module, including at least one processor, is suitable for receiving and processing the video. Fragment; identify each player and real game venue in each frame of the video segment; determine the location of each player on the game in each frame; use deep learning models to extract the bones and bones and bones and bones and of each player from the video fragment Skin characteristics; use 3D models and extraction features to generate 3D avatars for all players, animated their respective 3D avatars; continue to track the position and movement of each player through the video fragment Essence The transmitter sends the data, location data, and 3D incarnations related to the game venue to software applications on the audience side, and the computer -based terminal device executes software application on the audience side, so as to generate synthetic game venues and make the 3D incarnation animation. The posture characteristics of each player.</v>
      </c>
      <c r="D180" s="6" t="s">
        <v>537</v>
      </c>
      <c r="E180" s="4" t="str">
        <f ca="1">IFERROR(__xludf.DUMMYFUNCTION("GOOGLETRANSLATE(D180,""auto"",""en"")"),"Used to watch the augmented reality interface of on -site sports competitions")</f>
        <v>Used to watch the augmented reality interface of on -site sports competitions</v>
      </c>
    </row>
    <row r="181" spans="1:5" ht="15" x14ac:dyDescent="0.25">
      <c r="A181" s="5" t="s">
        <v>538</v>
      </c>
      <c r="B181" s="6" t="s">
        <v>539</v>
      </c>
      <c r="C181" s="3" t="str">
        <f ca="1">IFERROR(__xludf.DUMMYFUNCTION("GOOGLETRANSLATE(B181,""auto"",""en"")"),"The present invention discloses a drowning monitoring method and system based on semi -monitoring and supporting vector machines. Among them, drowning monitoring methods, including: According to the two -column algorithm, the swimmer's swimming characteri"&amp;"stic data is analyzed by the swimmer's swimming characteristics. The first training test data set of related factors; enter the first training test data set with drowning related factors to the support vector machine for initial training and testing, and "&amp;"get the initial support vector model of the test; use the initial support vector machine model model The probability of the drowning of the drowning is screened to get the secondary training test data set; the secondary training test dataset is used to co"&amp;"nduct secondary training and testing the initial support vector model model to obtain the semi -supervised support vector model; Drowning the swimming characteristic data is predicted to obtain the drowning prediction results. The technical scheme of the "&amp;"present invention can solve the problem of small existing technical data samples and difficult to refer to comparison.")</f>
        <v>The present invention discloses a drowning monitoring method and system based on semi -monitoring and supporting vector machines. Among them, drowning monitoring methods, including: According to the two -column algorithm, the swimmer's swimming characteristic data is analyzed by the swimmer's swimming characteristics. The first training test data set of related factors; enter the first training test data set with drowning related factors to the support vector machine for initial training and testing, and get the initial support vector model of the test; use the initial support vector machine model model The probability of the drowning of the drowning is screened to get the secondary training test data set; the secondary training test dataset is used to conduct secondary training and testing the initial support vector model model to obtain the semi -supervised support vector model; Drowning the swimming characteristic data is predicted to obtain the drowning prediction results. The technical scheme of the present invention can solve the problem of small existing technical data samples and difficult to refer to comparison.</v>
      </c>
      <c r="D181" s="6" t="s">
        <v>540</v>
      </c>
      <c r="E181" s="4" t="str">
        <f ca="1">IFERROR(__xludf.DUMMYFUNCTION("GOOGLETRANSLATE(D181,""auto"",""en"")"),"A method and system of anti -drowning monitoring method and system based on semi -supervision support vector machines")</f>
        <v>A method and system of anti -drowning monitoring method and system based on semi -supervision support vector machines</v>
      </c>
    </row>
    <row r="182" spans="1:5" ht="15" x14ac:dyDescent="0.25">
      <c r="A182" s="5" t="s">
        <v>541</v>
      </c>
      <c r="B182" s="6" t="s">
        <v>542</v>
      </c>
      <c r="C182" s="3" t="str">
        <f ca="1">IFERROR(__xludf.DUMMYFUNCTION("GOOGLETRANSLATE(B182,""auto"",""en"")"),"This article describes the method and system for automation or auxiliary referees for baseball or softball games. The position of the good ball area is determined according to the video image of the hitter standing next to the home base. Based on the vide"&amp;"o images captured by at least two cameras with different positions, the position of the ball moved by the computer with a computer vision and the position of the stick held by the hitter. In addition, whether the position of the ball is intersecting with "&amp;"the hit area and whether the player really tries to determine the autonomous determination of the ball to the ball, and based on at least one of these determinations, there is an autonomous determination whether the ""hitting the ball"" or whether the ""h"&amp;"itting the ball"" or ""ball"". In addition, whether to automatically output the instructions of ""hitting"" or ""ball"".")</f>
        <v>This article describes the method and system for automation or auxiliary referees for baseball or softball games. The position of the good ball area is determined according to the video image of the hitter standing next to the home base. Based on the video images captured by at least two cameras with different positions, the position of the ball moved by the computer with a computer vision and the position of the stick held by the hitter. In addition, whether the position of the ball is intersecting with the hit area and whether the player really tries to determine the autonomous determination of the ball to the ball, and based on at least one of these determinations, there is an autonomous determination whether the "hitting the ball" or whether the "hitting the ball" or "ball". In addition, whether to automatically output the instructions of "hitting" or "ball".</v>
      </c>
      <c r="D182" s="6" t="s">
        <v>543</v>
      </c>
      <c r="E182" s="4" t="str">
        <f ca="1">IFERROR(__xludf.DUMMYFUNCTION("GOOGLETRANSLATE(D182,""auto"",""en"")"),"Use computer vision automatic or auxiliary referee baseball games")</f>
        <v>Use computer vision automatic or auxiliary referee baseball games</v>
      </c>
    </row>
    <row r="183" spans="1:5" ht="15" x14ac:dyDescent="0.25">
      <c r="A183" s="5" t="s">
        <v>544</v>
      </c>
      <c r="B183" s="6" t="s">
        <v>545</v>
      </c>
      <c r="C183" s="3" t="str">
        <f ca="1">IFERROR(__xludf.DUMMYFUNCTION("GOOGLETRANSLATE(B183,""auto"",""en"")"),"This article revealed a method of generating sports events. The computing system retrieves the tracking data from the data storage. The computing system uses a deep neural network to generate a prediction model. One or more neural networks of deep neural "&amp;"networks are based on tracking data generating one or more embedded in team specific information and agent specific information. The computing system selects one or more features related to the current background of sports events from tracking data. The c"&amp;"omputing system learns one or more possible results of one or more sports events through deep neural networks. Calculate the system to receive sports events before the game. By predicting the model, the computing system is based on the historical informat"&amp;"ion of each agent of the home team and each agent of the visiting team, as well as the team's specific characteristics to generate the possible results of sports events.")</f>
        <v>This article revealed a method of generating sports events. The computing system retrieves the tracking data from the data storage. The computing system uses a deep neural network to generate a prediction model. One or more neural networks of deep neural networks are based on tracking data generating one or more embedded in team specific information and agent specific information. The computing system selects one or more features related to the current background of sports events from tracking data. The computing system learns one or more possible results of one or more sports events through deep neural networks. Calculate the system to receive sports events before the game. By predicting the model, the computing system is based on the historical information of each agent of the home team and each agent of the visiting team, as well as the team's specific characteristics to generate the possible results of sports events.</v>
      </c>
      <c r="D183" s="6" t="s">
        <v>546</v>
      </c>
      <c r="E183" s="4" t="str">
        <f ca="1">IFERROR(__xludf.DUMMYFUNCTION("GOOGLETRANSLATE(D183,""auto"",""en"")"),"The methods and systems used for interactive, explained and improved in the team movement and improvement of player performance prediction")</f>
        <v>The methods and systems used for interactive, explained and improved in the team movement and improvement of player performance prediction</v>
      </c>
    </row>
    <row r="184" spans="1:5" ht="15" x14ac:dyDescent="0.25">
      <c r="A184" s="5" t="s">
        <v>547</v>
      </c>
      <c r="B184" s="6" t="s">
        <v>548</v>
      </c>
      <c r="C184" s="3" t="str">
        <f ca="1">IFERROR(__xludf.DUMMYFUNCTION("GOOGLETRANSLATE(B184,""auto"",""en"")"),"In some aspects, the technology described in this article involves one method, which includes: collecting user data related to the use of fitness devices; optional capture users' images; establishing personal data for users; enhanced personal information "&amp;"through interactive data to enhance personal information ; Input the configuration file into the machine learning model, the machine learning model generates classification; and output classification.")</f>
        <v>In some aspects, the technology described in this article involves one method, which includes: collecting user data related to the use of fitness devices; optional capture users' images; establishing personal data for users; enhanced personal information through interactive data to enhance personal information ; Input the configuration file into the machine learning model, the machine learning model generates classification; and output classification.</v>
      </c>
      <c r="D184" s="6" t="s">
        <v>549</v>
      </c>
      <c r="E184" s="4" t="str">
        <f ca="1">IFERROR(__xludf.DUMMYFUNCTION("GOOGLETRANSLATE(D184,""auto"",""en"")"),"Use a large -scale sports equipment index to provide a personalized experience")</f>
        <v>Use a large -scale sports equipment index to provide a personalized experience</v>
      </c>
    </row>
    <row r="185" spans="1:5" ht="15" x14ac:dyDescent="0.25">
      <c r="A185" s="5" t="s">
        <v>550</v>
      </c>
      <c r="B185" s="6" t="s">
        <v>551</v>
      </c>
      <c r="C185" s="3" t="str">
        <f ca="1">IFERROR(__xludf.DUMMYFUNCTION("GOOGLETRANSLATE(B185,""auto"",""en"")"),"This utility model opens a platform for the training contest of an oil pins arm control, including controllers, oil pins, flange recognition disks, probe rods, at least one flange dock detection module, at least one cross -barrier detection module; the ro"&amp;"d is long as a long type as a long type as a long type. ; The oil arming arm is a multi -freedom hydraulic and controllable robotic arm, and its end is fixed with the French recognition disk and the one end of the rod. , Its fixed settings are in front of"&amp;" the shooting equipment for the docking of flange recognition disks; the shooting equipment is connected to the controller communication, which is used to shoot the flange recognition disk and send the image to the controller. The position of the disk; th"&amp;"e obstacle detection module sets multiple detection modules in the horizontal direction, which is connected to the controller to detect the obstacle direction and accuracy of the detection rod. The practical new type is convenient for training the operati"&amp;"on process of fluid loading and unloading workers to improve the safety and efficiency of fluid loading and unloading operations.")</f>
        <v>This utility model opens a platform for the training contest of an oil pins arm control, including controllers, oil pins, flange recognition disks, probe rods, at least one flange dock detection module, at least one cross -barrier detection module; the rod is long as a long type as a long type as a long type. ; The oil arming arm is a multi -freedom hydraulic and controllable robotic arm, and its end is fixed with the French recognition disk and the one end of the rod. , Its fixed settings are in front of the shooting equipment for the docking of flange recognition disks; the shooting equipment is connected to the controller communication, which is used to shoot the flange recognition disk and send the image to the controller. The position of the disk; the obstacle detection module sets multiple detection modules in the horizontal direction, which is connected to the controller to detect the obstacle direction and accuracy of the detection rod. The practical new type is convenient for training the operation process of fluid loading and unloading workers to improve the safety and efficiency of fluid loading and unloading operations.</v>
      </c>
      <c r="D185" s="6" t="s">
        <v>552</v>
      </c>
      <c r="E185" s="4" t="str">
        <f ca="1">IFERROR(__xludf.DUMMYFUNCTION("GOOGLETRANSLATE(D185,""auto"",""en"")"),"A platform for oil arm control training competition platform")</f>
        <v>A platform for oil arm control training competition platform</v>
      </c>
    </row>
    <row r="186" spans="1:5" ht="15" x14ac:dyDescent="0.25">
      <c r="A186" s="5" t="s">
        <v>553</v>
      </c>
      <c r="B186" s="6" t="s">
        <v>554</v>
      </c>
      <c r="C186" s="3" t="str">
        <f ca="1">IFERROR(__xludf.DUMMYFUNCTION("GOOGLETRANSLATE(B186,""auto"",""en"")"),"Dating in the classroom or any institution is one of the time -consuming and vigilant processes. In order to optimize the process and reduce the human, money, energy and time involved, a highly advanced robot attendance system of deep learning is proposed"&amp;". The present invention deploys a robotic intelligent machine, which constitutes a deep learning visual system used in institutional places. It captures images or receives input through voice recognition part. Then compare, learn, recognize the receiving "&amp;"input, and compare with the institutional cloud storage database. After the competition, the attendance rate maintained in the data table maintained in the cloud server was displayed as an output to the user, indicating that their attendance rate has been"&amp;" marked. An additional SMS module will be helped in this way, and it sends it to the mobile phone of the relevant personnel for verification. Therefore, through the use of learning, artificial intelligence and robotics, traditional institutional attendanc"&amp;"e methods have been canceled.")</f>
        <v>Dating in the classroom or any institution is one of the time -consuming and vigilant processes. In order to optimize the process and reduce the human, money, energy and time involved, a highly advanced robot attendance system of deep learning is proposed. The present invention deploys a robotic intelligent machine, which constitutes a deep learning visual system used in institutional places. It captures images or receives input through voice recognition part. Then compare, learn, recognize the receiving input, and compare with the institutional cloud storage database. After the competition, the attendance rate maintained in the data table maintained in the cloud server was displayed as an output to the user, indicating that their attendance rate has been marked. An additional SMS module will be helped in this way, and it sends it to the mobile phone of the relevant personnel for verification. Therefore, through the use of learning, artificial intelligence and robotics, traditional institutional attendance methods have been canceled.</v>
      </c>
      <c r="D186" s="6" t="s">
        <v>555</v>
      </c>
      <c r="E186" s="4" t="str">
        <f ca="1">IFERROR(__xludf.DUMMYFUNCTION("GOOGLETRANSLATE(D186,""auto"",""en"")"),"Highly advanced robot attendance system based on deep learning")</f>
        <v>Highly advanced robot attendance system based on deep learning</v>
      </c>
    </row>
    <row r="187" spans="1:5" ht="15" x14ac:dyDescent="0.25">
      <c r="A187" s="5" t="s">
        <v>556</v>
      </c>
      <c r="B187" s="6" t="s">
        <v>557</v>
      </c>
      <c r="C187" s="3" t="str">
        <f ca="1">IFERROR(__xludf.DUMMYFUNCTION("GOOGLETRANSLATE(B187,""auto"",""en"")"),"1. Design product name: Monitor the graphic user interface of the display screen panel. 2. Design products in appearance: used for running procedures, information display, and human -computer interaction. 3. Design of the design of the product in this ext"&amp;"erior: lies in the interface content of the graphic user interface in the screen. 4. Pictures or photos that can most indicate design points: main view. 5. The purpose of the graphical user interface: The main view is the monitoring interface of the credi"&amp;"t fast loan process, and the interface displays information such as approval, process conversion, page loss rate, conversion trend and other information. 6. Other situations that need to be described and other descriptions: This display screen panel is ap"&amp;"plied to computers, laptops, tablets, mobile phones, smart watches, smart bracelets, fitness monitor, headset headphones, personal digital assistants (PDA), smart smart Speakers, television, set -top boxes, projectors, game consoles or navigators, vehicle"&amp;"s.")</f>
        <v>1. Design product name: Monitor the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monitoring interface of the credit fast loan process, and the interface displays information such as approval, process conversion, page loss rate, conversion trend and other information. 6. Other situations that need to be described and other descriptions: This display screen panel is applied to computers, laptops, tablets, mobile phones, smart watches, smart bracelets, fitness monitor, headset headphones, personal digital assistants (PDA), smart smart Speakers, television, set -top boxes, projectors, game consoles or navigators, vehicles.</v>
      </c>
      <c r="D187" s="6" t="s">
        <v>558</v>
      </c>
      <c r="E187" s="4" t="str">
        <f ca="1">IFERROR(__xludf.DUMMYFUNCTION("GOOGLETRANSLATE(D187,""auto"",""en"")"),"Process monitoring graphical user interface of display screen panel")</f>
        <v>Process monitoring graphical user interface of display screen panel</v>
      </c>
    </row>
    <row r="188" spans="1:5" ht="15" x14ac:dyDescent="0.25">
      <c r="A188" s="5" t="s">
        <v>559</v>
      </c>
      <c r="B188" s="6" t="s">
        <v>560</v>
      </c>
      <c r="C188" s="3" t="str">
        <f ca="1">IFERROR(__xludf.DUMMYFUNCTION("GOOGLETRANSLATE(B188,""auto"",""en"")"),"This openness includes communication units that communicate with the game server that provides game information; processor control is related to the adjustment of the chat avatar adjustment of each team with artificial intelligence -based game messes. The"&amp;" processor receives the game information from the game server through the communication unit, checks the team classification information in the game information, learns and analyzes team classification information based on artificial intelligence models, "&amp;"and analyzes the team's classification information. It is characterized by: extract the border color of each team's chat avatar, and transmits the corresponding border color information to the game server to apply the border color of the selected team to "&amp;"chat with each team.")</f>
        <v>This openness includes communication units that communicate with the game server that provides game information; processor control is related to the adjustment of the chat avatar adjustment of each team with artificial intelligence -based game messes. The processor receives the game information from the game server through the communication unit, checks the team classification information in the game information, learns and analyzes team classification information based on artificial intelligence models, and analyzes the team's classification information. It is characterized by: extract the border color of each team's chat avatar, and transmits the corresponding border color information to the game server to apply the border color of the selected team to chat with each team.</v>
      </c>
      <c r="D188" s="6" t="s">
        <v>561</v>
      </c>
      <c r="E188" s="4" t="str">
        <f ca="1">IFERROR(__xludf.DUMMYFUNCTION("GOOGLETRANSLATE(D188,""auto"",""en"")"),"AI -based game messenger group chat management server, method and program")</f>
        <v>AI -based game messenger group chat management server, method and program</v>
      </c>
    </row>
    <row r="189" spans="1:5" ht="15" x14ac:dyDescent="0.25">
      <c r="A189" s="5" t="s">
        <v>562</v>
      </c>
      <c r="B189" s="6" t="s">
        <v>563</v>
      </c>
      <c r="C189" s="3" t="str">
        <f ca="1">IFERROR(__xludf.DUMMYFUNCTION("GOOGLETRANSLATE(B189,""auto"",""en"")"),"1. Design product name: Display screen panel with a graphical user interface with a semiconductor control interface. ; 2. Design products for designing products: Control the graphical user interface operating by semiconductor atomic layer deposition equip"&amp;"ment. ; 3. Design of design products in this exterior: lies in the content and interface layout of the graphical user interface. ; 4. The picture or photo of the main point of design: The main view. ; 5. Do not involve design points, omit other views. 6. "&amp;"Graphic user interface use: used to control the operating status of the semiconductor atomic layer deposition equipment. ; 7. Graphic user interface in the area in the product: The display screen panel is used for computer. ; 8. Human -computer interactio"&amp;"n method of graphical user interface: The main view is the main interface of the display screen panel. Click the ""Control page"" button in the main view to enter the interface change status diagram &amp; nbsp; ""The button can enter the interface change stat"&amp;"e diagram &amp; nbsp; 2. ; 1. The name of the design of the product here: The display screen panel of the graphical user interface with the semiconductor control interface. ; 2. Design products for designing products: Control the graphical user interface oper"&amp;"ating by semiconductor atomic layer deposition equipment. ; 3. Design of design products in this exterior: lies in the content and interface layout of the graphical user interface. ; 4. The picture or photo of the main point of design: The main view. ; 5."&amp;" Do not involve design points, omit other views. 6. Graphic user interface use: used to control the operating status of the semiconductor atomic layer deposition equipment. ; 7. Graphic user interface in the area in the product: The display screen panel i"&amp;"s used for computer. ; 8. Human -computer interaction method of graphical user interface: The main view is the main interface of the display screen panel. Click the ""Control page"" button in the main view to enter the interface change status diagram &amp; nb"&amp;"sp; ""The button can enter the interface change state diagram &amp; nbsp; 2.")</f>
        <v>1. Design product name: Display screen panel with a graphical user interface with a semiconductor control interface. ; 2. Design products for designing products: Control the graphical user interface operating by semiconductor atomic layer deposition equipment. ; 3. Design of design products in this exterior: lies in the content and interface layout of the graphical user interface. ; 4. The picture or photo of the main point of design: The main view. ; 5. Do not involve design points, omit other views. 6. Graphic user interface use: used to control the operating status of the semiconductor atomic layer deposition equipment. ; 7. Graphic user interface in the area in the product: The display screen panel is used for computer. ; 8. Human -computer interaction method of graphical user interface: The main view is the main interface of the display screen panel. Click the "Control page" button in the main view to enter the interface change status diagram &amp; nbsp; "The button can enter the interface change state diagram &amp; nbsp; 2. ; 1. The name of the design of the product here: The display screen panel of the graphical user interface with the semiconductor control interface. ; 2. Design products for designing products: Control the graphical user interface operating by semiconductor atomic layer deposition equipment. ; 3. Design of design products in this exterior: lies in the content and interface layout of the graphical user interface. ; 4. The picture or photo of the main point of design: The main view. ; 5. Do not involve design points, omit other views. 6. Graphic user interface use: used to control the operating status of the semiconductor atomic layer deposition equipment. ; 7. Graphic user interface in the area in the product: The display screen panel is used for computer. ; 8. Human -computer interaction method of graphical user interface: The main view is the main interface of the display screen panel. Click the "Control page" button in the main view to enter the interface change status diagram &amp; nbsp; "The button can enter the interface change state diagram &amp; nbsp; 2.</v>
      </c>
      <c r="D189" s="6" t="s">
        <v>564</v>
      </c>
      <c r="E189" s="4" t="str">
        <f ca="1">IFERROR(__xludf.DUMMYFUNCTION("GOOGLETRANSLATE(D189,""auto"",""en"")"),"Display screen panel with graphic user interface with semiconductor control interface")</f>
        <v>Display screen panel with graphic user interface with semiconductor control interface</v>
      </c>
    </row>
    <row r="190" spans="1:5" ht="15" x14ac:dyDescent="0.25">
      <c r="A190" s="5" t="s">
        <v>565</v>
      </c>
      <c r="B190" s="6" t="s">
        <v>566</v>
      </c>
      <c r="C190" s="3" t="str">
        <f ca="1">IFERROR(__xludf.DUMMYFUNCTION("GOOGLETRANSLATE(B190,""auto"",""en"")"),"1. Design product name: Display screen panel with a graphical user interface with a semiconductor control interface. 2. Design product use: Control the graphic user interface operating the operation of the semi -conductive atomic layer deposition equipmen"&amp;"t. 3. Design of the design of the product: The content and interface layout of the graphical user interface in the semiconductor atomic deposition equipment screen. 4. Pictures or photos that can most indicate design points: main view. 5. The design of th"&amp;"e product is used to design, so it is omitted, left, left, right, piercing, and viewing view. 6. The purpose of the graphical user interface: used to control the running state of the semiconductor atomic layer deposition equipment. 7. The area of ​​the gr"&amp;"aphical user interface in the product: The display screen panel is used for the computer. 8. Human -computer interaction method of graphical user interface: The main view is the main interface of the display screen panel. Click the ""Manual Page"" button "&amp;"in the main view to enter the interface change state. Enter the interface change state Figure 2, click the ""real -time data"" button in the main view to enter the interface change state Figure 3, click the ""historical data"" button in the main view to e"&amp;"nter the interface change state Figure 4, click the ""alarm alarm in the main view ""Data"" button can enter the interface change state Figure 5.")</f>
        <v>1. Design product name: Display screen panel with a graphical user interface with a semiconductor control interface. 2. Design product use: Control the graphic user interface operating the operation of the semi -conductive atomic layer deposition equipment. 3. Design of the design of the product: The content and interface layout of the graphical user interface in the semiconductor atomic deposition equipment screen. 4. Pictures or photos that can most indicate design points: main view. 5. The design of the product is used to design, so it is omitted, left, left, right, piercing, and viewing view. 6. The purpose of the graphical user interface: used to control the running state of the semiconductor atomic layer deposition equipment. 7. The area of ​​the graphical user interface in the product: The display screen panel is used for the computer. 8. Human -computer interaction method of graphical user interface: The main view is the main interface of the display screen panel. Click the "Manual Page" button in the main view to enter the interface change state. Enter the interface change state Figure 2, click the "real -time data" button in the main view to enter the interface change state Figure 3, click the "historical data" button in the main view to enter the interface change state Figure 4, click the "alarm alarm in the main view "Data" button can enter the interface change state Figure 5.</v>
      </c>
      <c r="D190" s="6" t="s">
        <v>564</v>
      </c>
      <c r="E190" s="4" t="str">
        <f ca="1">IFERROR(__xludf.DUMMYFUNCTION("GOOGLETRANSLATE(D190,""auto"",""en"")"),"Display screen panel with graphic user interface with semiconductor control interface")</f>
        <v>Display screen panel with graphic user interface with semiconductor control interface</v>
      </c>
    </row>
    <row r="191" spans="1:5" ht="15" x14ac:dyDescent="0.25">
      <c r="A191" s="5" t="s">
        <v>567</v>
      </c>
      <c r="B191" s="6" t="s">
        <v>568</v>
      </c>
      <c r="C191" s="3" t="str">
        <f ca="1">IFERROR(__xludf.DUMMYFUNCTION("GOOGLETRANSLATE(B191,""auto"",""en"")"),"A system and method for registering athletes to register athletes in sports events. Athletes register with image recognition technology in sports events. The digital start of the athletes taken by the camera (106) When the athlete crossed the starting lin"&amp;"e. Compare the numbers to the athletes of the athletes who start the image to identify the athletes and enter them into the event without the need for athletes to register for specific events in advance. Enhanced recognition technology combined with mode "&amp;"recognition can be used to improve identity accuracy.")</f>
        <v>A system and method for registering athletes to register athletes in sports events. Athletes register with image recognition technology in sports events. The digital start of the athletes taken by the camera (106) When the athlete crossed the starting line. Compare the numbers to the athletes of the athletes who start the image to identify the athletes and enter them into the event without the need for athletes to register for specific events in advance. Enhanced recognition technology combined with mode recognition can be used to improve identity accuracy.</v>
      </c>
      <c r="D191" s="6" t="s">
        <v>569</v>
      </c>
      <c r="E191" s="4" t="str">
        <f ca="1">IFERROR(__xludf.DUMMYFUNCTION("GOOGLETRANSLATE(D191,""auto"",""en"")"),"Image recognition sports event entry system and method")</f>
        <v>Image recognition sports event entry system and method</v>
      </c>
    </row>
    <row r="192" spans="1:5" ht="15" x14ac:dyDescent="0.25">
      <c r="A192" s="5" t="s">
        <v>570</v>
      </c>
      <c r="B192" s="6" t="s">
        <v>571</v>
      </c>
      <c r="C192" s="3" t="str">
        <f ca="1">IFERROR(__xludf.DUMMYFUNCTION("GOOGLETRANSLATE(B192,""auto"",""en"")"),"Determine when the scanning signal is activated to reduce the interference of the transceiver related to different athletes. The double -frequency device circuit is configured to generate a return signal at different frequencies equivalent to two times th"&amp;"e frequency of scanning frequency. The device for execution includes determining when to initiate a scanning signal to reduce interference from the transceiver associated with different athletes. The ball monitoring system compares the data generated by t"&amp;"he pressure sensor with the data generated by the inertial sensor. Promoting the data generated by the decision module to compare the data generated by the force sensor with the data generated by inertia sensors with the game ball. Physical activity is a "&amp;"golf swing exercise with upper swing exercise and subsequent swing exercise exercise. Movement parameters are based on at least one speed value, acceleration value, position or movement of the athlete body part or the position of the motion device in the "&amp;"image.")</f>
        <v>Determine when the scanning signal is activated to reduce the interference of the transceiver related to different athletes. The double -frequency device circuit is configured to generate a return signal at different frequencies equivalent to two times the frequency of scanning frequency. The device for execution includes determining when to initiate a scanning signal to reduce interference from the transceiver associated with different athletes. The ball monitoring system compares the data generated by the pressure sensor with the data generated by the inertial sensor. Promoting the data generated by the decision module to compare the data generated by the force sensor with the data generated by inertia sensors with the game ball. Physical activity is a golf swing exercise with upper swing exercise and subsequent swing exercise exercise. Movement parameters are based on at least one speed value, acceleration value, position or movement of the athlete body part or the position of the motion device in the image.</v>
      </c>
      <c r="D192" s="6" t="s">
        <v>572</v>
      </c>
      <c r="E192" s="4" t="str">
        <f ca="1">IFERROR(__xludf.DUMMYFUNCTION("GOOGLETRANSLATE(D192,""auto"",""en"")"),"The system's method is combined with artificial intelligence -based technology, comparison with the advantages and disadvantages of different athletes")</f>
        <v>The system's method is combined with artificial intelligence -based technology, comparison with the advantages and disadvantages of different athletes</v>
      </c>
    </row>
    <row r="193" spans="1:5" ht="15" x14ac:dyDescent="0.25">
      <c r="A193" s="5" t="s">
        <v>573</v>
      </c>
      <c r="B193" s="6" t="s">
        <v>574</v>
      </c>
      <c r="C193" s="3" t="s">
        <v>12409</v>
      </c>
      <c r="D193" s="6" t="s">
        <v>575</v>
      </c>
      <c r="E193" s="4" t="str">
        <f ca="1">IFERROR(__xludf.DUMMYFUNCTION("GOOGLETRANSLATE(D193,""auto"",""en"")"),"Smart watch screen with graphic user interface with sports information")</f>
        <v>Smart watch screen with graphic user interface with sports information</v>
      </c>
    </row>
    <row r="194" spans="1:5" ht="15" x14ac:dyDescent="0.25">
      <c r="A194" s="5" t="s">
        <v>576</v>
      </c>
      <c r="B194" s="6" t="s">
        <v>577</v>
      </c>
      <c r="C194" s="3" t="str">
        <f ca="1">IFERROR(__xludf.DUMMYFUNCTION("GOOGLETRANSLATE(B194,""auto"",""en"")"),"1. The name of the product of the design of the product: Football intelligent training analysis of football panels for display screen panels.
 2. The purpose of designing products in this exterior: This design product is used for running programs and di"&amp;"splay information. The display panel is used for mobile phones, computers, tablets.
 3. Design of the design of the product in this exterior: lies in the graphic user interface content in the screen, the display panel is the existing design.
 4. Pictu"&amp;"res or photos that can most indicate design points: main view.
 5. The display panel is used to the usual design, which is omitted after the view; the display panel is used to the usual design, omit the left view; the display panel is used to the usual "&amp;"design, omit the right view; Design, omitting the view.
 6. The purpose of graphical user interface: The design of the product is used for the viewing and editing of the training plan.
 7. Other situations that need to be described and other descripti"&amp;"ons: Human -computer interaction methods of graphics user interface: Specifically, click the main view ""Data Statistics"" to enter the state of change. In the state of change state Figure 2, click ""File Management"" to enter the state of change state.")</f>
        <v>1. The name of the product of the design of the product: Football intelligent training analysis of football panels for display screen panels.
 2. The purpose of designing products in this exterior: This design product is used for running programs and display information. The display panel is used for mobile phones, computers, tablets.
 3. Design of the design of the product in this exterior: lies in the graphic user interface content in the screen, the display panel is the existing design.
 4. Pictures or photos that can most indicate design points: main view.
 5. The display panel is used to the usual design, which is omitted after the view; the display panel is used to the usual design, omit the left view; the display panel is used to the usual design, omit the right view; Design, omitting the view.
 6. The purpose of graphical user interface: The design of the product is used for the viewing and editing of the training plan.
 7. Other situations that need to be described and other descriptions: Human -computer interaction methods of graphics user interface: Specifically, click the main view "Data Statistics" to enter the state of change. In the state of change state Figure 2, click "File Management" to enter the state of change state.</v>
      </c>
      <c r="D194" s="6" t="s">
        <v>578</v>
      </c>
      <c r="E194" s="4" t="str">
        <f ca="1">IFERROR(__xludf.DUMMYFUNCTION("GOOGLETRANSLATE(D194,""auto"",""en"")"),"Football intelligent training analysis of the display panel of the display panel")</f>
        <v>Football intelligent training analysis of the display panel of the display panel</v>
      </c>
    </row>
    <row r="195" spans="1:5" ht="15" x14ac:dyDescent="0.25">
      <c r="A195" s="5" t="s">
        <v>579</v>
      </c>
      <c r="B195" s="6" t="s">
        <v>580</v>
      </c>
      <c r="C195" s="3" t="str">
        <f ca="1">IFERROR(__xludf.DUMMYFUNCTION("GOOGLETRANSLATE(B195,""auto"",""en"")"),"The present invention disclosed a data collection method and system based on artificial intelligence, including the following operation steps: step S1, collecting the benchmark image data through the image collection module; the beneficial effect of the p"&amp;"resent invention is Collect the body image, collect the standard fitness body phonetic explanations through the audio collection module, and obtain unit video data through the benchmark data analysis module, that is, the standard fitness body image and fi"&amp;"tness body state voice explanation. Collect the user's fitness body image. Through the data comparison module, the user's posture and standard posture are compared. Select unit video data similar to the user fitness image image. Intelligent correcting the"&amp;" role of users' fitness and realizing artificial intelligence fitness.")</f>
        <v>The present invention disclosed a data collection method and system based on artificial intelligence, including the following operation steps: step S1, collecting the benchmark image data through the image collection module; the beneficial effect of the present invention is Collect the body image, collect the standard fitness body phonetic explanations through the audio collection module, and obtain unit video data through the benchmark data analysis module, that is, the standard fitness body image and fitness body state voice explanation. Collect the user's fitness body image. Through the data comparison module, the user's posture and standard posture are compared. Select unit video data similar to the user fitness image image. Intelligent correcting the role of users' fitness and realizing artificial intelligence fitness.</v>
      </c>
      <c r="D195" s="6" t="s">
        <v>581</v>
      </c>
      <c r="E195" s="4" t="str">
        <f ca="1">IFERROR(__xludf.DUMMYFUNCTION("GOOGLETRANSLATE(D195,""auto"",""en"")"),"A data collection method and system based on artificial intelligence")</f>
        <v>A data collection method and system based on artificial intelligence</v>
      </c>
    </row>
    <row r="196" spans="1:5" ht="15" x14ac:dyDescent="0.25">
      <c r="A196" s="5" t="s">
        <v>582</v>
      </c>
      <c r="B196" s="6" t="s">
        <v>583</v>
      </c>
      <c r="C196" s="3" t="str">
        <f ca="1">IFERROR(__xludf.DUMMYFUNCTION("GOOGLETRANSLATE(B196,""auto"",""en"")"),"Determine the first group of health reports of the first group of employees who work in the first facility, region, department, or team. Among them, the first group of updated health reports are determined by the employee's updated health overview. Electr"&amp;"onic monitoring of electronic equipment operated by employees on the Internet, the third data includes data related to employees' operations of electronic equipment. The corresponding biological statistical health data of employees 'biological statistical"&amp;" features and outputs the biological statistical characteristics of employees and outputs employees' biological statistical characteristics, including multiple biological statistical sensors. Sensor data is based on at least one sensor monitoring is relat"&amp;"ed to the entity related to the entity and is different from the personal activity covered by the entity. Use at least one sensor monitoring to the level of activity related data related to the workplace entity and different from the employee of the workp"&amp;"lace entity. Receive monitoring information from the personal fitness tracker associated with the first employee.")</f>
        <v>Determine the first group of health reports of the first group of employees who work in the first facility, region, department, or team. Among them, the first group of updated health reports are determined by the employee's updated health overview. Electronic monitoring of electronic equipment operated by employees on the Internet, the third data includes data related to employees' operations of electronic equipment. The corresponding biological statistical health data of employees 'biological statistical features and outputs the biological statistical characteristics of employees and outputs employees' biological statistical characteristics, including multiple biological statistical sensors. Sensor data is based on at least one sensor monitoring is related to the entity related to the entity and is different from the personal activity covered by the entity. Use at least one sensor monitoring to the level of activity related data related to the workplace entity and different from the employee of the workplace entity. Receive monitoring information from the personal fitness tracker associated with the first employee.</v>
      </c>
      <c r="D196" s="6" t="s">
        <v>584</v>
      </c>
      <c r="E196" s="4" t="str">
        <f ca="1">IFERROR(__xludf.DUMMYFUNCTION("GOOGLETRANSLATE(D196,""auto"",""en"")"),"Study the systematic method of artificial intelligence on industrial 4.0 LED organization employees")</f>
        <v>Study the systematic method of artificial intelligence on industrial 4.0 LED organization employees</v>
      </c>
    </row>
    <row r="197" spans="1:5" ht="15" x14ac:dyDescent="0.25">
      <c r="A197" s="5" t="s">
        <v>585</v>
      </c>
      <c r="B197" s="6" t="s">
        <v>586</v>
      </c>
      <c r="C197" s="3" t="str">
        <f ca="1">IFERROR(__xludf.DUMMYFUNCTION("GOOGLETRANSLATE(B197,""auto"",""en"")"),"Examples include historical score data based on artificial intelligence and/or machine learning to generate sports analysis based on historical score data based on specific teams, players, events or other related data. Machine learning can be applied to h"&amp;"istorical data to increase betting odds. The odds module can analyze the correlation between the results and available parameters in real time in advance to give accurate and latest odds.")</f>
        <v>Examples include historical score data based on artificial intelligence and/or machine learning to generate sports analysis based on historical score data based on specific teams, players, events or other related data. Machine learning can be applied to historical data to increase betting odds. The odds module can analyze the correlation between the results and available parameters in real time in advance to give accurate and latest odds.</v>
      </c>
      <c r="D197" s="6" t="s">
        <v>587</v>
      </c>
      <c r="E197" s="4" t="str">
        <f ca="1">IFERROR(__xludf.DUMMYFUNCTION("GOOGLETRANSLATE(D197,""auto"",""en"")"),"Artificial intelligence and machine learning enhance betting odds methods, systems and devices")</f>
        <v>Artificial intelligence and machine learning enhance betting odds methods, systems and devices</v>
      </c>
    </row>
    <row r="198" spans="1:5" ht="15" x14ac:dyDescent="0.25">
      <c r="A198" s="5" t="s">
        <v>588</v>
      </c>
      <c r="B198" s="6" t="s">
        <v>589</v>
      </c>
      <c r="C198" s="3" t="str">
        <f ca="1">IFERROR(__xludf.DUMMYFUNCTION("GOOGLETRANSLATE(B198,""auto"",""en"")"),"This patent application discloses a wearable device and method for analyzing people's movements, especially for standard condition recognition motion relative to defined standard conditional recognition movements. The device includes one or more motion de"&amp;"tectors for data related to motion related to a specific anatomical area, as well as a centralized or distributed control system that is configured to perform artificial intelligence (AI) algorithms used to process motion data. Compared with known technol"&amp;"ogies, the motion detector and AI algorithm can exchange motion data at different sharing levels. Fortunately, this feature improves abnormal detection, and during the trauma (eg, improvement of recovery) or during exercise training (eg, optimize the perf"&amp;"ormance of athletes), and when the abnormal exercise is related to the following, it is useful: predicting pathology pathology: predictive pathology (For example, stroke or short -term cerebral ischemia).")</f>
        <v>This patent application discloses a wearable device and method for analyzing people's movements, especially for standard condition recognition motion relative to defined standard conditional recognition movements. The device includes one or more motion detectors for data related to motion related to a specific anatomical area, as well as a centralized or distributed control system that is configured to perform artificial intelligence (AI) algorithms used to process motion data. Compared with known technologies, the motion detector and AI algorithm can exchange motion data at different sharing levels. Fortunately, this feature improves abnormal detection, and during the trauma (eg, improvement of recovery) or during exercise training (eg, optimize the performance of athletes), and when the abnormal exercise is related to the following, it is useful: predicting pathology pathology: predictive pathology (For example, stroke or short -term cerebral ischemia).</v>
      </c>
      <c r="D198" s="6" t="s">
        <v>590</v>
      </c>
      <c r="E198" s="4" t="str">
        <f ca="1">IFERROR(__xludf.DUMMYFUNCTION("GOOGLETRANSLATE(D198,""auto"",""en"")"),"Wearable devices and methods for analyzing people's movements")</f>
        <v>Wearable devices and methods for analyzing people's movements</v>
      </c>
    </row>
    <row r="199" spans="1:5" ht="15" x14ac:dyDescent="0.25">
      <c r="A199" s="5" t="s">
        <v>591</v>
      </c>
      <c r="B199" s="6" t="s">
        <v>592</v>
      </c>
      <c r="C199" s="3" t="str">
        <f ca="1">IFERROR(__xludf.DUMMYFUNCTION("GOOGLETRANSLATE(B199,""auto"",""en"")"),"The present invention provides a device for data communication and management in competitive events such as football games, including light signals supplied by solar or other sources, and it replaces the old red and yellow cards and gesture signals from r"&amp;"eferees. Essence These light or holographic projection signals are connected to one or more processors that are distributed in one or more devices that are distributed through the Internet of Things, and multiple sensors and converters are connected to th"&amp;"ese processors. Identifying the warning players, avoid errors such as the accumulation cards that have not been expelled, posing as players, and the two -way real -time information sharing athletes of the referee, club, coach, television, radio, or Intern"&amp;"et channels, emergency institutions, and fans. Teams or fans, thereby minimizing the occurrence of fraud, increasing the transparency of the competition, and providing access to the interviews of real -time referees decision -making data for all participa"&amp;"nts.")</f>
        <v>The present invention provides a device for data communication and management in competitive events such as football games, including light signals supplied by solar or other sources, and it replaces the old red and yellow cards and gesture signals from referees. Essence These light or holographic projection signals are connected to one or more processors that are distributed in one or more devices that are distributed through the Internet of Things, and multiple sensors and converters are connected to these processors. Identifying the warning players, avoid errors such as the accumulation cards that have not been expelled, posing as players, and the two -way real -time information sharing athletes of the referee, club, coach, television, radio, or Internet channels, emergency institutions, and fans. Teams or fans, thereby minimizing the occurrence of fraud, increasing the transparency of the competition, and providing access to the interviews of real -time referees decision -making data for all participants.</v>
      </c>
      <c r="D199" s="6" t="s">
        <v>593</v>
      </c>
      <c r="E199" s="4" t="str">
        <f ca="1">IFERROR(__xludf.DUMMYFUNCTION("GOOGLETRANSLATE(D199,""auto"",""en"")"),"Smart devices used for data communication and management for football games")</f>
        <v>Smart devices used for data communication and management for football games</v>
      </c>
    </row>
    <row r="200" spans="1:5" ht="15" x14ac:dyDescent="0.25">
      <c r="A200" s="5" t="s">
        <v>594</v>
      </c>
      <c r="B200" s="6" t="s">
        <v>595</v>
      </c>
      <c r="C200" s="3" t="str">
        <f ca="1">IFERROR(__xludf.DUMMYFUNCTION("GOOGLETRANSLATE(B200,""auto"",""en"")"),"A health tracking system based on artificial intelligence, the system includes:
  Fitness tracker equipment is used to record important health -related data, such as SPO 2, sleep, pulse rate, electrocardiogram, blood pressure, etc.
  The cloud platfor"&amp;"m containing artificial intelligence -based software, the software uses artificial intelligence -based coding to analyze personal records of personal records; and
  A protocol processing unit is used to use artificial intelligence coding to generate a p"&amp;"erson's protocol. After the agreement is generated, it is sent to a health professionals who are sent to the Internet for re -evaluation. After the re -evaluation, the protocol is sent immediately. Sports to the person.")</f>
        <v>A health tracking system based on artificial intelligence, the system includes:
  Fitness tracker equipment is used to record important health -related data, such as SPO 2, sleep, pulse rate, electrocardiogram, blood pressure, etc.
  The cloud platform containing artificial intelligence -based software, the software uses artificial intelligence -based coding to analyze personal records of personal records; and
  A protocol processing unit is used to use artificial intelligence coding to generate a person's protocol. After the agreement is generated, it is sent to a health professionals who are sent to the Internet for re -evaluation. After the re -evaluation, the protocol is sent immediately. Sports to the person.</v>
      </c>
      <c r="D200" s="6" t="s">
        <v>596</v>
      </c>
      <c r="E200" s="4" t="str">
        <f ca="1">IFERROR(__xludf.DUMMYFUNCTION("GOOGLETRANSLATE(D200,""auto"",""en"")"),"Early risk recognition and motion adjustment based on artificial intelligence systems, for health tracking, most deaths")</f>
        <v>Early risk recognition and motion adjustment based on artificial intelligence systems, for health tracking, most deaths</v>
      </c>
    </row>
    <row r="201" spans="1:5" ht="15" x14ac:dyDescent="0.25">
      <c r="A201" s="5" t="s">
        <v>597</v>
      </c>
      <c r="B201" s="6" t="s">
        <v>598</v>
      </c>
      <c r="C201" s="3" t="str">
        <f ca="1">IFERROR(__xludf.DUMMYFUNCTION("GOOGLETRANSLATE(B201,""auto"",""en"")"),"The invention provides a data analysis method and system of AI identification motion trajectory, involving the field of sports trajectory analysis technology. AI identification motion trajectory data analysis system, including wearable sensor equipment, s"&amp;"ensor nodes, transmission base stations, cloud server, smart terminal, data processing module, and AI processing unit, multiple wearable sensor equipment is evenly arranged. It is distributed in all parts of the athlete's body; it is usually set in eight "&amp;"parts of the athlete's body: left and right forearm and forearm, left and right legs and thighs. Each part of the wearable sensor equipment corresponds to a sensor node. The present invention can use wearable sensor devices to build a human sports data co"&amp;"llection system to complete the effective collection of motion data; compared with computer vision models, this method has great advantages in terms of privacy protection and external environment tolerance.")</f>
        <v>The invention provides a data analysis method and system of AI identification motion trajectory, involving the field of sports trajectory analysis technology. AI identification motion trajectory data analysis system, including wearable sensor equipment, sensor nodes, transmission base stations, cloud server, smart terminal, data processing module, and AI processing unit, multiple wearable sensor equipment is evenly arranged. It is distributed in all parts of the athlete's body; it is usually set in eight parts of the athlete's body: left and right forearm and forearm, left and right legs and thighs. Each part of the wearable sensor equipment corresponds to a sensor node. The present invention can use wearable sensor devices to build a human sports data collection system to complete the effective collection of motion data; compared with computer vision models, this method has great advantages in terms of privacy protection and external environment tolerance.</v>
      </c>
      <c r="D201" s="6" t="s">
        <v>599</v>
      </c>
      <c r="E201" s="4" t="str">
        <f ca="1">IFERROR(__xludf.DUMMYFUNCTION("GOOGLETRANSLATE(D201,""auto"",""en"")"),"Artificial intelligence identification motion trajectory data analysis method and system")</f>
        <v>Artificial intelligence identification motion trajectory data analysis method and system</v>
      </c>
    </row>
    <row r="202" spans="1:5" ht="15" x14ac:dyDescent="0.25">
      <c r="A202" s="5" t="s">
        <v>600</v>
      </c>
      <c r="B202" s="6" t="s">
        <v>601</v>
      </c>
      <c r="C202" s="3" t="str">
        <f ca="1">IFERROR(__xludf.DUMMYFUNCTION("GOOGLETRANSLATE(B202,""auto"",""en"")"),"1. The name of the product of the design of the product: The process watch editor of the display screen panel display the graphical user interface.
 2. Design products in appearance: used for running procedures, information display, and human -computer "&amp;"interaction.
 3. Design of the design of the product in this exterior: lies in the interface content of the graphic user interface in the screen.
 4. Pictures or photos that can most indicate design points: main view.
 5. The purpose of the graphica"&amp;"l user interface: The main view is the display interface of the craft table editor. The interface is displayed through the form of the table. At the same time, the operating task of the coal mining machine and the hydraulic stent can be displayed. The use"&amp;"r can perform related operations according to the interface prompts.
 6. Other situations that need to be described and other descriptions: This display screen panel is applied to computers, laptops, tablets, mobile phones, smart watches, smart bracelet"&amp;"s, fitness monitor, headset headphones, personal digital assistants (PDA), smart smart Speakers, television, set -top boxes, projectors, game consoles or navigators, vehicles.")</f>
        <v>1. The name of the product of the design of the product: The process watch editor of the display screen panel display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display interface of the craft table editor. The interface is displayed through the form of the table. At the same time, the operating task of the coal mining machine and the hydraulic stent can be displayed. The user can perform related operations according to the interface prompts.
 6. Other situations that need to be described and other descriptions: This display screen panel is applied to computers, laptops, tablets, mobile phones, smart watches, smart bracelets, fitness monitor, headset headphones, personal digital assistants (PDA), smart smart Speakers, television, set -top boxes, projectors, game consoles or navigators, vehicles.</v>
      </c>
      <c r="D202" s="6" t="s">
        <v>602</v>
      </c>
      <c r="E202" s="4" t="str">
        <f ca="1">IFERROR(__xludf.DUMMYFUNCTION("GOOGLETRANSLATE(D202,""auto"",""en"")"),"The process watch editor of the display screen panel display the graphical user interface")</f>
        <v>The process watch editor of the display screen panel display the graphical user interface</v>
      </c>
    </row>
    <row r="203" spans="1:5" ht="15" x14ac:dyDescent="0.25">
      <c r="A203" s="5" t="s">
        <v>603</v>
      </c>
      <c r="B203" s="6" t="s">
        <v>604</v>
      </c>
      <c r="C203" s="3" t="str">
        <f ca="1">IFERROR(__xludf.DUMMYFUNCTION("GOOGLETRANSLATE(B203,""auto"",""en"")"),"The present invention disclosed a smart swimming pool ticket purchase management system based on the Internet of Things, which is a intelligent connected technology field. The ticket purchase management system can predict the number of swimmers in each pe"&amp;"riod of time in the next cycle and actively prompt to prompt Users go to swimming during a small number of people. In addition, the present invention considers that due to different functions in different areas in the swimming pool, the sensitivity of use"&amp;"rs' density of swimmers will also be obvious. Judgment of comfort, compared to the way to judge directly through human density, can be more accurate, and reasonably consider the needs of different regions. In addition, the space of various swimming pool f"&amp;"unction areas can be used While using experience, improve the space utilization rate in each area.")</f>
        <v>The present invention disclosed a smart swimming pool ticket purchase management system based on the Internet of Things, which is a intelligent connected technology field. The ticket purchase management system can predict the number of swimmers in each period of time in the next cycle and actively prompt to prompt Users go to swimming during a small number of people. In addition, the present invention considers that due to different functions in different areas in the swimming pool, the sensitivity of users' density of swimmers will also be obvious. Judgment of comfort, compared to the way to judge directly through human density, can be more accurate, and reasonably consider the needs of different regions. In addition, the space of various swimming pool function areas can be used While using experience, improve the space utilization rate in each area.</v>
      </c>
      <c r="D203" s="6" t="s">
        <v>605</v>
      </c>
      <c r="E203" s="4" t="str">
        <f ca="1">IFERROR(__xludf.DUMMYFUNCTION("GOOGLETRANSLATE(D203,""auto"",""en"")"),"A smart swimming pool ticket purchase management system and method based on the Internet of Things")</f>
        <v>A smart swimming pool ticket purchase management system and method based on the Internet of Things</v>
      </c>
    </row>
    <row r="204" spans="1:5" ht="15" x14ac:dyDescent="0.25">
      <c r="A204" s="5" t="s">
        <v>606</v>
      </c>
      <c r="B204" s="6" t="s">
        <v>607</v>
      </c>
      <c r="C204" s="3" t="str">
        <f ca="1">IFERROR(__xludf.DUMMYFUNCTION("GOOGLETRANSLATE(B204,""auto"",""en"")"),"1. Design product name: Create a process graphical user interface for the creation component of the display screen panel. 2. Design products in appearance: used for running procedures, information display, and human -computer interaction. 3. Design of the"&amp;" design of the product in this exterior: lies in the interface content of the graphic user interface in the screen. 4. Pictures or photos that can most indicate design points: main view. 5. The purpose of graphical user interface: This graphic user interf"&amp;"ace is used to create component processes. The main view is the code library interface. After the user enters the required information information, click the ""Create Flowing Wiring Line"" button in the upper right corner. The interface jumps to the inter"&amp;"face change state. After the template, the interface jumps to the interface change state Figure 2, the interface displays the corresponding assembly line information. After the user prompts the operation according to the interface, click the ""Save and cr"&amp;"eate a component"" button in the upper right corner. 3. The interface displays the corresponding application information of the editing, and the corresponding product library information in the configuration component. After the user prompts the operation"&amp;" according to the interface, click the ""Save"" button in the upper right corner. Other descriptions that need to be described: This display screen panel is applied to computers, laptops, tablets, mobile phones, smart watches, smart bracelets, fitness mon"&amp;"itor, headset headphones, personal digital assistants (PDA), smart speakers, TVs, TV , Sky -top box, projector, game console or navigator, vehicle.")</f>
        <v>1. Design product name: Create a process graphical user interface for the creation component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graphical user interface: This graphic user interface is used to create component processes. The main view is the code library interface. After the user enters the required information information, click the "Create Flowing Wiring Line" button in the upper right corner. The interface jumps to the interface change state. After the template, the interface jumps to the interface change state Figure 2, the interface displays the corresponding assembly line information. After the user prompts the operation according to the interface, click the "Save and create a component" button in the upper right corner. 3. The interface displays the corresponding application information of the editing, and the corresponding product library information in the configuration component. After the user prompts the operation according to the interface, click the "Save" button in the upper right corner. Other descriptions that need to be described: This display screen panel is applied to computers, laptops, tablets, mobile phones, smart watches, smart bracelets, fitness monitor, headset headphones, personal digital assistants (PDA), smart speakers, TVs, TV , Sky -top box, projector, game console or navigator, vehicle.</v>
      </c>
      <c r="D204" s="6" t="s">
        <v>608</v>
      </c>
      <c r="E204" s="4" t="str">
        <f ca="1">IFERROR(__xludf.DUMMYFUNCTION("GOOGLETRANSLATE(D204,""auto"",""en"")"),"Create component process graphical user interface of display screen panel")</f>
        <v>Create component process graphical user interface of display screen panel</v>
      </c>
    </row>
    <row r="205" spans="1:5" ht="15" x14ac:dyDescent="0.25">
      <c r="A205" s="5" t="s">
        <v>609</v>
      </c>
      <c r="B205" s="6" t="s">
        <v>610</v>
      </c>
      <c r="C205" s="3" t="str">
        <f ca="1">IFERROR(__xludf.DUMMYFUNCTION("GOOGLETRANSLATE(B205,""auto"",""en"")"),"1. The name of the product of the product: The dynamic graphic user interface of the product list page of the display screen panel page is the dynamic graphics user interface.
 2.本外观设计产品的用途：用于运行程序和展示信息，本外观设计图形用户界面可用于计算机、笔记本电脑、平板电脑、手机、智能手机、智能手环、智能眼镜、手表、智"&amp;"能手表、 Fitness monitor, headset headphones, smart speakers, television, monitor, projector, set -top box, game machine, navigator, display screen for vehicles.
 3. Design of the design of the product in this exterior: lies in the content of the graphic us"&amp;"er interface in the screen.
 4. Pictures or photos that can best show design points: Figure 7 of the interface change state.
 5. The purpose of the graphic user interface: for human -machine interaction and display graphic user interface, the main vie"&amp;"w to the interface changes state Figure 6 is the dynamic process of fast screening when the voucher is issued when the voucher is issued. The coupon is to screen the available vouchers to display the interface of the interface change state. 7.")</f>
        <v>1. The name of the product of the product: The dynamic graphic user interface of the product list page of the display screen panel page is the dynamic graphics user interface.
 2.本外观设计产品的用途：用于运行程序和展示信息，本外观设计图形用户界面可用于计算机、笔记本电脑、平板电脑、手机、智能手机、智能手环、智能眼镜、手表、智能手表、 Fitness monitor, headset headphones, smart speakers, television, monitor, projector, set -top box, game machine, navigator, display screen for vehicles.
 3. Design of the design of the product in this exterior: lies in the content of the graphic user interface in the screen.
 4. Pictures or photos that can best show design points: Figure 7 of the interface change state.
 5. The purpose of the graphic user interface: for human -machine interaction and display graphic user interface, the main view to the interface changes state Figure 6 is the dynamic process of fast screening when the voucher is issued when the voucher is issued. The coupon is to screen the available vouchers to display the interface of the interface change state. 7.</v>
      </c>
      <c r="D205" s="6" t="s">
        <v>611</v>
      </c>
      <c r="E205" s="4" t="str">
        <f ca="1">IFERROR(__xludf.DUMMYFUNCTION("GOOGLETRANSLATE(D205,""auto"",""en"")"),"The dynamic graphic user interface for the product list page for display screen panels")</f>
        <v>The dynamic graphic user interface for the product list page for display screen panels</v>
      </c>
    </row>
    <row r="206" spans="1:5" ht="15" x14ac:dyDescent="0.25">
      <c r="A206" s="5" t="s">
        <v>612</v>
      </c>
      <c r="B206" s="6" t="s">
        <v>613</v>
      </c>
      <c r="C206" s="3" t="str">
        <f ca="1">IFERROR(__xludf.DUMMYFUNCTION("GOOGLETRANSLATE(B206,""auto"",""en"")"),"1. Design product name: Dynamic graphic user interface for the product list page of the display screen panel. 2.本外观设计产品的用途：用于运行程序和展示信息，本外观设计图形用户界面可用于计算机、笔记本电脑、平板电脑、手机、智能手机、智能手环、智能眼镜、手表、智能手表、 Fitness monitor, headset headphones, smart speakers, television,"&amp;" monitor, projector, set -top box, game machine, navigator, display screen for vehicles. 3. Design of the design of the product in this exterior: lies in the content of the graphic user interface in the screen. 4. Photos or photos that can best show desig"&amp;"n points: interface change state Figure 1.5. The purpose of graphical user interface: for human -computer interaction and display graphic user interface. The main view to the interface change state. 7 shows the dynamic process of pop -up vouchers.")</f>
        <v>1. Design product name: Dynamic graphic user interface for the product list page of the display screen panel. 2.本外观设计产品的用途：用于运行程序和展示信息，本外观设计图形用户界面可用于计算机、笔记本电脑、平板电脑、手机、智能手机、智能手环、智能眼镜、手表、智能手表、 Fitness monitor, headset headphones, smart speakers, television, monitor, projector, set -top box, game machine, navigator, display screen for vehicles. 3. Design of the design of the product in this exterior: lies in the content of the graphic user interface in the screen. 4. Photos or photos that can best show design points: interface change state Figure 1.5. The purpose of graphical user interface: for human -computer interaction and display graphic user interface. The main view to the interface change state. 7 shows the dynamic process of pop -up vouchers.</v>
      </c>
      <c r="D206" s="6" t="s">
        <v>614</v>
      </c>
      <c r="E206" s="4" t="str">
        <f ca="1">IFERROR(__xludf.DUMMYFUNCTION("GOOGLETRANSLATE(D206,""auto"",""en"")"),"Dynamic graphic user interface for the product list page for display screen panels")</f>
        <v>Dynamic graphic user interface for the product list page for display screen panels</v>
      </c>
    </row>
    <row r="207" spans="1:5" ht="15" x14ac:dyDescent="0.25">
      <c r="A207" s="5" t="s">
        <v>615</v>
      </c>
      <c r="B207" s="6" t="s">
        <v>616</v>
      </c>
      <c r="C207" s="3" t="str">
        <f ca="1">IFERROR(__xludf.DUMMYFUNCTION("GOOGLETRANSLATE(B207,""auto"",""en"")"),"The present invention involves the use of machine learning algorithms to make incorrect gym exercise deviating from the predefined gym activity style. The present invention includes a display, Wi-Fi connection, cable connector, and closed exercise environ"&amp;"ment that shows a variety of exercise modes. In the traditional process, end users came to the gym to allow their bodies to adapt to physical mode and start practicing in that environment. The invention allows a variety of design patterns of the gym -rela"&amp;"ted exercise template, and based on the user selects any style mode and any deviation with the predetermined mode warns the end user to return to the defined path with the machine learning algorithm. Its use is to exercise without deviation without any ph"&amp;"ysical coach help without any physical coach.")</f>
        <v>The present invention involves the use of machine learning algorithms to make incorrect gym exercise deviating from the predefined gym activity style. The present invention includes a display, Wi-Fi connection, cable connector, and closed exercise environment that shows a variety of exercise modes. In the traditional process, end users came to the gym to allow their bodies to adapt to physical mode and start practicing in that environment. The invention allows a variety of design patterns of the gym -related exercise template, and based on the user selects any style mode and any deviation with the predetermined mode warns the end user to return to the defined path with the machine learning algorithm. Its use is to exercise without deviation without any physical coach help without any physical coach.</v>
      </c>
      <c r="D207" s="6" t="s">
        <v>617</v>
      </c>
      <c r="E207" s="4" t="str">
        <f ca="1">IFERROR(__xludf.DUMMYFUNCTION("GOOGLETRANSLATE(D207,""auto"",""en"")"),"Until the incorrect gym exercise test using machine learning algorithm identification deviation")</f>
        <v>Until the incorrect gym exercise test using machine learning algorithm identification deviation</v>
      </c>
    </row>
    <row r="208" spans="1:5" ht="15" x14ac:dyDescent="0.25">
      <c r="A208" s="5" t="s">
        <v>618</v>
      </c>
      <c r="B208" s="6" t="s">
        <v>619</v>
      </c>
      <c r="C208" s="3" t="str">
        <f ca="1">IFERROR(__xludf.DUMMYFUNCTION("GOOGLETRANSLATE(B208,""auto"",""en"")"),"Here is a system and method for generating a game prediction for the team. The computing system retrieves multiple played trajectory data from the data storage. The computing system uses a variable automatic encoder and a neural network to generate a pred"&amp;"ictive model. The method is to generate one or more input data sets. The automatic encoder is learned to generate multiple variants for each playback in multiple playback. Learn, through neural network, a team style corresponds to every game in multiple g"&amp;"ames. The computing system receives trajectory data corresponding to the target game. The predictive model generates the possibility of performing target games by determining the number of target variables corresponding to the target team identity of the "&amp;"target team.")</f>
        <v>Here is a system and method for generating a game prediction for the team. The computing system retrieves multiple played trajectory data from the data storage. The computing system uses a variable automatic encoder and a neural network to generate a predictive model. The method is to generate one or more input data sets. The automatic encoder is learned to generate multiple variants for each playback in multiple playback. Learn, through neural network, a team style corresponds to every game in multiple games. The computing system receives trajectory data corresponding to the target game. The predictive model generates the possibility of performing target games by determining the number of target variables corresponding to the target team identity of the target team.</v>
      </c>
      <c r="D208" s="6" t="s">
        <v>620</v>
      </c>
      <c r="E208" s="4" t="str">
        <f ca="1">IFERROR(__xludf.DUMMYFUNCTION("GOOGLETRANSLATE(D208,""auto"",""en"")"),"Systems and methods of sports content and style prediction")</f>
        <v>Systems and methods of sports content and style prediction</v>
      </c>
    </row>
    <row r="209" spans="1:5" ht="15" x14ac:dyDescent="0.25">
      <c r="A209" s="5" t="s">
        <v>621</v>
      </c>
      <c r="B209" s="6" t="s">
        <v>622</v>
      </c>
      <c r="C209" s="3" t="str">
        <f ca="1">IFERROR(__xludf.DUMMYFUNCTION("GOOGLETRANSLATE(B209,""auto"",""en"")"),"The present invention involves a voyage of voyage and calling methods, equipment, and media. The method is applied to the server, including the following steps: establishing the first connection with the ship's simulation terminal, establishing a second c"&amp;"onnection with the control end. Among them, ship simulation The terminal is deployed on the navigation simulator; the training voice information is obtained through the first connection and forwarded to the control end through the second connection. For t"&amp;"raining voice information, the text information is obtained through voice recognition. Determine whether the matching is successful. If so, the response voice information corresponding to the matching call scenarios is sent to the corresponding ship analo"&amp;"g terminal through the first connection. If a signal of artificial intervention is received, the first connection is forwarded to the corresponding ship analog terminal. Compared with the existing technology, the present invention has improved the experie"&amp;"nce of trainees and console coaches.")</f>
        <v>The present invention involves a voyage of voyage and calling methods, equipment, and media. The method is applied to the server, including the following steps: establishing the first connection with the ship's simulation terminal, establishing a second connection with the control end. Among them, ship simulation The terminal is deployed on the navigation simulator; the training voice information is obtained through the first connection and forwarded to the control end through the second connection. For training voice information, the text information is obtained through voice recognition. Determine whether the matching is successful. If so, the response voice information corresponding to the matching call scenarios is sent to the corresponding ship analog terminal through the first connection. If a signal of artificial intervention is received, the first connection is forwarded to the corresponding ship analog terminal. Compared with the existing technology, the present invention has improved the experience of trainees and console coaches.</v>
      </c>
      <c r="D209" s="6" t="s">
        <v>623</v>
      </c>
      <c r="E209" s="4" t="str">
        <f ca="1">IFERROR(__xludf.DUMMYFUNCTION("GOOGLETRANSLATE(D209,""auto"",""en"")"),"A voicing method, equipment, medium")</f>
        <v>A voicing method, equipment, medium</v>
      </c>
    </row>
    <row r="210" spans="1:5" ht="15" x14ac:dyDescent="0.25">
      <c r="A210" s="5" t="s">
        <v>624</v>
      </c>
      <c r="B210" s="6" t="s">
        <v>625</v>
      </c>
      <c r="C210" s="3" t="str">
        <f ca="1">IFERROR(__xludf.DUMMYFUNCTION("GOOGLETRANSLATE(B210,""auto"",""en"")"),"A recommendation system was developed using AI -based multi -target data prediction model to optimize the performance of athletes. Wearable sensor devices are used to collect athlete's physiological data. Based on the current and previous physiological da"&amp;"ta, the system provides athletes for athletes to provide incentives for training and competitions to help them use their maximum capabilities. To this end, the past and information of the athletes will be considered. Use the cloud computing system to stor"&amp;"e and analyze data. Use machine learning technology based on SVM and adaptive classifier models. For this study, factors including age, gender, calories, temperature, pressure, heart rate, pulse rate, breathing problems and physical conditions are conside"&amp;"red. During sports activities, wearable devices are used to capture real -time data from participants and retrieve features from data sets.")</f>
        <v>A recommendation system was developed using AI -based multi -target data prediction model to optimize the performance of athletes. Wearable sensor devices are used to collect athlete's physiological data. Based on the current and previous physiological data, the system provides athletes for athletes to provide incentives for training and competitions to help them use their maximum capabilities. To this end, the past and information of the athletes will be considered. Use the cloud computing system to store and analyze data. Use machine learning technology based on SVM and adaptive classifier models. For this study, factors including age, gender, calories, temperature, pressure, heart rate, pulse rate, breathing problems and physical conditions are considered. During sports activities, wearable devices are used to capture real -time data from participants and retrieve features from data sets.</v>
      </c>
      <c r="D210" s="6" t="s">
        <v>626</v>
      </c>
      <c r="E210" s="4" t="str">
        <f ca="1">IFERROR(__xludf.DUMMYFUNCTION("GOOGLETRANSLATE(D210,""auto"",""en"")"),"Recommendation system to optimize the performance of athletes based on artificial intelligence prediction models based on artificial intelligence prediction model")</f>
        <v>Recommendation system to optimize the performance of athletes based on artificial intelligence prediction models based on artificial intelligence prediction model</v>
      </c>
    </row>
    <row r="211" spans="1:5" ht="15" x14ac:dyDescent="0.25">
      <c r="A211" s="5" t="s">
        <v>627</v>
      </c>
      <c r="B211" s="6" t="s">
        <v>628</v>
      </c>
      <c r="C211" s="3" t="str">
        <f ca="1">IFERROR(__xludf.DUMMYFUNCTION("GOOGLETRANSLATE(B211,""auto"",""en"")"),"1. Design product name: Display screen panel with equipment health management graphics user interface. 2. The purpose of designing products in this exterior: used to display graphic user interface. 3. Design of design products in this appearance: lies in "&amp;"the graphic user interface in the screen. 4. Pictures or photos that can most indicate design points: main view. 5. No design points, omittime views, left view, right view, down -view view, viewing view. 6. The purpose of graphical user interface: The int"&amp;"erface is used for the use of the health monitoring, management and display information of hardware equipment. Human -computer interaction methods of graphic user interface: In the main view, the interface shows the module layout related to equipment heal"&amp;"th content. Users can click on any operating control in any module to perform more operations. 7. The display screen panel of this product can be applied to computers, laptops, tablet computers, head -up displays (HUD), multimedia projector, smartphone, s"&amp;"mart robot, smart glasses, virtual reality glasses, augmented reality glasses, hybrid reality Glasses, smart watches, fitness monitors, headset headphones, driving recorders, vehicle navigation equipment, vehicle CNC computer, automobile smart rearview mi"&amp;"rror, smart speaker, smart TV, set -top box, game handheld, game console.")</f>
        <v>1. Design product name: Display screen panel with equipment health management graphics user interface. 2. The purpose of designing products in this exterior: used to display graphic user interface. 3. Design of design products in this appearance: lies in the graphic user interface in the screen. 4. Pictures or photos that can most indicate design points: main view. 5. No design points, omittime views, left view, right view, down -view view, viewing view. 6. The purpose of graphical user interface: The interface is used for the use of the health monitoring, management and display information of hardware equipment. Human -computer interaction methods of graphic user interface: In the main view, the interface shows the module layout related to equipment health content. Users can click on any operating control in any module to perform more operations. 7. The display screen panel of this product can be applied to computers, laptops, tablet computers, head -up displays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211" s="6" t="s">
        <v>629</v>
      </c>
      <c r="E211" s="4" t="str">
        <f ca="1">IFERROR(__xludf.DUMMYFUNCTION("GOOGLETRANSLATE(D211,""auto"",""en"")"),"Display screen panel with device health management graphical user interface")</f>
        <v>Display screen panel with device health management graphical user interface</v>
      </c>
    </row>
    <row r="212" spans="1:5" ht="15" x14ac:dyDescent="0.25">
      <c r="A212" s="5" t="s">
        <v>630</v>
      </c>
      <c r="B212" s="6" t="s">
        <v>631</v>
      </c>
      <c r="C212" s="3" t="str">
        <f ca="1">IFERROR(__xludf.DUMMYFUNCTION("GOOGLETRANSLATE(B212,""auto"",""en"")"),"1. Design product name: Display screen panel with satellite resource planning graphics user interface. ; 2. Design products for designing products: used to display graphical user interface. ; 3. Design of the design of the product in this exterior: lies i"&amp;"n the graphic user interface in the screen. ; 4. The picture or photo of the main point of design: The main view. ; 5. No design points, omittime views, left view, right view, down -view view, viewing view. 6. The purpose of graphical user interface: The "&amp;"interface is used for the purpose of satellite resource planning, regulation, management and display information. 7. Change state description of the graphic user interface: The graphic user interface displayed by the main view is the start interface of th"&amp;"e opening program; The ""Resource System Portrait"" button enters the interface changes. Interface changes status Figure 4; click the ""Application Mode Optimization"" button in the upper right corner of the main screen to enter the interface change state"&amp;". The ""Planning Model Optimization"" button in the upper right corner of the main map enters the interface change state. 7; click the ""Preparation Time Optimization"" button in the upper right corner of the main screen to enter the interface change stat"&amp;"e Figure 8. ; 8. The display screen panels of the design of the product can be applied to computers, laptops, tablet computers, head -up display (HUD), multimedia projector, smartphone, smart robot, smart glasses, virtual reality glasses, enhanced reality"&amp;" glasses, mixed mixed Reality glasses, smart watches, fitness monitor, headset headphones, driving recorders, vehicle navigation equipment, vehicle CNC computer, automobile smart rearview mirror, smart speaker, smart TV, set -top box, game handheld, game "&amp;"console. 9. The single -color block ""X"" coating part of the graphic user interface of the product of the product is the content screen. ; 1. The name of the design of the product here: The display screen panel with satellite resource planning graphic us"&amp;"er interface. ; 2. Design products for designing products: used to display graphical user interface. ; 3. Design of the design of the product in this exterior: lies in the graphic user interface in the screen. ; 4. The picture or photo of the main point o"&amp;"f design: The main view. ; 5. No design points, omittime views, left view, right view, down -view view, viewing view. 6. The purpose of graphical user interface: The interface is used for the purpose of satellite resource planning, regulation, management "&amp;"and display information. 7. Change state description of the graphic user interface: The graphic user interface displayed by the main view is the start interface of the opening program; The ""Resource System Portrait"" button enters the interface changes. "&amp;"Interface changes status Figure 4; click the ""Application Mode Optimization"" button in the upper right corner of the main screen to enter the interface change state. The ""Planning Model Optimization"" button in the upper right corner of the main map en"&amp;"ters the interface change state. 7; click the ""Preparation Time Optimization"" button in the upper right corner of the main screen to enter the interface change state Figure 8. ; 8. The display screen panels of the design of the product can be applied to"&amp;" computers, laptops, tablet computers, head -up display (HUD), multimedia projector, smartphone, smart robot, smart glasses, virtual reality glasses, enhanced reality glasses, mixed mixed Reality glasses, smart watches, fitness monitor, headset headphones"&amp;", driving recorders, vehicle navigation equipment, vehicle CNC computer, automobile smart rearview mirror, smart speaker, smart TV, set -top box, game handheld, game console. 9. The single -color block ""X"" coating part of the graphic user interface of t"&amp;"he product of the product is the content screen.")</f>
        <v>1. Design product name: Display screen panel with satellite resource planning graphics user interface. ; 2. Design products for designing products: used to display graphical user interface. ; 3. Design of the design of the product in this exterior: lies in the graphic user interface in the screen. ; 4. The picture or photo of the main point of design: The main view. ; 5. No design points, omittime views, left view, right view, down -view view, viewing view. 6. The purpose of graphical user interface: The interface is used for the purpose of satellite resource planning, regulation, management and display information. 7. Change state description of the graphic user interface: The graphic user interface displayed by the main view is the start interface of the opening program; The "Resource System Portrait" button enters the interface changes. Interface changes status Figure 4; click the "Application Mode Optimization" button in the upper right corner of the main screen to enter the interface change state. The "Planning Model Optimization" button in the upper right corner of the main map enters the interface change state. 7; click the "Preparation Time Optimization" button in the upper right corner of the main screen to enter the interface change state Figure 8.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9. The single -color block "X" coating part of the graphic user interface of the product of the product is the content screen. ; 1. The name of the design of the product here: The display screen panel with satellite resource planning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No design points, omittime views, left view, right view, down -view view, viewing view. 6. The purpose of graphical user interface: The interface is used for the purpose of satellite resource planning, regulation, management and display information. 7. Change state description of the graphic user interface: The graphic user interface displayed by the main view is the start interface of the opening program; The "Resource System Portrait" button enters the interface changes. Interface changes status Figure 4; click the "Application Mode Optimization" button in the upper right corner of the main screen to enter the interface change state. The "Planning Model Optimization" button in the upper right corner of the main map enters the interface change state. 7; click the "Preparation Time Optimization" button in the upper right corner of the main screen to enter the interface change state Figure 8.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9. The single -color block "X" coating part of the graphic user interface of the product of the product is the content screen.</v>
      </c>
      <c r="D212" s="6" t="s">
        <v>632</v>
      </c>
      <c r="E212" s="4" t="str">
        <f ca="1">IFERROR(__xludf.DUMMYFUNCTION("GOOGLETRANSLATE(D212,""auto"",""en"")"),"Display screen panel with satellite resource planning graphics user interface")</f>
        <v>Display screen panel with satellite resource planning graphics user interface</v>
      </c>
    </row>
    <row r="213" spans="1:5" ht="15" x14ac:dyDescent="0.25">
      <c r="A213" s="5" t="s">
        <v>633</v>
      </c>
      <c r="B213" s="6" t="s">
        <v>634</v>
      </c>
      <c r="C213" s="3" t="str">
        <f ca="1">IFERROR(__xludf.DUMMYFUNCTION("GOOGLETRANSLATE(B213,""auto"",""en"")"),"1. The name of the product of the design of the product: The product information display graphic user interface of the display screen panel. 2. The purpose of designing products in this exterior: The design of the product is used to display the graphical "&amp;"user interface. 3. Design of the design of the product in appearance: lies in the graphic user interface. 4. Pictures or photos that can best show design: Design 1 main view. 5. Specify design 1 is the basic design. 6. The purpose of graphical user interf"&amp;"ace: This graphic user interface is used to display product information. 7. Human -computer interaction method of graphics user interface: Design 1 to Design 5 Main view User interface is the interface of product information display. Users can click on pr"&amp;"oduct pictures or videos to enter the corresponding product details page. The gray color blocks in each design interface are replaceable pictures or videos. The fork number in each design interface represents text and/or numbers and/or alphabetics. 8. Thi"&amp;"s graphic user interface can be used for mobile phones, computers, tablets, televisions, vehicle central control screens, vehicle navigators, car display devices, game consoles, navigators, multimedia all -in -one machines, smart fitness equipment, smart "&amp;"home appliances, smart home appliances equipment, smart home appliance equipment Robots, smart bracelets, smart watches, smart glasses, smart headphones, smart table lamps, smart door systems, advertising display, automatic sale machines, and display scre"&amp;"ens with display screens with display screens. 9. The display screen panel is commonly designed, omitting the rear views, left view, right view, downward view, and view view of various design.")</f>
        <v>1. The name of the product of the design of the product: The product information display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product information. 7. Human -computer interaction method of graphics user interface: Design 1 to Design 5 Main view User interface is the interface of product information display. Users can click on product pictures or videos to enter the corresponding product details page. The gray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smart home appliance equipment Robots, smart bracelets, smart watches, smart glasses, smart headphones, smart table lamps, smart door systems, advertising display, automatic sale machines, and display screens with display screens with display screens. 9. The display screen panel is commonly designed, omitting the rear views, left view, right view, downward view, and view view of various design.</v>
      </c>
      <c r="D213" s="6" t="s">
        <v>330</v>
      </c>
      <c r="E213" s="4" t="str">
        <f ca="1">IFERROR(__xludf.DUMMYFUNCTION("GOOGLETRANSLATE(D213,""auto"",""en"")"),"Product information display graphic user interface of display screen panel")</f>
        <v>Product information display graphic user interface of display screen panel</v>
      </c>
    </row>
    <row r="214" spans="1:5" ht="15" x14ac:dyDescent="0.25">
      <c r="A214" s="5" t="s">
        <v>635</v>
      </c>
      <c r="B214" s="6" t="s">
        <v>636</v>
      </c>
      <c r="C214" s="3" t="str">
        <f ca="1">IFERROR(__xludf.DUMMYFUNCTION("GOOGLETRANSLATE(B214,""auto"",""en"")"),"1. Design product name: Display screen panel with satellite mission planning graphic user interface.
 2. The purpose of designing products in this exterior: used to display graphic user interface.
 3. Design of design products in this appearance: lies"&amp;" in the graphic user interface in the screen.
 4. Pictures or photos that can best show design points: Figure 3 of the interface change state.
 5. No design points, omittime views, left view, right view, down -view view, viewing view.
 6. The purpos"&amp;"e of graphical user interface: The interface is used for the purpose of satellite task planning, management and display information.
 7. Change state description of graphical user interface: The graphic user interface displayed by the main view is to op"&amp;"en the start interface of the program; The ""task planning"" button enters the interface changes. The ""Configuration Management"" button in the upper right corner of the main map enters the interface change state. The ""Satellite"" button enters the inte"&amp;"rface change state Figure 7; click the ""blank window"" button in the upper left corner of the ""blank window"" button in the upper left corner of the interface to enter the interface change state Figure 8.
 8. The display screen panel of the product ca"&amp;"n be applied to computers, laptops, tablet computers, head -up display (HUD), multimedia projector, smartphone, smart robot, smart glasses, virtual reality glasses, augmented reality glasses, hybrid reality Glasses, smart watches, fitness monitors, headse"&amp;"t headphones, driving recorders, vehicle navigation equipment, vehicle CNC computer, automobile smart rearview mirror, smart speaker, smart TV, set -top box, game handheld, game console.
 The single -color block ""X"" coating part of the graphic user in"&amp;"terface of the product is the content screen.")</f>
        <v>1. Design product name: Display screen panel with satellite mission planning graphic user interface.
 2. The purpose of designing products in this exterior: used to display graphic user interface.
 3. Design of design products in this appearance: lies in the graphic user interface in the screen.
 4. Pictures or photos that can best show design points: Figure 3 of the interface change state.
 5. No design points, omittime views, left view, right view, down -view view, viewing view.
 6. The purpose of graphical user interface: The interface is used for the purpose of satellite task planning, management and display information.
 7. Change state description of graphical user interface: The graphic user interface displayed by the main view is to open the start interface of the program; The "task planning" button enters the interface changes. The "Configuration Management" button in the upper right corner of the main map enters the interface change state. The "Satellite" button enters the interface change state Figure 7; click the "blank window" button in the upper left corner of the "blank window" button in the upper left corner of the interface to enter the interface change state Figure 8.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The single -color block "X" coating part of the graphic user interface of the product is the content screen.</v>
      </c>
      <c r="D214" s="6" t="s">
        <v>637</v>
      </c>
      <c r="E214" s="4" t="str">
        <f ca="1">IFERROR(__xludf.DUMMYFUNCTION("GOOGLETRANSLATE(D214,""auto"",""en"")"),"Display screen panel with satellite task planning graphics user interface")</f>
        <v>Display screen panel with satellite task planning graphics user interface</v>
      </c>
    </row>
    <row r="215" spans="1:5" ht="15" x14ac:dyDescent="0.25">
      <c r="A215" s="5" t="s">
        <v>638</v>
      </c>
      <c r="B215" s="6" t="s">
        <v>639</v>
      </c>
      <c r="C215" s="3" t="str">
        <f ca="1">IFERROR(__xludf.DUMMYFUNCTION("GOOGLETRANSLATE(B215,""auto"",""en"")"),"1. Design product name: Display screen panel with antenna configuration management graphical user interface. 2. The purpose of designing products in this exterior: used to display graphic user interface. 3. Design of design products in this appearance: li"&amp;"es in the graphic user interface in the screen. 4. Pictures or photos that can best show design points: interface change status diagram 1.5. No design points, omittable view view, left view, right view, push -view, viewing view. 6. The purpose of graphica"&amp;"l user interface: The interface is used for the purpose of satellite antenna signal configuration, analysis and display information. 7. Change state description of the graphic user interface: The graphic user interface displayed by the main view is the lo"&amp;"gin starting interface of the opening program; after entering and exiting the account password on the right side of the main view of the main view, and clicking the ""Login"" button to enter the interface change state diagram 1; click Interface Change Sta"&amp;"te Figure 1 The ""Result Query"" button in the upper right corner of the right corner pops up the interface change state Figure 2; click the interface change state Figure 1 The ""New Project"" button in the upper left corner of the left corner pops up the"&amp;" interface change state. The panel can be applied to computers, laptops, tablet computers, head -up displays (HUD), multimedia projector, smartphone, smart robot, smart glasses, virtual reality glasses, enhanced reality glasses, hybrid glasses Head headse"&amp;"t, driving recorder, vehicle navigation equipment, vehicle CNC computer, automobile smart rearview mirror, smart speaker, smart TV, set -top box, game handheld, game console. The single -color block ""X"" coating part of the graphic user interface of the "&amp;"product is the content screen.")</f>
        <v>1. Design product name: Display screen panel with antenna configuration management graphical user interface. 2. The purpose of designing products in this exterior: used to display graphic user interface. 3. Design of design products in this appearance: lies in the graphic user interface in the screen. 4. Pictures or photos that can best show design points: interface change status diagram 1.5. No design points, omittable view view, left view, right view, push -view, viewing view. 6. The purpose of graphical user interface: The interface is used for the purpose of satellite antenna signal configuration, analysis and display information. 7. Change state description of the graphic user interface: The graphic user interface displayed by the main view is the login starting interface of the opening program; after entering and exiting the account password on the right side of the main view of the main view, and clicking the "Login" button to enter the interface change state diagram 1; click Interface Change State Figure 1 The "Result Query" button in the upper right corner of the right corner pops up the interface change state Figure 2; click the interface change state Figure 1 The "New Project" button in the upper left corner of the left corner pops up the interface change state. The panel can be applied to computers, laptops, tablet computers, head -up displays (HUD), multimedia projector, smartphone, smart robot, smart glasses, virtual reality glasses, enhanced reality glasses, hybrid glasses Head headset, driving recorder, vehicle navigation equipment, vehicle CNC computer, automobile smart rearview mirror, smart speaker, smart TV, set -top box, game handheld, game console. The single -color block "X" coating part of the graphic user interface of the product is the content screen.</v>
      </c>
      <c r="D215" s="6" t="s">
        <v>640</v>
      </c>
      <c r="E215" s="4" t="str">
        <f ca="1">IFERROR(__xludf.DUMMYFUNCTION("GOOGLETRANSLATE(D215,""auto"",""en"")"),"Display screen panel with antenna configuration management graphical user interface")</f>
        <v>Display screen panel with antenna configuration management graphical user interface</v>
      </c>
    </row>
    <row r="216" spans="1:5" ht="15" x14ac:dyDescent="0.25">
      <c r="A216" s="5" t="s">
        <v>641</v>
      </c>
      <c r="B216" s="6" t="s">
        <v>642</v>
      </c>
      <c r="C216" s="3" t="str">
        <f ca="1">IFERROR(__xludf.DUMMYFUNCTION("GOOGLETRANSLATE(B216,""auto"",""en"")"),"1. Design product name: Display screen panel with satellite data processing graphical user interface. 2. The purpose of designing products in this exterior: used to display graphic user interface. 3. Design of design products in this appearance: lies in t"&amp;"he graphic user interface in the screen. 4. Pictures or photos that can best show design points: interface change status diagram. 2.5. No design points, omitted view views, left view, right view, push -viewing and viewing view. 6. The purpose of graphical"&amp;" user interface: The interface is used for satellite data processing, management, and letter of receipt. 7. Human -computer interaction method of graphical user interface: The graphic user interface displayed by the main view is to open the start interfac"&amp;"e of the login of the program; after entering the account and password in the main view of the main view, and click the ""Login"" button to enter the interface change state Figure 1; Click the interface change state Figure 1 Central ""IFIC Weekly Treatmen"&amp;"t Software"" button to enter the interface change state Figure 2; click the interface change state Figure 2 ""task list"" button to enter the interface change state Figure 3; click Interface change state Figure 2 The ""Generation letter"" button of the le"&amp;"ftmost main menu enters the interface changes. Figure 4; first click the interface change state Figure 2 The leftist of the main menu ""Data Management"" to expand the sub -menu and click ""send a letter data management ""The button enters the interface c"&amp;"hanges. Figure 5; click the"" SIGNSAT data management ""button of the leftmost main menu to enter the interface change state change state changes 6; click the interface changes to the"" IFIC data management of the leftmost main menu 5 ""The button enters "&amp;"the interface change state Figure 7; first click on the interface change state Figure 2 The leftmost main menu"" Auxiliary Information Management ""Expand the sub -menu and click the"" ITU Terms Configuration Item Management ""button to enter the interfac"&amp;"e changes. 8; click the interface changes State Figure 8 The ""Letter Template Management"" button of the leftmost main menu enters the interface change state Figure 9; click the interface to change Status. Figure 1 Central ""International Electric Fair l"&amp;"etter processing software"" button enters the interface change state Figure 10; click the interface change state Figure 10 The ""Inquiry inquiry"" button of the leftmost main menu enters the interface change state. Figure 11; first click the interface to "&amp;"change status. 10 The leftmost main menu ""send a letter management"" to expand the sub -menu and click the ""Edit Edit"" button to enter Figure 12 of the interface change state; click the ""send letter query"" button of the leftmost main menu to enter th"&amp;"e interface change state changes 12; first click the interface to change the state of the most menu ""User Configuration"" expanded sub -menu Later, click the ""Template Management"" button to enter the interface change state Figure 14.8. Other situations"&amp;" that need to be explained. Reference diagram description: The display screen panel of this design product can be applied to computers, laptop computers, tablet computers, head -up display (HUD) , Multimedia projector, smartphone, smart robot, smart glass"&amp;"es, virtual reality glasses, augmented reality glasses, hybrid glasses, smart watches, fitness monitor, headset headset Automobile smart rearview mirror, smart speaker, smart TV, set -top box, game handheld, game console. 9. Other situations that need to "&amp;"be described. Other descriptions: The single -color block ""X"" coating part of the graphic user interface of the product of the product is the content picture.")</f>
        <v>1. Design product name: Display screen panel with satellite data processing graphical user interface. 2. The purpose of designing products in this exterior: used to display graphic user interface. 3. Design of design products in this appearance: lies in the graphic user interface in the screen. 4. Pictures or photos that can best show design points: interface change status diagram. 2.5. No design points, omitted view views, left view, right view, push -viewing and viewing view. 6. The purpose of graphical user interface: The interface is used for satellite data processing, management, and letter of receipt. 7. Human -computer interaction method of graphical user interface: The graphic user interface displayed by the main view is to open the start interface of the login of the program; after entering the account and password in the main view of the main view, and click the "Login" button to enter the interface change state Figure 1; Click the interface change state Figure 1 Central "IFIC Weekly Treatment Software" button to enter the interface change state Figure 2; click the interface change state Figure 2 "task list" button to enter the interface change state Figure 3; click Interface change state Figure 2 The "Generation letter" button of the leftmost main menu enters the interface changes. Figure 4; first click the interface change state Figure 2 The leftist of the main menu "Data Management" to expand the sub -menu and click "send a letter data management "The button enters the interface changes. Figure 5; click the" SIGNSAT data management "button of the leftmost main menu to enter the interface change state change state changes 6; click the interface changes to the" IFIC data management of the leftmost main menu 5 "The button enters the interface change state Figure 7; first click on the interface change state Figure 2 The leftmost main menu" Auxiliary Information Management "Expand the sub -menu and click the" ITU Terms Configuration Item Management "button to enter the interface changes. 8; click the interface changes State Figure 8 The "Letter Template Management" button of the leftmost main menu enters the interface change state Figure 9; click the interface to change Status. Figure 1 Central "International Electric Fair letter processing software" button enters the interface change state Figure 10; click the interface change state Figure 10 The "Inquiry inquiry" button of the leftmost main menu enters the interface change state. Figure 11; first click the interface to change status. 10 The leftmost main menu "send a letter management" to expand the sub -menu and click the "Edit Edit" button to enter Figure 12 of the interface change state; click the "send letter query" button of the leftmost main menu to enter the interface change state changes 12; first click the interface to change the state of the most menu "User Configuration" expanded sub -menu Later, click the "Template Management" button to enter the interface change state Figure 14.8. Other situations that need to be explained. Reference diagram description: The display screen panel of this design product can be applied to computers, laptop computers, tablet computers, head -up display (HUD) , Multimedia projector, smartphone, smart robot, smart glasses, virtual reality glasses, augmented reality glasses, hybrid glasses, smart watches, fitness monitor, headset headset Automobile smart rearview mirror, smart speaker, smart TV, set -top box, game handheld, game console. 9. Other situations that need to be described. Other descriptions: The single -color block "X" coating part of the graphic user interface of the product of the product is the content picture.</v>
      </c>
      <c r="D216" s="6" t="s">
        <v>643</v>
      </c>
      <c r="E216" s="4" t="str">
        <f ca="1">IFERROR(__xludf.DUMMYFUNCTION("GOOGLETRANSLATE(D216,""auto"",""en"")"),"Satellite data processing graphical user interface display screen panel")</f>
        <v>Satellite data processing graphical user interface display screen panel</v>
      </c>
    </row>
    <row r="217" spans="1:5" ht="15" x14ac:dyDescent="0.25">
      <c r="A217" s="5" t="s">
        <v>644</v>
      </c>
      <c r="B217" s="6" t="s">
        <v>645</v>
      </c>
      <c r="C217" s="3" t="str">
        <f ca="1">IFERROR(__xludf.DUMMYFUNCTION("GOOGLETRANSLATE(B217,""auto"",""en"")"),"As the result of the deployment of IoT devices, it is creating a large number of applications and exponentially growing. Positioning technology is becoming more and more important in the athlete training system, and it can provide position context for IoT"&amp;" data without artificial intervention and perception. For the localization of the mass market, the fifth -generation technology and the recent development of low -power wide -area network are now excellent possibilities. However, the positioning performan"&amp;"ce is limited due to multiple errors from the use of such Internet of Things signals. The invention inspects the localization system of the Internet of Things, such as the source of localization system and localization data, the source of positioning erro"&amp;"r and remedial measures, and the drafting localized algorithm and localization performance evaluation.")</f>
        <v>As the result of the deployment of IoT devices, it is creating a large number of applications and exponentially growing. Positioning technology is becoming more and more important in the athlete training system, and it can provide position context for IoT data without artificial intervention and perception. For the localization of the mass market, the fifth -generation technology and the recent development of low -power wide -area network are now excellent possibilities. However, the positioning performance is limited due to multiple errors from the use of such Internet of Things signals. The invention inspects the localization system of the Internet of Things, such as the source of localization system and localization data, the source of positioning error and remedial measures, and the drafting localized algorithm and localization performance evaluation.</v>
      </c>
      <c r="D217" s="6" t="s">
        <v>646</v>
      </c>
      <c r="E217" s="4" t="str">
        <f ca="1">IFERROR(__xludf.DUMMYFUNCTION("GOOGLETRANSLATE(D217,""auto"",""en"")"),"The positioning error relief technology of the Internet of Things enabled by the athlete training system")</f>
        <v>The positioning error relief technology of the Internet of Things enabled by the athlete training system</v>
      </c>
    </row>
    <row r="218" spans="1:5" ht="15" x14ac:dyDescent="0.25">
      <c r="A218" s="5" t="s">
        <v>647</v>
      </c>
      <c r="B218" s="6" t="s">
        <v>648</v>
      </c>
      <c r="C218" s="3" t="str">
        <f ca="1">IFERROR(__xludf.DUMMYFUNCTION("GOOGLETRANSLATE(B218,""auto"",""en"")"),"The present invention provides a basketball layup method, device, equipment, and media. Based on computer vision technology, multi -links to make a layup process using AI deep learning algorithm, including running tests, people or ball out of boundary tes"&amp;"ting, transportation, transportation, transportation, transportation, transportation, transportation The ball route is testing, the specified area to enter the test and goal test, and only need to use low -cost, low power consumption, high -calculation ed"&amp;"ge intelligent equipment and two consumer goods -level 2D cameras, combined with the target test algorithm in AI deep learning algorithms 2. Human joint node detection algorithm, real -time accurate measurement of basketball layup sports. And because the "&amp;"full video is preserved at the same time, it is convenient for subsequent callbacks and action analysis. For example, in real time, the basketball layup results of testers can be broadcast in real time.")</f>
        <v>The present invention provides a basketball layup method, device, equipment, and media. Based on computer vision technology, multi -links to make a layup process using AI deep learning algorithm, including running tests, people or ball out of boundary testing, transportation, transportation, transportation, transportation, transportation, transportation The ball route is testing, the specified area to enter the test and goal test, and only need to use low -cost, low power consumption, high -calculation edge intelligent equipment and two consumer goods -level 2D cameras, combined with the target test algorithm in AI deep learning algorithms 2. Human joint node detection algorithm, real -time accurate measurement of basketball layup sports. And because the full video is preserved at the same time, it is convenient for subsequent callbacks and action analysis. For example, in real time, the basketball layup results of testers can be broadcast in real time.</v>
      </c>
      <c r="D218" s="6" t="s">
        <v>649</v>
      </c>
      <c r="E218" s="4" t="str">
        <f ca="1">IFERROR(__xludf.DUMMYFUNCTION("GOOGLETRANSLATE(D218,""auto"",""en"")"),"A test method, device, equipment and medium on basketball layup")</f>
        <v>A test method, device, equipment and medium on basketball layup</v>
      </c>
    </row>
    <row r="219" spans="1:5" ht="15" x14ac:dyDescent="0.25">
      <c r="A219" s="5" t="s">
        <v>650</v>
      </c>
      <c r="B219" s="6" t="s">
        <v>651</v>
      </c>
      <c r="C219" s="3" t="str">
        <f ca="1">IFERROR(__xludf.DUMMYFUNCTION("GOOGLETRANSLATE(B219,""auto"",""en"")"),"The embodiment of the present invention involves the field of natural language processing technology, and a live -stream subtitle conversion method is released, which includes: scene recognition to determine the scene category of the current live video sc"&amp;"reen; the scene category is the scene of the broadcast room, through the first data features, the first data features Enter the interpretation model of the studio subtitles to get the subtitle text after the transliteration; the first data features includ"&amp;"e the audio characteristics of the current spokesperson in the current live video screen, the characteristics of the mouth -shaped video, the characteristics of the text, and the characteristics of the knowledge map; the scene category is the competition "&amp;"During the scene, enter the second data feature into the converted subtitles of the field scene to obtain the subtitle text after the transfer; the second data features include the audio characteristics, text characteristics and knowledge map characterist"&amp;"ics of the current spokesman in the current live video screen; The subtitle text is displayed in the current live video screen in the form of subtitles. Through the above methods, the embodiments of the present invention achieve the effect of effectively "&amp;"improving the accuracy of real -time subtitle conversion.")</f>
        <v>The embodiment of the present invention involves the field of natural language processing technology, and a live -stream subtitle conversion method is released, which includes: scene recognition to determine the scene category of the current live video screen; the scene category is the scene of the broadcast room, through the first data features, the first data features Enter the interpretation model of the studio subtitles to get the subtitle text after the transliteration; the first data features include the audio characteristics of the current spokesperson in the current live video screen, the characteristics of the mouth -shaped video, the characteristics of the text, and the characteristics of the knowledge map; the scene category is the competition During the scene, enter the second data feature into the converted subtitles of the field scene to obtain the subtitle text after the transfer; the second data features include the audio characteristics, text characteristics and knowledge map characteristics of the current spokesman in the current live video screen; The subtitle text is displayed in the current live video screen in the form of subtitles. Through the above methods, the embodiments of the present invention achieve the effect of effectively improving the accuracy of real -time subtitle conversion.</v>
      </c>
      <c r="D219" s="6" t="s">
        <v>652</v>
      </c>
      <c r="E219" s="4" t="str">
        <f ca="1">IFERROR(__xludf.DUMMYFUNCTION("GOOGLETRANSLATE(D219,""auto"",""en"")"),"Live subtitle conversion method, device, equipment and computer readable storage media")</f>
        <v>Live subtitle conversion method, device, equipment and computer readable storage media</v>
      </c>
    </row>
    <row r="220" spans="1:5" ht="15" x14ac:dyDescent="0.25">
      <c r="A220" s="5" t="s">
        <v>653</v>
      </c>
      <c r="B220" s="6" t="s">
        <v>654</v>
      </c>
      <c r="C220" s="3" t="str">
        <f ca="1">IFERROR(__xludf.DUMMYFUNCTION("GOOGLETRANSLATE(B220,""auto"",""en"")"),"This utility model opens up a multi -functional human -machine interaction tester, including the workbench, support column, control processing module, fan and touch control screen. There is a touch control screen on the other side of the workbench. The wo"&amp;"rkbench near the top of the touch control screen on one side of the workbench is rotated and installed with limited tooth plates. This multifunctional human -computer interoperability tester, the touch control screen in the tester, through the actual use "&amp;"of the tooth plate, fixed block, limit rod, auxiliary tensor, positioning, reset spring and resistant tooth blocks through the actual use process Settings, so that when the overall angle is carried out, you only need to pull the auxiliary handle on one si"&amp;"de, so that the conflict block and the limited tooth plate can be turned away to rotate. The operation is easy to use, and the overall stability is high.")</f>
        <v>This utility model opens up a multi -functional human -machine interaction tester, including the workbench, support column, control processing module, fan and touch control screen. There is a touch control screen on the other side of the workbench. The workbench near the top of the touch control screen on one side of the workbench is rotated and installed with limited tooth plates. This multifunctional human -computer interoperability tester, the touch control screen in the tester, through the actual use of the tooth plate, fixed block, limit rod, auxiliary tensor, positioning, reset spring and resistant tooth blocks through the actual use process Settings, so that when the overall angle is carried out, you only need to pull the auxiliary handle on one side, so that the conflict block and the limited tooth plate can be turned away to rotate. The operation is easy to use, and the overall stability is high.</v>
      </c>
      <c r="D220" s="6" t="s">
        <v>655</v>
      </c>
      <c r="E220" s="4" t="str">
        <f ca="1">IFERROR(__xludf.DUMMYFUNCTION("GOOGLETRANSLATE(D220,""auto"",""en"")"),"A multi -functional human -computer interconnection tester")</f>
        <v>A multi -functional human -computer interconnection tester</v>
      </c>
    </row>
    <row r="221" spans="1:5" ht="15" x14ac:dyDescent="0.25">
      <c r="A221" s="5" t="s">
        <v>656</v>
      </c>
      <c r="B221" s="6" t="s">
        <v>657</v>
      </c>
      <c r="C221" s="3" t="str">
        <f ca="1">IFERROR(__xludf.DUMMYFUNCTION("GOOGLETRANSLATE(B221,""auto"",""en"")"),"1. The name of the product of the design of the product: The voice assistant of the display screen panel manages the graphic user interface. 2. Design products in appearance: used for interaction and display. 3. Design of the design of the product in appe"&amp;"arance: lies in the graphic user interface. 4. Pictures or photos that can best show design points: interface change state Figure 1.5. Other views have no design points, omitting other views. 6. The purpose of the graphical user interface: For example, th"&amp;"e voice interaction of wake, listening, processing, and broadcasting through this type of voice assistant without frequent switching perspective is used in driving conditions. 7. Human -computer interaction method of graphics user interface: The main view"&amp;" is the main interface with voice assistant management functions. In this interface, users can awaken the voice assistant through voice, click APP or click keys in the main view, jump to the interface to the interface Change status Figure 1 The voice awak"&amp;"ening interface displayed. Under the voice wake -up interface, the voice ball is listening. In the listening state, the prompts in the voiceball input box (for example: what to say) guide the user to issue instructions. Instructions, jump to the interface"&amp;" change state. Figure 2 The voice listening interface displayed. Under the voice listening interface, the voice ball is listening to the state of the instructions that the user speaks. The voice processing interface displayed by Status 3, under the voice "&amp;"processing interface, the voice ball is the processing state. In the processing state, the prompt in the voiceball input box to display the user's processing needs. Change status Figure 4 Display the processing results interface with a card display area; "&amp;"the amplitude of the dynamic effect of the voice ball in the listening state or processing status in the above interface changes according to the volume of the voice. Change, the guidance in the voiceball input box varies according to actual use; the sing"&amp;"le -color blocks related to the filling in all the above interfaces are represented as a variable content screen display area. Character or text content. 8. The displayed carrier equipment for display is the existing design. The display screen panel can b"&amp;"e applied to computers, laptops, tablet computers, mobile phones, smartphones, smart glasses, watches, smart watches, fitness monitors, head wearing, head wearing Form headset, personal digital assistant machine, smart speaker, TV, monitor, set -top box, "&amp;"navigator.")</f>
        <v>1. The name of the product of the design of the product: The voice assistant of the display screen panel manages the graphic user interface. 2. Design products in appearance: used for interaction and display. 3. Design of the design of the product in appearance: lies in the graphic user interface. 4. Pictures or photos that can best show design points: interface change state Figure 1.5. Other views have no design points, omitting other views. 6. The purpose of the graphical user interface: For example, the voice interaction of wake, listening, processing, and broadcasting through this type of voice assistant without frequent switching perspective is used in driving conditions. 7. Human -computer interaction method of graphics user interface: The main view is the main interface with voice assistant management functions. In this interface, users can awaken the voice assistant through voice, click APP or click keys in the main view, jump to the interface to the interface Change status Figure 1 The voice awakening interface displayed. Under the voice wake -up interface, the voice ball is listening. In the listening state, the prompts in the voiceball input box (for example: what to say) guide the user to issue instructions. Instructions, jump to the interface change state. Figure 2 The voice listening interface displayed. Under the voice listening interface, the voice ball is listening to the state of the instructions that the user speaks. The voice processing interface displayed by Status 3, under the voice processing interface, the voice ball is the processing state. In the processing state, the prompt in the voiceball input box to display the user's processing needs. Change status Figure 4 Display the processing results interface with a card display area; the amplitude of the dynamic effect of the voice ball in the listening state or processing status in the above interface changes according to the volume of the voice. Change, the guidance in the voiceball input box varies according to actual use; the single -color blocks related to the filling in all the above interfaces are represented as a variable content screen display area. Character or text content. 8. The displayed carrier equipment for display is the existing design. The display screen panel can be applied to computers, laptops, tablet computers, mobile phones, smartphones, smart glasses, watches, smart watches, fitness monitors, head wearing, head wearing Form headset, personal digital assistant machine, smart speaker, TV, monitor, set -top box, navigator.</v>
      </c>
      <c r="D221" s="6" t="s">
        <v>658</v>
      </c>
      <c r="E221" s="4" t="str">
        <f ca="1">IFERROR(__xludf.DUMMYFUNCTION("GOOGLETRANSLATE(D221,""auto"",""en"")"),"The voice assistant of the display screen panel management graphical user interface")</f>
        <v>The voice assistant of the display screen panel management graphical user interface</v>
      </c>
    </row>
    <row r="222" spans="1:5" ht="15" x14ac:dyDescent="0.25">
      <c r="A222" s="5" t="s">
        <v>659</v>
      </c>
      <c r="B222" s="6" t="s">
        <v>660</v>
      </c>
      <c r="C222" s="3" t="str">
        <f ca="1">IFERROR(__xludf.DUMMYFUNCTION("GOOGLETRANSLATE(B222,""auto"",""en"")"),"The present invention provides a method and device, storage medium, and equipment for sports videos to remove lighting. The corresponding data transformation data is sampled multiple times of different sampling multiples to generate multiple characteristi"&amp;"cs of multiple different scale; the features of multiple different scale are sampled into the characteristic image of the 1/n size of the slicing image, and will be upper. The characteristic image stitching of multiple different scale after the sampling i"&amp;"s a target image containing the overall characteristic information containing multiple scale; multiple samples of the target image are sampled, and the multiple slices of multiple slices are generated. Slice image; combine multiple slices of sliced ​​slic"&amp;"es to remove the image frame after the drag. The invention improves the predictive accuracy of the neural network model by removing the drag shadow and repairing the quality of the image.")</f>
        <v>The present invention provides a method and device, storage medium, and equipment for sports videos to remove lighting. The corresponding data transformation data is sampled multiple times of different sampling multiples to generate multiple characteristics of multiple different scale; the features of multiple different scale are sampled into the characteristic image of the 1/n size of the slicing image, and will be upper. The characteristic image stitching of multiple different scale after the sampling is a target image containing the overall characteristic information containing multiple scale; multiple samples of the target image are sampled, and the multiple slices of multiple slices are generated. Slice image; combine multiple slices of sliced ​​slices to remove the image frame after the drag. The invention improves the predictive accuracy of the neural network model by removing the drag shadow and repairing the quality of the image.</v>
      </c>
      <c r="D222" s="6" t="s">
        <v>661</v>
      </c>
      <c r="E222" s="4" t="str">
        <f ca="1">IFERROR(__xludf.DUMMYFUNCTION("GOOGLETRANSLATE(D222,""auto"",""en"")"),"Sports video to remove the method and device, storage medium, equipment")</f>
        <v>Sports video to remove the method and device, storage medium, equipment</v>
      </c>
    </row>
    <row r="223" spans="1:5" ht="15" x14ac:dyDescent="0.25">
      <c r="A223" s="5" t="s">
        <v>662</v>
      </c>
      <c r="B223" s="6" t="s">
        <v>663</v>
      </c>
      <c r="C223" s="3" t="str">
        <f ca="1">IFERROR(__xludf.DUMMYFUNCTION("GOOGLETRANSLATE(B223,""auto"",""en"")"),"The embodiment of the present invention involves the field of audio and video technology, and a sports live broadcast subtitle method, installation and equipment are disclosed. The first text includes the subtitle timestamp; the first text is corrected to"&amp;" obtain the second text; the error correction of the first text of the first text, including The text is corrected; the preset -based graph hot word is determined according to the preset knowledge map and the live broadcast information corresponding to th"&amp;"e live broadcast stream; according to the second text of the second text, The subtitle stamp adds the first subtitles to the live broadcast stream. Through the above methods, the embodiment of the present invention uses the preset graph hot words to effec"&amp;"tively improve the accuracy of the last live broadcast subtitles in the vertical scene and improve the user's viewing experience.")</f>
        <v>The embodiment of the present invention involves the field of audio and video technology, and a sports live broadcast subtitle method, installation and equipment are disclosed. The first text includes the subtitle timestamp; the first text is corrected to obtain the second text; the error correction of the first text of the first text, including The text is corrected; the preset -based graph hot word is determined according to the preset knowledge map and the live broadcast information corresponding to the live broadcast stream; according to the second text of the second text, The subtitle stamp adds the first subtitles to the live broadcast stream. Through the above methods, the embodiment of the present invention uses the preset graph hot words to effectively improve the accuracy of the last live broadcast subtitles in the vertical scene and improve the user's viewing experience.</v>
      </c>
      <c r="D223" s="6" t="s">
        <v>664</v>
      </c>
      <c r="E223" s="4" t="str">
        <f ca="1">IFERROR(__xludf.DUMMYFUNCTION("GOOGLETRANSLATE(D223,""auto"",""en"")"),"Live subtitle adding method, device and equipment")</f>
        <v>Live subtitle adding method, device and equipment</v>
      </c>
    </row>
    <row r="224" spans="1:5" ht="15" x14ac:dyDescent="0.25">
      <c r="A224" s="5" t="s">
        <v>665</v>
      </c>
      <c r="B224" s="6" t="s">
        <v>666</v>
      </c>
      <c r="C224" s="3" t="str">
        <f ca="1">IFERROR(__xludf.DUMMYFUNCTION("GOOGLETRANSLATE(B224,""auto"",""en"")"),"The purpose of the present invention is to provide insurance products that provide optimal guarantee information to provide optimal guarantee information through the different imaging of the color and brightness, so that the insured can quickly and accura"&amp;"tely identify the insurance products they need. A device and method used to provide guarantee fitness. To this end, the invention can extract the details of the machine contract guarantee of each channel through the data set of the insurance company to bu"&amp;"ild a model integration process, and perform machine learning and learning through the model integration process for comparative analysis.")</f>
        <v>The purpose of the present invention is to provide insurance products that provide optimal guarantee information to provide optimal guarantee information through the different imaging of the color and brightness, so that the insured can quickly and accurately identify the insurance products they need. A device and method used to provide guarantee fitness. To this end, the invention can extract the details of the machine contract guarantee of each channel through the data set of the insurance company to build a model integration process, and perform machine learning and learning through the model integration process for comparative analysis.</v>
      </c>
      <c r="D224" s="6" t="s">
        <v>667</v>
      </c>
      <c r="E224" s="4" t="str">
        <f ca="1">IFERROR(__xludf.DUMMYFUNCTION("GOOGLETRANSLATE(D224,""auto"",""en"")"),"Provide the insurance range of devices and methods")</f>
        <v>Provide the insurance range of devices and methods</v>
      </c>
    </row>
    <row r="225" spans="1:5" ht="15" x14ac:dyDescent="0.25">
      <c r="A225" s="5" t="s">
        <v>668</v>
      </c>
      <c r="B225" s="6" t="s">
        <v>669</v>
      </c>
      <c r="C225" s="3" t="str">
        <f ca="1">IFERROR(__xludf.DUMMYFUNCTION("GOOGLETRANSLATE(B225,""auto"",""en"")"),"1. The name of the product of the product: The working surface of the display screen panel is remotely monitoring the graphic user interface. 2. Design products in appearance: used for running procedures, information display, and human -computer interacti"&amp;"on. 3. Design of design products in this appearance: lies in the graphic user interface in the screen. 4. Pictures or photos that can most indicate design points: main view. 5. The purpose of the graphical user interface: The main view is the interface of"&amp;" the real -time state of the remote monitoring working surface equipment. The user can perform related operations according to the interface prompt. 6. Other instructions: This display screen panel is applied to network controller, computer, laptop, table"&amp;"t computer, mobile phone, smart watch, smart bracelet, fitness monitor, headset headset, personal digital assistant (PDA), intelligent smart Speakers, television, set -top boxes, projectors, game consoles or navigators, vehicles.")</f>
        <v>1. The name of the product of the product: The working surface of the display screen panel is remotely monitoring the graphic user interface.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main view is the interface of the real -time state of the remote monitoring working surface equipment. The user can perform related operations according to the interface prompt. 6. Other instructions: This display screen panel is applied to network controller, computer, laptop, tablet computer, mobile phone, smart watch, smart bracelet, fitness monitor, headset headset, personal digital assistant (PDA), intelligent smart Speakers, television, set -top boxes, projectors, game consoles or navigators, vehicles.</v>
      </c>
      <c r="D225" s="6" t="s">
        <v>670</v>
      </c>
      <c r="E225" s="4" t="str">
        <f ca="1">IFERROR(__xludf.DUMMYFUNCTION("GOOGLETRANSLATE(D225,""auto"",""en"")"),"Remote monitoring graphic user interface of the display surface of the display screen panel")</f>
        <v>Remote monitoring graphic user interface of the display surface of the display screen panel</v>
      </c>
    </row>
    <row r="226" spans="1:5" ht="15" x14ac:dyDescent="0.25">
      <c r="A226" s="5" t="s">
        <v>671</v>
      </c>
      <c r="B226" s="6" t="s">
        <v>672</v>
      </c>
      <c r="C226" s="3" t="str">
        <f ca="1">IFERROR(__xludf.DUMMYFUNCTION("GOOGLETRANSLATE(B226,""auto"",""en"")"),"1. The name of the product in appearance: The coal mining machine monitoring and control graphic user interface of the display screen panel. 2. Design products in appearance: used for running procedures, information display, and human -computer interactio"&amp;"n. 3. Design of design products in this appearance: lies in the graphic user interface in the screen. 4. Pictures or photos that can most indicate design points: main view. 5. The purpose of the graphical user interface: The main view is the interface of "&amp;"the real -time state of the remote monitoring the coal mining machine and the real time of the coal mining machine. The user can perform related operations according to the interface prompt. 6. Other instructions: This display screen panel is applied to n"&amp;"etwork controller, computer, laptop, tablet computer, mobile phone, smart watch, smart bracelet, fitness monitor, headset headset, personal digital assistant (PDA), intelligent smart Speakers, television, set -top boxes, projectors, game consoles or navig"&amp;"ators, vehicles.")</f>
        <v>1. The name of the product in appearance: The coal mining machine monitoring and control graphic user interface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main view is the interface of the real -time state of the remote monitoring the coal mining machine and the real time of the coal mining machine. The user can perform related operations according to the interface prompt. 6. Other instructions: This display screen panel is applied to network controller, computer, laptop, tablet computer, mobile phone, smart watch, smart bracelet, fitness monitor, headset headset, personal digital assistant (PDA), intelligent smart Speakers, television, set -top boxes, projectors, game consoles or navigators, vehicles.</v>
      </c>
      <c r="D226" s="6" t="s">
        <v>673</v>
      </c>
      <c r="E226" s="4" t="str">
        <f ca="1">IFERROR(__xludf.DUMMYFUNCTION("GOOGLETRANSLATE(D226,""auto"",""en"")"),"Coal mining machine monitoring and control graphical user interface of the display screen panel")</f>
        <v>Coal mining machine monitoring and control graphical user interface of the display screen panel</v>
      </c>
    </row>
    <row r="227" spans="1:5" ht="15" x14ac:dyDescent="0.25">
      <c r="A227" s="5" t="s">
        <v>674</v>
      </c>
      <c r="B227" s="6" t="s">
        <v>675</v>
      </c>
      <c r="C227" s="3" t="str">
        <f ca="1">IFERROR(__xludf.DUMMYFUNCTION("GOOGLETRANSLATE(B227,""auto"",""en"")"),"1. The name of the product of the design of the product: The drum control graphics user interface of the display screen panel. 2. Design products in appearance: used for running procedures, information display, and human -computer interaction. 3. Design o"&amp;"f the design of the product in this exterior: lies in the interface content of the graphic user interface in the screen. 4. Pictures or photos that can most indicate design points: main view. 5. The purpose of the graphical user interface: The main view i"&amp;"s the interface of the drum height pointer, and the user can operate according to the interface prompt. 6. Other instructions: This display screen panel is applied to computers, laptops, tablets, mobile phones, smart watches, smart bracelets, fitness moni"&amp;"tor, headset headphones, personal digital assistant (PDA), smart speakers, TV, set -top boxes , Projector, game console or navigator, vehicle.")</f>
        <v>1. The name of the product of the design of the product: The drum control graphics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interface of the drum height pointer, and the user can operate according to the interface prompt. 6. Other instructions: This display screen panel is applied to computers, laptops, tablets, mobile phones, smart watches, smart bracelets, fitness monitor, headset headphones, personal digital assistant (PDA), smart speakers, TV, set -top boxes , Projector, game console or navigator, vehicle.</v>
      </c>
      <c r="D227" s="6" t="s">
        <v>676</v>
      </c>
      <c r="E227" s="4" t="str">
        <f ca="1">IFERROR(__xludf.DUMMYFUNCTION("GOOGLETRANSLATE(D227,""auto"",""en"")"),"The drum control graphics user interface of the display screen panel")</f>
        <v>The drum control graphics user interface of the display screen panel</v>
      </c>
    </row>
    <row r="228" spans="1:5" ht="15" x14ac:dyDescent="0.25">
      <c r="A228" s="5" t="s">
        <v>677</v>
      </c>
      <c r="B228" s="6" t="s">
        <v>678</v>
      </c>
      <c r="C228" s="3" t="str">
        <f ca="1">IFERROR(__xludf.DUMMYFUNCTION("GOOGLETRANSLATE(B228,""auto"",""en"")"),"1. The name of the product of the product: The cutting template of the display screen panel sets the graphical user interface. 2. Design products in appearance: used for running procedures, information display, and human -computer interaction. 3. Design o"&amp;"f the design of the product in this exterior: lies in the interface content of the graphic user interface in the screen. 4. Pictures or photos that can best show design: Design 1 main view. 5. Specify design 1 is the basic design. 6. The purpose of the gr"&amp;"aphical user interface: This graphic user interface is used for cutting template settings. Design 1 main view is a single adjustment interface for cutting templates, designing 2 main views as the cutting template pit bag data adjustment interface, and the"&amp;" design 3 main view is the cutting template multiple adjustment interface. The user can operate according to the interface prompts. 7. Other instructions: This display screen panel is applied to computers, laptops, tablets, mobile phones, smart watches, s"&amp;"mart bracelets, fitness monitor, headset headphones, personal digital assistant (PDA), smart speakers, TV, set -top boxes , Projector, game console or navigator, vehicle.")</f>
        <v>1. The name of the product of the product: The cutting template of the display screen panel sets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for cutting template settings. Design 1 main view is a single adjustment interface for cutting templates, designing 2 main views as the cutting template pit bag data adjustment interface, and the design 3 main view is the cutting template multiple adjustment interface. The user can operate according to the interface prompts. 7. Other instructions: This display screen panel is applied to computers, laptops, tablets, mobile phones, smart watches, smart bracelets, fitness monitor, headset headphones, personal digital assistant (PDA), smart speakers, TV, set -top boxes , Projector, game console or navigator, vehicle.</v>
      </c>
      <c r="D228" s="6" t="s">
        <v>679</v>
      </c>
      <c r="E228" s="4" t="str">
        <f ca="1">IFERROR(__xludf.DUMMYFUNCTION("GOOGLETRANSLATE(D228,""auto"",""en"")"),"The interception template of the display screen panel sets the graphical user interface")</f>
        <v>The interception template of the display screen panel sets the graphical user interface</v>
      </c>
    </row>
    <row r="229" spans="1:5" ht="15" x14ac:dyDescent="0.25">
      <c r="A229" s="5" t="s">
        <v>680</v>
      </c>
      <c r="B229" s="6" t="s">
        <v>681</v>
      </c>
      <c r="C229" s="3" t="str">
        <f ca="1">IFERROR(__xludf.DUMMYFUNCTION("GOOGLETRANSLATE(B229,""auto"",""en"")"),"1. Design product name: The working surface comprehensive mining equipment of the display screen panel controls the graphic user interface. ; 2. Design products for designing products: used for running program, information display, human -computer interac"&amp;"tion. ; 3. Design points for designing products in this exterior: lies in the interface content of the graphic user interface in the screen. ; 4. The picture or photo that can most indicate the point of design: Design 1 main view. ; 5. Specifying design 1"&amp;" is the basic design. 6. Graphic user interface use: This graphic user interface is used to centrally control the comprehensive mining equipment of working surfaces. ; Design 1 main view is the lock -up interface of automated touch screen control, design "&amp;"2 main views as automated touch screen control interface, design 3 main views as automated touch screen control interface with keyboard input, design 4 main views as automated touch touch touch touch touch touch touch contact The screen collection control"&amp;" interface, the design 5 main view is the automated touch screen control interface displayed in the touch button, the user can perform related operations according to the interface prompts. The design 6 main view is the atresia interface of the automated "&amp;"touch screen control. The user slides on the top of the interface to unlock it, as shown in the design 6 interface change state diagram. The design 7 main view is the automated touch screen control interface. The user clicks the digital input area of ​​th"&amp;"e video area on the left side of the interface. The keyboard pop -up window appears. ; 7. Other descriptions: This display screen panel is applied to computers, laptops, tablets, mobile phones, smart watches, smart bracelets, fitness monitor, headset head"&amp;"set Top box, projector, game console or navigator, vehicle. ; 1. The name of the design of the product in this exterior: The working surface comprehensive mining equipment of the display screen panel controls the graphic user interface. ; 2. Design produc"&amp;"ts for designing products: used for running program, information display, human -computer interaction. ; 3. Design points for designing products in this exterior: lies in the interface content of the graphic user interface in the screen. ; 4. The picture "&amp;"or photo that can most indicate the point of design: Design 1 main view. ; 5. Specifying design 1 is the basic design. 6. Graphic user interface use: This graphic user interface is used to centrally control the comprehensive mining equipment of working su"&amp;"rfaces. ; Design 1 main view is the lock -up interface of automated touch screen control, design 2 main views as automated touch screen control interface, design 3 main views as automated touch screen control interface with keyboard input, design 4 main v"&amp;"iews as automated touch touch touch touch touch touch touch contact The screen collection control interface, the design 5 main view is the automated touch screen control interface displayed in the touch button, the user can perform related operations acco"&amp;"rding to the interface prompts. The design 6 main view is the atresia interface of the automated touch screen control. The user slides on the top of the interface to unlock it, as shown in the design 6 interface change state diagram. The design 7 main vie"&amp;"w is the automated touch screen control interface. The user clicks the digital input area of ​​the video area on the left side of the interface. The keyboard pop -up window appears. ; 7. Other descriptions: This display screen panel is applied to computer"&amp;"s, laptops, tablets, mobile phones, smart watches, smart bracelets, fitness monitor, headset headset Top box, projector, game console or navigator, vehicle.")</f>
        <v>1. Design product name: The working surface comprehensive mining equipment of the display screen panel controls the graphic user interface.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6. Graphic user interface use: This graphic user interface is used to centrally control the comprehensive mining equipment of working surfaces. ; Design 1 main view is the lock -up interface of automated touch screen control, design 2 main views as automated touch screen control interface, design 3 main views as automated touch screen control interface with keyboard input, design 4 main views as automated touch touch touch touch touch touch touch contact The screen collection control interface, the design 5 main view is the automated touch screen control interface displayed in the touch button, the user can perform related operations according to the interface prompts. The design 6 main view is the atresia interface of the automated touch screen control. The user slides on the top of the interface to unlock it, as shown in the design 6 interface change state diagram. The design 7 main view is the automated touch screen control interface. The user clicks the digital input area of ​​the video area on the left side of the interface. The keyboard pop -up window appears. ; 7. Other descriptions: This display screen panel is applied to computers, laptops, tablets, mobile phones, smart watches, smart bracelets, fitness monitor, headset headset Top box, projector, game console or navigator, vehicle. ; 1. The name of the design of the product in this exterior: The working surface comprehensive mining equipment of the display screen panel controls the graphic user interface.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6. Graphic user interface use: This graphic user interface is used to centrally control the comprehensive mining equipment of working surfaces. ; Design 1 main view is the lock -up interface of automated touch screen control, design 2 main views as automated touch screen control interface, design 3 main views as automated touch screen control interface with keyboard input, design 4 main views as automated touch touch touch touch touch touch touch contact The screen collection control interface, the design 5 main view is the automated touch screen control interface displayed in the touch button, the user can perform related operations according to the interface prompts. The design 6 main view is the atresia interface of the automated touch screen control. The user slides on the top of the interface to unlock it, as shown in the design 6 interface change state diagram. The design 7 main view is the automated touch screen control interface. The user clicks the digital input area of ​​the video area on the left side of the interface. The keyboard pop -up window appears. ; 7. Other descriptions: This display screen panel is applied to computers, laptops, tablets, mobile phones, smart watches, smart bracelets, fitness monitor, headset headset Top box, projector, game console or navigator, vehicle.</v>
      </c>
      <c r="D229" s="6" t="s">
        <v>682</v>
      </c>
      <c r="E229" s="4" t="str">
        <f ca="1">IFERROR(__xludf.DUMMYFUNCTION("GOOGLETRANSLATE(D229,""auto"",""en"")"),"Show -screen panel working surface comprehensive mining equipment control graphics user interface")</f>
        <v>Show -screen panel working surface comprehensive mining equipment control graphics user interface</v>
      </c>
    </row>
    <row r="230" spans="1:5" ht="15" x14ac:dyDescent="0.25">
      <c r="A230" s="5" t="s">
        <v>683</v>
      </c>
      <c r="B230" s="6" t="s">
        <v>684</v>
      </c>
      <c r="C230" s="3" t="str">
        <f ca="1">IFERROR(__xludf.DUMMYFUNCTION("GOOGLETRANSLATE(B230,""auto"",""en"")"),"1. The name of the product of the design of the product: The planning template of the display screen panel sets the graphic user interface. ; 2. Design products for designing products: used for running program, information display, human -computer interac"&amp;"tion. ; 3. Design points for designing products in this exterior: lies in the interface content of the graphic user interface in the screen. ; 4. The picture or photo that can most indicate the point of design: Design 1 main view. ; 5. Specifying design 1"&amp;" is the basic design. ; 6. Graphic user interface use: This graphic user interface is used to plan template settings. The design 1 main view is the cutting template to view the editing interface, the design 2 main view is the entry interface of the workin"&amp;"g surface realistic data entry, and the design 3 main view is the work surface real data effect display interface. The user can operate according to the interface prompts. ; 7. Other descriptions: This display screen panel is applied to computers, laptops"&amp;", tablets, mobile phones, smart watches, smart bracelets, fitness monitor, headset headset Top box, projector, game console or navigator, vehicle. ; 1. The name of the product design product: The planning template of the display screen panel sets the grap"&amp;"hic user interface. ; 2. Design products for designing products: used for running program, information display, human -computer interaction. ; 3. Design points for designing products in this exterior: lies in the interface content of the graphic user inte"&amp;"rface in the screen. ; 4. The picture or photo that can most indicate the point of design: Design 1 main view. ; 5. Specifying design 1 is the basic design. ; 6. Graphic user interface use: This graphic user interface is used to plan template settings. Th"&amp;"e design 1 main view is the cutting template to view the editing interface, the design 2 main view is the entry interface of the working surface realistic data entry, and the design 3 main view is the work surface real data effect display interface. The u"&amp;"ser can operate according to the interface prompts. ; 7. Other descriptions: This display screen panel is applied to computers, laptops, tablets, mobile phones, smart watches, smart bracelets, fitness monitor, headset headset Top box, projector, game cons"&amp;"ole or navigator, vehicle.")</f>
        <v>1. The name of the product of the design of the product: The planning template of the display screen panel sets the graphic user interface.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 6. Graphic user interface use: This graphic user interface is used to plan template settings. The design 1 main view is the cutting template to view the editing interface, the design 2 main view is the entry interface of the working surface realistic data entry, and the design 3 main view is the work surface real data effect display interface. The user can operate according to the interface prompts. ; 7. Other descriptions: This display screen panel is applied to computers, laptops, tablets, mobile phones, smart watches, smart bracelets, fitness monitor, headset headset Top box, projector, game console or navigator, vehicle. ; 1. The name of the product design product: The planning template of the display screen panel sets the graphic user interface.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 6. Graphic user interface use: This graphic user interface is used to plan template settings. The design 1 main view is the cutting template to view the editing interface, the design 2 main view is the entry interface of the working surface realistic data entry, and the design 3 main view is the work surface real data effect display interface. The user can operate according to the interface prompts. ; 7. Other descriptions: This display screen panel is applied to computers, laptops, tablets, mobile phones, smart watches, smart bracelets, fitness monitor, headset headset Top box, projector, game console or navigator, vehicle.</v>
      </c>
      <c r="D230" s="6" t="s">
        <v>685</v>
      </c>
      <c r="E230" s="4" t="str">
        <f ca="1">IFERROR(__xludf.DUMMYFUNCTION("GOOGLETRANSLATE(D230,""auto"",""en"")"),"Planning template for display screen panel setting graphic user interface")</f>
        <v>Planning template for display screen panel setting graphic user interface</v>
      </c>
    </row>
    <row r="231" spans="1:5" ht="15" x14ac:dyDescent="0.25">
      <c r="A231" s="5" t="s">
        <v>686</v>
      </c>
      <c r="B231" s="6" t="s">
        <v>687</v>
      </c>
      <c r="C231" s="3" t="str">
        <f ca="1">IFERROR(__xludf.DUMMYFUNCTION("GOOGLETRANSLATE(B231,""auto"",""en"")"),"1. Design product name: Scholar monitoring and control graphical user interface of the display screen panel. ; 2. Design products for designing products: used for running program, information display, human -computer interaction. ; 3. Design of the design"&amp;" of the product in this exterior: lies in the graphic user interface in the screen. ; 4. The picture or photo that can most indicate the point of design: Design 1 main view. ; 5. Specifying design 1 is the basic design. 6. The purpose of the graphical use"&amp;"r interface: The design point of this graphic user interface lies in the monitoring and control of the bracket. Design 1 main view is the interface of the real -time state of remote monitoring brackets and the real -time movement of the control bracket. T"&amp;"he design 2 main view is the interface of the real -time motion status of all brackets in remote monitoring. In the state of the state, the main view of the design 4 is the interface of the real -time pressure state of all brackets in remote monitoring. T"&amp;"he user can perform related operations according to the interface prompt. 7. Other descriptions: This display screen panel is used in network controllers, computers, laptops, tablets, mobile phones, smart watches, smart bracelets, fitness monitor, wearing"&amp;" headphones, personal digital assistants (PDA), PDA, PDA), PDA, PDA, PDA), PDA, PDA, PDA, PDA, Smart speakers, television, set -top boxes, projectors, game consoles or navigators, vehicles. ; 1. The name of the product design product: The support and cont"&amp;"rol graphical user interface of the display screen panel. ; 2. Design products for designing products: used for running program, information display, human -computer interaction. ; 3. Design of the design of the product in this exterior: lies in the graph"&amp;"ic user interface in the screen. ; 4. The picture or photo that can most indicate the point of design: Design 1 main view. ; 5. Specifying design 1 is the basic design. 6. The purpose of the graphical user interface: The design point of this graphic user "&amp;"interface lies in the monitoring and control of the bracket. Design 1 main view is the interface of the real -time state of remote monitoring brackets and the real -time movement of the control bracket. The design 2 main view is the interface of the real "&amp;"-time motion status of all brackets in remote monitoring. In the state of the state, the main view of the design 4 is the interface of the real -time pressure state of all brackets in remote monitoring. The user can perform related operations according to"&amp;" the interface prompt. 7. Other descriptions: This display screen panel is used in network controllers, computers, laptops, tablets, mobile phones, smart watches, smart bracelets, fitness monitor, wearing headphones, personal digital assistants (PDA), PDA"&amp;", PDA), PDA, PDA, PDA), PDA, PDA, PDA, PDA, Smart speakers, television, set -top boxes, projectors, game consoles or navigators, vehicles.")</f>
        <v>1. Design product name: Scholar monitoring and control graphical user interface of the display screen panel. ; 2. Design products for designing products: used for running program, information display, human -computer interaction. ; 3. Design of the design of the product in this exterior: lies in the graphic user interface in the screen. ; 4. The picture or photo that can most indicate the point of design: Design 1 main view. ; 5. Specifying design 1 is the basic design. 6. The purpose of the graphical user interface: The design point of this graphic user interface lies in the monitoring and control of the bracket. Design 1 main view is the interface of the real -time state of remote monitoring brackets and the real -time movement of the control bracket. The design 2 main view is the interface of the real -time motion status of all brackets in remote monitoring. In the state of the state, the main view of the design 4 is the interface of the real -time pressure state of all brackets in remote monitoring. The user can perform related operations according to the interface prompt. 7. Other descriptions: This display screen panel is used in network controllers, computers, laptops, tablets, mobile phones, smart watches, smart bracelets, fitness monitor, wearing headphones, personal digital assistants (PDA), PDA, PDA), PDA, PDA, PDA), PDA, PDA, PDA, PDA, Smart speakers, television, set -top boxes, projectors, game consoles or navigators, vehicles. ; 1. The name of the product design product: The support and control graphical user interface of the display screen panel. ; 2. Design products for designing products: used for running program, information display, human -computer interaction. ; 3. Design of the design of the product in this exterior: lies in the graphic user interface in the screen. ; 4. The picture or photo that can most indicate the point of design: Design 1 main view. ; 5. Specifying design 1 is the basic design. 6. The purpose of the graphical user interface: The design point of this graphic user interface lies in the monitoring and control of the bracket. Design 1 main view is the interface of the real -time state of remote monitoring brackets and the real -time movement of the control bracket. The design 2 main view is the interface of the real -time motion status of all brackets in remote monitoring. In the state of the state, the main view of the design 4 is the interface of the real -time pressure state of all brackets in remote monitoring. The user can perform related operations according to the interface prompt. 7. Other descriptions: This display screen panel is used in network controllers, computers, laptops, tablets, mobile phones, smart watches, smart bracelets, fitness monitor, wearing headphones, personal digital assistants (PDA), PDA, PDA), PDA, PDA, PDA), PDA, PDA, PDA, PDA, Smart speakers, television, set -top boxes, projectors, game consoles or navigators, vehicles.</v>
      </c>
      <c r="D231" s="6" t="s">
        <v>688</v>
      </c>
      <c r="E231" s="4" t="str">
        <f ca="1">IFERROR(__xludf.DUMMYFUNCTION("GOOGLETRANSLATE(D231,""auto"",""en"")"),"Scholar monitoring and control graphical user interface of display screen panel")</f>
        <v>Scholar monitoring and control graphical user interface of display screen panel</v>
      </c>
    </row>
    <row r="232" spans="1:5" ht="15" x14ac:dyDescent="0.25">
      <c r="A232" s="5" t="s">
        <v>689</v>
      </c>
      <c r="B232" s="6" t="s">
        <v>690</v>
      </c>
      <c r="C232" s="3" t="str">
        <f ca="1">IFERROR(__xludf.DUMMYFUNCTION("GOOGLETRANSLATE(B232,""auto"",""en"")"),"1. The name of the product of the design of the product: Remote control graphical user interface of the working surface of the display screen panel. 2. Design products in appearance: used for running procedures, information display, and human -computer in"&amp;"teraction. 3. Design of design products in this appearance: lies in the graphic user interface in the screen. 4. Pictures or photos that can most indicate design points: main view. 5. The purpose of the graphical user interface: The main view is the inter"&amp;"face of the start and stop of the remote control working surface equipment. The user can perform related operations according to the interface prompt. 6. Other instructions: This display screen panel is applied to network controller, computer, laptop, tab"&amp;"let computer, mobile phone, smart watch, smart bracelet, fitness monitor, headset headset, personal digital assistant (PDA), intelligent smart Speakers, television, set -top boxes, projectors, game consoles or navigators, vehicles.")</f>
        <v>1. The name of the product of the design of the product: Remote control graphical user interface of the working surface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main view is the interface of the start and stop of the remote control working surface equipment. The user can perform related operations according to the interface prompt. 6. Other instructions: This display screen panel is applied to network controller, computer, laptop, tablet computer, mobile phone, smart watch, smart bracelet, fitness monitor, headset headset, personal digital assistant (PDA), intelligent smart Speakers, television, set -top boxes, projectors, game consoles or navigators, vehicles.</v>
      </c>
      <c r="D232" s="6" t="s">
        <v>691</v>
      </c>
      <c r="E232" s="4" t="str">
        <f ca="1">IFERROR(__xludf.DUMMYFUNCTION("GOOGLETRANSLATE(D232,""auto"",""en"")"),"Remote control graphical user interface of display screen panels")</f>
        <v>Remote control graphical user interface of display screen panels</v>
      </c>
    </row>
    <row r="233" spans="1:5" ht="15" x14ac:dyDescent="0.25">
      <c r="A233" s="5" t="s">
        <v>692</v>
      </c>
      <c r="B233" s="6" t="s">
        <v>693</v>
      </c>
      <c r="C233" s="3" t="str">
        <f ca="1">IFERROR(__xludf.DUMMYFUNCTION("GOOGLETRANSLATE(B233,""auto"",""en"")"),"The present invention involves a self -service hairdresser with unmanned duty function. The self -service hairdresser of the present invention has a credit card or mobile payment function, and has a hair dryer and ironing device. Cargo pavilion unit; prov"&amp;"ide a shooting unit of user images obtained through the user's face; equipped with artificial intelligence algorithm, to understand the user's face shape, hair length, and current hairstyle, identify the user image provided by the shooting unit, control t"&amp;"he overall self -service machine unit of the self -service machine unit. Operation and recommend hairstyle to users. And the control unit recommends hairstyle to users.")</f>
        <v>The present invention involves a self -service hairdresser with unmanned duty function. The self -service hairdresser of the present invention has a credit card or mobile payment function, and has a hair dryer and ironing device. Cargo pavilion unit; provide a shooting unit of user images obtained through the user's face; equipped with artificial intelligence algorithm, to understand the user's face shape, hair length, and current hairstyle, identify the user image provided by the shooting unit, control the overall self -service machine unit of the self -service machine unit. Operation and recommend hairstyle to users. And the control unit recommends hairstyle to users.</v>
      </c>
      <c r="D233" s="6" t="s">
        <v>694</v>
      </c>
      <c r="E233" s="4" t="str">
        <f ca="1">IFERROR(__xludf.DUMMYFUNCTION("GOOGLETRANSLATE(D233,""auto"",""en"")"),"Welfare hairdressers with unmanned service kiosk function")</f>
        <v>Welfare hairdressers with unmanned service kiosk function</v>
      </c>
    </row>
    <row r="234" spans="1:5" ht="15" x14ac:dyDescent="0.25">
      <c r="A234" s="5" t="s">
        <v>695</v>
      </c>
      <c r="B234" s="6" t="s">
        <v>696</v>
      </c>
      <c r="C234" s="3" t="str">
        <f ca="1">IFERROR(__xludf.DUMMYFUNCTION("GOOGLETRANSLATE(B234,""auto"",""en"")"),"The present invention involves the field of intelligent terminal technology, especially a motion auxiliary guidance method, system and computer terminal, including the following steps: input motion guidance information and obtain the current user's motion"&amp;" image information; judge the sports image information and input motion of the motion and input motion Whether the guidance information is the same exercise, if so, enter the next step, if otherwise report an error reminder; use a machine learning algorit"&amp;"hm to identify and train the sports image information to obtain the human sports model; compare the human sports model and standard action library, and compare and judge. And when the difference is generated, the correction prompt information is displayed"&amp;". The present invention can determine whether the exercise method is correct according to the movement of the athletes, no coach guidance, and reduced the cost of staff and movement. Correct, improving the efficiency of exercise, and guiding the correct w"&amp;"ay to make a correct way.")</f>
        <v>The present invention involves the field of intelligent terminal technology, especially a motion auxiliary guidance method, system and computer terminal, including the following steps: input motion guidance information and obtain the current user's motion image information; judge the sports image information and input motion of the motion and input motion Whether the guidance information is the same exercise, if so, enter the next step, if otherwise report an error reminder; use a machine learning algorithm to identify and train the sports image information to obtain the human sports model; compare the human sports model and standard action library, and compare and judge. And when the difference is generated, the correction prompt information is displayed. The present invention can determine whether the exercise method is correct according to the movement of the athletes, no coach guidance, and reduced the cost of staff and movement. Correct, improving the efficiency of exercise, and guiding the correct way to make a correct way.</v>
      </c>
      <c r="D234" s="6" t="s">
        <v>697</v>
      </c>
      <c r="E234" s="4" t="str">
        <f ca="1">IFERROR(__xludf.DUMMYFUNCTION("GOOGLETRANSLATE(D234,""auto"",""en"")"),"A motion auxiliary guidance method, system and computer terminal")</f>
        <v>A motion auxiliary guidance method, system and computer terminal</v>
      </c>
    </row>
    <row r="235" spans="1:5" ht="15" x14ac:dyDescent="0.25">
      <c r="A235" s="5" t="s">
        <v>698</v>
      </c>
      <c r="B235" s="6" t="s">
        <v>699</v>
      </c>
      <c r="C235" s="3" t="str">
        <f ca="1">IFERROR(__xludf.DUMMYFUNCTION("GOOGLETRANSLATE(B235,""auto"",""en"")"),"This utility model is a video/score one -click switching circuit, which belongs to the field of switching circuit technology, including switching circuits and selection circuits. The input of the switching circuit is a physical switch KEY1. The output ter"&amp;"minal of the end -connected switch circuit, the output terminal of the isolation module connect to the input terminal of the selection circuit. The selection module includes the INPUT1 port and the INPUT2 port, the INPUT1 port and the INPUT2 port. Essence"&amp;" Select the two -way signal source outside the circuit, which are the source of the game video and the score information signal source. The operator can control the physical switch Key1 through the physical switch. After the physical switch is pressed, th"&amp;"e switching instruction will be issued. The form is passed to the selected circuit, so that the selection of the circuit can select the information entered by the INPUT1 interface or input2 interface according to the command of the physical switch to the "&amp;"command.")</f>
        <v>This utility model is a video/score one -click switching circuit, which belongs to the field of switching circuit technology, including switching circuits and selection circuits. The input of the switching circuit is a physical switch KEY1. The output terminal of the end -connected switch circuit, the output terminal of the isolation module connect to the input terminal of the selection circuit. The selection module includes the INPUT1 port and the INPUT2 port, the INPUT1 port and the INPUT2 port. Essence Select the two -way signal source outside the circuit, which are the source of the game video and the score information signal source. The operator can control the physical switch Key1 through the physical switch. After the physical switch is pressed, the switching instruction will be issued. The form is passed to the selected circuit, so that the selection of the circuit can select the information entered by the INPUT1 interface or input2 interface according to the command of the physical switch to the command.</v>
      </c>
      <c r="D235" s="6" t="s">
        <v>700</v>
      </c>
      <c r="E235" s="4" t="str">
        <f ca="1">IFERROR(__xludf.DUMMYFUNCTION("GOOGLETRANSLATE(D235,""auto"",""en"")"),"A video/score one -click switching circuit")</f>
        <v>A video/score one -click switching circuit</v>
      </c>
    </row>
    <row r="236" spans="1:5" ht="15" x14ac:dyDescent="0.25">
      <c r="A236" s="5" t="s">
        <v>701</v>
      </c>
      <c r="B236" s="6" t="s">
        <v>702</v>
      </c>
      <c r="C236" s="3" t="str">
        <f ca="1">IFERROR(__xludf.DUMMYFUNCTION("GOOGLETRANSLATE(B236,""auto"",""en"")"),"1. Design product name: Graphic user interface for sports data monitoring of display screen panels. 2. The purpose of designing products in this exterior: This design product is used for display interface. The display screen panel is used for mobile phone"&amp;"s, tablets, laptops, desktop computers, smart watches, smart bracelets, smart cameras, fitness monitors. 3. Design of the design of the product in this exterior: lies in the content of the graphic user interface in the screen. 4. Pictures or photos that c"&amp;"an most indicate design points: main view. 5. There is no design point, omittime, left view, left view, right view, push -view, viewing view. 6. The purpose of graphical user interface: used to record graphic user interfaces that monitor user -related spo"&amp;"rts data, auxiliary training, and create a training plan. 7. Human -computer interaction method of graphical user interface: The main view is the homepage of the product; slide the main view screen upward to display the rest of the interface content, to g"&amp;"et the interface change state diagram 1; The card on the homepage is edited, and the main visual map becomes the interface changes. The state of the state 2 is status 2; click on the top A card of the top of the main screen to get the interface change sta"&amp;"te Figure 3; click ""exercise time"" and ""step number"" in the interface change status. Get the interface change status diagram 4‑ Interface change state Figure 5; click the main view ""Plan this week"" to get the interface change state figure 6; click t"&amp;"he interface change state in the upper right corner of the ""..."", get the interface change state figure 7 ; Click on the interface change state Figure 6 ""Add"" below to get the interface change status Figure 8; click the card area where the main view "&amp;"""this week"" is located to get the interface changes. Get the interface change state Figure 10; click the interface change status. Figure 10 ""month"" ""year"", which can get the interface change state. 11‑ Interface changes. 12; click the interface chan"&amp;"ges. Get the interface change state Figure 13; click the card area where the main view ""real -time physical strength"" is located to get the interface change state Figure 14; click the interface changes status Figure 14 to pull the arrow in the upper rig"&amp;"ht corner of the interface to get the interface changes. ""30 days"", get the interface change state Figure 16; click the card area where the main view ""running ability"" is located to get the interface change state Figure 17; slide up the interface chan"&amp;"ges in the state. Figure 18; click the ""running ability"" of the interface change status Figure 17 to get the interface change status figure 19; click the ""basic indicator"" of the interface change status Figure 17 to get the interface change state Figu"&amp;"re 20; click the interface change state Figure 20 ""lactic acid valve valve valve valve valve valve valve valve valve valve valve valve valve valve valve valve valve valve valve valve valve valve valve valve valve The ""heart rate of lactic acid valve"" c"&amp;"an be obtained by the interface changes respectively. 21‑ The interface changes status Figure 22; the ""ability analysis"" of the interface changes. Lactic acid valve capacity """" anaerioxide endurance ""and"" anaerobic ability "", obtaining interface ch"&amp;"ange state Figure 24‑ Interface changes status Figure 26; click interface change state"" edit ""to get interface changes 27; click interface change state 27 27 The area where the ""10km"" is located, the interface change state Figure 28 can be modified by"&amp;" the project; click the card area where the main view ""heart rate"" is located to get the interface change state Figure 29; click the interface changes status Figure 29 The upper right arrow in the upper corner of the interface 29 to get the drop -down a"&amp;"rrow in the upper corner of the upper corner of the interface to get the drop -down arrow to get to get it Interface changes status Figure 30; click the interface changes. Figure 30 ""Week"", ""Moon"", ""Moon"", and can get the interface change state. Fig"&amp;"ure 31‑ Interface changes. Change status Figure 34; click the interface changes status Figure 34 The upper right corner of the interface to get the interface change state Figure 35; click the interface changes status figure 35 ""week"", ""month"" and ""ye"&amp;"ar"", which can be obtained from the interface change status. Status Figure 38; click the card area where the main view ""HRV"" is located to get the interface change state Figure 39; click the interface change status Figure 39 The upper right arrow in th"&amp;"e upper right corner of the interface to get the interface change status Figure 40; click the interface change status Figure 40 ""7 days"" ""7 days"" ""30 days"" and ""year"" can get interface changes respectively. Figure 41‑ Interface change status Figur"&amp;"e 43; click the card area where the main view ""body management"" is located to obtain the interface change state Figure 44; Weight """" Get the interface change state Figure 45.")</f>
        <v>1. Design product name: Graphic user interface for sports data monitoring of display screen panels. 2. The purpose of designing products in this exterior: This design product is used for display interface. The display screen panel is used for mobile phones, tablets, laptops, desktop computers, smart watches, smart bracelets, smart cameras, fitness monitors. 3. Design of the design of the product in this exterior: lies in the content of the graphic user interface in the screen. 4. Pictures or photos that can most indicate design points: main view. 5. There is no design point, omittime, left view, left view, right view, push -view, viewing view. 6. The purpose of graphical user interface: used to record graphic user interfaces that monitor user -related sports data, auxiliary training, and create a training plan. 7. Human -computer interaction method of graphical user interface: The main view is the homepage of the product; slide the main view screen upward to display the rest of the interface content, to get the interface change state diagram 1; The card on the homepage is edited, and the main visual map becomes the interface changes. The state of the state 2 is status 2; click on the top A card of the top of the main screen to get the interface change state Figure 3; click "exercise time" and "step number" in the interface change status. Get the interface change status diagram 4‑ Interface change state Figure 5; click the main view "Plan this week" to get the interface change state figure 6; click the interface change state in the upper right corner of the "...", get the interface change state figure 7 ; Click on the interface change state Figure 6 "Add" below to get the interface change status Figure 8; click the card area where the main view "this week" is located to get the interface changes. Get the interface change state Figure 10; click the interface change status. Figure 10 "month" "year", which can get the interface change state. 11‑ Interface changes. 12; click the interface changes. Get the interface change state Figure 13; click the card area where the main view "real -time physical strength" is located to get the interface change state Figure 14; click the interface changes status Figure 14 to pull the arrow in the upper right corner of the interface to get the interface changes. "30 days", get the interface change state Figure 16; click the card area where the main view "running ability" is located to get the interface change state Figure 17; slide up the interface changes in the state. Figure 18; click the "running ability" of the interface change status Figure 17 to get the interface change status figure 19; click the "basic indicator" of the interface change status Figure 17 to get the interface change state Figure 20; click the interface change state Figure 20 "lactic acid valve valve valve valve valve valve valve valve valve valve valve valve valve valve valve valve valve valve valve valve valve valve valve valve valve The "heart rate of lactic acid valve" can be obtained by the interface changes respectively. 21‑ The interface changes status Figure 22; the "ability analysis" of the interface changes. Lactic acid valve capacity "" anaerioxide endurance "and" anaerobic ability ", obtaining interface change state Figure 24‑ Interface changes status Figure 26; click interface change state" edit "to get interface changes 27; click interface change state 27 27 The area where the "10km" is located, the interface change state Figure 28 can be modified by the project; click the card area where the main view "heart rate" is located to get the interface change state Figure 29; click the interface changes status Figure 29 The upper right arrow in the upper corner of the interface 29 to get the drop -down arrow in the upper corner of the upper corner of the interface to get the drop -down arrow to get to get it Interface changes status Figure 30; click the interface changes. Figure 30 "Week", "Moon", "Moon", and can get the interface change state. Figure 31‑ Interface changes. Change status Figure 34; click the interface changes status Figure 34 The upper right corner of the interface to get the interface change state Figure 35; click the interface changes status figure 35 "week", "month" and "year", which can be obtained from the interface change status. Status Figure 38; click the card area where the main view "HRV" is located to get the interface change state Figure 39; click the interface change status Figure 39 The upper right arrow in the upper right corner of the interface to get the interface change status Figure 40; click the interface change status Figure 40 "7 days" "7 days" "30 days" and "year" can get interface changes respectively. Figure 41‑ Interface change status Figure 43; click the card area where the main view "body management" is located to obtain the interface change state Figure 44; Weight "" Get the interface change state Figure 45.</v>
      </c>
      <c r="D236" s="6" t="s">
        <v>703</v>
      </c>
      <c r="E236" s="4" t="str">
        <f ca="1">IFERROR(__xludf.DUMMYFUNCTION("GOOGLETRANSLATE(D236,""auto"",""en"")"),"Graphical user interface of sports data monitoring of display screen panels")</f>
        <v>Graphical user interface of sports data monitoring of display screen panels</v>
      </c>
    </row>
    <row r="237" spans="1:5" ht="15" x14ac:dyDescent="0.25">
      <c r="A237" s="5" t="s">
        <v>704</v>
      </c>
      <c r="B237" s="6" t="s">
        <v>705</v>
      </c>
      <c r="C237" s="3" t="str">
        <f ca="1">IFERROR(__xludf.DUMMYFUNCTION("GOOGLETRANSLATE(B237,""auto"",""en"")"),"The present invention disclosed a smart badminton based on the Internet of Things technology, including cork installation seats, which runs a protective shell throughout the installation of the cork installation seat. The bottom of the bottom is installed"&amp;" with a shell. The interior of the installation shell is set with small batteries. There is a substrate on the bottom wall of the protective shell. The top of the substrate has an IoT chip. chip. The present invention can obtain the current badminton's po"&amp;"sture and acceleration of the badminton gymnomment chip when the badminton chip is placed in the badminton chip, the Internet of Things chip and small battery. Analyze and calculate the efforts of hitting the ball, settlement point and other data, which c"&amp;"an be used for professional badminton training to make the badminton more intelligent and provide convenience for badminton training.")</f>
        <v>The present invention disclosed a smart badminton based on the Internet of Things technology, including cork installation seats, which runs a protective shell throughout the installation of the cork installation seat. The bottom of the bottom is installed with a shell. The interior of the installation shell is set with small batteries. There is a substrate on the bottom wall of the protective shell. The top of the substrate has an IoT chip. chip. The present invention can obtain the current badminton's posture and acceleration of the badminton gymnomment chip when the badminton chip is placed in the badminton chip, the Internet of Things chip and small battery. Analyze and calculate the efforts of hitting the ball, settlement point and other data, which can be used for professional badminton training to make the badminton more intelligent and provide convenience for badminton training.</v>
      </c>
      <c r="D237" s="6" t="s">
        <v>706</v>
      </c>
      <c r="E237" s="4" t="str">
        <f ca="1">IFERROR(__xludf.DUMMYFUNCTION("GOOGLETRANSLATE(D237,""auto"",""en"")"),"A smart badminton and how to use it based on IoT technology")</f>
        <v>A smart badminton and how to use it based on IoT technology</v>
      </c>
    </row>
    <row r="238" spans="1:5" ht="15" x14ac:dyDescent="0.25">
      <c r="A238" s="5" t="s">
        <v>707</v>
      </c>
      <c r="B238" s="6" t="s">
        <v>708</v>
      </c>
      <c r="C238" s="3" t="str">
        <f ca="1">IFERROR(__xludf.DUMMYFUNCTION("GOOGLETRANSLATE(B238,""auto"",""en"")"),"This publicly provides a method, device, equipment, and storage medium for the competition screen, which involves the field of artificial intelligence technology, which involves deep learning and computer vision technology. This method includes: in respon"&amp;"se to determining that the user switches the live video to the background and obtains the live video in real time; use the screen recognition model to identify the live video in the live video to determine whether the live broadcast screen is the game scr"&amp;"een; , Generate and display the pop -up window to remind users to continue watching live video. The recognition method of the competition screens provided in this public realizes whether the live broadcast screen is a real -time detection and judgment of "&amp;"the game screen, so that users can timely remind users to continue watching the game live broadcast after the game recovery.")</f>
        <v>This publicly provides a method, device, equipment, and storage medium for the competition screen, which involves the field of artificial intelligence technology, which involves deep learning and computer vision technology. This method includes: in response to determining that the user switches the live video to the background and obtains the live video in real time; use the screen recognition model to identify the live video in the live video to determine whether the live broadcast screen is the game screen; , Generate and display the pop -up window to remind users to continue watching live video. The recognition method of the competition screens provided in this public realizes whether the live broadcast screen is a real -time detection and judgment of the game screen, so that users can timely remind users to continue watching the game live broadcast after the game recovery.</v>
      </c>
      <c r="D238" s="6" t="s">
        <v>709</v>
      </c>
      <c r="E238" s="4" t="str">
        <f ca="1">IFERROR(__xludf.DUMMYFUNCTION("GOOGLETRANSLATE(D238,""auto"",""en"")"),"Recognition methods, devices, equipment and storage media of the competition screen")</f>
        <v>Recognition methods, devices, equipment and storage media of the competition screen</v>
      </c>
    </row>
    <row r="239" spans="1:5" ht="15" x14ac:dyDescent="0.25">
      <c r="A239" s="5" t="s">
        <v>710</v>
      </c>
      <c r="B239" s="6" t="s">
        <v>711</v>
      </c>
      <c r="C239" s="3" t="str">
        <f ca="1">IFERROR(__xludf.DUMMYFUNCTION("GOOGLETRANSLATE(B239,""auto"",""en"")"),"This application disclosed a smart visual sports evaluation system and method. In this system, the video collection device is collected by the video collection device set by each sports area set in the playground; Use its corresponding AI algorithm model "&amp;"to analyze the sports video data obtained by the motion area to obtain the results of the exercise analysis; display it at each terminal based on the results obtained; generate a student physical health report based on the results of the exercise analysis"&amp;". This application can achieve sports scientific training, personalized teaching, and large -scale testing through the IoT camera and artificial intelligence sports visual algorithm.")</f>
        <v>This application disclosed a smart visual sports evaluation system and method. In this system, the video collection device is collected by the video collection device set by each sports area set in the playground; Use its corresponding AI algorithm model to analyze the sports video data obtained by the motion area to obtain the results of the exercise analysis; display it at each terminal based on the results obtained; generate a student physical health report based on the results of the exercise analysis. This application can achieve sports scientific training, personalized teaching, and large -scale testing through the IoT camera and artificial intelligence sports visual algorithm.</v>
      </c>
      <c r="D239" s="6" t="s">
        <v>712</v>
      </c>
      <c r="E239" s="4" t="str">
        <f ca="1">IFERROR(__xludf.DUMMYFUNCTION("GOOGLETRANSLATE(D239,""auto"",""en"")"),"A intelligent visual sports evaluation system and method")</f>
        <v>A intelligent visual sports evaluation system and method</v>
      </c>
    </row>
    <row r="240" spans="1:5" ht="15" x14ac:dyDescent="0.25">
      <c r="A240" s="5" t="s">
        <v>713</v>
      </c>
      <c r="B240" s="6" t="s">
        <v>714</v>
      </c>
      <c r="C240" s="3" t="str">
        <f ca="1">IFERROR(__xludf.DUMMYFUNCTION("GOOGLETRANSLATE(B240,""auto"",""en"")"),"The present invention involves a backye high -technology optimization method and system based on genetic algorithms. This method includes: from the running phase, the jump stage, and the three stages of the closet stage to analyze it to build the characte"&amp;"ristic indicators of the back -to -high jump; the use of the elevated characteristic indicators of the back -to -back jump of the back, the goal of maximizing the final jump score. Build a back -to -high -level high -tech action optimization model; based "&amp;"on the construction of the construction back -high -jump high -tech action optimization model, use genetic algorithms to obtain optimal solutions, obtain the optimal technical combination of high jumps and the optimal jumping results that can be achieved."&amp;" The present invention can achieve back -to -high technical characteristics extraction, high -tech movement modeling and optimal technical portfolio solution based on high jump training and competition data, and provide useful reference for scientifically"&amp;" improved athletes' high jump results.")</f>
        <v>The present invention involves a backye high -technology optimization method and system based on genetic algorithms. This method includes: from the running phase, the jump stage, and the three stages of the closet stage to analyze it to build the characteristic indicators of the back -to -high jump; the use of the elevated characteristic indicators of the back -to -back jump of the back, the goal of maximizing the final jump score. Build a back -to -high -level high -tech action optimization model; based on the construction of the construction back -high -jump high -tech action optimization model, use genetic algorithms to obtain optimal solutions, obtain the optimal technical combination of high jumps and the optimal jumping results that can be achieved. The present invention can achieve back -to -high technical characteristics extraction, high -tech movement modeling and optimal technical portfolio solution based on high jump training and competition data, and provide useful reference for scientifically improved athletes' high jump results.</v>
      </c>
      <c r="D240" s="6" t="s">
        <v>715</v>
      </c>
      <c r="E240" s="4" t="str">
        <f ca="1">IFERROR(__xludf.DUMMYFUNCTION("GOOGLETRANSLATE(D240,""auto"",""en"")"),"A method and system of back -to -high jumping technical optimization method and system based on genetic algorithms")</f>
        <v>A method and system of back -to -high jumping technical optimization method and system based on genetic algorithms</v>
      </c>
    </row>
    <row r="241" spans="1:5" ht="15" x14ac:dyDescent="0.25">
      <c r="A241" s="5" t="s">
        <v>716</v>
      </c>
      <c r="B241" s="6" t="s">
        <v>717</v>
      </c>
      <c r="C241" s="3" t="str">
        <f ca="1">IFERROR(__xludf.DUMMYFUNCTION("GOOGLETRANSLATE(B241,""auto"",""en"")"),"The present invention involves a cricket bowling training device, including a retractable U -shaped framework 1, which is developed for the establishment of the frame 1 on the board and attached multiple suction cups. Installation based on artificial inte"&amp;"lligence imaging is used to capture and detect the height of the user's height when conducting the bull -age ball training, and the touch interactive display panel 4 installed on the frame 1 is used to receive the user's input of the type and pitch type o"&amp;"f the user. The holographic projection unit installed on the frame 6 Figure 1 is a series of holographic light used to draw the correct bumper trajectory based on the specified bowling of the user, and the speed sensor installed on the frame 1 to detect t"&amp;"he speed of the user throwing the ball.")</f>
        <v>The present invention involves a cricket bowling training device, including a retractable U -shaped framework 1, which is developed for the establishment of the frame 1 on the board and attached multiple suction cups. Installation based on artificial intelligence imaging is used to capture and detect the height of the user's height when conducting the bull -age ball training, and the touch interactive display panel 4 installed on the frame 1 is used to receive the user's input of the type and pitch type of the user. The holographic projection unit installed on the frame 6 Figure 1 is a series of holographic light used to draw the correct bumper trajectory based on the specified bowling of the user, and the speed sensor installed on the frame 1 to detect the speed of the user throwing the ball.</v>
      </c>
      <c r="D241" s="6" t="s">
        <v>718</v>
      </c>
      <c r="E241" s="4" t="str">
        <f ca="1">IFERROR(__xludf.DUMMYFUNCTION("GOOGLETRANSLATE(D241,""auto"",""en"")"),"Cricket bowling training device")</f>
        <v>Cricket bowling training device</v>
      </c>
    </row>
    <row r="242" spans="1:5" ht="15" x14ac:dyDescent="0.25">
      <c r="A242" s="5" t="s">
        <v>719</v>
      </c>
      <c r="B242" s="6" t="s">
        <v>720</v>
      </c>
      <c r="C242" s="3" t="str">
        <f ca="1">IFERROR(__xludf.DUMMYFUNCTION("GOOGLETRANSLATE(B242,""auto"",""en"")"),"Abstract uses the drone to automatically use the drone to use drones to make the work automation of lifeguards have many advantages. For example, it can more effectively cover more areas and respond quickly to emergency situations. When the IoT control un"&amp;"it gives an estimated position, it can quickly reach the position, and because the drone is equipped with sensors and cameras to detect and monitor swimmers, they can put down personal floating equipment (PFD) to save people until until they can save peop"&amp;"le until until they can save people until they can save people until they can save people until they can save people until they can save people until they can save people until they can save people until they can save people. Help arrive. By using the wir"&amp;"eless charging system in a semi -activity state, drones can be ready to run at any time. picture. 1.")</f>
        <v>Abstract uses the drone to automatically use the drone to use drones to make the work automation of lifeguards have many advantages. For example, it can more effectively cover more areas and respond quickly to emergency situations. When the IoT control unit gives an estimated position, it can quickly reach the position, and because the drone is equipped with sensors and cameras to detect and monitor swimmers, they can put down personal floating equipment (PFD) to save people until until they can save people until until they can save people until they can save people until they can save people until they can save people until they can save people until they can save people until they can save people until they can save people. Help arrive. By using the wireless charging system in a semi -activity state, drones can be ready to run at any time. picture. 1.</v>
      </c>
      <c r="D242" s="6" t="s">
        <v>721</v>
      </c>
      <c r="E242" s="4" t="str">
        <f ca="1">IFERROR(__xludf.DUMMYFUNCTION("GOOGLETRANSLATE(D242,""auto"",""en"")"),"Use drones to automate the work of a lifeguard")</f>
        <v>Use drones to automate the work of a lifeguard</v>
      </c>
    </row>
    <row r="243" spans="1:5" ht="15" x14ac:dyDescent="0.25">
      <c r="A243" s="5" t="s">
        <v>722</v>
      </c>
      <c r="B243" s="6" t="s">
        <v>723</v>
      </c>
      <c r="C243" s="3" t="str">
        <f ca="1">IFERROR(__xludf.DUMMYFUNCTION("GOOGLETRANSLATE(B243,""auto"",""en"")"),"The present invention disclosed a method of detection and guidance in intelligent fitness action, including the following steps: receiving personal related information entered by the user and the training video information selected by the user; Data clean"&amp;"ing, data screening and standardized processing to form a pre -processing data set. The data set uses a computer vision -based processing method for three -dimensional reconstruction of user actions to build a three -dimensional space in the user movement"&amp;" area; , Mark the user's movement; select the corresponding preset user action model, compare the user's movement action with the preset user action model, and finally output the judgment results. The present invention also disclosed a smart fitness actio"&amp;"n detection and guidance system. A intelligent fitness action detection and guidance method and system provided by the present invention. There is no need to have no professional coach guidance. The cost is low, which can ensure the standardization and sa"&amp;"fety of users' fitness movements.")</f>
        <v>The present invention disclosed a method of detection and guidance in intelligent fitness action, including the following steps: receiving personal related information entered by the user and the training video information selected by the user; Data cleaning, data screening and standardized processing to form a pre -processing data set. The data set uses a computer vision -based processing method for three -dimensional reconstruction of user actions to build a three -dimensional space in the user movement area; , Mark the user's movement; select the corresponding preset user action model, compare the user's movement action with the preset user action model, and finally output the judgment results. The present invention also disclosed a smart fitness action detection and guidance system. A intelligent fitness action detection and guidance method and system provided by the present invention. There is no need to have no professional coach guidance. The cost is low, which can ensure the standardization and safety of users' fitness movements.</v>
      </c>
      <c r="D243" s="6" t="s">
        <v>724</v>
      </c>
      <c r="E243" s="4" t="str">
        <f ca="1">IFERROR(__xludf.DUMMYFUNCTION("GOOGLETRANSLATE(D243,""auto"",""en"")"),"A intelligent fitness action detection and guidance method and system")</f>
        <v>A intelligent fitness action detection and guidance method and system</v>
      </c>
    </row>
    <row r="244" spans="1:5" ht="15" x14ac:dyDescent="0.25">
      <c r="A244" s="5" t="s">
        <v>725</v>
      </c>
      <c r="B244" s="6" t="s">
        <v>726</v>
      </c>
      <c r="C244" s="3" t="str">
        <f ca="1">IFERROR(__xludf.DUMMYFUNCTION("GOOGLETRANSLATE(B244,""auto"",""en"")"),"The invention includes an emotional cognitive social robot development project, and people can interact with virtual friends/pets as digital assistants at home. The working environment is regarded as an indoor space. In addition, its goal is to develop a "&amp;"quantum cognitive model that enables robots to show their own acts. In the present invention, a computing structure is proposed, which includes an inspirational architecture inspired by the human brain for partial observable domains, including in -depth r"&amp;"einforcement learning based on long -term short -term memory (LTSM). As a novelty of the present invention, this comprehensive computing structure provides motivation by quantum computing operations to prove the superiority of learning speed and robustnes"&amp;"s compared to classic methods. The quantum computing algorithm uses quantum mechanics axioms such as superposition and quantum entanglement, and is realized in a cloud -based environment provided by IBM quantum computer infrastructure. Another main contri"&amp;"bution is that the proposed architecture provides some functions, such as meta -cognition and situation perception. In this way, they will be able to perform the tasks of emotional response (imitation), personality simulation, and content -based logical d"&amp;"ialogue (agenda, art, technology/science, history, sports, humor). In addition, map/navigation, dance/animation, call comments, reminders, alarm settings, currency/public system conversion, calculator, booking, Internet -based information (time/date/navig"&amp;"ation, weather, news, finance)) , Sports, etc.), camera, image/recording, object/face recognition, voice recognition, abnormal detection, video dialogue. In addition, with the help of robots and arms, you can hold/grasp objects, use simple tools, carry/un"&amp;"dertake tasks, and perform basic services (clean (dust removal/vacuum), washing, dishwasher, etc.) at home Closed places may be needed.")</f>
        <v>The invention includes an emotional cognitive social robot development project, and people can interact with virtual friends/pets as digital assistants at home. The working environment is regarded as an indoor space. In addition, its goal is to develop a quantum cognitive model that enables robots to show their own acts. In the present invention, a computing structure is proposed, which includes an inspirational architecture inspired by the human brain for partial observable domains, including in -depth reinforcement learning based on long -term short -term memory (LTSM). As a novelty of the present invention, this comprehensive computing structure provides motivation by quantum computing operations to prove the superiority of learning speed and robustness compared to classic methods. The quantum computing algorithm uses quantum mechanics axioms such as superposition and quantum entanglement, and is realized in a cloud -based environment provided by IBM quantum computer infrastructure. Another main contribution is that the proposed architecture provides some functions, such as meta -cognition and situation perception. In this way, they will be able to perform the tasks of emotional response (imitation), personality simulation, and content -based logical dialogue (agenda, art, technology/science, history, sports, humor). In addition, map/navigation, dance/animation, call comments, reminders, alarm settings, currency/public system conversion, calculator, booking, Internet -based information (time/date/navigation, weather, news, finance)) , Sports, etc.), camera, image/recording, object/face recognition, voice recognition, abnormal detection, video dialogue. In addition, with the help of robots and arms, you can hold/grasp objects, use simple tools, carry/undertake tasks, and perform basic services (clean (dust removal/vacuum), washing, dishwasher, etc.) at home Closed places may be needed.</v>
      </c>
      <c r="D244" s="6" t="s">
        <v>727</v>
      </c>
      <c r="E244" s="4" t="str">
        <f ca="1">IFERROR(__xludf.DUMMYFUNCTION("GOOGLETRANSLATE(D244,""auto"",""en"")"),"Cognitive actions based on quantum computing act as digital home service assistants
  Social robot design")</f>
        <v>Cognitive actions based on quantum computing act as digital home service assistants
  Social robot design</v>
      </c>
    </row>
    <row r="245" spans="1:5" ht="15" x14ac:dyDescent="0.25">
      <c r="A245" s="5" t="s">
        <v>728</v>
      </c>
      <c r="B245" s="6" t="s">
        <v>729</v>
      </c>
      <c r="C245" s="3" t="str">
        <f ca="1">IFERROR(__xludf.DUMMYFUNCTION("GOOGLETRANSLATE(B245,""auto"",""en"")"),"The present invention provides an artificial intelligence -based fitness solution display device and method, considering such problems and adapting to the physical condition and expected exercise of users. This innovation uses AI (artificial intelligence)"&amp;" technology to match movies, and then display movies suitable for users. The body information collection unit collects data such as water, protein, inorganic, body fat, body fat, weight, skeletal muscle, fat, obesity, body fat rate, parts muscle and body "&amp;"fat. Fair and fair spiritual turning point, information about sports history and strength is now entered with the type of movement, and the details of basic diseases and allergic reactions include in the user diagnostic information collection unit. Recent"&amp;"ly, the history and intensity of exercise have been entered. Users enter the detailed information about the main diseases, any allergic reactions that have already occur, and any food they should avoid or not eat.")</f>
        <v>The present invention provides an artificial intelligence -based fitness solution display device and method, considering such problems and adapting to the physical condition and expected exercise of users. This innovation uses AI (artificial intelligence) technology to match movies, and then display movies suitable for users. The body information collection unit collects data such as water, protein, inorganic, body fat, body fat, weight, skeletal muscle, fat, obesity, body fat rate, parts muscle and body fat. Fair and fair spiritual turning point, information about sports history and strength is now entered with the type of movement, and the details of basic diseases and allergic reactions include in the user diagnostic information collection unit. Recently, the history and intensity of exercise have been entered. Users enter the detailed information about the main diseases, any allergic reactions that have already occur, and any food they should avoid or not eat.</v>
      </c>
      <c r="D245" s="6" t="s">
        <v>730</v>
      </c>
      <c r="E245" s="4" t="str">
        <f ca="1">IFERROR(__xludf.DUMMYFUNCTION("GOOGLETRANSLATE(D245,""auto"",""en"")"),"AI (artificial intelligence) fitness solution display device and method and method")</f>
        <v>AI (artificial intelligence) fitness solution display device and method and method</v>
      </c>
    </row>
    <row r="246" spans="1:5" ht="15" x14ac:dyDescent="0.25">
      <c r="A246" s="5" t="s">
        <v>731</v>
      </c>
      <c r="B246" s="6" t="s">
        <v>732</v>
      </c>
      <c r="C246" s="3" t="str">
        <f ca="1">IFERROR(__xludf.DUMMYFUNCTION("GOOGLETRANSLATE(B246,""auto"",""en"")"),"The invention involves a athletes and methods based on natural language treatment, which belongs to the field of sports psychology and artificial intelligence application technology. The present invention uses natural language processing to replace the te"&amp;"xt in a regular expression matching and replacement method to realize the real -time emotional dialogue feedback of the athlete's inquiry, which can guide the visitors to talk and complete the information collection of the initial stage of psychological c"&amp;"ounseling. Based on probability -based text classification methods, combined with psychological problems corpus, the information collected at the beginning of consultation is classified, and the athlete consultants are classified and reliable. In response"&amp;" to different psychological problems, psychological intervention is implemented through the standardized chat process of psychology, and a professional psychological consultation method is used to provide psychological assistance and psychological support"&amp;" for athletes. The present invention is of great significance to maintain the psychological health of the athletes and the performance of the competition.")</f>
        <v>The invention involves a athletes and methods based on natural language treatment, which belongs to the field of sports psychology and artificial intelligence application technology. The present invention uses natural language processing to replace the text in a regular expression matching and replacement method to realize the real -time emotional dialogue feedback of the athlete's inquiry, which can guide the visitors to talk and complete the information collection of the initial stage of psychological counseling. Based on probability -based text classification methods, combined with psychological problems corpus, the information collected at the beginning of consultation is classified, and the athlete consultants are classified and reliable. In response to different psychological problems, psychological intervention is implemented through the standardized chat process of psychology, and a professional psychological consultation method is used to provide psychological assistance and psychological support for athletes. The present invention is of great significance to maintain the psychological health of the athletes and the performance of the competition.</v>
      </c>
      <c r="D246" s="6" t="s">
        <v>733</v>
      </c>
      <c r="E246" s="4" t="str">
        <f ca="1">IFERROR(__xludf.DUMMYFUNCTION("GOOGLETRANSLATE(D246,""auto"",""en"")"),"A psychological counseling service system and method based on natural language treatment")</f>
        <v>A psychological counseling service system and method based on natural language treatment</v>
      </c>
    </row>
    <row r="247" spans="1:5" ht="15" x14ac:dyDescent="0.25">
      <c r="A247" s="5" t="s">
        <v>734</v>
      </c>
      <c r="B247" s="6" t="s">
        <v>735</v>
      </c>
      <c r="C247" s="3" t="str">
        <f ca="1">IFERROR(__xludf.DUMMYFUNCTION("GOOGLETRANSLATE(B247,""auto"",""en"")"),"1. The name of the product of the product: The display screen panel with the financial authority configures the graphical user interface. ; 2. Design products for designing products: used to display graphical user interface. ; 3. Design of the design of t"&amp;"he product in this exterior: lies in the graphic user interface in the screen. ; 4. The picture or photo of the main point of design: The main view. ; 5. There is no design point for other views, omitting other views. 6. The purpose of graphical user inte"&amp;"rface: The interface is used for the use of corporate financial authority allocation, management and display information. 7. Human -computer interaction method of graphical user interface: The graphic user interface displayed by the main view is to open t"&amp;"he start interface of the program; click the ""+new account view permissions configuration"" button on the far right of the main view of the main view. 1. Click the interface change status Figure 1 The ""Optional employee, department, role, job level"" bu"&amp;"tton in the center of the pop -up window enters the interface change status Figure 2; in the interface change state Figure 2 Poppy window on the right side of the right side of the name box on the bottom side of the box. 3 and click the OK button to enter"&amp;" the interface change state Figure 3; click the first ""Edit"" button below the right side of the main view of the main view to pop up the interface changes in the interface. The button enters the interface changes. Figure 5; click the interface change st"&amp;"ate Figure 5 The ""+new account use right configuration"" button on the far right side of the interface 5 pops up the interface changes in the interface. The box button on the left side of train tickets, enterprise purchases, insurance, group purchase ""g"&amp;"ets interface change state Figure 7; click on the interface changes status Figure 5 The first"" editing ""button below the"" operation ""button on the right side of the interface to pop up the interface change status diagram 8. ; 8. The display screen pan"&amp;"els of the design of the product can be applied to computers, laptops, tablet computers, head -up display (HUD), multimedia projector, smartphone, smart robot, smart glasses, virtual reality glasses, enhanced reality glasses, mixed mixed Reality glasses, "&amp;"smart watches, fitness monitor, headset headphones, driving recorders, vehicle navigation equipment, vehicle CNC computer, automobile smart rearview mirror, smart speaker, smart TV, set -top box, game handheld, game console. ; 1. The name of the product d"&amp;"esign product: The display screen panel with financial authority configures the graphical user interface. ; 2. Design products for designing products: used to display graphical user interface. ; 3. Design of the design of the product in this exterior: lie"&amp;"s in the graphic user interface in the screen. ; 4. The picture or photo of the main point of design: The main view. ; 5. There is no design point for other views, omitting other views. 6. The purpose of graphical user interface: The interface is used for"&amp;" the use of corporate financial authority allocation, management and display information. 7. Human -computer interaction method of graphical user interface: The graphic user interface displayed by the main view is to open the start interface of the progra"&amp;"m; click the ""+new account view permissions configuration"" button on the far right of the main view of the main view. 1. Click the interface change status Figure 1 The ""Optional employee, department, role, job level"" button in the center of the pop -u"&amp;"p window enters the interface change status Figure 2; in the interface change state Figure 2 Poppy window on the right side of the right side of the name box on the bottom side of the box. 3 and click the OK button to enter the interface change state Figu"&amp;"re 3; click the first ""Edit"" button below the right side of the main view of the main view to pop up the interface changes in the interface. The button enters the interface changes. Figure 5; click the interface change state Figure 5 The ""+new account "&amp;"use right configuration"" button on the far right side of the interface 5 pops up the interface changes in the interface. The box button on the left side of train tickets, enterprise purchases, insurance, group purchase ""gets interface change state Figur"&amp;"e 7; click on the interface changes status Figure 5 The first"" editing ""button below the"" operation ""button on the right side of the interface to pop up the interface change status diagram 8. ; 8. The display screen panels of the design of the product"&amp;" can be applied to computers, laptops, tablet computers, head -up display (HUD), multimedia projector, smartphone, smart robot, smart glasses, virtual reality glasses, enhanced reality glasses, mixed mixed Reality glasses, smart watches, fitness monitor, "&amp;"headset headphones, driving recorders, vehicle navigation equipment, vehicle CNC computer, automobile smart rearview mirror, smart speaker, smart TV, set -top box, game handheld, game console.")</f>
        <v>1. The name of the product of the product: The display screen panel with the financial authority configures the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corporate financial authority allocation, management and display information. 7. Human -computer interaction method of graphical user interface: The graphic user interface displayed by the main view is to open the start interface of the program; click the "+new account view permissions configuration" button on the far right of the main view of the main view. 1. Click the interface change status Figure 1 The "Optional employee, department, role, job level" button in the center of the pop -up window enters the interface change status Figure 2; in the interface change state Figure 2 Poppy window on the right side of the right side of the name box on the bottom side of the box. 3 and click the OK button to enter the interface change state Figure 3; click the first "Edit" button below the right side of the main view of the main view to pop up the interface changes in the interface. The button enters the interface changes. Figure 5; click the interface change state Figure 5 The "+new account use right configuration" button on the far right side of the interface 5 pops up the interface changes in the interface. The box button on the left side of train tickets, enterprise purchases, insurance, group purchase "gets interface change state Figure 7; click on the interface changes status Figure 5 The first" editing "button below the" operation "button on the right side of the interface to pop up the interface change status diagram 8.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design product: The display screen panel with financial authority configures the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corporate financial authority allocation, management and display information. 7. Human -computer interaction method of graphical user interface: The graphic user interface displayed by the main view is to open the start interface of the program; click the "+new account view permissions configuration" button on the far right of the main view of the main view. 1. Click the interface change status Figure 1 The "Optional employee, department, role, job level" button in the center of the pop -up window enters the interface change status Figure 2; in the interface change state Figure 2 Poppy window on the right side of the right side of the name box on the bottom side of the box. 3 and click the OK button to enter the interface change state Figure 3; click the first "Edit" button below the right side of the main view of the main view to pop up the interface changes in the interface. The button enters the interface changes. Figure 5; click the interface change state Figure 5 The "+new account use right configuration" button on the far right side of the interface 5 pops up the interface changes in the interface. The box button on the left side of train tickets, enterprise purchases, insurance, group purchase "gets interface change state Figure 7; click on the interface changes status Figure 5 The first" editing "button below the" operation "button on the right side of the interface to pop up the interface change status diagram 8.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47" s="6" t="s">
        <v>736</v>
      </c>
      <c r="E247" s="4" t="str">
        <f ca="1">IFERROR(__xludf.DUMMYFUNCTION("GOOGLETRANSLATE(D247,""auto"",""en"")"),"Display screen panel with financial authority configuration graphical user interface")</f>
        <v>Display screen panel with financial authority configuration graphical user interface</v>
      </c>
    </row>
    <row r="248" spans="1:5" ht="15" x14ac:dyDescent="0.25">
      <c r="A248" s="5" t="s">
        <v>737</v>
      </c>
      <c r="B248" s="6" t="s">
        <v>738</v>
      </c>
      <c r="C248" s="3" t="str">
        <f ca="1">IFERROR(__xludf.DUMMYFUNCTION("GOOGLETRANSLATE(B248,""auto"",""en"")"),"The invention involves the IoT and Blockchain of the intelligent customized citizenship management system for intelligent city infrastructure platforms. Smart cities provide all facilities in first -tier cities at the cost of tolerance. Smart cities have "&amp;"high -quality medical services, high -quality children's education, national or international level infrastructure, smooth banking services, manufacturing products that can be affordable for production costs for local manufacturing units, provide high -qu"&amp;"ality water supply on time on time, high Internet connections,, high Internet connections,, high Internet connections,, high Internet connections,, high Internet connections, high Internet connections,, high Internet connections,, high Internet connection"&amp;"s, high Internet connections,, high Internet connections,, high Internet connections,, high Internet connections, high Internet connections,, high Internet connections,, high Internet connections,, high Internet connections, high Internet connections,, hi"&amp;"gh Internet connections,, high Internet connections, high Internet connections,, high Internet connections,, high Internet connections, high Internet connections,, high Internet connections,, high Internet connections, high Internet connections,, high Int"&amp;"ernet connections,, high Internet connections, high -quality Internet connections,, high Internet connections,, high -quality Internet connections. The School of Sports, Clean Parks and Roads, Hasted Drainage Systems, Cleaning and Green Energy, and pollut"&amp;"ing cities. Therefore, the IoT -based blockchain -based technology can be used for real -time, anytime and anywhere citizen identification. IoT network provides data sharing, so you can easily identify personnel anytime, anywhere. The identification devic"&amp;"e can also use laser or RTPCR to detect any disease pathogen in a few minutes.")</f>
        <v>The invention involves the IoT and Blockchain of the intelligent customized citizenship management system for intelligent city infrastructure platforms. Smart cities provide all facilities in first -tier cities at the cost of tolerance. Smart cities have high -quality medical services, high -quality children's education, national or international level infrastructure, smooth banking services, manufacturing products that can be affordable for production costs for local manufacturing units, provide high -quality water supply on time on time,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Internet connections, high -quality Internet connections,, high Internet connections,, high -quality Internet connections. The School of Sports, Clean Parks and Roads, Hasted Drainage Systems, Cleaning and Green Energy, and polluting cities. Therefore, the IoT -based blockchain -based technology can be used for real -time, anytime and anywhere citizen identification. IoT network provides data sharing, so you can easily identify personnel anytime, anywhere. The identification device can also use laser or RTPCR to detect any disease pathogen in a few minutes.</v>
      </c>
      <c r="D248" s="6" t="s">
        <v>739</v>
      </c>
      <c r="E248" s="4" t="str">
        <f ca="1">IFERROR(__xludf.DUMMYFUNCTION("GOOGLETRANSLATE(D248,""auto"",""en"")"),"The IoT and Blockchain of the Intelligent Custom Citizenship Management System of the Smart City Infrastructure Platform integrated framework")</f>
        <v>The IoT and Blockchain of the Intelligent Custom Citizenship Management System of the Smart City Infrastructure Platform integrated framework</v>
      </c>
    </row>
    <row r="249" spans="1:5" ht="15" x14ac:dyDescent="0.25">
      <c r="A249" s="5" t="s">
        <v>740</v>
      </c>
      <c r="B249" s="6" t="s">
        <v>741</v>
      </c>
      <c r="C249" s="3" t="str">
        <f ca="1">IFERROR(__xludf.DUMMYFUNCTION("GOOGLETRANSLATE(B249,""auto"",""en"")"),"The invention disclosed the Internet of Things based on the Internet of Things -based sports monitoring test system, including the main control center, the information entry unit, the monitoring unit, and auxiliary unit. The module and the grade verificat"&amp;"ion module, the auxiliary unit includes the communication module and the verification module, the personal information entry module is configured to the candidate information entry system, and the candidate's personal information is entered through the pe"&amp;"rsonal information entry module. The management module is configured as an intelligent sports assessment equipment management module. The equipment management module establishes a signal connection with the sports assessment equipment through a communicat"&amp;"ion module. The beneficial effect of the present invention is: real -time monitoring of the sports monitoring examination process through the Internet of Things technology can effectively remove the impact of human factors in sports examinations and impro"&amp;"ve the rigor and accuracy of the examination.")</f>
        <v>The invention disclosed the Internet of Things based on the Internet of Things -based sports monitoring test system, including the main control center, the information entry unit, the monitoring unit, and auxiliary unit. The module and the grade verification module, the auxiliary unit includes the communication module and the verification module, the personal information entry module is configured to the candidate information entry system, and the candidate's personal information is entered through the personal information entry module. The management module is configured as an intelligent sports assessment equipment management module. The equipment management module establishes a signal connection with the sports assessment equipment through a communication module. The beneficial effect of the present invention is: real -time monitoring of the sports monitoring examination process through the Internet of Things technology can effectively remove the impact of human factors in sports examinations and improve the rigor and accuracy of the examination.</v>
      </c>
      <c r="D249" s="6" t="s">
        <v>742</v>
      </c>
      <c r="E249" s="4" t="str">
        <f ca="1">IFERROR(__xludf.DUMMYFUNCTION("GOOGLETRANSLATE(D249,""auto"",""en"")"),"Sports monitoring examination system based on the Internet of Things")</f>
        <v>Sports monitoring examination system based on the Internet of Things</v>
      </c>
    </row>
    <row r="250" spans="1:5" ht="15" x14ac:dyDescent="0.25">
      <c r="A250" s="5" t="s">
        <v>743</v>
      </c>
      <c r="B250" s="6" t="s">
        <v>744</v>
      </c>
      <c r="C250" s="3" t="str">
        <f ca="1">IFERROR(__xludf.DUMMYFUNCTION("GOOGLETRANSLATE(B250,""auto"",""en"")"),"A kind of artificial intelligence (AI) exercise guidance device is provided, including the maximum weight (PMW) estimator ESTIMATION configured to estimate PMW's personal weight (PMW) estimation of the estimated muscle strength value calculated by user da"&amp;"ta, as well as the PMW guide configured to provide PMW PMW guidelines It is determined that the number of fitness equipment used by the user uses the number of fitness equipment for fitness equipment ESTIMATION.")</f>
        <v>A kind of artificial intelligence (AI) exercise guidance device is provided, including the maximum weight (PMW) estimator ESTIMATION configured to estimate PMW's personal weight (PMW) estimation of the estimated muscle strength value calculated by user data, as well as the PMW guide configured to provide PMW PMW guidelines It is determined that the number of fitness equipment used by the user uses the number of fitness equipment for fitness equipment ESTIMATION.</v>
      </c>
      <c r="D250" s="6" t="s">
        <v>745</v>
      </c>
      <c r="E250" s="4" t="str">
        <f ca="1">IFERROR(__xludf.DUMMYFUNCTION("GOOGLETRANSLATE(D250,""auto"",""en"")"),"Artificial intelligence exercise guidance device and method")</f>
        <v>Artificial intelligence exercise guidance device and method</v>
      </c>
    </row>
    <row r="251" spans="1:5" ht="15" x14ac:dyDescent="0.25">
      <c r="A251" s="5" t="s">
        <v>746</v>
      </c>
      <c r="B251" s="6" t="s">
        <v>747</v>
      </c>
      <c r="C251" s="3" t="str">
        <f ca="1">IFERROR(__xludf.DUMMYFUNCTION("GOOGLETRANSLATE(B251,""auto"",""en"")"),"The present invention disclosed a smart sports monitoring method based on AI technology, involving AI technology fields, solving technical problems of standardized analysis and processing of sports data; As an input data, the standard training group is ge"&amp;"nerated based on the input data and the corresponding action label integration; the artificial intelligence model is trained through the standard training team to obtain the motion monitoring model; ; Get the motion monitoring model, enter the original da"&amp;"ta into the motion monitoring model, and obtain the action label; identify the action label. When the user's actions are in a non -standard state, control the user's intelligent wearable equipment And the person in charge of the corresponding body paramet"&amp;"ers of the user; the scientific and reasonable analysis of the various action status of the user's exercise during the movement.")</f>
        <v>The present invention disclosed a smart sports monitoring method based on AI technology, involving AI technology fields, solving technical problems of standardized analysis and processing of sports data; As an input data, the standard training group is generated based on the input data and the corresponding action label integration; the artificial intelligence model is trained through the standard training team to obtain the motion monitoring model; ; Get the motion monitoring model, enter the original data into the motion monitoring model, and obtain the action label; identify the action label. When the user's actions are in a non -standard state, control the user's intelligent wearable equipment And the person in charge of the corresponding body parameters of the user; the scientific and reasonable analysis of the various action status of the user's exercise during the movement.</v>
      </c>
      <c r="D251" s="6" t="s">
        <v>748</v>
      </c>
      <c r="E251" s="4" t="str">
        <f ca="1">IFERROR(__xludf.DUMMYFUNCTION("GOOGLETRANSLATE(D251,""auto"",""en"")"),"A smart sports monitoring method based on AI technology")</f>
        <v>A smart sports monitoring method based on AI technology</v>
      </c>
    </row>
    <row r="252" spans="1:5" ht="15" x14ac:dyDescent="0.25">
      <c r="A252" s="5" t="s">
        <v>749</v>
      </c>
      <c r="B252" s="6" t="s">
        <v>750</v>
      </c>
      <c r="C252" s="3" t="str">
        <f ca="1">IFERROR(__xludf.DUMMYFUNCTION("GOOGLETRANSLATE(B252,""auto"",""en"")"),"1. Design product name: The vehicle passenger service management graphic user interface on the display screen panel.
 2. Design products in appearance: used for interaction and display.
 3. Design of the design of the product in appearance: lies in th"&amp;"e interface content of the graphic user interface.
 4. Pictures or photos that can most indicate design points: main view.
 5. There is no design point for other views, omitting other views.
 6. The purpose of the graphical user interface: It is use"&amp;"d to display the vehicle operation and passenger service information on the display when riding a train.
 7. Human -computer interaction method of graphical user interface: The main view is the display information interface of the train operation. The i"&amp;"nterface contains vehicle operation information and station infrastructure information.
 8. The displayed carrier equipment for display is the existing design. The display screen panel can be applied to computers, laptops, tablet computers, mobile phone"&amp;"s, smartphones, smart glasses, watches, smart watches, fitness monitors, head wearing, head wearing Display devices of headphones, personal digital assistants, smart speakers, television, monitor, set -top boxes, navigators, and vehicles.")</f>
        <v>1. Design product name: The vehicle passenger service management graphic user interface on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It is used to display the vehicle operation and passenger service information on the display when riding a train.
 7. Human -computer interaction method of graphical user interface: The main view is the display information interface of the train operation. The interface contains vehicle operation information and station infrastructure information.
 8. The displayed carrier equipment for display is the existing design. The display screen panel can be applied to computers, laptops, tablet computers, mobile phones, smartphones, smart glasses, watches, smart watches, fitness monitors, head wearing, head wearing Display devices of headphones, personal digital assistants, smart speakers, television, monitor, set -top boxes, navigators, and vehicles.</v>
      </c>
      <c r="D252" s="6" t="s">
        <v>751</v>
      </c>
      <c r="E252" s="4" t="str">
        <f ca="1">IFERROR(__xludf.DUMMYFUNCTION("GOOGLETRANSLATE(D252,""auto"",""en"")"),"Vehicle passenger service management graphic user interface on display screen panel")</f>
        <v>Vehicle passenger service management graphic user interface on display screen panel</v>
      </c>
    </row>
    <row r="253" spans="1:5" ht="15" x14ac:dyDescent="0.25">
      <c r="A253" s="5" t="s">
        <v>752</v>
      </c>
      <c r="B253" s="6" t="s">
        <v>753</v>
      </c>
      <c r="C253" s="3" t="str">
        <f ca="1">IFERROR(__xludf.DUMMYFUNCTION("GOOGLETRANSLATE(B253,""auto"",""en"")"),"The present invention discloses a remote sensing image segmentation method based on DeepLABV3+network, including: download the remote sensing image data set from the AI ​​classification and identification competition of satellite images; pre -process the "&amp;"downloaded remote sensing image; Add a attention module, the attention module includes positioning module and channel attention module; set training parameters in the PyTorch deep learning framework; enter the obtained data set to Train in the deep learni"&amp;"ng framework to obtain the final improvement of Deeplabv3+network structure model; enter the remote sensing image to be divided into the final network structure model to obtain the results of the remote sensing image segmentation. The segmentation accurac"&amp;"y of the present invention is higher, and the effect of extraction of multi -scale targets and edge features is obvious.")</f>
        <v>The present invention discloses a remote sensing image segmentation method based on DeepLABV3+network, including: download the remote sensing image data set from the AI ​​classification and identification competition of satellite images; pre -process the downloaded remote sensing image; Add a attention module, the attention module includes positioning module and channel attention module; set training parameters in the PyTorch deep learning framework; enter the obtained data set to Train in the deep learning framework to obtain the final improvement of Deeplabv3+network structure model; enter the remote sensing image to be divided into the final network structure model to obtain the results of the remote sensing image segmentation. The segmentation accuracy of the present invention is higher, and the effect of extraction of multi -scale targets and edge features is obvious.</v>
      </c>
      <c r="D253" s="6" t="s">
        <v>754</v>
      </c>
      <c r="E253" s="4" t="str">
        <f ca="1">IFERROR(__xludf.DUMMYFUNCTION("GOOGLETRANSLATE(D253,""auto"",""en"")"),"A remote sensing image segmentation method based on Deeplabv3+network")</f>
        <v>A remote sensing image segmentation method based on Deeplabv3+network</v>
      </c>
    </row>
    <row r="254" spans="1:5" ht="15" x14ac:dyDescent="0.25">
      <c r="A254" s="5" t="s">
        <v>755</v>
      </c>
      <c r="B254" s="6" t="s">
        <v>756</v>
      </c>
      <c r="C254" s="3" t="str">
        <f ca="1">IFERROR(__xludf.DUMMYFUNCTION("GOOGLETRANSLATE(B254,""auto"",""en"")"),"1. The name of the product of the design of the product: The video information display graphics user interface of the display screen panel.
 2. The purpose of designing products in this exterior: The design of the product is used to display the graphica"&amp;"l user interface.
 3. Design of the design of the product in appearance: lies in the graphic user interface.
 4. Pictures or photos that can best show design: Design 1 main view.
 5. Specify design 1 is the basic design.
 6. The purpose of graphic"&amp;"al user interface: This graphic user interface is used to display video information.
 7. The human -computer interaction method of graphic user interface: Design 1 to design 4 main views of the graphic user interface is the interface of video informatio"&amp;"n display. Users can click the horizontal discharge box in the lower part of the interface to add or view the video.
 The gray color blocks in each design interface are replaceable pictures or videos.
 The fork number in each design interface represen"&amp;"ts text and/or numbers and/or alphabetics.
 8. This graphic user interface can be used for mobile phones, computers, tablets, televisions, vehicle central control screens, vehicle navigators, vehicle display screens, game consoles, navigators, multimedi"&amp;"a all -in -one machines, smart speakers, smart fitness mirrors with display screens, bands, bands The fitness monitor of the display screen, the refrigerator with a display screen, the air conditioner with a display screen, a dish machine with a display s"&amp;"creen, a robot with a display screen, a smart bracelet, a smart watch, a smart glasses, a smart headset, a smart table lamp, a display display display Screen access control, advertising display, automatic sale machine, massage device with display screen, "&amp;"and rehabilitation nursing instrument with display screens.
 9. The display screen panel is commonly designed, omitting the rear view, left view, right view, downward view, and upper view of various designs.")</f>
        <v>1. The name of the product of the design of the product: The video information display graphics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video information.
 7. The human -computer interaction method of graphic user interface: Design 1 to design 4 main views of the graphic user interface is the interface of video information display. Users can click the horizontal discharge box in the lower part of the interface to add or view the video.
 The gray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vehicle display screens, game consoles, navigators, multimedia all -in -one machines, smart speakers, smart fitness mirrors with display screens, bands, bands The fitness monitor of the display screen, the refrigerator with a display screen, the air conditioner with a display screen, a dish machine with a display screen, a robot with a display screen, a smart bracelet, a smart watch, a smart glasses, a smart headset, a smart table lamp, a display display display Screen access control, advertising display, automatic sale machine, massage device with display screen, and rehabilitation nursing instrument with display screens.
 9. The display screen panel is commonly designed, omitting the rear view, left view, right view, downward view, and upper view of various designs.</v>
      </c>
      <c r="D254" s="6" t="s">
        <v>757</v>
      </c>
      <c r="E254" s="4" t="str">
        <f ca="1">IFERROR(__xludf.DUMMYFUNCTION("GOOGLETRANSLATE(D254,""auto"",""en"")"),"Video information display graphic user interface of display screen panel")</f>
        <v>Video information display graphic user interface of display screen panel</v>
      </c>
    </row>
    <row r="255" spans="1:5" ht="15" x14ac:dyDescent="0.25">
      <c r="A255" s="5" t="s">
        <v>758</v>
      </c>
      <c r="B255" s="6" t="s">
        <v>759</v>
      </c>
      <c r="C255" s="3" t="str">
        <f ca="1">IFERROR(__xludf.DUMMYFUNCTION("GOOGLETRANSLATE(B255,""auto"",""en"")"),"1. The name of the product of the design of the product: The train operation of the display screen panel is inquiring about the management graphic user interface.
 2. Design products in appearance: used for interaction and display.
 3. Design of the d"&amp;"esign of the product in appearance: lies in the interface content of the graphic user interface.
 4. Pictures or photos that can most indicate design points: main view.
 5. There is no design point for other views, omitting other views.
 6. The purp"&amp;"ose of graphical user interface: The three -dimensional chart, site export guidance, local food, local attractions, and bus network maps on the display screen during the train operation.
 7. Human -computer interaction method of graphics user interface:"&amp;" The main view is the food display interface during the train operation, click the large icon on the right side of the main view of the icon, jump to the interface change state Figure 1; click ""in the main view"" XX City Scenic Spots ""button, jump to th"&amp;"e interface change state Figure 2; click the interface changes state Figure 2 large icon on the right side of the icon, jump to the interface change state Figure 3; click the"" three -dimensional site 3 dimension in the interface change state Figure 3 ""B"&amp;"utton, jump to the interface change state Figure 4; click the"" Site ""button in the interface change state. Jump to the interface change state Figure 6; when switched to the cargo carriage interface through the train hardware operation, switch from the m"&amp;"ain view to the interface change state Figure 7; click the ""three -dimensional site"" button in the interface change status 7, jump to the interface to the interface Change status Figure 8.
 8. The displayed carrier equipment for display is the existin"&amp;"g design. The display screen panel can be applied to computers, laptops, tablet computers, mobile phones, smartphones, smart glasses, watches, smart watches, fitness monitors, head wearing, head wearing Form headset, personal digital assistant, smart spea"&amp;"kers, television, monitor, set -top box, navigator.")</f>
        <v>1. The name of the product of the design of the product: The train operation of the display screen panel is inquiring about the management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The three -dimensional chart, site export guidance, local food, local attractions, and bus network maps on the display screen during the train operation.
 7. Human -computer interaction method of graphics user interface: The main view is the food display interface during the train operation, click the large icon on the right side of the main view of the icon, jump to the interface change state Figure 1; click "in the main view" XX City Scenic Spots "button, jump to the interface change state Figure 2; click the interface changes state Figure 2 large icon on the right side of the icon, jump to the interface change state Figure 3; click the" three -dimensional site 3 dimension in the interface change state Figure 3 "Button, jump to the interface change state Figure 4; click the" Site "button in the interface change state. Jump to the interface change state Figure 6; when switched to the cargo carriage interface through the train hardware operation, switch from the main view to the interface change state Figure 7; click the "three -dimensional site" button in the interface change status 7, jump to the interface to the interface Change status Figure 8.
 8. The displayed carrier equipment for display is the existing design. The display screen panel can be applied to computers, laptops, tablet computers, mobile phones, smartphones, smart glasses, watches, smart watches, fitness monitors, head wearing, head wearing Form headset, personal digital assistant, smart speakers, television, monitor, set -top box, navigator.</v>
      </c>
      <c r="D255" s="6" t="s">
        <v>760</v>
      </c>
      <c r="E255" s="4" t="str">
        <f ca="1">IFERROR(__xludf.DUMMYFUNCTION("GOOGLETRANSLATE(D255,""auto"",""en"")"),"Train running inquiry management graphic user interface of the display screen panel")</f>
        <v>Train running inquiry management graphic user interface of the display screen panel</v>
      </c>
    </row>
    <row r="256" spans="1:5" ht="15" x14ac:dyDescent="0.25">
      <c r="A256" s="5" t="s">
        <v>761</v>
      </c>
      <c r="B256" s="6" t="s">
        <v>762</v>
      </c>
      <c r="C256" s="3" t="str">
        <f ca="1">IFERROR(__xludf.DUMMYFUNCTION("GOOGLETRANSLATE(B256,""auto"",""en"")"),"1. Design product name: The train operation control management graphic user interface of the display screen panel.
 2. Design products in appearance: used for interaction and display.
 3. Design of the design of the product in appearance: lies in the "&amp;"interface content of the graphic user interface.
 4. Pictures or photos that can most indicate design points: main view.
 5. There is no design point for other views, omitting other views.
 6. The purpose of graphical user interface: It is used for "&amp;"control management of equipment, information display, parameter settings, functional testing, data storage, etc. during the train operation.
 7. Human -computer interaction method of graphics user interface: The main view is the main interface of the tr"&amp;"ain operation; when the train is running to the road section, the page jumps to the interface changes. Status Figure 2; when the train runs to the front car, jump to the interface change state Figure 3; when the train runs to the platform section, jump to"&amp;" the interface change state. The interface change state Figure 5; when the train is running normally, jump to the interface change state Figure 6; click the ""Run"" menu button in the interface change state Figure 6, jump to the full -automatic newspaper "&amp;"mode displayed by the interface change state 7 Interface; click the ""Fire"" button under the ""Run"" menu in Figure 7 of the interface changes, jump to the interface change state. 8 displayed on the fire information detail interface; ""Road"" button, jum"&amp;"p to the cross -road information interface displayed by the interface change state. Set the interface; click the ""Run"" button under the ""Run"" menu in the ""Run"" menu in the interface change state, jump to the interface changes in the operation detail"&amp;"s interface displayed; To the interface change state Figure 12 The vehicle traction interface displayed; click the ""brake"" button under the ""vehicle"" menu in the ""vehicle"" menu in the interface change state, jump to the braking details interface dis"&amp;"played by the interface change state. In Figure 13, the ""Auxiliary"" button under the ""Vehicle"" menu, jump to the interface change state Figure 14 The vehicle auxiliary details interface displayed; click the ""emergency brake"" button under the ""vehic"&amp;"le"" menu in the interface change state. Transfer to the interface change state Figure 15 The vehicle emergency braking details interface displayed; click the ""network"" menu button in the main view to jump to the interface change state. 16 The network r"&amp;"efresh cycle interface; ""The"" Life Signal ""button under the menu, jump to the interface change state. Figure 17 The interface of the network life signal details displayed by the interface 17; click the"" IO query ""button under the"" network ""menu in "&amp;"the"" network ""menu in the interface, jump to the interface change Status Figure 18 The query interface displayed; click the ""Air Conditioning"" menu button in the main view to jump to the interface change state. The air conditioning interface displayed"&amp;" by the state 19; click the ""Event"" menu button in the main view, jump to the interface change state Figure 20 display. Event interface; click the ""Maintenance"" menu button in the main view to jump to the interface change state. Figure 21 The off -pow"&amp;"er self -inspection and maintenance interface displayed by the interface; click the ""Static Test"" button in the ""Repair"" menu in the interface change status. 21 Jump to the static test interface displayed by the interface change state; click the ""dyn"&amp;"amic test"" button under the ""maintenance"" menu in the ""maintenance"" menu in the interface, jump to the dynamic test interface displayed by the interface change state. The ""Settings"" menu button, jump to the interface change state. Figure 24 The bri"&amp;"ghtness adjustment interface displayed; click the ""volume"" button under the ""Set"" menu in the interface change state, jump to the interface change state. Volume adjustment interface; click the ""car washing"" button under the ""Set"" menu in Figure 25"&amp;", jump to the interface changes in the interface changes 26 display interface; click the ""help"" menu button in the main view, jump to the interface to the interface Change status Figure 27 The help interface displayed.
 8. The displayed carrier equipm"&amp;"ent for display is the existing design. The display screen panel can be applied to computers, laptops, tablet computers, mobile phones, smartphones, smart glasses, watches, smart watches, fitness monitors, head wearing, head wearing Display devices of hea"&amp;"dphones, personal digital assistants, smart speakers, television, monitor, set -top boxes, navigators, and vehicles.")</f>
        <v>1. Design product name: The train operation control management graphic user interface of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It is used for control management of equipment, information display, parameter settings, functional testing, data storage, etc. during the train operation.
 7. Human -computer interaction method of graphics user interface: The main view is the main interface of the train operation; when the train is running to the road section, the page jumps to the interface changes. Status Figure 2; when the train runs to the front car, jump to the interface change state Figure 3; when the train runs to the platform section, jump to the interface change state. The interface change state Figure 5; when the train is running normally, jump to the interface change state Figure 6; click the "Run" menu button in the interface change state Figure 6, jump to the full -automatic newspaper mode displayed by the interface change state 7 Interface; click the "Fire" button under the "Run" menu in Figure 7 of the interface changes, jump to the interface change state. 8 displayed on the fire information detail interface; "Road" button, jump to the cross -road information interface displayed by the interface change state. Set the interface; click the "Run" button under the "Run" menu in the "Run" menu in the interface change state, jump to the interface changes in the operation details interface displayed; To the interface change state Figure 12 The vehicle traction interface displayed; click the "brake" button under the "vehicle" menu in the "vehicle" menu in the interface change state, jump to the braking details interface displayed by the interface change state. In Figure 13, the "Auxiliary" button under the "Vehicle" menu, jump to the interface change state Figure 14 The vehicle auxiliary details interface displayed; click the "emergency brake" button under the "vehicle" menu in the interface change state. Transfer to the interface change state Figure 15 The vehicle emergency braking details interface displayed; click the "network" menu button in the main view to jump to the interface change state. 16 The network refresh cycle interface; "The" Life Signal "button under the menu, jump to the interface change state. Figure 17 The interface of the network life signal details displayed by the interface 17; click the" IO query "button under the" network "menu in the" network "menu in the interface, jump to the interface change Status Figure 18 The query interface displayed; click the "Air Conditioning" menu button in the main view to jump to the interface change state. The air conditioning interface displayed by the state 19; click the "Event" menu button in the main view, jump to the interface change state Figure 20 display. Event interface; click the "Maintenance" menu button in the main view to jump to the interface change state. Figure 21 The off -power self -inspection and maintenance interface displayed by the interface; click the "Static Test" button in the "Repair" menu in the interface change status. 21 Jump to the static test interface displayed by the interface change state; click the "dynamic test" button under the "maintenance" menu in the "maintenance" menu in the interface, jump to the dynamic test interface displayed by the interface change state. The "Settings" menu button, jump to the interface change state. Figure 24 The brightness adjustment interface displayed; click the "volume" button under the "Set" menu in the interface change state, jump to the interface change state. Volume adjustment interface; click the "car washing" button under the "Set" menu in Figure 25, jump to the interface changes in the interface changes 26 display interface; click the "help" menu button in the main view, jump to the interface to the interface Change status Figure 27 The help interface displayed.
 8. The displayed carrier equipment for display is the existing design. The display screen panel can be applied to computers, laptops, tablet computers, mobile phones, smartphones, smart glasses, watches, smart watches, fitness monitors, head wearing, head wearing Display devices of headphones, personal digital assistants, smart speakers, television, monitor, set -top boxes, navigators, and vehicles.</v>
      </c>
      <c r="D256" s="6" t="s">
        <v>763</v>
      </c>
      <c r="E256" s="4" t="str">
        <f ca="1">IFERROR(__xludf.DUMMYFUNCTION("GOOGLETRANSLATE(D256,""auto"",""en"")"),"Train operation control management graphic user interface of display screen panel")</f>
        <v>Train operation control management graphic user interface of display screen panel</v>
      </c>
    </row>
    <row r="257" spans="1:5" ht="15" x14ac:dyDescent="0.25">
      <c r="A257" s="5" t="s">
        <v>764</v>
      </c>
      <c r="B257" s="6" t="s">
        <v>765</v>
      </c>
      <c r="C257" s="3" t="str">
        <f ca="1">IFERROR(__xludf.DUMMYFUNCTION("GOOGLETRANSLATE(B257,""auto"",""en"")"),"Provides a kind of artificial intelligence (AL) exercise guidance device, including individual maximum weight (PMW) estimation device, configured as PMWestimation, which is configured as an estimated muscle power value based on user data, and PMW guidance"&amp;" The instrument is configured to provide PMWINDIDUAL for fitness equipment by supplementing PMWestImation by using the user's personal objective index")</f>
        <v>Provides a kind of artificial intelligence (AL) exercise guidance device, including individual maximum weight (PMW) estimation device, configured as PMWestimation, which is configured as an estimated muscle power value based on user data, and PMW guidance The instrument is configured to provide PMWINDIDUAL for fitness equipment by supplementing PMWestImation by using the user's personal objective index</v>
      </c>
      <c r="D257" s="6" t="s">
        <v>745</v>
      </c>
      <c r="E257" s="4" t="str">
        <f ca="1">IFERROR(__xludf.DUMMYFUNCTION("GOOGLETRANSLATE(D257,""auto"",""en"")"),"Artificial intelligence exercise guidance device and method")</f>
        <v>Artificial intelligence exercise guidance device and method</v>
      </c>
    </row>
    <row r="258" spans="1:5" ht="15" x14ac:dyDescent="0.25">
      <c r="A258" s="5" t="s">
        <v>766</v>
      </c>
      <c r="B258" s="6" t="s">
        <v>767</v>
      </c>
      <c r="C258" s="3" t="str">
        <f ca="1">IFERROR(__xludf.DUMMYFUNCTION("GOOGLETRANSLATE(B258,""auto"",""en"")"),"According to embodiments, the device receives user information of the user's name, gender, age, age, schedule, address, address, consumption details, and disease information, and the result of the user terminal receiving personality type survey questionna"&amp;"ire. Get personality information includes personality type survey results, obtaining musical instrument information from the instrument database, including the type, name, size, weight, price, difficulty and other information of the instrument. Custom coa"&amp;"ches and customized practice songs.")</f>
        <v>According to embodiments, the device receives user information of the user's name, gender, age, age, schedule, address, address, consumption details, and disease information, and the result of the user terminal receiving personality type survey questionnaire. Get personality information includes personality type survey results, obtaining musical instrument information from the instrument database, including the type, name, size, weight, price, difficulty and other information of the instrument. Custom coaches and customized practice songs.</v>
      </c>
      <c r="D258" s="6" t="s">
        <v>768</v>
      </c>
      <c r="E258" s="4" t="str">
        <f ca="1">IFERROR(__xludf.DUMMYFUNCTION("GOOGLETRANSLATE(D258,""auto"",""en"")"),"User personality type analysis results using artificial intelligence models Customized instruments, coaches, exercise recommended methods, devices and systems")</f>
        <v>User personality type analysis results using artificial intelligence models Customized instruments, coaches, exercise recommended methods, devices and systems</v>
      </c>
    </row>
    <row r="259" spans="1:5" ht="15" x14ac:dyDescent="0.25">
      <c r="A259" s="5" t="s">
        <v>769</v>
      </c>
      <c r="B259" s="6" t="s">
        <v>770</v>
      </c>
      <c r="C259" s="3" t="str">
        <f ca="1">IFERROR(__xludf.DUMMYFUNCTION("GOOGLETRANSLATE(B259,""auto"",""en"")"),"The present invention, together with the position location used by IFAB and FIFA and its affiliated federations and the Federation in training and seminars, and create a database system pool in the competition, allowing the game on the spot on the spot on"&amp;" the spot, as well as The competition provides the location that has been experienced before. It is about a system and method that can make a decision (warning/deportation, punishment, offside, etc.) during the competition.")</f>
        <v>The present invention, together with the position location used by IFAB and FIFA and its affiliated federations and the Federation in training and seminars, and create a database system pool in the competition, allowing the game on the spot on the spot on the spot, as well as The competition provides the location that has been experienced before. It is about a system and method that can make a decision (warning/deportation, punishment, offside, etc.) during the competition.</v>
      </c>
      <c r="D259" s="6" t="s">
        <v>771</v>
      </c>
      <c r="E259" s="4" t="str">
        <f ca="1">IFERROR(__xludf.DUMMYFUNCTION("GOOGLETRANSLATE(D259,""auto"",""en"")"),"Judgment Decision Support System and Method")</f>
        <v>Judgment Decision Support System and Method</v>
      </c>
    </row>
    <row r="260" spans="1:5" ht="15" x14ac:dyDescent="0.25">
      <c r="A260" s="5" t="s">
        <v>772</v>
      </c>
      <c r="B260" s="6" t="s">
        <v>773</v>
      </c>
      <c r="C260" s="3" t="str">
        <f ca="1">IFERROR(__xludf.DUMMYFUNCTION("GOOGLETRANSLATE(B260,""auto"",""en"")"),"A football header training device, including the development of wearable gas wearables worn by users 1. Artificial intelligence camera 2 and installed on the body 1 for detecting the speed sensor of the camera It is used to generate vibration, ultrasonic "&amp;"sensor mapping on the main body 1 to detect the distance between football and users, and angle sensor 6 is mapping on the subject 1 to detect the tilt angle of the user. The head, the hydrophobic sensor is mapped on the body 1, used to detect the sweat le"&amp;"vel, the temperature sensor 7 is mapped on the body 1 to detect the temperature of the surrounding environment. Detect user's health parameters.")</f>
        <v>A football header training device, including the development of wearable gas wearables worn by users 1. Artificial intelligence camera 2 and installed on the body 1 for detecting the speed sensor of the camera It is used to generate vibration, ultrasonic sensor mapping on the main body 1 to detect the distance between football and users, and angle sensor 6 is mapping on the subject 1 to detect the tilt angle of the user. The head, the hydrophobic sensor is mapped on the body 1, used to detect the sweat level, the temperature sensor 7 is mapped on the body 1 to detect the temperature of the surrounding environment. Detect user's health parameters.</v>
      </c>
      <c r="D260" s="6" t="s">
        <v>774</v>
      </c>
      <c r="E260" s="4" t="str">
        <f ca="1">IFERROR(__xludf.DUMMYFUNCTION("GOOGLETRANSLATE(D260,""auto"",""en"")"),"Football header shooting training device")</f>
        <v>Football header shooting training device</v>
      </c>
    </row>
    <row r="261" spans="1:5" ht="15" x14ac:dyDescent="0.25">
      <c r="A261" s="5" t="s">
        <v>775</v>
      </c>
      <c r="B261" s="6" t="s">
        <v>776</v>
      </c>
      <c r="C261" s="3" t="str">
        <f ca="1">IFERROR(__xludf.DUMMYFUNCTION("GOOGLETRANSLATE(B261,""auto"",""en"")"),"The invention involves a platform 1, which is installed with a pair of rod 2 in parallel through the first and second group of telescopic operating rods. Starting from beginners or advanced levels, a pair of telescopic holder 6 is fixed on each rod 2, whi"&amp;"ch is used to grasp and help users perform primary levels. In order to provide a professional level of difficulty, the camera 8 enabled by AI (artificial intelligence) is installed on each rod 2, which is synchronized with the laser sensor to monitor the "&amp;"user's movement. Users accurately perform activities.")</f>
        <v>The invention involves a platform 1, which is installed with a pair of rod 2 in parallel through the first and second group of telescopic operating rods. Starting from beginners or advanced levels, a pair of telescopic holder 6 is fixed on each rod 2, which is used to grasp and help users perform primary levels. In order to provide a professional level of difficulty, the camera 8 enabled by AI (artificial intelligence) is installed on each rod 2, which is synchronized with the laser sensor to monitor the user's movement. Users accurately perform activities.</v>
      </c>
      <c r="D261" s="6" t="s">
        <v>777</v>
      </c>
      <c r="E261" s="4" t="str">
        <f ca="1">IFERROR(__xludf.DUMMYFUNCTION("GOOGLETRANSLATE(D261,""auto"",""en"")"),"Gymnastics training auxiliary appliances")</f>
        <v>Gymnastics training auxiliary appliances</v>
      </c>
    </row>
    <row r="262" spans="1:5" ht="15" x14ac:dyDescent="0.25">
      <c r="A262" s="5" t="s">
        <v>778</v>
      </c>
      <c r="B262" s="6" t="s">
        <v>779</v>
      </c>
      <c r="C262" s="3" t="str">
        <f ca="1">IFERROR(__xludf.DUMMYFUNCTION("GOOGLETRANSLATE(B262,""auto"",""en"")"),"One type of balloon auxiliary device, including a platform 1 divided into two halves 2,3, is installed on the ground through multiple telescopic rod 9. Multiple images used to capture users, C -shaped board 5 expands board 5 through the best angle of elec"&amp;"tric hinge 6 to maintain the appropriate curvature of platform 1, and the omnidirectional wheel 7 is used to randomly manipulate the platform on the ground. It is difficult to hit the ball on the platform 1. Multiple touch sensors that synchronize with th"&amp;"e camera 4 are used to detect the movement of each user every time each user hit the ball. The RTC (real time clock) module is used for real -time monitoring. Matching the duration defined by the user, the speaker will notify the score of each user.")</f>
        <v>One type of balloon auxiliary device, including a platform 1 divided into two halves 2,3, is installed on the ground through multiple telescopic rod 9. Multiple images used to capture users, C -shaped board 5 expands board 5 through the best angle of electric hinge 6 to maintain the appropriate curvature of platform 1, and the omnidirectional wheel 7 is used to randomly manipulate the platform on the ground. It is difficult to hit the ball on the platform 1. Multiple touch sensors that synchronize with the camera 4 are used to detect the movement of each user every time each user hit the ball. The RTC (real time clock) module is used for real -time monitoring. Matching the duration defined by the user, the speaker will notify the score of each user.</v>
      </c>
      <c r="D262" s="6" t="s">
        <v>780</v>
      </c>
      <c r="E262" s="4" t="str">
        <f ca="1">IFERROR(__xludf.DUMMYFUNCTION("GOOGLETRANSLATE(D262,""auto"",""en"")"),"Dark ball game auxiliary appliance")</f>
        <v>Dark ball game auxiliary appliance</v>
      </c>
    </row>
    <row r="263" spans="1:5" ht="15" x14ac:dyDescent="0.25">
      <c r="A263" s="5" t="s">
        <v>781</v>
      </c>
      <c r="B263" s="6" t="s">
        <v>782</v>
      </c>
      <c r="C263" s="3" t="str">
        <f ca="1">IFERROR(__xludf.DUMMYFUNCTION("GOOGLETRANSLATE(B263,""auto"",""en"")"),"The present invention involves a table tennis training device, including a hollow cylindrical body 1, which is attached to a pair of L -shaped rods 2 to provide stability on the surface. Use. Regarding the input of difficulty levels, multiple telescopic r"&amp;"ods connected to the main body 1 extend to the expansion network, the connection rod 5 is used to create obstacles, and the circular slider connected between 5 and main body 1 will be moved to the net. It is difficult for the electric roller 6 to connect "&amp;"to the rod 2 and the main body 1 for the rotating main body 1. 8 The connected electronic operating valve allocates the cleaning solution on the main body 1. The L -shaped rod of the A telescopic operation has a motor washing device 9 to remove the dust o"&amp;"n the main body 1.")</f>
        <v>The present invention involves a table tennis training device, including a hollow cylindrical body 1, which is attached to a pair of L -shaped rods 2 to provide stability on the surface. Use. Regarding the input of difficulty levels, multiple telescopic rods connected to the main body 1 extend to the expansion network, the connection rod 5 is used to create obstacles, and the circular slider connected between 5 and main body 1 will be moved to the net. It is difficult for the electric roller 6 to connect to the rod 2 and the main body 1 for the rotating main body 1. 8 The connected electronic operating valve allocates the cleaning solution on the main body 1. The L -shaped rod of the A telescopic operation has a motor washing device 9 to remove the dust on the main body 1.</v>
      </c>
      <c r="D263" s="6" t="s">
        <v>783</v>
      </c>
      <c r="E263" s="4" t="str">
        <f ca="1">IFERROR(__xludf.DUMMYFUNCTION("GOOGLETRANSLATE(D263,""auto"",""en"")"),"Table Tennis Trainer")</f>
        <v>Table Tennis Trainer</v>
      </c>
    </row>
    <row r="264" spans="1:5" ht="15" x14ac:dyDescent="0.25">
      <c r="A264" s="5" t="s">
        <v>784</v>
      </c>
      <c r="B264" s="6" t="s">
        <v>785</v>
      </c>
      <c r="C264" s="3" t="str">
        <f ca="1">IFERROR(__xludf.DUMMYFUNCTION("GOOGLETRANSLATE(B264,""auto"",""en"")"),"In the present invention, a solar fabric tent was developed. For internal structure, you can use bamboo. So tents have become completely environmentally friendly. The power generated by solar fabric tents is stored in the battery pack. The stored energy i"&amp;"s used for the lighting of solar tents and other electrical equipment. The solar fabric tent is equipped with the Internet of Things and artificial intelligence. The developed solar fabric tents are light weight. The developed solar fabric tents can be us"&amp;"ed for circus, exhibitions, annual festivals, dance competitions, indoor sports, rural markets, residential use and other entertainment activities.")</f>
        <v>In the present invention, a solar fabric tent was developed. For internal structure, you can use bamboo. So tents have become completely environmentally friendly. The power generated by solar fabric tents is stored in the battery pack. The stored energy is used for the lighting of solar tents and other electrical equipment. The solar fabric tent is equipped with the Internet of Things and artificial intelligence. The developed solar fabric tents are light weight. The developed solar fabric tents can be used for circus, exhibitions, annual festivals, dance competitions, indoor sports, rural markets, residential use and other entertainment activities.</v>
      </c>
      <c r="D264" s="6" t="s">
        <v>786</v>
      </c>
      <c r="E264" s="4" t="str">
        <f ca="1">IFERROR(__xludf.DUMMYFUNCTION("GOOGLETRANSLATE(D264,""auto"",""en"")"),"Solar fabric tents equipped with the Internet of Things and artificial intelligence")</f>
        <v>Solar fabric tents equipped with the Internet of Things and artificial intelligence</v>
      </c>
    </row>
    <row r="265" spans="1:5" ht="15" x14ac:dyDescent="0.25">
      <c r="A265" s="5" t="s">
        <v>787</v>
      </c>
      <c r="B265" s="6" t="s">
        <v>788</v>
      </c>
      <c r="C265" s="3" t="str">
        <f ca="1">IFERROR(__xludf.DUMMYFUNCTION("GOOGLETRANSLATE(B265,""auto"",""en"")"),"1. The name of the product design product: The real -time monitoring graphic user interface of the display screen panel.
 2. Design products in appearance: used for running procedures, information display, and human -computer interaction.
 3. Design o"&amp;"f the design of the product in this exterior: lies in the interface content of the graphic user interface in the screen.
 4. Pictures or photos that can most indicate design points: main view.
 5. The purpose of the graphical user interface: The main "&amp;"view is the real -time monitoring interface of the three -machine, and the user can perform relevant operations according to the interface prompt.
 6. Other instructions: This display screen panel is applied to vehicles, computers, laptops, tablets, mob"&amp;"ile phones, smart watches, smart bracelets, fitness monitor, headset headphones, personal digital assistant (PDA), smart speakers, TVs, TVs , Skytop box, projector, game console or navigator.")</f>
        <v>1. The name of the product design product: The real -time monitoring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real -time monitoring interface of the three -machine, and the user can perform relevant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265" s="6" t="s">
        <v>789</v>
      </c>
      <c r="E265" s="4" t="str">
        <f ca="1">IFERROR(__xludf.DUMMYFUNCTION("GOOGLETRANSLATE(D265,""auto"",""en"")"),"The three -machine real -time monitoring graphic user interface of the display screen panel")</f>
        <v>The three -machine real -time monitoring graphic user interface of the display screen panel</v>
      </c>
    </row>
    <row r="266" spans="1:5" ht="15" x14ac:dyDescent="0.25">
      <c r="A266" s="5" t="s">
        <v>790</v>
      </c>
      <c r="B266" s="6" t="s">
        <v>791</v>
      </c>
      <c r="C266" s="3" t="str">
        <f ca="1">IFERROR(__xludf.DUMMYFUNCTION("GOOGLETRANSLATE(B266,""auto"",""en"")"),"1. Design product name: Advertising interactive graphic user interface for display screen panels.
 2. Design products in this exterior: used to display information.
 3. Design of design products in this appearance: lies in the graphic user interface i"&amp;"n the screen.
 4. Pictures or photos that can best show design: Design 1 main view.
 5. Specify design 1 is the basic design.
 6. The purpose of graphical user interface: The interface is used to guide users to participate in advertising interaction"&amp;".
 7. Human -computer interaction method of graphic user interface: In designing 1 main view, when the user leans forward the mobile phone and reaches a certain forward angle, the mobile phone icon under the interface is filled in real -time filling fee"&amp;"dback display and then entered the advertisement. The details page shows the interface change from the main view 1 to the design 1 interface.
 Design the gray mask area in the interface change state Figure 2 is the content screen.
 In the design 2 mai"&amp;"n view, when the user leans forward and reaches a certain forward angle, the mobile phone icon below the interface is filled with feedback display in real time according to the degree of mobile phone. The football component is thrown from the bottom of th"&amp;"e interface to the top, and then enters the advertising details. The page shows the interface change from the main view of the design 2 to the design 2 interface.
 The gray mask area in the design 2 interface change state is the content screen.
 In th"&amp;"e design 3 main view, when the user leans forward and reaches a certain front angle, the mobile phone icon under the interface is filled with feedback display in real time according to the degree of mobile phone. The circular component is thrown from the "&amp;"bottom of the interface to the top, and then enter the advertisement. The details page shows the interface change from the main view of the design 3 to the design 3 interface.
 The gray mask area in the design 3 interface change state is the content scr"&amp;"een.
 In the design 4 main view, when the user leans forward and reaches a certain front angle angle, the mobile phone icon root below the interface is filled in real -time feedback display according to the degree of the mobile phone. Then enter the adv"&amp;"ertising details page, showing the interface change from the design 4 main view to the design 4 interface.
 The gray mask area in the design 4 interface change state is the content screen.
 In designing 5 main views, when the user leans forward and re"&amp;"aches a certain front angle, the mobile phone icon root below the interface is filled in real -time feedback display according to the degree of mobile phone. Then enter the advertising details page, showing the interface change from the main view of the d"&amp;"esign 5 to the design 5 interface.
 The gray mask area in Figure 5 in the design 5 interface changes is the content screen.
 In designing 6 main views, when the user tilted the mobile phone forward and reaches a certain forward angle, the mobile phone"&amp;" icon below the interface is filled in real -time feedback display according to the degree of the mobile phone, and the small cards at the bottom of the interface move the interface to the left and right sides, respectively. Move upward and magnify the mi"&amp;"ddle card and magnify to the maximum state, showing the interface change from the main view of the design 6 to the design 6 interface. Then enter the advertising details page, showing the changes of the design 6 interface change state Figure 3 to the desi"&amp;"gn 6 interface changes. Figure 6 changes.
 The gray mask area in the design 6 interface change state is the content screen.
 In the design 7 main view, when the user tilted the mobile phone forward, the mobile phone icon below the interface carries ou"&amp;"t the feedback display in real time according to the degree of the mobile phone, showing the interface change from the design 7 to the design 7 interface changes.
 In the design of the 8 main view, when the user tilted the mobile phone forward and reach"&amp;"es a certain forward angle, the mobile phone icon below the interface is filled with feedback display in real time according to the degree of the mobile phone. The interface change of the main view to the design 8 interface changes.
 In the design 9 mai"&amp;"n view, when the user leans forward and reaches a certain forward angle, the mobile phone icon root below the interface is filled in real -time feedback display, and the gift box is opened and the jar component moves from the inside of the gift box to the"&amp;" center of the interface. , Show the interface change from the main view of the design 9 to the design 9 interface.
 In designing 10 main views, when the user tilted the mobile phone forward and reaches a certain front angle angle, the mobile phone icon"&amp;" below the interface is filled with feedback display in real time according to the degree of the mobile phone, and the small cards at the bottom of the interface move the interface to the left and right sides, respectively. Move upward and magnify the mid"&amp;"dle card and magnify to the maximum state, showing the interface change from the main view of the design 10 to the design 10 interface. A prompting information appears, showing the interface change of the interface change state change state change state c"&amp;"hange state change state changes in the design 10 interface.
 8. The display screen panel can be used for mobile phones, computers, tablets, smart TVs, and vehicle central control screens.")</f>
        <v>1. Design product name: Advertising interactive graphic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graphical user interface: The interface is used to guide users to participate in advertising interaction.
 7. Human -computer interaction method of graphic user interface: In designing 1 main view, when the user leans forward the mobile phone and reaches a certain forward angle, the mobile phone icon under the interface is filled in real -time filling feedback display and then entered the advertisement. The details page shows the interface change from the main view 1 to the design 1 interface.
 Design the gray mask area in the interface change state Figure 2 is the content screen.
 In the design 2 main view, when the user leans forward and reaches a certain forward angle, the mobile phone icon below the interface is filled with feedback display in real time according to the degree of mobile phone. The football component is thrown from the bottom of the interface to the top, and then enters the advertising details. The page shows the interface change from the main view of the design 2 to the design 2 interface.
 The gray mask area in the design 2 interface change state is the content screen.
 In the design 3 main view, when the user leans forward and reaches a certain front angle, the mobile phone icon under the interface is filled with feedback display in real time according to the degree of mobile phone. The circular component is thrown from the bottom of the interface to the top, and then enter the advertisement. The details page shows the interface change from the main view of the design 3 to the design 3 interface.
 The gray mask area in the design 3 interface change state is the content screen.
 In the design 4 main view, when the user leans forward and reaches a certain front angle angle, the mobile phone icon root below the interface is filled in real -time feedback display according to the degree of the mobile phone. Then enter the advertising details page, showing the interface change from the design 4 main view to the design 4 interface.
 The gray mask area in the design 4 interface change state is the content screen.
 In designing 5 main views, when the user leans forward and reaches a certain front angle, the mobile phone icon root below the interface is filled in real -time feedback display according to the degree of mobile phone. Then enter the advertising details page, showing the interface change from the main view of the design 5 to the design 5 interface.
 The gray mask area in Figure 5 in the design 5 interface changes is the content screen.
 In designing 6 main views, when the user tilted the mobile phone forward and reaches a certain forward angle, the mobile phone icon below the interface is filled in real -time feedback display according to the degree of the mobile phone, and the small cards at the bottom of the interface move the interface to the left and right sides, respectively. Move upward and magnify the middle card and magnify to the maximum state, showing the interface change from the main view of the design 6 to the design 6 interface. Then enter the advertising details page, showing the changes of the design 6 interface change state Figure 3 to the design 6 interface changes. Figure 6 changes.
 The gray mask area in the design 6 interface change state is the content screen.
 In the design 7 main view, when the user tilted the mobile phone forward, the mobile phone icon below the interface carries out the feedback display in real time according to the degree of the mobile phone, showing the interface change from the design 7 to the design 7 interface changes.
 In the design of the 8 main view, when the user tilted the mobile phone forward and reaches a certain forward angle, the mobile phone icon below the interface is filled with feedback display in real time according to the degree of the mobile phone. The interface change of the main view to the design 8 interface changes.
 In the design 9 main view, when the user leans forward and reaches a certain forward angle, the mobile phone icon root below the interface is filled in real -time feedback display, and the gift box is opened and the jar component moves from the inside of the gift box to the center of the interface. , Show the interface change from the main view of the design 9 to the design 9 interface.
 In designing 10 main views, when the user tilted the mobile phone forward and reaches a certain front angle angle, the mobile phone icon below the interface is filled with feedback display in real time according to the degree of the mobile phone, and the small cards at the bottom of the interface move the interface to the left and right sides, respectively. Move upward and magnify the middle card and magnify to the maximum state, showing the interface change from the main view of the design 10 to the design 10 interface. A prompting information appears, showing the interface change of the interface change state change state change state change state change state changes in the design 10 interface.
 8. The display screen panel can be used for mobile phones, computers, tablets, smart TVs, and vehicle central control screens.</v>
      </c>
      <c r="D266" s="6" t="s">
        <v>792</v>
      </c>
      <c r="E266" s="4" t="str">
        <f ca="1">IFERROR(__xludf.DUMMYFUNCTION("GOOGLETRANSLATE(D266,""auto"",""en"")"),"Advertising interactive graphic user interface for display screen panels")</f>
        <v>Advertising interactive graphic user interface for display screen panels</v>
      </c>
    </row>
    <row r="267" spans="1:5" ht="15" x14ac:dyDescent="0.25">
      <c r="A267" s="5" t="s">
        <v>793</v>
      </c>
      <c r="B267" s="6" t="s">
        <v>794</v>
      </c>
      <c r="C267" s="3" t="str">
        <f ca="1">IFERROR(__xludf.DUMMYFUNCTION("GOOGLETRANSLATE(B267,""auto"",""en"")"),"1. Design product name: Display screen panels real -time monitoring graphic user interface.
 2. Design products in appearance: used for running procedures, information display, and human -computer interaction.
 3. Design of the design of the product i"&amp;"n this exterior: lies in the interface content of the graphic user interface in the screen.
 4. Pictures or photos that can most indicate design points: main view.
 5. The purpose of the graphical user interface: The main view is the real -time monito"&amp;"ring interface of the bracket, and the user can perform relevant operations according to the interface prompt.
 6. Other instructions: This display screen panel is applied to vehicles, computers, laptops, tablets, mobile phones, smart watches, smart bra"&amp;"celets, fitness monitor, headset headphones, personal digital assistant (PDA), smart speakers, TVs, TVs , Skytop box, projector, game console or navigator.")</f>
        <v>1. Design product name: Display screen panels real -time monitoring graphic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real -time monitoring interface of the bracket, and the user can perform relevant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267" s="6" t="s">
        <v>795</v>
      </c>
      <c r="E267" s="4" t="str">
        <f ca="1">IFERROR(__xludf.DUMMYFUNCTION("GOOGLETRANSLATE(D267,""auto"",""en"")"),"Real -time monitoring graphic user interface of the display screen panel")</f>
        <v>Real -time monitoring graphic user interface of the display screen panel</v>
      </c>
    </row>
    <row r="268" spans="1:5" ht="15" x14ac:dyDescent="0.25">
      <c r="A268" s="5" t="s">
        <v>796</v>
      </c>
      <c r="B268" s="6" t="s">
        <v>797</v>
      </c>
      <c r="C268" s="3" t="str">
        <f ca="1">IFERROR(__xludf.DUMMYFUNCTION("GOOGLETRANSLATE(B268,""auto"",""en"")"),"1. The name of the product design product: The coal mining machine of the display screen panel monitors the graphic user interface in real time.
 2. Design products in appearance: used for running procedures, information display, and human -computer int"&amp;"eraction.
 3. Design of the design of the product in this exterior: lies in the interface content of the graphic user interface in the screen.
 4. Pictures or photos that can most indicate design points: main view.
 5. The purpose of the graphical u"&amp;"ser interface: The main view is the real -time monitoring interface of the coal mining machine, and the user can perform related operations according to the interface prompt.
 6. Other instructions: This display screen panel is applied to vehicles, comp"&amp;"uters, laptops, tablets, mobile phones, smart watches, smart bracelets, fitness monitor, headset headphones, personal digital assistant (PDA), smart speakers, TVs, TVs , Skytop box, projector, game console or navigator.")</f>
        <v>1. The name of the product design product: The coal mining machine of the display screen panel monitors the graphic user interface in real time.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real -time monitoring interface of the coal mining machine, and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268" s="6" t="s">
        <v>798</v>
      </c>
      <c r="E268" s="4" t="str">
        <f ca="1">IFERROR(__xludf.DUMMYFUNCTION("GOOGLETRANSLATE(D268,""auto"",""en"")"),"Real -time monitoring graphic user interface of the coal mining machine of the display screen panel")</f>
        <v>Real -time monitoring graphic user interface of the coal mining machine of the display screen panel</v>
      </c>
    </row>
    <row r="269" spans="1:5" ht="15" x14ac:dyDescent="0.25">
      <c r="A269" s="5" t="s">
        <v>799</v>
      </c>
      <c r="B269" s="6" t="s">
        <v>800</v>
      </c>
      <c r="C269" s="3" t="str">
        <f ca="1">IFERROR(__xludf.DUMMYFUNCTION("GOOGLETRANSLATE(B269,""auto"",""en"")"),"1. The name of the product designed this product: The pump station of the display screen panel monitor the graphic user interface in real time.
 2. Design products in appearance: used for running procedures, information display, and human -computer inte"&amp;"raction.
 3. Design of the design of the product in this exterior: lies in the interface content of the graphic user interface in the screen.
 4. Pictures or photos that can most indicate design points: main view.
 5. The purpose of the graphical us"&amp;"er interface: The main view is the real -time monitoring interface of the pump station, and the user can perform relevant operations according to the interface prompt.
 6. Other instructions: This display screen panel is applied to vehicles, computers, "&amp;"laptops, tablets, mobile phones, smart watches, smart bracelets, fitness monitor, headset headphones, personal digital assistant (PDA), smart speakers, TVs, TVs , Skytop box, projector, game console or navigator.")</f>
        <v>1. The name of the product designed this product: The pump station of the display screen panel monitor the graphic user interface in real time.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real -time monitoring interface of the pump station, and the user can perform relevant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269" s="6" t="s">
        <v>801</v>
      </c>
      <c r="E269" s="4" t="str">
        <f ca="1">IFERROR(__xludf.DUMMYFUNCTION("GOOGLETRANSLATE(D269,""auto"",""en"")"),"Pump station on the display screen panel real -time monitoring graphic user interface")</f>
        <v>Pump station on the display screen panel real -time monitoring graphic user interface</v>
      </c>
    </row>
    <row r="270" spans="1:5" ht="15" x14ac:dyDescent="0.25">
      <c r="A270" s="5" t="s">
        <v>802</v>
      </c>
      <c r="B270" s="6" t="s">
        <v>803</v>
      </c>
      <c r="C270" s="3" t="str">
        <f ca="1">IFERROR(__xludf.DUMMYFUNCTION("GOOGLETRANSLATE(B270,""auto"",""en"")"),"1. Design product name: Display screen panel with work -oriented graphical user interface. ; 2. Design products for designing products: used to display graphical user interface. ; 3. Design of the design of the product in this exterior: lies in the graphi"&amp;"c user interface in the screen. ; 4. The picture or photo of the main point of design: The main view. ; 5. There is no design point for other views, omitting other views. 6. The purpose of graphical user interface: The interface is used for work managemen"&amp;"t, editing and display information. 7. Human -computer interaction method of graphical user interface: The graphic user interface displayed by the main view is the start interface of the opening program; The ""Press Group Launding"" button enters the inte"&amp;"rface change state Figure 2; click the ""Press Class Laundling"" button in the upper left corner of the main view to enter the interface change state Figure 3. ; 8. The display screen panels of the design of the product can be applied to computers, laptop"&amp;"s, tablet computers, head -up display (HUD), multimedia projector, smartphone, smart robot, smart glasses, virtual reality glasses, enhanced reality glasses, mixed mixed Reality glasses, smart watches, fitness monitor, headset headphones, driving recorder"&amp;"s, vehicle navigation equipment, vehicle CNC computer, automobile smart rearview mirror, smart speaker, smart TV, set -top box, game handheld, game console. ; 1. The name of the product design product: The display screen panel with the work interface of t"&amp;"he graphic user interface with the work schedule. ; 2. Design products for designing products: used to display graphical user interface. ; 3. Design of the design of the product in this exterior: lies in the graphic user interface in the screen. ; 4. The "&amp;"picture or photo of the main point of design: The main view. ; 5. There is no design point for other views, omitting other views. 6. The purpose of graphical user interface: The interface is used for work management, editing and display information. 7. Hu"&amp;"man -computer interaction method of graphical user interface: The graphic user interface displayed by the main view is the start interface of the opening program; The ""Press Group Launding"" button enters the interface change state Figure 2; click the """&amp;"Press Class Laundling"" button in the upper left corner of the main view to enter the interface change state Figure 3. ; 8. The display screen panels of the design of the product can be applied to computers, laptops, tablet computers, head -up display (HU"&amp;"D), multimedia projector, smartphone, smart robot, smart glasses, virtual reality glasses, enhanced reality glasses, mixed mixed Reality glasses, smart watches, fitness monitor, headset headphones, driving recorders, vehicle navigation equipment, vehicle "&amp;"CNC computer, automobile smart rearview mirror, smart speaker, smart TV, set -top box, game handheld, game console.")</f>
        <v>1. Design product name: Display screen panel with work -oriented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work management, editing and display information. 7. Human -computer interaction method of graphical user interface: The graphic user interface displayed by the main view is the start interface of the opening program; The "Press Group Launding" button enters the interface change state Figure 2; click the "Press Class Laundling" button in the upper left corner of the main view to enter the interface change state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design product: The display screen panel with the work interface of the graphic user interface with the work schedule.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work management, editing and display information. 7. Human -computer interaction method of graphical user interface: The graphic user interface displayed by the main view is the start interface of the opening program; The "Press Group Launding" button enters the interface change state Figure 2; click the "Press Class Laundling" button in the upper left corner of the main view to enter the interface change state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70" s="6" t="s">
        <v>804</v>
      </c>
      <c r="E270" s="4" t="str">
        <f ca="1">IFERROR(__xludf.DUMMYFUNCTION("GOOGLETRANSLATE(D270,""auto"",""en"")"),"Display screen panel with work schedule management graphical user interface")</f>
        <v>Display screen panel with work schedule management graphical user interface</v>
      </c>
    </row>
    <row r="271" spans="1:5" ht="15" x14ac:dyDescent="0.25">
      <c r="A271" s="5" t="s">
        <v>805</v>
      </c>
      <c r="B271" s="6" t="s">
        <v>806</v>
      </c>
      <c r="C271" s="3" t="str">
        <f ca="1">IFERROR(__xludf.DUMMYFUNCTION("GOOGLETRANSLATE(B271,""auto"",""en"")"),"1. Design product name: Display screen panel with a working hours monitoring management graphic user interface. ; 2. Design products for designing products: used to display graphical user interface. ; 3. Design of the design of the product in this exterio"&amp;"r: lies in the graphic user interface in the screen. ; 4. The picture or photo of the main point of design: The main view. ; 5. There is no design point for other views, omitting other views. ; 6. The purpose of graphical user interface: The interface is "&amp;"used for working hours monitoring, management, editing and displaying the purpose of information. 7. Human -computer interaction method of graphical user interface: The graphic user interface displayed by the main view is the start interface of the openin"&amp;"g program; Change status Figure 1; click the ""Team Workers"" button in the upper left corner of the main view of the main view to enter the interface change state Figure 2; click the interface change status Figure 2 Middle ""Thursday 11/03"" from top to "&amp;"lower cell button pops up The interface changes status Figure 3. ; 8. The display screen panels of the design of the product can be applied to computers, laptops, tablet computers, head -up display (HUD), multimedia projector, smartphone, smart robot, sma"&amp;"rt glasses, virtual reality glasses, enhanced reality glasses, mixed mixed Reality glasses, smart watches, fitness monitor, headset headphones, driving recorders, vehicle navigation equipment, vehicle CNC computer, automobile smart rearview mirror, smart "&amp;"speaker, smart TV, set -top box, game handheld, game console. ; 1. The name of the product of the design of the product: Display screen panel with the management of the graphical user interface with the working hours. ; 2. Design products for designing pr"&amp;"oducts: used to display graphical user interface. ; 3. Design of the design of the product in this exterior: lies in the graphic user interface in the screen. ; 4. The picture or photo of the main point of design: The main view. ; 5. There is no design po"&amp;"int for other views, omitting other views. ; 6. The purpose of graphical user interface: The interface is used for working hours monitoring, management, editing and displaying the purpose of information. 7. Human -computer interaction method of graphical "&amp;"user interface: The graphic user interface displayed by the main view is the start interface of the opening program; Change status Figure 1; click the ""Team Workers"" button in the upper left corner of the main view of the main view to enter the interfac"&amp;"e change state Figure 2; click the interface change status Figure 2 Middle ""Thursday 11/03"" from top to lower cell button pops up The interface changes status Figure 3. ; 8. The display screen panels of the design of the product can be applied to comput"&amp;"ers, laptops, tablet computers, head -up display (HUD), multimedia projector, smartphone, smart robot, smart glasses, virtual reality glasses, enhanced reality glasses, mixed mixed Reality glasses, smart watches, fitness monitor, headset headphones, drivi"&amp;"ng recorders, vehicle navigation equipment, vehicle CNC computer, automobile smart rearview mirror, smart speaker, smart TV, set -top box, game handheld, game console.")</f>
        <v>1. Design product name: Display screen panel with a working hours monitoring management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working hours monitoring, management, editing and displaying the purpose of information. 7. Human -computer interaction method of graphical user interface: The graphic user interface displayed by the main view is the start interface of the opening program; Change status Figure 1; click the "Team Workers" button in the upper left corner of the main view of the main view to enter the interface change state Figure 2; click the interface change status Figure 2 Middle "Thursday 11/03" from top to lower cell button pops up The interface changes status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of the design of the product: Display screen panel with the management of the graphical user interface with the working hours.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working hours monitoring, management, editing and displaying the purpose of information. 7. Human -computer interaction method of graphical user interface: The graphic user interface displayed by the main view is the start interface of the opening program; Change status Figure 1; click the "Team Workers" button in the upper left corner of the main view of the main view to enter the interface change state Figure 2; click the interface change status Figure 2 Middle "Thursday 11/03" from top to lower cell button pops up The interface changes status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71" s="6" t="s">
        <v>807</v>
      </c>
      <c r="E271" s="4" t="str">
        <f ca="1">IFERROR(__xludf.DUMMYFUNCTION("GOOGLETRANSLATE(D271,""auto"",""en"")"),"Display screen panels of managing management graphical user interface with work hours")</f>
        <v>Display screen panels of managing management graphical user interface with work hours</v>
      </c>
    </row>
    <row r="272" spans="1:5" ht="15" x14ac:dyDescent="0.25">
      <c r="A272" s="5" t="s">
        <v>808</v>
      </c>
      <c r="B272" s="6" t="s">
        <v>809</v>
      </c>
      <c r="C272" s="3" t="str">
        <f ca="1">IFERROR(__xludf.DUMMYFUNCTION("GOOGLETRANSLATE(B272,""auto"",""en"")"),"1. Design product name: Bring a video picture to browse the display screen panel of the graphical user interface.
 2. The purpose of designing products in this exterior: used to display graphic user interface.
 3. Design of design products in this app"&amp;"earance: lies in the graphic user interface in the screen.
 4. Pictures or photos that can most indicate design points: main view.
 5. The design that requests protection contains color.
 6. There is no design point for other views, omitting other v"&amp;"iews.
 7. The purpose of the graphical user interface: The interface is used for the purpose of video/picture browsing, searching and displaying information.
 8. Human -computer interaction method of graphical user interface: In the main view, the int"&amp;"erface shows the module layout related to the media content browsing. Users can click on the operating control in any module to perform more operations.
 9. The display screen panel of this product can be applied to computers, laptops, tablet computers,"&amp;" head -up display (HUD), multimedia projector, smartphone, smart robot, smart glasses, virtual reality glasses, augmented reality glasses, hybrid reality, hybrid reality Glasses, smart watches, fitness monitors, headset headphones, driving recorders, vehi"&amp;"cle navigation equipment, vehicle CNC computer, automobile smart rearview mirror, smart speaker, smart TV, set -top box, game handheld, game console.
 10. The single -color block ""X"" coating part of the graphic user interface of this product is the co"&amp;"ntent screen.")</f>
        <v>1. Design product name: Bring a video picture to browse the display screen panel of the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 design that requests protection contains color.
 6. There is no design point for other views, omitting other views.
 7. The purpose of the graphical user interface: The interface is used for the purpose of video/picture browsing, searching and displaying information.
 8. Human -computer interaction method of graphical user interface: In the main view, the interface shows the module layout related to the media content browsing. Users can click on the operating control in any module to perform more operations.
 9. The display screen panel of this product can be applied to computers, laptops, tablet computers, head -up display (HUD), multimedia projector, smartphone, smart robot, smart glasses, virtual reality glasses, augmented reality glasses, hybrid reality, hybrid reality Glasses, smart watches, fitness monitors, headset headphones, driving recorders, vehicle navigation equipment, vehicle CNC computer, automobile smart rearview mirror, smart speaker, smart TV, set -top box, game handheld, game console.
 10. The single -color block "X" coating part of the graphic user interface of this product is the content screen.</v>
      </c>
      <c r="D272" s="6" t="s">
        <v>810</v>
      </c>
      <c r="E272" s="4" t="str">
        <f ca="1">IFERROR(__xludf.DUMMYFUNCTION("GOOGLETRANSLATE(D272,""auto"",""en"")"),"Browse the display screen panel with a video picture to browse the graphical user interface")</f>
        <v>Browse the display screen panel with a video picture to browse the graphical user interface</v>
      </c>
    </row>
    <row r="273" spans="1:5" ht="15" x14ac:dyDescent="0.25">
      <c r="A273" s="5" t="s">
        <v>811</v>
      </c>
      <c r="B273" s="6" t="s">
        <v>812</v>
      </c>
      <c r="C273" s="3" t="str">
        <f ca="1">IFERROR(__xludf.DUMMYFUNCTION("GOOGLETRANSLATE(B273,""auto"",""en"")"),"This publicly provides a method, device, and electronic equipment for virtual digital people, involving the field of human -computer interaction technology to solve the problem of consistent fitness action corresponding to fitness videos of electronic equ"&amp;"ipment playback. This method includes: the first frame of image collection of the image collection device when obtaining the playback target video; the key recognition of the human body for the first frame of the image, determine the location information "&amp;"between the key points of the human body, the first actual length of the target body, and the target removal of the target. The second actual length of other body parts outside the body part; according to the target ratio and the first actual length, dete"&amp;"rmine the predictive length of other body parts except the target body; based on the second actual length and the prediction length, determine Draw the height of other body parts; draw on the first actual length, drawing height, and location relationship "&amp;"to generate virtual digital people.")</f>
        <v>This publicly provides a method, device, and electronic equipment for virtual digital people, involving the field of human -computer interaction technology to solve the problem of consistent fitness action corresponding to fitness videos of electronic equipment playback. This method includes: the first frame of image collection of the image collection device when obtaining the playback target video; the key recognition of the human body for the first frame of the image, determine the location information between the key points of the human body, the first actual length of the target body, and the target removal of the target. The second actual length of other body parts outside the body part; according to the target ratio and the first actual length, determine the predictive length of other body parts except the target body; based on the second actual length and the prediction length, determine Draw the height of other body parts; draw on the first actual length, drawing height, and location relationship to generate virtual digital people.</v>
      </c>
      <c r="D273" s="6" t="s">
        <v>813</v>
      </c>
      <c r="E273" s="4" t="str">
        <f ca="1">IFERROR(__xludf.DUMMYFUNCTION("GOOGLETRANSLATE(D273,""auto"",""en"")"),"A method, device and electronic equipment of a virtual digital person")</f>
        <v>A method, device and electronic equipment of a virtual digital person</v>
      </c>
    </row>
    <row r="274" spans="1:5" ht="15" x14ac:dyDescent="0.25">
      <c r="A274" s="5" t="s">
        <v>814</v>
      </c>
      <c r="B274" s="6" t="s">
        <v>815</v>
      </c>
      <c r="C274" s="3" t="str">
        <f ca="1">IFERROR(__xludf.DUMMYFUNCTION("GOOGLETRANSLATE(B274,""auto"",""en"")"),"The systems and methods that are used to identify the snapshots in the video. Example implementation can: train neural networks to detect one or more basic offensive formation elements; use neural network recognition of one or more basic offensive formati"&amp;"on elements in the input video; Form elements determine one or more video frames that include effective formations; and using one or more necessary offensive formation elements that are detected to determine one or more video frames that are valid.")</f>
        <v>The systems and methods that are used to identify the snapshots in the video. Example implementation can: train neural networks to detect one or more basic offensive formation elements; use neural network recognition of one or more basic offensive formation elements in the input video; Form elements determine one or more video frames that include effective formations; and using one or more necessary offensive formation elements that are detected to determine one or more video frames that are valid.</v>
      </c>
      <c r="D274" s="6" t="s">
        <v>816</v>
      </c>
      <c r="E274" s="4" t="str">
        <f ca="1">IFERROR(__xludf.DUMMYFUNCTION("GOOGLETRANSLATE(D274,""auto"",""en"")"),"Used to identify the system and method of snapshots in American football videos")</f>
        <v>Used to identify the system and method of snapshots in American football videos</v>
      </c>
    </row>
    <row r="275" spans="1:5" ht="15" x14ac:dyDescent="0.25">
      <c r="A275" s="5" t="s">
        <v>817</v>
      </c>
      <c r="B275" s="6" t="s">
        <v>818</v>
      </c>
      <c r="C275" s="3" t="str">
        <f ca="1">IFERROR(__xludf.DUMMYFUNCTION("GOOGLETRANSLATE(B275,""auto"",""en"")"),"The systems and methods for building a grid model in the video are disclosed. For example implementation, it can be covered with one or more field lines, laidial markers or edges on one or more frames of the video; multiple uniform spaces that are paralle"&amp;"l to one or more field lines; using neural networks with neural networks Model detection one or more of the field objects in one or more video frames; build one or more anchor lines along the top of the detected site object; Multi -uniform latitude lines "&amp;"of the anchor lines; the multiple vertical lines, one or multiple anchor lines, or multiple uniformly interval with a uniform interval are superimposed on one or more frames.")</f>
        <v>The systems and methods for building a grid model in the video are disclosed. For example implementation, it can be covered with one or more field lines, laidial markers or edges on one or more frames of the video; multiple uniform spaces that are parallel to one or more field lines; using neural networks with neural networks Model detection one or more of the field objects in one or more video frames; build one or more anchor lines along the top of the detected site object; Multi -uniform latitude lines of the anchor lines; the multiple vertical lines, one or multiple anchor lines, or multiple uniformly interval with a uniform interval are superimposed on one or more frames.</v>
      </c>
      <c r="D275" s="6" t="s">
        <v>819</v>
      </c>
      <c r="E275" s="4" t="str">
        <f ca="1">IFERROR(__xludf.DUMMYFUNCTION("GOOGLETRANSLATE(D275,""auto"",""en"")"),"The system and method of geographical positioning for players on the court in American football videos")</f>
        <v>The system and method of geographical positioning for players on the court in American football videos</v>
      </c>
    </row>
    <row r="276" spans="1:5" ht="15" x14ac:dyDescent="0.25">
      <c r="A276" s="5" t="s">
        <v>820</v>
      </c>
      <c r="B276" s="6" t="s">
        <v>821</v>
      </c>
      <c r="C276" s="3" t="str">
        <f ca="1">IFERROR(__xludf.DUMMYFUNCTION("GOOGLETRANSLATE(B276,""auto"",""en"")"),"The invention disclosed a person -based person -based personnel fallal warning monitoring system, involving personnel falling water monitoring technology fields, including monitoring units, monitoring and analysis units, cross -border warning units, falli"&amp;"ng water judgment units, database units, water alarm position indicator units, manual check -ups Unit; the monitoring unit includes multiple monitoring cameras. Multiple monitoring cameras monitor different locations to eliminate monitoring dead ends and "&amp;"pass real -time monitoring videos to monitoring analysis units; The analysis unit and the Vietnamese warning unit can identify and track personnel who enter the monitoring scope, and enter the early warning area at the edge of the personnel near the water"&amp;". This can make the surface personnel who can detect whether the surface personnel can be draped, swimming, or unexpected water to be rescued through the actions of the surface personnel.")</f>
        <v>The invention disclosed a person -based person -based personnel fallal warning monitoring system, involving personnel falling water monitoring technology fields, including monitoring units, monitoring and analysis units, cross -border warning units, falling water judgment units, database units, water alarm position indicator units, manual check -ups Unit; the monitoring unit includes multiple monitoring cameras. Multiple monitoring cameras monitor different locations to eliminate monitoring dead ends and pass real -time monitoring videos to monitoring analysis units; The analysis unit and the Vietnamese warning unit can identify and track personnel who enter the monitoring scope, and enter the early warning area at the edge of the personnel near the water. This can make the surface personnel who can detect whether the surface personnel can be draped, swimming, or unexpected water to be rescued through the actions of the surface personnel.</v>
      </c>
      <c r="D276" s="6" t="s">
        <v>822</v>
      </c>
      <c r="E276" s="4" t="str">
        <f ca="1">IFERROR(__xludf.DUMMYFUNCTION("GOOGLETRANSLATE(D276,""auto"",""en"")"),"A early warning monitoring system based on deep learning")</f>
        <v>A early warning monitoring system based on deep learning</v>
      </c>
    </row>
    <row r="277" spans="1:5" ht="15" x14ac:dyDescent="0.25">
      <c r="A277" s="5" t="s">
        <v>823</v>
      </c>
      <c r="B277" s="6" t="s">
        <v>824</v>
      </c>
      <c r="C277" s="3" t="str">
        <f ca="1">IFERROR(__xludf.DUMMYFUNCTION("GOOGLETRANSLATE(B277,""auto"",""en"")"),"The invention disclosed the evaluation method of smart sports project based on big data, involving the field of evaluation technology in smart sports projects. Score characteristics, set key score features for each sports; and collect the key score video "&amp;"of each sports project in advance; then use the movement video of the key score Real -time sports project evaluation, set up the corresponding number of video capture equipment, and capture real -time capture of the people who perform sports; use neural n"&amp;"etwork models to identify the type of sports project according to action videos; and use the corresponding neural network according to the type of sports project. The model is automatically scored; it greatly reduces the labor cost of sports evaluation an"&amp;"d avoids the disadvantages of the subjectivity of evaluation.")</f>
        <v>The invention disclosed the evaluation method of smart sports project based on big data, involving the field of evaluation technology in smart sports projects. Score characteristics, set key score features for each sports; and collect the key score video of each sports project in advance; then use the movement video of the key score Real -time sports project evaluation, set up the corresponding number of video capture equipment, and capture real -time capture of the people who perform sports; use neural network models to identify the type of sports project according to action videos; and use the corresponding neural network according to the type of sports project. The model is automatically scored; it greatly reduces the labor cost of sports evaluation and avoids the disadvantages of the subjectivity of evaluation.</v>
      </c>
      <c r="D277" s="6" t="s">
        <v>825</v>
      </c>
      <c r="E277" s="4" t="str">
        <f ca="1">IFERROR(__xludf.DUMMYFUNCTION("GOOGLETRANSLATE(D277,""auto"",""en"")"),"Big data -based smart sports project evaluation method")</f>
        <v>Big data -based smart sports project evaluation method</v>
      </c>
    </row>
    <row r="278" spans="1:5" ht="15" x14ac:dyDescent="0.25">
      <c r="A278" s="5" t="s">
        <v>826</v>
      </c>
      <c r="B278" s="6" t="s">
        <v>827</v>
      </c>
      <c r="C278" s="3" t="str">
        <f ca="1">IFERROR(__xludf.DUMMYFUNCTION("GOOGLETRANSLATE(B278,""auto"",""en"")"),"Multiple disease diagnosis and health management systems include health prediction units, including: input unit, including natural language processing for extracting data on patients with patients; training processing units, which is used to use publicly "&amp;"available diabetes and heart disease data training randomly Forest machine learning model; used to predict the patient's blood sugar and cholesterol level to identify the central processor of patients' diseases; the recommended unit of the diet plan inclu"&amp;"des: control unit, which is used to use artificial intelligence technology to generate diet plans and sports charts for various patients to generate diet plans and sports charts. And the graphic user interface with artificial intelligence technology, whic"&amp;"h is used to assist patients with early monitoring and management of the complications of diseases. Among them, the graphic user interface can visually visualize the diet plan and physical exercise chart of patients with different categories.")</f>
        <v>Multiple disease diagnosis and health management systems include health prediction units, including: input unit, including natural language processing for extracting data on patients with patients; training processing units, which is used to use publicly available diabetes and heart disease data training randomly Forest machine learning model; used to predict the patient's blood sugar and cholesterol level to identify the central processor of patients' diseases; the recommended unit of the diet plan includes: control unit, which is used to use artificial intelligence technology to generate diet plans and sports charts for various patients to generate diet plans and sports charts. And the graphic user interface with artificial intelligence technology, which is used to assist patients with early monitoring and management of the complications of diseases. Among them, the graphic user interface can visually visualize the diet plan and physical exercise chart of patients with different categories.</v>
      </c>
      <c r="D278" s="6" t="s">
        <v>828</v>
      </c>
      <c r="E278" s="4" t="str">
        <f ca="1">IFERROR(__xludf.DUMMYFUNCTION("GOOGLETRANSLATE(D278,""auto"",""en"")"),"A multi -ill diagnosis and health management system and its method")</f>
        <v>A multi -ill diagnosis and health management system and its method</v>
      </c>
    </row>
    <row r="279" spans="1:5" ht="15" x14ac:dyDescent="0.25">
      <c r="A279" s="5" t="s">
        <v>829</v>
      </c>
      <c r="B279" s="6" t="s">
        <v>830</v>
      </c>
      <c r="C279" s="3" t="str">
        <f ca="1">IFERROR(__xludf.DUMMYFUNCTION("GOOGLETRANSLATE(B279,""auto"",""en"")"),"This application belongs to the field of cardiopulmonary resuscitation practice technology, which involves a kind of cardiopulmonary resuscitation practice assessment device, including at least one exercise simulation device, and monitoring terminal with "&amp;"wireless connection with the exercise simulation device; Sensor modules, data processing modules, and IoT modules; the IoT module of the IoT module is wirelessly connected to the monitoring terminal; the sensor module includes at least the ranging sensor."&amp;" It can be understood that the cardiopulmonary resuscitation practice assessment device can collect at least one student's sensor data when operating the simulation device, and pass the sensor data to the monitoring terminal, so that the coach evaluates t"&amp;"he students through the data on the terminal.")</f>
        <v>This application belongs to the field of cardiopulmonary resuscitation practice technology, which involves a kind of cardiopulmonary resuscitation practice assessment device, including at least one exercise simulation device, and monitoring terminal with wireless connection with the exercise simulation device; Sensor modules, data processing modules, and IoT modules; the IoT module of the IoT module is wirelessly connected to the monitoring terminal; the sensor module includes at least the ranging sensor. It can be understood that the cardiopulmonary resuscitation practice assessment device can collect at least one student's sensor data when operating the simulation device, and pass the sensor data to the monitoring terminal, so that the coach evaluates the students through the data on the terminal.</v>
      </c>
      <c r="D279" s="6" t="s">
        <v>831</v>
      </c>
      <c r="E279" s="4" t="str">
        <f ca="1">IFERROR(__xludf.DUMMYFUNCTION("GOOGLETRANSLATE(D279,""auto"",""en"")"),"A cardiopulmonary resuscitation practice assessment device")</f>
        <v>A cardiopulmonary resuscitation practice assessment device</v>
      </c>
    </row>
    <row r="280" spans="1:5" ht="15" x14ac:dyDescent="0.25">
      <c r="A280" s="5" t="s">
        <v>832</v>
      </c>
      <c r="B280" s="6" t="s">
        <v>833</v>
      </c>
      <c r="C280" s="3" t="str">
        <f ca="1">IFERROR(__xludf.DUMMYFUNCTION("GOOGLETRANSLATE(B280,""auto"",""en"")"),"1. The name of the product of the design of the product: display screen panel with performance assessment management graphic user interface. ; 2. Design products for designing products: used to display graphical user interface. ; 3. Design of the design o"&amp;"f the product in this exterior: lies in the graphic user interface in the screen. ; 4. The picture or photo of the main point of design: The main view. ; 5. There is no design point for other views, omitting other views. 6. The purpose of the graphical us"&amp;"er interface: The interface is used for the use of work performance target creation, modification, management and display information. 7. Human -computer interaction method of graphic user interface: The graphic user interface displayed by the main view i"&amp;"s to open the start interface of the program; slide up at any position at the bottom right of the main view. The ""Three Tao Bar"" graphics buttons on the right obtain the interface change state Figure 2; click the ""OKR Map"" button in the upper left cor"&amp;"ner of the main view to enter the interface change state. Status Figure 4; click the ""Modification and Alignment"" button in the main view of the main view to enter the interface change state Figure 5. ; 8. The display screen panels of the design of the "&amp;"product can be applied to computers, laptops, tablet computers, head -up display (HUD), multimedia projector, smartphone, smart robot, smart glasses, virtual reality glasses, enhanced reality glasses, mixed mixed Reality glasses, smart watches, fitness mo"&amp;"nitor, headset headphones, driving recorders, vehicle navigation equipment, vehicle CNC computer, automobile smart rearview mirror, smart speaker, smart TV, set -top box, game handheld, game console. ; 1. The name of the design of the product in this exte"&amp;"rior: the display screen panel with the performance assessment management graphical user interface. ; 2. Design products for designing products: used to display graphical user interface. ; 3. Design of the design of the product in this exterior: lies in t"&amp;"he graphic user interface in the screen. ; 4. The picture or photo of the main point of design: The main view. ; 5. There is no design point for other views, omitting other views. 6. The purpose of the graphical user interface: The interface is used for t"&amp;"he use of work performance target creation, modification, management and display information. 7. Human -computer interaction method of graphic user interface: The graphic user interface displayed by the main view is to open the start interface of the prog"&amp;"ram; slide up at any position at the bottom right of the main view. The ""Three Tao Bar"" graphics buttons on the right obtain the interface change state Figure 2; click the ""OKR Map"" button in the upper left corner of the main view to enter the interfa"&amp;"ce change state. Status Figure 4; click the ""Modification and Alignment"" button in the main view of the main view to enter the interface change state Figure 5. ; 8. The display screen panels of the design of the product can be applied to computers, lapt"&amp;"ops, tablet computers, head -up display (HUD), multimedia projector, smartphone, smart robot, smart glasses, virtual reality glasses, enhanced reality glasses, mixed mixed Reality glasses, smart watches, fitness monitor, headset headphones, driving record"&amp;"ers, vehicle navigation equipment, vehicle CNC computer, automobile smart rearview mirror, smart speaker, smart TV, set -top box, game handheld, game console.")</f>
        <v>1. The name of the product of the design of the product: display screen panel with performance assessment management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the graphical user interface: The interface is used for the use of work performance target creation, modification, management and display information. 7. Human -computer interaction method of graphic user interface: The graphic user interface displayed by the main view is to open the start interface of the program; slide up at any position at the bottom right of the main view. The "Three Tao Bar" graphics buttons on the right obtain the interface change state Figure 2; click the "OKR Map" button in the upper left corner of the main view to enter the interface change state. Status Figure 4; click the "Modification and Alignment" button in the main view of the main view to enter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the display screen panel with the performance assessment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the graphical user interface: The interface is used for the use of work performance target creation, modification, management and display information. 7. Human -computer interaction method of graphic user interface: The graphic user interface displayed by the main view is to open the start interface of the program; slide up at any position at the bottom right of the main view. The "Three Tao Bar" graphics buttons on the right obtain the interface change state Figure 2; click the "OKR Map" button in the upper left corner of the main view to enter the interface change state. Status Figure 4; click the "Modification and Alignment" button in the main view of the main view to enter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80" s="6" t="s">
        <v>834</v>
      </c>
      <c r="E280" s="4" t="str">
        <f ca="1">IFERROR(__xludf.DUMMYFUNCTION("GOOGLETRANSLATE(D280,""auto"",""en"")"),"Display screen panel with performance assessment management graphical user interface")</f>
        <v>Display screen panel with performance assessment management graphical user interface</v>
      </c>
    </row>
    <row r="281" spans="1:5" ht="15" x14ac:dyDescent="0.25">
      <c r="A281" s="5" t="s">
        <v>835</v>
      </c>
      <c r="B281" s="6" t="s">
        <v>836</v>
      </c>
      <c r="C281" s="3" t="str">
        <f ca="1">IFERROR(__xludf.DUMMYFUNCTION("GOOGLETRANSLATE(B281,""auto"",""en"")"),"1. Design product name: Display screen panel with a project -time management graphical user interface with project working hours. ; 2. Design products for designing products: used to display graphical user interface. ; 3. Design of the design of the produ"&amp;"ct in this exterior: lies in the graphic user interface in the screen. ; 4. The picture or photo of the main point of design: The main view. ; 5. There is no design point for other views, omitting other views. ; 6. The purpose of graphical user interface:"&amp;" The interface is used for the purpose of project working hours monitoring, management, editing and displaying information. 7. Human -computer interaction method of graphical user interface: The graphic user interface displayed by the main view is the sta"&amp;"rt interface of the opening program; The ""Team Workers"" button on the top of the interface changes state Figure 2; click the interface change state Figure 2 The first ""+"" button on the right side of the interface to enter the interface change state Fi"&amp;"gure 3; click the ""Project Hill"" button at the top of the main view at the top of the main view. Enter the interface change state Figure 4; click the interface change state Figure 4 The ""Beijing ‑xxxxxx"" button at the top of the interface to enter the"&amp;" interface changes. Status Figure 6; Click the ""Basic Information"" button in the upper left corner of the ""Basic Information"" button in the upper left corner of the interface to enter the interface change state. 7. ; 8. The display screen panels of th"&amp;"e design of the product can be applied to computers, laptops, tablet computers, head -up display (HUD), multimedia projector, smartphone, smart robot, smart glasses, virtual reality glasses, enhanced reality glasses, mixed mixed Reality glasses, smart wat"&amp;"ches, fitness monitor, headset headphones, driving recorders, vehicle navigation equipment, vehicle CNC computer, automobile smart rearview mirror, smart speaker, smart TV, set -top box, game handheld, game console. ; 1. The name of the design of the prod"&amp;"uct in this exterior: The display screen panel with the project management of the graphical user interface with the project. ; 2. Design products for designing products: used to display graphical user interface. ; 3. Design of the design of the product in"&amp;" this exterior: lies in the graphic user interface in the screen. ; 4. The picture or photo of the main point of design: The main view. ; 5. There is no design point for other views, omitting other views. ; 6. The purpose of graphical user interface: The "&amp;"interface is used for the purpose of project working hours monitoring, management, editing and displaying information. 7. Human -computer interaction method of graphical user interface: The graphic user interface displayed by the main view is the start in"&amp;"terface of the opening program; The ""Team Workers"" button on the top of the interface changes state Figure 2; click the interface change state Figure 2 The first ""+"" button on the right side of the interface to enter the interface change state Figure "&amp;"3; click the ""Project Hill"" button at the top of the main view at the top of the main view. Enter the interface change state Figure 4; click the interface change state Figure 4 The ""Beijing ‑xxxxxx"" button at the top of the interface to enter the inte"&amp;"rface changes. Status Figure 6; Click the ""Basic Information"" button in the upper left corner of the ""Basic Information"" button in the upper left corner of the interface to enter the interface change state. 7. ; 8. The display screen panels of the des"&amp;"ign of the product can be applied to computers, laptops, tablet computers, head -up display (HUD), multimedia projector, smartphone, smart robot, smart glasses, virtual reality glasses, enhanced reality glasses, mixed mixed Reality glasses, smart watches,"&amp;" fitness monitor, headset headphones, driving recorders, vehicle navigation equipment, vehicle CNC computer, automobile smart rearview mirror, smart speaker, smart TV, set -top box, game handheld, game console.")</f>
        <v>1. Design product name: Display screen panel with a project -time management graphical user interface with project working hours.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the purpose of project working hours monitoring, management, editing and displaying information. 7. Human -computer interaction method of graphical user interface: The graphic user interface displayed by the main view is the start interface of the opening program; The "Team Workers" button on the top of the interface changes state Figure 2; click the interface change state Figure 2 The first "+" button on the right side of the interface to enter the interface change state Figure 3; click the "Project Hill" button at the top of the main view at the top of the main view. Enter the interface change state Figure 4; click the interface change state Figure 4 The "Beijing ‑xxxxxx" button at the top of the interface to enter the interface changes. Status Figure 6; Click the "Basic Information" button in the upper left corner of the "Basic Information" button in the upper left corner of the interface to enter the interface change state. 7.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The display screen panel with the project management of the graphical user interface with the project.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the purpose of project working hours monitoring, management, editing and displaying information. 7. Human -computer interaction method of graphical user interface: The graphic user interface displayed by the main view is the start interface of the opening program; The "Team Workers" button on the top of the interface changes state Figure 2; click the interface change state Figure 2 The first "+" button on the right side of the interface to enter the interface change state Figure 3; click the "Project Hill" button at the top of the main view at the top of the main view. Enter the interface change state Figure 4; click the interface change state Figure 4 The "Beijing ‑xxxxxx" button at the top of the interface to enter the interface changes. Status Figure 6; Click the "Basic Information" button in the upper left corner of the "Basic Information" button in the upper left corner of the interface to enter the interface change state. 7.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81" s="6" t="s">
        <v>837</v>
      </c>
      <c r="E281" s="4" t="str">
        <f ca="1">IFERROR(__xludf.DUMMYFUNCTION("GOOGLETRANSLATE(D281,""auto"",""en"")"),"Bring the display screen panel with project working hours management graphical user interface")</f>
        <v>Bring the display screen panel with project working hours management graphical user interface</v>
      </c>
    </row>
    <row r="282" spans="1:5" ht="15" x14ac:dyDescent="0.25">
      <c r="A282" s="5" t="s">
        <v>838</v>
      </c>
      <c r="B282" s="6" t="s">
        <v>839</v>
      </c>
      <c r="C282" s="3" t="str">
        <f ca="1">IFERROR(__xludf.DUMMYFUNCTION("GOOGLETRANSLATE(B282,""auto"",""en"")"),"1. Design product name: Display screen panel with bonus allocation management graphic user interface. ; 2. Design products for designing products: used to display graphical user interface. ; 3. Design of the design of the product in this exterior: lies in"&amp;" the graphic user interface in the screen. ; 4. The picture or photo of the main point of design: The main view. ; 5. There is no design point for other views, omitting other views. ; 6. The purpose of graphical user interface: The interface is used for t"&amp;"he purpose of bonus distribution management, data monitoring and display information. 7. Human -computer interaction method of graphics user interface: The graphic user interface displayed by the main view is to open the start interface of the program; cl"&amp;"ick the ""Beijing Headquarters Sales Department ‑ January"" button in the upper left corner of the main view to enter the interface change state. Click the ""employee end"" button in the upper right corner of the change state to enter the interface change"&amp;" state. Figure 2. ; 8. The display screen panels of the design of the product can be applied to computers, laptops, tablet computers, head -up display (HUD), multimedia projector, smartphone, smart robot, smart glasses, virtual reality glasses, enhanced r"&amp;"eality glasses, mixed mixed Reality glasses, smart watches, fitness monitor, headset headphones, driving recorders, vehicle navigation equipment, vehicle CNC computer, automobile smart rearview mirror, smart speaker, smart TV, set -top box, game handheld,"&amp;" game console. ; 1. The name of the design of the product in this exterior: The display screen panel with a bonus allocation management graphic user interface. ; 2. Design products for designing products: used to display graphical user interface. ; 3. Des"&amp;"ign of the design of the product in this exterior: lies in the graphic user interface in the screen. ; 4. The picture or photo of the main point of design: The main view. ; 5. There is no design point for other views, omitting other views. ; 6. The purpos"&amp;"e of graphical user interface: The interface is used for the purpose of bonus distribution management, data monitoring and display information. 7. Human -computer interaction method of graphics user interface: The graphic user interface displayed by the m"&amp;"ain view is to open the start interface of the program; click the ""Beijing Headquarters Sales Department ‑ January"" button in the upper left corner of the main view to enter the interface change state. Click the ""employee end"" button in the upper righ"&amp;"t corner of the change state to enter the interface change state. Figure 2. ; 8. The display screen panels of the design of the product can be applied to computers, laptops, tablet computers, head -up display (HUD), multimedia projector, smartphone, smart"&amp;" robot, smart glasses, virtual reality glasses, enhanced reality glasses, mixed mixed Reality glasses, smart watches, fitness monitor, headset headphones, driving recorders, vehicle navigation equipment, vehicle CNC computer, automobile smart rearview mir"&amp;"ror, smart speaker, smart TV, set -top box, game handheld, game console.")</f>
        <v>1. Design product name: Display screen panel with bonus allocation management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the purpose of bonus distribution management, data monitoring and display information. 7. Human -computer interaction method of graphics user interface: The graphic user interface displayed by the main view is to open the start interface of the program; click the "Beijing Headquarters Sales Department ‑ January" button in the upper left corner of the main view to enter the interface change state. Click the "employee end" button in the upper right corner of the change state to enter the interface change state. Figure 2.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The display screen panel with a bonus allocation management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 6. The purpose of graphical user interface: The interface is used for the purpose of bonus distribution management, data monitoring and display information. 7. Human -computer interaction method of graphics user interface: The graphic user interface displayed by the main view is to open the start interface of the program; click the "Beijing Headquarters Sales Department ‑ January" button in the upper left corner of the main view to enter the interface change state. Click the "employee end" button in the upper right corner of the change state to enter the interface change state. Figure 2.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282" s="6" t="s">
        <v>840</v>
      </c>
      <c r="E282" s="4" t="str">
        <f ca="1">IFERROR(__xludf.DUMMYFUNCTION("GOOGLETRANSLATE(D282,""auto"",""en"")"),"Display screen panel with bonus allocation management graphics user interface")</f>
        <v>Display screen panel with bonus allocation management graphics user interface</v>
      </c>
    </row>
    <row r="283" spans="1:5" ht="15" x14ac:dyDescent="0.25">
      <c r="A283" s="5" t="s">
        <v>841</v>
      </c>
      <c r="B283" s="6" t="s">
        <v>842</v>
      </c>
      <c r="C283" s="3" t="str">
        <f ca="1">IFERROR(__xludf.DUMMYFUNCTION("GOOGLETRANSLATE(B283,""auto"",""en"")"),"1. The name of the product design product: The display screen panel with a resume screen management graphical user interface. ; 2. Design products for designing products: used to display graphical user interface. ; 3. Design of the design of the product i"&amp;"n this exterior: lies in the graphic user interface in the screen. ; 4. The picture or photo of the main point of design: The main view. ; 5. There is no design point for other views, omitting other views. 6. The purpose of graphical user interface: The i"&amp;"nterface is used to recruit resume screening, management, editing, and display information. 7. Human -computer interaction method of graphical user interface: The graphic user interface displayed by the main view is to open the start interface of the prog"&amp;"ram; ""Reading"" button pops up the interface change state Figure 2; click the ""Message"" button in the lower right corner of the main view of the main view of the main view of the interface to the interface change state. The ""Interview Registration For"&amp;"m"" button enters the interface change state Figure 5. ; 8. The display screen panels of the design of the product can be applied to computers, laptops, tablet computers, head -up display (HUD), multimedia projector, smartphone, smart robot, smart glasses"&amp;", virtual reality glasses, enhanced reality glasses, mixed mixed Reality glasses, smart watches, fitness monitor, headset headphones, driving recorders, vehicle navigation equipment, vehicle CNC computer, automobile smart rearview mirror, smart speaker, s"&amp;"mart TV, set -top box, game handheld, game console. ; 9. The gray color block coating of the graphic user interface of the product of the product is the content screen. ; 1. The name of the product design product: The display screen panel with a resume sc"&amp;"reen management graphical user interface. ; 2. Design products for designing products: used to display graphical user interface. ; 3. Design of the design of the product in this exterior: lies in the graphic user interface in the screen. ; 4. The picture "&amp;"or photo of the main point of design: The main view. ; 5. There is no design point for other views, omitting other views. 6. The purpose of graphical user interface: The interface is used to recruit resume screening, management, editing, and display infor"&amp;"mation. 7. Human -computer interaction method of graphical user interface: The graphic user interface displayed by the main view is to open the start interface of the program; ""Reading"" button pops up the interface change state Figure 2; click the ""Mes"&amp;"sage"" button in the lower right corner of the main view of the main view of the main view of the interface to the interface change state. The ""Interview Registration Form"" button enters the interface change state Figure 5. ; 8. The display screen panel"&amp;"s of the design of the product can be applied to computers, laptops, tablet computers, head -up display (HUD), multimedia projector, smartphone, smart robot, smart glasses, virtual reality glasses, enhanced reality glasses, mixed mixed Reality glasses, sm"&amp;"art watches, fitness monitor, headset headphones, driving recorders, vehicle navigation equipment, vehicle CNC computer, automobile smart rearview mirror, smart speaker, smart TV, set -top box, game handheld, game console. ; 9. The gray color block coatin"&amp;"g of the graphic user interface of the product of the product is the content screen.")</f>
        <v>1. The name of the product design product: The display screen panel with a resume screen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to recruit resume screening, management, editing, and display information. 7. Human -computer interaction method of graphical user interface: The graphic user interface displayed by the main view is to open the start interface of the program; "Reading" button pops up the interface change state Figure 2; click the "Message" button in the lower right corner of the main view of the main view of the main view of the interface to the interface change state. The "Interview Registration Form" button enters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color block coating of the graphic user interface of the product of the product is the content screen. ; 1. The name of the product design product: The display screen panel with a resume screen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to recruit resume screening, management, editing, and display information. 7. Human -computer interaction method of graphical user interface: The graphic user interface displayed by the main view is to open the start interface of the program; "Reading" button pops up the interface change state Figure 2; click the "Message" button in the lower right corner of the main view of the main view of the main view of the interface to the interface change state. The "Interview Registration Form" button enters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color block coating of the graphic user interface of the product of the product is the content screen.</v>
      </c>
      <c r="D283" s="6" t="s">
        <v>843</v>
      </c>
      <c r="E283" s="4" t="str">
        <f ca="1">IFERROR(__xludf.DUMMYFUNCTION("GOOGLETRANSLATE(D283,""auto"",""en"")"),"Display screen panel with resume screening management graphical user interface")</f>
        <v>Display screen panel with resume screening management graphical user interface</v>
      </c>
    </row>
    <row r="284" spans="1:5" ht="15" x14ac:dyDescent="0.25">
      <c r="A284" s="5" t="s">
        <v>844</v>
      </c>
      <c r="B284" s="6" t="s">
        <v>845</v>
      </c>
      <c r="C284" s="3" t="str">
        <f ca="1">IFERROR(__xludf.DUMMYFUNCTION("GOOGLETRANSLATE(B284,""auto"",""en"")"),"1. The name of the product of the design of the product: The display screen panel with a performance assessment self -evaluation of the graphical user interface.
 2. The purpose of designing products in this exterior: used to display graphic user interf"&amp;"ace.
 3. Design of design products in this appearance: lies in the graphic user interface in the screen.
 4. Pictures or photos that can most indicate design points: main view.
 5. There is no design point for other views, omitting other views.
 6"&amp;". The purpose of the graphical user interface: The interface is used for the use of self -assessment, editing and display information.
 7. Human -computer interaction method of graphical user interface: The graphic user interface displayed by the main v"&amp;"iew is to open the start interface of the program; click the ""Next"" button at the bottom of the main view to enter the interface change state Figure 1; Sliding up at any position in the central government to get the interface change state Figure 2.
 8"&amp;". The display screen panel of the product can be applied to computers, laptops, tablet computers, head -up display (HUD), multimedia projector, smartphone, smart robot, smart glasses, virtual reality glasses, augmented reality glasses, hybrid reality Glas"&amp;"ses, smart watches, fitness monitors, headset headphones, driving recorders, vehicle navigation equipment, vehicle CNC computer, automobile smart rearview mirror, smart speaker, smart TV, set -top box, game handheld, game console.")</f>
        <v>1. The name of the product of the design of the product: The display screen panel with a performance assessment self -evaluation of the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self -assessment, editing and display information.
 7. Human -computer interaction method of graphical user interface: The graphic user interface displayed by the main view is to open the start interface of the program; click the "Next" button at the bottom of the main view to enter the interface change state Figure 1; Sliding up at any position in the central government to get the interface change state Figure 2.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284" s="6" t="s">
        <v>846</v>
      </c>
      <c r="E284" s="4" t="str">
        <f ca="1">IFERROR(__xludf.DUMMYFUNCTION("GOOGLETRANSLATE(D284,""auto"",""en"")"),"Display screen panel with performance assessment self -assessment of graphic user interface")</f>
        <v>Display screen panel with performance assessment self -assessment of graphic user interface</v>
      </c>
    </row>
    <row r="285" spans="1:5" ht="15" x14ac:dyDescent="0.25">
      <c r="A285" s="5" t="s">
        <v>847</v>
      </c>
      <c r="B285" s="6" t="s">
        <v>848</v>
      </c>
      <c r="C285" s="3" t="str">
        <f ca="1">IFERROR(__xludf.DUMMYFUNCTION("GOOGLETRANSLATE(B285,""auto"",""en"")"),"1. The name of the product in appearance: The display screen panel with the cost sharing management graphical user interface.
 2. The purpose of designing products in this exterior: used to display graphic user interface.
 3. Design of design products"&amp;" in this appearance: lies in the graphic user interface in the screen.
 4. Pictures or photos that can most indicate design points: main view.
 5. There is no design point for other views, omitting other views.
 6. The purpose of graphical user inte"&amp;"rface: The interface is used for the use of corporate project cost allocation management, and the use of editing and display information in the work hours.
 7. Human -computer interaction method of graphical user interface: The graphic user interface di"&amp;"splayed by the main view is to open the starting interface of the program; click the ""+add"" button in the upper right corner of the main screen to pop up the interface change state. The ""Beijing xxxxxxx"" button enters the interface change state Figure"&amp;" 2; click on the interface change state Figure 2 The cell button below the ""Thursday 11/03"" above the central center, the cell button pops up the interface change state. The first ""XX"" button enters the interface change state Figure 4; click the inter"&amp;"face change state Figure 4 The ""+"" cell button at the bottom of the central right ""Friday 11/11"" pops up the interface change state Figure 5.
 8. The display screen panel of the product can be applied to computers, laptops, tablet computers, head -u"&amp;"p display (HUD), multimedia projector, smartphone, smart robot, smart glasses, virtual reality glasses, augmented reality glasses, hybrid reality Glasses, smart watches, fitness monitors, headset headphones, driving recorders, vehicle navigation equipment"&amp;", vehicle CNC computer, automobile smart rearview mirror, smart speaker, smart TV, set -top box, game handheld, game console.")</f>
        <v>1. The name of the product in appearance: The display screen panel with the cost sharing management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the use of corporate project cost allocation management, and the use of editing and display information in the work hours.
 7. Human -computer interaction method of graphical user interface: The graphic user interface displayed by the main view is to open the starting interface of the program; click the "+add" button in the upper right corner of the main screen to pop up the interface change state. The "Beijing xxxxxxx" button enters the interface change state Figure 2; click on the interface change state Figure 2 The cell button below the "Thursday 11/03" above the central center, the cell button pops up the interface change state. The first "XX" button enters the interface change state Figure 4; click the interface change state Figure 4 The "+" cell button at the bottom of the central right "Friday 11/11" pops up the interface change state Figure 5.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285" s="6" t="s">
        <v>849</v>
      </c>
      <c r="E285" s="4" t="str">
        <f ca="1">IFERROR(__xludf.DUMMYFUNCTION("GOOGLETRANSLATE(D285,""auto"",""en"")"),"Display screen panel with cost sharing management graphical user interface")</f>
        <v>Display screen panel with cost sharing management graphical user interface</v>
      </c>
    </row>
    <row r="286" spans="1:5" ht="15" x14ac:dyDescent="0.25">
      <c r="A286" s="5" t="s">
        <v>850</v>
      </c>
      <c r="B286" s="6" t="s">
        <v>851</v>
      </c>
      <c r="C286" s="3" t="str">
        <f ca="1">IFERROR(__xludf.DUMMYFUNCTION("GOOGLETRANSLATE(B286,""auto"",""en"")"),"Patients with diabetes are the main target groups of the development of continuous blood glucose monitoring (CGM) system. At the same time, people without diabetes use these devices more and more frequently. This short comment describes the potential use "&amp;"of the CGM system in the sports, health and health care of the CGM system. Results: Using the CGM system can be adjusted in improper diagnosis of early diagnosis. Improved diet and physical activity habits may benefit from using CGM data to understand how"&amp;" to change glucose reactions with dietary consumption and physical exercise with various blood sugar loads. In addition, it is possible to determine the pressure conditions that affect glucose dynamics. Since the CGM system can provide information about g"&amp;"lucose reading and dynamic, this information may help optimize the eating habits before exercise, in the exercise, and after exercise, so it can enhance physical function and regeneration ability. CGM is likely to achieve self -optimization and health inc"&amp;"ome. In order to strengthen the analysis of CGM data, more research is required. The interaction with other wearable devices and the combination of collecting and processing data in a single device will help provides users with more accurate suggestions.")</f>
        <v>Patients with diabetes are the main target groups of the development of continuous blood glucose monitoring (CGM) system. At the same time, people without diabetes use these devices more and more frequently. This short comment describes the potential use of the CGM system in the sports, health and health care of the CGM system. Results: Using the CGM system can be adjusted in improper diagnosis of early diagnosis. Improved diet and physical activity habits may benefit from using CGM data to understand how to change glucose reactions with dietary consumption and physical exercise with various blood sugar loads. In addition, it is possible to determine the pressure conditions that affect glucose dynamics. Since the CGM system can provide information about glucose reading and dynamic, this information may help optimize the eating habits before exercise, in the exercise, and after exercise, so it can enhance physical function and regeneration ability. CGM is likely to achieve self -optimization and health income. In order to strengthen the analysis of CGM data, more research is required. The interaction with other wearable devices and the combination of collecting and processing data in a single device will help provides users with more accurate suggestions.</v>
      </c>
      <c r="D286" s="6" t="s">
        <v>852</v>
      </c>
      <c r="E286" s="4" t="str">
        <f ca="1">IFERROR(__xludf.DUMMYFUNCTION("GOOGLETRANSLATE(D286,""auto"",""en"")"),"The IoT -driven system is used to use machine learning to detect continuous blood sugar monitoring of blood leakage in medical care")</f>
        <v>The IoT -driven system is used to use machine learning to detect continuous blood sugar monitoring of blood leakage in medical care</v>
      </c>
    </row>
    <row r="287" spans="1:5" ht="15" x14ac:dyDescent="0.25">
      <c r="A287" s="5" t="s">
        <v>853</v>
      </c>
      <c r="B287" s="6" t="s">
        <v>854</v>
      </c>
      <c r="C287" s="3" t="str">
        <f ca="1">IFERROR(__xludf.DUMMYFUNCTION("GOOGLETRANSLATE(B287,""auto"",""en"")"),"I want to create a creature (human).
  [Solution] Equipped with a tactile sensor and image processing function, programming growth, with the function of fermented miso, an breathing device, and the function of removing impurities (cutting oil) in human "&amp;"blood. ""Sorry"", when people recognize and kill personnel through image recognition, they can play table tennis, with brushes, apples, etc. at the tip of the tool. By displaying the substances of the camera, you can automatically generate patents such as"&amp;" Apple and write to the application file (printed), and as a proof of imagination, write ""Written by Living Thing"" in the first line of the background technology. You can write a patent that generates patent rights, and you can walk with two legs made o"&amp;"f barbecue (not charcoal), connecting to the post office staff to collect the CNC of a battery supply of a patent patent to build a battery supply with a solar panel.")</f>
        <v>I want to create a creature (human).
  [Solution] Equipped with a tactile sensor and image processing function, programming growth, with the function of fermented miso, an breathing device, and the function of removing impurities (cutting oil) in human blood. "Sorry", when people recognize and kill personnel through image recognition, they can play table tennis, with brushes, apples, etc. at the tip of the tool. By displaying the substances of the camera, you can automatically generate patents such as Apple and write to the application file (printed), and as a proof of imagination, write "Written by Living Thing" in the first line of the background technology. You can write a patent that generates patent rights, and you can walk with two legs made of barbecue (not charcoal), connecting to the post office staff to collect the CNC of a battery supply of a patent patent to build a battery supply with a solar panel.</v>
      </c>
      <c r="D287" s="6" t="s">
        <v>855</v>
      </c>
      <c r="E287" s="4" t="str">
        <f ca="1">IFERROR(__xludf.DUMMYFUNCTION("GOOGLETRANSLATE(D287,""auto"",""en"")"),"Bio (humans)")</f>
        <v>Bio (humans)</v>
      </c>
    </row>
    <row r="288" spans="1:5" ht="15" x14ac:dyDescent="0.25">
      <c r="A288" s="5" t="s">
        <v>856</v>
      </c>
      <c r="B288" s="6" t="s">
        <v>857</v>
      </c>
      <c r="C288" s="3" t="str">
        <f ca="1">IFERROR(__xludf.DUMMYFUNCTION("GOOGLETRANSLATE(B288,""auto"",""en"")"),"The present invention disclosed a well -protected hematopoietic stem cell differentiation training device, including the first cell differentiation culture box, the second cell differentiation culture training box, and the third cell differentiation cultu"&amp;"re box. The cell differentiation culture box, the other end of the second cell differentiation culture box is installed with a third -cell differentiation culture box. The side cell differentiation culture box is installed with a control box, and a server"&amp;" is installed on one side of the third cell differentiation training box. The hematopoietic stem cell differentiation culture device can be carried out at the same time of multi -group of cell differentiation, which can achieve remote unified monitoring a"&amp;"nd control, thereby improving efficiency, saving management costs, and achieving fault alarm. It is conducive to the differentiation of cells, the overall operation is very simple and convenient, realize the IoT control, and reduce labor costs.")</f>
        <v>The present invention disclosed a well -protected hematopoietic stem cell differentiation training device, including the first cell differentiation culture box, the second cell differentiation culture training box, and the third cell differentiation culture box. The cell differentiation culture box, the other end of the second cell differentiation culture box is installed with a third -cell differentiation culture box. The side cell differentiation culture box is installed with a control box, and a server is installed on one side of the third cell differentiation training box. The hematopoietic stem cell differentiation culture device can be carried out at the same time of multi -group of cell differentiation, which can achieve remote unified monitoring and control, thereby improving efficiency, saving management costs, and achieving fault alarm. It is conducive to the differentiation of cells, the overall operation is very simple and convenient, realize the IoT control, and reduce labor costs.</v>
      </c>
      <c r="D288" s="6" t="s">
        <v>858</v>
      </c>
      <c r="E288" s="4" t="str">
        <f ca="1">IFERROR(__xludf.DUMMYFUNCTION("GOOGLETRANSLATE(D288,""auto"",""en"")"),"A good protective hematopoietic stem cell differentiation culture device")</f>
        <v>A good protective hematopoietic stem cell differentiation culture device</v>
      </c>
    </row>
    <row r="289" spans="1:5" ht="15" x14ac:dyDescent="0.25">
      <c r="A289" s="5" t="s">
        <v>859</v>
      </c>
      <c r="B289" s="6" t="s">
        <v>860</v>
      </c>
      <c r="C289" s="3" t="str">
        <f ca="1">IFERROR(__xludf.DUMMYFUNCTION("GOOGLETRANSLATE(B289,""auto"",""en"")"),"The invention involves the field of fishery resources in marine pastures, and especially involves a statistical method of fishery resources based on marine ranch based on image recognition technology. The present invention measured and constructed the und"&amp;"erwater three -dimensional terrain model through multiple beams to perform water deep terrain, and calculated the amount of fish reefs based on the three -dimensional terrain model of the underwater and multi -beam terrain. Technical statistics unit reef "&amp;"marine ranch fisheries resources, complete statistics from marine pasture resource volume based on image recognition technology; the explorer of the present invention has tried using image recognition technology to measure the measurement and evaluation m"&amp;"ethod of marine pasture resources, to obtain the marine pasture swimming swimming swimming The changes in the amount of biological and sinking egg resources provide data support for the construction of marine pastures.")</f>
        <v>The invention involves the field of fishery resources in marine pastures, and especially involves a statistical method of fishery resources based on marine ranch based on image recognition technology. The present invention measured and constructed the underwater three -dimensional terrain model through multiple beams to perform water deep terrain, and calculated the amount of fish reefs based on the three -dimensional terrain model of the underwater and multi -beam terrain. Technical statistics unit reef marine ranch fisheries resources, complete statistics from marine pasture resource volume based on image recognition technology; the explorer of the present invention has tried using image recognition technology to measure the measurement and evaluation method of marine pasture resources, to obtain the marine pasture swimming swimming swimming The changes in the amount of biological and sinking egg resources provide data support for the construction of marine pastures.</v>
      </c>
      <c r="D289" s="6" t="s">
        <v>861</v>
      </c>
      <c r="E289" s="4" t="str">
        <f ca="1">IFERROR(__xludf.DUMMYFUNCTION("GOOGLETRANSLATE(D289,""auto"",""en"")"),"A statistical method of fishery resources based on image recognition technology")</f>
        <v>A statistical method of fishery resources based on image recognition technology</v>
      </c>
    </row>
    <row r="290" spans="1:5" ht="15" x14ac:dyDescent="0.25">
      <c r="A290" s="5" t="s">
        <v>862</v>
      </c>
      <c r="B290" s="6" t="s">
        <v>863</v>
      </c>
      <c r="C290" s="3" t="str">
        <f ca="1">IFERROR(__xludf.DUMMYFUNCTION("GOOGLETRANSLATE(B290,""auto"",""en"")"),"The present invention involves a fine -grained basketball action recognition method based on the global context perception. It belongs to the computer vision field, including the following steps: S1: For basketball action videos, use the MTSA module to ad"&amp;"opt time pyramids to gather frames of different distances; S2 : Use the SCI module to cross -dimensional interaction along the two directions and channels of the space respectively; S3: Use dynamic convolution fusion MTSA modules and SCI to get GCA‑module"&amp;"; S4: Introduce block GCA‑module in ResNet‑50, GCA‑module, Moderate with GCAoblock; S5: Stack multiple GCA‑block to build a fine -grained basketball action recognition model GCA‑NET; S6: Constructing training data set; S7: training, prediction and optimiz"&amp;"ation of the model to get training models, right Basketball action videos are recognized for fine -grained basketball action.")</f>
        <v>The present invention involves a fine -grained basketball action recognition method based on the global context perception. It belongs to the computer vision field, including the following steps: S1: For basketball action videos, use the MTSA module to adopt time pyramids to gather frames of different distances; S2 : Use the SCI module to cross -dimensional interaction along the two directions and channels of the space respectively; S3: Use dynamic convolution fusion MTSA modules and SCI to get GCA‑module; S4: Introduce block GCA‑module in ResNet‑50, GCA‑module, Moderate with GCAoblock; S5: Stack multiple GCA‑block to build a fine -grained basketball action recognition model GCA‑NET; S6: Constructing training data set; S7: training, prediction and optimization of the model to get training models, right Basketball action videos are recognized for fine -grained basketball action.</v>
      </c>
      <c r="D290" s="6" t="s">
        <v>864</v>
      </c>
      <c r="E290" s="4" t="str">
        <f ca="1">IFERROR(__xludf.DUMMYFUNCTION("GOOGLETRANSLATE(D290,""auto"",""en"")"),"A fine -grained basketball action recognition method based on global context perception")</f>
        <v>A fine -grained basketball action recognition method based on global context perception</v>
      </c>
    </row>
    <row r="291" spans="1:5" ht="15" x14ac:dyDescent="0.25">
      <c r="A291" s="5" t="s">
        <v>865</v>
      </c>
      <c r="B291" s="6" t="s">
        <v>866</v>
      </c>
      <c r="C291" s="3" t="str">
        <f ca="1">IFERROR(__xludf.DUMMYFUNCTION("GOOGLETRANSLATE(B291,""auto"",""en"")"),"The present invention is an intelligent and precise nutrition analysis model based on digital data collection framework. The nutrient intake is analyzed by entering diet memory data. AI precision nutrition analysis model automatically analyzes dishes and "&amp;"portions through digital data semantic analysis models, analyzes dishes composition, and calculates nutritional intake. The results of this study indicate that the nutritional intake between models is very small, and the analysis is very accurate; therefo"&amp;"re, the AI ​​model can be used as a reference for nutrition survey and personal nutrition analysis. In terms of data acquisition, a complete data set of food nutritional ingredients is realized. On the other hand, the range of recipes should be expanded. "&amp;"Smart phone applications can also help monitor and track progress to motivate individuals to achieve their health and fitness goals.")</f>
        <v>The present invention is an intelligent and precise nutrition analysis model based on digital data collection framework. The nutrient intake is analyzed by entering diet memory data. AI precision nutrition analysis model automatically analyzes dishes and portions through digital data semantic analysis models, analyzes dishes composition, and calculates nutritional intake. The results of this study indicate that the nutritional intake between models is very small, and the analysis is very accurate; therefore, the AI ​​model can be used as a reference for nutrition survey and personal nutrition analysis. In terms of data acquisition, a complete data set of food nutritional ingredients is realized. On the other hand, the range of recipes should be expanded. Smart phone applications can also help monitor and track progress to motivate individuals to achieve their health and fitness goals.</v>
      </c>
      <c r="D291" s="6" t="s">
        <v>867</v>
      </c>
      <c r="E291" s="4" t="str">
        <f ca="1">IFERROR(__xludf.DUMMYFUNCTION("GOOGLETRANSLATE(D291,""auto"",""en"")"),"Artificial intelligence nutrition analyzer for enthusiasts")</f>
        <v>Artificial intelligence nutrition analyzer for enthusiasts</v>
      </c>
    </row>
    <row r="292" spans="1:5" ht="15" x14ac:dyDescent="0.25">
      <c r="A292" s="5" t="s">
        <v>868</v>
      </c>
      <c r="B292" s="6" t="s">
        <v>869</v>
      </c>
      <c r="C292" s="3" t="str">
        <f ca="1">IFERROR(__xludf.DUMMYFUNCTION("GOOGLETRANSLATE(B292,""auto"",""en"")"),"The present invention provides a intelligent hydropower heating control device and control system based on the Internet of Things, involving the technology field of hydropower heating control device, including the frame, which is fixed on one side of the "&amp;"outer frame. Compared with the position of the position below the display, there is a control button, which is evenly fixed on the inner wall of the outer frame with two cards. The hole, the inner wall of the outer frame is connected to the inner frame. T"&amp;"he surface of the inner frame has a card hole compared to the positions of the two cards. Sliding connection, the inner wall of the inner frame is fixed with a plug, and the side of the plug is slid and connected to the inner wall of the inside of the out"&amp;"er frame. The present invention facilitates the effect of the inner frame quickly, and effectively avoids the use of multiple tools to disassemble the inner frame. The overall operation is simple and fast, and the efficiency of the inner frame of the pers"&amp;"onnel disassembling inner frame is improved to a certain extent.")</f>
        <v>The present invention provides a intelligent hydropower heating control device and control system based on the Internet of Things, involving the technology field of hydropower heating control device, including the frame, which is fixed on one side of the outer frame. Compared with the position of the position below the display, there is a control button, which is evenly fixed on the inner wall of the outer frame with two cards. The hole, the inner wall of the outer frame is connected to the inner frame. The surface of the inner frame has a card hole compared to the positions of the two cards. Sliding connection, the inner wall of the inner frame is fixed with a plug, and the side of the plug is slid and connected to the inner wall of the inside of the outer frame. The present invention facilitates the effect of the inner frame quickly, and effectively avoids the use of multiple tools to disassemble the inner frame. The overall operation is simple and fast, and the efficiency of the inner frame of the personnel disassembling inner frame is improved to a certain extent.</v>
      </c>
      <c r="D292" s="6" t="s">
        <v>870</v>
      </c>
      <c r="E292" s="4" t="str">
        <f ca="1">IFERROR(__xludf.DUMMYFUNCTION("GOOGLETRANSLATE(D292,""auto"",""en"")"),"A intelligent hydropower heating control device and control system based on the Internet of Things")</f>
        <v>A intelligent hydropower heating control device and control system based on the Internet of Things</v>
      </c>
    </row>
    <row r="293" spans="1:5" ht="15" x14ac:dyDescent="0.25">
      <c r="A293" s="5" t="s">
        <v>871</v>
      </c>
      <c r="B293" s="6" t="s">
        <v>872</v>
      </c>
      <c r="C293" s="3" t="str">
        <f ca="1">IFERROR(__xludf.DUMMYFUNCTION("GOOGLETRANSLATE(B293,""auto"",""en"")"),"The present invention disclosed a fitness action recognition method, device and related equipment based on human posture estimation, including: obtaining video streams and extracting key points of human body data based on video streams, and then input key"&amp;" points data of the human body into training fitness Action recognition in the action classification network to obtain the results of the action classification. Among them, the trained fitness movement classification network is the superposition neural ne"&amp;"twork of multi -layer neural network MLP and long short -term memory neural network LSTM; For each identification action data, the similarity of the standard action data of the corresponding category in the standard fitness dictionary in the standard fitn"&amp;"ess dictionary is calculated to obtain the similarity value; based on the similarity value corresponding to the data corresponding to the data of each group, the quality evaluation of the fitness action quality evaluation is performed. To obtain the resul"&amp;"ts of quality evaluation, the accuracy of the normative identification of fitness actions is adopted by the present invention.")</f>
        <v>The present invention disclosed a fitness action recognition method, device and related equipment based on human posture estimation, including: obtaining video streams and extracting key points of human body data based on video streams, and then input key points data of the human body into training fitness Action recognition in the action classification network to obtain the results of the action classification. Among them, the trained fitness movement classification network is the superposition neural network of multi -layer neural network MLP and long short -term memory neural network LSTM; For each identification action data, the similarity of the standard action data of the corresponding category in the standard fitness dictionary in the standard fitness dictionary is calculated to obtain the similarity value; based on the similarity value corresponding to the data corresponding to the data of each group, the quality evaluation of the fitness action quality evaluation is performed. To obtain the results of quality evaluation, the accuracy of the normative identification of fitness actions is adopted by the present invention.</v>
      </c>
      <c r="D293" s="6" t="s">
        <v>873</v>
      </c>
      <c r="E293" s="4" t="str">
        <f ca="1">IFERROR(__xludf.DUMMYFUNCTION("GOOGLETRANSLATE(D293,""auto"",""en"")"),"Fitness action recognition method, device and related equipment based on human posture estimation")</f>
        <v>Fitness action recognition method, device and related equipment based on human posture estimation</v>
      </c>
    </row>
    <row r="294" spans="1:5" ht="15" x14ac:dyDescent="0.25">
      <c r="A294" s="5" t="s">
        <v>874</v>
      </c>
      <c r="B294" s="6" t="s">
        <v>875</v>
      </c>
      <c r="C294" s="3" t="str">
        <f ca="1">IFERROR(__xludf.DUMMYFUNCTION("GOOGLETRANSLATE(B294,""auto"",""en"")"),"A basketball target positioning method based on YOLOV5S belongs to the field of computer vision and embedded systems. Can be deployed on the YOLOV5S model of computers or NVIDIA &amp; Nbsp; Jetson &amp; Nbsp; TX2 (hereinafter referred to as TX2) platforms to pred"&amp;"ict the real -time basketball events collected by the camera system, and the test results, that is, the predicted box position and confidence, etc. Send a two -axis camera gimbal controlled by the STM32 single -chip microcomputer, the STM32 end data analy"&amp;"sis of the received detection results, and then output the PWM signal driver with a high -definition camera with a high -definition camera through the GPIO port. Rotate, constantly adjust the camera's camera perspective to achieve continuous collection of"&amp;" basketball images and real -time detection and tracking of basketball targets in subsequent frames.")</f>
        <v>A basketball target positioning method based on YOLOV5S belongs to the field of computer vision and embedded systems. Can be deployed on the YOLOV5S model of computers or NVIDIA &amp; Nbsp; Jetson &amp; Nbsp; TX2 (hereinafter referred to as TX2) platforms to predict the real -time basketball events collected by the camera system, and the test results, that is, the predicted box position and confidence, etc. Send a two -axis camera gimbal controlled by the STM32 single -chip microcomputer, the STM32 end data analysis of the received detection results, and then output the PWM signal driver with a high -definition camera with a high -definition camera through the GPIO port. Rotate, constantly adjust the camera's camera perspective to achieve continuous collection of basketball images and real -time detection and tracking of basketball targets in subsequent frames.</v>
      </c>
      <c r="D294" s="6" t="s">
        <v>876</v>
      </c>
      <c r="E294" s="4" t="str">
        <f ca="1">IFERROR(__xludf.DUMMYFUNCTION("GOOGLETRANSLATE(D294,""auto"",""en"")"),"A method of basketball target positioning based on YOLOV5S")</f>
        <v>A method of basketball target positioning based on YOLOV5S</v>
      </c>
    </row>
    <row r="295" spans="1:5" ht="15" x14ac:dyDescent="0.25">
      <c r="A295" s="5" t="s">
        <v>877</v>
      </c>
      <c r="B295" s="6" t="s">
        <v>878</v>
      </c>
      <c r="C295" s="3" t="str">
        <f ca="1">IFERROR(__xludf.DUMMYFUNCTION("GOOGLETRANSLATE(B295,""auto"",""en"")"),"1. Design product name: The process management graphic user interface of the display screen panel.
 2. The purpose of designing products in this exterior: used to display graphic user interface.
 3. Design of the design of the product in appearance: l"&amp;"ies in the graphic user interface.
 4. Pictures or photos that can best show design: Design 1 main view.
 5. The display screen panel is commonly designed, omit other views.
 6. Specify design 1 is the basic design.
 7. The purpose of the graphica"&amp;"l user interface: for the display and management of the process, you can view the location and content of the process node where the process nodes are located, and guide users to perform follow -up processes.
 8. Human -computer interaction method of gr"&amp;"aphics user interface: In designing the main view of 1‑4, users can view the content of the control process through the rounded rectangular button in the touch interface. Design 4 Main views to display design 4 change status diagrams through gesture slidi"&amp;"ng display design 4 changes status diagram. Essence
 The gray color block in the interface is a replaceable picture or video. The fork number in this design interface represents text and/or numbers and/or alphabetics and symbols.
 9.该图形用户界面可用于手机、计算机、平"&amp;"板电脑、智能电视、车载中控屏幕、多媒体一体机、电子记事本、智能音箱、投影仪、游戏机、导航仪、智能手表、智能手环、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"&amp;"with screens.")</f>
        <v>1. Design product name: The process management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The display screen panel is commonly designed, omit other views.
 6. Specify design 1 is the basic design.
 7. The purpose of the graphical user interface: for the display and management of the process, you can view the location and content of the process node where the process nodes are located, and guide users to perform follow -up processes.
 8. Human -computer interaction method of graphics user interface: In designing the main view of 1‑4, users can view the content of the control process through the rounded rectangular button in the touch interface. Design 4 Main views to display design 4 change status diagrams through gesture sliding display design 4 changes status diagram. Essence
 The gray color block in the interface is a replaceable picture or video. The fork number in this design interface represents text and/or numbers and/or alphabetics and symbols.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with screens.</v>
      </c>
      <c r="D295" s="6" t="s">
        <v>879</v>
      </c>
      <c r="E295" s="4" t="str">
        <f ca="1">IFERROR(__xludf.DUMMYFUNCTION("GOOGLETRANSLATE(D295,""auto"",""en"")"),"Process management graphic user interface of display screen panel")</f>
        <v>Process management graphic user interface of display screen panel</v>
      </c>
    </row>
    <row r="296" spans="1:5" ht="15" x14ac:dyDescent="0.25">
      <c r="A296" s="5" t="s">
        <v>880</v>
      </c>
      <c r="B296" s="6" t="s">
        <v>881</v>
      </c>
      <c r="C296" s="3" t="str">
        <f ca="1">IFERROR(__xludf.DUMMYFUNCTION("GOOGLETRANSLATE(B296,""auto"",""en"")"),"The present invention disclosed a ping -pong intelligent collection robot. The robot includes shells, controllers, image recognition agencies, collecting agencies, and walking institutions. The other end is connected to the collecting box. The bottom of t"&amp;"he collection box is a hollow structure. There are several springs on the top. The spar of the spring is less than the diameter of the table tennis. Set on the shell and can collect the surrounding environment information, the controller is set on the she"&amp;"ll, and can connect to the control image recognition mechanism, telescopic lever and walking mechanism. The robot can intelligently identify the position of table tennis, calculate the easiest collection path, and drive the robot to walk through the motor"&amp;", collect a wide range of collection, and reduce the use of manpower.")</f>
        <v>The present invention disclosed a ping -pong intelligent collection robot. The robot includes shells, controllers, image recognition agencies, collecting agencies, and walking institutions. The other end is connected to the collecting box. The bottom of the collection box is a hollow structure. There are several springs on the top. The spar of the spring is less than the diameter of the table tennis. Set on the shell and can collect the surrounding environment information, the controller is set on the shell, and can connect to the control image recognition mechanism, telescopic lever and walking mechanism. The robot can intelligently identify the position of table tennis, calculate the easiest collection path, and drive the robot to walk through the motor, collect a wide range of collection, and reduce the use of manpower.</v>
      </c>
      <c r="D296" s="6" t="s">
        <v>882</v>
      </c>
      <c r="E296" s="4" t="str">
        <f ca="1">IFERROR(__xludf.DUMMYFUNCTION("GOOGLETRANSLATE(D296,""auto"",""en"")"),"A ping -pong intelligent collection robot")</f>
        <v>A ping -pong intelligent collection robot</v>
      </c>
    </row>
    <row r="297" spans="1:5" ht="15" x14ac:dyDescent="0.25">
      <c r="A297" s="5" t="s">
        <v>883</v>
      </c>
      <c r="B297" s="6" t="s">
        <v>884</v>
      </c>
      <c r="C297" s="3" t="str">
        <f ca="1">IFERROR(__xludf.DUMMYFUNCTION("GOOGLETRANSLATE(B297,""auto"",""en"")"),"A motion information record and system set up in smart gyms are disclosed.
  According to the motion information records of an embodiment and the provision of the system that includes communication modules, memory, and processors that can be connected t"&amp;"o the communication module and memory, the processor determines the operating status of the motion module through the communication module. When receiving information about the mobility module, when the operating state of the motion module is determined b"&amp;"y the operating state of the mobility module, the mobility module corresponds to the occupation state, in response to the user's use of the motion module, and the operating state can store information.")</f>
        <v>A motion information record and system set up in smart gyms are disclosed.
  According to the motion information records of an embodiment and the provision of the system that includes communication modules, memory, and processors that can be connected to the communication module and memory, the processor determines the operating status of the motion module through the communication module. When receiving information about the mobility module, when the operating state of the motion module is determined by the operating state of the mobility module, the mobility module corresponds to the occupation state, in response to the user's use of the motion module, and the operating state can store information.</v>
      </c>
      <c r="D297" s="6" t="s">
        <v>885</v>
      </c>
      <c r="E297" s="4" t="str">
        <f ca="1">IFERROR(__xludf.DUMMYFUNCTION("GOOGLETRANSLATE(D297,""auto"",""en"")"),"Use IoT devices to record sports information in smart gym or provide motion auxiliary information devices and methods")</f>
        <v>Use IoT devices to record sports information in smart gym or provide motion auxiliary information devices and methods</v>
      </c>
    </row>
    <row r="298" spans="1:5" ht="15" x14ac:dyDescent="0.25">
      <c r="A298" s="5" t="s">
        <v>886</v>
      </c>
      <c r="B298" s="6" t="s">
        <v>887</v>
      </c>
      <c r="C298" s="3" t="str">
        <f ca="1">IFERROR(__xludf.DUMMYFUNCTION("GOOGLETRANSLATE(B298,""auto"",""en"")"),"1. The name of the product of the design of the product: Bring the display screen panel with the project platform to manage the graphical user interface. ; 2. Design products for designing products: used to display graphical user interface. ; 3. Design of"&amp;" the design of the product in this exterior: lies in the graphic user interface in the screen. ; 4. The picture or photo that can most indicate the point of design: Figure 1 in the interface change state. ; 5. There is no design point for other views, omi"&amp;"tting other views. 6. The purpose of graphical user interface: The interface is used for the use of the background management, editing and display information of the car dealer questionnaire project. 7. Human -computer interaction method of graphics user "&amp;"interface: The graphic user interface displayed by the main view is to open the start interface of the login of the program; after entering the user name and password on the right side of the main view, and click the ""Login"" button to enter the interfac"&amp;"e change status diagram 1; click the ""Project Overview"" button of the main menu at the top of the main menu at the top of the interface to enter the interface change state. The ""Sample Review"" button of the main menu at the top of the main menu enters"&amp;" the interface change state Figure 4; click the interface changes status Figure 1 The ""Outpoint Report"" button at the top of the main menu to enter the interface changes. The menu of the menu of the menu of the ""dealer single shop"" button enters the i"&amp;"nterface change state Figure 6; in the interface change state figure 6 slides upward to obtain the interface change state. 7; Sub -results ""button enter the interface change state Figure 8; click the interface change state Figure 1"" Historical Report Do"&amp;"wnload ""button at the top of the main menu to enter the interface change state Figure 9; click the interface change state Figure 1"" review plan disclosure of the audit plan disclosure ""The button enters the interface change state Figure 10. ; 8. The di"&amp;"splay screen panels of the design of the product can be applied to computers, laptops, tablet computers, head -up display (HUD), multimedia projector, smartphone, smart robot, smart glasses, virtual reality glasses, enhanced reality glasses, mixed mixed R"&amp;"eality glasses, smart watches, fitness monitor, headset headphones, driving recorders, vehicle navigation equipment, vehicle CNC computer, automobile smart rearview mirror, smart speaker, smart TV, set -top box, game handheld, game console. ; 9. The light"&amp;" gray coating part of the graphic user interface of the product of the product is the content picture. ; 1. The name of the design of the product in this exterior: Bring the display screen panel with the project platform to manage the graphical user inter"&amp;"face. ; 2. Design products for designing products: used to display graphical user interface. ; 3. Design of the design of the product in this exterior: lies in the graphic user interface in the screen. ; 4. The picture or photo that can most indicate the "&amp;"point of design: Figure 1 in the interface change state. ; 5. There is no design point for other views, omitting other views. 6. The purpose of graphical user interface: The interface is used for the use of the background management, editing and display i"&amp;"nformation of the car dealer questionnaire project. 7. Human -computer interaction method of graphics user interface: The graphic user interface displayed by the main view is to open the start interface of the login of the program; after entering the user"&amp;" name and password on the right side of the main view, and click the ""Login"" button to enter the interface change status diagram 1; click the ""Project Overview"" button of the main menu at the top of the main menu at the top of the interface to enter t"&amp;"he interface change state. The ""Sample Review"" button of the main menu at the top of the main menu enters the interface change state Figure 4; click the interface changes status Figure 1 The ""Outpoint Report"" button at the top of the main menu to ente"&amp;"r the interface changes. The menu of the menu of the menu of the ""dealer single shop"" button enters the interface change state Figure 6; in the interface change state figure 6 slides upward to obtain the interface change state. 7; Sub -results ""button "&amp;"enter the interface change state Figure 8; click the interface change state Figure 1"" Historical Report Download ""button at the top of the main menu to enter the interface change state Figure 9; click the interface change state Figure 1"" review plan di"&amp;"sclosure of the audit plan disclosure ""The button enters the interface change state Figure 10. ; 8. The display screen panels of the design of the product can be applied to computers, laptops, tablet computers, head -up display (HUD), multimedia projecto"&amp;"r, smartphone, smart robot, smart glasses, virtual reality glasses, enhanced reality glasses, mixed mixed Reality glasses, smart watches, fitness monitor, headset headphones, driving recorders, vehicle navigation equipment, vehicle CNC computer, automobil"&amp;"e smart rearview mirror, smart speaker, smart TV, set -top box, game handheld, game console. ; 9. The light gray coating part of the graphic user interface of the product of the product is the content picture.")</f>
        <v>1. The name of the product of the design of the product: Bring the display screen panel with the project platform to manage the graphical user interface.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6. The purpose of graphical user interface: The interface is used for the use of the background management, editing and display information of the car dealer questionnaire project. 7. Human -computer interaction method of graphics user interface: The graphic user interface displayed by the main view is to open the start interface of the login of the program; after entering the user name and password on the right side of the main view, and click the "Login" button to enter the interface change status diagram 1; click the "Project Overview" button of the main menu at the top of the main menu at the top of the interface to enter the interface change state. The "Sample Review" button of the main menu at the top of the main menu enters the interface change state Figure 4; click the interface changes status Figure 1 The "Outpoint Report" button at the top of the main menu to enter the interface changes. The menu of the menu of the menu of the "dealer single shop" button enters the interface change state Figure 6; in the interface change state figure 6 slides upward to obtain the interface change state. 7; Sub -results "button enter the interface change state Figure 8; click the interface change state Figure 1" Historical Report Download "button at the top of the main menu to enter the interface change state Figure 9; click the interface change state Figure 1" review plan disclosure of the audit plan disclosure "The button enters the interface change state Figure 10.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light gray coating part of the graphic user interface of the product of the product is the content picture. ; 1. The name of the design of the product in this exterior: Bring the display screen panel with the project platform to manage the graphical user interface.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6. The purpose of graphical user interface: The interface is used for the use of the background management, editing and display information of the car dealer questionnaire project. 7. Human -computer interaction method of graphics user interface: The graphic user interface displayed by the main view is to open the start interface of the login of the program; after entering the user name and password on the right side of the main view, and click the "Login" button to enter the interface change status diagram 1; click the "Project Overview" button of the main menu at the top of the main menu at the top of the interface to enter the interface change state. The "Sample Review" button of the main menu at the top of the main menu enters the interface change state Figure 4; click the interface changes status Figure 1 The "Outpoint Report" button at the top of the main menu to enter the interface changes. The menu of the menu of the menu of the "dealer single shop" button enters the interface change state Figure 6; in the interface change state figure 6 slides upward to obtain the interface change state. 7; Sub -results "button enter the interface change state Figure 8; click the interface change state Figure 1" Historical Report Download "button at the top of the main menu to enter the interface change state Figure 9; click the interface change state Figure 1" review plan disclosure of the audit plan disclosure "The button enters the interface change state Figure 10.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light gray coating part of the graphic user interface of the product of the product is the content picture.</v>
      </c>
      <c r="D298" s="6" t="s">
        <v>888</v>
      </c>
      <c r="E298" s="4" t="str">
        <f ca="1">IFERROR(__xludf.DUMMYFUNCTION("GOOGLETRANSLATE(D298,""auto"",""en"")"),"Bring the display screen panel with the project platform to manage the graphical user interface")</f>
        <v>Bring the display screen panel with the project platform to manage the graphical user interface</v>
      </c>
    </row>
    <row r="299" spans="1:5" ht="15" x14ac:dyDescent="0.25">
      <c r="A299" s="5" t="s">
        <v>889</v>
      </c>
      <c r="B299" s="6" t="s">
        <v>890</v>
      </c>
      <c r="C299" s="3" t="str">
        <f ca="1">IFERROR(__xludf.DUMMYFUNCTION("GOOGLETRANSLATE(B299,""auto"",""en"")"),"The invention disclosed a smart gym management system and method. The intelligent gym management system and methods of the present invention include communication modules; memory; processors, processors, can be connected to the communication module and me"&amp;"mory, where the processor receives information about the operation status of the exercise module through the communication module and sends the exercise machine about the exercise machine Information about module operation status. It can be configured to "&amp;"analyze the status information of the fitness equipment module and send the analysis status information to the user terminal through a communication module. In addition, various embodiments are possible.")</f>
        <v>The invention disclosed a smart gym management system and method. The intelligent gym management system and methods of the present invention include communication modules; memory; processors, processors, can be connected to the communication module and memory, where the processor receives information about the operation status of the exercise module through the communication module and sends the exercise machine about the exercise machine Information about module operation status. It can be configured to analyze the status information of the fitness equipment module and send the analysis status information to the user terminal through a communication module. In addition, various embodiments are possible.</v>
      </c>
      <c r="D299" s="6" t="s">
        <v>891</v>
      </c>
      <c r="E299" s="4" t="str">
        <f ca="1">IFERROR(__xludf.DUMMYFUNCTION("GOOGLETRANSLATE(D299,""auto"",""en"")"),"Use the intelligent gym equipment to occupy the status management system and method of the intelligent gym equipment of the Internet of Things equipment")</f>
        <v>Use the intelligent gym equipment to occupy the status management system and method of the intelligent gym equipment of the Internet of Things equipment</v>
      </c>
    </row>
    <row r="300" spans="1:5" ht="15" x14ac:dyDescent="0.25">
      <c r="A300" s="5" t="s">
        <v>892</v>
      </c>
      <c r="B300" s="6" t="s">
        <v>893</v>
      </c>
      <c r="C300" s="3" t="str">
        <f ca="1">IFERROR(__xludf.DUMMYFUNCTION("GOOGLETRANSLATE(B300,""auto"",""en"")"),"1. Design product name: Data splitting and pushing graphic user interface of the display screen panel. 2. Design products in appearance: used for running procedures, information display, and human -computer interaction. 3. Design of the design of the prod"&amp;"uct in this exterior: lies in the interface content of the graphic user interface in the screen. 4. Pictures or photos that can most indicate design points: main view. 5. The purpose of graphical user interface: This graphic user interface is used for dat"&amp;"a splitting and push. The main view is the data allocation interface, and the interface displays the current customer group and business opportunities. The user clicks the ""rule configuration"" button in the drop -down menu bar to enter the rules configu"&amp;"ration interface. ""The button, the interface returns to the main view. 6. Other situations that need to be described and other descriptions: This display screen panel is applied to computers, laptops, tablets, mobile phones, smart watches, smart bracelet"&amp;"s, fitness monitor, headset headphones, personal digital assistants (PDA), smart smart Speakers, television, set -top boxes, projectors, game consoles or navigators, vehicles.")</f>
        <v>1. Design product name: Data splitting and pushing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graphical user interface: This graphic user interface is used for data splitting and push. The main view is the data allocation interface, and the interface displays the current customer group and business opportunities. The user clicks the "rule configuration" button in the drop -down menu bar to enter the rules configuration interface. "The button, the interface returns to the main view. 6. Other situations that need to be described and other descriptions: This display screen panel is applied to computers, laptops, tablets, mobile phones, smart watches, smart bracelets, fitness monitor, headset headphones, personal digital assistants (PDA), smart smart Speakers, television, set -top boxes, projectors, game consoles or navigators, vehicles.</v>
      </c>
      <c r="D300" s="6" t="s">
        <v>894</v>
      </c>
      <c r="E300" s="4" t="str">
        <f ca="1">IFERROR(__xludf.DUMMYFUNCTION("GOOGLETRANSLATE(D300,""auto"",""en"")"),"Display and push graphical user interface of the display screen panel")</f>
        <v>Display and push graphical user interface of the display screen panel</v>
      </c>
    </row>
    <row r="301" spans="1:5" ht="15" x14ac:dyDescent="0.25">
      <c r="A301" s="5" t="s">
        <v>895</v>
      </c>
      <c r="B301" s="6" t="s">
        <v>896</v>
      </c>
      <c r="C301" s="3" t="str">
        <f ca="1">IFERROR(__xludf.DUMMYFUNCTION("GOOGLETRANSLATE(B301,""auto"",""en"")"),"1. The name of the product of the product: The display screen panel with the answer result scoring the graphical user interface.
 2. The purpose of designing products in this exterior: used to display graphic user interface.
 3. Design of design produ"&amp;"cts in this appearance: lies in the graphic user interface in the screen.
 4. Pictures or photos that can best show design: Design 1 main view.
 5. Design 1. Design 2. Design 3. Design 4 other views without design points, omitting design 1. Design 2. "&amp;"Design 3. Design 4 other views.
 6. Specify design 1 is the basic design.
 7. The purpose of the graphical user interface: The interface is used to the use of the questionnaire results page score display and display information.
 8. Human -computer "&amp;"interaction method of graphic user interface: In design 1. Design 2. Design 2, Design 3. Design 4 views, the interface shows the module layout related to the content of the answer result score. More operations.
 9. Other situations that need to be expla"&amp;"ined and other descriptions: The display screen panels of the design of the product can be applied to computers, laptops, tablet computers, head -up display (HUD), multimedia projector, smart phone, smart robot, smart glasses, virtual reality, virtual rea"&amp;"lity Glasses, reality glasses, hybrid glasses, smart watches, fitness monitor, headset headphones, driving recorders, vehicle navigation equipment, vehicle CNC computer, automotive smart rearview mirror, smart speaker, smart TV, set -top box, game palm pa"&amp;"lm Play, game console.
 10. The background dark coating part of the graphic user interface of the design of the product is the content picture.")</f>
        <v>1. The name of the product of the product: The display screen panel with the answer result scoring the graphical user interface.
 2. The purpose of designing products in this exterior: used to display graphic user interface.
 3. Design of design products in this appearance: lies in the graphic user interface in the screen.
 4. Pictures or photos that can best show design: Design 1 main view.
 5. Design 1. Design 2. Design 3. Design 4 other views without design points, omitting design 1. Design 2. Design 3. Design 4 other views.
 6. Specify design 1 is the basic design.
 7. The purpose of the graphical user interface: The interface is used to the use of the questionnaire results page score display and display information.
 8. Human -computer interaction method of graphic user interface: In design 1. Design 2. Design 2, Design 3. Design 4 views, the interface shows the module layout related to the content of the answer result score. More operations.
 9. Other situations that need to be explained and other descriptions: The display screen panels of the design of the product can be applied to computers, laptops, tablet computers, head -up display (HUD), multimedia projector, smart phone, smart robot, smart glasses, virtual reality, virtual reality Glasses, reality glasses, hybrid glasses, smart watches, fitness monitor, headset headphones, driving recorders, vehicle navigation equipment, vehicle CNC computer, automotive smart rearview mirror, smart speaker, smart TV, set -top box, game palm palm Play, game console.
 10. The background dark coating part of the graphic user interface of the design of the product is the content picture.</v>
      </c>
      <c r="D301" s="6" t="s">
        <v>897</v>
      </c>
      <c r="E301" s="4" t="str">
        <f ca="1">IFERROR(__xludf.DUMMYFUNCTION("GOOGLETRANSLATE(D301,""auto"",""en"")"),"With the answer result scoring graphic user interface display screen panel")</f>
        <v>With the answer result scoring graphic user interface display screen panel</v>
      </c>
    </row>
    <row r="302" spans="1:5" ht="15" x14ac:dyDescent="0.25">
      <c r="A302" s="5" t="s">
        <v>898</v>
      </c>
      <c r="B302" s="6" t="s">
        <v>899</v>
      </c>
      <c r="C302" s="3" t="str">
        <f ca="1">IFERROR(__xludf.DUMMYFUNCTION("GOOGLETRANSLATE(B302,""auto"",""en"")"),"The invention provides a motion tracking method and system in the swimming scene. The track tracking method in the swimming scene, including: character recognition algorithms in the swimming scene, full connection neural network location prediction model,"&amp;" characteristic extraction algorithm, Hungarian matrix algorithm algorithm Whether the character recognition goals are the same as the comprehensive similarity assessment value of the character recognition goals in the latter frame, and based on the compr"&amp;"ehensive similarity evaluation value, the best of all character recognition goals in the previous frame of the image in the previous frame of the image are the best in the next frame image, respectively. Match the character recognition goals to accurately"&amp;" track the motion trajectory of the character recognition goals in swimming scenes. Use the movement rules and character characteristics of the swimming scene to perform the similar matching of the character targets and the similarity of the character rec"&amp;"ognition targets in the front and back images, and accurately track the trajectory of the character recognition target motion in swimming scenes in simple and efficiently.")</f>
        <v>The invention provides a motion tracking method and system in the swimming scene. The track tracking method in the swimming scene, including: character recognition algorithms in the swimming scene, full connection neural network location prediction model, characteristic extraction algorithm, Hungarian matrix algorithm algorithm Whether the character recognition goals are the same as the comprehensive similarity assessment value of the character recognition goals in the latter frame, and based on the comprehensive similarity evaluation value, the best of all character recognition goals in the previous frame of the image in the previous frame of the image are the best in the next frame image, respectively. Match the character recognition goals to accurately track the motion trajectory of the character recognition goals in swimming scenes. Use the movement rules and character characteristics of the swimming scene to perform the similar matching of the character targets and the similarity of the character recognition targets in the front and back images, and accurately track the trajectory of the character recognition target motion in swimming scenes in simple and efficiently.</v>
      </c>
      <c r="D302" s="6" t="s">
        <v>900</v>
      </c>
      <c r="E302" s="4" t="str">
        <f ca="1">IFERROR(__xludf.DUMMYFUNCTION("GOOGLETRANSLATE(D302,""auto"",""en"")"),"Sport track tracking method and system in swimming scenes")</f>
        <v>Sport track tracking method and system in swimming scenes</v>
      </c>
    </row>
    <row r="303" spans="1:5" ht="15" x14ac:dyDescent="0.25">
      <c r="A303" s="5" t="s">
        <v>901</v>
      </c>
      <c r="B303" s="6" t="s">
        <v>902</v>
      </c>
      <c r="C303" s="3" t="str">
        <f ca="1">IFERROR(__xludf.DUMMYFUNCTION("GOOGLETRANSLATE(B303,""auto"",""en"")"),"The present invention disclosed a key action detection system based on deep learning, including the following steps: obtaining sports video data by collecting modules, including sports video data includes track and field teaching video data; extraction mo"&amp;"dule extract from sports teaching video data Interest areas, and obtain the characteristic area according to the extraction result; through the detection module, use the deep learning module to identify the characteristic area, extract key frames accordin"&amp;"g to the recognition results, obtain key actions of sports videos, display the key movements of sports videos and store modules.")</f>
        <v>The present invention disclosed a key action detection system based on deep learning, including the following steps: obtaining sports video data by collecting modules, including sports video data includes track and field teaching video data; extraction module extract from sports teaching video data Interest areas, and obtain the characteristic area according to the extraction result; through the detection module, use the deep learning module to identify the characteristic area, extract key frames according to the recognition results, obtain key actions of sports videos, display the key movements of sports videos and store modules.</v>
      </c>
      <c r="D303" s="6" t="s">
        <v>903</v>
      </c>
      <c r="E303" s="4" t="str">
        <f ca="1">IFERROR(__xludf.DUMMYFUNCTION("GOOGLETRANSLATE(D303,""auto"",""en"")"),"Sports video key action detection system based on deep learning")</f>
        <v>Sports video key action detection system based on deep learning</v>
      </c>
    </row>
    <row r="304" spans="1:5" ht="15" x14ac:dyDescent="0.25">
      <c r="A304" s="5" t="s">
        <v>904</v>
      </c>
      <c r="B304" s="6" t="s">
        <v>905</v>
      </c>
      <c r="C304" s="3" t="str">
        <f ca="1">IFERROR(__xludf.DUMMYFUNCTION("GOOGLETRANSLATE(B304,""auto"",""en"")"),"The invention processs the product of the products of the home appliances, treadmills, rowing machines, and massage chairs. The corresponding delivery driver terminals are allocated, the logistics route is displayed, the delivery driver is guided to the l"&amp;"ogistics base, and the inventory goods are delivered to the destination.")</f>
        <v>The invention processs the product of the products of the home appliances, treadmills, rowing machines, and massage chairs. The corresponding delivery driver terminals are allocated, the logistics route is displayed, the delivery driver is guided to the logistics base, and the inventory goods are delivered to the destination.</v>
      </c>
      <c r="D304" s="6" t="s">
        <v>906</v>
      </c>
      <c r="E304" s="4" t="str">
        <f ca="1">IFERROR(__xludf.DUMMYFUNCTION("GOOGLETRANSLATE(D304,""auto"",""en"")"),"Logistics processing automation method, device and system based on big data artificial intelligence models")</f>
        <v>Logistics processing automation method, device and system based on big data artificial intelligence models</v>
      </c>
    </row>
    <row r="305" spans="1:5" ht="15" x14ac:dyDescent="0.25">
      <c r="A305" s="5" t="s">
        <v>907</v>
      </c>
      <c r="B305" s="6" t="s">
        <v>908</v>
      </c>
      <c r="C305" s="3" t="str">
        <f ca="1">IFERROR(__xludf.DUMMYFUNCTION("GOOGLETRANSLATE(B305,""auto"",""en"")"),"1. Design product name: The work management graphic user interface of the display screen panel. ; 2. Design products for designing products: used for running program, information display, human -computer interaction. ; 3. Design points for designing produ"&amp;"cts in this exterior: lies in the interface content of the graphic user interface in the screen. ; 4. The picture or photo that can most indicate the point of design: Design 1 main view. ; 5. Specifying design 1 is the basic design. ; 6. Graphic user inte"&amp;"rface use: This graphic user interface is used for work management. Design 1 main view is the main interface of work management. This interface contains menu bar, the latest announcement bar, and work prompt bar. Users can perform related operations accor"&amp;"ding to the interface. The design 2 main view is the main interface of the work management of the second -level menu, and the user can perform related operations according to the interface. The design 3 main view is the user management interface, and the "&amp;"user can perform related operations according to the interface. 7. Other descriptions: This display screen panel is applied to vehicles, computers, laptops, tablets, mobile phones, smart watches, smart bracelets, fitness monitor, wearing headphones, perso"&amp;"nal digital assistants (PDA), smart speakers, smart speakers, smart speakers, smart speakers, smart speakers, smart speakers, smart speakers, smart speakers, smart speakers, smart speakers, smart speakers, smart speakers, smart speakers, smart speakers, s"&amp;"mart speakers, smart speakers, smart speakers, smart speakers, smart speakers, smart speakers, smart speakers, smart speakers, smart speakers, TV, set -top box, projector, game console or navigator. ; 1. The name of the product design product: The work ma"&amp;"nagement graphic user interface of the display screen panel. ; 2. Design products for designing products: used for running program, information display, human -computer interaction. ; 3. Design points for designing products in this exterior: lies in the i"&amp;"nterface content of the graphic user interface in the screen. ; 4. The picture or photo that can most indicate the point of design: Design 1 main view. ; 5. Specifying design 1 is the basic design. ; 6. Graphic user interface use: This graphic user interf"&amp;"ace is used for work management. Design 1 main view is the main interface of work management. This interface contains menu bar, the latest announcement bar, and work prompt bar. Users can perform related operations according to the interface. The design 2"&amp;" main view is the main interface of the work management of the second -level menu, and the user can perform related operations according to the interface. The design 3 main view is the user management interface, and the user can perform related operations"&amp;" according to the interface. 7. Other descriptions: This display screen panel is applied to vehicles, computers, laptops, tablets, mobile phones, smart watches, smart bracelets, fitness monitor, wearing headphones, personal digital assistants (PDA), smart"&amp;" speakers, smart speakers, smart speakers, smart speakers, smart speakers, smart speakers, smart speakers, smart speakers, smart speakers, smart speakers, smart speakers, smart speakers, smart speakers, smart speakers, smart speakers, smart speakers, smar"&amp;"t speakers, smart speakers, smart speakers, smart speakers, smart speakers, smart speakers, smart speakers, TV, set -top box, projector, game console or navigator.")</f>
        <v>1. Design product name: The work management graphic user interface of the display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 6. Graphic user interface use: This graphic user interface is used for work management. Design 1 main view is the main interface of work management. This interface contains menu bar, the latest announcement bar, and work prompt bar. Users can perform related operations according to the interface. The design 2 main view is the main interface of the work management of the second -level menu, and the user can perform related operations according to the interface. The design 3 main view is the user management interface, and the user can perform related operations according to the interface. 7. Other descriptions: This display screen panel is applied to vehicles, computers, laptops, tablets, mobile phones, smart watches, smart bracelets, fitness monitor, wearing headphones, personal digital assistants (PDA),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TV, set -top box, projector, game console or navigator. ; 1. The name of the product design product: The work management graphic user interface of the display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 6. Graphic user interface use: This graphic user interface is used for work management. Design 1 main view is the main interface of work management. This interface contains menu bar, the latest announcement bar, and work prompt bar. Users can perform related operations according to the interface. The design 2 main view is the main interface of the work management of the second -level menu, and the user can perform related operations according to the interface. The design 3 main view is the user management interface, and the user can perform related operations according to the interface. 7. Other descriptions: This display screen panel is applied to vehicles, computers, laptops, tablets, mobile phones, smart watches, smart bracelets, fitness monitor, wearing headphones, personal digital assistants (PDA),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TV, set -top box, projector, game console or navigator.</v>
      </c>
      <c r="D305" s="6" t="s">
        <v>909</v>
      </c>
      <c r="E305" s="4" t="str">
        <f ca="1">IFERROR(__xludf.DUMMYFUNCTION("GOOGLETRANSLATE(D305,""auto"",""en"")"),"Work management graphic user interface of display screen panel")</f>
        <v>Work management graphic user interface of display screen panel</v>
      </c>
    </row>
    <row r="306" spans="1:5" ht="15" x14ac:dyDescent="0.25">
      <c r="A306" s="5" t="s">
        <v>910</v>
      </c>
      <c r="B306" s="6" t="s">
        <v>911</v>
      </c>
      <c r="C306" s="3" t="str">
        <f ca="1">IFERROR(__xludf.DUMMYFUNCTION("GOOGLETRANSLATE(B306,""auto"",""en"")"),"1. Design product name: Display screen panel of subway self -service customer service graphics user interface. 2. Design products in appearance: used for interaction and display. 3. Design of the design of the product in this exterior: lies in the content"&amp;" of the graphic user interface. 4. Pictures or photos that can most indicate design points: main view. 5. There is no design point for other views, omitting other views. 6. The purpose of the graphical user interface: It is used to achieve self -service s"&amp;"ubway service business when taking the subway. 7. Human -computer interaction method of graphic user interface: The main view is the homepage of the subway handling business, showing the type of business, including ""ticket card processing"", ""face regis"&amp;"tration"", ""recharge"", ""electronic invoices"", ""tickets"", ""tickets"" Card inquiry """" business services such as ""such as the"" ticket card processing ""button in the lower left corner of the interface; click the"" Ticket Card Treatment ""button in"&amp;" the main view to jump to the interface change state. After swiping the ticket/card according to the prompt, the interface change state Figure 1 jump to the interface change state. The ticket card information interface displayed (for example: the ticket h"&amp;"as expired and cannot be used), click the ""Return"" button under the interface, Return to the main view; click the ""Face Registration"" button in the main view, and jump to the interface change state. The face registration service interface displayed. ,"&amp;" ""Open the face of the face"", ""Update the face of the face"", ""Logging out the face of the face"", ""the face of the face in and out of the gate"" and other face registration service process project options; A person's face registration service proces"&amp;"s option option, jump to the interface change state. Figure 4 Place the ID card interface, click the ""Return"" button at the bottom of the interface, and return to the main view; click the ""recharge"" button in the main view, jump to the jump to the jum"&amp;"p to to the switch to to the switch to The interface change state Figure 5 recharge the card read card interface; in the interface change state Figure 5, after brush the storage vote according to the prompt, the interface change state figure 5 jump to the"&amp;" interface changes. 6 display information interface. The type of recharge amount, and ticket information such as ""ticket type"", ""ticket number"", ""balance"", ""validity"", ""status"", ""cumulative amount"" and other ticket information such as ""ticket"&amp;" number"", ""balance"", ""status"" View; click the ""Electronic Invoice"" button in the main view to jump to the interface change state. 7 displayed/storage vote read card interface display; user in the interface changes. 7 Later, the interface change sta"&amp;"te Figure 7 jump to the interface change state. 8 displayed in the electronic invoice information interface. The interface includes a QR code generated by applying for electronic invoice information, and ""ticket types"" and ""ticket number"" containing e"&amp;"lectronic invoices. , ""Ticket amount"", ""status"", ""sale station"", ""release time"", ""station station station"", ""entering time"" and other ticket information, click the ""Return"" button at the bottom of the interface to return to the Lord View; cl"&amp;"ick the ""Ticket Card Inquiry"" button in the main view to jump to the interface change status. 9 displayed card query card read -read card interface; after the user swipes the ticket/card read content according to the prompts in the interface changes, th"&amp;"e user shall由界面变化状态图9跳转至界面变化状态图10展示的票卡查询信息界面，界面包含乘坐地铁过程中的“消费地点”、“时间”、“消费类型”、“金额”等信息，以及""Ticket type"", ""ticket number"", ""balance"", ""number of ride"", ""validity"", ""status"", ""cumulative amount"" and other ticket information such as ticket card inf"&amp;"ormation and other ticket information, click on the interface ""Return"" button, return to the main view; click the ""Smart Voice Inquiry"" button in the main view, jump to the intelligent voice question and answer interface displayed by the interface cha"&amp;"nge state, click the ""Return Homepage"" button under the interface, return to the main view of the main view Essence 8. The displayed carrier equipment for display is the existing design. The display screen panel can be applied to computers, laptops, tab"&amp;"let computers, mobile phones, smartphones, smart glasses, watches, smart watches, fitness monitors, head wearing, head wearing Form headphones, personal digital assistants, smart speakers, television, monitor, set -top box, navigator, display device for v"&amp;"ehicles.")</f>
        <v>1. Design product name: Display screen panel of subway self -service customer service graphics user interface. 2. Design products in appearance: used for interaction and display. 3. Design of the design of the product in this exterior: lies in the content of the graphic user interface. 4. Pictures or photos that can most indicate design points: main view. 5. There is no design point for other views, omitting other views. 6. The purpose of the graphical user interface: It is used to achieve self -service subway service business when taking the subway. 7. Human -computer interaction method of graphic user interface: The main view is the homepage of the subway handling business, showing the type of business, including "ticket card processing", "face registration", "recharge", "electronic invoices", "tickets", "tickets" Card inquiry "" business services such as "such as the" ticket card processing "button in the lower left corner of the interface; click the" Ticket Card Treatment "button in the main view to jump to the interface change state. After swiping the ticket/card according to the prompt, the interface change state Figure 1 jump to the interface change state. The ticket card information interface displayed (for example: the ticket has expired and cannot be used), click the "Return" button under the interface, Return to the main view; click the "Face Registration" button in the main view, and jump to the interface change state. The face registration service interface displayed. , "Open the face of the face", "Update the face of the face", "Logging out the face of the face", "the face of the face in and out of the gate" and other face registration service process project options; A person's face registration service process option option, jump to the interface change state. Figure 4 Place the ID card interface, click the "Return" button at the bottom of the interface, and return to the main view; click the "recharge" button in the main view, jump to the jump to the jump to to the switch to to the switch to The interface change state Figure 5 recharge the card read card interface; in the interface change state Figure 5, after brush the storage vote according to the prompt, the interface change state figure 5 jump to the interface changes. 6 display information interface. The type of recharge amount, and ticket information such as "ticket type", "ticket number", "balance", "validity", "status", "cumulative amount" and other ticket information such as "ticket number", "balance", "status" View; click the "Electronic Invoice" button in the main view to jump to the interface change state. 7 displayed/storage vote read card interface display; user in the interface changes. 7 Later, the interface change state Figure 7 jump to the interface change state. 8 displayed in the electronic invoice information interface. The interface includes a QR code generated by applying for electronic invoice information, and "ticket types" and "ticket number" containing electronic invoices. , "Ticket amount", "status", "sale station", "release time", "station station station", "entering time" and other ticket information, click the "Return" button at the bottom of the interface to return to the Lord View; click the "Ticket Card Inquiry" button in the main view to jump to the interface change status. 9 displayed card query card read -read card interface; after the user swipes the ticket/card read content according to the prompts in the interface changes, the user shall由界面变化状态图9跳转至界面变化状态图10展示的票卡查询信息界面，界面包含乘坐地铁过程中的“消费地点”、“时间”、“消费类型”、“金额”等信息，以及"Ticket type", "ticket number", "balance", "number of ride", "validity", "status", "cumulative amount" and other ticket information such as ticket card information and other ticket information, click on the interface "Return" button, return to the main view; click the "Smart Voice Inquiry" button in the main view, jump to the intelligent voice question and answer interface displayed by the interface change state, click the "Return Homepage" button under the interface, return to the main view of the main view Essence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device for vehicles.</v>
      </c>
      <c r="D306" s="6" t="s">
        <v>912</v>
      </c>
      <c r="E306" s="4" t="str">
        <f ca="1">IFERROR(__xludf.DUMMYFUNCTION("GOOGLETRANSLATE(D306,""auto"",""en"")"),"Display screen panel of subway self -service customer service graphics user interface")</f>
        <v>Display screen panel of subway self -service customer service graphics user interface</v>
      </c>
    </row>
    <row r="307" spans="1:5" ht="15" x14ac:dyDescent="0.25">
      <c r="A307" s="5" t="s">
        <v>913</v>
      </c>
      <c r="B307" s="6" t="s">
        <v>914</v>
      </c>
      <c r="C307" s="3" t="str">
        <f ca="1">IFERROR(__xludf.DUMMYFUNCTION("GOOGLETRANSLATE(B307,""auto"",""en"")"),"According to this public image processing device, the obtaining device is obtained to obtain the image of the sports competition venue taken by the shooting to be suitable for the perspective; detect the device to detect multiple objects in the image; and"&amp;" identify the device. The mobility of the actions of a specific player in multiple objects based on pruning images. Here, the trimming device is repaired by the scope of a specific player based on the position of the first object used in sports competitio"&amp;"ns.")</f>
        <v>According to this public image processing device, the obtaining device is obtained to obtain the image of the sports competition venue taken by the shooting to be suitable for the perspective; detect the device to detect multiple objects in the image; and identify the device. The mobility of the actions of a specific player in multiple objects based on pruning images. Here, the trimming device is repaired by the scope of a specific player based on the position of the first object used in sports competitions.</v>
      </c>
      <c r="D307" s="6" t="s">
        <v>915</v>
      </c>
      <c r="E307" s="4" t="str">
        <f ca="1">IFERROR(__xludf.DUMMYFUNCTION("GOOGLETRANSLATE(D307,""auto"",""en"")"),"Image processing device, image processing method and program")</f>
        <v>Image processing device, image processing method and program</v>
      </c>
    </row>
    <row r="308" spans="1:5" ht="15" x14ac:dyDescent="0.25">
      <c r="A308" s="5" t="s">
        <v>916</v>
      </c>
      <c r="B308" s="6" t="s">
        <v>917</v>
      </c>
      <c r="C308" s="3" t="str">
        <f ca="1">IFERROR(__xludf.DUMMYFUNCTION("GOOGLETRANSLATE(B308,""auto"",""en"")"),"1. Design product name: Financial information application management graphic user interface of the display screen panel. 2. Design products in appearance: used for running procedures, information display, and human -computer interaction. 3. Design of the "&amp;"design of the product in this exterior: lies in the interface content of the graphic user interface in the screen. 4. Photos or photos that can best show design points: interface change state Figure 1.5. The purpose of graphic user interface: This graphic"&amp;" user interface is used for financial information application management. The main view is an overview map interface of the financial information application management system. The user clicks the ""Enter the Process"" button at the bottom of the interfac"&amp;"e to enter the project management interface. At the stage of the project, the interface change state Figure 2 is the interface hovering on any module in any module. 6. Other situations that need to be described and other descriptions: This display screen "&amp;"panel is applied to computers, laptops, tablets, mobile phones, smart watches, smart bracelets, fitness monitor, headset headphones, personal digital assistants (PDA), smart smart Speakers, television, set -top boxes, projectors, game consoles or navigato"&amp;"rs, vehicles.")</f>
        <v>1. Design product name: Financial information application management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Photos or photos that can best show design points: interface change state Figure 1.5. The purpose of graphic user interface: This graphic user interface is used for financial information application management. The main view is an overview map interface of the financial information application management system. The user clicks the "Enter the Process" button at the bottom of the interface to enter the project management interface. At the stage of the project, the interface change state Figure 2 is the interface hovering on any module in any module. 6. Other situations that need to be described and other descriptions: This display screen panel is applied to computers, laptops, tablets, mobile phones, smart watches, smart bracelets, fitness monitor, headset headphones, personal digital assistants (PDA), smart smart Speakers, television, set -top boxes, projectors, game consoles or navigators, vehicles.</v>
      </c>
      <c r="D308" s="6" t="s">
        <v>918</v>
      </c>
      <c r="E308" s="4" t="str">
        <f ca="1">IFERROR(__xludf.DUMMYFUNCTION("GOOGLETRANSLATE(D308,""auto"",""en"")"),"Financial information application management graphic user interface of display screen panel")</f>
        <v>Financial information application management graphic user interface of display screen panel</v>
      </c>
    </row>
    <row r="309" spans="1:5" ht="15" x14ac:dyDescent="0.25">
      <c r="A309" s="5" t="s">
        <v>919</v>
      </c>
      <c r="B309" s="6" t="s">
        <v>920</v>
      </c>
      <c r="C309" s="3" t="str">
        <f ca="1">IFERROR(__xludf.DUMMYFUNCTION("GOOGLETRANSLATE(B309,""auto"",""en"")"),"Traditional stock price prediction Machine learning methods use data before the use of prices in the past few years, resulting in the ambiguous or accuracy of the model, because the value of the stock is not only affected by financial factors, but also af"&amp;"fected by emotional factors. This is because investment is not a financial discipline. This is a study of how people handle money. Even for the smartest person, it is difficult to teach. You cannot summarize your behavior by remembering the formula or fol"&amp;"lowing the electronic table model. The behavior is inherent, varies from person to person, it is difficult to quantify, and it evolves over time. Stock Overflow tries to provide a platform to measure investor behavior, and at the same time give them the o"&amp;"pportunity to learn and test various investment skills. Users can use Stock Overflow to use virtual currencies to buy and sell stocks in a virtual environment in multiple sessions to compare investment technology. It also provides them with a competitive "&amp;"platform that allows them to compete in the competition and improve the league stairs by obtaining the best return on investment. We combine the emotional data created by our platform with other financial quality (such as Twitter, Google News and the stoc"&amp;"k price of the previous year) to provide a more comprehensive form of prediction")</f>
        <v>Traditional stock price prediction Machine learning methods use data before the use of prices in the past few years, resulting in the ambiguous or accuracy of the model, because the value of the stock is not only affected by financial factors, but also affected by emotional factors. This is because investment is not a financial discipline. This is a study of how people handle money. Even for the smartest person, it is difficult to teach. You cannot summarize your behavior by remembering the formula or following the electronic table model. The behavior is inherent, varies from person to person, it is difficult to quantify, and it evolves over time. Stock Overflow tries to provide a platform to measure investor behavior, and at the same time give them the opportunity to learn and test various investment skills. Users can use Stock Overflow to use virtual currencies to buy and sell stocks in a virtual environment in multiple sessions to compare investment technology. It also provides them with a competitive platform that allows them to compete in the competition and improve the league stairs by obtaining the best return on investment. We combine the emotional data created by our platform with other financial quality (such as Twitter, Google News and the stock price of the previous year) to provide a more comprehensive form of prediction</v>
      </c>
      <c r="D309" s="6" t="s">
        <v>921</v>
      </c>
      <c r="E309" s="4" t="str">
        <f ca="1">IFERROR(__xludf.DUMMYFUNCTION("GOOGLETRANSLATE(D309,""auto"",""en"")"),"Inventory overflow")</f>
        <v>Inventory overflow</v>
      </c>
    </row>
    <row r="310" spans="1:5" ht="15" x14ac:dyDescent="0.25">
      <c r="A310" s="5" t="s">
        <v>922</v>
      </c>
      <c r="B310" s="6" t="s">
        <v>923</v>
      </c>
      <c r="C310" s="3" t="str">
        <f ca="1">IFERROR(__xludf.DUMMYFUNCTION("GOOGLETRANSLATE(B310,""auto"",""en"")"),"[0001] The present invention involves the field of sports management systems, which is more specific that it involves a system that drives games using neural network management needs. The system used to manage demand -driven games includes registering for"&amp;" demand -driven games or competitions and other events, players and/or team -based user interfaces, configured to allow at least one administrator to configure at least one game, including at least one game, and at least one game, including at least one g"&amp;"ame, at least one game. Team and player names, configurations to allow registered entities to select demand -driven competitions or competitions and other events, players and/or team's public interface, configuration to storage databases obtained by infor"&amp;"mation obtained by the user interface based on deep neural networks, and use it. In the storage memory of one or more computers read -verifiable rules, configured to perform a computer -readable program code to create a game period and category that drive"&amp;"s the demand, and set up related preferences The training module, the training module provides at least more users with a movement about educational information about at least O, as well as a communication module for transmitting data between coaches and "&amp;"multiple users.")</f>
        <v>[0001] The present invention involves the field of sports management systems, which is more specific that it involves a system that drives games using neural network management needs. The system used to manage demand -driven games includes registering for demand -driven games or competitions and other events, players and/or team -based user interfaces, configured to allow at least one administrator to configure at least one game, including at least one game, and at least one game, including at least one game, at least one game. Team and player names, configurations to allow registered entities to select demand -driven competitions or competitions and other events, players and/or team's public interface, configuration to storage databases obtained by information obtained by the user interface based on deep neural networks, and use it. In the storage memory of one or more computers read -verifiable rules, configured to perform a computer -readable program code to create a game period and category that drives the demand, and set up related preferences The training module, the training module provides at least more users with a movement about educational information about at least O, as well as a communication module for transmitting data between coaches and multiple users.</v>
      </c>
      <c r="D310" s="6" t="s">
        <v>924</v>
      </c>
      <c r="E310" s="4" t="str">
        <f ca="1">IFERROR(__xludf.DUMMYFUNCTION("GOOGLETRANSLATE(D310,""auto"",""en"")"),"Management demand drive game system")</f>
        <v>Management demand drive game system</v>
      </c>
    </row>
    <row r="311" spans="1:5" ht="15" x14ac:dyDescent="0.25">
      <c r="A311" s="5" t="s">
        <v>925</v>
      </c>
      <c r="B311" s="6" t="s">
        <v>926</v>
      </c>
      <c r="C311" s="3" t="str">
        <f ca="1">IFERROR(__xludf.DUMMYFUNCTION("GOOGLETRANSLATE(B311,""auto"",""en"")"),"1. Design product name: Display screen panel with molecular structural model -patterned user interface.
 2. The purpose of designing products in this exterior: used to display graphic user interface.
 3. Design of design products in this appearance: l"&amp;"ies in the graphic user interface in the screen.
 4. Pictures or photos that can most indicate design points: main view.
 5. There is no design point for other views, omitting other views.
 6. The purpose of graphical user interface: The interface i"&amp;"s used for the use of the creation, editing and display of the material molecular structure model.
 7. Human -computer interaction method of graphical user interface: The graphic user interface displayed by the main view is to open the start interface o"&amp;"f the program; press and hold the right position in the display area on the right side of the main vision to get the interface change state diagram.
 8. The display screen panel of the product can be applied to computers, laptops, tablet computers, head"&amp;" -up display (HUD), multimedia projector, smartphone, smart robot, smart glasses, virtual reality glasses, augmented reality glasses, hybrid reality Glasses, smart watches, fitness monitors, headset headphones, driving recorders, vehicle navigation equipm"&amp;"ent, vehicle CNC computer, automobile smart rearview mirror, smart speaker, smart TV, set -top box, game handheld, game console.")</f>
        <v>1. Design product name: Display screen panel with molecular structural model -patterned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the use of the creation, editing and display of the material molecular structure model.
 7. Human -computer interaction method of graphical user interface: The graphic user interface displayed by the main view is to open the start interface of the program; press and hold the right position in the display area on the right side of the main vision to get the interface change state diagram.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11" s="6" t="s">
        <v>927</v>
      </c>
      <c r="E311" s="4" t="str">
        <f ca="1">IFERROR(__xludf.DUMMYFUNCTION("GOOGLETRANSLATE(D311,""auto"",""en"")"),"Display screen panel with molecular structure construction model user interface")</f>
        <v>Display screen panel with molecular structure construction model user interface</v>
      </c>
    </row>
    <row r="312" spans="1:5" ht="15" x14ac:dyDescent="0.25">
      <c r="A312" s="5" t="s">
        <v>928</v>
      </c>
      <c r="B312" s="6" t="s">
        <v>926</v>
      </c>
      <c r="C312" s="3" t="str">
        <f ca="1">IFERROR(__xludf.DUMMYFUNCTION("GOOGLETRANSLATE(B312,""auto"",""en"")"),"1. Design product name: Display screen panel with molecular structural model -patterned user interface.
 2. The purpose of designing products in this exterior: used to display graphic user interface.
 3. Design of design products in this appearance: l"&amp;"ies in the graphic user interface in the screen.
 4. Pictures or photos that can most indicate design points: main view.
 5. There is no design point for other views, omitting other views.
 6. The purpose of graphical user interface: The interface i"&amp;"s used for the use of the creation, editing and display of the material molecular structure model.
 7. Human -computer interaction method of graphical user interface: The graphic user interface displayed by the main view is to open the start interface o"&amp;"f the program; press and hold the right position in the display area on the right side of the main vision to get the interface change state diagram.
 8. The display screen panel of the product can be applied to computers, laptops, tablet computers, head"&amp;" -up display (HUD), multimedia projector, smartphone, smart robot, smart glasses, virtual reality glasses, augmented reality glasses, hybrid reality Glasses, smart watches, fitness monitors, headset headphones, driving recorders, vehicle navigation equipm"&amp;"ent, vehicle CNC computer, automobile smart rearview mirror, smart speaker, smart TV, set -top box, game handheld, game console.")</f>
        <v>1. Design product name: Display screen panel with molecular structural model -patterned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the use of the creation, editing and display of the material molecular structure model.
 7. Human -computer interaction method of graphical user interface: The graphic user interface displayed by the main view is to open the start interface of the program; press and hold the right position in the display area on the right side of the main vision to get the interface change state diagram.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12" s="6" t="s">
        <v>927</v>
      </c>
      <c r="E312" s="4" t="str">
        <f ca="1">IFERROR(__xludf.DUMMYFUNCTION("GOOGLETRANSLATE(D312,""auto"",""en"")"),"Display screen panel with molecular structure construction model user interface")</f>
        <v>Display screen panel with molecular structure construction model user interface</v>
      </c>
    </row>
    <row r="313" spans="1:5" ht="15" x14ac:dyDescent="0.25">
      <c r="A313" s="5" t="s">
        <v>929</v>
      </c>
      <c r="B313" s="6" t="s">
        <v>930</v>
      </c>
      <c r="C313" s="3" t="str">
        <f ca="1">IFERROR(__xludf.DUMMYFUNCTION("GOOGLETRANSLATE(B313,""auto"",""en"")"),"1. Design product name: Display screen panel with corporate travel graphics user interface. ; 2. Design products for designing products: used to display graphical user interface. ; 3. Design of the design of the product in this exterior: lies in the graph"&amp;"ic user interface in the screen. ; 4. The picture or photo of the main point of design: The main view. ; 5. There is no design point for other views, omitting other views. 6. The purpose of graphical user interface: The interface is used for the purpose o"&amp;"f corporate employees, taxis and display information. 7. Human -computer interaction method of graphical user interface: The graphic user interface displayed by the main view is the start interface of the opening program; The ""Enter your destination"" bu"&amp;"tton below the view to enter the interface change state Figure 2; in the interface change state Figure 2 at the top of the ""Please enter the end point"" input box in the input box to get the interface changes status. Any of the three search results into "&amp;"the interface change state Figure 4; in the interface change state Figure 4 check the box on the right of the ""Selected Comfort"" to get the interface change state. The ""Next"" button enters the interface change state Figure 6; click the ""Confirmation "&amp;"Call"" button in the lower right corner of the ""Confirmation Call"" button in the lower right corner of the interface. In the case of the standard, click the interface when you click ""Confirm the Call""; click the ""Cancel Order"" button at the bottom r"&amp;"ight at the bottom right of the interface to get the interface change state. Automatically enter the interface after single; slide up at any position below the interface change state. Interface change state Figure 10 Waiting for the interface that automat"&amp;"ically enters the driver after running the itinerary; click the interface change status Figure 13 The ""Go Payment"" button in the lower right corner of the interface and enter the interface change state after completing the payment. Sliding up the interf"&amp;"ace change state Figure 15. ; 8. The display screen panels of the design of the product can be applied to computers, laptops, tablet computers, head -up display (HUD), multimedia projector, smartphone, smart robot, smart glasses, virtual reality glasses, "&amp;"enhanced reality glasses, mixed mixed Reality glasses, smart watches, fitness monitor, headset headphones, driving recorders, vehicle navigation equipment, vehicle CNC computer, automobile smart rearview mirror, smart speaker, smart TV, set -top box, game"&amp;" handheld, game console. ; 9. The gray ""X"" coating in the graphic user interface of the product of the product is the content picture. ; 1. The name of the design of the product in this exterior: the display screen panel with a business interface with a"&amp;" corporate travel graphics user interface. ; 2. Design products for designing products: used to display graphical user interface. ; 3. Design of the design of the product in this exterior: lies in the graphic user interface in the screen. ; 4. The picture"&amp;" or photo of the main point of design: The main view. ; 5. There is no design point for other views, omitting other views. 6. The purpose of graphical user interface: The interface is used for the purpose of corporate employees, taxis and display informat"&amp;"ion. 7. Human -computer interaction method of graphical user interface: The graphic user interface displayed by the main view is the start interface of the opening program; The ""Enter your destination"" button below the view to enter the interface change"&amp;" state Figure 2; in the interface change state Figure 2 at the top of the ""Please enter the end point"" input box in the input box to get the interface changes status. Any of the three search results into the interface change state Figure 4; in the inter"&amp;"face change state Figure 4 check the box on the right of the ""Selected Comfort"" to get the interface change state. The ""Next"" button enters the interface change state Figure 6; click the ""Confirmation Call"" button in the lower right corner of the """&amp;"Confirmation Call"" button in the lower right corner of the interface. In the case of the standard, click the interface when you click ""Confirm the Call""; click the ""Cancel Order"" button at the bottom right at the bottom right of the interface to get "&amp;"the interface change state. Automatically enter the interface after single; slide up at any position below the interface change state. Interface change state Figure 10 Waiting for the interface that automatically enters the driver after running the itiner"&amp;"ary; click the interface change status Figure 13 The ""Go Payment"" button in the lower right corner of the interface and enter the interface change state after completing the payment. Sliding up the interface change state Figure 15. ; 8. The display scre"&amp;"en panels of the design of the product can be applied to computers, laptops, tablet computers, head -up display (HUD), multimedia projector, smartphone, smart robot, smart glasses, virtual reality glasses, enhanced reality glasses, mixed mixed Reality gla"&amp;"sses, smart watches, fitness monitor, headset headphones, driving recorders, vehicle navigation equipment, vehicle CNC computer, automobile smart rearview mirror, smart speaker, smart TV, set -top box, game handheld, game console. ; 9. The gray ""X"" coat"&amp;"ing in the graphic user interface of the product of the product is the content picture.")</f>
        <v>1. Design product name: Display screen panel with corporate travel graphics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purpose of corporate employees, taxis and display information. 7. Human -computer interaction method of graphical user interface: The graphic user interface displayed by the main view is the start interface of the opening program; The "Enter your destination" button below the view to enter the interface change state Figure 2; in the interface change state Figure 2 at the top of the "Please enter the end point" input box in the input box to get the interface changes status. Any of the three search results into the interface change state Figure 4; in the interface change state Figure 4 check the box on the right of the "Selected Comfort" to get the interface change state. The "Next" button enters the interface change state Figure 6; click the "Confirmation Call" button in the lower right corner of the "Confirmation Call" button in the lower right corner of the interface. In the case of the standard, click the interface when you click "Confirm the Call"; click the "Cancel Order" button at the bottom right at the bottom right of the interface to get the interface change state. Automatically enter the interface after single; slide up at any position below the interface change state. Interface change state Figure 10 Waiting for the interface that automatically enters the driver after running the itinerary; click the interface change status Figure 13 The "Go Payment" button in the lower right corner of the interface and enter the interface change state after completing the payment. Sliding up the interface change state Figure 15.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 ; 1. The name of the design of the product in this exterior: the display screen panel with a business interface with a corporate travel graphics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purpose of corporate employees, taxis and display information. 7. Human -computer interaction method of graphical user interface: The graphic user interface displayed by the main view is the start interface of the opening program; The "Enter your destination" button below the view to enter the interface change state Figure 2; in the interface change state Figure 2 at the top of the "Please enter the end point" input box in the input box to get the interface changes status. Any of the three search results into the interface change state Figure 4; in the interface change state Figure 4 check the box on the right of the "Selected Comfort" to get the interface change state. The "Next" button enters the interface change state Figure 6; click the "Confirmation Call" button in the lower right corner of the "Confirmation Call" button in the lower right corner of the interface. In the case of the standard, click the interface when you click "Confirm the Call"; click the "Cancel Order" button at the bottom right at the bottom right of the interface to get the interface change state. Automatically enter the interface after single; slide up at any position below the interface change state. Interface change state Figure 10 Waiting for the interface that automatically enters the driver after running the itinerary; click the interface change status Figure 13 The "Go Payment" button in the lower right corner of the interface and enter the interface change state after completing the payment. Sliding up the interface change state Figure 15.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v>
      </c>
      <c r="D313" s="6" t="s">
        <v>931</v>
      </c>
      <c r="E313" s="4" t="str">
        <f ca="1">IFERROR(__xludf.DUMMYFUNCTION("GOOGLETRANSLATE(D313,""auto"",""en"")"),"Bring a display screen panel with a business interface with a business interface")</f>
        <v>Bring a display screen panel with a business interface with a business interface</v>
      </c>
    </row>
    <row r="314" spans="1:5" ht="15" x14ac:dyDescent="0.25">
      <c r="A314" s="5" t="s">
        <v>932</v>
      </c>
      <c r="B314" s="6" t="s">
        <v>933</v>
      </c>
      <c r="C314" s="3" t="str">
        <f ca="1">IFERROR(__xludf.DUMMYFUNCTION("GOOGLETRANSLATE(B314,""auto"",""en"")"),"1. The name of the product of the design of the product: Party organization management graphic user interface of the property industry of display screen panels. ; 2. Design products for designing products: used for running program, information display, hu"&amp;"man -computer interaction. ; 3. Design points for designing products in this exterior: lies in the interface content of the graphic user interface in the screen. ; 4. The picture or photo that can most indicate the point of design: Design 1 main view. ; 5"&amp;". Specifying design 1 is the basic design. 6. Graphic user interface use: This graphic user interface is used in party organization management of the property industry. Design 1 main view is the main interface of party organization management of the prope"&amp;"rty industry. Users click on the left navigation bar to view more information. The design 2 main view is the management interface of the party organization of the industry. Users can click to select the industry party organization that has been establishe"&amp;"d, and it can also build a new industry party organization. The design 3 main view is the management interface of the party organization of the community. Users can click to select the industry party organization that has been established, and you can als"&amp;"o build a new community party organization. The design 4 main view is the party building activity interface, and the interface shows the party building activities of all states by default. Users can modify the operation according to the interface prompts."&amp;" The design 5 main view is the dynamic interface of the party building. The interface shows that all party building activities that have been published in the interface default. Users can modify the operation according to the interface prompts. The design"&amp;" 6 main view is the disclosure interface of the party affairs. The interface shows the party building activities of all states by default. Users can modify the operation according to the interface prompts. 7. Other descriptions: This display screen panel "&amp;"is applied to vehicles, computers, laptops, tablets, mobile phones, smart watches, smart bracelets, fitness monitor, wearing headphones, personal digital assistants (PDA), smart speakers, smart speakers, smart speakers, smart speakers, smart speakers, sma"&amp;"rt speakers, smart speakers, smart speakers, smart speakers, smart speakers, smart speakers, smart speakers, smart speakers, smart speakers, smart speakers, smart speakers, smart speakers, smart speakers, smart speakers, smart speakers, smart speakers, sm"&amp;"art speakers, smart speakers, TV, set -top box, projector, game console or navigator. ; 1. The name of the product design of the product: Party organization management graphic user interface of the property industry of display screen panels. ; 2. Design p"&amp;"roducts for designing products: used for running program, information display, human -computer interaction. ; 3. Design points for designing products in this exterior: lies in the interface content of the graphic user interface in the screen. ; 4. The pic"&amp;"ture or photo that can most indicate the point of design: Design 1 main view. ; 5. Specifying design 1 is the basic design. 6. Graphic user interface use: This graphic user interface is used in party organization management of the property industry. Desig"&amp;"n 1 main view is the main interface of party organization management of the property industry. Users click on the left navigation bar to view more information. The design 2 main view is the management interface of the party organization of the industry. U"&amp;"sers can click to select the industry party organization that has been established, and it can also build a new industry party organization. The design 3 main view is the management interface of the party organization of the community. Users can click to "&amp;"select the industry party organization that has been established, and you can also build a new community party organization. The design 4 main view is the party building activity interface, and the interface shows the party building activities of all stat"&amp;"es by default. Users can modify the operation according to the interface prompts. The design 5 main view is the dynamic interface of the party building. The interface shows that all party building activities that have been published in the interface defau"&amp;"lt. Users can modify the operation according to the interface prompts. The design 6 main view is the disclosure interface of the party affairs. The interface shows the party building activities of all states by default. Users can modify the operation acco"&amp;"rding to the interface prompts. 7. Other descriptions: This display screen panel is applied to vehicles, computers, laptops, tablets, mobile phones, smart watches, smart bracelets, fitness monitor, wearing headphones, personal digital assistants (PDA), sm"&amp;"art speakers, smart speakers, smart speakers, smart speakers, smart speakers, smart speakers, smart speakers, smart speakers, smart speakers, smart speakers, smart speakers, smart speakers, smart speakers, smart speakers, smart speakers, smart speakers, s"&amp;"mart speakers, smart speakers, smart speakers, smart speakers, smart speakers, smart speakers, smart speakers, TV, set -top box, projector, game console or navigator.")</f>
        <v>1. The name of the product of the design of the product: Party organization management graphic user interface of the property industry of display screen panels.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6. Graphic user interface use: This graphic user interface is used in party organization management of the property industry. Design 1 main view is the main interface of party organization management of the property industry. Users click on the left navigation bar to view more information. The design 2 main view is the management interface of the party organization of the industry. Users can click to select the industry party organization that has been established, and it can also build a new industry party organization. The design 3 main view is the management interface of the party organization of the community. Users can click to select the industry party organization that has been established, and you can also build a new community party organization. The design 4 main view is the party building activity interface, and the interface shows the party building activities of all states by default. Users can modify the operation according to the interface prompts. The design 5 main view is the dynamic interface of the party building. The interface shows that all party building activities that have been published in the interface default. Users can modify the operation according to the interface prompts. The design 6 main view is the disclosure interface of the party affairs. The interface shows the party building activities of all states by default. Users can modify the operation according to the interface prompts. 7. Other descriptions: This display screen panel is applied to vehicles, computers, laptops, tablets, mobile phones, smart watches, smart bracelets, fitness monitor, wearing headphones, personal digital assistants (PDA),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TV, set -top box, projector, game console or navigator. ; 1. The name of the product design of the product: Party organization management graphic user interface of the property industry of display screen panels.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Specifying design 1 is the basic design. 6. Graphic user interface use: This graphic user interface is used in party organization management of the property industry. Design 1 main view is the main interface of party organization management of the property industry. Users click on the left navigation bar to view more information. The design 2 main view is the management interface of the party organization of the industry. Users can click to select the industry party organization that has been established, and it can also build a new industry party organization. The design 3 main view is the management interface of the party organization of the community. Users can click to select the industry party organization that has been established, and you can also build a new community party organization. The design 4 main view is the party building activity interface, and the interface shows the party building activities of all states by default. Users can modify the operation according to the interface prompts. The design 5 main view is the dynamic interface of the party building. The interface shows that all party building activities that have been published in the interface default. Users can modify the operation according to the interface prompts. The design 6 main view is the disclosure interface of the party affairs. The interface shows the party building activities of all states by default. Users can modify the operation according to the interface prompts. 7. Other descriptions: This display screen panel is applied to vehicles, computers, laptops, tablets, mobile phones, smart watches, smart bracelets, fitness monitor, wearing headphones, personal digital assistants (PDA),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smart speakers, TV, set -top box, projector, game console or navigator.</v>
      </c>
      <c r="D314" s="6" t="s">
        <v>934</v>
      </c>
      <c r="E314" s="4" t="str">
        <f ca="1">IFERROR(__xludf.DUMMYFUNCTION("GOOGLETRANSLATE(D314,""auto"",""en"")"),"Property industry party organization management graphic user interface with display screen panels")</f>
        <v>Property industry party organization management graphic user interface with display screen panels</v>
      </c>
    </row>
    <row r="315" spans="1:5" ht="15" x14ac:dyDescent="0.25">
      <c r="A315" s="5" t="s">
        <v>935</v>
      </c>
      <c r="B315" s="6" t="s">
        <v>936</v>
      </c>
      <c r="C315" s="3" t="str">
        <f ca="1">IFERROR(__xludf.DUMMYFUNCTION("GOOGLETRANSLATE(B315,""auto"",""en"")"),"The present invention disclosed a method of tracking data processing based on the growth of student -based student flow. Specifically: training to obtain five major activity flow description models, autonomous learning activity flow, testing learning acti"&amp;"vity flow, interactive learning activity flow, sports activity flow, popular science activity flow flow ; Collect data generated by students in different areas; data collected into the basic data platform (ODS), and use log -based data capture (CDC) for d"&amp;"ata update; Structural data, text, images/videos, audio extraction information extraction through deep learning; calling SQL Merge through the encapsulated ETL Engine, sending updated data into the data warehouse (DW); for the data warehouse (DW ) The dat"&amp;"a of the data is based on the preset description model of the preset activity flow description model and the fusion of decision -level data; it can be used for student growth tracking analysis.")</f>
        <v>The present invention disclosed a method of tracking data processing based on the growth of student -based student flow. Specifically: training to obtain five major activity flow description models, autonomous learning activity flow, testing learning activity flow, interactive learning activity flow, sports activity flow, popular science activity flow flow ; Collect data generated by students in different areas; data collected into the basic data platform (ODS), and use log -based data capture (CDC) for data update; Structural data, text, images/videos, audio extraction information extraction through deep learning; calling SQL Merge through the encapsulated ETL Engine, sending updated data into the data warehouse (DW); for the data warehouse (DW ) The data of the data is based on the preset description model of the preset activity flow description model and the fusion of decision -level data; it can be used for student growth tracking analysis.</v>
      </c>
      <c r="D315" s="6" t="s">
        <v>937</v>
      </c>
      <c r="E315" s="4" t="str">
        <f ca="1">IFERROR(__xludf.DUMMYFUNCTION("GOOGLETRANSLATE(D315,""auto"",""en"")"),"A method of tracking data for student growth based on activity flow")</f>
        <v>A method of tracking data for student growth based on activity flow</v>
      </c>
    </row>
    <row r="316" spans="1:5" ht="15" x14ac:dyDescent="0.25">
      <c r="A316" s="5" t="s">
        <v>938</v>
      </c>
      <c r="B316" s="6" t="s">
        <v>939</v>
      </c>
      <c r="C316" s="3" t="str">
        <f ca="1">IFERROR(__xludf.DUMMYFUNCTION("GOOGLETRANSLATE(B316,""auto"",""en"")"),"The present invention provides a method and system for rewarding individuals for promoting fitness challenges. This method and system include the steps of receiving user data and analyzing user data generation user accounts; send multiple active fitness c"&amp;"hallenges to at least one user device, receive options; receive payment corresponding to selection; receive user activity data and personal physical data; analyze analysis; analyze User activity data and personal physical data, generate a normalized activ"&amp;"ity score; based on at least one machine learning algorithm processing the normalized activity scores; verify the active score of regulatoryization; Event scores; generate scoring cards; generate rewards; at least transmit rewards to the winner equipment;"&amp;" storage rewards, user data, effective home -to -one active scores, selection, personal physical data, user activity data and payment.")</f>
        <v>The present invention provides a method and system for rewarding individuals for promoting fitness challenges. This method and system include the steps of receiving user data and analyzing user data generation user accounts; send multiple active fitness challenges to at least one user device, receive options; receive payment corresponding to selection; receive user activity data and personal physical data; analyze analysis; analyze User activity data and personal physical data, generate a normalized activity score; based on at least one machine learning algorithm processing the normalized activity scores; verify the active score of regulatoryization; Event scores; generate scoring cards; generate rewards; at least transmit rewards to the winner equipment; storage rewards, user data, effective home -to -one active scores, selection, personal physical data, user activity data and payment.</v>
      </c>
      <c r="D316" s="6" t="s">
        <v>940</v>
      </c>
      <c r="E316" s="4" t="str">
        <f ca="1">IFERROR(__xludf.DUMMYFUNCTION("GOOGLETRANSLATE(D316,""auto"",""en"")"),"Promote the methods and systems of fitness challenges for rewarding individuals")</f>
        <v>Promote the methods and systems of fitness challenges for rewarding individuals</v>
      </c>
    </row>
    <row r="317" spans="1:5" ht="15" x14ac:dyDescent="0.25">
      <c r="A317" s="5" t="s">
        <v>941</v>
      </c>
      <c r="B317" s="6" t="s">
        <v>942</v>
      </c>
      <c r="C317" s="3" t="str">
        <f ca="1">IFERROR(__xludf.DUMMYFUNCTION("GOOGLETRANSLATE(B317,""auto"",""en"")"),"1.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best show design: Design 1 main view.
 5. Specify design 1 is the basic design.
 6. The purpose of the graphica"&amp;"l user interface: This graphic user interface is used in the pumping station control system.
 Design 1 main view is the homepage interface of the pump station control system. The design 2 main view is the homepage interface of the pump station control s"&amp;"ystem with a menu bar. Design 3 main view to design 5 is the homepage interface of the pump station control system with pop -up window. Related operations according to the interface prompts.
 7. Other instructions: This display screen panel is applied t"&amp;"o vehicles, computers, laptops, tablets, mobile phones, smart watches, smart bracelets, fitness monitor, headset headphones, personal digital assistants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in the pumping station control system.
 Design 1 main view is the homepage interface of the pump station control system. The design 2 main view is the homepage interface of the pump station control system with a menu bar. Design 3 main view to design 5 is the homepage interface of the pump station control system with pop -up window. Related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317" s="6" t="s">
        <v>943</v>
      </c>
      <c r="E317" s="4" t="str">
        <f ca="1">IFERROR(__xludf.DUMMYFUNCTION("GOOGLETRANSLATE(D317,""auto"",""en"")"),"Pumping station control system graphical user interface of display screen panel")</f>
        <v>Pumping station control system graphical user interface of display screen panel</v>
      </c>
    </row>
    <row r="318" spans="1:5" ht="15" x14ac:dyDescent="0.25">
      <c r="A318" s="5" t="s">
        <v>944</v>
      </c>
      <c r="B318" s="6" t="s">
        <v>945</v>
      </c>
      <c r="C318" s="3" t="str">
        <f ca="1">IFERROR(__xludf.DUMMYFUNCTION("GOOGLETRANSLATE(B318,""auto"",""en"")"),"1.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most indicate design points: main view.
 5. The purpose of the graphical user interface: The main view is the bas"&amp;"ic information display interface of the pump station control system. The user can perform related operations according to the interface prompt.
 6. Other instructions: This display screen panel is applied to vehicles, computers, laptops, tablets, mobile"&amp;" phones, smart watches, smart bracelets, fitness monitor, headset headphones, personal digital assistant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basic information display interface of the pump station control system.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18" s="6" t="s">
        <v>943</v>
      </c>
      <c r="E318" s="4" t="str">
        <f ca="1">IFERROR(__xludf.DUMMYFUNCTION("GOOGLETRANSLATE(D318,""auto"",""en"")"),"Pumping station control system graphical user interface of display screen panel")</f>
        <v>Pumping station control system graphical user interface of display screen panel</v>
      </c>
    </row>
    <row r="319" spans="1:5" ht="15" x14ac:dyDescent="0.25">
      <c r="A319" s="5" t="s">
        <v>946</v>
      </c>
      <c r="B319" s="6" t="s">
        <v>947</v>
      </c>
      <c r="C319" s="3" t="str">
        <f ca="1">IFERROR(__xludf.DUMMYFUNCTION("GOOGLETRANSLATE(B319,""auto"",""en"")"),"1.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best show design: Design 1 main view.
 5. Specify design 1 is the basic design.
 6. The purpose of the graphica"&amp;"l user interface: Design 1 main view and design 2 main views of the parameter display interface of the device. Users can perform relevant operations according to the interface prompts.
 7. Other instructions: This display screen panel is applied to vehi"&amp;"cles, computers, laptops, tablets, mobile phones, smart watches, smart bracelets, fitness monitor, headset headphones, personal digital assistants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main view and design 2 main views of the parameter display interface of the device. Users can perform relevant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319" s="6" t="s">
        <v>943</v>
      </c>
      <c r="E319" s="4" t="str">
        <f ca="1">IFERROR(__xludf.DUMMYFUNCTION("GOOGLETRANSLATE(D319,""auto"",""en"")"),"Pumping station control system graphical user interface of display screen panel")</f>
        <v>Pumping station control system graphical user interface of display screen panel</v>
      </c>
    </row>
    <row r="320" spans="1:5" ht="15" x14ac:dyDescent="0.25">
      <c r="A320" s="5" t="s">
        <v>948</v>
      </c>
      <c r="B320" s="6" t="s">
        <v>949</v>
      </c>
      <c r="C320" s="3" t="str">
        <f ca="1">IFERROR(__xludf.DUMMYFUNCTION("GOOGLETRANSLATE(B320,""auto"",""en"")"),"1.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most indicate design points: main view.
 5. The purpose of the graphical user interface: The main view is the par"&amp;"ameter setting interface of the pump station control system. The user can perform related operations according to the interface prompt.
 6. Other instructions: This display screen panel is applied to vehicles, computers, laptops, tablets, mobile phones,"&amp;" smart watches, smart bracelets, fitness monitor, headset headphones, personal digital assistant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parameter setting interface of the pump station control system.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20" s="6" t="s">
        <v>943</v>
      </c>
      <c r="E320" s="4" t="str">
        <f ca="1">IFERROR(__xludf.DUMMYFUNCTION("GOOGLETRANSLATE(D320,""auto"",""en"")"),"Pumping station control system graphical user interface of display screen panel")</f>
        <v>Pumping station control system graphical user interface of display screen panel</v>
      </c>
    </row>
    <row r="321" spans="1:5" ht="15" x14ac:dyDescent="0.25">
      <c r="A321" s="5" t="s">
        <v>950</v>
      </c>
      <c r="B321" s="6" t="s">
        <v>951</v>
      </c>
      <c r="C321" s="3" t="str">
        <f ca="1">IFERROR(__xludf.DUMMYFUNCTION("GOOGLETRANSLATE(B321,""auto"",""en"")"),"1.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most indicate design points: main view.
 5. The purpose of the graphical user interface: The main view is the pil"&amp;"ot parameter setting interface of the pump station control system, which can perform related operations according to the interface prompts.
 6. Other instructions: This display screen panel is applied to vehicles, computers, laptops, tablets, mobile pho"&amp;"nes, smart watches, smart bracelets, fitness monitor, headset headphones, personal digital assistant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pilot parameter setting interface of the pump station control system, which can perform related operations according to the interface prompts.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21" s="6" t="s">
        <v>943</v>
      </c>
      <c r="E321" s="4" t="str">
        <f ca="1">IFERROR(__xludf.DUMMYFUNCTION("GOOGLETRANSLATE(D321,""auto"",""en"")"),"Pumping station control system graphical user interface of display screen panel")</f>
        <v>Pumping station control system graphical user interface of display screen panel</v>
      </c>
    </row>
    <row r="322" spans="1:5" ht="15" x14ac:dyDescent="0.25">
      <c r="A322" s="5" t="s">
        <v>952</v>
      </c>
      <c r="B322" s="6" t="s">
        <v>953</v>
      </c>
      <c r="C322" s="3" t="str">
        <f ca="1">IFERROR(__xludf.DUMMYFUNCTION("GOOGLETRANSLATE(B322,""auto"",""en"")"),"1. Design product name: Pump station control system graphical user interface of the display screen panel.
 2. Design products in appearance: used for running procedures, information display, and human -computer interaction.
 3. Design of the design of"&amp;" the product in this exterior: lies in the interface content of the graphic user interface in the screen.
 4. Pictures or photos that can most indicate design points: main view.
 5. The purpose of the graphical user interface: The main view is the fau"&amp;"lt information display interface of the pump station control system. The user can perform related operations according to the interface prompt.
 6. Other instructions: This display screen panel is applied to vehicles, computers, laptops, tablets, mobile"&amp;" phones, smart watches, smart bracelets, fitness monitor, headset headphones, personal digital assistant (PDA), smart speakers, TVs, TVs , Skytop box, projector, game console or navigator.")</f>
        <v>1. Design product name: Pump station control system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fault information display interface of the pump station control system.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22" s="6" t="s">
        <v>943</v>
      </c>
      <c r="E322" s="4" t="str">
        <f ca="1">IFERROR(__xludf.DUMMYFUNCTION("GOOGLETRANSLATE(D322,""auto"",""en"")"),"Pumping station control system graphical user interface of display screen panel")</f>
        <v>Pumping station control system graphical user interface of display screen panel</v>
      </c>
    </row>
    <row r="323" spans="1:5" ht="15" x14ac:dyDescent="0.25">
      <c r="A323" s="5" t="s">
        <v>954</v>
      </c>
      <c r="B323" s="6" t="s">
        <v>955</v>
      </c>
      <c r="C323" s="3" t="str">
        <f ca="1">IFERROR(__xludf.DUMMYFUNCTION("GOOGLETRANSLATE(B323,""auto"",""en"")"),"1. Design product name: Graphic user interface for sequencing operation. 2. The purpose of designing products in this exterior: It is used to operate the instruments to complete the functions of pre -sequencing, pre -traffic and cleaning. 3. Design of the"&amp;" design of the product in appearance: lies in the graphic user interface. 4. Pictures or photos that can most indicate design points: main view. 5. No design points, omit other views. 6. The purpose of the graphical user interface: the interface change st"&amp;"ate Figure 1 is the main interface; the interface change state Figure 2 Login interface; The entrance lock state cannot click on other buttons in the interface; the changing status chart of the remaining interface is the specific operation process. 7. Hum"&amp;"an -computer interaction method of graphical user interface: Click the interface change state figure 3 ""sequencing"" to enter the interface change state Figure 5; click ""Standard sequencing"" or ""flexible sequencing"" to enter the interface changes sta"&amp;"tus diagram 6 ; Click ""Introduction"", after importing the experiment, enter the interface change state Figure 7, click ""Next"" to enter the interface change state figure 8; after the corresponding sequencing reagent is placed, click ""Next"" under ""Fl"&amp;"exible Sequential"", click ""Next"", and Enter the interface change state Figure 9; click ""Pre -pass"", enter the interface change state Figure 10, and automatically enter the interface change status figure 12 after the ""pre -pass"" is completed; ""Next"&amp;""", enter the interface change state Figure 11, and then click ""Next"" to enter the interface change state Figure 12; click ""Next"" in the interface change state Figure 12 to enter the interface change status Figure 13; click ""Start sequencing sequenci"&amp;"ng sequencing "", Enter the interface change state Figure 14, after the sequencing runs to the image quality data, automatically enter the interface change state Figure 15; click"" Experimental Information ""to enter the interface change status Figure 16;"&amp;" click"" Sequential Report ""to enter the interface changes status diagram 17; if the interface change state Figure 14 or 15, click ""Disposal sequencing"" to enter the interface change state Figure 18; if in the interface change state Figure 14 or 15 cli"&amp;"ck ""stop sequencing"", enter the interface changes status figure 19, and then click on ""Yes"", enter the interface change state Figure 20; if there is no stop sequencing, after the sequencing is completed, automatically enter the interface change status"&amp;" Figure 21‑ 22; click the interface changes status Figure 3 ""clean"", enter the interface change state Figure 23; click ""Quick Wash"", ""Routine Washing"", ""Maintaining and Cleaning"" at the end of the ""Start"", enter the interface change state Figure"&amp;" 24; click ""Start cleaning"" to enter the interface change status Figure 25; click ""temporarily stop cleaning"" to enter the interface changes State Figure 26; if you click ""Stop cleaning"", enter the interface change state Figure 27; click ""Yes"" to "&amp;"enter the interface change state Figure 28; if you do not stop cleaning, after cleaning is completed, the interface changes are automatically entered. Click the first icon in the upper right corner in any interface to enter the interface change state Figu"&amp;"re 2; click the second icon in the upper right corner in Renyi interface to enter the interface change state Figure 30; click the third icon in the upper right corner in any interface, Enter the interface change state Figure 31; click the fourth icon in t"&amp;"he upper right corner in any interface to enter the interface change state Figure 32; in the interface change state Figure 32; click ""Data Settings"" to enter the interface change state Figure 33; click ""Maintenance"" , Enter the interface change state "&amp;"Figure 34; click ""System Settings"" to enter the interface change state Figure 35; click ""Help"" to enter the interface change state Figure 36; click ""About"", enter the interface change state Figure 37; Enter the interface change state Figure 38.")</f>
        <v>1. Design product name: Graphic user interface for sequencing operation. 2. The purpose of designing products in this exterior: It is used to operate the instruments to complete the functions of pre -sequencing, pre -traffic and cleaning. 3. Design of the design of the product in appearance: lies in the graphic user interface. 4. Pictures or photos that can most indicate design points: main view. 5. No design points, omit other views. 6. The purpose of the graphical user interface: the interface change state Figure 1 is the main interface; the interface change state Figure 2 Login interface; The entrance lock state cannot click on other buttons in the interface; the changing status chart of the remaining interface is the specific operation process. 7. Human -computer interaction method of graphical user interface: Click the interface change state figure 3 "sequencing" to enter the interface change state Figure 5; click "Standard sequencing" or "flexible sequencing" to enter the interface changes status diagram 6 ; Click "Introduction", after importing the experiment, enter the interface change state Figure 7, click "Next" to enter the interface change state figure 8; after the corresponding sequencing reagent is placed, click "Next" under "Flexible Sequential", click "Next", and Enter the interface change state Figure 9; click "Pre -pass", enter the interface change state Figure 10, and automatically enter the interface change status figure 12 after the "pre -pass" is completed; "Next", enter the interface change state Figure 11, and then click "Next" to enter the interface change state Figure 12; click "Next" in the interface change state Figure 12 to enter the interface change status Figure 13; click "Start sequencing sequencing sequencing ", Enter the interface change state Figure 14, after the sequencing runs to the image quality data, automatically enter the interface change state Figure 15; click" Experimental Information "to enter the interface change status Figure 16; click" Sequential Report "to enter the interface changes status diagram 17; if the interface change state Figure 14 or 15, click "Disposal sequencing" to enter the interface change state Figure 18; if in the interface change state Figure 14 or 15 click "stop sequencing", enter the interface changes status figure 19, and then click on "Yes", enter the interface change state Figure 20; if there is no stop sequencing, after the sequencing is completed, automatically enter the interface change status Figure 21‑ 22; click the interface changes status Figure 3 "clean", enter the interface change state Figure 23; click "Quick Wash", "Routine Washing", "Maintaining and Cleaning" at the end of the "Start", enter the interface change state Figure 24; click "Start cleaning" to enter the interface change status Figure 25; click "temporarily stop cleaning" to enter the interface changes State Figure 26; if you click "Stop cleaning", enter the interface change state Figure 27; click "Yes" to enter the interface change state Figure 28; if you do not stop cleaning, after cleaning is completed, the interface changes are automatically entered. Click the first icon in the upper right corner in any interface to enter the interface change state Figure 2; click the second icon in the upper right corner in Renyi interface to enter the interface change state Figure 30; click the third icon in the upper right corner in any interface, Enter the interface change state Figure 31; click the fourth icon in the upper right corner in any interface to enter the interface change state Figure 32; in the interface change state Figure 32; click "Data Settings" to enter the interface change state Figure 33; click "Maintenance" , Enter the interface change state Figure 34; click "System Settings" to enter the interface change state Figure 35; click "Help" to enter the interface change state Figure 36; click "About", enter the interface change state Figure 37; Enter the interface change state Figure 38.</v>
      </c>
      <c r="D323" s="6" t="s">
        <v>956</v>
      </c>
      <c r="E323" s="4" t="str">
        <f ca="1">IFERROR(__xludf.DUMMYFUNCTION("GOOGLETRANSLATE(D323,""auto"",""en"")"),"Graphical user interface for sequencer operation")</f>
        <v>Graphical user interface for sequencer operation</v>
      </c>
    </row>
    <row r="324" spans="1:5" ht="15" x14ac:dyDescent="0.25">
      <c r="A324" s="5" t="s">
        <v>957</v>
      </c>
      <c r="B324" s="6" t="s">
        <v>958</v>
      </c>
      <c r="C324" s="3" t="str">
        <f ca="1">IFERROR(__xludf.DUMMYFUNCTION("GOOGLETRANSLATE(B324,""auto"",""en"")"),"1. Design product name: Display the graphical user interface of the display screen panel. ; 2. Design products for designing products: used to display graphical user interface. ; 3. Design of design products in this appearance: lies in graphic user interf"&amp;"ace. ; 4. The picture or photo that can most indicate the point of design: Design 1 main view. ; 5. The display screen panel is commonly designed and omit other views. ; 6. Specifying design 1 is the basic design. ; 7. The purpose of graphical user interf"&amp;"ace: display, review, and likes for photos and/or video content. 8. Human -computer interaction method of graphical user interface: In designing the main view of 1‑6, users can view more content through up and down the central area. The user's touch inter"&amp;"face in the central content screen area can view specific pictures or videos. ; The area with a small gray block in the interface is the mosaic effect of replaceable pictures or videos. It is not a combination of many small pictures and videos. The circul"&amp;"ar gray area is a replaceable user avatar. The x represents the text and/or the number and/or the symbol in the design interface. ; 9. Other situations that need to be described in other descriptions: This graphic user interface can be used for mobile pho"&amp;"nes, computers, tablets, smart TVs, vehicle central control screens, multimedia all -in -one machines, electronic notepads, smart speakers, projectors, game consoles, navigation, navigation Yicheng, smart watches, smart bracelets, smart table lamps, refri"&amp;"gerators with screens, range hoods with screens, air conditioners with screens, smart fitness mirrors, disinfection cabinets with screens, dishwashers with screens, oven with screens Essence ; 1. The name of the product design of the product: Display the "&amp;"graphic user interface of the display screen panel. ; 2. Design products for designing products: used to display graphical user interface. ; 3. Design of design products in this appearance: lies in graphic user interface. ; 4. The picture or photo that ca"&amp;"n most indicate the point of design: Design 1 main view. ; 5. The display screen panel is commonly designed and omit other views. ; 6. Specifying design 1 is the basic design. ; 7. The purpose of graphical user interface: display, review, and likes for ph"&amp;"otos and/or video content. 8. Human -computer interaction method of graphical user interface: In designing the main view of 1‑6, users can view more content through up and down the central area. The user's touch interface in the central content screen are"&amp;"a can view specific pictures or videos. ; The area with a small gray block in the interface is the mosaic effect of replaceable pictures or videos. It is not a combination of many small pictures and videos. The circular gray area is a replaceable user ava"&amp;"tar. The x represents the text and/or the number and/or the symbol in the design interface. ; 9. Other situations that need to be described in other descriptions: This graphic user interface can be used for mobile phones, computers, tablets, smart TVs, ve"&amp;"hicle central control screens, multimedia all -in -one machines, electronic notepads, smart speakers, projectors, game consoles, navigation, navigation Yicheng, smart watches, smart bracelets, smart table lamps, refrigerators with screens, range hoods wit"&amp;"h screens, air conditioners with screens, smart fitness mirrors, disinfection cabinets with screens, dishwashers with screens, oven with screens Essence")</f>
        <v>1. Design product name: Display the graphical user interface of the display screen panel. ; 2. Design products for designing products: used to display graphical user interface. ; 3. Design of design products in this appearance: lies in graphic user interface. ; 4. The picture or photo that can most indicate the point of design: Design 1 main view. ; 5. The display screen panel is commonly designed and omit other views. ; 6. Specifying design 1 is the basic design. ; 7. The purpose of graphical user interface: display, review, and likes for photos and/or video content. 8. Human -computer interaction method of graphical user interface: In designing the main view of 1‑6, users can view more content through up and down the central area. The user's touch interface in the central content screen area can view specific pictures or videos. ; The area with a small gray block in the interface is the mosaic effect of replaceable pictures or videos. It is not a combination of many small pictures and videos. The circular gray area is a replaceable user avatar. The x represents the text and/or the number and/or the symbol in the design interface. ; 9. Other situations that need to be described in other descriptions: This graphic user interface can be used for mobile phones, computers, tablets, smart TVs, vehicle central control screens, multimedia all -in -one machines, electronic notepads, smart speakers, projectors, game consoles, navigation, navigation Yicheng, smart watches, smart bracelets, smart table lamps, refrigerators with screens, range hoods with screens, air conditioners with screens, smart fitness mirrors, disinfection cabinets with screens, dishwashers with screens, oven with screens Essence ; 1. The name of the product design of the product: Display the graphic user interface of the display screen panel. ; 2. Design products for designing products: used to display graphical user interface. ; 3. Design of design products in this appearance: lies in graphic user interface. ; 4. The picture or photo that can most indicate the point of design: Design 1 main view. ; 5. The display screen panel is commonly designed and omit other views. ; 6. Specifying design 1 is the basic design. ; 7. The purpose of graphical user interface: display, review, and likes for photos and/or video content. 8. Human -computer interaction method of graphical user interface: In designing the main view of 1‑6, users can view more content through up and down the central area. The user's touch interface in the central content screen area can view specific pictures or videos. ; The area with a small gray block in the interface is the mosaic effect of replaceable pictures or videos. It is not a combination of many small pictures and videos. The circular gray area is a replaceable user avatar. The x represents the text and/or the number and/or the symbol in the design interface. ; 9. Other situations that need to be described in other descriptions: This graphic user interface can be used for mobile phones, computers, tablets, smart TVs, vehicle central control screens, multimedia all -in -one machines, electronic notepads, smart speakers, projectors, game consoles, navigation, navigation Yicheng, smart watches, smart bracelets, smart table lamps, refrigerators with screens, range hoods with screens, air conditioners with screens, smart fitness mirrors, disinfection cabinets with screens, dishwashers with screens, oven with screens Essence</v>
      </c>
      <c r="D324" s="6" t="s">
        <v>959</v>
      </c>
      <c r="E324" s="4" t="str">
        <f ca="1">IFERROR(__xludf.DUMMYFUNCTION("GOOGLETRANSLATE(D324,""auto"",""en"")"),"Display screen panel content display graphic user interface")</f>
        <v>Display screen panel content display graphic user interface</v>
      </c>
    </row>
    <row r="325" spans="1:5" ht="15" x14ac:dyDescent="0.25">
      <c r="A325" s="5" t="s">
        <v>960</v>
      </c>
      <c r="B325" s="6" t="s">
        <v>961</v>
      </c>
      <c r="C325" s="3" t="str">
        <f ca="1">IFERROR(__xludf.DUMMYFUNCTION("GOOGLETRANSLATE(B325,""auto"",""en"")"),"The present invention involves a type of volleyball network management device, including a pair of rod 1 set in the volleyball court for grasping. It is set on a rod 1 to collect and process multiple images of artificial intelligence image acquisition mod"&amp;"ules 2 to keep the unit. 3 Configure a non -contact humidity sensor for measuring the existence of water on the rod 1 for the rod 1 for parcel/expand network 5, and the curved board 4 on the lower part of the net 5 on the lower vertical part of the net 5 "&amp;"is used for The vibration motors set up in suction cup 6 and wheel 7, the wind turmoil 8 and the board 4 set up when the board 4 moves below the network 5 to collect water and blow the hot air through the surface of the net 5 to dry the net Apply tension "&amp;"on the measuring network 5.")</f>
        <v>The present invention involves a type of volleyball network management device, including a pair of rod 1 set in the volleyball court for grasping. It is set on a rod 1 to collect and process multiple images of artificial intelligence image acquisition modules 2 to keep the unit. 3 Configure a non -contact humidity sensor for measuring the existence of water on the rod 1 for the rod 1 for parcel/expand network 5, and the curved board 4 on the lower part of the net 5 on the lower vertical part of the net 5 is used for The vibration motors set up in suction cup 6 and wheel 7, the wind turmoil 8 and the board 4 set up when the board 4 moves below the network 5 to collect water and blow the hot air through the surface of the net 5 to dry the net Apply tension on the measuring network 5.</v>
      </c>
      <c r="D325" s="6" t="s">
        <v>962</v>
      </c>
      <c r="E325" s="4" t="str">
        <f ca="1">IFERROR(__xludf.DUMMYFUNCTION("GOOGLETRANSLATE(D325,""auto"",""en"")"),"Volleyball Manager")</f>
        <v>Volleyball Manager</v>
      </c>
    </row>
    <row r="326" spans="1:5" ht="15" x14ac:dyDescent="0.25">
      <c r="A326" s="5" t="s">
        <v>963</v>
      </c>
      <c r="B326" s="6" t="s">
        <v>964</v>
      </c>
      <c r="C326" s="3" t="str">
        <f ca="1">IFERROR(__xludf.DUMMYFUNCTION("GOOGLETRANSLATE(B326,""auto"",""en"")"),"Our invention ""uses the IoT -based blockchain platform medical care support management system"" is not only used in electronic medical applications to not only use participants and wireless components, but also provides more security guarantees. In addit"&amp;"ion, data confidentiality in different services has become a key requirement. In this innovation, we recommend collecting data from the healthy and fitness smart devices related to the proposed IoT blockchain platform. The use of these devices helps us ex"&amp;"tract a lot of very valuable health data. These data have been filtered, analyzed and stored in Electronic Health Records (EHR). Different participants, coaches, patients and doctors of the platform cooperate to provide timely diagnosis and treatment for "&amp;"various diseases in a simple and cost -effective way. Our main purpose is to use Ethereum blockchain technology to provide distributed, secure and authorized access to these sensitive data. We have designed an integrated low -power IoT blockchain platform"&amp;" for healthcare applications to store and review EHR. *It is based on the architecture of the blockchain Ethereum, including a network and mobile application, allowing patients and medical and auxiliary medical personnel to safely access health informatio"&amp;"n. Ethereum nodes are implemented on the embedded platform. Although the multi -processor platform resources are limited and the power consumption is low, efficient, flexible and secure systems should still be provided.")</f>
        <v>Our invention "uses the IoT -based blockchain platform medical care support management system" is not only used in electronic medical applications to not only use participants and wireless components, but also provides more security guarantees. In addition, data confidentiality in different services has become a key requirement. In this innovation, we recommend collecting data from the healthy and fitness smart devices related to the proposed IoT blockchain platform. The use of these devices helps us extract a lot of very valuable health data. These data have been filtered, analyzed and stored in Electronic Health Records (EHR). Different participants, coaches, patients and doctors of the platform cooperate to provide timely diagnosis and treatment for various diseases in a simple and cost -effective way. Our main purpose is to use Ethereum blockchain technology to provide distributed, secure and authorized access to these sensitive data. We have designed an integrated low -power IoT blockchain platform for healthcare applications to store and review EHR. *It is based on the architecture of the blockchain Ethereum, including a network and mobile application, allowing patients and medical and auxiliary medical personnel to safely access health information. Ethereum nodes are implemented on the embedded platform. Although the multi -processor platform resources are limited and the power consumption is low, efficient, flexible and secure systems should still be provided.</v>
      </c>
      <c r="D326" s="6" t="s">
        <v>965</v>
      </c>
      <c r="E326" s="4" t="str">
        <f ca="1">IFERROR(__xludf.DUMMYFUNCTION("GOOGLETRANSLATE(D326,""auto"",""en"")"),"Medical care support management system based on the IoT -based blockchain platform")</f>
        <v>Medical care support management system based on the IoT -based blockchain platform</v>
      </c>
    </row>
    <row r="327" spans="1:5" ht="15" x14ac:dyDescent="0.25">
      <c r="A327" s="5" t="s">
        <v>966</v>
      </c>
      <c r="B327" s="6" t="s">
        <v>967</v>
      </c>
      <c r="C327" s="3" t="str">
        <f ca="1">IFERROR(__xludf.DUMMYFUNCTION("GOOGLETRANSLATE(B327,""auto"",""en"")"),"A football training device, including the belt 1 for users to wear on the waist for football training, and the calculation unit installed on the belt 1. Users can choose the type of play to play. Bring 1 and connect to football through football straps 3, "&amp;"mobilizer 4 along the connecting rod 2 and 1 band zip 1 transition connecting rod 2 will be positioned in the appropriate position. 2 Connected 6 extension to pinch football, spring 8 configuration rod 6 and connecting rod 2 compressed to support football"&amp;", artificial intelligence image capture module 7 is installed on the belt 1 to monitor the exercise, electric roller 9 entangled rope 10 connect to wire beam 3 for use Positioning back football.")</f>
        <v>A football training device, including the belt 1 for users to wear on the waist for football training, and the calculation unit installed on the belt 1. Users can choose the type of play to play. Bring 1 and connect to football through football straps 3, mobilizer 4 along the connecting rod 2 and 1 band zip 1 transition connecting rod 2 will be positioned in the appropriate position. 2 Connected 6 extension to pinch football, spring 8 configuration rod 6 and connecting rod 2 compressed to support football, artificial intelligence image capture module 7 is installed on the belt 1 to monitor the exercise, electric roller 9 entangled rope 10 connect to wire beam 3 for use Positioning back football.</v>
      </c>
      <c r="D327" s="6" t="s">
        <v>968</v>
      </c>
      <c r="E327" s="4" t="str">
        <f ca="1">IFERROR(__xludf.DUMMYFUNCTION("GOOGLETRANSLATE(D327,""auto"",""en"")"),"Football trainer")</f>
        <v>Football trainer</v>
      </c>
    </row>
    <row r="328" spans="1:5" ht="15" x14ac:dyDescent="0.25">
      <c r="A328" s="5" t="s">
        <v>969</v>
      </c>
      <c r="B328" s="6" t="s">
        <v>970</v>
      </c>
      <c r="C328" s="3" t="str">
        <f ca="1">IFERROR(__xludf.DUMMYFUNCTION("GOOGLETRANSLATE(B328,""auto"",""en"")"),"This publicly provides a fitness exercise evaluation method and system. This method includes: according to the perception information of the body part of the body during exercise, the preset neural network model is trained to obtain the fitness operation "&amp;"identification model; Let the perception information of the body part determine the starting point and end point of each unit movement, and input the perception information of each unit action to the fitness operation recognition model to obtain the actio"&amp;"n similarity of the action of each unit; according to the simultaneous degree of action; according to Calculate the movement strength of each unit action, calculate the heart rate of each unit action based on the preset heart rate calculation method, and "&amp;"calculate the motion of each unit according to the preset muscle exercise. Muscle exercise compliance rate; according to the action similarity, motion strength, heart rate standards, and muscle exercise compliance rates of various units to be predicted.")</f>
        <v>This publicly provides a fitness exercise evaluation method and system. This method includes: according to the perception information of the body part of the body during exercise, the preset neural network model is trained to obtain the fitness operation identification model; Let the perception information of the body part determine the starting point and end point of each unit movement, and input the perception information of each unit action to the fitness operation recognition model to obtain the action similarity of the action of each unit; according to the simultaneous degree of action; according to Calculate the movement strength of each unit action, calculate the heart rate of each unit action based on the preset heart rate calculation method, and calculate the motion of each unit according to the preset muscle exercise. Muscle exercise compliance rate; according to the action similarity, motion strength, heart rate standards, and muscle exercise compliance rates of various units to be predicted.</v>
      </c>
      <c r="D328" s="6" t="s">
        <v>971</v>
      </c>
      <c r="E328" s="4" t="str">
        <f ca="1">IFERROR(__xludf.DUMMYFUNCTION("GOOGLETRANSLATE(D328,""auto"",""en"")"),"Fitness exercise evaluation method and system")</f>
        <v>Fitness exercise evaluation method and system</v>
      </c>
    </row>
    <row r="329" spans="1:5" ht="15" x14ac:dyDescent="0.25">
      <c r="A329" s="5" t="s">
        <v>972</v>
      </c>
      <c r="B329" s="6" t="s">
        <v>973</v>
      </c>
      <c r="C329" s="3" t="str">
        <f ca="1">IFERROR(__xludf.DUMMYFUNCTION("GOOGLETRANSLATE(B329,""auto"",""en"")"),"A system, method and computer program product for determining mechanical operation power. Get multiple sensors read from multiple force sensors under the feet. Use the total force data to determine the force value of multiple stakes. Determine the slope, "&amp;"standing time and running speed of each stride. The mechanical running power associated with multiple sensors reads the power learning model of the machine value, slope, standing time, and running speed to train machine learning models to predict mechanic"&amp;"al running power. You can then provide mechanical operation power as feedback to users or store it for future viewing and analysis. The input of the machine learning model can be determined based on the sensor data received from the wearable device worn b"&amp;"y the user.")</f>
        <v>A system, method and computer program product for determining mechanical operation power. Get multiple sensors read from multiple force sensors under the feet. Use the total force data to determine the force value of multiple stakes. Determine the slope, standing time and running speed of each stride. The mechanical running power associated with multiple sensors reads the power learning model of the machine value, slope, standing time, and running speed to train machine learning models to predict mechanical running power. You can then provide mechanical operation power as feedback to users or store it for future viewing and analysis. The input of the machine learning model can be determined based on the sensor data received from the wearable device worn by the user.</v>
      </c>
      <c r="D329" s="6" t="s">
        <v>974</v>
      </c>
      <c r="E329" s="4" t="str">
        <f ca="1">IFERROR(__xludf.DUMMYFUNCTION("GOOGLETRANSLATE(D329,""auto"",""en"")"),"Systems and methods used to determine running power")</f>
        <v>Systems and methods used to determine running power</v>
      </c>
    </row>
    <row r="330" spans="1:5" ht="15" x14ac:dyDescent="0.25">
      <c r="A330" s="5" t="s">
        <v>975</v>
      </c>
      <c r="B330" s="6" t="s">
        <v>976</v>
      </c>
      <c r="C330" s="3" t="str">
        <f ca="1">IFERROR(__xludf.DUMMYFUNCTION("GOOGLETRANSLATE(B330,""auto"",""en"")"),"1. The name of the product of the design of the product: The video information display graphics user interface of the display screen panel. 2. The purpose of designing products in this exterior: The design of the product is used to display the graphical u"&amp;"ser interface. 3. Design of the design of the product in appearance: lies in the graphic user interface. 4. Pictures or photos that can best show design: Design 1 main view. 5. Specify design 1 is the basic design. 6. The purpose of graphical user interfa"&amp;"ce: This graphic user interface is used to display video information. 7. Human -computer interaction method of graphics user interface: Design 1 to Design 5 Main view User interface is the interface of video information display. Users can click on the lon"&amp;"g strip button at the bottom of the interface to make video production. The long bar button position corresponds to design design. 1 The position of the long button position on the bottom right side of the reference diagram. The gray color blocks in each "&amp;"design interface are replaceable pictures or videos. The fork number in each design interface represents text and/or numbers and/or alphabetics. 8. This graphic user interface can be used for mobile phones, computers, tablets, televisions, vehicle central"&amp;" control screens, vehicle navigators, car display devices, game consoles, navigators, smart speakers, smart fitness mirrors with display screens, with display screens with display screens, display screens with display screens的健身监视器、带显示屏幕的冰箱、带显示屏幕的空调、带显示屏幕"&amp;"的料理机、带显示屏幕的机器人、智能手环、智能手表、智能眼镜、智能耳机、智能台灯、智能门系统、 Advertising display, automatic saleer, massage device with display screen, and rehabilitation career with display screens. 9. The display screen panel is commonly designed, omitting the rear views, left view,"&amp;" right view, downward view, and view view of various design.")</f>
        <v>1. The name of the product of the design of the product: The video information display graphics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video information. 7. Human -computer interaction method of graphics user interface: Design 1 to Design 5 Main view User interface is the interface of video information display. Users can click on the long strip button at the bottom of the interface to make video production. The long bar button position corresponds to design design. 1 The position of the long button position on the bottom right side of the reference diagram. The gray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smart speakers, smart fitness mirrors with display screens, with display screens with display screens, display screens with display screens的健身监视器、带显示屏幕的冰箱、带显示屏幕的空调、带显示屏幕的料理机、带显示屏幕的机器人、智能手环、智能手表、智能眼镜、智能耳机、智能台灯、智能门系统、 Advertising display, automatic saleer, massage device with display screen, and rehabilitation career with display screens. 9. The display screen panel is commonly designed, omitting the rear views, left view, right view, downward view, and view view of various design.</v>
      </c>
      <c r="D330" s="6" t="s">
        <v>757</v>
      </c>
      <c r="E330" s="4" t="str">
        <f ca="1">IFERROR(__xludf.DUMMYFUNCTION("GOOGLETRANSLATE(D330,""auto"",""en"")"),"Video information display graphic user interface of display screen panel")</f>
        <v>Video information display graphic user interface of display screen panel</v>
      </c>
    </row>
    <row r="331" spans="1:5" ht="15" x14ac:dyDescent="0.25">
      <c r="A331" s="5" t="s">
        <v>977</v>
      </c>
      <c r="B331" s="6" t="s">
        <v>978</v>
      </c>
      <c r="C331" s="3" t="str">
        <f ca="1">IFERROR(__xludf.DUMMYFUNCTION("GOOGLETRANSLATE(B331,""auto"",""en"")"),"This application disclosed a virtual racing control method based on artificial intelligence (AI). This method includes: control the first virtual car through the client to drive on the virtual map of a certain round of racing games. The first virtual car "&amp;"is chasing the car, and the first account is the account participating in the round of the game. Racing games; when the client shows the predetermined position of the first virtual car on the virtual map, the battery life of the second virtual car decreas"&amp;"es. Rounds of control; when the battery life of the second virtual car is greater than the preset threshold, it shows that the second virtual car has won the car game on the client.")</f>
        <v>This application disclosed a virtual racing control method based on artificial intelligence (AI). This method includes: control the first virtual car through the client to drive on the virtual map of a certain round of racing games. The first virtual car is chasing the car, and the first account is the account participating in the round of the game. Racing games; when the client shows the predetermined position of the first virtual car on the virtual map, the battery life of the second virtual car decreases. Rounds of control; when the battery life of the second virtual car is greater than the preset threshold, it shows that the second virtual car has won the car game on the client.</v>
      </c>
      <c r="D331" s="6" t="s">
        <v>979</v>
      </c>
      <c r="E331" s="4" t="str">
        <f ca="1">IFERROR(__xludf.DUMMYFUNCTION("GOOGLETRANSLATE(D331,""auto"",""en"")"),"The control method, device, storage medium and device of virtual racing")</f>
        <v>The control method, device, storage medium and device of virtual racing</v>
      </c>
    </row>
    <row r="332" spans="1:5" ht="15" x14ac:dyDescent="0.25">
      <c r="A332" s="5" t="s">
        <v>980</v>
      </c>
      <c r="B332" s="6" t="s">
        <v>981</v>
      </c>
      <c r="C332" s="3" t="str">
        <f ca="1">IFERROR(__xludf.DUMMYFUNCTION("GOOGLETRANSLATE(B332,""auto"",""en"")"),"Application instances including one or more machine learning models receive documents including non -structured data from the booking system. Based on non -structured data, the application instance generates an optimized model input that includes multiple"&amp;" parsing documents. For each analysis of the documentation, the application instance performs at least one key information extraction operation through the machine learning model to generate output sets. The machine learning model transmits a structured f"&amp;"orm output to at least part of the target application of the book -based entity operation or hosting of the booking system.")</f>
        <v>Application instances including one or more machine learning models receive documents including non -structured data from the booking system. Based on non -structured data, the application instance generates an optimized model input that includes multiple parsing documents. For each analysis of the documentation, the application instance performs at least one key information extraction operation through the machine learning model to generate output sets. The machine learning model transmits a structured form output to at least part of the target application of the book -based entity operation or hosting of the booking system.</v>
      </c>
      <c r="D332" s="6" t="s">
        <v>982</v>
      </c>
      <c r="E332" s="4" t="str">
        <f ca="1">IFERROR(__xludf.DUMMYFUNCTION("GOOGLETRANSLATE(D332,""auto"",""en"")"),"Machine learning platform for the construction of data in the organization")</f>
        <v>Machine learning platform for the construction of data in the organization</v>
      </c>
    </row>
    <row r="333" spans="1:5" ht="15" x14ac:dyDescent="0.25">
      <c r="A333" s="5" t="s">
        <v>983</v>
      </c>
      <c r="B333" s="6" t="s">
        <v>984</v>
      </c>
      <c r="C333" s="3" t="str">
        <f ca="1">IFERROR(__xludf.DUMMYFUNCTION("GOOGLETRANSLATE(B333,""auto"",""en"")"),"Application instances of one or more machine learning models receive documents including non -structured data from the booking system. Based on non -structured data, the application instance generates an optimized model input that includes multiple parsin"&amp;"g documents. For each analysis of the documentation, the application instance performs at least one key information extraction operation through the machine learning model to generate output sets. The machine learning model transmits a structured form out"&amp;"put to at least part of the target application of the book -based entity operation or hosting of the booking system.")</f>
        <v>Application instances of one or more machine learning models receive documents including non -structured data from the booking system. Based on non -structured data, the application instance generates an optimized model input that includes multiple parsing documents. For each analysis of the documentation, the application instance performs at least one key information extraction operation through the machine learning model to generate output sets. The machine learning model transmits a structured form output to at least part of the target application of the book -based entity operation or hosting of the booking system.</v>
      </c>
      <c r="D333" s="6" t="s">
        <v>982</v>
      </c>
      <c r="E333" s="4" t="str">
        <f ca="1">IFERROR(__xludf.DUMMYFUNCTION("GOOGLETRANSLATE(D333,""auto"",""en"")"),"Machine learning platform for the construction of data in the organization")</f>
        <v>Machine learning platform for the construction of data in the organization</v>
      </c>
    </row>
    <row r="334" spans="1:5" ht="15" x14ac:dyDescent="0.25">
      <c r="A334" s="5" t="s">
        <v>985</v>
      </c>
      <c r="B334" s="6" t="s">
        <v>986</v>
      </c>
      <c r="C334" s="3" t="str">
        <f ca="1">IFERROR(__xludf.DUMMYFUNCTION("GOOGLETRANSLATE(B334,""auto"",""en"")"),"1. Design product name: Watch with custom football theme dial graphics user interface. 2. Design products in appearance: used to display information and interaction. 3. Design of the design of the product here: lies in the interface content in the content"&amp;" of the graphic user interface. 4. Pictures or photos that can most indicate design points: main view. 5. The carrier is the existing design, which is omitted with the rear view, left view, right view, downward view, and view view. 6. The purpose of the g"&amp;"raphical user interface: The design of the design of this appearance is a customized football -themed graphical user interface. 7. Human -computer interaction method of graphics user interface: The main view is the theme main interface; the user longs pre"&amp;"sses the main view dial interface to enter the interface shown in the change state of the change; Change status Figure 2 The interface shown in Figure 2; the user in the change state Figure 2 to the change state of the change state. The upper and falling "&amp;"interfaces can be switched to display different backgrounds, and the background is selected by clicking the bottom button in the above view. Until the change state Figure 5, one interface is facing the left sliding interface, which can enter the changing "&amp;"state. Select the style to select the style at the midsole; change status Figure 10 to change status of the state. Figure 24 shows the interface of different backgrounds and styles under the theme pattern; After Figure 6, click the complete button in the "&amp;"change state in Figure 6 to enter the main view; in the change state Figure 2, enter the change of the left slide interface Figure 6, and the upper and falling dynamic interface in the change state enters the changing state. 7 , Change State Figure 8 or C"&amp;"hange Status Figure 9, the upper and falling interface in the change state of the change state enters the change state. 6, the change state figure 8 or the change state figure 9, the upper and falling interface in the change state of the change state ente"&amp;"rs the changing state Figure 6 , Change State Figure 7 or Change State Figure 9, the upper and falling dynamic interface in the state of change state enter the change state. 6, change status figure 7 or change state Figure 8. Figure 10, click the button i"&amp;"n the change state in the change state 8, enter the change state. In the changing state Figure 6, click the complete button to enter the change state Figure 13; in the changing state Figure 3, after entering the left slide interface to enter the changing "&amp;"state Figure 6, the ups and downs interface in the change state of the change state enters the changing state Figure 7. Change status figure 8 or change state Figure 9, the upper and falling dynamic interface in the change state of the change state enter "&amp;"the change state. 6, the change state figure 8 or the changes state figure 9, the upper and falling interface in the change state enters the change state diagram 6, 6. Change status diagram 7 or changes state Figure 9, the upper and falling dynamic interf"&amp;"ace in the change state of the change state enters the change state of the change state. 6, the change state Figure 7 or the change state Figure 8. 14. Click the button to enter the changing state in the changing state Figure 8, and click the completion b"&amp;"utton to enter the changing state in the change state of the change state. Click the completion button in the change state in Figure 6 to enter the changing state Figure 17; in Figure 4 of the change state, after entering the left slide interface, after e"&amp;"ntering the changing state Figure 6, the upper and falling dynamic interface in the change state enters the changing state Figure 7, the change of changes, changes State Figure 8 or change Status Figure 9, the upper and falling interface in the change sta"&amp;"te of the change state enters the change state. 6, the change state Figure 8 or the change state figure 9, the upper and falling interface in the change state of the change state enters the change state. State Figure 7 or change Status Figure 9, the upper"&amp;" and falling interface in the change state Figure 9 Enter the changing state Figure 6, the change state figure 7, or the change state Figure 8. Among them, in the changing state Figure 7, click the completion button to enter the changing state Figure 18 I"&amp;"n the change state Figure 8, click the completion button to enter the change state Figure 19, and in the changing state figure 9, click the completion button to enter the change state Figure 20; in the change state Figure 5, the left slide interface enter"&amp;"s the change state Figure 6, in the changing state Figure 6. Change State Figure 6 Click the completion button to enter the changes state Figure 21; in the change state Figure 5, after entering the left slide interface, after entering the changing state F"&amp;"igure 6, the upper and falling interface in the change state of the change state enter the changing state diagram 7, the changes state Figure 8 or changes state Figure 9, the upper and falling dynamic interface in the state of change state enters the stat"&amp;"e of change state. 6, change state figure 8 or change state figure 9, the upper and falling interface in the change state enters the change state of the change state. Figure 7 or changes status 9, the upper and falling dynamic interface in the change stat"&amp;"e of the change state enter the change state. 6, the change status of the state Figure 7 or the change state Figure 8. Among them, click the completion button to enter the change state in the change state. 7 In the change state Figure 8, click the complet"&amp;"ion button to enter the change state Figure 23, and in the change state Figure 9, click the complete button to enter the change state Figure 24.")</f>
        <v>1. Design product name: Watch with custom football theme dial graphics user interface. 2. Design products in appearance: used to display information and interaction. 3. Design of the design of the product here: lies in the interface content in the content of the graphic user interface. 4. Pictures or photos that can most indicate design points: main view. 5. The carrier is the existing design, which is omitted with the rear view, left view, right view, downward view, and view view. 6. The purpose of the graphical user interface: The design of the design of this appearance is a customized football -themed graphical user interface. 7. Human -computer interaction method of graphics user interface: The main view is the theme main interface; the user longs presses the main view dial interface to enter the interface shown in the change state of the change; Change status Figure 2 The interface shown in Figure 2; the user in the change state Figure 2 to the change state of the change state. The upper and falling interfaces can be switched to display different backgrounds, and the background is selected by clicking the bottom button in the above view. Until the change state Figure 5, one interface is facing the left sliding interface, which can enter the changing state. Select the style to select the style at the midsole; change status Figure 10 to change status of the state. Figure 24 shows the interface of different backgrounds and styles under the theme pattern; After Figure 6, click the complete button in the change state in Figure 6 to enter the main view; in the change state Figure 2, enter the change of the left slide interface Figure 6, and the upper and falling dynamic interface in the change state enters the changing state. 7 , Change State Figure 8 or Change Status Figure 9, the upper and falling interface in the change state of the change state enters the change state. 6, the change state figure 8 or the change state figure 9, the upper and falling interface in the change state of the change state enters the changing state Figure 6 , Change State Figure 7 or Change State Figure 9, the upper and falling dynamic interface in the state of change state enter the change state. 6, change status figure 7 or change state Figure 8. Figure 10, click the button in the change state in the change state 8, enter the change state. In the changing state Figure 6, click the complete button to enter the change state Figure 13; in the changing state Figure 3, after entering the left slide interface to enter the changing state Figure 6, the ups and downs interface in the change state of the change state enters the changing state Figure 7. Change status figure 8 or change state Figure 9, the upper and falling dynamic interface in the change state of the change state enter the change state. 6, the change state figure 8 or the changes state figure 9, the upper and falling interface in the change state enters the change state diagram 6, 6. Change status diagram 7 or changes state Figure 9, the upper and falling dynamic interface in the change state of the change state enters the change state of the change state. 6, the change state Figure 7 or the change state Figure 8. 14. Click the button to enter the changing state in the changing state Figure 8, and click the completion button to enter the changing state in the change state of the change state. Click the completion button in the change state in Figure 6 to enter the changing state Figure 17; in Figure 4 of the change state, after entering the left slide interface, after entering the changing state Figure 6, the upper and falling dynamic interface in the change state enters the changing state Figure 7, the change of changes, changes State Figure 8 or change Status Figure 9, the upper and falling interface in the change state of the change state enters the change state. 6, the change state Figure 8 or the change state figure 9, the upper and falling interface in the change state of the change state enters the change state. State Figure 7 or change Status Figure 9, the upper and falling interface in the change state Figure 9 Enter the changing state Figure 6, the change state figure 7, or the change state Figure 8. Among them, in the changing state Figure 7, click the completion button to enter the changing state Figure 18 In the change state Figure 8, click the completion button to enter the change state Figure 19, and in the changing state figure 9, click the completion button to enter the change state Figure 20; in the change state Figure 5, the left slide interface enters the change state Figure 6, in the changing state Figure 6. Change State Figure 6 Click the completion button to enter the changes state Figure 21; in the change state Figure 5, after entering the left slide interface, after entering the changing state Figure 6, the upper and falling interface in the change state of the change state enter the changing state diagram 7, the changes state Figure 8 or changes state Figure 9, the upper and falling dynamic interface in the state of change state enters the state of change state. 6, change state figure 8 or change state figure 9, the upper and falling interface in the change state enters the change state of the change state. Figure 7 or changes status 9, the upper and falling dynamic interface in the change state of the change state enter the change state. 6, the change status of the state Figure 7 or the change state Figure 8. Among them, click the completion button to enter the change state in the change state. 7 In the change state Figure 8, click the completion button to enter the change state Figure 23, and in the change state Figure 9, click the complete button to enter the change state Figure 24.</v>
      </c>
      <c r="D334" s="6" t="s">
        <v>987</v>
      </c>
      <c r="E334" s="4" t="str">
        <f ca="1">IFERROR(__xludf.DUMMYFUNCTION("GOOGLETRANSLATE(D334,""auto"",""en"")"),"Watch with custom football theme dial graphics user interface")</f>
        <v>Watch with custom football theme dial graphics user interface</v>
      </c>
    </row>
    <row r="335" spans="1:5" ht="15" x14ac:dyDescent="0.25">
      <c r="A335" s="5" t="s">
        <v>988</v>
      </c>
      <c r="B335" s="6" t="s">
        <v>989</v>
      </c>
      <c r="C335" s="3" t="str">
        <f ca="1">IFERROR(__xludf.DUMMYFUNCTION("GOOGLETRANSLATE(B335,""auto"",""en"")"),"This utility model belongs to the field of intelligent robotics technology, especially a lightweight and high -stability smart line robot. For the existing prescribed time, the automatic operation of the automatic program of intelligent robots is unstable"&amp;". Driven component, the driver's component is fixed to the bottom of the chassis and used to enable the robot to walk freely; the control component, which is fixed to the top of the chassis and used to control the movement and work of the robot; Located o"&amp;"n the side of the bottom plate and used to obtain the Rubik's cube that is not online, pull it back to the black line and push to the end. Among the practical new types, the robot chassis, claws, and transition devices basically use 3D printing constructi"&amp;"on or technology beams. It is basically relatively light. Cited the concept of lightweight and reduce the quality of the body. The efficiency of push the Cube on the line.")</f>
        <v>This utility model belongs to the field of intelligent robotics technology, especially a lightweight and high -stability smart line robot. For the existing prescribed time, the automatic operation of the automatic program of intelligent robots is unstable. Driven component, the driver's component is fixed to the bottom of the chassis and used to enable the robot to walk freely; the control component, which is fixed to the top of the chassis and used to control the movement and work of the robot; Located on the side of the bottom plate and used to obtain the Rubik's cube that is not online, pull it back to the black line and push to the end. Among the practical new types, the robot chassis, claws, and transition devices basically use 3D printing construction or technology beams. It is basically relatively light. Cited the concept of lightweight and reduce the quality of the body. The efficiency of push the Cube on the line.</v>
      </c>
      <c r="D335" s="6" t="s">
        <v>990</v>
      </c>
      <c r="E335" s="4" t="str">
        <f ca="1">IFERROR(__xludf.DUMMYFUNCTION("GOOGLETRANSLATE(D335,""auto"",""en"")"),"A lightweight high -stability intelligent line robot")</f>
        <v>A lightweight high -stability intelligent line robot</v>
      </c>
    </row>
    <row r="336" spans="1:5" ht="15" x14ac:dyDescent="0.25">
      <c r="A336" s="5" t="s">
        <v>991</v>
      </c>
      <c r="B336" s="6" t="s">
        <v>992</v>
      </c>
      <c r="C336" s="3" t="str">
        <f ca="1">IFERROR(__xludf.DUMMYFUNCTION("GOOGLETRANSLATE(B336,""auto"",""en"")"),"1. The name of the product of the design of the product: The shooting graphic user interface of the display screen panel. 2. The purpose of designing products in this exterior: The design of the product is used to display the graphical user interface. 3. "&amp;"Design of the design of the product in appearance: lies in the graphic user interface. 4. Pictures or photos that can best show design: Design 1 main view. 5. Specify design 1 is the basic design. 6. The purpose of the graphical user interface: This graph"&amp;"ic user interface is used for shooting. 7. Human -computer interaction method of graphic user interface: Design 1 to design 5 main view user interface is the interface of shooting. Users can click the circular control in the lower part of the interface to"&amp;" shoot. The circular control position corresponds to design 1 Round control position. The gray or white color blocks in each design interface are replaceable pictures or videos. The fork number in each design interface represents text and/or numbers and/o"&amp;"r alphabetics. 8. This graphic user interface can be used for mobile phones, computers, tablets, televisions, vehicle central control screens, vehicle navigators, vehicle display screens, game consoles, navigators, multimedia all -in -one machines, smart "&amp;"speakers, smart fitness mirrors with display screens, bands, bands The fitness monitor of the display screen, the refrigerator with a display screen, the air conditioner with a display screen, a dish machine with a display screen, a robot with a display s"&amp;"creen, a smart bracelet, a smart watch, a smart glasses, a smart headset, a smart table lamp, a display display display Screen access control, advertising display, automatic sale machine, massage device with display screen, and rehabilitation nursing inst"&amp;"rument with display screens. 9. The display screen panel is commonly designed, omitting the rear view, left view, right view, downward view, and upper view of various designs.")</f>
        <v>1. The name of the product of the design of the product: The shooting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This graphic user interface is used for shooting. 7. Human -computer interaction method of graphic user interface: Design 1 to design 5 main view user interface is the interface of shooting. Users can click the circular control in the lower part of the interface to shoot. The circular control position corresponds to design 1 Round control position. The gray or white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vehicle display screens, game consoles, navigators, multimedia all -in -one machines, smart speakers, smart fitness mirrors with display screens, bands, bands The fitness monitor of the display screen, the refrigerator with a display screen, the air conditioner with a display screen, a dish machine with a display screen, a robot with a display screen, a smart bracelet, a smart watch, a smart glasses, a smart headset, a smart table lamp, a display display display Screen access control, advertising display, automatic sale machine, massage device with display screen, and rehabilitation nursing instrument with display screens. 9. The display screen panel is commonly designed, omitting the rear view, left view, right view, downward view, and upper view of various designs.</v>
      </c>
      <c r="D336" s="6" t="s">
        <v>339</v>
      </c>
      <c r="E336" s="4" t="str">
        <f ca="1">IFERROR(__xludf.DUMMYFUNCTION("GOOGLETRANSLATE(D336,""auto"",""en"")"),"Shooting graphics user interface of display screen panel")</f>
        <v>Shooting graphics user interface of display screen panel</v>
      </c>
    </row>
    <row r="337" spans="1:5" ht="15" x14ac:dyDescent="0.25">
      <c r="A337" s="5" t="s">
        <v>993</v>
      </c>
      <c r="B337" s="6" t="s">
        <v>994</v>
      </c>
      <c r="C337" s="3" t="str">
        <f ca="1">IFERROR(__xludf.DUMMYFUNCTION("GOOGLETRANSLATE(B337,""auto"",""en"")"),"The present invention disclosed an artificial intelligence -based library strategy platform operation server and its operating methods. The operating server based on artificial intelligence -based book curatorial platform may include at least one processo"&amp;"r and storage instruction. At least one processor executes at least one step of instruction memory. Here, at least one step includes the user to allocate the user to the league group according to the user's previous information, generate the match of the "&amp;"game according to the user's game, and play the game based on the created opposition table. According to the historical information and game status of the game to start the game, modify the terrain information of the basic map, generate a user -customized"&amp;" game map, generate the user's swing information according to the progress of the game, determine the user's skills change trend according to the influence information and maps. Strategic information and past historical information calculate the user's ga"&amp;"me operation score based on the determined skills change trend, and provide differential rewards for users based on the game operation score. It can include providing steps.")</f>
        <v>The present invention disclosed an artificial intelligence -based library strategy platform operation server and its operating methods. The operating server based on artificial intelligence -based book curatorial platform may include at least one processor and storage instruction. At least one processor executes at least one step of instruction memory. Here, at least one step includes the user to allocate the user to the league group according to the user's previous information, generate the match of the game according to the user's game, and play the game based on the created opposition table. According to the historical information and game status of the game to start the game, modify the terrain information of the basic map, generate a user -customized game map, generate the user's swing information according to the progress of the game, determine the user's skills change trend according to the influence information and maps. Strategic information and past historical information calculate the user's game operation score based on the determined skills change trend, and provide differential rewards for users based on the game operation score. It can include providing steps.</v>
      </c>
      <c r="D337" s="6" t="s">
        <v>995</v>
      </c>
      <c r="E337" s="4" t="str">
        <f ca="1">IFERROR(__xludf.DUMMYFUNCTION("GOOGLETRANSLATE(D337,""auto"",""en"")"),"Can adjust the difficulty of the task and provide differential rewards for golf simulation devices and methods")</f>
        <v>Can adjust the difficulty of the task and provide differential rewards for golf simulation devices and methods</v>
      </c>
    </row>
    <row r="338" spans="1:5" ht="15" x14ac:dyDescent="0.25">
      <c r="A338" s="5" t="s">
        <v>996</v>
      </c>
      <c r="B338" s="6" t="s">
        <v>997</v>
      </c>
      <c r="C338" s="3" t="str">
        <f ca="1">IFERROR(__xludf.DUMMYFUNCTION("GOOGLETRANSLATE(B338,""auto"",""en"")"),"A high jump training device, including platform located above the ground 1. User access to provide input display screen 2. Imaging unit 3 based on artificial intelligence (AI), to capture and process surrounding images to determine that height users on sc"&amp;"reen 2 on screen 2 While providing input, the panel 4 is installed with multiple laser light 5. It projected a laser around the platform 1 to form a trajectory for users to track when running. 6 Displaying rod 7 is to directed at the best height to jump a"&amp;"t the best height to perform high jumps after completing the trajectory, and speaker 9 is used to generate voice commands to indicate that users execute in a proper way.")</f>
        <v>A high jump training device, including platform located above the ground 1. User access to provide input display screen 2. Imaging unit 3 based on artificial intelligence (AI), to capture and process surrounding images to determine that height users on screen 2 on screen 2 While providing input, the panel 4 is installed with multiple laser light 5. It projected a laser around the platform 1 to form a trajectory for users to track when running. 6 Displaying rod 7 is to directed at the best height to jump at the best height to perform high jumps after completing the trajectory, and speaker 9 is used to generate voice commands to indicate that users execute in a proper way.</v>
      </c>
      <c r="D338" s="6" t="s">
        <v>998</v>
      </c>
      <c r="E338" s="4" t="str">
        <f ca="1">IFERROR(__xludf.DUMMYFUNCTION("GOOGLETRANSLATE(D338,""auto"",""en"")"),"Jump training device")</f>
        <v>Jump training device</v>
      </c>
    </row>
    <row r="339" spans="1:5" ht="15" x14ac:dyDescent="0.25">
      <c r="A339" s="5" t="s">
        <v>999</v>
      </c>
      <c r="B339" s="6" t="s">
        <v>1000</v>
      </c>
      <c r="C339" s="3" t="str">
        <f ca="1">IFERROR(__xludf.DUMMYFUNCTION("GOOGLETRANSLATE(B339,""auto"",""en"")"),"1. The name of the product of the design of the product: The test platform of the display screen panel manages the graphic user interface.
 2. Design products in appearance: used for running procedures, information display, and human -computer interacti"&amp;"on.
 3. Design of the design of the product in this exterior: lies in the interface content of the graphic user interface in the screen.
 4. Pictures or photos that can best show design: Design 1 main view.
 5. Specify design 1 is the basic design.
"&amp;" 
 6. The purpose of the graphical user interface: This graphic user interface is used for testing platform case management.
 Design 1 The main view and design 2 main views are the display interface of all use cases of the test case, and the list shows "&amp;"the general field of all test types of use cases.
 Design 3 main views are the function display interface of the test case, and the list of display cases is universal field and functional test case.
 Design 4 The main view is the pressure display inte"&amp;"rface of the test case, and the list display case is used for the general field and the pressure test case for the use case.
 Design 5 The main view is the performance display interface of the test case, and the list display case cases and performance t"&amp;"est cases for the list display case.
 7. Other instructions: This display screen panel is applied to vehicles, computers, laptops, tablets, mobile phones, smart watches, smart bracelets, fitness monitor, headset headphones, personal digital assistants ("&amp;"PDA), smart speakers, TVs, TVs , Skytop box, projector, game console or navigator.")</f>
        <v>1. The name of the product of the design of the product: The test platform of the display screen panel manages the graphic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for testing platform case management.
 Design 1 The main view and design 2 main views are the display interface of all use cases of the test case, and the list shows the general field of all test types of use cases.
 Design 3 main views are the function display interface of the test case, and the list of display cases is universal field and functional test case.
 Design 4 The main view is the pressure display interface of the test case, and the list display case is used for the general field and the pressure test case for the use case.
 Design 5 The main view is the performance display interface of the test case, and the list display case cases and performance test cases for the list display case.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339" s="6" t="s">
        <v>1001</v>
      </c>
      <c r="E339" s="4" t="str">
        <f ca="1">IFERROR(__xludf.DUMMYFUNCTION("GOOGLETRANSLATE(D339,""auto"",""en"")"),"Testing platform for display screen panels Manage graphic user interface")</f>
        <v>Testing platform for display screen panels Manage graphic user interface</v>
      </c>
    </row>
    <row r="340" spans="1:5" ht="15" x14ac:dyDescent="0.25">
      <c r="A340" s="5" t="s">
        <v>1002</v>
      </c>
      <c r="B340" s="6" t="s">
        <v>1003</v>
      </c>
      <c r="C340" s="3" t="str">
        <f ca="1">IFERROR(__xludf.DUMMYFUNCTION("GOOGLETRANSLATE(B340,""auto"",""en"")"),"1. Design product name: Online learning graphic user interface of the display screen panel. 2. Design products in appearance: used for interaction and display. 3. Design of the design of the product in appearance: lies in the graphic user interface. 4. Pi"&amp;"ctures or photos that can best show design: Design 1 main view. 5. Design 1. Design 2. Design 3. Other views of other views of design 4 have no design points, omitting design 1 other views, design 2 other views, design 3 other views, design 4 other views."&amp;" 6. Specify design 1 is the basic design. 7. The purpose of the graphical user interface: used for online learning and viewing the study of various disciplines. 8. Human -computer interaction method of graphics user interface: Design 1 main view is the ma"&amp;"in interface of online learning; click the ""A.I. Learning"" button in design 1 main view, jump to the design 1 interface change state Figure 1; click Design 1; The interface changes state Figure 1 The ""treasure chest"" button, jump to the design 1 inter"&amp;"face change state Figure 2; click the ""growth"" button in design 1 interface change state, jump to the design 1 interface change state Figure 3; click Design 1 interface changes in the ""completion"" button in Figure 3, jump to the design 1 interface cha"&amp;"nge state Figure 4; Design 2 main views as the main interface of online learning; click the ""A.I. Learning"" button in the design 2 main view. , Jump to design 2 interface change state Figure 1; click the ""Baibao Box"" button in design 2 interface chang"&amp;"e state, jump to the design 2 interface change state Figure 2; click the ""growth in design 2 interface change state graph 2 ""Button, jump to the design 2 interface change state Figure 3; click the"" completion ""button in the design 2 interface change s"&amp;"tate, jump to the design 2 interface change status Figure 4; design 3 main view is online learning. Main interface; click the ""A.I. Study"" button in the design 3 main view, jump to the design 3 interface change state Figure 1; click the ""treasure box"""&amp;" button in the design 3 interface change state, jump to the design 3 interface change state Figure 2; Click the ""Growth"" button in design 3 interface changes in Figure 2, jump to the design 3 interface change state Figure 3; click the ""completion"" but"&amp;"ton in design 3 interface change state, jump to design 3 Interface change status Figure 4; Design 4 main views as the main interface of online learning; click the ""A.I. Learning"" button in the design 4 main view, jump to the design 4 interface change st"&amp;"ate Figure 1; click the design 4 interface changes status Figure 1 The ""Emiel Box"" button is jump to the change state of the design 4 interface. The ""completion"" button in Figure 3 jumps to the change of the interface change status of the design 4; de"&amp;"sign 1. Design 1. Design 2, Design 3, Design 3, Design 4 The gray and black filling blocks in the interface in the design 4 are variable drawing content. 9. The displayed carrier equipment for display is the existing design. The display screen panel can b"&amp;"e applied to computers, laptops, tablet computers, mobile phones, smartphones, smart glasses, watches, smart watches, fitness monitor, head wearing, head wearing Form headset, personal digital assistant, smart speakers, television, monitor, set -top box, "&amp;"navigator.")</f>
        <v>1. Design product name: Online learning graphic user interface of the display screen panel. 2. Design products in appearance: used for interaction and display. 3. Design of the design of the product in appearance: lies in the graphic user interface. 4. Pictures or photos that can best show design: Design 1 main view. 5. Design 1. Design 2. Design 3. Other views of other views of design 4 have no design points, omitting design 1 other views, design 2 other views, design 3 other views, design 4 other views. 6. Specify design 1 is the basic design. 7. The purpose of the graphical user interface: used for online learning and viewing the study of various disciplines. 8. Human -computer interaction method of graphics user interface: Design 1 main view is the main interface of online learning; click the "A.I. Learning" button in design 1 main view, jump to the design 1 interface change state Figure 1; click Design 1; The interface changes state Figure 1 The "treasure chest" button, jump to the design 1 interface change state Figure 2; click the "growth" button in design 1 interface change state, jump to the design 1 interface change state Figure 3; click Design 1 interface changes in the "completion" button in Figure 3, jump to the design 1 interface change state Figure 4; Design 2 main views as the main interface of online learning; click the "A.I. Learning" button in the design 2 main view. , Jump to design 2 interface change state Figure 1; click the "Baibao Box" button in design 2 interface change state, jump to the design 2 interface change state Figure 2; click the "growth in design 2 interface change state graph 2 "Button, jump to the design 2 interface change state Figure 3; click the" completion "button in the design 2 interface change state, jump to the design 2 interface change status Figure 4; design 3 main view is online learning. Main interface; click the "A.I. Study" button in the design 3 main view, jump to the design 3 interface change state Figure 1; click the "treasure box" button in the design 3 interface change state, jump to the design 3 interface change state Figure 2; Click the "Growth" button in design 3 interface changes in Figure 2, jump to the design 3 interface change state Figure 3; click the "completion" button in design 3 interface change state, jump to design 3 Interface change status Figure 4; Design 4 main views as the main interface of online learning; click the "A.I. Learning" button in the design 4 main view, jump to the design 4 interface change state Figure 1; click the design 4 interface changes status Figure 1 The "Emiel Box" button is jump to the change state of the design 4 interface. The "completion" button in Figure 3 jumps to the change of the interface change status of the design 4; design 1. Design 1. Design 2, Design 3, Design 3, Design 4 The gray and black filling blocks in the interface in the design 4 are variable drawing content. 9. The displayed carrier equipment for display is the existing design. The display screen panel can be applied to computers, laptops, tablet computers, mobile phones, smartphones, smart glasses, watches, smart watches, fitness monitor, head wearing, head wearing Form headset, personal digital assistant, smart speakers, television, monitor, set -top box, navigator.</v>
      </c>
      <c r="D340" s="6" t="s">
        <v>1004</v>
      </c>
      <c r="E340" s="4" t="str">
        <f ca="1">IFERROR(__xludf.DUMMYFUNCTION("GOOGLETRANSLATE(D340,""auto"",""en"")"),"The online learning graphic user interface of the display screen panel")</f>
        <v>The online learning graphic user interface of the display screen panel</v>
      </c>
    </row>
    <row r="341" spans="1:5" ht="15" x14ac:dyDescent="0.25">
      <c r="A341" s="5" t="s">
        <v>1005</v>
      </c>
      <c r="B341" s="6" t="s">
        <v>1006</v>
      </c>
      <c r="C341" s="3" t="str">
        <f ca="1">IFERROR(__xludf.DUMMYFUNCTION("GOOGLETRANSLATE(B341,""auto"",""en"")"),"The invention involves a swimming training device, including rectangular platform 1, the first and second parts are installed on the ground. The telescopic operating rods used to provide extension and retraction to Platform 1 are used to adhere the platfo"&amp;"rm 1 to the ground 3 suction cup 3, and to accommodate the user's slender components 4, allow users to send a command to touch screen 5, artificial intelligence 5, artificial intelligence, and artificial intelligence Enable image 7 to capture various imag"&amp;"es of users, a pair of wearable unit 8 connected through a thin rope 9 to help users perform swimming movements, electric slider 10 is used to provide users with front and rear motion, holographic projector 12, 12, holographic projector 12, 12 For project"&amp;"ion vision, it is expressed to guide users to train.")</f>
        <v>The invention involves a swimming training device, including rectangular platform 1, the first and second parts are installed on the ground. The telescopic operating rods used to provide extension and retraction to Platform 1 are used to adhere the platform 1 to the ground 3 suction cup 3, and to accommodate the user's slender components 4, allow users to send a command to touch screen 5, artificial intelligence 5, artificial intelligence, and artificial intelligence Enable image 7 to capture various images of users, a pair of wearable unit 8 connected through a thin rope 9 to help users perform swimming movements, electric slider 10 is used to provide users with front and rear motion, holographic projector 12, 12, holographic projector 12, 12 For projection vision, it is expressed to guide users to train.</v>
      </c>
      <c r="D341" s="6" t="s">
        <v>1007</v>
      </c>
      <c r="E341" s="4" t="str">
        <f ca="1">IFERROR(__xludf.DUMMYFUNCTION("GOOGLETRANSLATE(D341,""auto"",""en"")"),"Swimming trainer")</f>
        <v>Swimming trainer</v>
      </c>
    </row>
    <row r="342" spans="1:5" ht="15" x14ac:dyDescent="0.25">
      <c r="A342" s="5" t="s">
        <v>1008</v>
      </c>
      <c r="B342" s="6" t="s">
        <v>1009</v>
      </c>
      <c r="C342" s="3" t="str">
        <f ca="1">IFERROR(__xludf.DUMMYFUNCTION("GOOGLETRANSLATE(B342,""auto"",""en"")"),"The present invention provides a common training method and auxiliary referee system based on deep learning technology for sports target detection, including: establishing basic weight parameters, through deep learning, establishing training after trainin"&amp;"g; parameters of specific sports scenarios; Optimization, when the basic weight parameters have errors, the design parameters optimize the module, collect actual sports scene images, conduct optimization training, and establish optimized weight parameters"&amp;" of specific scenarios. The present invention establishes a mesh motion index parameter, and the real -time feedback of the grid motion index changes in the training or competition. The auxiliary coaches optimize or improve the training effect according t"&amp;"o the changes in the grid motion index. The integrated technology that can be superimposed with extended cameras can be used for the auxiliary referee during the game, or it can also play high -speed high -definition images at any perspective during train"&amp;"ing to help athletes analyze the movement attitude.")</f>
        <v>The present invention provides a common training method and auxiliary referee system based on deep learning technology for sports target detection, including: establishing basic weight parameters, through deep learning, establishing training after training; parameters of specific sports scenarios; Optimization, when the basic weight parameters have errors, the design parameters optimize the module, collect actual sports scene images, conduct optimization training, and establish optimized weight parameters of specific scenarios. The present invention establishes a mesh motion index parameter, and the real -time feedback of the grid motion index changes in the training or competition. The auxiliary coaches optimize or improve the training effect according to the changes in the grid motion index. The integrated technology that can be superimposed with extended cameras can be used for the auxiliary referee during the game, or it can also play high -speed high -definition images at any perspective during training to help athletes analyze the movement attitude.</v>
      </c>
      <c r="D342" s="6" t="s">
        <v>1010</v>
      </c>
      <c r="E342" s="4" t="str">
        <f ca="1">IFERROR(__xludf.DUMMYFUNCTION("GOOGLETRANSLATE(D342,""auto"",""en"")"),"GM training methods and auxiliary referee systems based on deep learning technology testing for sports target detection")</f>
        <v>GM training methods and auxiliary referee systems based on deep learning technology testing for sports target detection</v>
      </c>
    </row>
    <row r="343" spans="1:5" ht="15" x14ac:dyDescent="0.25">
      <c r="A343" s="5" t="s">
        <v>1011</v>
      </c>
      <c r="B343" s="6" t="s">
        <v>1012</v>
      </c>
      <c r="C343" s="3" t="str">
        <f ca="1">IFERROR(__xludf.DUMMYFUNCTION("GOOGLETRANSLATE(B343,""auto"",""en"")"),"A drowning method and system based on motion component threshold and machine learning. This method includes the following steps: Use the nine -axis sensor to obtain human swimming data, filter, normalize and fast Fourier transformation (FFT) processing of"&amp;" data, extract feature values, match the feature value, and failed in mode matching in mode matching. Time to decompose exercise data, zero -speed correction before calculating level displacement. Set the horizontal displacement threshold as a condition f"&amp;"or determining possible drowning. When the mode match fails and the non -drowning warning status is presented, feature data is used to use machine learning methods, and feature data classification is stored in the mode library. The mode library is constan"&amp;"tly updated. The predicting accuracy detection algorithm can be continuously improved.")</f>
        <v>A drowning method and system based on motion component threshold and machine learning. This method includes the following steps: Use the nine -axis sensor to obtain human swimming data, filter, normalize and fast Fourier transformation (FFT) processing of data, extract feature values, match the feature value, and failed in mode matching in mode matching. Time to decompose exercise data, zero -speed correction before calculating level displacement. Set the horizontal displacement threshold as a condition for determining possible drowning. When the mode match fails and the non -drowning warning status is presented, feature data is used to use machine learning methods, and feature data classification is stored in the mode library. The mode library is constantly updated. The predicting accuracy detection algorithm can be continuously improved.</v>
      </c>
      <c r="D343" s="6" t="s">
        <v>1013</v>
      </c>
      <c r="E343" s="4" t="str">
        <f ca="1">IFERROR(__xludf.DUMMYFUNCTION("GOOGLETRANSLATE(D343,""auto"",""en"")"),"Drowning method and system based on motion component threshold and machine learning")</f>
        <v>Drowning method and system based on motion component threshold and machine learning</v>
      </c>
    </row>
    <row r="344" spans="1:5" ht="15" x14ac:dyDescent="0.25">
      <c r="A344" s="5" t="s">
        <v>1014</v>
      </c>
      <c r="B344" s="6" t="s">
        <v>1015</v>
      </c>
      <c r="C344" s="3" t="str">
        <f ca="1">IFERROR(__xludf.DUMMYFUNCTION("GOOGLETRANSLATE(B344,""auto"",""en"")"),"The present invention disclosed an experimental device based on the table pot robot competition, which belongs to the field of artificial intelligence and automatic control technology, including: table pot experimental venues, table pot robots and table p"&amp;"ot referee modules. Among them The throw zone, free defense area, score area and autonomous air return passage; the table pot referee module includes referee, brackets, and cameras, referee connecting the camera, and the camera installed on the bracket; T"&amp;"he referee module is fixed on the table pot experimental venue. The camera of the table pot referee module is fixed above the center of the center of the score area through the bracket, and the field covers the free defense area and the score area. This d"&amp;"evice designed the experimental venue for table pot robot competitions suitable for artificial intelligence fields, which not only realized the table pot robot intelligent throwing table ball and returning to the autonomous return, but also achieved the p"&amp;"ositioning and score judgment of the table pot ball. Important reference value.")</f>
        <v>The present invention disclosed an experimental device based on the table pot robot competition, which belongs to the field of artificial intelligence and automatic control technology, including: table pot experimental venues, table pot robots and table pot referee modules. Among them The throw zone, free defense area, score area and autonomous air return passage; the table pot referee module includes referee, brackets, and cameras, referee connecting the camera, and the camera installed on the bracket; The referee module is fixed on the table pot experimental venue. The camera of the table pot referee module is fixed above the center of the center of the score area through the bracket, and the field covers the free defense area and the score area. This device designed the experimental venue for table pot robot competitions suitable for artificial intelligence fields, which not only realized the table pot robot intelligent throwing table ball and returning to the autonomous return, but also achieved the positioning and score judgment of the table pot ball. Important reference value.</v>
      </c>
      <c r="D344" s="6" t="s">
        <v>1016</v>
      </c>
      <c r="E344" s="4" t="str">
        <f ca="1">IFERROR(__xludf.DUMMYFUNCTION("GOOGLETRANSLATE(D344,""auto"",""en"")"),"Experimental device based on table pot robot competition")</f>
        <v>Experimental device based on table pot robot competition</v>
      </c>
    </row>
    <row r="345" spans="1:5" ht="15" x14ac:dyDescent="0.25">
      <c r="A345" s="5" t="s">
        <v>1017</v>
      </c>
      <c r="B345" s="6" t="s">
        <v>1018</v>
      </c>
      <c r="C345" s="3" t="str">
        <f ca="1">IFERROR(__xludf.DUMMYFUNCTION("GOOGLETRANSLATE(B345,""auto"",""en"")"),"1. The name of the product of the design of the product: The call center system of the display screen panel manages the graphic user interface. 2. Design products in appearance: used for interaction and display. 3. Design of the design of the product in a"&amp;"ppearance: lies in the graphic user interface. 4. Pictures or photos that can most indicate design points: main view. 5. There is no design point for other views, omitting other views. 6. The purpose of the graphical user interface: used to achieve custom"&amp;"er service management of the call center system. 7. Human -computer interaction method of graphical user interface: The main view is the main interface of the call center system; click the ""call"" button in the main view to jump to the interface change s"&amp;"tate figure 1; click ""Online"" online ""online"" online ""online 1"" Online 1 Customer service ""button, jump to the interface change state Figure 2; click the"" contact history ""button in the interface change state Figure 2, jump to the interface chang"&amp;"e state Figure 3; click the"" customer ""button in the interface change state Figure 3, jump jump, jump Transfer to the interface change state Figure 4; click the ""Announcement"" button in the interface change state Figure 4, jump to the interface change"&amp;" state Figure 5; click the ""To -Test Mission"" button in the interface change state, jump to the interface change Status Figure 6; click the ""Knowledge Base"" button in the interface change state. 6, jump to the interface change state Figure 7; click th"&amp;"e ""work order"" button in the interface changes. 7, jump to the interface change state Figure 8; Click the ""Operation Monitoring"" button in the interface change state, jump to the interface change state figure 9; click the ""statistical statement"" but"&amp;"ton in the interface change state Figure 9, jump to the interface change state figure 10; click the interface change status The ""SMS"" button in Figure 10 jumps to the interface change state Figure 11; click the ""System Settings"" button in the interfac"&amp;"e change state. Operation and maintenance configuration ""button, jump to the interface change state Figure 13.8. The displayed carrier equipment for display is the existing design. The display screen panel can be applied to computers, laptops, tablet com"&amp;"puters, mobile phones, smartphones, smart bracelets , Smart glasses, watches, smart watches, fitness monitors, headphones, personal digital assistants, smart speakers, television, monitor, set -top box, navigator.")</f>
        <v>1. The name of the product of the design of the product: The call center system of the display screen panel manages the graphic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used to achieve customer service management of the call center system. 7. Human -computer interaction method of graphical user interface: The main view is the main interface of the call center system; click the "call" button in the main view to jump to the interface change state figure 1; click "Online" online "online" online "online 1" Online 1 Customer service "button, jump to the interface change state Figure 2; click the" contact history "button in the interface change state Figure 2, jump to the interface change state Figure 3; click the" customer "button in the interface change state Figure 3, jump jump, jump Transfer to the interface change state Figure 4; click the "Announcement" button in the interface change state Figure 4, jump to the interface change state Figure 5; click the "To -Test Mission" button in the interface change state, jump to the interface change Status Figure 6; click the "Knowledge Base" button in the interface change state. 6, jump to the interface change state Figure 7; click the "work order" button in the interface changes. 7, jump to the interface change state Figure 8; Click the "Operation Monitoring" button in the interface change state, jump to the interface change state figure 9; click the "statistical statement" button in the interface change state Figure 9, jump to the interface change state figure 10; click the interface change status The "SMS" button in Figure 10 jumps to the interface change state Figure 11; click the "System Settings" button in the interface change state. Operation and maintenance configuration "button, jump to the interface change state Figure 13.8. The displayed carrier equipment for display is the existing design. The display screen panel can be applied to computers, laptops, tablet computers, mobile phones, smartphones, smart bracelets , Smart glasses, watches, smart watches, fitness monitors, headphones, personal digital assistants, smart speakers, television, monitor, set -top box, navigator.</v>
      </c>
      <c r="D345" s="6" t="s">
        <v>1019</v>
      </c>
      <c r="E345" s="4" t="str">
        <f ca="1">IFERROR(__xludf.DUMMYFUNCTION("GOOGLETRANSLATE(D345,""auto"",""en"")"),"The call center system system management graphic user interface of the display screen panel")</f>
        <v>The call center system system management graphic user interface of the display screen panel</v>
      </c>
    </row>
    <row r="346" spans="1:5" ht="15" x14ac:dyDescent="0.25">
      <c r="A346" s="5" t="s">
        <v>1020</v>
      </c>
      <c r="B346" s="6" t="s">
        <v>1021</v>
      </c>
      <c r="C346" s="3" t="str">
        <f ca="1">IFERROR(__xludf.DUMMYFUNCTION("GOOGLETRANSLATE(B346,""auto"",""en"")"),"Our invention ""medical care and fitness data management using the AI ​​blockchain platform."" It is due to the result of transcending the visits of artists and the results of remote parts in electronic obstacles applications. It is normal to provide grea"&amp;"ter security and security. of. In addition, the internal information classification of various management departments has become a key necessity. In the present invention, we recommend collecting information about small tools about welfare and health. The"&amp;" use of these small tools helps us to liberate major health information to a certain degree. This information is separated, collapsed and placed in electronic health records (EHRS). The stage, mentors, patients, and experts of various entertainers coopera"&amp;"te on time to discover and treat different diseases in a simple and practical way. Our main design is to spread these delicate information through the Ethereum blockchain innovation, security and approval. We have planned a merging low -control IoT blockc"&amp;"hain stage to store and investigate the medical services of EHRS. According to the Blockchain of Ethereum, this design combines network and multi -functional applications to allow patients and staff of clinical and nursing staff to have a reliable access "&amp;"to well -being data. The Ethereum hub is performed during the implantation stage. Although the assets of the multi -processor stage are limited and low -power use, this stage should have a production, adaptability and security framework.")</f>
        <v>Our invention "medical care and fitness data management using the AI ​​blockchain platform." It is due to the result of transcending the visits of artists and the results of remote parts in electronic obstacles applications. It is normal to provide greater security and security. of. In addition, the internal information classification of various management departments has become a key necessity. In the present invention, we recommend collecting information about small tools about welfare and health. The use of these small tools helps us to liberate major health information to a certain degree. This information is separated, collapsed and placed in electronic health records (EHRS). The stage, mentors, patients, and experts of various entertainers cooperate on time to discover and treat different diseases in a simple and practical way. Our main design is to spread these delicate information through the Ethereum blockchain innovation, security and approval. We have planned a merging low -control IoT blockchain stage to store and investigate the medical services of EHRS. According to the Blockchain of Ethereum, this design combines network and multi -functional applications to allow patients and staff of clinical and nursing staff to have a reliable access to well -being data. The Ethereum hub is performed during the implantation stage. Although the assets of the multi -processor stage are limited and low -power use, this stage should have a production, adaptability and security framework.</v>
      </c>
      <c r="D346" s="6" t="s">
        <v>1022</v>
      </c>
      <c r="E346" s="4" t="str">
        <f ca="1">IFERROR(__xludf.DUMMYFUNCTION("GOOGLETRANSLATE(D346,""auto"",""en"")"),"Use the artificial intelligence blockchain platform for medical care and fitness data management")</f>
        <v>Use the artificial intelligence blockchain platform for medical care and fitness data management</v>
      </c>
    </row>
    <row r="347" spans="1:5" ht="15" x14ac:dyDescent="0.25">
      <c r="A347" s="5" t="s">
        <v>1023</v>
      </c>
      <c r="B347" s="6" t="s">
        <v>1024</v>
      </c>
      <c r="C347" s="3" t="str">
        <f ca="1">IFERROR(__xludf.DUMMYFUNCTION("GOOGLETRANSLATE(B347,""auto"",""en"")"),"The present invention provides a chess software cheating software cheating detection method based on deep learning, which mainly includes the following steps: the recovery data set provided by the chess software is divided into training data sets and test"&amp;" data sets in proportion to the training model on the training data set; Training datasets for pre -processing; constructing neural networks; selecting different training data set training models according to the level of competition players; using differ"&amp;"ent parameters to configure training different models, and running training models on the test dataset; Application; Application; Application; Application; Application; Application; Application; Application; Application; Application; Application; Apply; T"&amp;"he training model is stored in the three -dimensional array of the characteristics of the chess game and the time difference between the falling time, and calculate the difference between the time difference between the falling time; the supervision data "&amp;"set input model to be detected will predict the probability of cheating players. Compared with existing technology, the characteristics of the invention in the characteristics of the data and the time difference of the landing time have the advantages of "&amp;"easy to extract features, low dimensions, and comprehensive. Through deep learning and adopting a variety of algorithms, it can improve predictive accuracy and predictive efficiency.")</f>
        <v>The present invention provides a chess software cheating software cheating detection method based on deep learning, which mainly includes the following steps: the recovery data set provided by the chess software is divided into training data sets and test data sets in proportion to the training model on the training data set; Training datasets for pre -processing; constructing neural networks; selecting different training data set training models according to the level of competition players; using different parameters to configure training different models, and running training models on the test dataset; Application; Application; Application; Application; Application; Application; Application; Application; Application; Application; Application; Apply; The training model is stored in the three -dimensional array of the characteristics of the chess game and the time difference between the falling time, and calculate the difference between the time difference between the falling time; the supervision data set input model to be detected will predict the probability of cheating players. Compared with existing technology, the characteristics of the invention in the characteristics of the data and the time difference of the landing time have the advantages of easy to extract features, low dimensions, and comprehensive. Through deep learning and adopting a variety of algorithms, it can improve predictive accuracy and predictive efficiency.</v>
      </c>
      <c r="D347" s="6" t="s">
        <v>1025</v>
      </c>
      <c r="E347" s="4" t="str">
        <f ca="1">IFERROR(__xludf.DUMMYFUNCTION("GOOGLETRANSLATE(D347,""auto"",""en"")"),"Chess software chess software chess software cheating detection method")</f>
        <v>Chess software chess software chess software cheating detection method</v>
      </c>
    </row>
    <row r="348" spans="1:5" ht="15" x14ac:dyDescent="0.25">
      <c r="A348" s="5" t="s">
        <v>1026</v>
      </c>
      <c r="B348" s="6" t="s">
        <v>518</v>
      </c>
      <c r="C348" s="3" t="str">
        <f ca="1">IFERROR(__xludf.DUMMYFUNCTION("GOOGLETRANSLATE(B348,""auto"",""en"")"),"-")</f>
        <v>-</v>
      </c>
      <c r="D348" s="6" t="s">
        <v>1027</v>
      </c>
      <c r="E348" s="4" t="str">
        <f ca="1">IFERROR(__xludf.DUMMYFUNCTION("GOOGLETRANSLATE(D348,""auto"",""en"")"),"Use artificial intelligence yoga coaching equipment")</f>
        <v>Use artificial intelligence yoga coaching equipment</v>
      </c>
    </row>
    <row r="349" spans="1:5" ht="15" x14ac:dyDescent="0.25">
      <c r="A349" s="5" t="s">
        <v>1028</v>
      </c>
      <c r="B349" s="6" t="s">
        <v>1029</v>
      </c>
      <c r="C349" s="3" t="str">
        <f ca="1">IFERROR(__xludf.DUMMYFUNCTION("GOOGLETRANSLATE(B349,""auto"",""en"")"),"1. Design product name: The ship's operation of the display screen panel running management graphic user interface. ; 2. Design products in this exterior: used for interaction and display. ; 3. Design the design of the product in this exterior: lies in th"&amp;"e interface content of the graphical user interface. ; 4. The picture or photo of the main point of design: The main view. ; 5. There is no design point for other views, omitting other views. 6. The purpose of graphical user interface: It is used to view "&amp;"the total amount and trend of the ships, net ton, and volume of the ships replaced by loose grocery ships. 7. Human -computer interaction method of graphic user interface: The main view is the main interface of the ship's visual interface, including the "&amp;"""customer (designated party) ranking"" module, ""customer (client) ranking"" module, ""business trend"" module, ""business trend"" Figure ""module,"" business type analysis ""module,"" statistical analysis ""module,"" agency evaluation ""module, map modu"&amp;"le and other detailed data information modules, including"" ships "","" net tons "","" cargo volume "","" pre -offset "","" pre -deduction "" Real -time data display such as ships "","" anchor ships "","" berth ship ""and other real -time data display; cl"&amp;"ick the"" ship ""option above the main view to jump to the interface change state. In the pop -up window in Figure 1, select the ""Hong Kong Verculent Mission (Cargo River)"" option, and jump to the interface change state. Figure 2 shows the shipping info"&amp;"rmation corresponding to the ships corresponding to the Hong Kong voyages (cargo ship). ; Click the ""Map"" button in the main view to jump to the interface change state. Figure 3 contains the geographical location information of East China, and display t"&amp;"he shipping information corresponding to the ship, net ton, and volume of goods in the geographical location information; select the selection. In the list of the ""Customer (Designation of Shipping) in the main view"" list, any customer and click the pil"&amp;"lar map to jump to the detailed information of the customer's selected customers, including the customer name, business type and other detailed information. ; Select the ""ship"" fan -shaped area under the ""Statistical Analysis"" module in the main view "&amp;"and click on any area and click, jump to the detailed information of the selected customers displayed in the interface change state, including the company name, business type, and Detailed information of the ship; select any areas in the ""cargo"" fan -sh"&amp;"aped map in the ""Statistical Analysis"" module in the main view and click to jump to the interface change state of the interface. , Detailed information such as ships, net ton, cargo volume, etc.; Select any area in the ""Ship"" fan -shaped chart under t"&amp;"he statistical analysis in the main view of the main view and click to jump to the interface changes in the interface. Including detailed information such as ship type names, ships, net tons, and volume of goods; select the ""Pre -Ship Ship"" button in th"&amp;"e main view, and jump to the interface change state. The interface changes state in Figure 8 Select the ""Hong Kong Cargo Ship"" option in the marking window interface in Figure 8, jump to the interface of the Hong Kong ship list interface displayed by th"&amp;"e interface change state, including ship names, voyages, designated parties, commissioners, expected to be resisted Detailed information such as port time, port, ship status, processing status.; 8. The carrier equipment for display is designed for the exi"&amp;"sting design. , Smart glasses, watches, smart watches, fitness monitors, headphones, personal digital assistants, smart speakers, television, monitor, projector, set -top box, navigator display device for vehicles. 1. This appearance of this appearance Na"&amp;"me of Design Products: The ship's operation of the ship running management graphic user interface. 2. 2. The purpose of designing products in this exterior: used for interaction and display.; 3. The design of the design of the product in this exterior: li"&amp;"es in the interface content of the interface of the graphic user interface Essence ; 4. The picture or photo of the main point of design: The main view. ; 5. There is no design point for other views, omitting other views. 6. The purpose of graphical user "&amp;"interface: It is used to view the total amount and trend of the ships, net ton, and volume of the ships replaced by loose grocery ships. 7. Human -computer interaction method of graphic user interface: The main view is the main interface of the ship's vis"&amp;"ual interface, including the ""customer (designated party) ranking"" module, ""customer (client) ranking"" module, ""business trend"" module, ""business trend"" Figure ""module,"" business type analysis ""module,"" statistical analysis ""module,"" agency "&amp;"evaluation ""module, map module and other detailed data information modules, including"" ships "","" net tons "","" cargo volume "","" pre -offset "","" pre -deduction "" Real -time data display such as ships "","" anchor ships "","" berth ship ""and othe"&amp;"r real -time data display; click the"" ship ""option above the main view to jump to the interface change state. In the pop -up window in Figure 1, select the ""Hong Kong Verculent Mission (Cargo River)"" option, and jump to the interface change state. Fig"&amp;"ure 2 shows the shipping information corresponding to the ships corresponding to the Hong Kong voyages (cargo ship). ; Click the ""Map"" button in the main view to jump to the interface change state. Figure 3 contains the geographical location information"&amp;" of East China, and display the shipping information corresponding to the ship, net ton, and volume of goods in the geographical location information; select the selection. In the list of the ""Customer (Designation of Shipping) in the main view"" list, a"&amp;"ny customer and click the pillar map to jump to the detailed information of the customer's selected customers, including the customer name, business type and other detailed information. ; Select the ""ship"" fan -shaped area under the ""Statistical Analys"&amp;"is"" module in the main view and click on any area and click, jump to the detailed information of the selected customers displayed in the interface change state, including the company name, business type, and Detailed information of the ship; select any a"&amp;"reas in the ""cargo"" fan -shaped map in the ""Statistical Analysis"" module in the main view and click to jump to the interface change state of the interface. , Detailed information such as ships, net ton, cargo volume, etc.; Select any area in the ""Shi"&amp;"p"" fan -shaped chart under the statistical analysis in the main view of the main view and click to jump to the interface changes in the interface. Including detailed information such as ship type names, ships, net tons, and volume of goods; select the """&amp;"Pre -Ship Ship"" button in the main view, and jump to the interface change state. The interface changes state in Figure 8 Select the ""Hong Kong Cargo Ship"" option in the marking window interface in Figure 8, jump to the interface of the Hong Kong ship l"&amp;"ist interface displayed by the interface change state, including ship names, voyages, designated parties, commissioners, expected to be resisted Detailed information such as port time, port, ship status, processing status.; 8. The carrier equipment for di"&amp;"splay is designed for the existing design. , Smart glasses, watches, smart watches, fitness monitors, headphones, personal digital assistants, smart speakers, television, monitor, projector, set -top box, navigator, display device for vehicles.")</f>
        <v>1. Design product name: The ship's operation of the display screen panel running management graphic user interface. ; 2. Design products in this exterior: used for interaction and display. ; 3. Design the design of the product in this exterior: lies in the interface content of the graphical user interface. ; 4. The picture or photo of the main point of design: The main view. ; 5. There is no design point for other views, omitting other views. 6. The purpose of graphical user interface: It is used to view the total amount and trend of the ships, net ton, and volume of the ships replaced by loose grocery ships. 7. Human -computer interaction method of graphic user interface: The main view is the main interface of the ship's visual interface, including the "customer (designated party) ranking" module, "customer (client) ranking" module, "business trend" module, "business trend" Figure "module," business type analysis "module," statistical analysis "module," agency evaluation "module, map module and other detailed data information modules, including" ships "," net tons "," cargo volume "," pre -offset "," pre -deduction " Real -time data display such as ships "," anchor ships "," berth ship "and other real -time data display; click the" ship "option above the main view to jump to the interface change state. In the pop -up window in Figure 1, select the "Hong Kong Verculent Mission (Cargo River)" option, and jump to the interface change state. Figure 2 shows the shipping information corresponding to the ships corresponding to the Hong Kong voyages (cargo ship). ; Click the "Map" button in the main view to jump to the interface change state. Figure 3 contains the geographical location information of East China, and display the shipping information corresponding to the ship, net ton, and volume of goods in the geographical location information; select the selection. In the list of the "Customer (Designation of Shipping) in the main view" list, any customer and click the pillar map to jump to the detailed information of the customer's selected customers, including the customer name, business type and other detailed information. ; Select the "ship" fan -shaped area under the "Statistical Analysis" module in the main view and click on any area and click, jump to the detailed information of the selected customers displayed in the interface change state, including the company name, business type, and Detailed information of the ship; select any areas in the "cargo" fan -shaped map in the "Statistical Analysis" module in the main view and click to jump to the interface change state of the interface. , Detailed information such as ships, net ton, cargo volume, etc.; Select any area in the "Ship" fan -shaped chart under the statistical analysis in the main view of the main view and click to jump to the interface changes in the interface. Including detailed information such as ship type names, ships, net tons, and volume of goods; select the "Pre -Ship Ship" button in the main view, and jump to the interface change state. The interface changes state in Figure 8 Select the "Hong Kong Cargo Ship" option in the marking window interface in Figure 8, jump to the interface of the Hong Kong ship list interface displayed by the interface change state, including ship names, voyages, designated parties, commissioners, expected to be resisted Detailed information such as port time, port, ship status, processing status.; 8. The carrier equipment for display is designed for the existing design. , Smart glasses, watches, smart watches, fitness monitors, headphones, personal digital assistants, smart speakers, television, monitor, projector, set -top box, navigator display device for vehicles. 1. This appearance of this appearance Name of Design Products: The ship's operation of the ship running management graphic user interface. 2. 2. The purpose of designing products in this exterior: used for interaction and display.; 3. The design of the design of the product in this exterior: lies in the interface content of the interface of the graphic user interface Essence ; 4. The picture or photo of the main point of design: The main view. ; 5. There is no design point for other views, omitting other views. 6. The purpose of graphical user interface: It is used to view the total amount and trend of the ships, net ton, and volume of the ships replaced by loose grocery ships. 7. Human -computer interaction method of graphic user interface: The main view is the main interface of the ship's visual interface, including the "customer (designated party) ranking" module, "customer (client) ranking" module, "business trend" module, "business trend" Figure "module," business type analysis "module," statistical analysis "module," agency evaluation "module, map module and other detailed data information modules, including" ships "," net tons "," cargo volume "," pre -offset "," pre -deduction " Real -time data display such as ships "," anchor ships "," berth ship "and other real -time data display; click the" ship "option above the main view to jump to the interface change state. In the pop -up window in Figure 1, select the "Hong Kong Verculent Mission (Cargo River)" option, and jump to the interface change state. Figure 2 shows the shipping information corresponding to the ships corresponding to the Hong Kong voyages (cargo ship). ; Click the "Map" button in the main view to jump to the interface change state. Figure 3 contains the geographical location information of East China, and display the shipping information corresponding to the ship, net ton, and volume of goods in the geographical location information; select the selection. In the list of the "Customer (Designation of Shipping) in the main view" list, any customer and click the pillar map to jump to the detailed information of the customer's selected customers, including the customer name, business type and other detailed information. ; Select the "ship" fan -shaped area under the "Statistical Analysis" module in the main view and click on any area and click, jump to the detailed information of the selected customers displayed in the interface change state, including the company name, business type, and Detailed information of the ship; select any areas in the "cargo" fan -shaped map in the "Statistical Analysis" module in the main view and click to jump to the interface change state of the interface. , Detailed information such as ships, net ton, cargo volume, etc.; Select any area in the "Ship" fan -shaped chart under the statistical analysis in the main view of the main view and click to jump to the interface changes in the interface. Including detailed information such as ship type names, ships, net tons, and volume of goods; select the "Pre -Ship Ship" button in the main view, and jump to the interface change state. The interface changes state in Figure 8 Select the "Hong Kong Cargo Ship" option in the marking window interface in Figure 8, jump to the interface of the Hong Kong ship list interface displayed by the interface change state, including ship names, voyages, designated parties, commissioners, expected to be resisted Detailed information such as port time, port, ship status, processing status.; 8. The carrier equipment for display is designed for the existing design. , Smart glasses, watches, smart watches, fitness monitors, headphones, personal digital assistants, smart speakers, television, monitor, projector, set -top box, navigator, display device for vehicles.</v>
      </c>
      <c r="D349" s="6" t="s">
        <v>1030</v>
      </c>
      <c r="E349" s="4" t="str">
        <f ca="1">IFERROR(__xludf.DUMMYFUNCTION("GOOGLETRANSLATE(D349,""auto"",""en"")"),"The ship of the display screen panel running management graphical user interface")</f>
        <v>The ship of the display screen panel running management graphical user interface</v>
      </c>
    </row>
    <row r="350" spans="1:5" ht="15" x14ac:dyDescent="0.25">
      <c r="A350" s="5" t="s">
        <v>1031</v>
      </c>
      <c r="B350" s="6" t="s">
        <v>1032</v>
      </c>
      <c r="C350" s="3" t="str">
        <f ca="1">IFERROR(__xludf.DUMMYFUNCTION("GOOGLETRANSLATE(B350,""auto"",""en"")"),"1. The name of the product of the product: The display screen panel with a questionnaire theme set the graphical user interface.
 2. The purpose of designing products in this exterior: used to display graphic user interface.
 3. Design of design produ"&amp;"cts in this appearance: lies in the graphic user interface in the screen.
 4. Pictures or photos that can most indicate design points: main view.
 5. There is no design point for other views, omitting other views.
 6. The purpose of the graphical us"&amp;"er interface: The interface is used for the theme settings, editing and preview of the questionnaire.
 7. Human -computer interaction method of graphical user interface: The graphic user interface displayed by the main view is to open the start interfac"&amp;"e of the program; click the ""Display Settings"" button in the upper right corner of the main screen to get the interface change state. The ""Start page"" button enters the interface changes. Figure 2; click the ""Answers Page"" button in the upper left c"&amp;"orner of the main view of the main view to enter the interface change state Figure 3; click the ""End Page"" button in the upper left corner of the main view to enter the interface change state Figure 4.
 8. The display screen panel of the product can b"&amp;"e applied to computers, laptops, tablet computers, head -up display (HUD), multimedia projector, smartphone, smart robot, smart glasses, virtual reality glasses, augmented reality glasses, hybrid reality Glasses, smart watches, fitness monitors, headset h"&amp;"eadphones, driving recorders, vehicle navigation equipment, vehicle CNC computer, automobile smart rearview mirror, smart speaker, smart TV, set -top box, game handheld, game console.
 9. The gray ""X"" coating in the graphic user interface of the produ"&amp;"ct of the product is the content picture.")</f>
        <v>1. The name of the product of the product: The display screen panel with a questionnaire theme set the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theme settings, editing and preview of the questionnaire.
 7. Human -computer interaction method of graphical user interface: The graphic user interface displayed by the main view is to open the start interface of the program; click the "Display Settings" button in the upper right corner of the main screen to get the interface change state. The "Start page" button enters the interface changes. Figure 2; click the "Answers Page" button in the upper left corner of the main view of the main view to enter the interface change state Figure 3; click the "End Page" button in the upper left corner of the main view to enter the interface change state Figure 4.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350" s="6" t="s">
        <v>1033</v>
      </c>
      <c r="E350" s="4" t="str">
        <f ca="1">IFERROR(__xludf.DUMMYFUNCTION("GOOGLETRANSLATE(D350,""auto"",""en"")"),"Set the display screen panel with a questionnaire theme setting the graphical user interface")</f>
        <v>Set the display screen panel with a questionnaire theme setting the graphical user interface</v>
      </c>
    </row>
    <row r="351" spans="1:5" ht="15" x14ac:dyDescent="0.25">
      <c r="A351" s="5" t="s">
        <v>1034</v>
      </c>
      <c r="B351" s="6" t="s">
        <v>1035</v>
      </c>
      <c r="C351" s="3" t="str">
        <f ca="1">IFERROR(__xludf.DUMMYFUNCTION("GOOGLETRANSLATE(B351,""auto"",""en"")"),"1. The name of the product of the design of the product: The display screen panel with the account authority management graphical user interface.
 2. The purpose of designing products in this exterior: used to display graphic user interface.
 3. Desig"&amp;"n of design products in this appearance: lies in the graphic user interface in the screen.
 4. Pictures or photos that can most indicate design points: main view.
 5. There is no design point for other views, omitting other views.
 6. The purpose of"&amp;" the graphical user interface: The interface is used for the use of account management and role permissions.
 7. Human -computer interaction method of graphical user interface: The graphic user interface displayed by the main view is to open the start i"&amp;"nterface of the program; click the ""role permissions"" button in the upper left corner of the main view to enter the interface change state Figure 1.
 8. The display screen panel of the product can be applied to computers, laptops, tablet computers, he"&amp;"ad -up display (HUD), multimedia projector, smartphone, smart robot, smart glasses, virtual reality glasses, augmented reality glasses, hybrid reality Glasses, smart watches, fitness monitors, headset headphones, driving recorders, vehicle navigation equi"&amp;"pment, vehicle CNC computer, automobile smart rearview mirror, smart speaker, smart TV, set -top box, game handheld, game console.")</f>
        <v>1. The name of the product of the design of the product: The display screen panel with the account authority management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account management and role permissions.
 7. Human -computer interaction method of graphical user interface: The graphic user interface displayed by the main view is to open the start interface of the program; click the "role permissions" button in the upper left corner of the main view to enter the interface change state Figure 1.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51" s="6" t="s">
        <v>1036</v>
      </c>
      <c r="E351" s="4" t="str">
        <f ca="1">IFERROR(__xludf.DUMMYFUNCTION("GOOGLETRANSLATE(D351,""auto"",""en"")"),"Display screen panel with account permissions management graphical user interface")</f>
        <v>Display screen panel with account permissions management graphical user interface</v>
      </c>
    </row>
    <row r="352" spans="1:5" ht="15" x14ac:dyDescent="0.25">
      <c r="A352" s="5" t="s">
        <v>1037</v>
      </c>
      <c r="B352" s="6" t="s">
        <v>1038</v>
      </c>
      <c r="C352" s="3" t="str">
        <f ca="1">IFERROR(__xludf.DUMMYFUNCTION("GOOGLETRANSLATE(B352,""auto"",""en"")"),"1. Design product name: Create a display screen panel with a questionnaire to create an edit graphic user interface.
 2. The purpose of designing products in this exterior: used to display graphic user interface.
 3. Design of design products in this "&amp;"appearance: lies in the graphic user interface in the screen.
 4. Pictures or photos that can most indicate design points: main view.
 5. There is no design point for other views, omitting other views.
 6. The purpose of the graphical user interface"&amp;": The interface is used for the use of the creation, editing and display information of the questionnaire.
 7. Human -computer interaction method of graphical user interface: The graphic user interface displayed by the main view is to open the start int"&amp;"erface of the program; click the ""Settings"" button in the upper left corner of the main view to enter the interface change state. Sliding up at any position to get the interface change state Figure 2; in the interface change state Figure 2 The central c"&amp;"enter of the central government slide up to get the interface changes. At the top of the ""Putting Questionnaire"" button to enter the interface change state Figure 5; in the interface change state Figure 5 The central position of the central government s"&amp;"lide up to get the interface change state Figure 6; click the ""data report"" button at the top of the main view to enter the interface change state. 7 ; Click the ""Quota Progress"" button in the upper left corner of the interface to enter the ""quota pr"&amp;"ogress"" button to enter the interface change state Figure 8.
 8. The display screen panel of the product can be applied to computers, laptops, tablet computers, head -up display (HUD), multimedia projector, smartphone, smart robot, smart glasses, virtu"&amp;"al reality glasses, augmented reality glasses, hybrid reality Glasses, smart watches, fitness monitors, headset headphones, driving recorders, vehicle navigation equipment, vehicle CNC computer, automobile smart rearview mirror, smart speaker, smart TV, s"&amp;"et -top box, game handheld, game console.")</f>
        <v>1. Design product name: Create a display screen panel with a questionnaire to create an edit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the creation, editing and display information of the questionnaire.
 7. Human -computer interaction method of graphical user interface: The graphic user interface displayed by the main view is to open the start interface of the program; click the "Settings" button in the upper left corner of the main view to enter the interface change state. Sliding up at any position to get the interface change state Figure 2; in the interface change state Figure 2 The central center of the central government slide up to get the interface changes. At the top of the "Putting Questionnaire" button to enter the interface change state Figure 5; in the interface change state Figure 5 The central position of the central government slide up to get the interface change state Figure 6; click the "data report" button at the top of the main view to enter the interface change state. 7 ; Click the "Quota Progress" button in the upper left corner of the interface to enter the "quota progress" button to enter the interface change state Figure 8.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52" s="6" t="s">
        <v>1039</v>
      </c>
      <c r="E352" s="4" t="str">
        <f ca="1">IFERROR(__xludf.DUMMYFUNCTION("GOOGLETRANSLATE(D352,""auto"",""en"")"),"Create a display screen panel with a questionnaire to create an editing graphic user interface")</f>
        <v>Create a display screen panel with a questionnaire to create an editing graphic user interface</v>
      </c>
    </row>
    <row r="353" spans="1:5" ht="15" x14ac:dyDescent="0.25">
      <c r="A353" s="5" t="s">
        <v>1040</v>
      </c>
      <c r="B353" s="6" t="s">
        <v>1041</v>
      </c>
      <c r="C353" s="3" t="str">
        <f ca="1">IFERROR(__xludf.DUMMYFUNCTION("GOOGLETRANSLATE(B353,""auto"",""en"")"),"1. Design product name: Display screen panel with a questionnaire project management graphical user interface.
 2. The purpose of designing products in this exterior: used to display graphic user interface.
 3. Design of design products in this appear"&amp;"ance: lies in the graphic user interface in the screen.
 4. Pictures or photos that can most indicate design points: main view.
 5. There is no design point for other views, omitting other views.
 6. The purpose of the graphical user interface: The "&amp;"interface is used for the use of the project management and display information.
 7. Human -computer interaction method of graphical user interface: The graphic user interface displayed by the main view is to open the start interface of the program; cli"&amp;"ck the ""answer number"" button in the upper right of the main screen to the ""answer number"" button in the questionnaire project card to pop up the interface change state diagram 1; click the ""NPS"" button in the questionnaire on the upper right of the"&amp;" main viewing graph [Example] The ""NPS"" button in the project card pops up the interface change state Figure 2; click the ""Three Dao Bar"" graphical button in the upper left corner of the main view to get the interface change state diagram 3; click the"&amp;" main view view; The ""Round Triangle"" graphical button on the upper left corner of the screen pops up the interface change state Figure 4; click on the interface change state Figure 4 The ""+"" graphic button on the upper level of the folder level on th"&amp;"e left corner to pop up the interface change state Figure 5; click the interface changes state Figure 5 The ""Save"" button in the pop -up window in the upper left corner obtains the interface change state Figure 6; in the interface change state Figure 6 "&amp;"Press the ""Unp"" ""Unnamed Folder"" tag in the upper corner of the left corner.
 8. The display screen panel of the product can be applied to computers, laptops, tablet computers, head -up display (HUD), multimedia projector, smartphone, smart robot, s"&amp;"mart glasses, virtual reality glasses, augmented reality glasses, hybrid reality Glasses, smart watches, fitness monitors, headset headphones, driving recorders, vehicle navigation equipment, vehicle CNC computer, automobile smart rearview mirror, smart s"&amp;"peaker, smart TV, set -top box, game handheld, game console.")</f>
        <v>1. Design product name: Display screen panel with a questionnaire project management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the project management and display information.
 7. Human -computer interaction method of graphical user interface: The graphic user interface displayed by the main view is to open the start interface of the program; click the "answer number" button in the upper right of the main screen to the "answer number" button in the questionnaire project card to pop up the interface change state diagram 1; click the "NPS" button in the questionnaire on the upper right of the main viewing graph [Example] The "NPS" button in the project card pops up the interface change state Figure 2; click the "Three Dao Bar" graphical button in the upper left corner of the main view to get the interface change state diagram 3; click the main view view; The "Round Triangle" graphical button on the upper left corner of the screen pops up the interface change state Figure 4; click on the interface change state Figure 4 The "+" graphic button on the upper level of the folder level on the left corner to pop up the interface change state Figure 5; click the interface changes state Figure 5 The "Save" button in the pop -up window in the upper left corner obtains the interface change state Figure 6; in the interface change state Figure 6 Press the "Unp" "Unnamed Folder" tag in the upper corner of the left corner.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53" s="6" t="s">
        <v>1042</v>
      </c>
      <c r="E353" s="4" t="str">
        <f ca="1">IFERROR(__xludf.DUMMYFUNCTION("GOOGLETRANSLATE(D353,""auto"",""en"")"),"Display screen panel with questionnaire project management graphical user interface")</f>
        <v>Display screen panel with questionnaire project management graphical user interface</v>
      </c>
    </row>
    <row r="354" spans="1:5" ht="15" x14ac:dyDescent="0.25">
      <c r="A354" s="5" t="s">
        <v>1043</v>
      </c>
      <c r="B354" s="6" t="s">
        <v>1044</v>
      </c>
      <c r="C354" s="3" t="str">
        <f ca="1">IFERROR(__xludf.DUMMYFUNCTION("GOOGLETRANSLATE(B354,""auto"",""en"")"),"1. The name of the product of the product: The display screen panel with data analysis and management graphical user interface.
 2. The purpose of designing products in this exterior: used to display graphic user interface.
 3. Design of design produc"&amp;"ts in this appearance: lies in the graphic user interface in the screen.
 4. Pictures or photos that can best show design points: Figure 1 of the interface change state.
 5. There is no design point for other views, omitting other views.
 6. The pur"&amp;"pose of graphical user interface: The interface is used to use the purpose of questionnaire data analysis, management and display information.
 7. Human -computer interaction method of graphical user interface: The graphic user interface displayed by th"&amp;"e main view is to open the start interface of the program; click the ""Enter the Analytic Project"" button at the top right of the main screen to enter the interface change state. 1 The central government's any position slides upward to get the interface "&amp;"change state Figure 2; in the interface change state Figure 2 to slide up the central position to get the interface change state Figure 3; click the ""topic management"" button in the upper right corner of the interface to enter the interface change chang"&amp;"e Status Figure 4.
 8. The display screen panel of the product can be applied to computers, laptops, tablet computers, head -up display (HUD), multimedia projector, smartphone, smart robot, smart glasses, virtual reality glasses, augmented reality glass"&amp;"es, hybrid reality Glasses, smart watches, fitness monitors, headset headphones, driving recorders, vehicle navigation equipment, vehicle CNC computer, automobile smart rearview mirror, smart speaker, smart TV, set -top box, game handheld, game console.")</f>
        <v>1. The name of the product of the product: The display screen panel with data analysis and management graphical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graphical user interface: The interface is used to use the purpose of questionnaire data analysis, management and display information.
 7. Human -computer interaction method of graphical user interface: The graphic user interface displayed by the main view is to open the start interface of the program; click the "Enter the Analytic Project" button at the top right of the main screen to enter the interface change state. 1 The central government's any position slides upward to get the interface change state Figure 2; in the interface change state Figure 2 to slide up the central position to get the interface change state Figure 3; click the "topic management" button in the upper right corner of the interface to enter the interface change change Status Figure 4.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54" s="6" t="s">
        <v>1045</v>
      </c>
      <c r="E354" s="4" t="str">
        <f ca="1">IFERROR(__xludf.DUMMYFUNCTION("GOOGLETRANSLATE(D354,""auto"",""en"")"),"Display screen panel with data analysis management graphical user interface")</f>
        <v>Display screen panel with data analysis management graphical user interface</v>
      </c>
    </row>
    <row r="355" spans="1:5" ht="15" x14ac:dyDescent="0.25">
      <c r="A355" s="5" t="s">
        <v>1046</v>
      </c>
      <c r="B355" s="6" t="s">
        <v>1047</v>
      </c>
      <c r="C355" s="3" t="str">
        <f ca="1">IFERROR(__xludf.DUMMYFUNCTION("GOOGLETRANSLATE(B355,""auto"",""en"")"),"1. Design product name: Display screen panel with questionnaire data management graphics user interface.
 2. The purpose of designing products in this exterior: used to display graphic user interface.
 3. Design of design products in this appearance: "&amp;"lies in the graphic user interface in the screen.
 4. Pictures or photos that can best show design points: Figure 1 of the interface change state.
 5. There is no design point for other views, omitting other views.
 6. The purpose of the graphical u"&amp;"ser interface: The interface is used for the purpose of questionnaire data management, analysis and browsing information.
 7. Human -computer interaction method of graphical user interface: The graphic user interface displayed by the main view is to ope"&amp;"n the start interface of the program; click the first ""details"" button in the upper right corner of the main screen to enter the first ""details"" button to enter the interface change state diagram 1. Click the interface change state Figure 1 The ""Data"&amp;" cleaning operation"" button in the upper right to pop up the interface change state Figure 2; click the interface change state Figure 1 The ""field management"" button in the upper left corner to enter the interface change state Figure 3; click the inter"&amp;"face change state diagram 1 The ""+New Operation"" button in the upper right corner enters the interface change state Figure 4; click the interface change state Figure 4 The ""details"" button in the upper right corner of the right corner pops up the inte"&amp;"rface change state. The ""Additional Rules"" button gets the interface change state Figure 6; click the interface change state Figure 4 The ""Additional Data"" button in the upper right corner of the interface to enter the interface change state Figure 7;"&amp;" in the upper left of the interface change state figure 7 Project_ 左 项目 项目 ""Fringe button on the left and click the"" Next ""button in the central government to enter the interface change state. 9 The ""Add answers data"" button in the pop -up window in "&amp;"the upper right corner enters the interface change state. One step ""button to enter the interface change state Figure 11; click the interface change status Figure 9 The"" Upload Local File ""button in the upper pop -up window in the upper right corner to"&amp;" enter the interface change state. 12; Table data ""button to pop up the interface change state Figure 13; click the interface change state Figure 13 The"" multi -table connection (left and right table) ""button in the pop -up window in the upper right co"&amp;"rner of the right corner enter the interface change state. Next ""button"" button to enter the interface change state Figure 15; click on the interface change state Figure 13 The ""Multi -Terminal Union (up and down table)"" button in the upper right corn"&amp;"er of the population enters the interface change state Figure 16; click the interface changes state. The next step of the ""button to enter the interface change state Figure 17.
 8. The display screen panel of the product can be applied to computers, la"&amp;"ptops, tablet computers, head -up display (HUD), multimedia projector, smartphone, smart robot, smart glasses, virtual reality glasses, augmented reality glasses, hybrid reality Glasses, smart watches, fitness monitors, headset headphones, driving recorde"&amp;"rs, vehicle navigation equipment, vehicle CNC computer, automobile smart rearview mirror, smart speaker, smart TV, set -top box, game handheld, game console.")</f>
        <v>1. Design product name: Display screen panel with questionnaire data management graphics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the graphical user interface: The interface is used for the purpose of questionnaire data management, analysis and browsing information.
 7. Human -computer interaction method of graphical user interface: The graphic user interface displayed by the main view is to open the start interface of the program; click the first "details" button in the upper right corner of the main screen to enter the first "details" button to enter the interface change state diagram 1. Click the interface change state Figure 1 The "Data cleaning operation" button in the upper right to pop up the interface change state Figure 2; click the interface change state Figure 1 The "field management" button in the upper left corner to enter the interface change state Figure 3; click the interface change state diagram 1 The "+New Operation" button in the upper right corner enters the interface change state Figure 4; click the interface change state Figure 4 The "details" button in the upper right corner of the right corner pops up the interface change state. The "Additional Rules" button gets the interface change state Figure 6; click the interface change state Figure 4 The "Additional Data" button in the upper right corner of the interface to enter the interface change state Figure 7; in the upper left of the interface change state figure 7 Project_ 左 项目 项目 "Fringe button on the left and click the" Next "button in the central government to enter the interface change state. 9 The "Add answers data" button in the pop -up window in the upper right corner enters the interface change state. One step "button to enter the interface change state Figure 11; click the interface change status Figure 9 The" Upload Local File "button in the upper pop -up window in the upper right corner to enter the interface change state. 12; Table data "button to pop up the interface change state Figure 13; click the interface change state Figure 13 The" multi -table connection (left and right table) "button in the pop -up window in the upper right corner of the right corner enter the interface change state. Next "button" button to enter the interface change state Figure 15; click on the interface change state Figure 13 The "Multi -Terminal Union (up and down table)" button in the upper right corner of the population enters the interface change state Figure 16; click the interface changes state. The next step of the "button to enter the interface change state Figure 17.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v>
      </c>
      <c r="D355" s="6" t="s">
        <v>1048</v>
      </c>
      <c r="E355" s="4" t="str">
        <f ca="1">IFERROR(__xludf.DUMMYFUNCTION("GOOGLETRANSLATE(D355,""auto"",""en"")"),"Bring the display screen data management graphic user interface display screen panel")</f>
        <v>Bring the display screen data management graphic user interface display screen panel</v>
      </c>
    </row>
    <row r="356" spans="1:5" ht="15" x14ac:dyDescent="0.25">
      <c r="A356" s="5" t="s">
        <v>1049</v>
      </c>
      <c r="B356" s="6" t="s">
        <v>1050</v>
      </c>
      <c r="C356" s="3" t="str">
        <f ca="1">IFERROR(__xludf.DUMMYFUNCTION("GOOGLETRANSLATE(B356,""auto"",""en"")"),"1. The name of the product of the design of the product: View the display screen panel of the graphical user interface with the data report. ; 2. Design products for designing products: used to display graphical user interface. ; 3. Design of the design o"&amp;"f the product in this exterior: lies in the graphic user interface in the screen. ; 4. The picture or photo of the main point of design: The main view. ; 5. There is no design point for other views, omitting other views. 6. The purpose of graphical user i"&amp;"nterface: The interface is used for the use of questionnaire data reporting board viewing, editing, and display information. 7. Human -computer interaction method of graphical user interface: The graphic user interface displayed by the main view is to ope"&amp;"n the start interface of the program; The ""Settings"" button pops up the interface change state Figure 2; click the interface change state Figure 1 The ""Add Chart"" button in the pop -up window in the upper right corner to enter the interface change sta"&amp;"te Figure 3. ; 8. The display screen panels of the design of the product can be applied to computers, laptops, tablet computers, head -up display (HUD), multimedia projector, smartphone, smart robot, smart glasses, virtual reality glasses, enhanced realit"&amp;"y glasses, mixed mixed Reality glasses, smart watches, fitness monitor, headset headphones, driving recorders, vehicle navigation equipment, vehicle CNC computer, automobile smart rearview mirror, smart speaker, smart TV, set -top box, game handheld, game"&amp;" console. ; 1. The name of the product of the design of the product: Take a data statement to see the display screen panel of the graphic user interface. ; 2. Design products for designing products: used to display graphical user interface. ; 3. Design of"&amp;" the design of the product in this exterior: lies in the graphic user interface in the screen. ; 4. The picture or photo of the main point of design: The main view. ; 5. There is no design point for other views, omitting other views. 6. The purpose of gra"&amp;"phical user interface: The interface is used for the use of questionnaire data reporting board viewing, editing, and display information. 7. Human -computer interaction method of graphical user interface: The graphic user interface displayed by the main v"&amp;"iew is to open the start interface of the program; The ""Settings"" button pops up the interface change state Figure 2; click the interface change state Figure 1 The ""Add Chart"" button in the pop -up window in the upper right corner to enter the interfa"&amp;"ce change state Figure 3. ; 8. The display screen panels of the design of the product can be applied to computers, laptops, tablet computers, head -up display (HUD), multimedia projector, smartphone, smart robot, smart glasses, virtual reality glasses, en"&amp;"hanced reality glasses, mixed mixed Reality glasses, smart watches, fitness monitor, headset headphones, driving recorders, vehicle navigation equipment, vehicle CNC computer, automobile smart rearview mirror, smart speaker, smart TV, set -top box, game h"&amp;"andheld, game console.")</f>
        <v>1. The name of the product of the design of the product: View the display screen panel of the graphical user interface with the data report.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questionnaire data reporting board viewing, editing, and display information. 7. Human -computer interaction method of graphical user interface: The graphic user interface displayed by the main view is to open the start interface of the program; The "Settings" button pops up the interface change state Figure 2; click the interface change state Figure 1 The "Add Chart" button in the pop -up window in the upper right corner to enter the interface change state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of the design of the product: Take a data statement to see the display screen panel of the graphic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questionnaire data reporting board viewing, editing, and display information. 7. Human -computer interaction method of graphical user interface: The graphic user interface displayed by the main view is to open the start interface of the program; The "Settings" button pops up the interface change state Figure 2; click the interface change state Figure 1 The "Add Chart" button in the pop -up window in the upper right corner to enter the interface change state Figure 3.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56" s="6" t="s">
        <v>1051</v>
      </c>
      <c r="E356" s="4" t="str">
        <f ca="1">IFERROR(__xludf.DUMMYFUNCTION("GOOGLETRANSLATE(D356,""auto"",""en"")"),"Take a data report to see the display screen panel of the graphical user interface")</f>
        <v>Take a data report to see the display screen panel of the graphical user interface</v>
      </c>
    </row>
    <row r="357" spans="1:5" ht="15" x14ac:dyDescent="0.25">
      <c r="A357" s="5" t="s">
        <v>1052</v>
      </c>
      <c r="B357" s="6" t="s">
        <v>1053</v>
      </c>
      <c r="C357" s="3" t="str">
        <f ca="1">IFERROR(__xludf.DUMMYFUNCTION("GOOGLETRANSLATE(B357,""auto"",""en"")"),"1. The name of the product of the product: The display screen panel with data analysis and management graphical user interface. ; 2. Design products for designing products: used to display graphical user interface. ; 3. Design of the design of the product"&amp;" in this exterior: lies in the graphic user interface in the screen. ; 4. The picture or photo of the main point of design: The main view. ; 5. There is no design point for other views, omitting other views. 6. The purpose of graphical user interface: The"&amp;" interface is used for the use of data analysis, editing, management and display information of questionnaires. 7. Human -computer interaction method of graphical user interface: The graphic user interface displayed by the main view is the start interface"&amp;" of the opening program; Figure 1; click the ""Edit"" button in the upper right corner of the main view of the main view of the main view of the interface to the state change status of the interface. Figure 2; click the interface change state Figure 2 The"&amp;" ""dark color"" button at the top of the central center to get the interface change status Figure 3; click the interface changes state Figure 2 to the upper right corner of the upper right corner 2 The ""Chart"" card button below the new control label pop"&amp;"s up the interface change state Figure 4; click the interface change state Figure 2 The ""Filter"" card button below the new control label in the upper right corner of the new control label pops up the interface change state. The ""next step"" button in t"&amp;"he pop -up window gets the interface change state Figure 6; click the interface change status Figure 6 The ""next step"" button in the central pop -up window to get the interface change state. The ""Title &amp; Nbsp; Border &amp; Nbsp; Size"" button below the lab"&amp;"el pops up the interface changes in the interface. 2 The ""Custom Chart"" card button below the new control label in the upper right corner to enter the interface change state. Figure 10; slide up at the right side of the right side of the interface. 10 t"&amp;"o get the interface change state. Sliding up at any position to get the interface change state Figure 12; click the interface change state Figure 10 The ""dimension"" button in the upper left corner of the left corner pops up the interface change state. ;"&amp;" Click the ""+"" graphic button in the upper left corner of the ""+"" graphic button in the upper left corner of the interface to pop up the interface change state. State Figure 15 The ""Add Group Field"" button in the upper left corner pop -up window pop"&amp;"s up the interface change state. Manage sharing objects ""The"" button ""pop -up interface change state diagram 19. ; 8. The display screen panels of the design of the product can be applied to computers, laptops, tablet computers, head -up display (HUD),"&amp;" multimedia projector, smartphone, smart robot, smart glasses, virtual reality glasses, enhanced reality glasses, mixed mixed Reality glasses, smart watches, fitness monitor, headset headphones, driving recorders, vehicle navigation equipment, vehicle CNC"&amp;" computer, automobile smart rearview mirror, smart speaker, smart TV, set -top box, game handheld, game console. ; 1. The name of the design of the product in this exterior: The display screen panel with data analysis management graphical user interface. "&amp;"; 2. Design products for designing products: used to display graphical user interface. ; 3. Design of the design of the product in this exterior: lies in the graphic user interface in the screen. ; 4. The picture or photo of the main point of design: The "&amp;"main view. ; 5. There is no design point for other views, omitting other views. 6. The purpose of graphical user interface: The interface is used for the use of data analysis, editing, management and display information of questionnaires. 7. Human -comput"&amp;"er interaction method of graphical user interface: The graphic user interface displayed by the main view is the start interface of the opening program; Figure 1; click the ""Edit"" button in the upper right corner of the main view of the main view of the "&amp;"main view of the interface to the state change status of the interface. Figure 2; click the interface change state Figure 2 The ""dark color"" button at the top of the central center to get the interface change status Figure 3; click the interface changes"&amp;" state Figure 2 to the upper right corner of the upper right corner 2 The ""Chart"" card button below the new control label pops up the interface change state Figure 4; click the interface change state Figure 2 The ""Filter"" card button below the new con"&amp;"trol label in the upper right corner of the new control label pops up the interface change state. The ""next step"" button in the pop -up window gets the interface change state Figure 6; click the interface change status Figure 6 The ""next step"" button "&amp;"in the central pop -up window to get the interface change state. The ""Title &amp; Nbsp; Border &amp; Nbsp; Size"" button below the label pops up the interface changes in the interface. 2 The ""Custom Chart"" card button below the new control label in the upper r"&amp;"ight corner to enter the interface change state. Figure 10; slide up at the right side of the right side of the interface. 10 to get the interface change state. Sliding up at any position to get the interface change state Figure 12; click the interface ch"&amp;"ange state Figure 10 The ""dimension"" button in the upper left corner of the left corner pops up the interface change state. ; Click the ""+"" graphic button in the upper left corner of the ""+"" graphic button in the upper left corner of the interface t"&amp;"o pop up the interface change state. State Figure 15 The ""Add Group Field"" button in the upper left corner pop -up window pops up the interface change state. Manage sharing objects ""The"" button ""pop -up interface change state diagram 19. ; 8. The dis"&amp;"play screen panels of the design of the product can be applied to computers, laptops, tablet computers, head -up display (HUD), multimedia projector, smartphone, smart robot, smart glasses, virtual reality glasses, enhanced reality glasses, mixed mixed Re"&amp;"ality glasses, smart watches, fitness monitor, headset headphones, driving recorders, vehicle navigation equipment, vehicle CNC computer, automobile smart rearview mirror, smart speaker, smart TV, set -top box, game handheld, game console.")</f>
        <v>1. The name of the product of the product: The display screen panel with data analysis and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data analysis, editing, management and display information of questionnaires. 7. Human -computer interaction method of graphical user interface: The graphic user interface displayed by the main view is the start interface of the opening program; Figure 1; click the "Edit" button in the upper right corner of the main view of the main view of the main view of the interface to the state change status of the interface. Figure 2; click the interface change state Figure 2 The "dark color" button at the top of the central center to get the interface change status Figure 3; click the interface changes state Figure 2 to the upper right corner of the upper right corner 2 The "Chart" card button below the new control label pops up the interface change state Figure 4; click the interface change state Figure 2 The "Filter" card button below the new control label in the upper right corner of the new control label pops up the interface change state. The "next step" button in the pop -up window gets the interface change state Figure 6; click the interface change status Figure 6 The "next step" button in the central pop -up window to get the interface change state. The "Title &amp; Nbsp; Border &amp; Nbsp; Size" button below the label pops up the interface changes in the interface. 2 The "Custom Chart" card button below the new control label in the upper right corner to enter the interface change state. Figure 10; slide up at the right side of the right side of the interface. 10 to get the interface change state. Sliding up at any position to get the interface change state Figure 12; click the interface change state Figure 10 The "dimension" button in the upper left corner of the left corner pops up the interface change state. ; Click the "+" graphic button in the upper left corner of the "+" graphic button in the upper left corner of the interface to pop up the interface change state. State Figure 15 The "Add Group Field" button in the upper left corner pop -up window pops up the interface change state. Manage sharing objects "The" button "pop -up interface change state diagram 19.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The display screen panel with data analysis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data analysis, editing, management and display information of questionnaires. 7. Human -computer interaction method of graphical user interface: The graphic user interface displayed by the main view is the start interface of the opening program; Figure 1; click the "Edit" button in the upper right corner of the main view of the main view of the main view of the interface to the state change status of the interface. Figure 2; click the interface change state Figure 2 The "dark color" button at the top of the central center to get the interface change status Figure 3; click the interface changes state Figure 2 to the upper right corner of the upper right corner 2 The "Chart" card button below the new control label pops up the interface change state Figure 4; click the interface change state Figure 2 The "Filter" card button below the new control label in the upper right corner of the new control label pops up the interface change state. The "next step" button in the pop -up window gets the interface change state Figure 6; click the interface change status Figure 6 The "next step" button in the central pop -up window to get the interface change state. The "Title &amp; Nbsp; Border &amp; Nbsp; Size" button below the label pops up the interface changes in the interface. 2 The "Custom Chart" card button below the new control label in the upper right corner to enter the interface change state. Figure 10; slide up at the right side of the right side of the interface. 10 to get the interface change state. Sliding up at any position to get the interface change state Figure 12; click the interface change state Figure 10 The "dimension" button in the upper left corner of the left corner pops up the interface change state. ; Click the "+" graphic button in the upper left corner of the "+" graphic button in the upper left corner of the interface to pop up the interface change state. State Figure 15 The "Add Group Field" button in the upper left corner pop -up window pops up the interface change state. Manage sharing objects "The" button "pop -up interface change state diagram 19.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57" s="6" t="s">
        <v>1045</v>
      </c>
      <c r="E357" s="4" t="str">
        <f ca="1">IFERROR(__xludf.DUMMYFUNCTION("GOOGLETRANSLATE(D357,""auto"",""en"")"),"Display screen panel with data analysis management graphical user interface")</f>
        <v>Display screen panel with data analysis management graphical user interface</v>
      </c>
    </row>
    <row r="358" spans="1:5" ht="15" x14ac:dyDescent="0.25">
      <c r="A358" s="5" t="s">
        <v>1054</v>
      </c>
      <c r="B358" s="6" t="s">
        <v>1055</v>
      </c>
      <c r="C358" s="3" t="str">
        <f ca="1">IFERROR(__xludf.DUMMYFUNCTION("GOOGLETRANSLATE(B358,""auto"",""en"")"),"1. The name of the product of the design of the product: The display screen panel of the graphical user interface with the action rules is set. ; 2. Design products for designing products: used to display graphical user interface. ; 3. Design of the desig"&amp;"n of the product in this exterior: lies in the graphic user interface in the screen. ; 4. The picture or photo that can most indicate the point of design: Figure 1 in the interface change state. ; 5. There is no design point for other views, omitting othe"&amp;"r views. 6. The purpose of the graphical user interface: The interface is used for the use of action rules, management and display information for the opening of the questionnaire. 7. Human -computer interaction method of graphical user interface: The gra"&amp;"phic user interface displayed by the main view is the start interface of the opening program; click the ""Custom Condition"" button under the trigger condition in the upper left of the main view to obtain the interface changes. The ""Follow -up Processing"&amp;""" button in the upper left of the main picture enters the interface change state. Figure 2; click the interface change status Figure 2 to follow up the ""work order"" button below to obtain the interface change state Figure 3; click "" The ""notification"&amp;" content"" button enters the interface change state Figure 4. ; 8. The display screen panels of the design of the product can be applied to computers, laptops, tablet computers, head -up display (HUD), multimedia projector, smartphone, smart robot, smart "&amp;"glasses, virtual reality glasses, enhanced reality glasses, mixed mixed Reality glasses, smart watches, fitness monitor, headset headphones, driving recorders, vehicle navigation equipment, vehicle CNC computer, automobile smart rearview mirror, smart spe"&amp;"aker, smart TV, set -top box, game handheld, game console. ; 1. The name of the product design product: The display screen panel of the graphical user interface with the action rules is set. ; 2. Design products for designing products: used to display gra"&amp;"phical user interface. ; 3. Design of the design of the product in this exterior: lies in the graphic user interface in the screen. ; 4. The picture or photo that can most indicate the point of design: Figure 1 in the interface change state. ; 5. There is"&amp;" no design point for other views, omitting other views. 6. The purpose of the graphical user interface: The interface is used for the use of action rules, management and display information for the opening of the questionnaire. 7. Human -computer interact"&amp;"ion method of graphical user interface: The graphic user interface displayed by the main view is the start interface of the opening program; click the ""Custom Condition"" button under the trigger condition in the upper left of the main view to obtain the"&amp;" interface changes. The ""Follow -up Processing"" button in the upper left of the main picture enters the interface change state. Figure 2; click the interface change status Figure 2 to follow up the ""work order"" button below to obtain the interface cha"&amp;"nge state Figure 3; click "" The ""notification content"" button enters the interface change state Figure 4. ; 8. The display screen panels of the design of the product can be applied to computers, laptops, tablet computers, head -up display (HUD), multim"&amp;"edia projector, smartphone, smart robot, smart glasses, virtual reality glasses, enhanced reality glasses, mixed mixed Reality glasses, smart watches, fitness monitor, headset headphones, driving recorders, vehicle navigation equipment, vehicle CNC comput"&amp;"er, automobile smart rearview mirror, smart speaker, smart TV, set -top box, game handheld, game console.")</f>
        <v>1. The name of the product of the design of the product: The display screen panel of the graphical user interface with the action rules is set.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6. The purpose of the graphical user interface: The interface is used for the use of action rules, management and display information for the opening of the questionnaire. 7. Human -computer interaction method of graphical user interface: The graphic user interface displayed by the main view is the start interface of the opening program; click the "Custom Condition" button under the trigger condition in the upper left of the main view to obtain the interface changes. The "Follow -up Processing" button in the upper left of the main picture enters the interface change state. Figure 2; click the interface change status Figure 2 to follow up the "work order" button below to obtain the interface change state Figure 3; click " The "notification content" button enters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design product: The display screen panel of the graphical user interface with the action rules is set.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6. The purpose of the graphical user interface: The interface is used for the use of action rules, management and display information for the opening of the questionnaire. 7. Human -computer interaction method of graphical user interface: The graphic user interface displayed by the main view is the start interface of the opening program; click the "Custom Condition" button under the trigger condition in the upper left of the main view to obtain the interface changes. The "Follow -up Processing" button in the upper left of the main picture enters the interface change state. Figure 2; click the interface change status Figure 2 to follow up the "work order" button below to obtain the interface change state Figure 3; click " The "notification content" button enters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58" s="6" t="s">
        <v>1056</v>
      </c>
      <c r="E358" s="4" t="str">
        <f ca="1">IFERROR(__xludf.DUMMYFUNCTION("GOOGLETRANSLATE(D358,""auto"",""en"")"),"Display screen panel with a mobile rules set the graphical user interface")</f>
        <v>Display screen panel with a mobile rules set the graphical user interface</v>
      </c>
    </row>
    <row r="359" spans="1:5" ht="15" x14ac:dyDescent="0.25">
      <c r="A359" s="5" t="s">
        <v>1057</v>
      </c>
      <c r="B359" s="6" t="s">
        <v>1058</v>
      </c>
      <c r="C359" s="3" t="str">
        <f ca="1">IFERROR(__xludf.DUMMYFUNCTION("GOOGLETRANSLATE(B359,""auto"",""en"")"),"1. The name of the product in this exterior: The display screen panel with the answer to the management graphical user interface with answering questions. ; 2. Design products for designing products: used to display graphical user interface. ; 3. Design o"&amp;"f the design of the product in this exterior: lies in the graphic user interface in the screen. ; 4. The picture or photo that can most indicate the point of design: Figure 2 of the interface change state. ; 5. There is no design point for other views, om"&amp;"itting other views. 6. The purpose of graphical user interface: The interface is used for questionnaire answering reward settings and management purposes. ; 7. Human -computer interaction method of graphical user interface: The graphic user interface disp"&amp;"layed by the main view is the start interface of the opening program; Figure 1 The ""draw"" card button at the top left enters the interface change state Figure 2. ; 8. The display screen panels of the design of the product can be applied to computers, la"&amp;"ptops, tablet computers, head -up display (HUD), multimedia projector, smartphone, smart robot, smart glasses, virtual reality glasses, enhanced reality glasses, mixed mixed Reality glasses, smart watches, fitness monitor, headset headphones, driving reco"&amp;"rders, vehicle navigation equipment, vehicle CNC computer, automobile smart rearview mirror, smart speaker, smart TV, set -top box, game handheld, game console. ; 1. The name of the product of the design of the product: The display screen panel with the a"&amp;"nswer to the management graphical user interface. ; 2. Design products for designing products: used to display graphical user interface. ; 3. Design of the design of the product in this exterior: lies in the graphic user interface in the screen. ; 4. The "&amp;"picture or photo that can most indicate the point of design: Figure 2 of the interface change state. ; 5. There is no design point for other views, omitting other views. 6. The purpose of graphical user interface: The interface is used for questionnaire a"&amp;"nswering reward settings and management purposes. ; 7. Human -computer interaction method of graphical user interface: The graphic user interface displayed by the main view is the start interface of the opening program; Figure 1 The ""draw"" card button a"&amp;"t the top left enters the interface change state Figure 2. ; 8. The display screen panels of the design of the product can be applied to computers, laptops, tablet computers, head -up display (HUD), multimedia projector, smartphone, smart robot, smart gla"&amp;"sses, virtual reality glasses, enhanced reality glasses, mixed mixed Reality glasses, smart watches, fitness monitor, headset headphones, driving recorders, vehicle navigation equipment, vehicle CNC computer, automobile smart rearview mirror, smart speake"&amp;"r, smart TV, set -top box, game handheld, game console.")</f>
        <v>1. The name of the product in this exterior: The display screen panel with the answer to the management graphical user interface with answering questions. ; 2. Design products for designing products: used to display graphical user interface. ; 3. Design of the design of the product in this exterior: lies in the graphic user interface in the screen. ; 4. The picture or photo that can most indicate the point of design: Figure 2 of the interface change state. ; 5. There is no design point for other views, omitting other views. 6. The purpose of graphical user interface: The interface is used for questionnaire answering reward settings and management purposes. ; 7. Human -computer interaction method of graphical user interface: The graphic user interface displayed by the main view is the start interface of the opening program; Figure 1 The "draw" card button at the top left enters the interface change state Figure 2.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of the design of the product: The display screen panel with the answer to the management graphical user interface. ; 2. Design products for designing products: used to display graphical user interface. ; 3. Design of the design of the product in this exterior: lies in the graphic user interface in the screen. ; 4. The picture or photo that can most indicate the point of design: Figure 2 of the interface change state. ; 5. There is no design point for other views, omitting other views. 6. The purpose of graphical user interface: The interface is used for questionnaire answering reward settings and management purposes. ; 7. Human -computer interaction method of graphical user interface: The graphic user interface displayed by the main view is the start interface of the opening program; Figure 1 The "draw" card button at the top left enters the interface change state Figure 2.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59" s="6" t="s">
        <v>1059</v>
      </c>
      <c r="E359" s="4" t="str">
        <f ca="1">IFERROR(__xludf.DUMMYFUNCTION("GOOGLETRANSLATE(D359,""auto"",""en"")"),"Display screen panel with answering awarding management graphical user interface")</f>
        <v>Display screen panel with answering awarding management graphical user interface</v>
      </c>
    </row>
    <row r="360" spans="1:5" ht="15" x14ac:dyDescent="0.25">
      <c r="A360" s="5" t="s">
        <v>1060</v>
      </c>
      <c r="B360" s="6" t="s">
        <v>1061</v>
      </c>
      <c r="C360" s="3" t="str">
        <f ca="1">IFERROR(__xludf.DUMMYFUNCTION("GOOGLETRANSLATE(B360,""auto"",""en"")"),"1. Design product name: Display screen panel with contact person to manage graphic user interface. ; 2. Design products for designing products: used to display graphical user interface. ; 3. Design of the design of the product in this exterior: lies in th"&amp;"e graphic user interface in the screen. ; 4. The picture or photo that can most indicate the point of design: Figure 1 in the interface change state. ; 5. There is no design point for other views, omitting other views. ; 6. The purpose of graphical user i"&amp;"nterface: The interface is used to contact person management, edit and browsing the purpose of information. ; 7. Human -computer interaction method of graphical user interface: The graphic user interface displayed by the main view is the start interface o"&amp;"f the opening program; click the ""XXX"" button under the name of the name of the main view to enter the interface change state. The ""Management"" button in the upper right corner pops up the interface change state Figure 2; click on the interface change"&amp;" state Figure 2 The ""label management"" button in the upper right corner of the right corner enters the interface changes. Enter the interface change state Figure 4. ; 8. The display screen panels of the design of the product can be applied to computers,"&amp;" laptops, tablet computers, head -up display (HUD), multimedia projector, smartphone, smart robot, smart glasses, virtual reality glasses, enhanced reality glasses, mixed mixed Reality glasses, smart watches, fitness monitor, headset headphones, driving r"&amp;"ecorders, vehicle navigation equipment, vehicle CNC computer, automobile smart rearview mirror, smart speaker, smart TV, set -top box, game handheld, game console. ; 1. The name of the product of the design of the product: the display screen panel with th"&amp;"e contact person to manage the graphic user interface. ; 2. Design products for designing products: used to display graphical user interface. ; 3. Design of the design of the product in this exterior: lies in the graphic user interface in the screen. ; 4."&amp;" The picture or photo that can most indicate the point of design: Figure 1 in the interface change state. ; 5. There is no design point for other views, omitting other views. ; 6. The purpose of graphical user interface: The interface is used to contact p"&amp;"erson management, edit and browsing the purpose of information. ; 7. Human -computer interaction method of graphical user interface: The graphic user interface displayed by the main view is the start interface of the opening program; click the ""XXX"" but"&amp;"ton under the name of the name of the main view to enter the interface change state. The ""Management"" button in the upper right corner pops up the interface change state Figure 2; click on the interface change state Figure 2 The ""label management"" but"&amp;"ton in the upper right corner of the right corner enters the interface changes. Enter the interface change state Figure 4. ; 8. The display screen panels of the design of the product can be applied to computers, laptops, tablet computers, head -up display"&amp;" (HUD), multimedia projector, smartphone, smart robot, smart glasses, virtual reality glasses, enhanced reality glasses, mixed mixed Reality glasses, smart watches, fitness monitor, headset headphones, driving recorders, vehicle navigation equipment, vehi"&amp;"cle CNC computer, automobile smart rearview mirror, smart speaker, smart TV, set -top box, game handheld, game console.")</f>
        <v>1. Design product name: Display screen panel with contact person to manage graphic user interface.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 6. The purpose of graphical user interface: The interface is used to contact person management, edit and browsing the purpose of information. ; 7. Human -computer interaction method of graphical user interface: The graphic user interface displayed by the main view is the start interface of the opening program; click the "XXX" button under the name of the name of the main view to enter the interface change state. The "Management" button in the upper right corner pops up the interface change state Figure 2; click on the interface change state Figure 2 The "label management" button in the upper right corner of the right corner enters the interface changes. Enter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of the design of the product: the display screen panel with the contact person to manage the graphic user interface. ; 2. Design products for designing products: used to display graphical user interface. ; 3. Design of the design of the product in this exterior: lies in the graphic user interface in the screen. ; 4. The picture or photo that can most indicate the point of design: Figure 1 in the interface change state. ; 5. There is no design point for other views, omitting other views. ; 6. The purpose of graphical user interface: The interface is used to contact person management, edit and browsing the purpose of information. ; 7. Human -computer interaction method of graphical user interface: The graphic user interface displayed by the main view is the start interface of the opening program; click the "XXX" button under the name of the name of the main view to enter the interface change state. The "Management" button in the upper right corner pops up the interface change state Figure 2; click on the interface change state Figure 2 The "label management" button in the upper right corner of the right corner enters the interface changes. Enter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60" s="6" t="s">
        <v>1062</v>
      </c>
      <c r="E360" s="4" t="str">
        <f ca="1">IFERROR(__xludf.DUMMYFUNCTION("GOOGLETRANSLATE(D360,""auto"",""en"")"),"Display screen panel with contact person management graphical user interface")</f>
        <v>Display screen panel with contact person management graphical user interface</v>
      </c>
    </row>
    <row r="361" spans="1:5" ht="15" x14ac:dyDescent="0.25">
      <c r="A361" s="5" t="s">
        <v>1063</v>
      </c>
      <c r="B361" s="6" t="s">
        <v>1064</v>
      </c>
      <c r="C361" s="3" t="str">
        <f ca="1">IFERROR(__xludf.DUMMYFUNCTION("GOOGLETRANSLATE(B361,""auto"",""en"")"),"1. Design product name: Bring a display screen panel with a customer journey management graphical user interface. ; 2. Design products for designing products: used to display graphical user interface. ; 3. Design of the design of the product in this exter"&amp;"ior: lies in the graphic user interface in the screen. ; 4. The picture or photo of the main point of design: The main view. ; 5. There is no design point for other views, omitting other views. 6. The purpose of graphical user interface: The interface is "&amp;"used for the purpose of customer journey arrangement, management and information browsing. 7. Human -computer interaction method of graphical user interface: The graphic user interface displayed by the main view is to open the start interface of the progr"&amp;"am; slide up at any position in the main view of the main view to get the interface change state. Enter the ""button to enter the interface change state Figure 2; click the interface change state Figure 2 The"" member rights, service personnel, payment ex"&amp;"perience ""cell button to get the interface change state Figure 3; click the interface changes status Figure 2"" related data in the upper right corner of the right corner 2 ""The button enters the interface change state Figure 4. ; 8. The display screen "&amp;"panels of the design of the product can be applied to computers, laptops, tablet computers, head -up display (HUD), multimedia projector, smartphone, smart robot, smart glasses, virtual reality glasses, enhanced reality glasses, mixed mixed Reality glasse"&amp;"s, smart watches, fitness monitor, headset headphones, driving recorders, vehicle navigation equipment, vehicle CNC computer, automobile smart rearview mirror, smart speaker, smart TV, set -top box, game handheld, game console. ; 1. The name of the design"&amp;" of the product in this exterior: Bring a display screen panel with a customer journey management graphical user interface. ; 2. Design products for designing products: used to display graphical user interface. ; 3. Design of the design of the product in "&amp;"this exterior: lies in the graphic user interface in the screen. ; 4. The picture or photo of the main point of design: The main view. ; 5. There is no design point for other views, omitting other views. 6. The purpose of graphical user interface: The int"&amp;"erface is used for the purpose of customer journey arrangement, management and information browsing. 7. Human -computer interaction method of graphical user interface: The graphic user interface displayed by the main view is to open the start interface of"&amp;" the program; slide up at any position in the main view of the main view to get the interface change state. Enter the ""button to enter the interface change state Figure 2; click the interface change state Figure 2 The"" member rights, service personnel, "&amp;"payment experience ""cell button to get the interface change state Figure 3; click the interface changes status Figure 2"" related data in the upper right corner of the right corner 2 ""The button enters the interface change state Figure 4. ; 8. The displ"&amp;"ay screen panels of the design of the product can be applied to computers, laptops, tablet computers, head -up display (HUD), multimedia projector, smartphone, smart robot, smart glasses, virtual reality glasses, enhanced reality glasses, mixed mixed Real"&amp;"ity glasses, smart watches, fitness monitor, headset headphones, driving recorders, vehicle navigation equipment, vehicle CNC computer, automobile smart rearview mirror, smart speaker, smart TV, set -top box, game handheld, game console.")</f>
        <v>1. Design product name: Bring a display screen panel with a customer journey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purpose of customer journey arrangement, management and information browsing. 7. Human -computer interaction method of graphical user interface: The graphic user interface displayed by the main view is to open the start interface of the program; slide up at any position in the main view of the main view to get the interface change state. Enter the "button to enter the interface change state Figure 2; click the interface change state Figure 2 The" member rights, service personnel, payment experience "cell button to get the interface change state Figure 3; click the interface changes status Figure 2" related data in the upper right corner of the right corner 2 "The button enters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Bring a display screen panel with a customer journey management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purpose of customer journey arrangement, management and information browsing. 7. Human -computer interaction method of graphical user interface: The graphic user interface displayed by the main view is to open the start interface of the program; slide up at any position in the main view of the main view to get the interface change state. Enter the "button to enter the interface change state Figure 2; click the interface change state Figure 2 The" member rights, service personnel, payment experience "cell button to get the interface change state Figure 3; click the interface changes status Figure 2" related data in the upper right corner of the right corner 2 "The button enters the interface change state Figure 4.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61" s="6" t="s">
        <v>1065</v>
      </c>
      <c r="E361" s="4" t="str">
        <f ca="1">IFERROR(__xludf.DUMMYFUNCTION("GOOGLETRANSLATE(D361,""auto"",""en"")"),"Display screen panel with customer journey management graphical user interface")</f>
        <v>Display screen panel with customer journey management graphical user interface</v>
      </c>
    </row>
    <row r="362" spans="1:5" ht="15" x14ac:dyDescent="0.25">
      <c r="A362" s="5" t="s">
        <v>1066</v>
      </c>
      <c r="B362" s="6" t="s">
        <v>1067</v>
      </c>
      <c r="C362" s="3" t="str">
        <f ca="1">IFERROR(__xludf.DUMMYFUNCTION("GOOGLETRANSLATE(B362,""auto"",""en"")"),"1. The name of the product of the design of the product: the display screen panel with the manager of the manager of the manager of the manager. ; 2. Design products for designing products: used to display graphical user interface. ; 3. Design of the desi"&amp;"gn of the product in this exterior: lies in the graphic user interface in the screen. ; 4. The picture or photo of the main point of design: The main view. ; 5. There is no design point for other views, omitting other views. 6. The purpose of graphical us"&amp;"er interface: The interface is used for the use of the work order processing, management and browsing information of the questionnaire. 7. Human -computer interaction method of graphical user interface: The graphic user interface displayed by the main vie"&amp;"w is the start interface of the opening program; ; Click the ""Create Work Form"" button on the upper right of the main screen to enter the interface changes. Figure 2; click the ""More"" button on the upper right of the main screen to pop up the interfac"&amp;"e change state. The ""Action Template Management"" button enters the interface change state Figure 4; click the interface change state Figure 4 The upper right corner of the operation tags from top to bottom to enter the second ""Edit"" button to enter th"&amp;"e interface change state Figure 5. ; 8. The display screen panels of the design of the product can be applied to computers, laptops, tablet computers, head -up display (HUD), multimedia projector, smartphone, smart robot, smart glasses, virtual reality gl"&amp;"asses, enhanced reality glasses, mixed mixed Reality glasses, smart watches, fitness monitor, headset headphones, driving recorders, vehicle navigation equipment, vehicle CNC computer, automobile smart rearview mirror, smart speaker, smart TV, set -top bo"&amp;"x, game handheld, game console. ; 1. The name of the design of the product in this exterior: The display screen panel of the manager of the manager of the manager of the manager is recorded. ; 2. Design products for designing products: used to display gra"&amp;"phical user interface. ; 3. Design of the design of the product in this exterior: lies in the graphic user interface in the screen. ; 4. The picture or photo of the main point of design: The main view. ; 5. There is no design point for other views, omitti"&amp;"ng other views. 6. The purpose of graphical user interface: The interface is used for the use of the work order processing, management and browsing information of the questionnaire. 7. Human -computer interaction method of graphical user interface: The gr"&amp;"aphic user interface displayed by the main view is the start interface of the opening program; ; Click the ""Create Work Form"" button on the upper right of the main screen to enter the interface changes. Figure 2; click the ""More"" button on the upper r"&amp;"ight of the main screen to pop up the interface change state. The ""Action Template Management"" button enters the interface change state Figure 4; click the interface change state Figure 4 The upper right corner of the operation tags from top to bottom t"&amp;"o enter the second ""Edit"" button to enter the interface change state Figure 5. ; 8. The display screen panels of the design of the product can be applied to computers, laptops, tablet computers, head -up display (HUD), multimedia projector, smartphone, "&amp;"smart robot, smart glasses, virtual reality glasses, enhanced reality glasses, mixed mixed Reality glasses, smart watches, fitness monitor, headset headphones, driving recorders, vehicle navigation equipment, vehicle CNC computer, automobile smart rearvie"&amp;"w mirror, smart speaker, smart TV, set -top box, game handheld, game console.")</f>
        <v>1. The name of the product of the design of the product: the display screen panel with the manager of the manager of the manager of the manager.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the work order processing, management and browsing information of the questionnaire. 7. Human -computer interaction method of graphical user interface: The graphic user interface displayed by the main view is the start interface of the opening program; ; Click the "Create Work Form" button on the upper right of the main screen to enter the interface changes. Figure 2; click the "More" button on the upper right of the main screen to pop up the interface change state. The "Action Template Management" button enters the interface change state Figure 4; click the interface change state Figure 4 The upper right corner of the operation tags from top to bottom to enter the second "Edit" button to enter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design of the product in this exterior: The display screen panel of the manager of the manager of the manager of the manager is recorded.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the work order processing, management and browsing information of the questionnaire. 7. Human -computer interaction method of graphical user interface: The graphic user interface displayed by the main view is the start interface of the opening program; ; Click the "Create Work Form" button on the upper right of the main screen to enter the interface changes. Figure 2; click the "More" button on the upper right of the main screen to pop up the interface change state. The "Action Template Management" button enters the interface change state Figure 4; click the interface change state Figure 4 The upper right corner of the operation tags from top to bottom to enter the second "Edit" button to enter the interface change state Figure 5.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362" s="6" t="s">
        <v>1068</v>
      </c>
      <c r="E362" s="4" t="str">
        <f ca="1">IFERROR(__xludf.DUMMYFUNCTION("GOOGLETRANSLATE(D362,""auto"",""en"")"),"Display screen panel with a single record management graphical user interface")</f>
        <v>Display screen panel with a single record management graphical user interface</v>
      </c>
    </row>
    <row r="363" spans="1:5" ht="15" x14ac:dyDescent="0.25">
      <c r="A363" s="5" t="s">
        <v>1069</v>
      </c>
      <c r="B363" s="6" t="s">
        <v>1070</v>
      </c>
      <c r="C363" s="3" t="str">
        <f ca="1">IFERROR(__xludf.DUMMYFUNCTION("GOOGLETRANSLATE(B363,""auto"",""en"")"),"1. Design product name: Browse the display screen panel with a template library. ; 2. Design products for designing products: used to display graphical user interface. ; 3. Design of the design of the product in this exterior: lies in the graphic user int"&amp;"erface in the screen. ; 4. The picture or photo of the main point of design: The main view. ; 5. There is no design point for other views, omitting other views. 6. The purpose of the graphical user interface: The interface is used to investigate the purpo"&amp;"se of browsing and querying the question volume template library. 7. Human -computer interaction method of graphical user interface: In the main view, the interface shows the module layout related to the content of the template library. Users can click on"&amp;" the operable control in any module to perform more operations. ; 8. The display screen panels of the design of the product can be applied to computers, laptops, tablet computers, head -up display (HUD), multimedia projector, smartphone, smart robot, smar"&amp;"t glasses, virtual reality glasses, enhanced reality glasses, mixed mixed Reality glasses, smart watches, fitness monitor, headset headphones, driving recorders, vehicle navigation equipment, vehicle CNC computer, automobile smart rearview mirror, smart s"&amp;"peaker, smart TV, set -top box, game handheld, game console. ; 9. The gray ""X"" coating in the graphic user interface of the product of the product is the content picture. ; 1. The name of the product design product: Browse the display screen panel with "&amp;"a template library to browse the graphical user interface. ; 2. Design products for designing products: used to display graphical user interface. ; 3. Design of the design of the product in this exterior: lies in the graphic user interface in the screen. "&amp;"; 4. The picture or photo of the main point of design: The main view. ; 5. There is no design point for other views, omitting other views. 6. The purpose of the graphical user interface: The interface is used to investigate the purpose of browsing and que"&amp;"rying the question volume template library. 7. Human -computer interaction method of graphical user interface: In the main view, the interface shows the module layout related to the content of the template library. Users can click on the operable control "&amp;"in any module to perform more operations. ; 8. The display screen panels of the design of the product can be applied to computers, laptops, tablet computers, head -up display (HUD), multimedia projector, smartphone, smart robot, smart glasses, virtual rea"&amp;"lity glasses, enhanced reality glasses, mixed mixed Reality glasses, smart watches, fitness monitor, headset headphones, driving recorders, vehicle navigation equipment, vehicle CNC computer, automobile smart rearview mirror, smart speaker, smart TV, set "&amp;"-top box, game handheld, game console. ; 9. The gray ""X"" coating in the graphic user interface of the product of the product is the content picture.")</f>
        <v>1. Design product name: Browse the display screen panel with a template library.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the graphical user interface: The interface is used to investigate the purpose of browsing and querying the question volume template library. 7. Human -computer interaction method of graphical user interface: In the main view, the interface shows the module layout related to the content of the template library. Users can click on the operable control in any module to perform more operations.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 ; 1. The name of the product design product: Browse the display screen panel with a template library to browse the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the graphical user interface: The interface is used to investigate the purpose of browsing and querying the question volume template library. 7. Human -computer interaction method of graphical user interface: In the main view, the interface shows the module layout related to the content of the template library. Users can click on the operable control in any module to perform more operations.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9. The gray "X" coating in the graphic user interface of the product of the product is the content picture.</v>
      </c>
      <c r="D363" s="6" t="s">
        <v>1071</v>
      </c>
      <c r="E363" s="4" t="str">
        <f ca="1">IFERROR(__xludf.DUMMYFUNCTION("GOOGLETRANSLATE(D363,""auto"",""en"")"),"Browse the display screen panel with a template library to browse the graphical user interface")</f>
        <v>Browse the display screen panel with a template library to browse the graphical user interface</v>
      </c>
    </row>
    <row r="364" spans="1:5" ht="15" x14ac:dyDescent="0.25">
      <c r="A364" s="5" t="s">
        <v>1072</v>
      </c>
      <c r="B364" s="6" t="s">
        <v>1073</v>
      </c>
      <c r="C364" s="3" t="str">
        <f ca="1">IFERROR(__xludf.DUMMYFUNCTION("GOOGLETRANSLATE(B364,""auto"",""en"")"),"The present invention involves a pool security management device and method based on multiple camera vision, including: image acquisition module, data analysis module, and alarm support module; image acquisition modules include multiple cameras fixed to t"&amp;"he pool. Each area in the swimming pool is There are more than two cameras to cover the range of camera; among them, the image acquisition module is used to obtain the video stream of the pool to identify; the data analysis module is used for the identifi"&amp;"cation video flow based on the training model after training, Character characteristics data in the swimming pool; character characteristics data include: human movement status and swimmer; data analysis module, also used to determine whether the swimming"&amp;" pool is safe based on character characteristics data; the alarm support module is used to issue alarm signal based on security incidents. The present invention alleviates the low recognition rate of human body recognition in the existing technology and t"&amp;"he technical problem of high underwater equipment costs.")</f>
        <v>The present invention involves a pool security management device and method based on multiple camera vision, including: image acquisition module, data analysis module, and alarm support module; image acquisition modules include multiple cameras fixed to the pool. Each area in the swimming pool is There are more than two cameras to cover the range of camera; among them, the image acquisition module is used to obtain the video stream of the pool to identify; the data analysis module is used for the identification video flow based on the training model after training, Character characteristics data in the swimming pool; character characteristics data include: human movement status and swimmer; data analysis module, also used to determine whether the swimming pool is safe based on character characteristics data; the alarm support module is used to issue alarm signal based on security incidents. The present invention alleviates the low recognition rate of human body recognition in the existing technology and the technical problem of high underwater equipment costs.</v>
      </c>
      <c r="D364" s="6" t="s">
        <v>1074</v>
      </c>
      <c r="E364" s="4" t="str">
        <f ca="1">IFERROR(__xludf.DUMMYFUNCTION("GOOGLETRANSLATE(D364,""auto"",""en"")"),"Safety management device and method of swimming pools based on multi -camera vision")</f>
        <v>Safety management device and method of swimming pools based on multi -camera vision</v>
      </c>
    </row>
    <row r="365" spans="1:5" ht="15" x14ac:dyDescent="0.25">
      <c r="A365" s="5" t="s">
        <v>1075</v>
      </c>
      <c r="B365" s="6" t="s">
        <v>1076</v>
      </c>
      <c r="C365" s="3" t="str">
        <f ca="1">IFERROR(__xludf.DUMMYFUNCTION("GOOGLETRANSLATE(B365,""auto"",""en"")"),"The invention involves the field of intelligent fitness equipment, and a sports prescription system based on artificial intelligence IoT devices is specifically disclosed. The static physiological information described in the personal information storage;"&amp;" the module read module is used to read the motion prescription in the preset motion prescription library according to the static physiological information; the dynamic information obtain the module Get the user's dynamic physiological information in real"&amp;" time; the motion prescription correction module is used to correct the motion prescription according to the dynamic physiological information correction; the information display module is used to display the physiological information and motion prescript"&amp;"ions in real time. Based on the traditional treadmill, the present invention adds intelligent electronic devices to obtain users' sports information in real time, generates sports guidance, greatly improves user exercise effects, and the level of intellig"&amp;"ence is extremely high.")</f>
        <v>The invention involves the field of intelligent fitness equipment, and a sports prescription system based on artificial intelligence IoT devices is specifically disclosed. The static physiological information described in the personal information storage; the module read module is used to read the motion prescription in the preset motion prescription library according to the static physiological information; the dynamic information obtain the module Get the user's dynamic physiological information in real time; the motion prescription correction module is used to correct the motion prescription according to the dynamic physiological information correction; the information display module is used to display the physiological information and motion prescriptions in real time. Based on the traditional treadmill, the present invention adds intelligent electronic devices to obtain users' sports information in real time, generates sports guidance, greatly improves user exercise effects, and the level of intelligence is extremely high.</v>
      </c>
      <c r="D365" s="6" t="s">
        <v>1077</v>
      </c>
      <c r="E365" s="4" t="str">
        <f ca="1">IFERROR(__xludf.DUMMYFUNCTION("GOOGLETRANSLATE(D365,""auto"",""en"")"),"Sport prescription system based on artificial intelligence IoT devices")</f>
        <v>Sport prescription system based on artificial intelligence IoT devices</v>
      </c>
    </row>
    <row r="366" spans="1:5" ht="15" x14ac:dyDescent="0.25">
      <c r="A366" s="5" t="s">
        <v>1078</v>
      </c>
      <c r="B366" s="6" t="s">
        <v>1079</v>
      </c>
      <c r="C366" s="3" t="str">
        <f ca="1">IFERROR(__xludf.DUMMYFUNCTION("GOOGLETRANSLATE(B366,""auto"",""en"")"),"This application proposes a fitness action recognition monitoring method and system that involves the field of image processing. A fitness action recognition monitoring method includes: obtaining the user's fitness items corresponding to the image data of"&amp;" the target muscle group in the fitness action image, and obtain the standard image library of the fitness action; mark the image data of the target muscle group, after the indication, after the indication The image data of the target muscle group is extr"&amp;"acted and handled the characteristic gradient diagram features; the neural network model is established, and the image data and the standard image library of the fitness movement of the target muscle group after the feature processing are established. Neu"&amp;"ral network model analysis and identifying the user's human posture information in the image. It can improve the identification accuracy and judgment of the fitness recognition monitoring system, and make the identification monitoring system more dynamic "&amp;"and rational. In addition, this application also proposes a fitness action recognition monitoring system.")</f>
        <v>This application proposes a fitness action recognition monitoring method and system that involves the field of image processing. A fitness action recognition monitoring method includes: obtaining the user's fitness items corresponding to the image data of the target muscle group in the fitness action image, and obtain the standard image library of the fitness action; mark the image data of the target muscle group, after the indication, after the indication The image data of the target muscle group is extracted and handled the characteristic gradient diagram features; the neural network model is established, and the image data and the standard image library of the fitness movement of the target muscle group after the feature processing are established. Neural network model analysis and identifying the user's human posture information in the image. It can improve the identification accuracy and judgment of the fitness recognition monitoring system, and make the identification monitoring system more dynamic and rational. In addition, this application also proposes a fitness action recognition monitoring system.</v>
      </c>
      <c r="D366" s="6" t="s">
        <v>1080</v>
      </c>
      <c r="E366" s="4" t="str">
        <f ca="1">IFERROR(__xludf.DUMMYFUNCTION("GOOGLETRANSLATE(D366,""auto"",""en"")"),"A fitness action recognition monitoring method and system")</f>
        <v>A fitness action recognition monitoring method and system</v>
      </c>
    </row>
    <row r="367" spans="1:5" ht="15" x14ac:dyDescent="0.25">
      <c r="A367" s="5" t="s">
        <v>1081</v>
      </c>
      <c r="B367" s="6" t="s">
        <v>1082</v>
      </c>
      <c r="C367" s="3" t="str">
        <f ca="1">IFERROR(__xludf.DUMMYFUNCTION("GOOGLETRANSLATE(B367,""auto"",""en"")"),"A baseball player training device, including slender subjects with upper 2 and lower 3, upper part of the horizontal retractable rod 5 2. Balls with flexible materials 8, artificial intelligence -based image capture module 4 to capture the subject 1 1 The"&amp;" image of the image can be freely rotated to evaluate the power applied by the user, and the touch display panel 6 to allow users to enter the detailed information of the positioning angle. Sensor 9 is used to measure the pressure on the user applied on t"&amp;"he ball 8. Motor slider 11 is used to provide a linear movement to Roller 10. The roller 10 wraps with fine rope 13 to apply pressure on the pole 5, which helps the user to provide training.")</f>
        <v>A baseball player training device, including slender subjects with upper 2 and lower 3, upper part of the horizontal retractable rod 5 2. Balls with flexible materials 8, artificial intelligence -based image capture module 4 to capture the subject 1 1 The image of the image can be freely rotated to evaluate the power applied by the user, and the touch display panel 6 to allow users to enter the detailed information of the positioning angle. Sensor 9 is used to measure the pressure on the user applied on the ball 8. Motor slider 11 is used to provide a linear movement to Roller 10. The roller 10 wraps with fine rope 13 to apply pressure on the pole 5, which helps the user to provide training.</v>
      </c>
      <c r="D367" s="6" t="s">
        <v>1083</v>
      </c>
      <c r="E367" s="4" t="str">
        <f ca="1">IFERROR(__xludf.DUMMYFUNCTION("GOOGLETRANSLATE(D367,""auto"",""en"")"),"Baseball hitting training device")</f>
        <v>Baseball hitting training device</v>
      </c>
    </row>
    <row r="368" spans="1:5" ht="15" x14ac:dyDescent="0.25">
      <c r="A368" s="5" t="s">
        <v>1084</v>
      </c>
      <c r="B368" s="6" t="s">
        <v>1085</v>
      </c>
      <c r="C368" s="3" t="str">
        <f ca="1">IFERROR(__xludf.DUMMYFUNCTION("GOOGLETRANSLATE(B368,""auto"",""en"")"),"A portable tennis training equipment, including development for placing on the ground and arranging a number of omnidirectional wheel 2 to manipulate platform 1 on the surface, an artificial intelligence imaging unit 3, which is used to capture the surrou"&amp;"nding environment. The image is also determined by the target position and further start the wheel 2 to move the platform 1 to the user for tennis training. Touch interactive display panel 4 The user can enter the detailed information of the ball speed, a"&amp;"nd start the launch unit 5 The ball within 5, further hit the ball through the user's hand -held tennis racket, rope 6 is connected to the electromagnetic spring 7, which is used to provide resistance to the rope 6 after launch to increase the difficulty "&amp;"of the user's experience when hitting the ball.")</f>
        <v>A portable tennis training equipment, including development for placing on the ground and arranging a number of omnidirectional wheel 2 to manipulate platform 1 on the surface, an artificial intelligence imaging unit 3, which is used to capture the surrounding environment. The image is also determined by the target position and further start the wheel 2 to move the platform 1 to the user for tennis training. Touch interactive display panel 4 The user can enter the detailed information of the ball speed, and start the launch unit 5 The ball within 5, further hit the ball through the user's hand -held tennis racket, rope 6 is connected to the electromagnetic spring 7, which is used to provide resistance to the rope 6 after launch to increase the difficulty of the user's experience when hitting the ball.</v>
      </c>
      <c r="D368" s="6" t="s">
        <v>1086</v>
      </c>
      <c r="E368" s="4" t="str">
        <f ca="1">IFERROR(__xludf.DUMMYFUNCTION("GOOGLETRANSLATE(D368,""auto"",""en"")"),"Portable tennis training device")</f>
        <v>Portable tennis training device</v>
      </c>
    </row>
    <row r="369" spans="1:5" ht="15" x14ac:dyDescent="0.25">
      <c r="A369" s="5" t="s">
        <v>1087</v>
      </c>
      <c r="B369" s="6" t="s">
        <v>1088</v>
      </c>
      <c r="C369" s="3" t="str">
        <f ca="1">IFERROR(__xludf.DUMMYFUNCTION("GOOGLETRANSLATE(B369,""auto"",""en"")"),"The present invention disclosed a comprehensive evaluation system of large mass sports events based on image recognition technology, including the data collection module of the event, comprehensive evaluation module of the event, and the evaluation report"&amp;" generation module. The invention introduced the target tracking algorithm to the athlete's movement status in real time and uses the target tracking algorithm combined with the combination of the Mean Shift algorithm and the Kalman filter algorithm. Use "&amp;"the Karman filter to perform parameter recognition so that the tracking system after the occlusion can have subsequent state prediction capabilities, so as to conduct a high security assessment of exercise risks, so that it is impossible to comprehensivel"&amp;"y evaluate the risk of exercise, thereby achieving the right to realize the pairing of the risk of exercise. The comprehensive evaluation of large mass sports events can better meet the requirements of large mass sports events.")</f>
        <v>The present invention disclosed a comprehensive evaluation system of large mass sports events based on image recognition technology, including the data collection module of the event, comprehensive evaluation module of the event, and the evaluation report generation module. The invention introduced the target tracking algorithm to the athlete's movement status in real time and uses the target tracking algorithm combined with the combination of the Mean Shift algorithm and the Kalman filter algorithm. Use the Karman filter to perform parameter recognition so that the tracking system after the occlusion can have subsequent state prediction capabilities, so as to conduct a high security assessment of exercise risks, so that it is impossible to comprehensively evaluate the risk of exercise, thereby achieving the right to realize the pairing of the risk of exercise. The comprehensive evaluation of large mass sports events can better meet the requirements of large mass sports events.</v>
      </c>
      <c r="D369" s="6" t="s">
        <v>1089</v>
      </c>
      <c r="E369" s="4" t="str">
        <f ca="1">IFERROR(__xludf.DUMMYFUNCTION("GOOGLETRANSLATE(D369,""auto"",""en"")"),"A comprehensive evaluation system of large mass sports events based on image recognition technology")</f>
        <v>A comprehensive evaluation system of large mass sports events based on image recognition technology</v>
      </c>
    </row>
    <row r="370" spans="1:5" ht="15" x14ac:dyDescent="0.25">
      <c r="A370" s="5" t="s">
        <v>1090</v>
      </c>
      <c r="B370" s="6" t="s">
        <v>1091</v>
      </c>
      <c r="C370" s="3" t="str">
        <f ca="1">IFERROR(__xludf.DUMMYFUNCTION("GOOGLETRANSLATE(B370,""auto"",""en"")"),"The present invention disclose a method and application of a flexible pressure sensor. Use TPU as a flexible substrate material, and charcoal black as a conductive filler; use the wire printing process to make a single -layer fork finger electrode, introd"&amp;"uce the surface of the sensor's pressure hindrance layer to introduce Micro -structure, prepare the pressure hinder layer with a pyramid micro -structure on the surface through the second inverter system. The sensor is applied to the human walking feature"&amp;" recognition, and the prepared sensor unit is designed to be designed to perceive the changes in bottom pressure. This recognition method is based on the hardware circuit board to collect five different human walking features, and divide the array -type s"&amp;"ensor data for the regional average value. Sample segmentation and feature extraction of regional sensor data to obtain feature samples are performed. The model training and verification of the algorithm, the overall recognition accuracy of the test resul"&amp;"ts of the model is 90.625 %, thereby realizing the identification of five human walking characteristics of walking, running, upright, upstairs, and downstairs.")</f>
        <v>The present invention disclose a method and application of a flexible pressure sensor. Use TPU as a flexible substrate material, and charcoal black as a conductive filler; use the wire printing process to make a single -layer fork finger electrode, introduce the surface of the sensor's pressure hindrance layer to introduce Micro -structure, prepare the pressure hinder layer with a pyramid micro -structure on the surface through the second inverter system. The sensor is applied to the human walking feature recognition, and the prepared sensor unit is designed to be designed to perceive the changes in bottom pressure. This recognition method is based on the hardware circuit board to collect five different human walking features, and divide the array -type sensor data for the regional average value. Sample segmentation and feature extraction of regional sensor data to obtain feature samples are performed. The model training and verification of the algorithm, the overall recognition accuracy of the test results of the model is 90.625 %, thereby realizing the identification of five human walking characteristics of walking, running, upright, upstairs, and downstairs.</v>
      </c>
      <c r="D370" s="6" t="s">
        <v>1092</v>
      </c>
      <c r="E370" s="4" t="str">
        <f ca="1">IFERROR(__xludf.DUMMYFUNCTION("GOOGLETRANSLATE(D370,""auto"",""en"")"),"The preparation method and application of a flexible pressure sensor")</f>
        <v>The preparation method and application of a flexible pressure sensor</v>
      </c>
    </row>
    <row r="371" spans="1:5" ht="15" x14ac:dyDescent="0.25">
      <c r="A371" s="5" t="s">
        <v>1093</v>
      </c>
      <c r="B371" s="6" t="s">
        <v>1094</v>
      </c>
      <c r="C371" s="3" t="str">
        <f ca="1">IFERROR(__xludf.DUMMYFUNCTION("GOOGLETRANSLATE(B371,""auto"",""en"")"),"1. Design product name: Search graphic user interface for display screen panels.
 2. Design products in appearance: used to run programs and display graphic user interfaces.
 3. Design of design products in this exterior: lies in the graphic user inte"&amp;"rface displayed on the display screen panel.
 4. Pictures or photos that can best show design: Design 1 main view.
 5. The display screen panel is commonly designed, omit other views.
 6. Specify design 1 is the basic design.
 7. The interface of "&amp;"the design of the product in this exterior may accompany users to continuously give relevant search suggestions in the search.
 Human -machine interaction process: Design 1 main view is the first search graphic user interface.
 The user enters keyword"&amp;"s through the search bar. For example, when the person name ""ABC"", the interface presents the floating layer of searching for recommendations and activates the character screener.
 Design 2 main view is the first search graphic user interface.
 The "&amp;"user enters keywords through the search bar. For example, when the person name ""ABC"", the interface presents the floating layer of searching for recommendations and activates the character screener.
 Through user operation, the keywords are highlighte"&amp;"d.
 Design 3 main view is the second search graphic user interface.
 When the user enters keywords by searching the bar, such as the name ""File"", the interface presents the floating layer of search recommendations and activates the type filter.
 T"&amp;"he recommendation results presented by the floating layer are arranged vertically.
 Design 4 The main view is the second search graphic user interface.
 When the user enters keywords by searching the bar, such as the name ""File"", the interface prese"&amp;"nts the floating layer of search recommendations and activates the type filter.
 The recommendation results presented by the floating layer are arranged vertically.
 Through user operation, the keywords are highlighted.
 Design 5 The main view is th"&amp;"e third search graphic user interface.
 When the user enters keywords by searching the bar, such as ""messages"" when the vertical keywords are ""message"", the interface presents the floating layer of the search recommendation and activates the corresp"&amp;"onding screener.
 Design 6 Main view is the third search graphic user interface.
 When the user enters keywords by searching the bar, such as ""messages"" when the vertical keywords are ""message"", the interface presents the floating layer of the sea"&amp;"rch recommendation and activates the corresponding screener.
 Through user operation, the keywords are highlighted.
 Design 1 面 Design ""X"" in the 6 interface represents text, numbers, letters and/or symbols.
 该图形用户界面可用于手机、计算机、平板电脑、智能电视、车载中控屏幕、多媒体一"&amp;"体机、电子记事本、头戴式显示器、智能音箱、投影仪、游戏机、导航仪、智能手表、智能Bracelets, smart table lamps, refrigerators with screens, hoods with screens, air conditioners with screens, smart fitness mirrors, disinfection cabinets with screens, dishwashers with screens, and oven with screens"&amp;".")</f>
        <v>1. Design product name: Search graphic user interface for display screen panels.
 2. Design products in appearance: used to run programs and display graphic user interfaces.
 3. Design of design products in this exterior: lies in the graphic user interface displayed on the display screen panel.
 4. Pictures or photos that can best show design: Design 1 main view.
 5. The display screen panel is commonly designed, omit other views.
 6. Specify design 1 is the basic design.
 7. The interface of the design of the product in this exterior may accompany users to continuously give relevant search suggestions in the search.
 Human -machine interaction process: Design 1 main view is the first search graphic user interface.
 The user enters keywords through the search bar. For example, when the person name "ABC", the interface presents the floating layer of searching for recommendations and activates the character screener.
 Design 2 main view is the first search graphic user interface.
 The user enters keywords through the search bar. For example, when the person name "ABC", the interface presents the floating layer of searching for recommendations and activates the character screener.
 Through user operation, the keywords are highlighted.
 Design 3 main view is the second search graphic user interface.
 When the user enters keywords by searching the bar, such as the name "File", the interface presents the floating layer of search recommendations and activates the type filter.
 The recommendation results presented by the floating layer are arranged vertically.
 Design 4 The main view is the second search graphic user interface.
 When the user enters keywords by searching the bar, such as the name "File", the interface presents the floating layer of search recommendations and activates the type filter.
 The recommendation results presented by the floating layer are arranged vertically.
 Through user operation, the keywords are highlighted.
 Design 5 The main view is the third search graphic user interface.
 When the user enters keywords by searching the bar, such as "messages" when the vertical keywords are "message", the interface presents the floating layer of the search recommendation and activates the corresponding screener.
 Design 6 Main view is the third search graphic user interface.
 When the user enters keywords by searching the bar, such as "messages" when the vertical keywords are "message", the interface presents the floating layer of the search recommendation and activates the corresponding screener.
 Through user operation, the keywords are highlighted.
 Design 1 面 Design "X" in the 6 interface represents text, numbers, letters and/or symbols.
 该图形用户界面可用于手机、计算机、平板电脑、智能电视、车载中控屏幕、多媒体一体机、电子记事本、头戴式显示器、智能音箱、投影仪、游戏机、导航仪、智能手表、智能Bracelets, smart table lamps, refrigerators with screens, hoods with screens, air conditioners with screens, smart fitness mirrors, disinfection cabinets with screens, dishwashers with screens, and oven with screens.</v>
      </c>
      <c r="D371" s="6" t="s">
        <v>1095</v>
      </c>
      <c r="E371" s="4" t="str">
        <f ca="1">IFERROR(__xludf.DUMMYFUNCTION("GOOGLETRANSLATE(D371,""auto"",""en"")"),"Search graphic user interface for display screen panels")</f>
        <v>Search graphic user interface for display screen panels</v>
      </c>
    </row>
    <row r="372" spans="1:5" ht="15" x14ac:dyDescent="0.25">
      <c r="A372" s="5" t="s">
        <v>1096</v>
      </c>
      <c r="B372" s="6" t="s">
        <v>1097</v>
      </c>
      <c r="C372" s="3" t="str">
        <f ca="1">IFERROR(__xludf.DUMMYFUNCTION("GOOGLETRANSLATE(B372,""auto"",""en"")"),"This application revealed the smart key chain or accessories, systems and methods. Example The smart key chain is an electronic device with a thickness of about 10 mm and a diameter of about 50 %. Example Smart key chain includes a system (SOC) layer on a"&amp;"n integrated circuit, which is encapsulated between the touch screen surface and the back of the smart key chain on the graphical user interface, and also includes an additional key ring for physical key or keychain. This example's smart key chain also in"&amp;"cludes a two -way search function. This function uses multiple communication channels such as Bluetooth, WIFI, Honeycomb and GPS, allowing smart key chains and smartphones (or other personal electronic devices) to send signals to determine each other's po"&amp;"sitions Essence The example of the intelligent key chain also includes but not limited to digital payment, digital music/entertainment, number of fitness steps/calories, WIFI/Honeycomb network options for call/text, artificial intelligence for voice contr"&amp;"ol, and other suitable functions.")</f>
        <v>This application revealed the smart key chain or accessories, systems and methods. Example The smart key chain is an electronic device with a thickness of about 10 mm and a diameter of about 50 %. Example Smart key chain includes a system (SOC) layer on an integrated circuit, which is encapsulated between the touch screen surface and the back of the smart key chain on the graphical user interface, and also includes an additional key ring for physical key or keychain. This example's smart key chain also includes a two -way search function. This function uses multiple communication channels such as Bluetooth, WIFI, Honeycomb and GPS, allowing smart key chains and smartphones (or other personal electronic devices) to send signals to determine each other's positions Essence The example of the intelligent key chain also includes but not limited to digital payment, digital music/entertainment, number of fitness steps/calories, WIFI/Honeycomb network options for call/text, artificial intelligence for voice control, and other suitable functions.</v>
      </c>
      <c r="D372" s="6" t="s">
        <v>1098</v>
      </c>
      <c r="E372" s="4" t="str">
        <f ca="1">IFERROR(__xludf.DUMMYFUNCTION("GOOGLETRANSLATE(D372,""auto"",""en"")"),"Smart key chain or accessory equipment, system and method")</f>
        <v>Smart key chain or accessory equipment, system and method</v>
      </c>
    </row>
    <row r="373" spans="1:5" ht="15" x14ac:dyDescent="0.25">
      <c r="A373" s="5" t="s">
        <v>1099</v>
      </c>
      <c r="B373" s="6" t="s">
        <v>1100</v>
      </c>
      <c r="C373" s="3" t="str">
        <f ca="1">IFERROR(__xludf.DUMMYFUNCTION("GOOGLETRANSLATE(B373,""auto"",""en"")"),"1. Design product name: 3D model library -shaped user interface of the coal mine equipment on the display screen panel. ; 2. Design products for designing products: used for running program, information display, human -computer interaction. ; 3. Design po"&amp;"ints for designing products in this exterior: lies in the interface content of the graphic user interface in the screen. ; 4. The picture or photo that can most indicate the point of design: Design 1 main view. ; 5. The display screen panel is commonly de"&amp;"signed, and other views of the design 1‑10 are omitted. ; 6. Specifying design 1 is the basic design. 7. Graphic user interface use: This graphic user interface is used for three -dimensional model library system for coal mine equipment. ; Design 1 main v"&amp;"iew is the interface of the positive view of the hydraulic bracket, the design 2 main view is the interface of displaying the positive view of the coal mining machine, the design 3 main view is the interface of the positive view of the display liquid scra"&amp;"per, and the design 4 main view is the search search search search search search search search search search search search search search search search search search search search search search search search search search search search search search search"&amp;" search search search search search search search search search search The three -dimensional model library interface of the box, design 5 main views as the interface of the positive view of the coal mining machine, the design 6 main view is the interface"&amp;" of the left view of the coal mining machine, and the design 7 main view is the interface of the standard view of the coal mining machine. 8 The main view is the interface of the back view of the hydraulic stent, and the 9 main view is the interface of di"&amp;"splaying the back view of the hydraulic stent. The 10 main view is the interface of the standard view of the hydraulic stent. Select the device, and set the instantaneous driver, action operation, equipment information, etc. of the selected device accordi"&amp;"ng to the interface prompt. ;8.其他需要说明的情形其他说明：本显示屏幕面板应用于计算机、笔记本电脑、平板电脑、手机、智能手表、智能手环、健身监视器、头戴式耳机、智能音箱、电视、机顶盒、 Projector, game console or navigator. ; 1. The name of the design of the product of this exterior: the three -dimensional model library graphical u"&amp;"ser interface of the coal mine equipment on the screen panel. ; 2. Design products for designing products: used for running program, information display, human -computer interaction. ; 3. Design points for designing products in this exterior: lies in the "&amp;"interface content of the graphic user interface in the screen. ; 4. The picture or photo that can most indicate the point of design: Design 1 main view. ; 5. The display screen panel is commonly designed, and other views of the design 1‑10 are omitted. ; "&amp;"6. Specifying design 1 is the basic design. 7. Graphic user interface use: This graphic user interface is used for three -dimensional model library system for coal mine equipment. ; Design 1 main view is the interface of the positive view of the hydraulic"&amp;" bracket, the design 2 main view is the interface of displaying the positive view of the coal mining machine, the design 3 main view is the interface of the positive view of the display liquid scraper, and the design 4 main view is the search search searc"&amp;"h search search search search search search search search search search search search search search search search search search search search search search search search search search search search search search search search search search search search s"&amp;"earch search The three -dimensional model library interface of the box, design 5 main views as the interface of the positive view of the coal mining machine, the design 6 main view is the interface of the left view of the coal mining machine, and the desi"&amp;"gn 7 main view is the interface of the standard view of the coal mining machine. 8 The main view is the interface of the back view of the hydraulic stent, and the 9 main view is the interface of displaying the back view of the hydraulic stent. The 10 main"&amp;" view is the interface of the standard view of the hydraulic stent. Select the device, and set the instantaneous driver, action operation, equipment information, etc. of the selected device according to the interface prompt. ;8.其他需要说明的情形其他说明：本显示屏幕面板应用于计算机"&amp;"、笔记本电脑、平板电脑、手机、智能手表、智能手环、健身监视器、头戴式耳机、智能音箱、电视、机顶盒、 Projector, game console or navigator.")</f>
        <v>1. Design product name: 3D model library -shaped user interface of the coal mine equipment on the display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The display screen panel is commonly designed, and other views of the design 1‑10 are omitted. ; 6. Specifying design 1 is the basic design. 7. Graphic user interface use: This graphic user interface is used for three -dimensional model library system for coal mine equipment. ; Design 1 main view is the interface of the positive view of the hydraulic bracket, the design 2 main view is the interface of displaying the positive view of the coal mining machine, the design 3 main view is the interface of the positive view of the display liquid scraper, and the design 4 main view is the search search search search search search search search search search search search search search search search search search search search search search search search search search search search search search search search search search search search search search search search search The three -dimensional model library interface of the box, design 5 main views as the interface of the positive view of the coal mining machine, the design 6 main view is the interface of the left view of the coal mining machine, and the design 7 main view is the interface of the standard view of the coal mining machine. 8 The main view is the interface of the back view of the hydraulic stent, and the 9 main view is the interface of displaying the back view of the hydraulic stent. The 10 main view is the interface of the standard view of the hydraulic stent. Select the device, and set the instantaneous driver, action operation, equipment information, etc. of the selected device according to the interface prompt. ;8.其他需要说明的情形其他说明：本显示屏幕面板应用于计算机、笔记本电脑、平板电脑、手机、智能手表、智能手环、健身监视器、头戴式耳机、智能音箱、电视、机顶盒、 Projector, game console or navigator. ; 1. The name of the design of the product of this exterior: the three -dimensional model library graphical user interface of the coal mine equipment on the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The display screen panel is commonly designed, and other views of the design 1‑10 are omitted. ; 6. Specifying design 1 is the basic design. 7. Graphic user interface use: This graphic user interface is used for three -dimensional model library system for coal mine equipment. ; Design 1 main view is the interface of the positive view of the hydraulic bracket, the design 2 main view is the interface of displaying the positive view of the coal mining machine, the design 3 main view is the interface of the positive view of the display liquid scraper, and the design 4 main view is the search search search search search search search search search search search search search search search search search search search search search search search search search search search search search search search search search search search search search search search search search The three -dimensional model library interface of the box, design 5 main views as the interface of the positive view of the coal mining machine, the design 6 main view is the interface of the left view of the coal mining machine, and the design 7 main view is the interface of the standard view of the coal mining machine. 8 The main view is the interface of the back view of the hydraulic stent, and the 9 main view is the interface of displaying the back view of the hydraulic stent. The 10 main view is the interface of the standard view of the hydraulic stent. Select the device, and set the instantaneous driver, action operation, equipment information, etc. of the selected device according to the interface prompt. ;8.其他需要说明的情形其他说明：本显示屏幕面板应用于计算机、笔记本电脑、平板电脑、手机、智能手表、智能手环、健身监视器、头戴式耳机、智能音箱、电视、机顶盒、 Projector, game console or navigator.</v>
      </c>
      <c r="D373" s="6" t="s">
        <v>1101</v>
      </c>
      <c r="E373" s="4" t="str">
        <f ca="1">IFERROR(__xludf.DUMMYFUNCTION("GOOGLETRANSLATE(D373,""auto"",""en"")"),"3D model library graphical user interface of the coal mine equipment of the display screen panel")</f>
        <v>3D model library graphical user interface of the coal mine equipment of the display screen panel</v>
      </c>
    </row>
    <row r="374" spans="1:5" ht="15" x14ac:dyDescent="0.25">
      <c r="A374" s="5" t="s">
        <v>1102</v>
      </c>
      <c r="B374" s="6" t="s">
        <v>1103</v>
      </c>
      <c r="C374" s="3" t="str">
        <f ca="1">IFERROR(__xludf.DUMMYFUNCTION("GOOGLETRANSLATE(B374,""auto"",""en"")"),"1. The name of the product in appearance: The medal graphic user interface of the display screen panel. 2. Design products in appearance: used for running procedures, information display, and human -computer interaction. 3. Design of the design of the pro"&amp;"duct in this exterior: lies in the interface content of the graphic user interface in the screen. 4. Pictures or photos that can best show design: Design 1 main view. 5. Specify design 1 is the basic design. 6. The purpose of the graphical user interface:"&amp;" Design 1 Master view to design 9 The main view is to obtain the medal interface after completing the system task. Users can perform relevant operations according to the interface prompts. 7. Other situations that need to be described other instructions: "&amp;"This display screen panel is applied to vehicles, computers, laptops, tablets, mobile phones, smart watches, smart bracelets, fitness monitor, headset headphones, personal digital assistants (PDA) , Smart speakers, television, set -top boxes, projectors, "&amp;"game consoles or navigators.")</f>
        <v>1. The name of the product in appearance: The medal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Master view to design 9 The main view is to obtain the medal interface after completing the system task. Users can perform relevant operations according to the interface prompts. 7. Other situations that need to be described other instructions: This display screen panel is applied to vehicles, computers, laptops, tablets, mobile phones, smart watches, smart bracelets, fitness monitor, headset headphones, personal digital assistants (PDA) , Smart speakers, television, set -top boxes, projectors, game consoles or navigators.</v>
      </c>
      <c r="D374" s="6" t="s">
        <v>1104</v>
      </c>
      <c r="E374" s="4" t="str">
        <f ca="1">IFERROR(__xludf.DUMMYFUNCTION("GOOGLETRANSLATE(D374,""auto"",""en"")"),"Getting of the Medal of Getting Screen Panel")</f>
        <v>Getting of the Medal of Getting Screen Panel</v>
      </c>
    </row>
    <row r="375" spans="1:5" ht="15" x14ac:dyDescent="0.25">
      <c r="A375" s="5" t="s">
        <v>1105</v>
      </c>
      <c r="B375" s="6" t="s">
        <v>1106</v>
      </c>
      <c r="C375" s="3" t="str">
        <f ca="1">IFERROR(__xludf.DUMMYFUNCTION("GOOGLETRANSLATE(B375,""auto"",""en"")"),"A table tennis competition training device, including a platform assembled by multiple telescopic operations to perform competition training 1. It is used to determine the height of the user's height Details of training level and mode, cylindrical main bo"&amp;"dy 5 used to launch the ball to users, the cavity chamber 6 for storing balls, assembly of iris cover 7 for allocating balls, and electromagnetic spring 8 spring 8 for the ball. The ball was launched to the user, multiple rackets 9 for hitting the ball, a"&amp;"nd the pneumatic fixture 10 with multiple connecting rods 11 to pinch the wrist part of the user to hit the ball.")</f>
        <v>A table tennis competition training device, including a platform assembled by multiple telescopic operations to perform competition training 1. It is used to determine the height of the user's height Details of training level and mode, cylindrical main body 5 used to launch the ball to users, the cavity chamber 6 for storing balls, assembly of iris cover 7 for allocating balls, and electromagnetic spring 8 spring 8 for the ball. The ball was launched to the user, multiple rackets 9 for hitting the ball, and the pneumatic fixture 10 with multiple connecting rods 11 to pinch the wrist part of the user to hit the ball.</v>
      </c>
      <c r="D375" s="6" t="s">
        <v>1107</v>
      </c>
      <c r="E375" s="4" t="str">
        <f ca="1">IFERROR(__xludf.DUMMYFUNCTION("GOOGLETRANSLATE(D375,""auto"",""en"")"),"Table Tennis Game Trainer")</f>
        <v>Table Tennis Game Trainer</v>
      </c>
    </row>
    <row r="376" spans="1:5" ht="15" x14ac:dyDescent="0.25">
      <c r="A376" s="5" t="s">
        <v>1108</v>
      </c>
      <c r="B376" s="6" t="s">
        <v>1109</v>
      </c>
      <c r="C376" s="3" t="str">
        <f ca="1">IFERROR(__xludf.DUMMYFUNCTION("GOOGLETRANSLATE(B376,""auto"",""en"")"),"A football training device, including the installation of a circular framework 4 to provide a platform for the target structure of the user's target 1. Stay multiple football for users to continue football training. Capture and process users' images and d"&amp;"rive the holographic projection unit 7 to project the holographic image of the target object to Framework 4, the telescopic lever 8 is used to extend the height of the frame 4 to adjust the training intensity. Development is a mobile roller 10 connected t"&amp;"o the user's equipment and drives through the rope 11 connection to roll and expand rope 11 to provide users with resistance, and multiple impact sensor 12 for detecting impact regional football in frame 4.")</f>
        <v>A football training device, including the installation of a circular framework 4 to provide a platform for the target structure of the user's target 1. Stay multiple football for users to continue football training. Capture and process users' images and drive the holographic projection unit 7 to project the holographic image of the target object to Framework 4, the telescopic lever 8 is used to extend the height of the frame 4 to adjust the training intensity. Development is a mobile roller 10 connected to the user's equipment and drives through the rope 11 connection to roll and expand rope 11 to provide users with resistance, and multiple impact sensor 12 for detecting impact regional football in frame 4.</v>
      </c>
      <c r="D376" s="6" t="s">
        <v>968</v>
      </c>
      <c r="E376" s="4" t="str">
        <f ca="1">IFERROR(__xludf.DUMMYFUNCTION("GOOGLETRANSLATE(D376,""auto"",""en"")"),"Football trainer")</f>
        <v>Football trainer</v>
      </c>
    </row>
    <row r="377" spans="1:5" ht="15" x14ac:dyDescent="0.25">
      <c r="A377" s="5" t="s">
        <v>1110</v>
      </c>
      <c r="B377" s="6" t="s">
        <v>1111</v>
      </c>
      <c r="C377" s="3" t="str">
        <f ca="1">IFERROR(__xludf.DUMMYFUNCTION("GOOGLETRANSLATE(B377,""auto"",""en"")"),"1. The name of the product in this exterior: fitness device (integrated 2) with intelligent body measurement graphics user interface. 2. Design products in this exterior: The program interface used to display smart body testing. 3. Design of the design of"&amp;" the product in this exterior: lies in the interface content of the graphic user interface in the screen. 4. Pictures or photos that can most indicate design points: interface zoom in the picture. 5. The purpose of the graphical user interface: the progra"&amp;"m interface used to display the intelligent body measurement. 6. Human -computer interaction method of graphic user interface: The interface amplification is the main interface when the fitness is started. In order to click the interface change state Figu"&amp;"re 1 The virtual coach selection interface in the upper right corner of the ""Summon coach"" in the upper right corner of the interface, the interface changes status Figure 3 is the selection of the virtual coach selection interface of ""Choose TA"" to en"&amp;"ter the interface. In order to click on the interface change state Figure 3 The action selection interface of the triangular arrow enter the upper left corner of the left corner, the interface change state Figure 5 is the clicks of the ""tablet support"" "&amp;"entering the ""tablet support"" entered by the click interface. Select the interface of the ""30"" display of the ""30"" display of the interface state, the interface change state in Figure 7 Click the interface to enter the interface of the ""Add List"" "&amp;"in the interface change state. 7 In the 7 -stage action adjustment interface of ""Standing Anti -Rotal Promotion"", the interface change state Figure 9 is the interface change state. Interface change state Figure 9 The initial state interface of the ""Sta"&amp;"rt Training"" entering the ""Start Training"" in the upper right corner of the interface 9, the interface changes state Figure 11 is the start training counting interface of the ""Start"" button in the middle of the ""Start"" button. The interface change "&amp;"state Figure 11 The training starts interface at the end of the countdown end, the interface change state Figure 13 is the preparation of the next set of countdown interfaces after training after the training is completed after the training is completed. "&amp;"For the interface change state Figure 13 Prepare to start the next group of countdown to 5 seconds, enter the stand -up anti -rotation before promoting the initial state interface. The interface of the grabbing base value display. 3 times to reach the ben"&amp;"chmark value, the benchmark value combo display interface entered by the interface change state. The interface, the interface change state figure 19 is to drive the device's force arm rope to be exhausted, and the unsuccessful movement state changes when "&amp;"the action is not completed. Figure 18 enters the interface. Training ""Enter the training ending inquiry interface, the interface change state Figure 21 is the"" Bardi ""virtual coach option interface entering the"" Bardi ""virtual coach option interface"&amp;" entered by the sliding interface in the left side. Enter the virtual coach selection interface. The interface change state Figure 23 is the action selection interface of the triangular arrow entered in the upper left corner of the clicks of the click int"&amp;"erface. Enter the interface adjustment interface, the interface change state Figure 25 is the interface change state Figure 24 ""Start training"" enter the initial state interface of the ""Standing Anti -Rotal Push"" action. After lower, the interface cha"&amp;"nge state Figure 25 enters the interface of the grabbed base value display. 28 In order to pull out and retract the power arm rope, the benchmark value does not reach the benchmark value from the interface change state 27 pop -up window prompt interface. "&amp;", Interface Change State Figure 30 is to drive the device force arm rope 1 to start the interface from the interface change state. The interface, interface change state Figure 32 is to drive the equipment for the equipment for force, when the action is ex"&amp;"hausted, and the interface change state is not completed. Figure 31 enters the interface. The training interface of the training ""entering the training ended, the interface change state Figure 34 is the conclusion interface of the training entry of"" End"&amp;"ing Training ""in the click -through state of the click interface.")</f>
        <v>1. The name of the product in this exterior: fitness device (integrated 2) with intelligent body measurement graphics user interface. 2. Design products in this exterior: The program interface used to display smart body testing. 3. Design of the design of the product in this exterior: lies in the interface content of the graphic user interface in the screen. 4. Pictures or photos that can most indicate design points: interface zoom in the picture. 5. The purpose of the graphical user interface: the program interface used to display the intelligent body measurement. 6. Human -computer interaction method of graphic user interface: The interface amplification is the main interface when the fitness is started. In order to click the interface change state Figure 1 The virtual coach selection interface in the upper right corner of the "Summon coach" in the upper right corner of the interface, the interface changes status Figure 3 is the selection of the virtual coach selection interface of "Choose TA" to enter the interface. In order to click on the interface change state Figure 3 The action selection interface of the triangular arrow enter the upper left corner of the left corner, the interface change state Figure 5 is the clicks of the "tablet support" entering the "tablet support" entered by the click interface. Select the interface of the "30" display of the "30" display of the interface state, the interface change state in Figure 7 Click the interface to enter the interface of the "Add List" in the interface change state. 7 In the 7 -stage action adjustment interface of "Standing Anti -Rotal Promotion", the interface change state Figure 9 is the interface change state. Interface change state Figure 9 The initial state interface of the "Start Training" entering the "Start Training" in the upper right corner of the interface 9, the interface changes state Figure 11 is the start training counting interface of the "Start" button in the middle of the "Start" button. The interface change state Figure 11 The training starts interface at the end of the countdown end, the interface change state Figure 13 is the preparation of the next set of countdown interfaces after training after the training is completed after the training is completed. For the interface change state Figure 13 Prepare to start the next group of countdown to 5 seconds, enter the stand -up anti -rotation before promoting the initial state interface. The interface of the grabbing base value display. 3 times to reach the benchmark value, the benchmark value combo display interface entered by the interface change state. The interface, the interface change state figure 19 is to drive the device's force arm rope to be exhausted, and the unsuccessful movement state changes when the action is not completed. Figure 18 enters the interface. Training "Enter the training ending inquiry interface, the interface change state Figure 21 is the" Bardi "virtual coach option interface entering the" Bardi "virtual coach option interface entered by the sliding interface in the left side. Enter the virtual coach selection interface. The interface change state Figure 23 is the action selection interface of the triangular arrow entered in the upper left corner of the clicks of the click interface. Enter the interface adjustment interface, the interface change state Figure 25 is the interface change state Figure 24 "Start training" enter the initial state interface of the "Standing Anti -Rotal Push" action. After lower, the interface change state Figure 25 enters the interface of the grabbed base value display. 28 In order to pull out and retract the power arm rope, the benchmark value does not reach the benchmark value from the interface change state 27 pop -up window prompt interface. , Interface Change State Figure 30 is to drive the device force arm rope 1 to start the interface from the interface change state. The interface, interface change state Figure 32 is to drive the equipment for the equipment for force, when the action is exhausted, and the interface change state is not completed. Figure 31 enters the interface. The training interface of the training "entering the training ended, the interface change state Figure 34 is the conclusion interface of the training entry of" Ending Training "in the click -through state of the click interface.</v>
      </c>
      <c r="D377" s="6" t="s">
        <v>1112</v>
      </c>
      <c r="E377" s="4" t="str">
        <f ca="1">IFERROR(__xludf.DUMMYFUNCTION("GOOGLETRANSLATE(D377,""auto"",""en"")"),"A fitness device with intelligent body measurement graphics user interface (integrated 2)")</f>
        <v>A fitness device with intelligent body measurement graphics user interface (integrated 2)</v>
      </c>
    </row>
    <row r="378" spans="1:5" ht="15" x14ac:dyDescent="0.25">
      <c r="A378" s="5" t="s">
        <v>1113</v>
      </c>
      <c r="B378" s="6" t="s">
        <v>1114</v>
      </c>
      <c r="C378" s="3" t="str">
        <f ca="1">IFERROR(__xludf.DUMMYFUNCTION("GOOGLETRANSLATE(B378,""auto"",""en"")"),"The invention involves the field of driving simulation control, and a smart driving training system and method of deaf and dumb people based on VR virtual reality are disclosed, including building modules to build corresponding VR vehicle models and VR sc"&amp;"ene models according to the identity information of the target personnel; The training module is used to use the VR vehicle model and the VR scene model to conduct driving training to target personnel, and collect training data in real time during the tra"&amp;"ining process; human -machine interaction module is used to achieve interaction functions with the target personnel during the training process; evaluate the module, and It is used to evaluate the training data to determine the qualification rate and erro"&amp;"r operation of the target personnel and conduct error guidance. By constructing a VR model, driving training for deaf and mute personnel can provide direct, vivid, intuitive, intelligent, and safe driving training courses to improve training quality and e"&amp;"fficiency, while reducing training costs. , Improve practicality, reduce risks while improving safety.")</f>
        <v>The invention involves the field of driving simulation control, and a smart driving training system and method of deaf and dumb people based on VR virtual reality are disclosed, including building modules to build corresponding VR vehicle models and VR scene models according to the identity information of the target personnel; The training module is used to use the VR vehicle model and the VR scene model to conduct driving training to target personnel, and collect training data in real time during the training process; human -machine interaction module is used to achieve interaction functions with the target personnel during the training process; evaluate the module, and It is used to evaluate the training data to determine the qualification rate and error operation of the target personnel and conduct error guidance. By constructing a VR model, driving training for deaf and mute personnel can provide direct, vivid, intuitive, intelligent, and safe driving training courses to improve training quality and efficiency, while reducing training costs. , Improve practicality, reduce risks while improving safety.</v>
      </c>
      <c r="D378" s="6" t="s">
        <v>1115</v>
      </c>
      <c r="E378" s="4" t="str">
        <f ca="1">IFERROR(__xludf.DUMMYFUNCTION("GOOGLETRANSLATE(D378,""auto"",""en"")"),"A smart driving training system and method based on the deaf and dumb person based on VR virtual reality")</f>
        <v>A smart driving training system and method based on the deaf and dumb person based on VR virtual reality</v>
      </c>
    </row>
    <row r="379" spans="1:5" ht="15" x14ac:dyDescent="0.25">
      <c r="A379" s="5" t="s">
        <v>1116</v>
      </c>
      <c r="B379" s="6" t="s">
        <v>1117</v>
      </c>
      <c r="C379" s="3" t="str">
        <f ca="1">IFERROR(__xludf.DUMMYFUNCTION("GOOGLETRANSLATE(B379,""auto"",""en"")"),"The present invention disclosed a computer artificial intelligence information filtering device, including installation racks, lifting plates, chassis, fixed boards, and heat dissipation interval. It is characterized by a two -half circular magnetic block"&amp;"s in the fixed installation of the lift plate, and the fixed fixed is fixed and fixed. The plate is installed with two semi -circular magnetic blocks that cooperate with a semi -circular magnetic block on the board, and the two -sliding parts are installe"&amp;"d with a mobile seat. There is a screw with a mobile seat. The advantage is that the overall operation is simple. Apply a downward mobility with the opponent seat with the hand seat to make it jam on the square block, and then directly drive it to the squ"&amp;"are seat without loosening the square seat. And the thin shield can move the height of the chassis in the case of vertical direction, and the relative chassis moves downward, so as to cover the corresponding heat dissipation interval, so as to avoid the d"&amp;"ust from entering the chassis through the heat dissipation interval.")</f>
        <v>The present invention disclosed a computer artificial intelligence information filtering device, including installation racks, lifting plates, chassis, fixed boards, and heat dissipation interval. It is characterized by a two -half circular magnetic blocks in the fixed installation of the lift plate, and the fixed fixed is fixed and fixed. The plate is installed with two semi -circular magnetic blocks that cooperate with a semi -circular magnetic block on the board, and the two -sliding parts are installed with a mobile seat. There is a screw with a mobile seat. The advantage is that the overall operation is simple. Apply a downward mobility with the opponent seat with the hand seat to make it jam on the square block, and then directly drive it to the square seat without loosening the square seat. And the thin shield can move the height of the chassis in the case of vertical direction, and the relative chassis moves downward, so as to cover the corresponding heat dissipation interval, so as to avoid the dust from entering the chassis through the heat dissipation interval.</v>
      </c>
      <c r="D379" s="6" t="s">
        <v>1118</v>
      </c>
      <c r="E379" s="4" t="str">
        <f ca="1">IFERROR(__xludf.DUMMYFUNCTION("GOOGLETRANSLATE(D379,""auto"",""en"")"),"A computer artificial intelligence information screening device")</f>
        <v>A computer artificial intelligence information screening device</v>
      </c>
    </row>
    <row r="380" spans="1:5" ht="15" x14ac:dyDescent="0.25">
      <c r="A380" s="5" t="s">
        <v>1119</v>
      </c>
      <c r="B380" s="6" t="s">
        <v>1120</v>
      </c>
      <c r="C380" s="3" t="str">
        <f ca="1">IFERROR(__xludf.DUMMYFUNCTION("GOOGLETRANSLATE(B380,""auto"",""en"")"),"The present invention disclosed a data -based swimming coach intelligent recommendation system, including user modules, cloud service modules, and matching modules; user modules are used to user input of attribute requirements for swimming coaches. The at"&amp;"tribute requirements include scope attributes and non -range range Class attributes; cloud service modules are used to store attribute information of each swimming coach; matching modules are used to calculate the comprehensive similarity between the attr"&amp;"ibute information and non -range attributes of the swimming coach through two different similarity calculation methods, and then according to Comprehensive similarity to get matching results. User modules are also used to display matching results. Because"&amp;" the present invention uses two different calculation methods to calculate the similarity, and then combines the calculation results of two similarity, the present invention effectively improves the accuracy of the recommendation results.")</f>
        <v>The present invention disclosed a data -based swimming coach intelligent recommendation system, including user modules, cloud service modules, and matching modules; user modules are used to user input of attribute requirements for swimming coaches. The attribute requirements include scope attributes and non -range range Class attributes; cloud service modules are used to store attribute information of each swimming coach; matching modules are used to calculate the comprehensive similarity between the attribute information and non -range attributes of the swimming coach through two different similarity calculation methods, and then according to Comprehensive similarity to get matching results. User modules are also used to display matching results. Because the present invention uses two different calculation methods to calculate the similarity, and then combines the calculation results of two similarity, the present invention effectively improves the accuracy of the recommendation results.</v>
      </c>
      <c r="D380" s="6" t="s">
        <v>1121</v>
      </c>
      <c r="E380" s="4" t="str">
        <f ca="1">IFERROR(__xludf.DUMMYFUNCTION("GOOGLETRANSLATE(D380,""auto"",""en"")"),"An intelligent recommendation system for swimming coach based on data analysis")</f>
        <v>An intelligent recommendation system for swimming coach based on data analysis</v>
      </c>
    </row>
    <row r="381" spans="1:5" ht="15" x14ac:dyDescent="0.25">
      <c r="A381" s="5" t="s">
        <v>1122</v>
      </c>
      <c r="B381" s="6" t="s">
        <v>1123</v>
      </c>
      <c r="C381" s="3" t="str">
        <f ca="1">IFERROR(__xludf.DUMMYFUNCTION("GOOGLETRANSLATE(B381,""auto"",""en"")"),"The present invention proposes a fitness action recognition method and device based on Blazepose. Based on the Blazepose lightweight convolutional neural network, the human posture is estimated to obtain the joint information of the joint node when the us"&amp;"er performs fitness; Converted to feature vectors, based on the KNN classification to extract the current motion category; determine the attitude of the user in the current motion by angle analysis and distance threshold to determine whether it is accurat"&amp;"e, and improve the recommendation of the feedback action according to the results of the results. The present invention can automatically analyze the movement movement, accurately detects the error posture of exercise to improve the efficiency of fitness,"&amp;" and reduce the risk of muscle strain caused by users due to non -standard movements.")</f>
        <v>The present invention proposes a fitness action recognition method and device based on Blazepose. Based on the Blazepose lightweight convolutional neural network, the human posture is estimated to obtain the joint information of the joint node when the user performs fitness; Converted to feature vectors, based on the KNN classification to extract the current motion category; determine the attitude of the user in the current motion by angle analysis and distance threshold to determine whether it is accurate, and improve the recommendation of the feedback action according to the results of the results. The present invention can automatically analyze the movement movement, accurately detects the error posture of exercise to improve the efficiency of fitness, and reduce the risk of muscle strain caused by users due to non -standard movements.</v>
      </c>
      <c r="D381" s="6" t="s">
        <v>1124</v>
      </c>
      <c r="E381" s="4" t="str">
        <f ca="1">IFERROR(__xludf.DUMMYFUNCTION("GOOGLETRANSLATE(D381,""auto"",""en"")"),"Fitness action recognition method and device based on BlazePose")</f>
        <v>Fitness action recognition method and device based on BlazePose</v>
      </c>
    </row>
    <row r="382" spans="1:5" ht="15" x14ac:dyDescent="0.25">
      <c r="A382" s="5" t="s">
        <v>1125</v>
      </c>
      <c r="B382" s="6" t="s">
        <v>1126</v>
      </c>
      <c r="C382" s="3" t="str">
        <f ca="1">IFERROR(__xludf.DUMMYFUNCTION("GOOGLETRANSLATE(B382,""auto"",""en"")"),"1. The name of the product of the product: The inverter graphics user interface of the display screen panel.
 2. Design products in appearance: used for running procedures, information display, and human -computer interaction.
 3. Design of the design"&amp;" of the product in this exterior: lies in the interface content of the graphic user interface in the screen.
 4. Pictures or photos that can most indicate design points: main view.
 5. The purpose of the graphical user interface: The main view is the "&amp;"inverter interface of the comprehensive mining automation system, and the user can perform related operations according to the interface prompt.
 6. Other instructions: This display screen panel is applied to vehicles, computers, laptops, tablets, mobil"&amp;"e phones, smart watches, smart bracelets, fitness monitor, headset headphones, personal digital assistant (PDA), smart speakers, TVs, TVs , Skytop box, projector, game console or navigator.")</f>
        <v>1. The name of the product of the product: The inverter graphics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inverter interface of the comprehensive mining automation system, and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2" s="6" t="s">
        <v>1127</v>
      </c>
      <c r="E382" s="4" t="str">
        <f ca="1">IFERROR(__xludf.DUMMYFUNCTION("GOOGLETRANSLATE(D382,""auto"",""en"")"),"The inverter graphics user interface of the display screen panel")</f>
        <v>The inverter graphics user interface of the display screen panel</v>
      </c>
    </row>
    <row r="383" spans="1:5" ht="15" x14ac:dyDescent="0.25">
      <c r="A383" s="5" t="s">
        <v>1128</v>
      </c>
      <c r="B383" s="6" t="s">
        <v>1129</v>
      </c>
      <c r="C383" s="3" t="str">
        <f ca="1">IFERROR(__xludf.DUMMYFUNCTION("GOOGLETRANSLATE(B383,""auto"",""en"")"),"1. The name of the product in appearance: The fault alarm graphic user interface of the display screen panel.
 2. Design products in appearance: used for running procedures, information display, and human -computer interaction.
 3. Design of the desig"&amp;"n of the product in this exterior: lies in the interface content of the graphic user interface in the screen.
 4. Pictures or photos that can most indicate design points: main view.
 5. The purpose of the graphical user interface: The main view is the"&amp;" coal mining machine failure alarm interface of the coal mining automation system. The interface display the information of the coal mining machine failure point information. The user can perform related operations according to the interface prompt.
 6."&amp;" Other instructions: This display screen panel is applied to vehicles, computers, laptops, tablets, mobile phones, smart watches, smart bracelets, fitness monitor, headset headphones, personal digital assistant (PDA), smart speakers, TVs, TVs , Skytop box"&amp;", projector, game console or navigator.")</f>
        <v>1. The name of the product in appearance: The fault alarm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coal mining machine failure alarm interface of the coal mining automation system. The interface display the information of the coal mining machine failure point information.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3" s="6" t="s">
        <v>1130</v>
      </c>
      <c r="E383" s="4" t="str">
        <f ca="1">IFERROR(__xludf.DUMMYFUNCTION("GOOGLETRANSLATE(D383,""auto"",""en"")"),"Display screen panel failure alarm graphics user interface")</f>
        <v>Display screen panel failure alarm graphics user interface</v>
      </c>
    </row>
    <row r="384" spans="1:5" ht="15" x14ac:dyDescent="0.25">
      <c r="A384" s="5" t="s">
        <v>1131</v>
      </c>
      <c r="B384" s="6" t="s">
        <v>1132</v>
      </c>
      <c r="C384" s="3" t="str">
        <f ca="1">IFERROR(__xludf.DUMMYFUNCTION("GOOGLETRANSLATE(B384,""auto"",""en"")"),"1. Design product name: The control graphical user interface of the display screen panel.
 2. Design products in appearance: used for running procedures, information display, and human -computer interaction.
 3. Design of the design of the product in "&amp;"this exterior: lies in the interface content of the graphic user interface in the screen.
 4. Pictures or photos that can most indicate design points: main view.
 5. The purpose of graphical user interface: The main view is the coal mining machine con"&amp;"trol interface of the coal mining automation system. Users can perform relevant operations according to the interface prompts.
 6. Other instructions: This display screen panel is applied to vehicles, computers, laptops, tablets, mobile phones, smart wa"&amp;"tches, smart bracelets, fitness monitor, headset headphones, personal digital assistant (PDA), smart speakers, TVs, TVs , Skytop box, projector, game console or navigator.")</f>
        <v>1. Design product name: The control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graphical user interface: The main view is the coal mining machine control interface of the coal mining automation system. Users can perform relevant operations according to the interface prompts.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4" s="6" t="s">
        <v>1133</v>
      </c>
      <c r="E384" s="4" t="str">
        <f ca="1">IFERROR(__xludf.DUMMYFUNCTION("GOOGLETRANSLATE(D384,""auto"",""en"")"),"The control graphical user interface of the display screen panel")</f>
        <v>The control graphical user interface of the display screen panel</v>
      </c>
    </row>
    <row r="385" spans="1:5" ht="15" x14ac:dyDescent="0.25">
      <c r="A385" s="5" t="s">
        <v>1134</v>
      </c>
      <c r="B385" s="6" t="s">
        <v>1135</v>
      </c>
      <c r="C385" s="3" t="str">
        <f ca="1">IFERROR(__xludf.DUMMYFUNCTION("GOOGLETRANSLATE(B385,""auto"",""en"")"),"1. Design product name: Monitor the graphic user interface of the three -machine pump station of the display screen panel.
 2. Design products in appearance: used for running procedures, information display, and human -computer interaction.
 3. Design"&amp;" of the design of the product in this exterior: lies in the interface content of the graphic user interface in the screen.
 4. Pictures or photos that can most indicate design points: main view.
 5. The purpose of the graphical user interface: The mai"&amp;"n view is the three -machine pump station monitoring interface of the comprehensive mining automation system. Users can perform relevant operations according to the interface prompts.
 6. Other instructions: This display screen panel is applied to vehic"&amp;"les, computers, laptops, tablets, mobile phones, smart watches, smart bracelets, fitness monitor, headset headphones, personal digital assistant (PDA), smart speakers, TVs, TVs , Skytop box, projector, game console or navigator.")</f>
        <v>1. Design product name: Monitor the graphic user interface of the three -machine pump station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three -machine pump station monitoring interface of the comprehensive mining automation system. Users can perform relevant operations according to the interface prompts.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5" s="6" t="s">
        <v>1136</v>
      </c>
      <c r="E385" s="4" t="str">
        <f ca="1">IFERROR(__xludf.DUMMYFUNCTION("GOOGLETRANSLATE(D385,""auto"",""en"")"),"Monitoring graphic user interface of the display screen panel")</f>
        <v>Monitoring graphic user interface of the display screen panel</v>
      </c>
    </row>
    <row r="386" spans="1:5" ht="15" x14ac:dyDescent="0.25">
      <c r="A386" s="5" t="s">
        <v>1137</v>
      </c>
      <c r="B386" s="6" t="s">
        <v>1138</v>
      </c>
      <c r="C386" s="3" t="str">
        <f ca="1">IFERROR(__xludf.DUMMYFUNCTION("GOOGLETRANSLATE(B386,""auto"",""en"")"),"1. The name of the product of the design of the product: The airborne audio graphics user interface of the display screen panel.
 2. Design products in appearance: used for running procedures, information display, and human -computer interaction.
 3. "&amp;"Design of the design of the product in this exterior: lies in the interface content of the graphic user interface in the screen.
 4. Pictures or photos that can most indicate design points: main view.
 5. The purpose of the graphical user interface: T"&amp;"he main view is the audio interface of the coal mining machine of the coal mining automation system. Related operation.
 6. Other instructions: This display screen panel is applied to vehicles, computers, laptops, tablets, mobile phones, smart watches, "&amp;"smart bracelets, fitness monitor, headset headphones, personal digital assistant (PDA), smart speakers, TVs, TVs , Skytop box, projector, game console or navigator.")</f>
        <v>1. The name of the product of the design of the product: The airborne audio graphics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audio interface of the coal mining machine of the coal mining automation system. Related operation.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6" s="6" t="s">
        <v>1139</v>
      </c>
      <c r="E386" s="4" t="str">
        <f ca="1">IFERROR(__xludf.DUMMYFUNCTION("GOOGLETRANSLATE(D386,""auto"",""en"")"),"Vehicle -based audio graphics user interface of display screen panel")</f>
        <v>Vehicle -based audio graphics user interface of display screen panel</v>
      </c>
    </row>
    <row r="387" spans="1:5" ht="15" x14ac:dyDescent="0.25">
      <c r="A387" s="5" t="s">
        <v>1140</v>
      </c>
      <c r="B387" s="6" t="s">
        <v>1141</v>
      </c>
      <c r="C387" s="3" t="str">
        <f ca="1">IFERROR(__xludf.DUMMYFUNCTION("GOOGLETRANSLATE(B387,""auto"",""en"")"),"1. Design product name: The three -machine pump station of the display screen panel control graphic user interface.
 2. Design products in appearance: used for running procedures, information display, and human -computer interaction.
 3. Design of the"&amp;" design of the product in this exterior: lies in the interface content of the graphic user interface in the screen.
 4. Pictures or photos that can most indicate design points: main view.
 5. The purpose of the graphical user interface: The main view "&amp;"is the three -machine pump station control interface of the comprehensive mining automation system. Users can perform related operations according to the interface prompts.
 6. Other instructions: This display screen panel is applied to vehicles, comput"&amp;"ers, laptops, tablets, mobile phones, smart watches, smart bracelets, fitness monitor, headset headphones, personal digital assistant (PDA), smart speakers, TVs, TVs , Skytop box, projector, game console or navigator.")</f>
        <v>1. Design product name: The three -machine pump station of the display screen panel control graphic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three -machine pump station control interface of the comprehensive mining automation system. Users can perform related operations according to the interface prompts.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7" s="6" t="s">
        <v>1142</v>
      </c>
      <c r="E387" s="4" t="str">
        <f ca="1">IFERROR(__xludf.DUMMYFUNCTION("GOOGLETRANSLATE(D387,""auto"",""en"")"),"The three -machine pump station of the display screen panel control graphic user interface")</f>
        <v>The three -machine pump station of the display screen panel control graphic user interface</v>
      </c>
    </row>
    <row r="388" spans="1:5" ht="15" x14ac:dyDescent="0.25">
      <c r="A388" s="5" t="s">
        <v>1143</v>
      </c>
      <c r="B388" s="6" t="s">
        <v>1144</v>
      </c>
      <c r="C388" s="3" t="str">
        <f ca="1">IFERROR(__xludf.DUMMYFUNCTION("GOOGLETRANSLATE(B388,""auto"",""en"")"),"1. The name of the product in appearance: The inspection car graphics user interface of the display screen panel.
 2. Design products in appearance: used for running procedures, information display, and human -computer interaction.
 3. Design of the d"&amp;"esign of the product in this exterior: lies in the interface content of the graphic user interface in the screen.
 4. Pictures or photos that can most indicate design points: main view.
 5. The purpose of the graphical user interface: The main view is"&amp;" the inspection car interface of the comprehensive mining automation system. Users can perform relevant operations according to the interface prompts.
 6. Other instructions: This display screen panel is applied to vehicles, computers, laptops, tablets,"&amp;" mobile phones, smart watches, smart bracelets, fitness monitor, headset headphones, personal digital assistant (PDA), smart speakers, TVs, TVs , Skytop box, projector, game console or navigator.")</f>
        <v>1. The name of the product in appearance: The inspection car graphics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inspection car interface of the comprehensive mining automation system. Users can perform relevant operations according to the interface prompts.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8" s="6" t="s">
        <v>1145</v>
      </c>
      <c r="E388" s="4" t="str">
        <f ca="1">IFERROR(__xludf.DUMMYFUNCTION("GOOGLETRANSLATE(D388,""auto"",""en"")"),"The inspection car graphics user interface of the display screen panel")</f>
        <v>The inspection car graphics user interface of the display screen panel</v>
      </c>
    </row>
    <row r="389" spans="1:5" ht="15" x14ac:dyDescent="0.25">
      <c r="A389" s="5" t="s">
        <v>1146</v>
      </c>
      <c r="B389" s="6" t="s">
        <v>1147</v>
      </c>
      <c r="C389" s="3" t="str">
        <f ca="1">IFERROR(__xludf.DUMMYFUNCTION("GOOGLETRANSLATE(B389,""auto"",""en"")"),"1. Design product name: Power supply graphic user interface of the display screen panel.
 2. Design products in appearance: used for running procedures, information display, and human -computer interaction.
 3. Design of the design of the product in t"&amp;"his exterior: lies in the interface content of the graphic user interface in the screen.
 4. Pictures or photos that can most indicate design points: main view.
 5. The purpose of the graphical user interface: The main view is the power supply interfa"&amp;"ce of the comprehensive mining automation system. The user can perform related operations according to the interface prompt.
 6. Other instructions: This display screen panel is applied to vehicles, computers, laptops, tablets, mobile phones, smart watc"&amp;"hes, smart bracelets, fitness monitor, headset headphones, personal digital assistant (PDA), smart speakers, TVs, TVs , Skytop box, projector, game console or navigator.")</f>
        <v>1. Design product name: Power supply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power supply interface of the comprehensive mining automation system.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89" s="6" t="s">
        <v>1148</v>
      </c>
      <c r="E389" s="4" t="str">
        <f ca="1">IFERROR(__xludf.DUMMYFUNCTION("GOOGLETRANSLATE(D389,""auto"",""en"")"),"Power supply graphics user interface of display screen panel")</f>
        <v>Power supply graphics user interface of display screen panel</v>
      </c>
    </row>
    <row r="390" spans="1:5" ht="15" x14ac:dyDescent="0.25">
      <c r="A390" s="5" t="s">
        <v>1149</v>
      </c>
      <c r="B390" s="6" t="s">
        <v>1150</v>
      </c>
      <c r="C390" s="3" t="str">
        <f ca="1">IFERROR(__xludf.DUMMYFUNCTION("GOOGLETRANSLATE(B390,""auto"",""en"")"),"1. Design product name: The control graphical user interface of the display screen panel.
 2. Design products in appearance: used for running procedures, information display, and human -computer interaction.
 3. Design of the design of the product in "&amp;"this exterior: lies in the interface content of the graphic user interface in the screen.
 4. Pictures or photos that can best show design: Design 1 main view.
 5. Specify design 1 is the basic design.
 6. The purpose of the graphical user interface"&amp;": Design 1 The main view is the control interface of the comprehensive mining working facade and liquid control system. The user can perform related operations according to the interface prompt.
 Design 2 main views are the control interface of the comp"&amp;"rehensive mining work surface electric liquid control system. The user clicks the control button in the upper right corner of the interface (the left side of the switch button). The system parameters can be set, as shown in the design 2 interface change s"&amp;"tate diagram.
 7. Other instructions: This display screen panel is applied to vehicles, computers, laptops, tablets, mobile phones, smart watches, smart bracelets, fitness monitor, headset headphones, personal digital assistants (PDA), smart speakers, T"&amp;"Vs, TVs , Skytop box, projector, game console or navigator.")</f>
        <v>1. Design product name: The control graphical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The main view is the control interface of the comprehensive mining working facade and liquid control system. The user can perform related operations according to the interface prompt.
 Design 2 main views are the control interface of the comprehensive mining work surface electric liquid control system. The user clicks the control button in the upper right corner of the interface (the left side of the switch button). The system parameters can be set, as shown in the design 2 interface change state diagram.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390" s="6" t="s">
        <v>1133</v>
      </c>
      <c r="E390" s="4" t="str">
        <f ca="1">IFERROR(__xludf.DUMMYFUNCTION("GOOGLETRANSLATE(D390,""auto"",""en"")"),"The control graphical user interface of the display screen panel")</f>
        <v>The control graphical user interface of the display screen panel</v>
      </c>
    </row>
    <row r="391" spans="1:5" ht="15" x14ac:dyDescent="0.25">
      <c r="A391" s="5" t="s">
        <v>1151</v>
      </c>
      <c r="B391" s="6" t="s">
        <v>1152</v>
      </c>
      <c r="C391" s="3" t="str">
        <f ca="1">IFERROR(__xludf.DUMMYFUNCTION("GOOGLETRANSLATE(B391,""auto"",""en"")"),"1. Design product name: Monitoring graphic user interface of the display screen panel.
 2. Design products in appearance: used for running procedures, information display, and human -computer interaction.
 3. Design of the design of the product in thi"&amp;"s exterior: lies in the interface content of the graphic user interface in the screen.
 4. Pictures or photos that can most indicate design points: main view.
 5. The purpose of the graphical user interface: The main view is the coal mining machine mo"&amp;"nitoring interface of the coal mining automation system. The interface display the coal cutting data. The user can perform related operations according to the interface prompt.
 6. Other instructions: This display screen panel is applied to vehicles, co"&amp;"mputers, laptops, tablets, mobile phones, smart watches, smart bracelets, fitness monitor, headset headphones, personal digital assistant (PDA), smart speakers, TVs, TVs , Skytop box, projector, game console or navigator.")</f>
        <v>1. Design product name: Monitoring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coal mining machine monitoring interface of the coal mining automation system. The interface display the coal cutting data. The user can perform related operations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391" s="6" t="s">
        <v>1153</v>
      </c>
      <c r="E391" s="4" t="str">
        <f ca="1">IFERROR(__xludf.DUMMYFUNCTION("GOOGLETRANSLATE(D391,""auto"",""en"")"),"Display screen panel monitoring graphical user interface")</f>
        <v>Display screen panel monitoring graphical user interface</v>
      </c>
    </row>
    <row r="392" spans="1:5" ht="15" x14ac:dyDescent="0.25">
      <c r="A392" s="5" t="s">
        <v>1154</v>
      </c>
      <c r="B392" s="6" t="s">
        <v>1155</v>
      </c>
      <c r="C392" s="3" t="str">
        <f ca="1">IFERROR(__xludf.DUMMYFUNCTION("GOOGLETRANSLATE(B392,""auto"",""en"")"),"1. Design product name: Monitoring graphic user interface of the display screen panel. ; 2. Design products for designing products: used for running program, information display, human -computer interaction. ; 3. Design points for designing products in th"&amp;"is exterior: lies in the interface content of the graphic user interface in the screen. ; 4. The picture or photo that can most indicate the point of design: Design 1 main view. ; 5. Specify design 3 as basic design. ; 6. The purpose of graphical user int"&amp;"erface: Design 1 The main view is the monitoring interface of the comprehensive mining working facade and liquid control system. The design 2 main view is the parameter control management interface of the comprehensive mining working facade and liquid con"&amp;"trol system. Carry out related operations. The design 3 main view is the monitoring interface of the comprehensive mining working surface electric liquid control system. The user clicks the control button in the upper right corner of the interface (the le"&amp;"ft side of the switch button) to set the system parameters. Essence 7. Other situations that need to be described other explanations: This display screen panel is applied to vehicles, computers, laptops, tablets, mobile phones, smart watches, smart bracel"&amp;"ets, fitness monitor, headset headphones, personal digital assistants (PDA ) Smart speakers, television, set -top boxes, projectors, game consoles or navigators. ; 1. The name of the product design product: monitor graphic user interface of the display sc"&amp;"reen panel. ; 2. Design products for designing products: used for running program, information display, human -computer interaction. ; 3. Design points for designing products in this exterior: lies in the interface content of the graphic user interface in"&amp;" the screen. ; 4. The picture or photo that can most indicate the point of design: Design 1 main view. ; 5. Specify design 3 as basic design. ; 6. The purpose of graphical user interface: Design 1 The main view is the monitoring interface of the comprehen"&amp;"sive mining working facade and liquid control system. The design 2 main view is the parameter control management interface of the comprehensive mining working facade and liquid control system. Carry out related operations. The design 3 main view is the mo"&amp;"nitoring interface of the comprehensive mining working surface electric liquid control system. The user clicks the control button in the upper right corner of the interface (the left side of the switch button) to set the system parameters. Essence 7. Othe"&amp;"r situations that need to be described other explanations: This display screen panel is applied to vehicles, computers, laptops, tablets, mobile phones, smart watches, smart bracelets, fitness monitor, headset headphones, personal digital assistants (PDA "&amp;") Smart speakers, television, set -top boxes, projectors, game consoles or navigators.")</f>
        <v>1. Design product name: Monitoring graphic user interface of the display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 design 3 as basic design. ; 6. The purpose of graphical user interface: Design 1 The main view is the monitoring interface of the comprehensive mining working facade and liquid control system. The design 2 main view is the parameter control management interface of the comprehensive mining working facade and liquid control system. Carry out related operations. The design 3 main view is the monitoring interface of the comprehensive mining working surface electric liquid control system. The user clicks the control button in the upper right corner of the interface (the left side of the switch button) to set the system parameters. Essence 7. Other situations that need to be described other explanations: This display screen panel is applied to vehicles, computers, laptops, tablets, mobile phones, smart watches, smart bracelets, fitness monitor, headset headphones, personal digital assistants (PDA ) Smart speakers, television, set -top boxes, projectors, game consoles or navigators. ; 1. The name of the product design product: monitor graphic user interface of the display screen panel. ; 2. Design products for designing products: used for running program, information display, human -computer interaction. ; 3. Design points for designing products in this exterior: lies in the interface content of the graphic user interface in the screen. ; 4. The picture or photo that can most indicate the point of design: Design 1 main view. ; 5. Specify design 3 as basic design. ; 6. The purpose of graphical user interface: Design 1 The main view is the monitoring interface of the comprehensive mining working facade and liquid control system. The design 2 main view is the parameter control management interface of the comprehensive mining working facade and liquid control system. Carry out related operations. The design 3 main view is the monitoring interface of the comprehensive mining working surface electric liquid control system. The user clicks the control button in the upper right corner of the interface (the left side of the switch button) to set the system parameters. Essence 7. Other situations that need to be described other explanations: This display screen panel is applied to vehicles, computers, laptops, tablets, mobile phones, smart watches, smart bracelets, fitness monitor, headset headphones, personal digital assistants (PDA ) Smart speakers, television, set -top boxes, projectors, game consoles or navigators.</v>
      </c>
      <c r="D392" s="6" t="s">
        <v>1153</v>
      </c>
      <c r="E392" s="4" t="str">
        <f ca="1">IFERROR(__xludf.DUMMYFUNCTION("GOOGLETRANSLATE(D392,""auto"",""en"")"),"Display screen panel monitoring graphical user interface")</f>
        <v>Display screen panel monitoring graphical user interface</v>
      </c>
    </row>
    <row r="393" spans="1:5" ht="15" x14ac:dyDescent="0.25">
      <c r="A393" s="5" t="s">
        <v>1156</v>
      </c>
      <c r="B393" s="6" t="s">
        <v>1157</v>
      </c>
      <c r="C393" s="3" t="str">
        <f ca="1">IFERROR(__xludf.DUMMYFUNCTION("GOOGLETRANSLATE(B393,""auto"",""en"")"),"1. The name of the product of the product: The menu management graphic user interface with a rotation chart with a display screen panel.
 2. Design products in appearance: used for interaction and display.
 3. Design of the design of the product in ap"&amp;"pearance: lies in the graphic user interface.
 4. Pictures or photos that can best show design points: Figure 5 of the interface change state.
 5. There is no design point for other views, omitting other views.
 6. The purpose of the graphical user "&amp;"interface: It is used to display the promotion of the new accounting standard system system, and the editing operation of the new accounting standard system through the fusion design of the first -level menu and the secondary menu.
 7. Human -computer i"&amp;"nteraction method of graphics user interface: The main view is the initial page of the new accounting standard system, including information on the navigation bar used by the user login, the promotional area of ​​the display wheel broadcast, and the first"&amp;" -level menu in the user's custom module The navigation bar is used to display basic information such as the name of the system, the name of the current system users, the ""switching language"" operation entrance, and the ""system settings"" operation ent"&amp;"rance; , Automatically switch to the rotation diagram displayed by the interface change state figure 1; after a certain period of time (for example: 5 seconds) in the interface change state, the rotation diagram of the interface changes is automatically s"&amp;"witched to ; After a certain time (for example: 5 seconds) in the interface change state, automatic switch to the interface changes in the interface changes after the interface is (eg: 5 seconds). The ""Custom Module"" button in the first interface, jump "&amp;"to the interface change state Figure 4 Display the custom editing first -level menu display page, the user by clicking the closing button at the upper right of the first -level menu (for example: gray filling circular, circular, round, round, round, round"&amp;", round, round, round, round, round, round, round, round, circular Gray × symbols) to delete the first -level menu, click the ""Duvic Engine · Expense Sorting Rules"" option below the ""New First Menu"" button, jump to the display page of the new first -l"&amp;"evel menu displayed by the interface change state. After the user selects one of the first -level menus (for example: center · development and operation and maintenance management center) through the mouse, the display includes the ""development platform"&amp;""", ""synchronous platform"", ""data service platform"",, data service platform "",, data service platforms,, data service platforms,, data service platforms, data service platforms"" ""Asset Platform"", ""System Operation and Maintenance"" and other info"&amp;"rmation secondary menus; click the ""Save"" button in the state change status 5 to jump to the interface change state. 6 displayed with the word ""operation success"" prompt. Window page; click the interface change state Figure 6 The ""Duvic Engine · Expe"&amp;"nse Sorting Rules"" option in the first menu of the first menu, jump to the interface change state. 7 displayed with a second -level menu display. Interface Change Status Figure 6 The ""Tracer · Report Disclosure Tracer engine"" option in the first menu, "&amp;"jump to the interface change state. 8 displayed with a second -level menu display. Interface change status Figure 6 The ""Core · Industry Fortune Data Treatment Platform"" option in the first menu, jump to the interface change state. 9 displayed with a se"&amp;"cond -level menu display, the industry wealth data processing platform page; click Interface changes State Figure 6 The ""Center · Development and Maintenance Management Center"" option in the first -level menu, jump to the interface change state. Figure "&amp;"10 shows the center of development and operation and maintenance management center page displayed by the secondary menu display.
 8. The displayed carrier equipment for display is the existing design. The display screen panel can be applied to computers"&amp;", laptops, tablet computers, mobile phones, smartphones, smart glasses, watches, smart watches, fitness monitors, head wearing, head wearing Form headphones, personal digital assistants, smart speakers, television, monitor, set -top box, navigator, displa"&amp;"y device for vehicles.")</f>
        <v>1. The name of the product of the product: The menu management graphic user interface with a rotation chart with a display screen panel.
 2. Design products in appearance: used for interaction and display.
 3. Design of the design of the product in appearance: lies in the graphic user interface.
 4. Pictures or photos that can best show design points: Figure 5 of the interface change state.
 5. There is no design point for other views, omitting other views.
 6. The purpose of the graphical user interface: It is used to display the promotion of the new accounting standard system system, and the editing operation of the new accounting standard system through the fusion design of the first -level menu and the secondary menu.
 7. Human -computer interaction method of graphics user interface: The main view is the initial page of the new accounting standard system, including information on the navigation bar used by the user login, the promotional area of ​​the display wheel broadcast, and the first -level menu in the user's custom module The navigation bar is used to display basic information such as the name of the system, the name of the current system users, the "switching language" operation entrance, and the "system settings" operation entrance; , Automatically switch to the rotation diagram displayed by the interface change state figure 1; after a certain period of time (for example: 5 seconds) in the interface change state, the rotation diagram of the interface changes is automatically switched to ; After a certain time (for example: 5 seconds) in the interface change state, automatic switch to the interface changes in the interface changes after the interface is (eg: 5 seconds). The "Custom Module" button in the first interface, jump to the interface change state Figure 4 Display the custom editing first -level menu display page, the user by clicking the closing button at the upper right of the first -level menu (for example: gray filling circular, circular, round, round, round, round, round, round, round, round, round, round, round, round, circular Gray × symbols) to delete the first -level menu, click the "Duvic Engine · Expense Sorting Rules" option below the "New First Menu" button, jump to the display page of the new first -level menu displayed by the interface change state. After the user selects one of the first -level menus (for example: center · development and operation and maintenance management center) through the mouse, the display includes the "development platform", "synchronous platform", "data service platform",, data service platform ",, data service platforms,, data service platforms,, data service platforms, data service platforms" "Asset Platform", "System Operation and Maintenance" and other information secondary menus; click the "Save" button in the state change status 5 to jump to the interface change state. 6 displayed with the word "operation success" prompt. Window page; click the interface change state Figure 6 The "Duvic Engine · Expense Sorting Rules" option in the first menu of the first menu, jump to the interface change state. 7 displayed with a second -level menu display. Interface Change Status Figure 6 The "Tracer · Report Disclosure Tracer engine" option in the first menu, jump to the interface change state. 8 displayed with a second -level menu display. Interface change status Figure 6 The "Core · Industry Fortune Data Treatment Platform" option in the first menu, jump to the interface change state. 9 displayed with a second -level menu display, the industry wealth data processing platform page; click Interface changes State Figure 6 The "Center · Development and Maintenance Management Center" option in the first -level menu, jump to the interface change state. Figure 10 shows the center of development and operation and maintenance management center page displayed by the secondary menu display.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device for vehicles.</v>
      </c>
      <c r="D393" s="6" t="s">
        <v>1158</v>
      </c>
      <c r="E393" s="4" t="str">
        <f ca="1">IFERROR(__xludf.DUMMYFUNCTION("GOOGLETRANSLATE(D393,""auto"",""en"")"),"The menu management graphic user interface with a rotation diagram with a display screen panel")</f>
        <v>The menu management graphic user interface with a rotation diagram with a display screen panel</v>
      </c>
    </row>
    <row r="394" spans="1:5" ht="15" x14ac:dyDescent="0.25">
      <c r="A394" s="5" t="s">
        <v>1159</v>
      </c>
      <c r="B394" s="6" t="s">
        <v>1160</v>
      </c>
      <c r="C394" s="3" t="str">
        <f ca="1">IFERROR(__xludf.DUMMYFUNCTION("GOOGLETRANSLATE(B394,""auto"",""en"")"),"This application provides front auxiliary training devices for the badminton network, including the installation base. The installation base is set with trapezoidal brackets and symmetrical installation columns on the left and right sides of the trapezoid"&amp;"al bracket. There is a driver shaft between the rotation set between a rotating seat. The rotating seat is embedded in the first turning mechanism connected to the drive shaft. The driving shaft is set up above the trapezoidal bracket; Including a number "&amp;"of ejection vehicles arranged in the left and right directions, the top activity set of the ejection vehicle is set in the drive shaft, and the internal settings of the trapezoidal bracket are set to the precise emission mechanism that is used to drive th"&amp;"e ejection vehicle to launch the badminton; There is a controller inside the base. This application can automatically launch the badminton that dropped in the front of the net to the trainers, saving the time to pick up the ball, and improves the training"&amp;" efficiency and training effect.")</f>
        <v>This application provides front auxiliary training devices for the badminton network, including the installation base. The installation base is set with trapezoidal brackets and symmetrical installation columns on the left and right sides of the trapezoidal bracket. There is a driver shaft between the rotation set between a rotating seat. The rotating seat is embedded in the first turning mechanism connected to the drive shaft. The driving shaft is set up above the trapezoidal bracket; Including a number of ejection vehicles arranged in the left and right directions, the top activity set of the ejection vehicle is set in the drive shaft, and the internal settings of the trapezoidal bracket are set to the precise emission mechanism that is used to drive the ejection vehicle to launch the badminton; There is a controller inside the base. This application can automatically launch the badminton that dropped in the front of the net to the trainers, saving the time to pick up the ball, and improves the training efficiency and training effect.</v>
      </c>
      <c r="D394" s="6" t="s">
        <v>1161</v>
      </c>
      <c r="E394" s="4" t="str">
        <f ca="1">IFERROR(__xludf.DUMMYFUNCTION("GOOGLETRANSLATE(D394,""auto"",""en"")"),"Auxiliary training device of badminton network")</f>
        <v>Auxiliary training device of badminton network</v>
      </c>
    </row>
    <row r="395" spans="1:5" ht="15" x14ac:dyDescent="0.25">
      <c r="A395" s="5" t="s">
        <v>1162</v>
      </c>
      <c r="B395" s="6" t="s">
        <v>1163</v>
      </c>
      <c r="C395" s="3" t="str">
        <f ca="1">IFERROR(__xludf.DUMMYFUNCTION("GOOGLETRANSLATE(B395,""auto"",""en"")"),"Procedure training equipment, methods and systems. In one embodiment, surgery trainees are allowed to receive clinical guidance of experts during on -site surgery, or use augmented reality headphones to practice surgical skills on anatomy models in a real"&amp;"istic way. Location device has a coach similar to AR headphones in audio and video communication. A unique feature of the system includes real -time or static imaging of surgical parts to trainees and trainers. Among them, the imaging is provided by medic"&amp;"al or other devices (such as ultrasonic) through equipment media centers. The image is displayed in the field of surgeon so that they can see their hands, patients (or models) and imaging at the same time. Control allows the imaging of the corresponding A"&amp;"R headphones to switch by the trainer according to the command, which allows the trainer to transmit the trainer's surgical site image (for example, on their own model) to the trainer's AR headset to explain the correct program. For examples. Once the tra"&amp;"iner watches the imaging of the trainer's correct program, the imaging source can switch back to the surgical site of the trainee so that they can continue the program. Guidance or on -site clinical support during surgery or on -site clinical support allo"&amp;"ws recording surgery processes, and separate records through machine learning models and courses to allow semi -supervision and/or unsupervised learning. After creating a machine learning model, you can give automatic guidance and/or alert during the oper"&amp;"ation.")</f>
        <v>Procedure training equipment, methods and systems. In one embodiment, surgery trainees are allowed to receive clinical guidance of experts during on -site surgery, or use augmented reality headphones to practice surgical skills on anatomy models in a realistic way. Location device has a coach similar to AR headphones in audio and video communication. A unique feature of the system includes real -time or static imaging of surgical parts to trainees and trainers. Among them, the imaging is provided by medical or other devices (such as ultrasonic) through equipment media centers. The image is displayed in the field of surgeon so that they can see their hands, patients (or models) and imaging at the same time. Control allows the imaging of the corresponding AR headphones to switch by the trainer according to the command, which allows the trainer to transmit the trainer's surgical site image (for example, on their own model) to the trainer's AR headset to explain the correct program. For examples. Once the trainer watches the imaging of the trainer's correct program, the imaging source can switch back to the surgical site of the trainee so that they can continue the program. Guidance or on -site clinical support during surgery or on -site clinical support allows recording surgery processes, and separate records through machine learning models and courses to allow semi -supervision and/or unsupervised learning. After creating a machine learning model, you can give automatic guidance and/or alert during the operation.</v>
      </c>
      <c r="D395" s="6" t="s">
        <v>1164</v>
      </c>
      <c r="E395" s="4" t="str">
        <f ca="1">IFERROR(__xludf.DUMMYFUNCTION("GOOGLETRANSLATE(D395,""auto"",""en"")"),"Program guidance and training equipment, methods and systems")</f>
        <v>Program guidance and training equipment, methods and systems</v>
      </c>
    </row>
    <row r="396" spans="1:5" ht="15" x14ac:dyDescent="0.25">
      <c r="A396" s="5" t="s">
        <v>1165</v>
      </c>
      <c r="B396" s="6" t="s">
        <v>1166</v>
      </c>
      <c r="C396" s="3" t="str">
        <f ca="1">IFERROR(__xludf.DUMMYFUNCTION("GOOGLETRANSLATE(B396,""auto"",""en"")"),"A system that is used to track the competitors on the track, including multiple object recognition devices that are positioned to identify objects at the predetermined position along the track. Object recognition equipment is configured to identify at lea"&amp;"st one body characteristics of each contestant. The processing device is configured to determine the time to determine the time of the contestant based on object recognition data from at least one object recognition device. The transmitter is configured t"&amp;"o launch the time when the participants reach the selected position to the output device during the competition.")</f>
        <v>A system that is used to track the competitors on the track, including multiple object recognition devices that are positioned to identify objects at the predetermined position along the track. Object recognition equipment is configured to identify at least one body characteristics of each contestant. The processing device is configured to determine the time to determine the time of the contestant based on object recognition data from at least one object recognition device. The transmitter is configured to launch the time when the participants reach the selected position to the output device during the competition.</v>
      </c>
      <c r="D396" s="6" t="s">
        <v>1167</v>
      </c>
      <c r="E396" s="4" t="str">
        <f ca="1">IFERROR(__xludf.DUMMYFUNCTION("GOOGLETRANSLATE(D396,""auto"",""en"")"),"Applicable to the participating sports competition market based on artificial intelligence timing, imaging and tracking system")</f>
        <v>Applicable to the participating sports competition market based on artificial intelligence timing, imaging and tracking system</v>
      </c>
    </row>
    <row r="397" spans="1:5" ht="15" x14ac:dyDescent="0.25">
      <c r="A397" s="5" t="s">
        <v>1168</v>
      </c>
      <c r="B397" s="6" t="s">
        <v>1169</v>
      </c>
      <c r="C397" s="3" t="str">
        <f ca="1">IFERROR(__xludf.DUMMYFUNCTION("GOOGLETRANSLATE(B397,""auto"",""en"")"),"This article revealed a system and method system for evaluating football players in football games. The system includes multiple 3D depth cameras (100); one or more wearable sensors (200); control device (300); and Internet communication channels. 3D dept"&amp;"h camera (100) installed in multiple stations in football players participating in football games, and 3D deep camera is suitable for capturing video/images of football games. Wearable sensors (200) for football players to wear during football games, whil"&amp;"e wearable sensors (200) are used to read the physiological parameters of football players. Control device (300) and 3D deep camera (100) and wearable sensors (200) for Internet communication to receive, record and analyze data related to video/images and"&amp;" physiological parameters. Control device (300) includes an IoT (IoT) enable microprocessor embedded in a neural network training engine. The engine is configured for: an unfair practice noticed in image/video frames to detect foul incidents; statistical "&amp;"football The number of fouls of the athlete's identity; use the physiological parameters of football players to predict the intention of football players who cause fouls; calculate the performance level of each football player based on the number of foul "&amp;"events and the intention of the football player who causes the foul.")</f>
        <v>This article revealed a system and method system for evaluating football players in football games. The system includes multiple 3D depth cameras (100); one or more wearable sensors (200); control device (300); and Internet communication channels. 3D depth camera (100) installed in multiple stations in football players participating in football games, and 3D deep camera is suitable for capturing video/images of football games. Wearable sensors (200) for football players to wear during football games, while wearable sensors (200) are used to read the physiological parameters of football players. Control device (300) and 3D deep camera (100) and wearable sensors (200) for Internet communication to receive, record and analyze data related to video/images and physiological parameters. Control device (300) includes an IoT (IoT) enable microprocessor embedded in a neural network training engine. The engine is configured for: an unfair practice noticed in image/video frames to detect foul incidents; statistical football The number of fouls of the athlete's identity; use the physiological parameters of football players to predict the intention of football players who cause fouls; calculate the performance level of each football player based on the number of foul events and the intention of the football player who causes the foul.</v>
      </c>
      <c r="D397" s="6" t="s">
        <v>1170</v>
      </c>
      <c r="E397" s="4" t="str">
        <f ca="1">IFERROR(__xludf.DUMMYFUNCTION("GOOGLETRANSLATE(D397,""auto"",""en"")"),"A intelligent management system for use artificial intelligence and machine learning technology in football games for foul detection and performance analysis")</f>
        <v>A intelligent management system for use artificial intelligence and machine learning technology in football games for foul detection and performance analysis</v>
      </c>
    </row>
    <row r="398" spans="1:5" ht="15" x14ac:dyDescent="0.25">
      <c r="A398" s="5" t="s">
        <v>1171</v>
      </c>
      <c r="B398" s="6" t="s">
        <v>1172</v>
      </c>
      <c r="C398" s="3" t="str">
        <f ca="1">IFERROR(__xludf.DUMMYFUNCTION("GOOGLETRANSLATE(B398,""auto"",""en"")"),"Nowadays, more and more people are diagnosed with chronic diseases. These diseases are caused by not following the appropriate eating habits, without regular exercise, or because the busy schedule does not give appropriate attention. Therefore, we propose"&amp;" a system to recommend to them with healthy diet and exercise plans through analysis and monitoring health parameters and their latest reports related to diseases, thereby improving the health of patients with various diseases Essence We consider patients"&amp;" with diabetes or blood pressure or thyroid. Our system is very useful for doctors to recommend diet and exercise based on their latest reports and personal health details. To this end, we divide the system into two modules: 1. Health monitoring, 2. Diet "&amp;"and exercise recommendations. In the health monitoring module, the system will recommend subsequent sessions until the report is normal. For diet and sports recommendation modules, the algorithm used is a decision tree for classification. To be precise, C"&amp;"4.5 is a suggestion for giving diet and exercise. C4.5 Decision Tree will help to recommend and determine whether we should provide specific foods and exercises to specific individuals based on our customized data set.")</f>
        <v>Nowadays, more and more people are diagnosed with chronic diseases. These diseases are caused by not following the appropriate eating habits, without regular exercise, or because the busy schedule does not give appropriate attention. Therefore, we propose a system to recommend to them with healthy diet and exercise plans through analysis and monitoring health parameters and their latest reports related to diseases, thereby improving the health of patients with various diseases Essence We consider patients with diabetes or blood pressure or thyroid. Our system is very useful for doctors to recommend diet and exercise based on their latest reports and personal health details. To this end, we divide the system into two modules: 1. Health monitoring, 2. Diet and exercise recommendations. In the health monitoring module, the system will recommend subsequent sessions until the report is normal. For diet and sports recommendation modules, the algorithm used is a decision tree for classification. To be precise, C4.5 is a suggestion for giving diet and exercise. C4.5 Decision Tree will help to recommend and determine whether we should provide specific foods and exercises to specific individuals based on our customized data set.</v>
      </c>
      <c r="D398" s="6" t="s">
        <v>1173</v>
      </c>
      <c r="E398" s="4" t="str">
        <f ca="1">IFERROR(__xludf.DUMMYFUNCTION("GOOGLETRANSLATE(D398,""auto"",""en"")"),"Use C4.5 decision tree model fitness and diet recommendation")</f>
        <v>Use C4.5 decision tree model fitness and diet recommendation</v>
      </c>
    </row>
    <row r="399" spans="1:5" ht="15" x14ac:dyDescent="0.25">
      <c r="A399" s="5" t="s">
        <v>1174</v>
      </c>
      <c r="B399" s="6" t="s">
        <v>1175</v>
      </c>
      <c r="C399" s="3" t="str">
        <f ca="1">IFERROR(__xludf.DUMMYFUNCTION("GOOGLETRANSLATE(B399,""auto"",""en"")"),"The invention involves a remote control solar drone water purifier for floating garbage. A remote control solar drone (100), including propellers, solar panels, conveyor belts, node MCUs and multiple sensors. Remote control solar drones (100) aims to mini"&amp;"mize the efforts of human clean water, so that the blue earth will turn blue again, and help the labor force to restore and protect the lake ecosystem more effectively. Remote control solar drones (100) can be used for cleaning ponds, rivers and swimming "&amp;"pools, and can also increase the pH value of water. Remote control solar drones (100) have multiple sensors to test the cleanliness of water and distinguish waste and aquatic creatures. Remote control solar drones (100) Based on the Internet of Things pla"&amp;"tform, users can directly collect information about lake environmental ecosystems.")</f>
        <v>The invention involves a remote control solar drone water purifier for floating garbage. A remote control solar drone (100), including propellers, solar panels, conveyor belts, node MCUs and multiple sensors. Remote control solar drones (100) aims to minimize the efforts of human clean water, so that the blue earth will turn blue again, and help the labor force to restore and protect the lake ecosystem more effectively. Remote control solar drones (100) can be used for cleaning ponds, rivers and swimming pools, and can also increase the pH value of water. Remote control solar drones (100) have multiple sensors to test the cleanliness of water and distinguish waste and aquatic creatures. Remote control solar drones (100) Based on the Internet of Things platform, users can directly collect information about lake environmental ecosystems.</v>
      </c>
      <c r="D399" s="6" t="s">
        <v>1176</v>
      </c>
      <c r="E399" s="4" t="str">
        <f ca="1">IFERROR(__xludf.DUMMYFUNCTION("GOOGLETRANSLATE(D399,""auto"",""en"")"),"Remote control solar drone water purifier for floating waste")</f>
        <v>Remote control solar drone water purifier for floating waste</v>
      </c>
    </row>
    <row r="400" spans="1:5" ht="15" x14ac:dyDescent="0.25">
      <c r="A400" s="5" t="s">
        <v>1177</v>
      </c>
      <c r="B400" s="6" t="s">
        <v>1178</v>
      </c>
      <c r="C400" s="3" t="str">
        <f ca="1">IFERROR(__xludf.DUMMYFUNCTION("GOOGLETRANSLATE(B400,""auto"",""en"")"),"Medical diagnosis and therapy often use machine learning and the Internet of Things to monitor the condition of patients. When an abnormal situation is abnormal, it is reminded that the IoT system of the patient's companion is constructed using the functi"&amp;"on of the wearable sensor system with a sensor. Machine learning has been used to discover any inconsistencies in the patient's state by using trained models, thereby helping in the field of medical diagnosis. The system uses temperature sensors, pulse bl"&amp;"ood oxygen meters, IoT (IoT) sensors and clouds to monitor patients' health. Medical data is classified, distributed and analyzed by the Internet of Things as users and medical care providers. The information is stored in the Cloud Hospital through the Z-"&amp;"WAVE device to collect data from various sensors required by patients to obtain IoT data, and save these data in the hospital database, and use AI and ML-based algorithms to continuously review data. Using FKNN -based classification technology, the user i"&amp;"s divided into several groups according to whether the user is infected. Wearaable and WE uses similar coefficients to distinguish according to the patient's symptoms, and uses fuzzy K-nearest neighboring (FKNN) technology to divide the user into a infect"&amp;"ion group or an unprepared group. If any omissions happen quickly, patients can obtain tailor -made attention through wearable technology (such as fitness bracelets) and other wireless connection equipment (such as blood pressure and heart rate monitoring"&amp;" cuffs, blood glucose meters, etc.). These small tools can be programmed to remind you to pay attention to various events, such as blood pressure changes, dating, calorie computing and exercise. The Internet of Things enables people to track their health "&amp;"in real time, which has greatly changed people's lives, especially the lives of elderly patients. Family and individuals who live alone are greatly affected by this. If a person's daily activities are interrupted or changed, the alarm mechanism will notif"&amp;"y relevant medical professionals, family members, doctors, ambulances and others.")</f>
        <v>Medical diagnosis and therapy often use machine learning and the Internet of Things to monitor the condition of patients. When an abnormal situation is abnormal, it is reminded that the IoT system of the patient's companion is constructed using the function of the wearable sensor system with a sensor. Machine learning has been used to discover any inconsistencies in the patient's state by using trained models, thereby helping in the field of medical diagnosis. The system uses temperature sensors, pulse blood oxygen meters, IoT (IoT) sensors and clouds to monitor patients' health. Medical data is classified, distributed and analyzed by the Internet of Things as users and medical care providers. The information is stored in the Cloud Hospital through the Z-WAVE device to collect data from various sensors required by patients to obtain IoT data, and save these data in the hospital database, and use AI and ML-based algorithms to continuously review data. Using FKNN -based classification technology, the user is divided into several groups according to whether the user is infected. Wearaable and WE uses similar coefficients to distinguish according to the patient's symptoms, and uses fuzzy K-nearest neighboring (FKNN) technology to divide the user into a infection group or an unprepared group. If any omissions happen quickly, patients can obtain tailor -made attention through wearable technology (such as fitness bracelets) and other wireless connection equipment (such as blood pressure and heart rate monitoring cuffs, blood glucose meters, etc.). These small tools can be programmed to remind you to pay attention to various events, such as blood pressure changes, dating, calorie computing and exercise. The Internet of Things enables people to track their health in real time, which has greatly changed people's lives, especially the lives of elderly patients. Family and individuals who live alone are greatly affected by this. If a person's daily activities are interrupted or changed, the alarm mechanism will notify relevant medical professionals, family members, doctors, ambulances and others.</v>
      </c>
      <c r="D400" s="6" t="s">
        <v>1179</v>
      </c>
      <c r="E400" s="4" t="str">
        <f ca="1">IFERROR(__xludf.DUMMYFUNCTION("GOOGLETRANSLATE(D400,""auto"",""en"")"),"The use of machine learning design is a remote intelligent healthcare system based on the Internet of Things for personal emergency response")</f>
        <v>The use of machine learning design is a remote intelligent healthcare system based on the Internet of Things for personal emergency response</v>
      </c>
    </row>
    <row r="401" spans="1:5" ht="15" x14ac:dyDescent="0.25">
      <c r="A401" s="5" t="s">
        <v>1180</v>
      </c>
      <c r="B401" s="6" t="s">
        <v>1181</v>
      </c>
      <c r="C401" s="3" t="str">
        <f ca="1">IFERROR(__xludf.DUMMYFUNCTION("GOOGLETRANSLATE(B401,""auto"",""en"")"),"The present invention disclosed a intelligent supervision and control system and method of intelligent swimming training based on artificial intelligence. The method includes users to wear intelligent training swimsuits and swim in swimming pools with und"&amp;"erwater sensors; Collect swimming data and upload it to the terminal; the terminal compares guidance by comparing the swimming data of professional athletes stored in the cloud server; the voice prompt device prompts users to continue training to obtain t"&amp;"he best swimming posture. The present invention obtains the arms, leg movements and turning angles based on the user's swimming process in real time, and adjusts the posture through voice prompts to train to form a swimming state, swimming posture, and ev"&amp;"en routine suitable for users to form a targeted. Guidance to significantly improve the training effect.")</f>
        <v>The present invention disclosed a intelligent supervision and control system and method of intelligent swimming training based on artificial intelligence. The method includes users to wear intelligent training swimsuits and swim in swimming pools with underwater sensors; Collect swimming data and upload it to the terminal; the terminal compares guidance by comparing the swimming data of professional athletes stored in the cloud server; the voice prompt device prompts users to continue training to obtain the best swimming posture. The present invention obtains the arms, leg movements and turning angles based on the user's swimming process in real time, and adjusts the posture through voice prompts to train to form a swimming state, swimming posture, and even routine suitable for users to form a targeted. Guidance to significantly improve the training effect.</v>
      </c>
      <c r="D401" s="6" t="s">
        <v>1182</v>
      </c>
      <c r="E401" s="4" t="str">
        <f ca="1">IFERROR(__xludf.DUMMYFUNCTION("GOOGLETRANSLATE(D401,""auto"",""en"")"),"A intelligent supervision and control system and method based on artificial intelligence -based swimming training")</f>
        <v>A intelligent supervision and control system and method based on artificial intelligence -based swimming training</v>
      </c>
    </row>
    <row r="402" spans="1:5" ht="15" x14ac:dyDescent="0.25">
      <c r="A402" s="5" t="s">
        <v>1183</v>
      </c>
      <c r="B402" s="6" t="s">
        <v>1184</v>
      </c>
      <c r="C402" s="3" t="str">
        <f ca="1">IFERROR(__xludf.DUMMYFUNCTION("GOOGLETRANSLATE(B402,""auto"",""en"")"),"The present invention involves the use of the artificial intelligence robot football simulation competition control using variable control of the stadium floor friction coefficient, as well as methods and devices used to identify artificial intelligence -"&amp;"based friction coefficients. More specifically, the friction coefficients involved in the contact surface involved. The robot and the stadium floor involve a kind of method and device that is configured to be configured as a variable artificial intelligen"&amp;"ce robot football simulation game control in the game, and a method and device that uses the coordinate information of the robot in the simulation competition to identify the friction coefficient of artificial intelligence.
  According to the present in"&amp;"vention, a robotic football system has been established. The task is to change the friction of the stadium floor during the competition, and to encourage the development of artificial intelligence by improving the function, so that robots equipped with ar"&amp;"tificial intelligence respond to appropriately. In addition, in the detection of road friction coefficients, the present invention recognizes the road friction coefficient based on artificial intelligence based on object coordinate changes, and has the ef"&amp;"fect of detecting road friction coefficients. Relief/torque sensor friction.")</f>
        <v>The present invention involves the use of the artificial intelligence robot football simulation competition control using variable control of the stadium floor friction coefficient, as well as methods and devices used to identify artificial intelligence -based friction coefficients. More specifically, the friction coefficients involved in the contact surface involved. The robot and the stadium floor involve a kind of method and device that is configured to be configured as a variable artificial intelligence robot football simulation game control in the game, and a method and device that uses the coordinate information of the robot in the simulation competition to identify the friction coefficient of artificial intelligence.
  According to the present invention, a robotic football system has been established. The task is to change the friction of the stadium floor during the competition, and to encourage the development of artificial intelligence by improving the function, so that robots equipped with artificial intelligence respond to appropriately. In addition, in the detection of road friction coefficients, the present invention recognizes the road friction coefficient based on artificial intelligence based on object coordinate changes, and has the effect of detecting road friction coefficients. Relief/torque sensor friction.</v>
      </c>
      <c r="D402" s="6" t="s">
        <v>1185</v>
      </c>
      <c r="E402" s="4" t="str">
        <f ca="1">IFERROR(__xludf.DUMMYFUNCTION("GOOGLETRANSLATE(D402,""auto"",""en"")"),"An artificial intelligence robot football simulation game control method and device and artificial intelligence -based friction coefficient recognition method and device, use the variable control of the friction coefficient of the stadium floor")</f>
        <v>An artificial intelligence robot football simulation game control method and device and artificial intelligence -based friction coefficient recognition method and device, use the variable control of the friction coefficient of the stadium floor</v>
      </c>
    </row>
    <row r="403" spans="1:5" ht="15" x14ac:dyDescent="0.25">
      <c r="A403" s="5" t="s">
        <v>1186</v>
      </c>
      <c r="B403" s="6" t="s">
        <v>1187</v>
      </c>
      <c r="C403" s="3" t="str">
        <f ca="1">IFERROR(__xludf.DUMMYFUNCTION("GOOGLETRANSLATE(B403,""auto"",""en"")"),"The present invention disclosed a swimming pool operation management monitoring system and method based on the Internet of Things. The method includes swimming pool staff to enter the system by carrying the client's terminal login; swimming pool staff que"&amp;"ry relevant information for clients through the information query unit; swimming The staff of the museum purchases related products or tickets for customers through the pool shopping unit; the swimming pool staff calls other staff to clean the correspondi"&amp;"ng location through the cleaning unit cleaning unit. The present invention is electronic -oriented. With the help of information and communication instruments, the entire process of supervision of bills, flow, hygiene, and security is avoided to avoid reg"&amp;"ulatory dead ends. Data and public security data systems are connected to abnormal real -time monitoring. The protection mode can be saved in time when emergency accidents to avoid data loss.")</f>
        <v>The present invention disclosed a swimming pool operation management monitoring system and method based on the Internet of Things. The method includes swimming pool staff to enter the system by carrying the client's terminal login; swimming pool staff query relevant information for clients through the information query unit; swimming The staff of the museum purchases related products or tickets for customers through the pool shopping unit; the swimming pool staff calls other staff to clean the corresponding location through the cleaning unit cleaning unit. The present invention is electronic -oriented. With the help of information and communication instruments, the entire process of supervision of bills, flow, hygiene, and security is avoided to avoid regulatory dead ends. Data and public security data systems are connected to abnormal real -time monitoring. The protection mode can be saved in time when emergency accidents to avoid data loss.</v>
      </c>
      <c r="D403" s="6" t="s">
        <v>1188</v>
      </c>
      <c r="E403" s="4" t="str">
        <f ca="1">IFERROR(__xludf.DUMMYFUNCTION("GOOGLETRANSLATE(D403,""auto"",""en"")"),"A system and method and method of operating management monitoring system based on the Internet of Things pool operation")</f>
        <v>A system and method and method of operating management monitoring system based on the Internet of Things pool operation</v>
      </c>
    </row>
    <row r="404" spans="1:5" ht="15" x14ac:dyDescent="0.25">
      <c r="A404" s="5" t="s">
        <v>1189</v>
      </c>
      <c r="B404" s="6" t="s">
        <v>1190</v>
      </c>
      <c r="C404" s="3" t="str">
        <f ca="1">IFERROR(__xludf.DUMMYFUNCTION("GOOGLETRANSLATE(B404,""auto"",""en"")"),"The present invention disclosed a curling assisted training car, which is characterized by: the vehicle server, including the car central processing module, the visual system control module, the holding mechanism control module, the motion mechanism contr"&amp;"ol module, and the rotating mechanism control module; the person The interactive client, including setting parameters, obtaining pictures, frame selection targets, aiming throwing, keyboard control, and video playback. Based on computer visual aiming and "&amp;"tracking targets, the trajectory of the training car through the visual servo system can be aimed at the curling field. The goal, throw the curling at a certain line speed and angle speed to achieve the purpose of auxiliary athlete training, you can compl"&amp;"ete the goals that some athletes cannot complete, such as maintaining the same strength and speed of each throwing curling each time, and at the same time play auxiliary training The role of improving training is conducive to the promotion of curling exer"&amp;"cise.")</f>
        <v>The present invention disclosed a curling assisted training car, which is characterized by: the vehicle server, including the car central processing module, the visual system control module, the holding mechanism control module, the motion mechanism control module, and the rotating mechanism control module; the person The interactive client, including setting parameters, obtaining pictures, frame selection targets, aiming throwing, keyboard control, and video playback. Based on computer visual aiming and tracking targets, the trajectory of the training car through the visual servo system can be aimed at the curling field. The goal, throw the curling at a certain line speed and angle speed to achieve the purpose of auxiliary athlete training, you can complete the goals that some athletes cannot complete, such as maintaining the same strength and speed of each throwing curling each time, and at the same time play auxiliary training The role of improving training is conducive to the promotion of curling exercise.</v>
      </c>
      <c r="D404" s="6" t="s">
        <v>1191</v>
      </c>
      <c r="E404" s="4" t="str">
        <f ca="1">IFERROR(__xludf.DUMMYFUNCTION("GOOGLETRANSLATE(D404,""auto"",""en"")"),"A curling auxiliary training car")</f>
        <v>A curling auxiliary training car</v>
      </c>
    </row>
    <row r="405" spans="1:5" ht="15" x14ac:dyDescent="0.25">
      <c r="A405" s="5" t="s">
        <v>1192</v>
      </c>
      <c r="B405" s="6" t="s">
        <v>1193</v>
      </c>
      <c r="C405" s="3" t="str">
        <f ca="1">IFERROR(__xludf.DUMMYFUNCTION("GOOGLETRANSLATE(B405,""auto"",""en"")"),"1. The name of the product of the design of the product: The product information display graphic user interface of the display screen panel. 2. The purpose of designing products in this exterior: used to display graphic user interface. 3. Design of the de"&amp;"sign of the product in appearance: lies in the graphic user interface. 4. Pictures or photos that can best show design: Design 1 main view. 5. Specify design 1 is the basic design. 6. The purpose of graphical user interface: This graphic user interface is"&amp;" used to display product information. 7. Human -computer interaction method of graphical user interface: Design 1 to Design 4 Main View Graphic User Interface is the interface of product information display. Users can click on the middle card in the inter"&amp;"face to perform the details of the corresponding product. The card location where the three models are located, of which, design 1. Design 3 and design 4 The model map on the central card. Model map. The gray color blocks in each design interface are repl"&amp;"aceable pictures or videos. The fork number in each design interface represents text or numbers or letters or symbols. 8. This graphic user interface can be used for mobile phones, computers, tablets, televisions, vehicle central control screens, vehicle "&amp;"navigators, vehicle display devices, game consoles, navigators, multimedia all -in -one machines, smart speakers, smart fitness equipment, smart home appliances, bands, band Robots, smart glasses, smart headphones, smart table lamps, smart door systems, a"&amp;"dvertising display, automatic sale machines, and medical devices with display screens with display screens. 9. The display screen panel is commonly designed, omitting the rear view, left view, right view, downward view, and upper view of various designs.")</f>
        <v>1. The name of the product of the design of the product: The product information display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product information. 7. Human -computer interaction method of graphical user interface: Design 1 to Design 4 Main View Graphic User Interface is the interface of product information display. Users can click on the middle card in the interface to perform the details of the corresponding product. The card location where the three models are located, of which, design 1. Design 3 and design 4 The model map on the central card. Model map. The gray color blocks in each design interface are replaceable pictures or videos. The fork number in each design interface represents text or numbers or letters or symbols. 8. This graphic user interface can be used for mobile phones, computers, tablets, televisions, vehicle central control screens, vehicle navigators, vehicle display devices, game consoles, navigators, multimedia all -in -one machines, smart speakers, smart fitness equipment, smart home appliances, bands, band Robots, smart glasses, smart headphones, smart table lamps, smart door systems, advertising display, automatic sale machines, and medical devices with display screens with display screens. 9. The display screen panel is commonly designed, omitting the rear view, left view, right view, downward view, and upper view of various designs.</v>
      </c>
      <c r="D405" s="6" t="s">
        <v>330</v>
      </c>
      <c r="E405" s="4" t="str">
        <f ca="1">IFERROR(__xludf.DUMMYFUNCTION("GOOGLETRANSLATE(D405,""auto"",""en"")"),"Product information display graphic user interface of display screen panel")</f>
        <v>Product information display graphic user interface of display screen panel</v>
      </c>
    </row>
    <row r="406" spans="1:5" ht="15" x14ac:dyDescent="0.25">
      <c r="A406" s="5" t="s">
        <v>1194</v>
      </c>
      <c r="B406" s="6" t="s">
        <v>1195</v>
      </c>
      <c r="C406" s="3" t="str">
        <f ca="1">IFERROR(__xludf.DUMMYFUNCTION("GOOGLETRANSLATE(B406,""auto"",""en"")"),"1. Design product name: The operation and maintenance management graphic user interface of the display screen panel.
 2. Design products in appearance: used for interaction and display.
 3. Design of the design of the product in appearance: lies in th"&amp;"e graphic user interface.
 4. Pictures or photos that can best show design points: Figure 2 of the interface change state.
 5. There is no design point for other views, omitting other views.
 6. The purpose of graphical user interface: It is used to"&amp;" monitor and manage an integrated operation and management platform for one or more servers.
 7. Human -computer interaction method of graphical user interface: The main view is the main interface of the integrated operation and maintenance management p"&amp;"latform. In this main view interface, it contains environmental status, host status, instance status, and application status. , Details of resource usage, alarm information, etc.; click the ""Resource Management"" option in the menu bar on the left of the"&amp;" main view. Show the host information list interface; click the interface change state Figure 1 The ""cluster management"" sub -option in the left menu bar on the left side of the menu, jump to the cluster management interface displayed by the interface c"&amp;"hange state; 2 The ""Environmental Management"" option in the left menu bar in any interface, jump to the interface change state. The environmental detail interface displayed by the interface; After the ""Environment Management"" option in the menu bar, s"&amp;"elect the ""Environmental Management"" sub -options in the drop -down options of the environmental management option, jump to the environment management list interface displayed by the interface change state; The ""Environmental Market"" sub -option in th"&amp;"e column jumps to the environment market detail interface displayed by the interface changes. ""After the options, select the"" Software Market ""sub -option in the software management options of the software management option, jump to the interface chang"&amp;"e state. 6 displayed on the software market information list interface; click on the interface change state. 6"" The ""already in the left menu bar in the left side of the left side Installe the ""sub -options"" sub -interface change status of the interfa"&amp;"ce change status. To the interface changes status Figure 8 The software list information list interface displayed; click the ""System Management"" option in the left menu bar in any interface in any interface in the main view of the main view, interface c"&amp;"hange state ""User Management"" sub -option, jump to the user management interface displayed by the interface change state; click the interface to change the state of the ""operating log"" sub -option in the left menu bar, jump to the interface change sta"&amp;"te. Details of the operation log detail interface; click the ""application management"" sub -option in the menu bar in the left menu bar in the interface change state, jump to the application management interface displayed by the interface change state.
 "&amp;"
 8. The displayed carrier equipment for display is the existing design. The display screen panel can be applied to computers, laptops, tablet computers, mobile phones, smartphones, smart glasses, watches, smart watches, fitness monitors, head wearing, he"&amp;"ad wearing Form headphones, personal digital assistants, smart speakers, television, monitor, set -top box, navigator, display device for vehicles.")</f>
        <v>1. Design product name: The operation and maintenance management graphic user interface of the display screen panel.
 2. Design products in appearance: used for interaction and display.
 3. Design of the design of the product in appearance: lies in the graphic user interface.
 4. Pictures or photos that can best show design points: Figure 2 of the interface change state.
 5. There is no design point for other views, omitting other views.
 6. The purpose of graphical user interface: It is used to monitor and manage an integrated operation and management platform for one or more servers.
 7. Human -computer interaction method of graphical user interface: The main view is the main interface of the integrated operation and maintenance management platform. In this main view interface, it contains environmental status, host status, instance status, and application status. , Details of resource usage, alarm information, etc.; click the "Resource Management" option in the menu bar on the left of the main view. Show the host information list interface; click the interface change state Figure 1 The "cluster management" sub -option in the left menu bar on the left side of the menu, jump to the cluster management interface displayed by the interface change state; 2 The "Environmental Management" option in the left menu bar in any interface, jump to the interface change state. The environmental detail interface displayed by the interface; After the "Environment Management" option in the menu bar, select the "Environmental Management" sub -options in the drop -down options of the environmental management option, jump to the environment management list interface displayed by the interface change state; The "Environmental Market" sub -option in the column jumps to the environment market detail interface displayed by the interface changes. "After the options, select the" Software Market "sub -option in the software management options of the software management option, jump to the interface change state. 6 displayed on the software market information list interface; click on the interface change state. 6" The "already in the left menu bar in the left side of the left side Installe the "sub -options" sub -interface change status of the interface change status. To the interface changes status Figure 8 The software list information list interface displayed; click the "System Management" option in the left menu bar in any interface in any interface in the main view of the main view, interface change state "User Management" sub -option, jump to the user management interface displayed by the interface change state; click the interface to change the state of the "operating log" sub -option in the left menu bar, jump to the interface change state. Details of the operation log detail interface; click the "application management" sub -option in the menu bar in the left menu bar in the interface change state, jump to the application management interface displayed by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device for vehicles.</v>
      </c>
      <c r="D406" s="6" t="s">
        <v>1196</v>
      </c>
      <c r="E406" s="4" t="str">
        <f ca="1">IFERROR(__xludf.DUMMYFUNCTION("GOOGLETRANSLATE(D406,""auto"",""en"")"),"The operation and maintenance management graphic user interface of the display screen panel")</f>
        <v>The operation and maintenance management graphic user interface of the display screen panel</v>
      </c>
    </row>
    <row r="407" spans="1:5" ht="15" x14ac:dyDescent="0.25">
      <c r="A407" s="5" t="s">
        <v>1197</v>
      </c>
      <c r="B407" s="6" t="s">
        <v>1198</v>
      </c>
      <c r="C407" s="3" t="str">
        <f ca="1">IFERROR(__xludf.DUMMYFUNCTION("GOOGLETRANSLATE(B407,""auto"",""en"")"),"1. The name of the product of the design of the product: The highway toll system of the display screen panel manages the graphic user interface.
 2. Design products in appearance: used for interaction and display.
 3. Design of the design of the produ"&amp;"ct in appearance: lies in the graphic user interface.
 4. Pictures or photos that can most indicate design points: main view.
 5. There is no design point for other views, omitting other views.
 6. The purpose of the graphical user interface: the ma"&amp;"nagement of intelligent charging system for highway vehicles charging and release.
 7. Human -computer interaction method of graphical user interface: The main view is the vehicle to pick up the card prompt interface of the vehicle at the entrance of th"&amp;"e toll station, which is used to indicate that the non -ETC channel motor vehicle driver gets a traffic card at the entrance of the highway toll station. This interface will display the interface. Automatically identify vehicle license plates and models s"&amp;"uch as vehicles and models; motor vehicle drivers will jump from the main view card to the interface change state by the main view card to the interface. The interface change state Figure 1 jump to the interface change state. 2 displayed card recycling in"&amp;"terface, the motor vehicle driver will insert the pass card into the recycling of the pass card at the outlet of the toll station; To the interface change state Figure 3, the payment code prompt interface displayed; after the payment is successful, the in"&amp;"terface change state Figure 3 jump to the interface change state. 4, please collect the invoice prompt interface. Figure 4 Returns the system control raising interface displayed by the interface change state; 1 in the inorganic motor vehicle in the toll s"&amp;"tation entrance (for example: after 10 seconds after passing through the vehicle) The interface change state Figure 5 The inorganic vehicles displayed into the interface; the vehicle reaches the inlet of the toll station and the system does not detect the"&amp;" type of model, then the interface change state Figure 1 jump to the interface change state. When the vehicle arrives at the entrance of the toll station and the system does not detect the license plate information, the interface change state Figure 1 jum"&amp;"p to the interface change state. 7 displayed information prompt interface; , Figure 1 from the interface change state. 1 jump to the interface change state. 8 displayed unprepared data prompt information interface; the vehicle reaches the inlet of the tol"&amp;"l station and stops moving forward. The exhibited vehicle stopped warning interface.
 8. The displayed carrier equipment for display is the existing design. The display screen panel can be applied to computers, laptops, tablet computers, mobile phones, "&amp;"smartphones, smart glasses, watches, smart watches, fitness monitors, head wearing, head wearing Form headphones, personal digital assistants, smart speakers, television, monitor, set -top box, navigator, display device for vehicles.")</f>
        <v>1. The name of the product of the design of the product: The highway toll system of the display screen panel manages the graphic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the management of intelligent charging system for highway vehicles charging and release.
 7. Human -computer interaction method of graphical user interface: The main view is the vehicle to pick up the card prompt interface of the vehicle at the entrance of the toll station, which is used to indicate that the non -ETC channel motor vehicle driver gets a traffic card at the entrance of the highway toll station. This interface will display the interface. Automatically identify vehicle license plates and models such as vehicles and models; motor vehicle drivers will jump from the main view card to the interface change state by the main view card to the interface. The interface change state Figure 1 jump to the interface change state. 2 displayed card recycling interface, the motor vehicle driver will insert the pass card into the recycling of the pass card at the outlet of the toll station; To the interface change state Figure 3, the payment code prompt interface displayed; after the payment is successful, the interface change state Figure 3 jump to the interface change state. 4, please collect the invoice prompt interface. Figure 4 Returns the system control raising interface displayed by the interface change state; 1 in the inorganic motor vehicle in the toll station entrance (for example: after 10 seconds after passing through the vehicle) The interface change state Figure 5 The inorganic vehicles displayed into the interface; the vehicle reaches the inlet of the toll station and the system does not detect the type of model, then the interface change state Figure 1 jump to the interface change state. When the vehicle arrives at the entrance of the toll station and the system does not detect the license plate information, the interface change state Figure 1 jump to the interface change state. 7 displayed information prompt interface; , Figure 1 from the interface change state. 1 jump to the interface change state. 8 displayed unprepared data prompt information interface; the vehicle reaches the inlet of the toll station and stops moving forward. The exhibited vehicle stopped warning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device for vehicles.</v>
      </c>
      <c r="D407" s="6" t="s">
        <v>1199</v>
      </c>
      <c r="E407" s="4" t="str">
        <f ca="1">IFERROR(__xludf.DUMMYFUNCTION("GOOGLETRANSLATE(D407,""auto"",""en"")"),"The highway toll system of the display screen panel management graphical user interface")</f>
        <v>The highway toll system of the display screen panel management graphical user interface</v>
      </c>
    </row>
    <row r="408" spans="1:5" ht="15" x14ac:dyDescent="0.25">
      <c r="A408" s="5" t="s">
        <v>1200</v>
      </c>
      <c r="B408" s="6" t="s">
        <v>1201</v>
      </c>
      <c r="C408" s="3" t="str">
        <f ca="1">IFERROR(__xludf.DUMMYFUNCTION("GOOGLETRANSLATE(B408,""auto"",""en"")"),"The present invention involves the field of artificial intelligence technology, providing a football game situation evaluation and prediction method, installation and electronic equipment, which includes: the original features of tracking data in any mome"&amp;"nt in the game; Processing, get the processing characteristics of the tracking data; input the processing features of tracking data to the game situation assessment and predictive model, get the evaluation and prediction results of the competition situati"&amp;"on assessment and predictive model output; the evaluation and prediction results include the ball control The goals, non -controlling states, and the probability of scoring both goals. Compared with the existing technologies, the football game situation e"&amp;"valuation and prediction methods, prediction methods, and electronic equipment provided by the present invention only evaluate the action performance of the ball players, and effectively use the tracking data of all players and balls in the stadium area t"&amp;"o achieve the from. The global perspective conducts comprehensive competition evaluation and prediction.")</f>
        <v>The present invention involves the field of artificial intelligence technology, providing a football game situation evaluation and prediction method, installation and electronic equipment, which includes: the original features of tracking data in any moment in the game; Processing, get the processing characteristics of the tracking data; input the processing features of tracking data to the game situation assessment and predictive model, get the evaluation and prediction results of the competition situation assessment and predictive model output; the evaluation and prediction results include the ball control The goals, non -controlling states, and the probability of scoring both goals. Compared with the existing technologies, the football game situation evaluation and prediction methods, prediction methods, and electronic equipment provided by the present invention only evaluate the action performance of the ball players, and effectively use the tracking data of all players and balls in the stadium area to achieve the from. The global perspective conducts comprehensive competition evaluation and prediction.</v>
      </c>
      <c r="D408" s="6" t="s">
        <v>1202</v>
      </c>
      <c r="E408" s="4" t="str">
        <f ca="1">IFERROR(__xludf.DUMMYFUNCTION("GOOGLETRANSLATE(D408,""auto"",""en"")"),"Evaluation and prediction methods, devices and electronic equipment in football game situation")</f>
        <v>Evaluation and prediction methods, devices and electronic equipment in football game situation</v>
      </c>
    </row>
    <row r="409" spans="1:5" ht="15" x14ac:dyDescent="0.25">
      <c r="A409" s="5" t="s">
        <v>1203</v>
      </c>
      <c r="B409" s="6" t="s">
        <v>1204</v>
      </c>
      <c r="C409" s="3" t="str">
        <f ca="1">IFERROR(__xludf.DUMMYFUNCTION("GOOGLETRANSLATE(B409,""auto"",""en"")"),"1. The name of the product in appearance: Select graphical user interface for the visual template of the display screen panel. 2. The purpose of designing products in this exterior: used to display graphic user interface. 3. Design of the design of the pr"&amp;"oduct in appearance: lies in the graphic user interface. 4. Pictures or photos that can best show design: Design 1 main view. 5. Specify design 1 is the basic design. 6. The purpose of the graphical user interface: for the choice of visual effect template"&amp;"s during multimedia information processing. 7. Human -computer interaction method of graphical user interface: Design 1 ~ 7 The main views of 1 ~ 7 By selecting the visual effect template of the backward angle in the interface, the corresponding visual ef"&amp;"fect can be displayed. The gray color blocks in the design interface are replaceable pictures or videos. 8. Other situations that need to be described and other descriptions: The user interface of this graphic can be used for mobile phones, computers, tab"&amp;"lets, smart TVs, vehicle central control screens, multimedia all -in -one machines, electronic notepads, smart speakers, projectors, game consoles, navigators, navigators , Smart watches, smart bracelets, smart table lamps, refrigerators with screens, hoo"&amp;"ds with screens, air conditioners with screens, smart fitness mirrors, disinfection cabinets with screens, dishwashers with screens, and oven with screens.")</f>
        <v>1. The name of the product in appearance: Select graphical user interface for the visual template of the display screen panel. 2. The purpose of designing products in this exterior: used to display graphic user interface. 3. Design of the design of the product in appearance: lies in the graphic user interface. 4. Pictures or photos that can best show design: Design 1 main view. 5. Specify design 1 is the basic design. 6. The purpose of the graphical user interface: for the choice of visual effect templates during multimedia information processing. 7. Human -computer interaction method of graphical user interface: Design 1 ~ 7 The main views of 1 ~ 7 By selecting the visual effect template of the backward angle in the interface, the corresponding visual effect can be displayed. The gray color blocks in the design interface are replaceable pictures or videos. 8. Other situations that need to be described and other descriptions: The user interface of this graphic can be used for mobile phones, computers, tablets, smart TVs, vehicle central control screens, multimedia all -in -one machines, electronic notepads, smart speakers, projectors, game consoles, navigators, navigators , Smart watches, smart bracelets, smart table lamps, refrigerators with screens, hoods with screens, air conditioners with screens, smart fitness mirrors, disinfection cabinets with screens, dishwashers with screens, and oven with screens.</v>
      </c>
      <c r="D409" s="6" t="s">
        <v>1205</v>
      </c>
      <c r="E409" s="4" t="str">
        <f ca="1">IFERROR(__xludf.DUMMYFUNCTION("GOOGLETRANSLATE(D409,""auto"",""en"")"),"The visual template of the display screen panel select the graphic user interface")</f>
        <v>The visual template of the display screen panel select the graphic user interface</v>
      </c>
    </row>
    <row r="410" spans="1:5" ht="15" x14ac:dyDescent="0.25">
      <c r="A410" s="5" t="s">
        <v>1206</v>
      </c>
      <c r="B410" s="6" t="s">
        <v>1207</v>
      </c>
      <c r="C410" s="3" t="str">
        <f ca="1">IFERROR(__xludf.DUMMYFUNCTION("GOOGLETRANSLATE(B410,""auto"",""en"")"),"1. The name of the product of the design of the product: display the graphic user interface of the display screen panel.
 2. The purpose of designing products in this exterior: used to display graphic user interface.
 3. Design of the design of the pr"&amp;"oduct in appearance: lies in the graphic user interface.
 4. Pictures or photos that can best show design: Design 6 main views.
 5. The display screen panel is commonly designed, omit other views.
 6. Specifying design 6 is the basic design.
 7. T"&amp;"he purpose of graphical user interface: for display of photos and/or video works.
 8. Human -computer interaction method of graphical user interface: In the main view of the 1‑10, users can use gestures to use gestures to view more content. Users can vi"&amp;"ew specific pictures or videos in the gray area in the middle of the user -touch interface.
 The area with a small gray block in the design 9 and 10 interface is the mosaic effect of replaceable pictures or videos. It is not a combination of many small "&amp;"pictures and videos. The circular gray area is a replaceable user avatar.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"&amp;"refrigerators with screens, range hoods with screens, air conditioners with screens, smart fitness mirrors, disinfection cabinets with screens, dishwashers with screens, and oven with screens.")</f>
        <v>1. The name of the product of the design of the product: display the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6 main views.
 5. The display screen panel is commonly designed, omit other views.
 6. Specifying design 6 is the basic design.
 7. The purpose of graphical user interface: for display of photos and/or video works.
 8. Human -computer interaction method of graphical user interface: In the main view of the 1‑10, users can use gestures to use gestures to view more content. Users can view specific pictures or videos in the gray area in the middle of the user -touch interface.
 The area with a small gray block in the design 9 and 10 interface is the mosaic effect of replaceable pictures or videos. It is not a combination of many small pictures and videos. The circular gray area is a replaceable user avatar.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with screens.</v>
      </c>
      <c r="D410" s="6" t="s">
        <v>1208</v>
      </c>
      <c r="E410" s="4" t="str">
        <f ca="1">IFERROR(__xludf.DUMMYFUNCTION("GOOGLETRANSLATE(D410,""auto"",""en"")"),"Show -screen panel works display graphic user interface")</f>
        <v>Show -screen panel works display graphic user interface</v>
      </c>
    </row>
    <row r="411" spans="1:5" ht="15" x14ac:dyDescent="0.25">
      <c r="A411" s="5" t="s">
        <v>1209</v>
      </c>
      <c r="B411" s="6" t="s">
        <v>1210</v>
      </c>
      <c r="C411" s="3" t="str">
        <f ca="1">IFERROR(__xludf.DUMMYFUNCTION("GOOGLETRANSLATE(B411,""auto"",""en"")"),"1. Design product name: The component library graphic user interface of the display screen panel.
 2. Design products in appearance: used for running procedures, information display, and human -computer interaction.
 3. Design of the design of the pro"&amp;"duct in this exterior: lies in the interface content of the graphic user interface in the screen.
 4. Pictures or photos that can most indicate design points: main view.
 5. The purpose of the graphical user interface: The main view is the component l"&amp;"ibrary interface, and the user can find the component according to the interface prompt.
 6. Other instructions: This display screen panel is applied to vehicles, computers, laptops, tablets, mobile phones, smart watches, smart bracelets, fitness monito"&amp;"r, headset headphones, personal digital assistant (PDA), smart speakers, TVs, TVs , Skytop box, projector, game console or navigator.")</f>
        <v>1. Design product name: The component library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component library interface, and the user can find the component according to the interface prompt.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411" s="6" t="s">
        <v>1211</v>
      </c>
      <c r="E411" s="4" t="str">
        <f ca="1">IFERROR(__xludf.DUMMYFUNCTION("GOOGLETRANSLATE(D411,""auto"",""en"")"),"The component library graphics user interface of the display screen panel")</f>
        <v>The component library graphics user interface of the display screen panel</v>
      </c>
    </row>
    <row r="412" spans="1:5" ht="15" x14ac:dyDescent="0.25">
      <c r="A412" s="5" t="s">
        <v>1212</v>
      </c>
      <c r="B412" s="6" t="s">
        <v>1213</v>
      </c>
      <c r="C412" s="3" t="str">
        <f ca="1">IFERROR(__xludf.DUMMYFUNCTION("GOOGLETRANSLATE(B412,""auto"",""en"")"),"Smart ball machines use artificial intelligence to train players or play with players. For example, the kick machine can adjust the speed, rotation, and bounce of tennis according to the player's return success rate. The ball machine can configure the pla"&amp;"yer's information in advance. For example, the ball machine can download the complete data of tennis players from the game video, or you can download files with customized data with athletes to train athletes with a ball machine. The ball machine is equip"&amp;"ped with multiple wheels, motors, and shafts to provide a completely customized one or more ball launch. For example, the ball can be transmitted from one side of the tennis court to the other side of the tennis court from one side of the tennis court at "&amp;"the side of the tennis court at a variety of speeds, trajectories, rotations, bounces.")</f>
        <v>Smart ball machines use artificial intelligence to train players or play with players. For example, the kick machine can adjust the speed, rotation, and bounce of tennis according to the player's return success rate. The ball machine can configure the player's information in advance. For example, the ball machine can download the complete data of tennis players from the game video, or you can download files with customized data with athletes to train athletes with a ball machine. The ball machine is equipped with multiple wheels, motors, and shafts to provide a completely customized one or more ball launch. For example, the ball can be transmitted from one side of the tennis court to the other side of the tennis court from one side of the tennis court at the side of the tennis court at a variety of speeds, trajectories, rotations, bounces.</v>
      </c>
      <c r="D412" s="6" t="s">
        <v>1214</v>
      </c>
      <c r="E412" s="4" t="str">
        <f ca="1">IFERROR(__xludf.DUMMYFUNCTION("GOOGLETRANSLATE(D412,""auto"",""en"")"),"Adaptive tennis kicker")</f>
        <v>Adaptive tennis kicker</v>
      </c>
    </row>
    <row r="413" spans="1:5" ht="15" x14ac:dyDescent="0.25">
      <c r="A413" s="5" t="s">
        <v>1215</v>
      </c>
      <c r="B413" s="6" t="s">
        <v>1216</v>
      </c>
      <c r="C413" s="3" t="str">
        <f ca="1">IFERROR(__xludf.DUMMYFUNCTION("GOOGLETRANSLATE(B413,""auto"",""en"")"),"An artificial intelligence -based athlete personalized nutrition plan management system, which is characterized by electronic devices of multiple athletes receiving dietary information, each electronic device has image sensors, input modules, output modul"&amp;"es and optional users Recognize. Module; Cloud -equipped with pre -storage information about various edible items, these foods contain biological components that affect the health of athletes, such as fat, sugar, protein, etc. Access information; and proc"&amp;"essors that connect multiple athlete electronic terminals and registered coach electronic terminals, cloud storage, servers, and processing data receiving data from multiple user electronic terminals; where: Athletes can send pictures or diet names or pas"&amp;"s through the name of the meal or pass through. The user terminal electronic equipment sends the code to the processor; athletes and coaches must create new login through information such as age, weight, height, blood type, exercise, and activity. After r"&amp;"eceiving the diet information, the biological composition contained in it is calculated, and the user recommends whether it is consumed; the processor recommends the amount of diet for each athlete. If the diet and the required diet set in the system is n"&amp;"ot matched, the processor will send an alert to the user's side electronic equipment based on the meals set by the athletes.")</f>
        <v>An artificial intelligence -based athlete personalized nutrition plan management system, which is characterized by electronic devices of multiple athletes receiving dietary information, each electronic device has image sensors, input modules, output modules and optional users Recognize. Module; Cloud -equipped with pre -storage information about various edible items, these foods contain biological components that affect the health of athletes, such as fat, sugar, protein, etc. Access information; and processors that connect multiple athlete electronic terminals and registered coach electronic terminals, cloud storage, servers, and processing data receiving data from multiple user electronic terminals; where: Athletes can send pictures or diet names or pass through the name of the meal or pass through. The user terminal electronic equipment sends the code to the processor; athletes and coaches must create new login through information such as age, weight, height, blood type, exercise, and activity. After receiving the diet information, the biological composition contained in it is calculated, and the user recommends whether it is consumed; the processor recommends the amount of diet for each athlete. If the diet and the required diet set in the system is not matched, the processor will send an alert to the user's side electronic equipment based on the meals set by the athletes.</v>
      </c>
      <c r="D413" s="6" t="s">
        <v>1217</v>
      </c>
      <c r="E413" s="4" t="str">
        <f ca="1">IFERROR(__xludf.DUMMYFUNCTION("GOOGLETRANSLATE(D413,""auto"",""en"")"),"Personalized nutrition plan system based on artificial intelligence athletes")</f>
        <v>Personalized nutrition plan system based on artificial intelligence athletes</v>
      </c>
    </row>
    <row r="414" spans="1:5" ht="15" x14ac:dyDescent="0.25">
      <c r="A414" s="5" t="s">
        <v>1218</v>
      </c>
      <c r="B414" s="6" t="s">
        <v>1219</v>
      </c>
      <c r="C414" s="3" t="str">
        <f ca="1">IFERROR(__xludf.DUMMYFUNCTION("GOOGLETRANSLATE(B414,""auto"",""en"")"),"The present invention disclosed an AI -based digital runway application system, which involves the field of AI intelligent system technology. Among them, the number of runway includes the cement grassroots, and the top of the cement base has a data collec"&amp;"tion module and AI detection module with a land -buried structure. Among them There are vertical or suspended LCD displays on both sides of the cement grassroots. The internal settings of the LCD display have AI control chips. Collect module. The inventio"&amp;"n is intelligently identified and controlled by AI to replace the trainer's inability to discover the shortcomings of the athletes. At the same time, the athletes do not understand their shortcomings and strengths during training, and comprehensively ensu"&amp;"re that the functions of the athletes during training are normal, reducing the occurrence of dangerous incidents. It is convenient for the staff on the field to take the corresponding incidents in a timely manner to ensure the normal progress of the athle"&amp;"tes during training.")</f>
        <v>The present invention disclosed an AI -based digital runway application system, which involves the field of AI intelligent system technology. Among them, the number of runway includes the cement grassroots, and the top of the cement base has a data collection module and AI detection module with a land -buried structure. Among them There are vertical or suspended LCD displays on both sides of the cement grassroots. The internal settings of the LCD display have AI control chips. Collect module. The invention is intelligently identified and controlled by AI to replace the trainer's inability to discover the shortcomings of the athletes. At the same time, the athletes do not understand their shortcomings and strengths during training, and comprehensively ensure that the functions of the athletes during training are normal, reducing the occurrence of dangerous incidents. It is convenient for the staff on the field to take the corresponding incidents in a timely manner to ensure the normal progress of the athletes during training.</v>
      </c>
      <c r="D414" s="6" t="s">
        <v>1220</v>
      </c>
      <c r="E414" s="4" t="str">
        <f ca="1">IFERROR(__xludf.DUMMYFUNCTION("GOOGLETRANSLATE(D414,""auto"",""en"")"),"A AI -based digital runway application system")</f>
        <v>A AI -based digital runway application system</v>
      </c>
    </row>
    <row r="415" spans="1:5" ht="15" x14ac:dyDescent="0.25">
      <c r="A415" s="5" t="s">
        <v>1221</v>
      </c>
      <c r="B415" s="6" t="s">
        <v>1222</v>
      </c>
      <c r="C415" s="3" t="str">
        <f ca="1">IFERROR(__xludf.DUMMYFUNCTION("GOOGLETRANSLATE(B415,""auto"",""en"")"),"本发明涉及健身设备领域，具体是涉及一种物联网电子智能控制家用健身设备，包括固定底座、摇动底座、移动机构、支撑组件、健身设备主体和控制器；固定底座包括固定板、竖杆、 The horizontal rod and the enhanced board; the shaking base is set above the fixed base; four mobile institutions have four; the support component has four; the main body of"&amp;" the fitness equipment is set on the shaking base; The main body and controller of the fitness equipment, the user uses the mobile phone to connect to the controller, and selects different maps and music. The controller transmits different signals to the "&amp;"shaking base according to the changes in the map and music, and the shaking base makes corresponding changes to shake the shaking The posture of the main body of the fitness equipment on the base changes, and then achieve the effect of immersion in users "&amp;"in different environments, and maintain user fitness fun.")</f>
        <v>本发明涉及健身设备领域，具体是涉及一种物联网电子智能控制家用健身设备，包括固定底座、摇动底座、移动机构、支撑组件、健身设备主体和控制器；固定底座包括固定板、竖杆、 The horizontal rod and the enhanced board; the shaking base is set above the fixed base; four mobile institutions have four; the support component has four; the main body of the fitness equipment is set on the shaking base; The main body and controller of the fitness equipment, the user uses the mobile phone to connect to the controller, and selects different maps and music. The controller transmits different signals to the shaking base according to the changes in the map and music, and the shaking base makes corresponding changes to shake the shaking The posture of the main body of the fitness equipment on the base changes, and then achieve the effect of immersion in users in different environments, and maintain user fitness fun.</v>
      </c>
      <c r="D415" s="6" t="s">
        <v>1223</v>
      </c>
      <c r="E415" s="4" t="str">
        <f ca="1">IFERROR(__xludf.DUMMYFUNCTION("GOOGLETRANSLATE(D415,""auto"",""en"")"),"A kind of IoT electronic intelligent control home fitness equipment")</f>
        <v>A kind of IoT electronic intelligent control home fitness equipment</v>
      </c>
    </row>
    <row r="416" spans="1:5" ht="15" x14ac:dyDescent="0.25">
      <c r="A416" s="5" t="s">
        <v>1224</v>
      </c>
      <c r="B416" s="6" t="s">
        <v>1225</v>
      </c>
      <c r="C416" s="3" t="str">
        <f ca="1">IFERROR(__xludf.DUMMYFUNCTION("GOOGLETRANSLATE(B416,""auto"",""en"")"),"The present invention disclosed a athlete recognition method based on multi -target tracking, belonging to the field of artificial intelligence. First of all, the athlete's multi -target tracking of the game videos is to get the boundary frame of each ath"&amp;"lete in each frame and the unique identification of them. Then, for the border frame of each athlete in the frame, identify the number of jersey numbers contained in the boundary box, sort according to the confidence, select the previous K -digit number a"&amp;"ccording to the horizontal coordinate of the boundary frame, get the athlete's decimal K bit jersey Number, and a mapping with the tracking unique logo. At the same time, the color characteristics contained in each athlete border box are extracted to dete"&amp;"rmine the team of each athlete. Finally, the only athlete information is retrieved based on the racket number corresponding to the unique logo and its team. Select the next frame to repeat the above process until you complete the processing of each frame "&amp;"of the game video. The invention is accurate to the athletes, high robustness, and wide application scenarios.")</f>
        <v>The present invention disclosed a athlete recognition method based on multi -target tracking, belonging to the field of artificial intelligence. First of all, the athlete's multi -target tracking of the game videos is to get the boundary frame of each athlete in each frame and the unique identification of them. Then, for the border frame of each athlete in the frame, identify the number of jersey numbers contained in the boundary box, sort according to the confidence, select the previous K -digit number according to the horizontal coordinate of the boundary frame, get the athlete's decimal K bit jersey Number, and a mapping with the tracking unique logo. At the same time, the color characteristics contained in each athlete border box are extracted to determine the team of each athlete. Finally, the only athlete information is retrieved based on the racket number corresponding to the unique logo and its team. Select the next frame to repeat the above process until you complete the processing of each frame of the game video. The invention is accurate to the athletes, high robustness, and wide application scenarios.</v>
      </c>
      <c r="D416" s="6" t="s">
        <v>1226</v>
      </c>
      <c r="E416" s="4" t="str">
        <f ca="1">IFERROR(__xludf.DUMMYFUNCTION("GOOGLETRANSLATE(D416,""auto"",""en"")"),"A athlete recognition method based on multiple target tracking")</f>
        <v>A athlete recognition method based on multiple target tracking</v>
      </c>
    </row>
    <row r="417" spans="1:5" ht="15" x14ac:dyDescent="0.25">
      <c r="A417" s="5" t="s">
        <v>1227</v>
      </c>
      <c r="B417" s="6" t="s">
        <v>1228</v>
      </c>
      <c r="C417" s="3" t="str">
        <f ca="1">IFERROR(__xludf.DUMMYFUNCTION("GOOGLETRANSLATE(B417,""auto"",""en"")"),"1. Design product name: Graphical user interface for the abnormal problem of vehicle abnormalities for the user display screen panel.
 2.本外观设计产品的用途：用于运行程序和展示信息，本外观设计图形用户界面可用于计算机、笔记本电脑、平板电脑、手机、智能手机、智能手环、智能眼镜、手表、智能手表、 Fitness monitor, headset headphones, "&amp;"smart speakers, television, monitor, projector, set -top box, game machine, navigator, display screen for vehicles.
 3. Design of the design of the product in this exterior: lies in the content of the graphic user interface in the screen.
 4. Pictures"&amp;" or photos that can most indicate design points: main view.
 5. There is no design point, omittime, left view, left view, right view, push -view, viewing view.
 6. The purpose of the graphic user interface: used to interact and display graphic user in"&amp;"terface, and can be used to view and contact service personnel, check the vehicle inspection of the vehicle that needs to be handled this time Details of the vehicle are abnormal, agree, and refuse to quote.
 Click the ""Detection Abnormal: Spentic plug"&amp;" abnormality"" box in the middle of the main view to show the interface of the state of change, that is, the detailed information of the ""detection abnormality: abnormal spark plug""; click ""Testing abnormality: positive belt"" in the lower part of the "&amp;"main view, "" Detection abnormalities: The moisture content of the brake oil ""box shows the interface of the change state Figure 2, that is, the detailed information of the"" detection abnormality: timing belt ""and"" detection abnormality: brake oil con"&amp;"tent "".
 7. Human -computer interaction method of graphical user interface: Interaction can be used by lighting, pressing, rolling, or sliding graphics user interface.")</f>
        <v>1. Design product name: Graphical user interface for the abnormal problem of vehicle abnormalities for the user display screen panel.
 2.本外观设计产品的用途：用于运行程序和展示信息，本外观设计图形用户界面可用于计算机、笔记本电脑、平板电脑、手机、智能手机、智能手环、智能眼镜、手表、智能手表、 Fitness monitor, headset headphones, smart speakers, television, monitor, projector, set -top box, game machine, navigator, display screen for vehicles.
 3. Design of the design of the product in this exterior: lies in the content of the graphic user interface in the screen.
 4. Pictures or photos that can most indicate design points: main view.
 5. There is no design point, omittime, left view, left view, right view, push -view, viewing view.
 6. The purpose of the graphic user interface: used to interact and display graphic user interface, and can be used to view and contact service personnel, check the vehicle inspection of the vehicle that needs to be handled this time Details of the vehicle are abnormal, agree, and refuse to quote.
 Click the "Detection Abnormal: Spentic plug abnormality" box in the middle of the main view to show the interface of the state of change, that is, the detailed information of the "detection abnormality: abnormal spark plug"; click "Testing abnormality: positive belt" in the lower part of the main view, " Detection abnormalities: The moisture content of the brake oil "box shows the interface of the change state Figure 2, that is, the detailed information of the" detection abnormality: timing belt "and" detection abnormality: brake oil content ".
 7. Human -computer interaction method of graphical user interface: Interaction can be used by lighting, pressing, rolling, or sliding graphics user interface.</v>
      </c>
      <c r="D417" s="6" t="s">
        <v>1229</v>
      </c>
      <c r="E417" s="4" t="str">
        <f ca="1">IFERROR(__xludf.DUMMYFUNCTION("GOOGLETRANSLATE(D417,""auto"",""en"")"),"User display screen panel quoted the graphic user interface for the abnormal problem of the vehicle")</f>
        <v>User display screen panel quoted the graphic user interface for the abnormal problem of the vehicle</v>
      </c>
    </row>
    <row r="418" spans="1:5" ht="15" x14ac:dyDescent="0.25">
      <c r="A418" s="5" t="s">
        <v>1230</v>
      </c>
      <c r="B418" s="6" t="s">
        <v>1231</v>
      </c>
      <c r="C418" s="3" t="str">
        <f ca="1">IFERROR(__xludf.DUMMYFUNCTION("GOOGLETRANSLATE(B418,""auto"",""en"")"),"1. Design product name: Graphic user interface for product distribution information displayed for display screen panels.
 2.本外观设计产品的用途：用于运行程序和展示信息，本外观设计图形用户界面可用于计算机、笔记本电脑、平板电脑、手机、智能手机、智能手环、智能眼镜、手表、智能手表、 Fitness monitors, headphones, personal digital ass"&amp;"istants, smart speakers, television, monitor, projector, set -top box, game machine, navigator, display screen for vehicles.
 3. Design of the design of the product in this exterior: lies in the content of the graphic user interface in the screen.
 4."&amp;" Pictures or photos that can most indicate design points: main view.
 5. There is no design point, omittime, left view, left view, right view, push -view, viewing view.
 6. The purpose of the graphic user interface: It is used for human -computer inte"&amp;"raction and display graphic user interface, and can be displayed to the store and distribute to the home based on the different orders of the corresponding delivery address based on multiple products.
 7. Human -computer interaction method of graphical "&amp;"user interface: Interaction can be used by lighting, pressing, rolling, or sliding graphics user interface.")</f>
        <v>1. Design product name: Graphic user interface for product distribution information displayed for display screen panels.
 2.本外观设计产品的用途：用于运行程序和展示信息，本外观设计图形用户界面可用于计算机、笔记本电脑、平板电脑、手机、智能手机、智能手环、智能眼镜、手表、智能手表、 Fitness monitors, headphones, personal digital assistants, smart speakers, television, monitor, projector, set -top box, game machine, navigator, display screen for vehicles.
 3. Design of the design of the product in this exterior: lies in the content of the graphic user interface in the screen.
 4. Pictures or photos that can most indicate design points: main view.
 5. There is no design point, omittime, left view, left view, right view, push -view, viewing view.
 6. The purpose of the graphic user interface: It is used for human -computer interaction and display graphic user interface, and can be displayed to the store and distribute to the home based on the different orders of the corresponding delivery address based on multiple products.
 7. Human -computer interaction method of graphical user interface: Interaction can be used by lighting, pressing, rolling, or sliding graphics user interface.</v>
      </c>
      <c r="D418" s="6" t="s">
        <v>1232</v>
      </c>
      <c r="E418" s="4" t="str">
        <f ca="1">IFERROR(__xludf.DUMMYFUNCTION("GOOGLETRANSLATE(D418,""auto"",""en"")"),"The graphical user interface for the product distribution information for display screen panels")</f>
        <v>The graphical user interface for the product distribution information for display screen panels</v>
      </c>
    </row>
    <row r="419" spans="1:5" ht="15" x14ac:dyDescent="0.25">
      <c r="A419" s="5" t="s">
        <v>1233</v>
      </c>
      <c r="B419" s="6" t="s">
        <v>1234</v>
      </c>
      <c r="C419" s="3" t="str">
        <f ca="1">IFERROR(__xludf.DUMMYFUNCTION("GOOGLETRANSLATE(B419,""auto"",""en"")"),"1. The name of the product designed this product: The graphic user interface operated by the auto repair store for display screen panels.
 2.本外观设计产品的用途：用于运行程序和展示信息，本外观设计图形用户界面可用于计算机、笔记本电脑、平板电脑、手机、智能手机、智能手环、智能眼镜、手表、智能手表、 Fitness monitors, headphones, per"&amp;"sonal digital assistants, smart speakers, television, monitor, projector, set -top box, game machine, navigator, display screen for vehicles.
 3. Design of the design of the product in this exterior: lies in the content of the graphic user interface in "&amp;"the screen.
 4. Pictures or photos that can most indicate design points: main view.
 5. There is no design point, omittime, left view, left view, right view, push -view, viewing view.
 6. The purpose of graphics user interface: for human -computer i"&amp;"nteraction and display graphic user interface, and can be used to view orders, quickly scan the car license plate to welcome customers, configure and call common functions, check the number of appointments/queuing/construction/settlement vehicles, view ne"&amp;"eds Turn vehicles, check the vehicle during construction, check the collection vehicle, and see the operating status of the store on the day of the store.
 When there is a required vehicle, a vehicle during construction, and a payment vehicle to be coll"&amp;"ected, the interface displays the main view of the main view, the main view of the main view of the interface is displayed, the interface shows the changing state diagram 1, and click the fast -function button in the middle below the main view. 3.
 If y"&amp;"ou do not need to send a vehicle, a vehicle during construction, or a payment of a payment vehicle, the interface display changes status Figure 2.
 7. Human -computer interaction method of graphical user interface: Interaction can be used by lighting, p"&amp;"ressing, rolling, or sliding graphics user interface.")</f>
        <v>1. The name of the product designed this product: The graphic user interface operated by the auto repair store for display screen panels.
 2.本外观设计产品的用途：用于运行程序和展示信息，本外观设计图形用户界面可用于计算机、笔记本电脑、平板电脑、手机、智能手机、智能手环、智能眼镜、手表、智能手表、 Fitness monitors, headphones, personal digital assistants, smart speakers, television, monitor, projector, set -top box, game machine, navigator, display screen for vehicles.
 3. Design of the design of the product in this exterior: lies in the content of the graphic user interface in the screen.
 4. Pictures or photos that can most indicate design points: main view.
 5. There is no design point, omittime, left view, left view, right view, push -view, viewing view.
 6. The purpose of graphics user interface: for human -computer interaction and display graphic user interface, and can be used to view orders, quickly scan the car license plate to welcome customers, configure and call common functions, check the number of appointments/queuing/construction/settlement vehicles, view needs Turn vehicles, check the vehicle during construction, check the collection vehicle, and see the operating status of the store on the day of the store.
 When there is a required vehicle, a vehicle during construction, and a payment vehicle to be collected, the interface displays the main view of the main view, the main view of the main view of the interface is displayed, the interface shows the changing state diagram 1, and click the fast -function button in the middle below the main view. 3.
 If you do not need to send a vehicle, a vehicle during construction, or a payment of a payment vehicle, the interface display changes status Figure 2.
 7. Human -computer interaction method of graphical user interface: Interaction can be used by lighting, pressing, rolling, or sliding graphics user interface.</v>
      </c>
      <c r="D419" s="6" t="s">
        <v>1235</v>
      </c>
      <c r="E419" s="4" t="str">
        <f ca="1">IFERROR(__xludf.DUMMYFUNCTION("GOOGLETRANSLATE(D419,""auto"",""en"")"),"Graphical user interface operating and managed by auto repair stores used for display screen panels")</f>
        <v>Graphical user interface operating and managed by auto repair stores used for display screen panels</v>
      </c>
    </row>
    <row r="420" spans="1:5" ht="15" x14ac:dyDescent="0.25">
      <c r="A420" s="5" t="s">
        <v>1236</v>
      </c>
      <c r="B420" s="6" t="s">
        <v>1237</v>
      </c>
      <c r="C420" s="3" t="str">
        <f ca="1">IFERROR(__xludf.DUMMYFUNCTION("GOOGLETRANSLATE(B420,""auto"",""en"")"),"1. The name of the product designed this product: The graphic user interface displayed by the product recommendation of the screen panel.
 2.本外观设计产品的用途：用于运行程序和展示信息，本外观设计图形用户界面可用于计算机、笔记本电脑、平板电脑、手机、智能手机、智能手环、智能眼镜、手表、智能手表、 Fitness monitors, headphones, per"&amp;"sonal digital assistants, smart speakers, television, monitor, projector, set -top box, game machine, navigator, display screen for vehicles.
 3. Design of the design of the product in this exterior: lies in the content of the graphic user interface in "&amp;"the screen.
 4. Pictures or photos that can most indicate design points: main view.
 5. There is no design point, omittime, left view, left view, right view, push -view, viewing view.
 6. The purpose of the graphical user interface: for human -machi"&amp;"ne interaction and display graphic user interface, and can be used to display the correlation between tires and user car preferences.
 7. Human -computer interaction method of graphical user interface: Interaction can be used by lighting, pressing, roll"&amp;"ing, or sliding graphics user interface.")</f>
        <v>1. The name of the product designed this product: The graphic user interface displayed by the product recommendation of the screen panel.
 2.本外观设计产品的用途：用于运行程序和展示信息，本外观设计图形用户界面可用于计算机、笔记本电脑、平板电脑、手机、智能手机、智能手环、智能眼镜、手表、智能手表、 Fitness monitors, headphones, personal digital assistants, smart speakers, television, monitor, projector, set -top box, game machine, navigator, display screen for vehicles.
 3. Design of the design of the product in this exterior: lies in the content of the graphic user interface in the screen.
 4. Pictures or photos that can most indicate design points: main view.
 5. There is no design point, omittime, left view, left view, right view, push -view, viewing view.
 6. The purpose of the graphical user interface: for human -machine interaction and display graphic user interface, and can be used to display the correlation between tires and user car preferences.
 7. Human -computer interaction method of graphical user interface: Interaction can be used by lighting, pressing, rolling, or sliding graphics user interface.</v>
      </c>
      <c r="D420" s="6" t="s">
        <v>1238</v>
      </c>
      <c r="E420" s="4" t="str">
        <f ca="1">IFERROR(__xludf.DUMMYFUNCTION("GOOGLETRANSLATE(D420,""auto"",""en"")"),"The graphic user interface displayed by the product recommendation of the display screen panel")</f>
        <v>The graphic user interface displayed by the product recommendation of the display screen panel</v>
      </c>
    </row>
    <row r="421" spans="1:5" ht="15" x14ac:dyDescent="0.25">
      <c r="A421" s="5" t="s">
        <v>1239</v>
      </c>
      <c r="B421" s="6" t="s">
        <v>1240</v>
      </c>
      <c r="C421" s="3" t="str">
        <f ca="1">IFERROR(__xludf.DUMMYFUNCTION("GOOGLETRANSLATE(B421,""auto"",""en"")"),"A method, system, and device for collecting, manipulating, transmission, and interpretation of data.在一个实施例中,多个传感器被配置为从包括多个动作的现场事件捕获实时传感器数据; 一个或多个运动游戏平台,以及一种用户设备,其中一个或多个运动游戏平台被配置为: Receive and store sensor data, filter the historical sensor database based "&amp;"on the similar event data that matches the forthcoming operation ID, in which the possibility of the forthcoming game is based on artificial intelligence and/or machine learning and is about to occur. There is a high correlation between the sensor data an"&amp;"d similar event data that the captured sensor data is determined before the action. The probability of the probability that occurs is related to the upcoming competition associated with the betting ID, and the odds provided by the trading system are updat"&amp;"ed.")</f>
        <v>A method, system, and device for collecting, manipulating, transmission, and interpretation of data.在一个实施例中,多个传感器被配置为从包括多个动作的现场事件捕获实时传感器数据; 一个或多个运动游戏平台,以及一种用户设备,其中一个或多个运动游戏平台被配置为: Receive and store sensor data, filter the historical sensor database based on the similar event data that matches the forthcoming operation ID, in which the possibility of the forthcoming game is based on artificial intelligence and/or machine learning and is about to occur. There is a high correlation between the sensor data and similar event data that the captured sensor data is determined before the action. The probability of the probability that occurs is related to the upcoming competition associated with the betting ID, and the odds provided by the trading system are updated.</v>
      </c>
      <c r="D421" s="6" t="s">
        <v>1241</v>
      </c>
      <c r="E421" s="4" t="str">
        <f ca="1">IFERROR(__xludf.DUMMYFUNCTION("GOOGLETRANSLATE(D421,""auto"",""en"")"),"Methods, systems and devices used to process motion -related data")</f>
        <v>Methods, systems and devices used to process motion -related data</v>
      </c>
    </row>
    <row r="422" spans="1:5" ht="15" x14ac:dyDescent="0.25">
      <c r="A422" s="5" t="s">
        <v>1242</v>
      </c>
      <c r="B422" s="6" t="s">
        <v>1243</v>
      </c>
      <c r="C422" s="3" t="str">
        <f ca="1">IFERROR(__xludf.DUMMYFUNCTION("GOOGLETRANSLATE(B422,""auto"",""en"")"),"1. Design product name: The graphic user interface for the binding vehicle for display screen panels.
 2. Design products in appearance: used to run program and display information.
 3. Design of the design of the product in this exterior: lies in the"&amp;" content of the graphic user interface in the screen.
 4. Pictures or photos that can best show design points: Figure 2 of the interface change state.
 5. There is no design point, omittime, left view, left view, right view, push -view, viewing view.
"&amp;" 
 6. The purpose of graphical user interface: for human -machine interaction and display graphic user interface, and can be used to bind vehicles, view the binding vehicles, and view garage.
 Click the binding vehicle option of the main view, bind a ve"&amp;"hicle, the interface display interface changes state Figure 1, and then bind a vehicle, the interface display interface changes in the state Figure 2, and then bind a vehicle. The interface display interface changes state image 3.
 After clicking the de"&amp;"parture option at the bottom of the screen, you can also view the garage.
 7. Human -computer interaction method of graphical user interface: Interaction can be used by lighting, pressing, rolling, or sliding graphics user interface.
 8. The display s"&amp;"creen panel can be used for computers, laptops, tablets, mobile phones, smartphones, smart mobile phones, smart glasses, watches, smart watches, fitness monitor, wearing headphones, personal digital assistants, smart speakers, TVs, TV , Monitor, projector"&amp;", set -top box, game machine, navigator, display screen for vehicles.")</f>
        <v>1. Design product name: The graphic user interface for the binding vehicle for display screen panels.
 2. Design products in appearance: used to run program and display information.
 3. Design of the design of the product in this exterior: lies in the content of the graphic user interface in the screen.
 4. Pictures or photos that can best show design points: Figure 2 of the interface change state.
 5. There is no design point, omittime, left view, left view, right view, push -view, viewing view.
 6. The purpose of graphical user interface: for human -machine interaction and display graphic user interface, and can be used to bind vehicles, view the binding vehicles, and view garage.
 Click the binding vehicle option of the main view, bind a vehicle, the interface display interface changes state Figure 1, and then bind a vehicle, the interface display interface changes in the state Figure 2, and then bind a vehicle. The interface display interface changes state image 3.
 After clicking the departure option at the bottom of the screen, you can also view the garage.
 7. Human -computer interaction method of graphical user interface: Interaction can be used by lighting, pressing, rolling, or sliding graphics user interface.
 8. The display screen panel can be used for computers, laptops, tablets, mobile phones, smartphones, smart mobile phones, smart glasses, watches, smart watches, fitness monitor, wearing headphones, personal digital assistants, smart speakers, TVs, TV , Monitor, projector, set -top box, game machine, navigator, display screen for vehicles.</v>
      </c>
      <c r="D422" s="6" t="s">
        <v>1244</v>
      </c>
      <c r="E422" s="4" t="str">
        <f ca="1">IFERROR(__xludf.DUMMYFUNCTION("GOOGLETRANSLATE(D422,""auto"",""en"")"),"The graphic user interface for the binding vehicle for the display screen panel")</f>
        <v>The graphic user interface for the binding vehicle for the display screen panel</v>
      </c>
    </row>
    <row r="423" spans="1:5" ht="15" x14ac:dyDescent="0.25">
      <c r="A423" s="5" t="s">
        <v>1245</v>
      </c>
      <c r="B423" s="6" t="s">
        <v>1246</v>
      </c>
      <c r="C423" s="3" t="str">
        <f ca="1">IFERROR(__xludf.DUMMYFUNCTION("GOOGLETRANSLATE(B423,""auto"",""en"")"),"1. Design product name: The graphical user interface displayed by ITEM recommendation for display screen panels. ; 2. The purpose of designing products in this exterior: Used to run programs and display information. The design graphics user interface can "&amp;"be used for computers, laptops, tablets, mobile phones, smart phones, smart bracelets, smart glasses, watches, smart watches , Fitness monitor, headset headset, personal digital assistant, smart speakers, television, monitor, projector, set -top box, game"&amp;" machine, navigator, display for vehicles. ; 3. Design the design of the product in this exterior: lies in the content of the graphic user interface in the screen. ; 4. The picture or photo of the main point of design: The main view. ; 5. No design points"&amp;", omittime views, left view, right view, push -view, back -view view. 6. Graphic user interface use: used for human -computer interaction and display graphic user interface, and can be used to display the correlation between tire preferences and user car "&amp;"preferences. 7. Human -computer interaction method of graphical user interface: You can interact with light strike, pressing, rolling, or sliding graphic user interface. ; 1. The name of the product design product: The graphical user interface displayed b"&amp;"y ITEM recommendation for display screen panels. ; 2. The purpose of designing products in this exterior: Used to run programs and display information. The design graphics user interface can be used for computers, laptops, tablets, mobile phones, smart ph"&amp;"ones, smart bracelets, smart glasses, watches, smart watches , Fitness monitor, headset headset, personal digital assistant, smart speakers, television, monitor, projector, set -top box, game machine, navigator, display for vehicles. ; 3. Design the desig"&amp;"n of the product in this exterior: lies in the content of the graphic user interface in the screen. ; 4. The picture or photo of the main point of design: The main view. ; 5. No design points, omittime views, left view, right view, push -view, back -view "&amp;"view. 6. Graphic user interface use: used for human -computer interaction and display graphic user interface, and can be used to display the correlation between tire preferences and user car preferences. 7. Human -computer interaction method of graphical "&amp;"user interface: You can interact with light strike, pressing, rolling, or sliding graphic user interface.")</f>
        <v>1. Design product name: The graphical user interface displayed by ITEM recommendation for display screen panels. ; 2. The purpose of designing products in this exterior: Used to run programs and display information. The design graphics user interface can be used for computers, laptops, tablets, mobile phones, smart phones, smart bracelets, smart glasses, watches, smart watches , Fitness monitor, headset headset, personal digital assistant, smart speakers, television, monitor, projector, set -top box, game machine, navigator, display for vehicles. ; 3. Design the design of the product in this exterior: lies in the content of the graphic user interface in the screen. ; 4. The picture or photo of the main point of design: The main view. ; 5. No design points, omittime views, left view, right view, push -view, back -view view. 6. Graphic user interface use: used for human -computer interaction and display graphic user interface, and can be used to display the correlation between tire preferences and user car preferences. 7. Human -computer interaction method of graphical user interface: You can interact with light strike, pressing, rolling, or sliding graphic user interface. ; 1. The name of the product design product: The graphical user interface displayed by ITEM recommendation for display screen panels. ; 2. The purpose of designing products in this exterior: Used to run programs and display information. The design graphics user interface can be used for computers, laptops, tablets, mobile phones, smart phones, smart bracelets, smart glasses, watches, smart watches , Fitness monitor, headset headset, personal digital assistant, smart speakers, television, monitor, projector, set -top box, game machine, navigator, display for vehicles. ; 3. Design the design of the product in this exterior: lies in the content of the graphic user interface in the screen. ; 4. The picture or photo of the main point of design: The main view. ; 5. No design points, omittime views, left view, right view, push -view, back -view view. 6. Graphic user interface use: used for human -computer interaction and display graphic user interface, and can be used to display the correlation between tire preferences and user car preferences. 7. Human -computer interaction method of graphical user interface: You can interact with light strike, pressing, rolling, or sliding graphic user interface.</v>
      </c>
      <c r="D423" s="6" t="s">
        <v>1247</v>
      </c>
      <c r="E423" s="4" t="str">
        <f ca="1">IFERROR(__xludf.DUMMYFUNCTION("GOOGLETRANSLATE(D423,""auto"",""en"")"),"ITEM recommended graphics user interface displayed for display screen panel")</f>
        <v>ITEM recommended graphics user interface displayed for display screen panel</v>
      </c>
    </row>
    <row r="424" spans="1:5" ht="15" x14ac:dyDescent="0.25">
      <c r="A424" s="5" t="s">
        <v>1248</v>
      </c>
      <c r="B424" s="6" t="s">
        <v>1249</v>
      </c>
      <c r="C424" s="3" t="str">
        <f ca="1">IFERROR(__xludf.DUMMYFUNCTION("GOOGLETRANSLATE(B424,""auto"",""en"")"),"1. Design product name: Dynamic graphic user interface for shopping main page for display screen panels.
 2.本外观设计产品的用途：用于运行程序和展示信息，本外观设计图形用户界面可用于计算机、笔记本电脑、平板电脑、手机、智能手机、智能手环、智能眼镜、手表、智能手表、 Fitness monitor, headset headphones, smart speakers, television, m"&amp;"onitor, projector, set -top box, game machine, navigator, display screen for vehicles.
 3. Design of the design of the product in this exterior: lies in the content of the graphic user interface in the screen.
 4. Pictures or photos that can best show"&amp;" design points: Figure 4 of the interface change state.
 5. The purpose of graphical user interface: for human -computer interaction and display graphic user interface.
 After clicking the car function of the main view and filling in the car informati"&amp;"on, the interface display interface changes state Figure 1; click the interface changes status Figure 1 The supplementary model information entry and supplement the model information. When information such as mileage and other information reaches the pres"&amp;"et value, the interface changes state Figure 2; if the system judges the information of the car's age and/or the mileage of the driving, the display interface changes status Figure 3; the interface changes The exclusive recommendation entrance to the Stat"&amp;"us 3 In the case of the user's unprepared time or the user's sliding and refresh, switch to the ranking of the interface change state. Switch to the exclusive recommendation entrance shown in the interface change state when the user does not operate the p"&amp;"reset value or the user sliding refresh.
 In addition, the exclusive recommendation entrance of the main view to the interface change state Figure 3 will also be switched to the rankings based on the same reason, and the rankings will be switched to the"&amp;" exclusive recommendation entrance.")</f>
        <v>1. Design product name: Dynamic graphic user interface for shopping main page for display screen panels.
 2.本外观设计产品的用途：用于运行程序和展示信息，本外观设计图形用户界面可用于计算机、笔记本电脑、平板电脑、手机、智能手机、智能手环、智能眼镜、手表、智能手表、 Fitness monitor, headset headphones, smart speakers, television, monitor, projector, set -top box, game machine, navigator, display screen for vehicles.
 3. Design of the design of the product in this exterior: lies in the content of the graphic user interface in the screen.
 4. Pictures or photos that can best show design points: Figure 4 of the interface change state.
 5. The purpose of graphical user interface: for human -computer interaction and display graphic user interface.
 After clicking the car function of the main view and filling in the car information, the interface display interface changes state Figure 1; click the interface changes status Figure 1 The supplementary model information entry and supplement the model information. When information such as mileage and other information reaches the preset value, the interface changes state Figure 2; if the system judges the information of the car's age and/or the mileage of the driving, the display interface changes status Figure 3; the interface changes The exclusive recommendation entrance to the Status 3 In the case of the user's unprepared time or the user's sliding and refresh, switch to the ranking of the interface change state. Switch to the exclusive recommendation entrance shown in the interface change state when the user does not operate the preset value or the user sliding refresh.
 In addition, the exclusive recommendation entrance of the main view to the interface change state Figure 3 will also be switched to the rankings based on the same reason, and the rankings will be switched to the exclusive recommendation entrance.</v>
      </c>
      <c r="D424" s="6" t="s">
        <v>1250</v>
      </c>
      <c r="E424" s="4" t="str">
        <f ca="1">IFERROR(__xludf.DUMMYFUNCTION("GOOGLETRANSLATE(D424,""auto"",""en"")"),"Dynamic graphic user interface for shopping main page for display screen panels")</f>
        <v>Dynamic graphic user interface for shopping main page for display screen panels</v>
      </c>
    </row>
    <row r="425" spans="1:5" ht="15" x14ac:dyDescent="0.25">
      <c r="A425" s="5" t="s">
        <v>1251</v>
      </c>
      <c r="B425" s="6" t="s">
        <v>1252</v>
      </c>
      <c r="C425" s="3" t="str">
        <f ca="1">IFERROR(__xludf.DUMMYFUNCTION("GOOGLETRANSLATE(B425,""auto"",""en"")"),"The proposed invention is an artificial intelligence -based sports management system that is used to continue management and monitoring athlete's performance evaluation. The proposed invention focuses on verifying artificial intelligence algorithms used t"&amp;"o identify the abilities of athletes or athletes. The present invention aims to evaluate the performance of athletes while identifying improved points to improve the performance of athletes.")</f>
        <v>The proposed invention is an artificial intelligence -based sports management system that is used to continue management and monitoring athlete's performance evaluation. The proposed invention focuses on verifying artificial intelligence algorithms used to identify the abilities of athletes or athletes. The present invention aims to evaluate the performance of athletes while identifying improved points to improve the performance of athletes.</v>
      </c>
      <c r="D425" s="6" t="s">
        <v>1253</v>
      </c>
      <c r="E425" s="4" t="str">
        <f ca="1">IFERROR(__xludf.DUMMYFUNCTION("GOOGLETRANSLATE(D425,""auto"",""en"")"),"Based on artificial intelligence -based sports management systems, continuous management and monitoring athlete's performance evaluation")</f>
        <v>Based on artificial intelligence -based sports management systems, continuous management and monitoring athlete's performance evaluation</v>
      </c>
    </row>
    <row r="426" spans="1:5" ht="15" x14ac:dyDescent="0.25">
      <c r="A426" s="5" t="s">
        <v>1254</v>
      </c>
      <c r="B426" s="6" t="s">
        <v>1255</v>
      </c>
      <c r="C426" s="3" t="str">
        <f ca="1">IFERROR(__xludf.DUMMYFUNCTION("GOOGLETRANSLATE(B426,""auto"",""en"")"),"1. Design product name: The train operation management graphic user interface of the display screen panel.
 2. Design products in appearance: used for interaction and display.
 3. Design of the design of the product in appearance: lies in the interfac"&amp;"e content of the graphic user interface.
 4. Pictures or photos that can most indicate design points: main view.
 5. The purpose of the graphical user interface: used to manage the running status of the train.
 6. Human -computer interaction method "&amp;"of graphical user interface: The main view is the station interface of the train run; click the ""Planning Plan"" option button in the main view to jump to the interface changes. The ""Train Information"" option button in Figure 1, jump to the interface c"&amp;"hange state Figure 2; click the main view or interface changes state Figure 1 ‑ ""group information option button, jump to the interface change state Figure 3; click Main view or interface change state Figure 1 ""car washing plan"" option button, jump to "&amp;"the interface change state Figure 4; click the main view or interface change status. Turn to the interface change state Figure 5; click the ""Dadian Control Workstation ‑rhCLD1"" button in the upper right corner of the main view, and switch to the interfa"&amp;"ce change state Figure 6.
 7.其他需要说明的情形其他说明：显示用的载体设备为现有设计，该显示屏幕面板可以应用于计算机、笔记本电脑、平板电脑、手机、智能手机、智能手环、智能眼镜、手表、智能Watch, fitness monitor, headset headset, personal digital assistant, smart speakers, television, monitor, set -top box, navigator, display instrum"&amp;"ent for vehicles.")</f>
        <v>1. Design product name: The train operation management graphic user interface of the display screen panel.
 2. Design products in appearance: used for interaction and display.
 3. Design of the design of the product in appearance: lies in the interface content of the graphic user interface.
 4. Pictures or photos that can most indicate design points: main view.
 5. The purpose of the graphical user interface: used to manage the running status of the train.
 6. Human -computer interaction method of graphical user interface: The main view is the station interface of the train run; click the "Planning Plan" option button in the main view to jump to the interface changes. The "Train Information" option button in Figure 1, jump to the interface change state Figure 2; click the main view or interface changes state Figure 1 ‑ "group information option button, jump to the interface change state Figure 3; click Main view or interface change state Figure 1 "car washing plan" option button, jump to the interface change state Figure 4; click the main view or interface change status. Turn to the interface change state Figure 5; click the "Dadian Control Workstation ‑rhCLD1" button in the upper right corner of the main view, and switch to the interface change state Figure 6.
 7.其他需要说明的情形其他说明：显示用的载体设备为现有设计，该显示屏幕面板可以应用于计算机、笔记本电脑、平板电脑、手机、智能手机、智能手环、智能眼镜、手表、智能Watch, fitness monitor, headset headset, personal digital assistant, smart speakers, television, monitor, set -top box, navigator, display instrument for vehicles.</v>
      </c>
      <c r="D426" s="6" t="s">
        <v>1256</v>
      </c>
      <c r="E426" s="4" t="str">
        <f ca="1">IFERROR(__xludf.DUMMYFUNCTION("GOOGLETRANSLATE(D426,""auto"",""en"")"),"Train operation management graphic user interface of the display screen panel")</f>
        <v>Train operation management graphic user interface of the display screen panel</v>
      </c>
    </row>
    <row r="427" spans="1:5" ht="15" x14ac:dyDescent="0.25">
      <c r="A427" s="5" t="s">
        <v>1257</v>
      </c>
      <c r="B427" s="6" t="s">
        <v>1258</v>
      </c>
      <c r="C427" s="3" t="str">
        <f ca="1">IFERROR(__xludf.DUMMYFUNCTION("GOOGLETRANSLATE(B427,""auto"",""en"")"),"The present invention provides a system based on the Internet of Things (100) to improve interpersonal communication skills in Indian immigrants in Canada. Systems (100) include multiple user -side electronic devices, cloud storage, servers and processors"&amp;". Users and trainers need to create new login by providing information such as test names, test mode, and current English language skills to the system (100). After receiving the user information, the processor analyzes grammar, accents, and phrases and p"&amp;"ut forward suggestions for improvement. Based on the Internet of Things and artificial intelligence, the processor provides a trainer with a separate approval of improvement data and testing for each user. If the user missed the test organized by the syst"&amp;"em (100), the processor will generate alert on the coaching side electronic equipment.")</f>
        <v>The present invention provides a system based on the Internet of Things (100) to improve interpersonal communication skills in Indian immigrants in Canada. Systems (100) include multiple user -side electronic devices, cloud storage, servers and processors. Users and trainers need to create new login by providing information such as test names, test mode, and current English language skills to the system (100). After receiving the user information, the processor analyzes grammar, accents, and phrases and put forward suggestions for improvement. Based on the Internet of Things and artificial intelligence, the processor provides a trainer with a separate approval of improvement data and testing for each user. If the user missed the test organized by the system (100), the processor will generate alert on the coaching side electronic equipment.</v>
      </c>
      <c r="D427" s="6" t="s">
        <v>1259</v>
      </c>
      <c r="E427" s="4" t="str">
        <f ca="1">IFERROR(__xludf.DUMMYFUNCTION("GOOGLETRANSLATE(D427,""auto"",""en"")"),"The IoT -based system is used to improve the interpersonal communication skills of Canadian Indian immigrants")</f>
        <v>The IoT -based system is used to improve the interpersonal communication skills of Canadian Indian immigrants</v>
      </c>
    </row>
    <row r="428" spans="1:5" ht="15" x14ac:dyDescent="0.25">
      <c r="A428" s="5" t="s">
        <v>1260</v>
      </c>
      <c r="B428" s="6" t="s">
        <v>1261</v>
      </c>
      <c r="C428" s="3" t="str">
        <f ca="1">IFERROR(__xludf.DUMMYFUNCTION("GOOGLETRANSLATE(B428,""auto"",""en"")"),"The present invention involves the field of optimization of gym facilities layout, and specifically involves a gym -based gym -based facilities layout optimization method and system. This method includes: to obtain a panoramic image of the gym, semantic s"&amp;"egmentation of panoramic images obtains semantic segmentation images including the aisle category and the fitness equipment category; obtain the user fitness direction information, and the equipment description matrix configuring the gym fitness equipment"&amp;"; User fitness direction information and device description matrix as the input of the first target neural network, the output is optimized image after optimized; the gym layout is adjusted according to the optimized image. Using the present invention, th"&amp;"e optimal layout strategy of the gym region can be re -planned to distribute the gym regional fitness equipment, making the overall layout more reasonable, and better guides personnel to make full use of fitness equipment.")</f>
        <v>The present invention involves the field of optimization of gym facilities layout, and specifically involves a gym -based gym -based facilities layout optimization method and system. This method includes: to obtain a panoramic image of the gym, semantic segmentation of panoramic images obtains semantic segmentation images including the aisle category and the fitness equipment category; obtain the user fitness direction information, and the equipment description matrix configuring the gym fitness equipment; User fitness direction information and device description matrix as the input of the first target neural network, the output is optimized image after optimized; the gym layout is adjusted according to the optimized image. Using the present invention, the optimal layout strategy of the gym region can be re -planned to distribute the gym regional fitness equipment, making the overall layout more reasonable, and better guides personnel to make full use of fitness equipment.</v>
      </c>
      <c r="D428" s="6" t="s">
        <v>1262</v>
      </c>
      <c r="E428" s="4" t="str">
        <f ca="1">IFERROR(__xludf.DUMMYFUNCTION("GOOGLETRANSLATE(D428,""auto"",""en"")"),"A gym facility layout optimization method and system based on image data")</f>
        <v>A gym facility layout optimization method and system based on image data</v>
      </c>
    </row>
    <row r="429" spans="1:5" ht="15" x14ac:dyDescent="0.25">
      <c r="A429" s="5" t="s">
        <v>1263</v>
      </c>
      <c r="B429" s="6" t="s">
        <v>1264</v>
      </c>
      <c r="C429" s="3" t="str">
        <f ca="1">IFERROR(__xludf.DUMMYFUNCTION("GOOGLETRANSLATE(B429,""auto"",""en"")"),"1. Design product name: Live interactive graphic user interface for display screen panels.
 2. Design products in this exterior: used to display information.
 3. Design of design products in this appearance: lies in the graphic user interface in the s"&amp;"creen.
 4. Pictures or photos that can best show design: Design 1 main view.
 5. Specify design 1 is the basic design.
 6. The purpose of graphical user interface: The interface is used for live viewing and live interaction.
 7. Human -computer in"&amp;"teraction method of graphics user interface: In designing 1 main view, users can view the current live content, click ""+Follow"" control to follow the platform account, you can click ""More Live"" right arrow control to view more Live content, you can vi"&amp;"ew the chat content below the interface. You can click ""Satalization""/""Data""/""Schedule"" control to switch to view the corresponding tag bar. Select the support team in the window, and you can also click the ""Share"" control to share the live broadc"&amp;"ast.
 Design 2 human -computer interaction methods are the same as design 1.
 In the design 3 main view, when the user clicks the ""Team B"" rectangular control in the right side of the bottom of the interface, the ""like"" control on the bottom of th"&amp;"e interface changes to the selected team logo graph and shows the team information that has supported team information above it. , Present the interface change effect of design 3 to design 3 interface transformation status diagram.
 Design 4 human -comp"&amp;"uter interaction method is the same as design 3.
 In designing 5 main views, when the athletes score in the live broadcast event, the interface shows the player's score at high light and other like users' avatar information, presenting the interface cha"&amp;"nge effect of design 5 main view to design 5 interface changes; In designing 5 interface changes, users can click the ""Cheering Celebration"" control to like it, and you can also click the ""Share Highlight Moment"" control to share.
 Design 6 human -c"&amp;"omputer interaction methods are the same as design 5.
 In the design 7 main view, when the user quickly clicks the circular control at the bottom of the interface and the selected camp is the first to complete the progress bar filling, the floating laye"&amp;"r content below the interface to cheer for the team The interface change effect of the state diagram; in the design 7 interface change state diagram, the convex floating layer blank area under the interface is the content picture.
 In the design 8 main "&amp;"view, when the user quickly clicks the circular control at the bottom of the interface and the selected camp is the first to complete the progress bar filling, the text information below the interface shows the cheering text information of the team The in"&amp;"terface change effect of the figure.
 Design 1 to design 4. Design 7, design 8, the rectangular blank area above each design interface is a live broadcast screen, which belongs to the content screen.
 8. The display screen panel can be used for mobile"&amp;" phones, computers, tablets, smart TVs, and vehicle central control screens.")</f>
        <v>1. Design product name: Live interactive graphic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graphical user interface: The interface is used for live viewing and live interaction.
 7. Human -computer interaction method of graphics user interface: In designing 1 main view, users can view the current live content, click "+Follow" control to follow the platform account, you can click "More Live" right arrow control to view more Live content, you can view the chat content below the interface. You can click "Satalization"/"Data"/"Schedule" control to switch to view the corresponding tag bar. Select the support team in the window, and you can also click the "Share" control to share the live broadcast.
 Design 2 human -computer interaction methods are the same as design 1.
 In the design 3 main view, when the user clicks the "Team B" rectangular control in the right side of the bottom of the interface, the "like" control on the bottom of the interface changes to the selected team logo graph and shows the team information that has supported team information above it. , Present the interface change effect of design 3 to design 3 interface transformation status diagram.
 Design 4 human -computer interaction method is the same as design 3.
 In designing 5 main views, when the athletes score in the live broadcast event, the interface shows the player's score at high light and other like users' avatar information, presenting the interface change effect of design 5 main view to design 5 interface changes; In designing 5 interface changes, users can click the "Cheering Celebration" control to like it, and you can also click the "Share Highlight Moment" control to share.
 Design 6 human -computer interaction methods are the same as design 5.
 In the design 7 main view, when the user quickly clicks the circular control at the bottom of the interface and the selected camp is the first to complete the progress bar filling, the floating layer content below the interface to cheer for the team The interface change effect of the state diagram; in the design 7 interface change state diagram, the convex floating layer blank area under the interface is the content picture.
 In the design 8 main view, when the user quickly clicks the circular control at the bottom of the interface and the selected camp is the first to complete the progress bar filling, the text information below the interface shows the cheering text information of the team The interface change effect of the figure.
 Design 1 to design 4. Design 7, design 8, the rectangular blank area above each design interface is a live broadcast screen, which belongs to the content screen.
 8. The display screen panel can be used for mobile phones, computers, tablets, smart TVs, and vehicle central control screens.</v>
      </c>
      <c r="D429" s="6" t="s">
        <v>1265</v>
      </c>
      <c r="E429" s="4" t="str">
        <f ca="1">IFERROR(__xludf.DUMMYFUNCTION("GOOGLETRANSLATE(D429,""auto"",""en"")"),"Live interactive graphic user interface for display screen panels")</f>
        <v>Live interactive graphic user interface for display screen panels</v>
      </c>
    </row>
    <row r="430" spans="1:5" ht="15" x14ac:dyDescent="0.25">
      <c r="A430" s="5" t="s">
        <v>1266</v>
      </c>
      <c r="B430" s="6" t="s">
        <v>1267</v>
      </c>
      <c r="C430" s="3" t="str">
        <f ca="1">IFERROR(__xludf.DUMMYFUNCTION("GOOGLETRANSLATE(B430,""auto"",""en"")"),"1. Design product name: Display screen panel with an application edit operation graphical user interface.
 2. Design products in appearance: It is used to display human -machine interaction interfaces and for user touch.
 Scope of use of display scree"&amp;"n panels: for desktop computers, laptops, tablet computers, touch all -in -one machines, smartphones, wearable devices, smart watches, fitness monitor, headset headphones, smart speakers, smart TVs, screens with screens, with screens Sky -top box, project"&amp;"ion equipment, projector, laser TV.
 3. Design of the design of the product in appearance: lies in the graphic user interface.
 4. Pictures or photos that can most indicate design points: main view.
 5. No design points, omit the rear view, left vie"&amp;"w, right view, downward view and view view of the design product.
 6. The purpose of the graphical user interface: The graphic user interface is used to edit and uninstall the application of the application in the system.
 The left side of the main vi"&amp;"ew interface is set on the left side of the search, network, settings, signal sources, members, and notifications.
 In the main view, you can choose the next icon to the right through the remote control button or gesture to enter the state of change.
"&amp;" In Figure 1 of the change state, select the next icon to the right through the remote control button or gesture, enter the change state Figure 2, and continue to select the next icon to the right to enter the change state Figure 3.
 During the above ch"&amp;"anges, the text in the upper left corner of the interface also changes to the content corresponding to the selected icon.
 In the change state Figure 3, you can select the application icon you need to edit through the remote control button or gesture to"&amp;" enter the state of change state. The corresponding editing operation can be performed on the selected application; in the state of change state Figure 5, select the ""move"" operation to enter the changing state Figure 6. At this time, you can move the s"&amp;"elected application.
 In the change state Figure 3, click to select the ""All Application"" icon to enter the change state Figure 7; in the change state figure 7, select the application icon through the remote control button or gesture, you can enter th"&amp;"e change state Figure 8. At this time Corresponding editing operation.
 The gray rounded rectangle in all basic views is the display area of ​​the content screen.")</f>
        <v>1. Design product name: Display screen panel with an application edit operation graphical user interface.
 2. Design products in appearance: It is used to display human -machine interaction interfaces and for user touch.
 Scope of use of display screen panels: for desktop computers, laptops, tablet computers, touch all -in -one machines, smartphones, wearable devices, smart watches, fitness monitor, headset headphones, smart speakers, smart TVs, screens with screens, with screens Sky -top box, projection equipment, projector, laser TV.
 3. Design of the design of the product in appearance: lies in the graphic user interface.
 4. Pictures or photos that can most indicate design points: main view.
 5. No design points, omit the rear view, left view, right view, downward view and view view of the design product.
 6. The purpose of the graphical user interface: The graphic user interface is used to edit and uninstall the application of the application in the system.
 The left side of the main view interface is set on the left side of the search, network, settings, signal sources, members, and notifications.
 In the main view, you can choose the next icon to the right through the remote control button or gesture to enter the state of change.
 In Figure 1 of the change state, select the next icon to the right through the remote control button or gesture, enter the change state Figure 2, and continue to select the next icon to the right to enter the change state Figure 3.
 During the above changes, the text in the upper left corner of the interface also changes to the content corresponding to the selected icon.
 In the change state Figure 3, you can select the application icon you need to edit through the remote control button or gesture to enter the state of change state. The corresponding editing operation can be performed on the selected application; in the state of change state Figure 5, select the "move" operation to enter the changing state Figure 6. At this time, you can move the selected application.
 In the change state Figure 3, click to select the "All Application" icon to enter the change state Figure 7; in the change state figure 7, select the application icon through the remote control button or gesture, you can enter the change state Figure 8. At this time Corresponding editing operation.
 The gray rounded rectangle in all basic views is the display area of ​​the content screen.</v>
      </c>
      <c r="D430" s="6" t="s">
        <v>1268</v>
      </c>
      <c r="E430" s="4" t="str">
        <f ca="1">IFERROR(__xludf.DUMMYFUNCTION("GOOGLETRANSLATE(D430,""auto"",""en"")"),"Display screen panel with an application edit operation graphical user interface")</f>
        <v>Display screen panel with an application edit operation graphical user interface</v>
      </c>
    </row>
    <row r="431" spans="1:5" ht="15" x14ac:dyDescent="0.25">
      <c r="A431" s="5" t="s">
        <v>1269</v>
      </c>
      <c r="B431" s="6" t="s">
        <v>1270</v>
      </c>
      <c r="C431" s="3" t="str">
        <f ca="1">IFERROR(__xludf.DUMMYFUNCTION("GOOGLETRANSLATE(B431,""auto"",""en"")"),"This utility model discloses a collection camera for sports deep learning image recognition, including a fixed rail board and motor case, and the front side of the fixed rail board is fixed with the rear side of the motor case. This utility model is used "&amp;"by setting up asynchronous motors, first infrared sensors, second infrared sensors, controllers, unidirectional screws, mobile blocks, connecting boards, support pillars and collecting cameras, and reached the automatic collection camera automatically as "&amp;"follows. The advantages of moving during the movement of the athletes solve the process of collecting the existing sports deep learning image recognition camera in the process of collecting the movements of the sports process. Because the collection camer"&amp;"a of sports deep learning image recognition is fixed, it is not convenient The collection camera moves with the movement of the athletes, so that the data collected during the movement of the movement is not clear, which will affect the user's problem of "&amp;"analysis and learning after exercise.")</f>
        <v>This utility model discloses a collection camera for sports deep learning image recognition, including a fixed rail board and motor case, and the front side of the fixed rail board is fixed with the rear side of the motor case. This utility model is used by setting up asynchronous motors, first infrared sensors, second infrared sensors, controllers, unidirectional screws, mobile blocks, connecting boards, support pillars and collecting cameras, and reached the automatic collection camera automatically as follows. The advantages of moving during the movement of the athletes solve the process of collecting the existing sports deep learning image recognition camera in the process of collecting the movements of the sports process. Because the collection camera of sports deep learning image recognition is fixed, it is not convenient The collection camera moves with the movement of the athletes, so that the data collected during the movement of the movement is not clear, which will affect the user's problem of analysis and learning after exercise.</v>
      </c>
      <c r="D431" s="6" t="s">
        <v>1271</v>
      </c>
      <c r="E431" s="4" t="str">
        <f ca="1">IFERROR(__xludf.DUMMYFUNCTION("GOOGLETRANSLATE(D431,""auto"",""en"")"),"A collection camera for sports deep learning image recognition")</f>
        <v>A collection camera for sports deep learning image recognition</v>
      </c>
    </row>
    <row r="432" spans="1:5" ht="15" x14ac:dyDescent="0.25">
      <c r="A432" s="5" t="s">
        <v>1272</v>
      </c>
      <c r="B432" s="6" t="s">
        <v>1273</v>
      </c>
      <c r="C432" s="3" t="str">
        <f ca="1">IFERROR(__xludf.DUMMYFUNCTION("GOOGLETRANSLATE(B432,""auto"",""en"")"),"The invention proposes a health evaluation method and system for wearable devices, involving the field of health assessment. This method includes a characteristic extraction and screening and classification of the collected physiological data by collectin"&amp;"g the heart rate and blood oxygen saturation rate of young people during the running process. Evaluation models can convert the original physiological data collected by wearable devices into the final level of youth health levels to evaluate the physical "&amp;"health of young people.")</f>
        <v>The invention proposes a health evaluation method and system for wearable devices, involving the field of health assessment. This method includes a characteristic extraction and screening and classification of the collected physiological data by collecting the heart rate and blood oxygen saturation rate of young people during the running process. Evaluation models can convert the original physiological data collected by wearable devices into the final level of youth health levels to evaluate the physical health of young people.</v>
      </c>
      <c r="D432" s="6" t="s">
        <v>1274</v>
      </c>
      <c r="E432" s="4" t="str">
        <f ca="1">IFERROR(__xludf.DUMMYFUNCTION("GOOGLETRANSLATE(D432,""auto"",""en"")"),"A health assessment method and system for wearable devices")</f>
        <v>A health assessment method and system for wearable devices</v>
      </c>
    </row>
    <row r="433" spans="1:5" ht="15" x14ac:dyDescent="0.25">
      <c r="A433" s="5" t="s">
        <v>1275</v>
      </c>
      <c r="B433" s="6" t="s">
        <v>1276</v>
      </c>
      <c r="C433" s="3" t="str">
        <f ca="1">IFERROR(__xludf.DUMMYFUNCTION("GOOGLETRANSLATE(B433,""auto"",""en"")"),"1. The name of the product designed this product: the forklift control graphics user interface of the display screen panel.
 2. Design product use: Display graphic user interface.
 3. Design of the design of the product in this exterior: lies in the g"&amp;"raphic user interface in the display screen panel.
 4. Pictures or photos that can most indicate design points: main view.
 5. The main point of design lies only in the graphic user interface. Other views of the product are commonly designed. The back"&amp;" view, left view, right view, down -view, and viewing map are omitted.
 6. The purpose of graphical user interface: The state monitoring operation and multimedia operation for the stretching arm -type forklift.
 7. Human -computer interaction method o"&amp;"f graphic user interface: The main view is the main interface. Click the second button from the bottom of the main view from left to right in the middle of the right to enter the interface change state. The third button can enter the interface change stat"&amp;"e Figure 2; click the fourth button from the bottom of the main view from left to the middle of the right to enter the interface changes. , Can enter the interface change state Figure 4; click the sixth button from the bottom of the main view from left to"&amp;" right in the middle of the right to enter the interface changes status Figure 5; click the seventh button from the bottom of the main screen from left to middle, you can enter the interface to enter the interface, you can enter the interface to enter the"&amp;" interface. Change status 6; receiving ""emergency switch up"" signal, ""disconnecting with the controller"" signal or reversing signal, can enter the interface change state diagram 7, interface change status diagram 8 or interface change status figure 9;"&amp;" Click the first button from the bottom of the main view from the left to the middle of the right to enter the interface changes. The interface change state Figure 2 ""get on the vehicle action speed"" button can enter the interface change state Figure 12"&amp;"; click the ""arm rack action"" button in the interface change state. The ""sensor calibration"" button in Figure 2 can enter the interface change state Figure 14; click the ""Anti -Toll Band"" button in the interface changes. The ""genus type"" button ca"&amp;"n enter the interface change state Figure 16; click the ""Entering Monitoring"" button in the interface change status Figure 3 to enter the interface change state Figure 17; click the ""fault information"" button in the interface change state Figure 17. ,"&amp;" Enter the interface change state Figure 18; click the ""Permanent Management"" button in the interface change state to enter the interface change state figure 19; click the ""display settings"" button in the interface change state to enter the interface "&amp;"change state Figure 20; click the ""Language"" button in the interface change state Figure 6 to enter the interface change state Figure 21; click the ""unit"" button in the interface change state Figure 6 to enter the interface change state. The ""radio"""&amp;" button in 4 can enter the interface change state Figure 23; click the ""Bluetooth"" button in the interface changes. , Figure 25 can be entered into the interface change state; click the ""Parts Figure"" button in the interface change status Figure 25 to"&amp;" enter the interface change state Figure 26; click the ""off"" button in the interface change state Figure 5 to enter the interface changes can be entered. Status Figure 27.
 8. Other situations that need to be explained and other descriptions: The disp"&amp;"lay screen panel is used for telescopic arm -type forklifts, mobile phones, computers, tablets, televisions, projection screens.")</f>
        <v>1. The name of the product designed this product: the forklift control graphics user interface of the display screen panel.
 2. Design product use: Display graphic user interface.
 3. Design of the design of the product in this exterior: lies in the graphic user interface in the display screen panel.
 4. Pictures or photos that can most indicate design points: main view.
 5. The main point of design lies only in the graphic user interface. Other views of the product are commonly designed. The back view, left view, right view, down -view, and viewing map are omitted.
 6. The purpose of graphical user interface: The state monitoring operation and multimedia operation for the stretching arm -type forklift.
 7. Human -computer interaction method of graphic user interface: The main view is the main interface. Click the second button from the bottom of the main view from left to right in the middle of the right to enter the interface change state. The third button can enter the interface change state Figure 2; click the fourth button from the bottom of the main view from left to the middle of the right to enter the interface changes. , Can enter the interface change state Figure 4; click the sixth button from the bottom of the main view from left to right in the middle of the right to enter the interface changes status Figure 5; click the seventh button from the bottom of the main screen from left to middle, you can enter the interface to enter the interface, you can enter the interface to enter the interface. Change status 6; receiving "emergency switch up" signal, "disconnecting with the controller" signal or reversing signal, can enter the interface change state diagram 7, interface change status diagram 8 or interface change status figure 9; Click the first button from the bottom of the main view from the left to the middle of the right to enter the interface changes. The interface change state Figure 2 "get on the vehicle action speed" button can enter the interface change state Figure 12; click the "arm rack action" button in the interface change state. The "sensor calibration" button in Figure 2 can enter the interface change state Figure 14; click the "Anti -Toll Band" button in the interface changes. The "genus type" button can enter the interface change state Figure 16; click the "Entering Monitoring" button in the interface change status Figure 3 to enter the interface change state Figure 17; click the "fault information" button in the interface change state Figure 17. , Enter the interface change state Figure 18; click the "Permanent Management" button in the interface change state to enter the interface change state figure 19; click the "display settings" button in the interface change state to enter the interface change state Figure 20; click the "Language" button in the interface change state Figure 6 to enter the interface change state Figure 21; click the "unit" button in the interface change state Figure 6 to enter the interface change state. The "radio" button in 4 can enter the interface change state Figure 23; click the "Bluetooth" button in the interface changes. , Figure 25 can be entered into the interface change state; click the "Parts Figure" button in the interface change status Figure 25 to enter the interface change state Figure 26; click the "off" button in the interface change state Figure 5 to enter the interface changes can be entered. Status Figure 27.
 8. Other situations that need to be explained and other descriptions: The display screen panel is used for telescopic arm -type forklifts, mobile phones, computers, tablets, televisions, projection screens.</v>
      </c>
      <c r="D433" s="6" t="s">
        <v>1277</v>
      </c>
      <c r="E433" s="4" t="str">
        <f ca="1">IFERROR(__xludf.DUMMYFUNCTION("GOOGLETRANSLATE(D433,""auto"",""en"")"),"Forklift control graphics user interface of display screen panel")</f>
        <v>Forklift control graphics user interface of display screen panel</v>
      </c>
    </row>
    <row r="434" spans="1:5" ht="15" x14ac:dyDescent="0.25">
      <c r="A434" s="5" t="s">
        <v>1278</v>
      </c>
      <c r="B434" s="6" t="s">
        <v>1279</v>
      </c>
      <c r="C434" s="3" t="str">
        <f ca="1">IFERROR(__xludf.DUMMYFUNCTION("GOOGLETRANSLATE(B434,""auto"",""en"")"),"Object detection is a computer vision technology that enables us to recognize and locate objects in images or videos. Through this recognition and positioning, object detection can be used to count the objects in the scene and determine and track their ac"&amp;"curate positions, while marking them accurately. For example, including two cats and a person's images. Object detection allows us to classify the types of things immediately, and at the same time we can locate their instances in images. Object recognitio"&amp;"n is a general term that describes the collection of computer visual tasks related to objects involving an object in digital photos. The image classification involves a category of an object in a predictive image. Object positioning refers to the position"&amp;" of one or more objects in the image and draws the boundary box within its range. Object detection combines these two tasks and position and classify one or more objects in the image. It is widely used in computer visual tasks such as image labeling, acti"&amp;"vity recognition, face detection, face recognition, and joint division of video objects. It is also used to track objects, such as tracing the ball in the football game, tracking or tracking people in the croaks. YOLO predicts multiple boundary frames of "&amp;"each grid unit. During training, we only hope that a border box predictor is responsible for each object. We allocate a predictor ""responsible"" to predict an object, based on the prediction with the highest current iOU and basic facts. This leads to the"&amp;" professionalism between the border box predictor. Each predictor is better in predicting specific size, vertical and horizontal or object categories, thereby increasing the overall recall rate.")</f>
        <v>Object detection is a computer vision technology that enables us to recognize and locate objects in images or videos. Through this recognition and positioning, object detection can be used to count the objects in the scene and determine and track their accurate positions, while marking them accurately. For example, including two cats and a person's images. Object detection allows us to classify the types of things immediately, and at the same time we can locate their instances in images. Object recognition is a general term that describes the collection of computer visual tasks related to objects involving an object in digital photos. The image classification involves a category of an object in a predictive image. Object positioning refers to the position of one or more objects in the image and draws the boundary box within its range. Object detection combines these two tasks and position and classify one or more objects in the image. It is widely used in computer visual tasks such as image labeling, activity recognition, face detection, face recognition, and joint division of video objects. It is also used to track objects, such as tracing the ball in the football game, tracking or tracking people in the croaks. YOLO predicts multiple boundary frames of each grid unit. During training, we only hope that a border box predictor is responsible for each object. We allocate a predictor "responsible" to predict an object, based on the prediction with the highest current iOU and basic facts. This leads to the professionalism between the border box predictor. Each predictor is better in predicting specific size, vertical and horizontal or object categories, thereby increasing the overall recall rate.</v>
      </c>
      <c r="D434" s="6" t="s">
        <v>1280</v>
      </c>
      <c r="E434" s="4" t="str">
        <f ca="1">IFERROR(__xludf.DUMMYFUNCTION("GOOGLETRANSLATE(D434,""auto"",""en"")"),"Use YOLOV3 to prevent the mask safety detection system that prevents COVID-19 transmitted")</f>
        <v>Use YOLOV3 to prevent the mask safety detection system that prevents COVID-19 transmitted</v>
      </c>
    </row>
    <row r="435" spans="1:5" ht="15" x14ac:dyDescent="0.25">
      <c r="A435" s="5" t="s">
        <v>1281</v>
      </c>
      <c r="B435" s="6" t="s">
        <v>1282</v>
      </c>
      <c r="C435" s="3" t="str">
        <f ca="1">IFERROR(__xludf.DUMMYFUNCTION("GOOGLETRANSLATE(B435,""auto"",""en"")"),"1. Design product name: Display screen panel with upper limb rehabilitation training graphics user interface.
 2. The purpose of designing products in this exterior: The design of the product is used for display and interactive information.
 3. Design"&amp;" of the design of the product in this exterior: lies in the interface content of the graphic user interface in the display screen panel.
 4. Pictures or photos that can best show design points: Figure 2 of the interface change state.
 5. The display s"&amp;"creen panel is commonly designed, omittime, left view, left view, right view, down -view, upper view.
 6. The purpose of graphical user interface: The graphic user interface of this design is an interactive interface for display and operation of the upp"&amp;"er limb comprehensive rehabilitation training system.
 7. Human -computer interaction method of graphical user interface: The main interface of the main vision map is the main interface of the system login.
 If it is a new user, click the ""Register"""&amp;" button in the main view interface to enter the interface change state Figure 1; in the interface change state Figure 1 Enter the disease number, name, gender, age, click the ""please log in"" button to enter the interface change state Figure 2; If it is "&amp;"an old user, enter the correct username and password on the main screen interface, enter the interface change state Figure 2; click the ""Draw the Circle Mission"" button in the interface change state. In the interface change state Figure 3, click the ""Y"&amp;"es"" or ""No"" button in the prompt box to enter the interface change state Figure 4; check parameter information in the interface change state figure 4, click the ""confirm"" button to enter the interface change state Figure 5; In the interface change st"&amp;"ate Figure 5, click the ""Preparation"" button to enter the interface change state Figure 6; click the ""Settings"" button in the interface change state Figure 6 to enter the interface changes Click the ""Start"" button to enter the interface change state"&amp;" Figure 7; in the interface change state Figure 6, click the ""Passing"" button to enter the interface change state Figure 7; click the ""reset"" button in the interface change state Figure 6 to enter the interface change state Figure 8; In the interface "&amp;"change state Figure 6, click the ""Return to the main interface"" button to enter the interface change state Figure 2; in the interface change state Figure 2, click the ""Swimming Mission"" button to enter the interface change state Figure 9; in the inter"&amp;"face change state Check the parameters in Figure 9, click the ""Confirm"" button to enter the interface change state Figure 10; control the upper limb rehabilitation trainer, place the virtual hand in the interface change state in the virtual coil, enter "&amp;"the interface change state diagram 11; in the interface In Figure 11 of the change state, click the ""Start"" button to enter the interface change state Figure 12; in the interface change state Figure 11, click the ""Settings"" button to enter the interfa"&amp;"ce change state Figure 9; in the interface change state Figure 11, click "" Passing the ""button to enter the interface change state Figure 13; in the interface change state Figure 11, click the"" Return to the main interface ""button to enter the interfa"&amp;"ce change state Figure 2; in the interface changes Play and pause of background music; when the setting tasks are completed, enter the interface change state Figure 14; in the interface change state Figure 2, click the ""Demonstration Mission"" button to "&amp;"enter the interface change state Figure 15, in the interface changes status chart In 15, enter the number of teachings in the number of input box in the input box of the teaching; in Figure 15 of the interface change state, click the ""Start Demonstration"&amp;""" button to enter the interface changes Teacher the ""button, enter the interface change state Figure 17; in the interface change state Figure 15, click the"" Start Training ""button to enter the interface change state Figure 16; in the interface change "&amp;"state Figure 15, click the"" End Training ""button to enter the interface to enter the interface Change status Figure 17; in the interface change state Figure 2, click the ""Device Maintenance"" button to enter the interface change state Figure 18; in the"&amp;" interface change state Figure 18, input time in the operating time dialog box, click the ""debug start"" button, click the ""debug start"" button, and Enter the interface change state diagram 19; in the interface change state Figure 18, click the ""Syste"&amp;"m reset"" button to enter the interface changes status diagram 19; in the interface change state Figure 18, click the ""debug stop"" button to enter the interface changes status diagram 19 ; When the interface changes state Figure 20, click the ""Lift Ale"&amp;"rt"" button of the interface to enter the interface change state Figure 21; in the interface change state Figure 2, click the ""Data Management"" button to enter the interface change state Figure 22.
 8. This design display screen panel is used for robo"&amp;"ts, mobile phones, tablets, portable computers, desktop computers, smart screens, wearable devices, smart TVs and personal number terminals.")</f>
        <v>1. Design product name: Display screen panel with upper limb rehabilitation training graphics user interface.
 2. The purpose of designing products in this exterior: The design of the product is used for display and interactive information.
 3. Design of the design of the product in this exterior: lies in the interface content of the graphic user interface in the display screen panel.
 4. Pictures or photos that can best show design points: Figure 2 of the interface change state.
 5. The display screen panel is commonly designed, omittime, left view, left view, right view, down -view, upper view.
 6. The purpose of graphical user interface: The graphic user interface of this design is an interactive interface for display and operation of the upper limb comprehensive rehabilitation training system.
 7. Human -computer interaction method of graphical user interface: The main interface of the main vision map is the main interface of the system login.
 If it is a new user, click the "Register" button in the main view interface to enter the interface change state Figure 1; in the interface change state Figure 1 Enter the disease number, name, gender, age, click the "please log in" button to enter the interface change state Figure 2; If it is an old user, enter the correct username and password on the main screen interface, enter the interface change state Figure 2; click the "Draw the Circle Mission" button in the interface change state. In the interface change state Figure 3, click the "Yes" or "No" button in the prompt box to enter the interface change state Figure 4; check parameter information in the interface change state figure 4, click the "confirm" button to enter the interface change state Figure 5; In the interface change state Figure 5, click the "Preparation" button to enter the interface change state Figure 6; click the "Settings" button in the interface change state Figure 6 to enter the interface changes Click the "Start" button to enter the interface change state Figure 7; in the interface change state Figure 6, click the "Passing" button to enter the interface change state Figure 7; click the "reset" button in the interface change state Figure 6 to enter the interface change state Figure 8; In the interface change state Figure 6, click the "Return to the main interface" button to enter the interface change state Figure 2; in the interface change state Figure 2, click the "Swimming Mission" button to enter the interface change state Figure 9; in the interface change state Check the parameters in Figure 9, click the "Confirm" button to enter the interface change state Figure 10; control the upper limb rehabilitation trainer, place the virtual hand in the interface change state in the virtual coil, enter the interface change state diagram 11; in the interface In Figure 11 of the change state, click the "Start" button to enter the interface change state Figure 12; in the interface change state Figure 11, click the "Settings" button to enter the interface change state Figure 9; in the interface change state Figure 11, click " Passing the "button to enter the interface change state Figure 13; in the interface change state Figure 11, click the" Return to the main interface "button to enter the interface change state Figure 2; in the interface changes Play and pause of background music; when the setting tasks are completed, enter the interface change state Figure 14; in the interface change state Figure 2, click the "Demonstration Mission" button to enter the interface change state Figure 15, in the interface changes status chart In 15, enter the number of teachings in the number of input box in the input box of the teaching; in Figure 15 of the interface change state, click the "Start Demonstration" button to enter the interface changes Teacher the "button, enter the interface change state Figure 17; in the interface change state Figure 15, click the" Start Training "button to enter the interface change state Figure 16; in the interface change state Figure 15, click the" End Training "button to enter the interface to enter the interface Change status Figure 17; in the interface change state Figure 2, click the "Device Maintenance" button to enter the interface change state Figure 18; in the interface change state Figure 18, input time in the operating time dialog box, click the "debug start" button, click the "debug start" button, and Enter the interface change state diagram 19; in the interface change state Figure 18, click the "System reset" button to enter the interface changes status diagram 19; in the interface change state Figure 18, click the "debug stop" button to enter the interface changes status diagram 19 ; When the interface changes state Figure 20, click the "Lift Alert" button of the interface to enter the interface change state Figure 21; in the interface change state Figure 2, click the "Data Management" button to enter the interface change state Figure 22.
 8. This design display screen panel is used for robots, mobile phones, tablets, portable computers, desktop computers, smart screens, wearable devices, smart TVs and personal number terminals.</v>
      </c>
      <c r="D435" s="6" t="s">
        <v>1283</v>
      </c>
      <c r="E435" s="4" t="str">
        <f ca="1">IFERROR(__xludf.DUMMYFUNCTION("GOOGLETRANSLATE(D435,""auto"",""en"")"),"Display screen panel with upper limb rehabilitation training graphics user interface")</f>
        <v>Display screen panel with upper limb rehabilitation training graphics user interface</v>
      </c>
    </row>
    <row r="436" spans="1:5" ht="15" x14ac:dyDescent="0.25">
      <c r="A436" s="5" t="s">
        <v>1284</v>
      </c>
      <c r="B436" s="6" t="s">
        <v>1285</v>
      </c>
      <c r="C436" s="3" t="str">
        <f ca="1">IFERROR(__xludf.DUMMYFUNCTION("GOOGLETRANSLATE(B436,""auto"",""en"")"),"1. The name of the product in this exterior: a display screen panel with a dynamic control graphical user interface.
 2. Design products for this product: robots used in the hockey hall.
 3. Design of the design of the product in this exterior: lies i"&amp;"n the content and icon of the user graphic interface in the screen.
 4. Pictures or photos that can most indicate design points: main view.
 5. The purpose of the graphical user interface: This screen is part of the service -type robot. It is used to "&amp;"interact with it by the hockey hall robot user, and the touch screen click to achieve interaction with the robot.
 6. Human -computer interaction method of graphic user interface: 1. Click the ""medal list"" in the main view to jump to the interface cha"&amp;"nge state Figure 1, and the top of the medal is slide on the up and down; 2. Click the ""wonderful review"" in the main view Figure 2 to the interface changes; 3. Click the video of the interface to change the video 2 &amp; nbsp; Figure 4; 5. Click the ""XX K"&amp;"nowledge"" in the main view to jump to the interface change state. 5; 6. Click the interface change state. 5 &amp; nbsp; ; 7. Click on the interface change state figure 5 &amp; nbsp; ""The hockey project"" in the interface changes status. 7, check the project det"&amp;"ails; Status Figure 8, check the athlete information; 9. Click the change of the interface to the status of the state 5 &amp; nbsp; To the interface change state Figure 10; 11. Click the ""place"" in the interface change status. 10 &amp; nbsp; jump to the interfa"&amp;"ce change status. Figure 12 to the interface change state; 13. In the main view of the main view, the three -finger decline jump to the interface change state Figure 13 &amp; nbsp; password setting interface appears.")</f>
        <v>1. The name of the product in this exterior: a display screen panel with a dynamic control graphical user interface.
 2. Design products for this product: robots used in the hockey hall.
 3. Design of the design of the product in this exterior: lies in the content and icon of the user graphic interface in the screen.
 4. Pictures or photos that can most indicate design points: main view.
 5. The purpose of the graphical user interface: This screen is part of the service -type robot. It is used to interact with it by the hockey hall robot user, and the touch screen click to achieve interaction with the robot.
 6. Human -computer interaction method of graphic user interface: 1. Click the "medal list" in the main view to jump to the interface change state Figure 1, and the top of the medal is slide on the up and down; 2. Click the "wonderful review" in the main view Figure 2 to the interface changes; 3. Click the video of the interface to change the video 2 &amp; nbsp; Figure 4; 5. Click the "XX Knowledge" in the main view to jump to the interface change state. 5; 6. Click the interface change state. 5 &amp; nbsp; ; 7. Click on the interface change state figure 5 &amp; nbsp; "The hockey project" in the interface changes status. 7, check the project details; Status Figure 8, check the athlete information; 9. Click the change of the interface to the status of the state 5 &amp; nbsp; To the interface change state Figure 10; 11. Click the "place" in the interface change status. 10 &amp; nbsp; jump to the interface change status. Figure 12 to the interface change state; 13. In the main view of the main view, the three -finger decline jump to the interface change state Figure 13 &amp; nbsp; password setting interface appears.</v>
      </c>
      <c r="D436" s="6" t="s">
        <v>1286</v>
      </c>
      <c r="E436" s="4" t="str">
        <f ca="1">IFERROR(__xludf.DUMMYFUNCTION("GOOGLETRANSLATE(D436,""auto"",""en"")"),"Display screen panel with dynamic control graphical user interface")</f>
        <v>Display screen panel with dynamic control graphical user interface</v>
      </c>
    </row>
    <row r="437" spans="1:5" ht="15" x14ac:dyDescent="0.25">
      <c r="A437" s="5" t="s">
        <v>1287</v>
      </c>
      <c r="B437" s="6" t="s">
        <v>1288</v>
      </c>
      <c r="C437" s="3" t="str">
        <f ca="1">IFERROR(__xludf.DUMMYFUNCTION("GOOGLETRANSLATE(B437,""auto"",""en"")"),"This application provides a method of organizational organization, system and installation. This method includes: in response to the start of the event, start the event to start the corresponding competition application, and display the interactive interf"&amp;"ace of the competition application; through image recognition of the interactive interface, determine the competition stage of the game, and implement the event stage The corresponding competition operation was over until the end of the event. The organiz"&amp;"ational method of this competition eliminates artificially start the competition, and technically automatically promotes the competition, avoiding artificially running errors, time is unstable, and saves a large number of school pairing review time, and i"&amp;"mproves the efficiency of the organizational organization. At the same time, multiple events can be opened in batches without a large number of manual basis to further improve the efficiency of the organizational organization.")</f>
        <v>This application provides a method of organizational organization, system and installation. This method includes: in response to the start of the event, start the event to start the corresponding competition application, and display the interactive interface of the competition application; through image recognition of the interactive interface, determine the competition stage of the game, and implement the event stage The corresponding competition operation was over until the end of the event. The organizational method of this competition eliminates artificially start the competition, and technically automatically promotes the competition, avoiding artificially running errors, time is unstable, and saves a large number of school pairing review time, and improves the efficiency of the organizational organization. At the same time, multiple events can be opened in batches without a large number of manual basis to further improve the efficiency of the organizational organization.</v>
      </c>
      <c r="D437" s="6" t="s">
        <v>1289</v>
      </c>
      <c r="E437" s="4" t="str">
        <f ca="1">IFERROR(__xludf.DUMMYFUNCTION("GOOGLETRANSLATE(D437,""auto"",""en"")"),"Organization methods, systems and devices of the event")</f>
        <v>Organization methods, systems and devices of the event</v>
      </c>
    </row>
    <row r="438" spans="1:5" ht="15" x14ac:dyDescent="0.25">
      <c r="A438" s="5" t="s">
        <v>1290</v>
      </c>
      <c r="B438" s="6" t="s">
        <v>1291</v>
      </c>
      <c r="C438" s="3" t="str">
        <f ca="1">IFERROR(__xludf.DUMMYFUNCTION("GOOGLETRANSLATE(B438,""auto"",""en"")"),"The present invention proposes a precise evaluation method based on a modern machine learning model, involving the field of fitness. Through the training and learning of the face image samples and physical action video samples of people in different fatig"&amp;"ue conditions, they are trained and learned in the corresponding convolutional neural network models to obtain face fatigue state detection models and physical movement fatigue detection models. Then obtain the sports video of the athlete, send the face i"&amp;"mage and limb movement information of the athletic video in the identified sports video to the face fatigue state detection model and physical action fatigue detection model, and then follow the results of face fatigue detection results and face fatigue d"&amp;"etection results and The results of limb fatigue testing are comprehensively judged, that is, it can accurately and quickly identify the fatigue state of the athletes. This method is simple and fast. It can be based on human face images and physical movem"&amp;"ent information, combined with target detection and super -resolution reconstruction, and use convolutional neural network models to accurately evaluate the fatigue status of the athletes.")</f>
        <v>The present invention proposes a precise evaluation method based on a modern machine learning model, involving the field of fitness. Through the training and learning of the face image samples and physical action video samples of people in different fatigue conditions, they are trained and learned in the corresponding convolutional neural network models to obtain face fatigue state detection models and physical movement fatigue detection models. Then obtain the sports video of the athlete, send the face image and limb movement information of the athletic video in the identified sports video to the face fatigue state detection model and physical action fatigue detection model, and then follow the results of face fatigue detection results and face fatigue detection results and The results of limb fatigue testing are comprehensively judged, that is, it can accurately and quickly identify the fatigue state of the athletes. This method is simple and fast. It can be based on human face images and physical movement information, combined with target detection and super -resolution reconstruction, and use convolutional neural network models to accurately evaluate the fatigue status of the athletes.</v>
      </c>
      <c r="D438" s="6" t="s">
        <v>1292</v>
      </c>
      <c r="E438" s="4" t="str">
        <f ca="1">IFERROR(__xludf.DUMMYFUNCTION("GOOGLETRANSLATE(D438,""auto"",""en"")"),"A precision evaluation method based on modern machine learning model")</f>
        <v>A precision evaluation method based on modern machine learning model</v>
      </c>
    </row>
    <row r="439" spans="1:5" ht="15" x14ac:dyDescent="0.25">
      <c r="A439" s="5" t="s">
        <v>1293</v>
      </c>
      <c r="B439" s="6" t="s">
        <v>1294</v>
      </c>
      <c r="C439" s="3" t="str">
        <f ca="1">IFERROR(__xludf.DUMMYFUNCTION("GOOGLETRANSLATE(B439,""auto"",""en"")"),"1. Design product name: Answer the display screen panel with scroll points management graphics user interface.
 2. The purpose of designing products in this exterior: used to display graphic user interface.
 3. Design of design products in this appear"&amp;"ance: lies in the graphic user interface in the screen.
 4. Pictures or photos that can most indicate design points: main view.
 5. There is no design point for other views, omitting other views.
 6. The purpose of graphical user interface: The inte"&amp;"rface is used to make answers, make tasks to earn points to buy products, management and browsing information.
 7. Human -computer interaction method of graphical user interface: The graphic user interface displayed by the main view is to open the start"&amp;" interface of the program; click the ""Questionnaire"" label button at the bottom of the main view to enter the interface changes. Returning the ""Tag button Enter the interface change state Figure 2; in the interface change state Figure 2 The central cen"&amp;"ter of the central government slide up to get the interface change state Figure 3; click the"" My ""tag button at the bottom of the main view to enter the interface change state Figure 4.
 8. The display screen panel of the product can be applied to com"&amp;"puters, laptops, tablet computers, head -up display (HUD), multimedia projector, smartphone, smart robot, smart glasses, virtual reality glasses, augmented reality glasses, hybrid reality Glasses, smart watches, fitness monitors, headset headphones, drivi"&amp;"ng recorders, vehicle navigation equipment, vehicle CNC computer, automobile smart rearview mirror, smart speaker, smart TV, set -top box, game handheld, game console.
 9. The gray ""X"" coating in the graphic user interface of the product of the produc"&amp;"t is the content picture.")</f>
        <v>1. Design product name: Answer the display screen panel with scroll points management graphics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to make answers, make tasks to earn points to buy products, management and browsing information.
 7. Human -computer interaction method of graphical user interface: The graphic user interface displayed by the main view is to open the start interface of the program; click the "Questionnaire" label button at the bottom of the main view to enter the interface changes. Returning the "Tag button Enter the interface change state Figure 2; in the interface change state Figure 2 The central center of the central government slide up to get the interface change state Figure 3; click the" My "tag button at the bottom of the main view to enter the interface change state Figure 4.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439" s="6" t="s">
        <v>1295</v>
      </c>
      <c r="E439" s="4" t="str">
        <f ca="1">IFERROR(__xludf.DUMMYFUNCTION("GOOGLETRANSLATE(D439,""auto"",""en"")"),"Answer the display screen panel with the scroll points management graphics user interface")</f>
        <v>Answer the display screen panel with the scroll points management graphics user interface</v>
      </c>
    </row>
    <row r="440" spans="1:5" ht="15" x14ac:dyDescent="0.25">
      <c r="A440" s="5" t="s">
        <v>1296</v>
      </c>
      <c r="B440" s="6" t="s">
        <v>1297</v>
      </c>
      <c r="C440" s="3" t="str">
        <f ca="1">IFERROR(__xludf.DUMMYFUNCTION("GOOGLETRANSLATE(B440,""auto"",""en"")"),"The present invention provides sports staff with a personalized personalized diet plan based on artificial intelligence. These dietary personnel provide machine -sensitive functions to manage the correct meal plan, and closely determine the appropriate nu"&amp;"trition and application according to the nutritional guidelines and applications implemented by medical care facilities and applications. Diet. Systems (100) include multiple athletes ending electronic equipment, cloud storage, server and processors. Afte"&amp;"r receiving the meal information, the processor calculates the biological content and suggests whether it is consumed to the user. If the athlete's diet does not match the diet set by the coach in the system, the processor will generate alert on the coach"&amp;" side electronic equipment. In addition, the processor sends an alarm to the user based on the meal time set by the athletes.")</f>
        <v>The present invention provides sports staff with a personalized personalized diet plan based on artificial intelligence. These dietary personnel provide machine -sensitive functions to manage the correct meal plan, and closely determine the appropriate nutrition and application according to the nutritional guidelines and applications implemented by medical care facilities and applications. Diet. Systems (100) include multiple athletes ending electronic equipment, cloud storage, server and processors. After receiving the meal information, the processor calculates the biological content and suggests whether it is consumed to the user. If the athlete's diet does not match the diet set by the coach in the system, the processor will generate alert on the coach side electronic equipment. In addition, the processor sends an alarm to the user based on the meal time set by the athletes.</v>
      </c>
      <c r="D440" s="6" t="s">
        <v>1298</v>
      </c>
      <c r="E440" s="4" t="str">
        <f ca="1">IFERROR(__xludf.DUMMYFUNCTION("GOOGLETRANSLATE(D440,""auto"",""en"")"),"Personalized diet plan based on artificial intelligence -based sportsmen")</f>
        <v>Personalized diet plan based on artificial intelligence -based sportsmen</v>
      </c>
    </row>
    <row r="441" spans="1:5" ht="15" x14ac:dyDescent="0.25">
      <c r="A441" s="5" t="s">
        <v>1299</v>
      </c>
      <c r="B441" s="6" t="s">
        <v>1300</v>
      </c>
      <c r="C441" s="3" t="str">
        <f ca="1">IFERROR(__xludf.DUMMYFUNCTION("GOOGLETRANSLATE(B441,""auto"",""en"")"),"The online counseling service provider of the online counseling service of the present invention includes the user's facial information receiver, which is used to receive the image information of users who use the online counseling service from the user t"&amp;"erminal to use the online counseling service between the user and the user. The AI ​​model generates a unit. During the use of online tutoring services, he receives questions from the coach terminal, analyzes the user's image information, and judges the u"&amp;"ser's psychological state change according to the user's psychological state change. After the real -time online counseling information management unit and the online counseling service between users and coaches, the user's initial psychological status is"&amp;" applied to the online counseling information database. The pre -generated AI model, obtaining the problem information corresponding to the changes in the positive state, and the online counseling service providing unit provides the problem information to"&amp;" the coach terminal during output.")</f>
        <v>The online counseling service provider of the online counseling service of the present invention includes the user's facial information receiver, which is used to receive the image information of users who use the online counseling service from the user terminal to use the online counseling service between the user and the user. The AI ​​model generates a unit. During the use of online tutoring services, he receives questions from the coach terminal, analyzes the user's image information, and judges the user's psychological state change according to the user's psychological state change. After the real -time online counseling information management unit and the online counseling service between users and coaches, the user's initial psychological status is applied to the online counseling information database. The pre -generated AI model, obtaining the problem information corresponding to the changes in the positive state, and the online counseling service providing unit provides the problem information to the coach terminal during output.</v>
      </c>
      <c r="D441" s="6" t="s">
        <v>1301</v>
      </c>
      <c r="E441" s="4" t="str">
        <f ca="1">IFERROR(__xludf.DUMMYFUNCTION("GOOGLETRANSLATE(D441,""auto"",""en"")"),"Online counseling service providing system, its execution methods and recording media based on artificial intelligence")</f>
        <v>Online counseling service providing system, its execution methods and recording media based on artificial intelligence</v>
      </c>
    </row>
    <row r="442" spans="1:5" ht="15" x14ac:dyDescent="0.25">
      <c r="A442" s="5" t="s">
        <v>1302</v>
      </c>
      <c r="B442" s="6" t="s">
        <v>1303</v>
      </c>
      <c r="C442" s="3" t="str">
        <f ca="1">IFERROR(__xludf.DUMMYFUNCTION("GOOGLETRANSLATE(B442,""auto"",""en"")"),"The present invention discloses an artificial intelligence sports auxiliary equipment, which involves the field of artificial intelligence sports technology, including the base, and the U -shaped framework is fixed at the top of the base. There is a drive"&amp;"r agency, the present invention, and the position of the running machine and the interactive platform is adjusted by setting up a driver mechanism and using a two -wheel drive mechanism to facilitate the use of the entire sports equipment and facilitate t"&amp;"he synchronous storage of running machines and interactive platforms. Reduce the space of the entire sports equipment, thereby improving the effect of the entire equipment; when the running machine is in a parallel position, it can rise by driving the sli"&amp;"de and driving seats to drive the top of the running machine for a certain distance. At this time, running at this time The machine is in the tilt position, which is convenient for users to use running machines for simulation climbing running sports, ther"&amp;"eby improving the effect and functionality of the entire sports equipment.")</f>
        <v>The present invention discloses an artificial intelligence sports auxiliary equipment, which involves the field of artificial intelligence sports technology, including the base, and the U -shaped framework is fixed at the top of the base. There is a driver agency, the present invention, and the position of the running machine and the interactive platform is adjusted by setting up a driver mechanism and using a two -wheel drive mechanism to facilitate the use of the entire sports equipment and facilitate the synchronous storage of running machines and interactive platforms. Reduce the space of the entire sports equipment, thereby improving the effect of the entire equipment; when the running machine is in a parallel position, it can rise by driving the slide and driving seats to drive the top of the running machine for a certain distance. At this time, running at this time The machine is in the tilt position, which is convenient for users to use running machines for simulation climbing running sports, thereby improving the effect and functionality of the entire sports equipment.</v>
      </c>
      <c r="D442" s="6" t="s">
        <v>81</v>
      </c>
      <c r="E442" s="4" t="str">
        <f ca="1">IFERROR(__xludf.DUMMYFUNCTION("GOOGLETRANSLATE(D442,""auto"",""en"")"),"A kind of artificial intelligence sports auxiliary device")</f>
        <v>A kind of artificial intelligence sports auxiliary device</v>
      </c>
    </row>
    <row r="443" spans="1:5" ht="15" x14ac:dyDescent="0.25">
      <c r="A443" s="5" t="s">
        <v>1304</v>
      </c>
      <c r="B443" s="6" t="s">
        <v>1305</v>
      </c>
      <c r="C443" s="3" t="str">
        <f ca="1">IFERROR(__xludf.DUMMYFUNCTION("GOOGLETRANSLATE(B443,""auto"",""en"")"),"The present invention is a sports equipment technology field. It involves an artificial intelligence -based rope -skipping training system and method, including rope skipping counting system. The rope skipping counting system includes illegal detection mo"&amp;"dules. The training system also includes mobile training devices. Among them Detecting the user's skipping status in the training system. When the rope skipping status is detected as illegal actions, send data correction messages to the mobile training de"&amp;"vice. The mobile training device is adjusted in violation of the current rope skipping status based on the data correction message. During the state, the mobile training device adjusts the current user rope skipping state into the training mode to achieve"&amp;" rope skipping training. For students who do not skip rope, training can be trained from zero foundation, including training hands and feet coordination, wrist throwing rope, jump height, and jumping posture. Compared with artificial teaching, the types o"&amp;"f skipping training are more comprehensive, the training is gradual, the efficiency is high and the learning effect is obvious.")</f>
        <v>The present invention is a sports equipment technology field. It involves an artificial intelligence -based rope -skipping training system and method, including rope skipping counting system. The rope skipping counting system includes illegal detection modules. The training system also includes mobile training devices. Among them Detecting the user's skipping status in the training system. When the rope skipping status is detected as illegal actions, send data correction messages to the mobile training device. The mobile training device is adjusted in violation of the current rope skipping status based on the data correction message. During the state, the mobile training device adjusts the current user rope skipping state into the training mode to achieve rope skipping training. For students who do not skip rope, training can be trained from zero foundation, including training hands and feet coordination, wrist throwing rope, jump height, and jumping posture. Compared with artificial teaching, the types of skipping training are more comprehensive, the training is gradual, the efficiency is high and the learning effect is obvious.</v>
      </c>
      <c r="D443" s="6" t="s">
        <v>1306</v>
      </c>
      <c r="E443" s="4" t="str">
        <f ca="1">IFERROR(__xludf.DUMMYFUNCTION("GOOGLETRANSLATE(D443,""auto"",""en"")"),"An artificial intelligence -based rope skipping training system and method")</f>
        <v>An artificial intelligence -based rope skipping training system and method</v>
      </c>
    </row>
    <row r="444" spans="1:5" ht="15" x14ac:dyDescent="0.25">
      <c r="A444" s="5" t="s">
        <v>1307</v>
      </c>
      <c r="B444" s="6" t="s">
        <v>1308</v>
      </c>
      <c r="C444" s="3" t="str">
        <f ca="1">IFERROR(__xludf.DUMMYFUNCTION("GOOGLETRANSLATE(B444,""auto"",""en"")"),"The present invention provides a variable -deformable gymnastic manipulation method and system based on visual feedback, involving the field of robotic arm control technology. The embodiment of the present invention provided by the visual feedback -based "&amp;"deformable gymnastics method, including: two -value segmentation of the input image; sampling from the random distribution after the dual -value division to obtain the sampling point; according to the input of the input; according to the inputable Status "&amp;"training neural network model; use the trained neural network model output capture points and placement points; manipulate the transformerable object from the grasp point movement to the placement point; in which Essence The method provided by the present"&amp;" invention is separated from the state of high freedom as the input, and instead uses visual images and sampling to sample points as input, which solves the problem that the state is difficult to express, which will help improve the success rate of manipu"&amp;"lation. At the same time, avoid it to avoid it. Imitate the problems such as the high degree of freedom of the variable drift of the Chinese Association and the high degree of freedom expressed in the state.")</f>
        <v>The present invention provides a variable -deformable gymnastic manipulation method and system based on visual feedback, involving the field of robotic arm control technology. The embodiment of the present invention provided by the visual feedback -based deformable gymnastics method, including: two -value segmentation of the input image; sampling from the random distribution after the dual -value division to obtain the sampling point; according to the input of the input; according to the inputable Status training neural network model; use the trained neural network model output capture points and placement points; manipulate the transformerable object from the grasp point movement to the placement point; in which Essence The method provided by the present invention is separated from the state of high freedom as the input, and instead uses visual images and sampling to sample points as input, which solves the problem that the state is difficult to express, which will help improve the success rate of manipulation. At the same time, avoid it to avoid it. Imitate the problems such as the high degree of freedom of the variable drift of the Chinese Association and the high degree of freedom expressed in the state.</v>
      </c>
      <c r="D444" s="6" t="s">
        <v>1309</v>
      </c>
      <c r="E444" s="4" t="str">
        <f ca="1">IFERROR(__xludf.DUMMYFUNCTION("GOOGLETRANSLATE(D444,""auto"",""en"")"),"A method and system based on visual feedback can")</f>
        <v>A method and system based on visual feedback can</v>
      </c>
    </row>
    <row r="445" spans="1:5" ht="15" x14ac:dyDescent="0.25">
      <c r="A445" s="5" t="s">
        <v>1310</v>
      </c>
      <c r="B445" s="6" t="s">
        <v>1311</v>
      </c>
      <c r="C445" s="3" t="str">
        <f ca="1">IFERROR(__xludf.DUMMYFUNCTION("GOOGLETRANSLATE(B445,""auto"",""en"")"),"1. The name of the product of the design of the product: The online service management graphic user interface of the elderly university on the display screen panel.
 2. Design products in appearance: used for interaction and display.
 3. Design of the"&amp;" design of the product in appearance: lies in the interface content of the graphic user interface.
 4. Pictures or photos that can most indicate design points: main view.
 5. There is no design point for other views, omitting other views.
 6. The pu"&amp;"rpose of graphic user interface: used to display the study and activity information of online elderly universities, including viewing curriculum list, course introduction, watching curriculum videos, viewing dynamic information, registration activities, r"&amp;"egistration contests, participating in voting, participating in answering questions.
 7. Human -computer interaction method of graphics user interface: The main view of the main view is the main interface displayed by the elderly university displayed af"&amp;"ter logging in after the user; drag the main view of the main view or use the mouse to drag the rolling bar on the right side of the main view, as if the interface changes are changed. Show the interface; click the ""More"" button on the right side of the"&amp;" popular course ranking section in the main view, jump to the interface change state Figure 2; click on any course information in the interface changes in Figure 2, jump to the interface change state Figure 3: Click the interface change state Figure 1 The"&amp;" ""more"" button on the right side of the dynamic sector of the middle -aged and elderly university, jump to the interface change state Figure 4; click on the interface changes status 4 in the dynamic information of the elderly university; jump to the jum"&amp;"p to Figure 5 of the interface change state; click the ""activity"" button in the interface change state Figure 1, jump to the interface change state Figure 6; click the interface change state Figure 6 Experience activity registration activity information"&amp;" in the registration module, jump to the interface to the interface Change status Figure 7; click the ""Online Answering Activity"" module in the interface change state. 6, jump to the interface change state Figure 8; click the interface changes to the me"&amp;"dium online answer activity module information, jump to jump, jump transfer To the interface change state Figure 9; the interface of the user by dragging the interface changes in the interface in the upward interface, as shown in the interface changes in "&amp;"the interface 10; click the ""contest"" button in the interface changes to the interface change to the interface changes Status Figure 11; click the interface change Status Figure 11 In the registration module of the competition module, jump to the interf"&amp;"ace change state Figure 12; click the interface changes in the ""contest vote"" module in the status 11, jump to the interface changes state diagram 13; click the interface change status Figure 13 The information of the competition module in the middle of"&amp;" the competition, jump to the interface change state Figure 14; when the voting is over and the voting results are statistics, the interface changes are displayed. Details of the contest voting.
 8. The displayed carrier equipment for display is the exi"&amp;"sting design. The display screen panel can be applied to computers, laptops, tablet computers, mobile phones, smartphones, smart glasses, watches, smart watches, fitness monitors, head wearing, head wearing Form headphones, personal digital assistants, sm"&amp;"art speakers, television, monitor, projector, set -top box, navigator, display device for vehicles.")</f>
        <v>1. The name of the product of the design of the product: The online service management graphic user interface of the elderly university on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 user interface: used to display the study and activity information of online elderly universities, including viewing curriculum list, course introduction, watching curriculum videos, viewing dynamic information, registration activities, registration contests, participating in voting, participating in answering questions.
 7. Human -computer interaction method of graphics user interface: The main view of the main view is the main interface displayed by the elderly university displayed after logging in after the user; drag the main view of the main view or use the mouse to drag the rolling bar on the right side of the main view, as if the interface changes are changed. Show the interface; click the "More" button on the right side of the popular course ranking section in the main view, jump to the interface change state Figure 2; click on any course information in the interface changes in Figure 2, jump to the interface change state Figure 3: Click the interface change state Figure 1 The "more" button on the right side of the dynamic sector of the middle -aged and elderly university, jump to the interface change state Figure 4; click on the interface changes status 4 in the dynamic information of the elderly university; jump to the jump to Figure 5 of the interface change state; click the "activity" button in the interface change state Figure 1, jump to the interface change state Figure 6; click the interface change state Figure 6 Experience activity registration activity information in the registration module, jump to the interface to the interface Change status Figure 7; click the "Online Answering Activity" module in the interface change state. 6, jump to the interface change state Figure 8; click the interface changes to the medium online answer activity module information, jump to jump, jump transfer To the interface change state Figure 9; the interface of the user by dragging the interface changes in the interface in the upward interface, as shown in the interface changes in the interface 10; click the "contest" button in the interface changes to the interface change to the interface changes Status Figure 11; click the interface change Status Figure 11 In the registration module of the competition module, jump to the interface change state Figure 12; click the interface changes in the "contest vote" module in the status 11, jump to the interface changes state diagram 13; click the interface change status Figure 13 The information of the competition module in the middle of the competition, jump to the interface change state Figure 14; when the voting is over and the voting results are statistics, the interface changes are displayed. Details of the contest voting.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445" s="6" t="s">
        <v>1312</v>
      </c>
      <c r="E445" s="4" t="str">
        <f ca="1">IFERROR(__xludf.DUMMYFUNCTION("GOOGLETRANSLATE(D445,""auto"",""en"")"),"Senior university online service management graphic user interface with display screen panel")</f>
        <v>Senior university online service management graphic user interface with display screen panel</v>
      </c>
    </row>
    <row r="446" spans="1:5" ht="15" x14ac:dyDescent="0.25">
      <c r="A446" s="5" t="s">
        <v>1313</v>
      </c>
      <c r="B446" s="6" t="s">
        <v>1314</v>
      </c>
      <c r="C446" s="3" t="str">
        <f ca="1">IFERROR(__xludf.DUMMYFUNCTION("GOOGLETRANSLATE(B446,""auto"",""en"")"),"1. The name of the product of the design of the product: The information display of the display screen panel is displayed.
 2. Design products in appearance: used for interaction and display.
 3. Design of the design of the product in appearance: lies"&amp;" in the interface content of the graphic user interface.
 4. Pictures or photos that can most indicate design points: main view.
 5. There is no design point for other views, omitting other views.
 6. The purpose of graphical user interface: informa"&amp;"tion used for multi -tip navigation is displayed to facilitate users to view the information of each functional module.
 7. Human -computer interaction method of graphical user interface: The main view is the default main interface of the floating windo"&amp;"w. The interface contains the horizontal navigation bar with a tab, a second -level sub -tabs below the tab, and a third -level sub -sign. And the content of the information that can be displayed by selecting a third -level subpress; when the mouse's curs"&amp;"or, etc. can be placed in the horizontal navigation bar on the upper part of the main screen interface, any position is drawn. After a few seconds (such as 2 seconds), The interface changes are shown in Figure 1, and the suspension windows are displayed, "&amp;"and the second -level tabs under the first -level tags and the third -level tags are displayed to the user. Users can click on any one -third sub -page sign in the floating window. Jump to the target interface, the high -bright background area of ​​the su"&amp;"spended window will change according to the movement of the mouse cursor, etc. When the mouse's metacal cursor, etc., the suspended window is closed and returned to the interface of the main view; when the user When you want to see more content of the sec"&amp;"ond and third -level tips below a navigation item, as shown in the interface change state Figure 2, the cursor of the mouse is moved into the suspended window area corresponding to the navigation item. It shows that in this state, rolling or dragging the "&amp;"rolling bar on the right side of the high -bright area to display more content below the area. When the mouse target cursor is removed from the tabs, the suspension window is turned off and returned to the main view view. The interface.
 8. The displaye"&amp;"d carrier equipment for display is the existing design. The display screen panel can be applied to computers, laptops, tablet computers, mobile phones, smartphones, smart glasses, watches, smart watches, fitness monitors, head wearing, head wearing Form h"&amp;"eadphones, personal digital assistants, smart speakers, television, monitor, projector, set -top box, navigator, display device for vehicles.")</f>
        <v>1. The name of the product of the design of the product: The information display of the display screen panel is displayed.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information used for multi -tip navigation is displayed to facilitate users to view the information of each functional module.
 7. Human -computer interaction method of graphical user interface: The main view is the default main interface of the floating window. The interface contains the horizontal navigation bar with a tab, a second -level sub -tabs below the tab, and a third -level sub -sign. And the content of the information that can be displayed by selecting a third -level subpress; when the mouse's cursor, etc. can be placed in the horizontal navigation bar on the upper part of the main screen interface, any position is drawn. After a few seconds (such as 2 seconds), The interface changes are shown in Figure 1, and the suspension windows are displayed, and the second -level tabs under the first -level tags and the third -level tags are displayed to the user. Users can click on any one -third sub -page sign in the floating window. Jump to the target interface, the high -bright background area of ​​the suspended window will change according to the movement of the mouse cursor, etc. When the mouse's metacal cursor, etc., the suspended window is closed and returned to the interface of the main view; when the user When you want to see more content of the second and third -level tips below a navigation item, as shown in the interface change state Figure 2, the cursor of the mouse is moved into the suspended window area corresponding to the navigation item. It shows that in this state, rolling or dragging the rolling bar on the right side of the high -bright area to display more content below the area. When the mouse target cursor is removed from the tabs, the suspension window is turned off and returned to the main view view. The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446" s="6" t="s">
        <v>1315</v>
      </c>
      <c r="E446" s="4" t="str">
        <f ca="1">IFERROR(__xludf.DUMMYFUNCTION("GOOGLETRANSLATE(D446,""auto"",""en"")"),"Information display of the display screen panel, signing the graphical user interface")</f>
        <v>Information display of the display screen panel, signing the graphical user interface</v>
      </c>
    </row>
    <row r="447" spans="1:5" ht="15" x14ac:dyDescent="0.25">
      <c r="A447" s="5" t="s">
        <v>1316</v>
      </c>
      <c r="B447" s="6" t="s">
        <v>1317</v>
      </c>
      <c r="C447" s="3" t="str">
        <f ca="1">IFERROR(__xludf.DUMMYFUNCTION("GOOGLETRANSLATE(B447,""auto"",""en"")"),"Calculate the system to receive game data. Data include at least one in tracking data or event data. Based on game -based data, the computing system determines that an event occurs in the game. Based on this determination, the calculation system generates"&amp;" the graphic response event. The graphics include incident -related insights. The computing system is based on the element label related to the event to the event related to the event. The computing system generates visual elements by combining images and"&amp;" graphics.")</f>
        <v>Calculate the system to receive game data. Data include at least one in tracking data or event data. Based on game -based data, the computing system determines that an event occurs in the game. Based on this determination, the calculation system generates the graphic response event. The graphics include incident -related insights. The computing system is based on the element label related to the event to the event related to the event. The computing system generates visual elements by combining images and graphics.</v>
      </c>
      <c r="D447" s="6" t="s">
        <v>1318</v>
      </c>
      <c r="E447" s="4" t="str">
        <f ca="1">IFERROR(__xludf.DUMMYFUNCTION("GOOGLETRANSLATE(D447,""auto"",""en"")"),"Sports content images and graphics recommendation engines based on artificial intelligence -based game indicators")</f>
        <v>Sports content images and graphics recommendation engines based on artificial intelligence -based game indicators</v>
      </c>
    </row>
    <row r="448" spans="1:5" ht="15" x14ac:dyDescent="0.25">
      <c r="A448" s="5" t="s">
        <v>1319</v>
      </c>
      <c r="B448" s="6" t="s">
        <v>1317</v>
      </c>
      <c r="C448" s="3" t="str">
        <f ca="1">IFERROR(__xludf.DUMMYFUNCTION("GOOGLETRANSLATE(B448,""auto"",""en"")"),"Calculate the system to receive game data. Data include at least one in tracking data or event data. Based on game -based data, the computing system determines that an event occurs in the game. Based on this determination, the calculation system generates"&amp;" the graphic response event. The graphics include incident -related insights. The computing system is based on the element label related to the event to the event related to the event. The computing system generates visual elements by combining images and"&amp;" graphics.")</f>
        <v>Calculate the system to receive game data. Data include at least one in tracking data or event data. Based on game -based data, the computing system determines that an event occurs in the game. Based on this determination, the calculation system generates the graphic response event. The graphics include incident -related insights. The computing system is based on the element label related to the event to the event related to the event. The computing system generates visual elements by combining images and graphics.</v>
      </c>
      <c r="D448" s="6" t="s">
        <v>1320</v>
      </c>
      <c r="E448" s="4" t="str">
        <f ca="1">IFERROR(__xludf.DUMMYFUNCTION("GOOGLETRANSLATE(D448,""auto"",""en"")"),"Recommended engines for gaming index combinations and graphics based on artificial intelligence -generated game index combinations")</f>
        <v>Recommended engines for gaming index combinations and graphics based on artificial intelligence -generated game index combinations</v>
      </c>
    </row>
    <row r="449" spans="1:5" ht="15" x14ac:dyDescent="0.25">
      <c r="A449" s="5" t="s">
        <v>1321</v>
      </c>
      <c r="B449" s="6" t="s">
        <v>1322</v>
      </c>
      <c r="C449" s="3" t="str">
        <f ca="1">IFERROR(__xludf.DUMMYFUNCTION("GOOGLETRANSLATE(B449,""auto"",""en"")"),"1. The name of the product in appearance: The task scheduling of the display screen panel Manage the graphic user interface.
 2. Design products in appearance: used for interaction and display.
 3. Design of the design of the product in appearance: li"&amp;"es in the interface content of the graphic user interface.
 4. Pictures or photos that can most indicate design points: main view.
 5. There is no design point for other views, omitting other views.
 6. The purpose of the graphical user interface: I"&amp;"t is used to manage and display the node operation scheduling and display of the unidirectional process task of the single branch.
 7. Human -computer interaction method of graphical user interface: The main view of the first -way process task of the ma"&amp;"in view of the display is the initial operation interface of the single branch node; when the mouse is slipped into the head in the main view, the interactive interface displayed by the interface change state graph 1; When clicking the ""Start Process"" i"&amp;"n the Main View or Interface Change State Figure 1, the interactive interface displayed by the interface change status is shown in the interface; When approved), the interactive interface displayed by the interface changes in Figure 3; when the system's p"&amp;"rocess task (for example: the contract preparation in batch) fails, the interactive interface displayed by the interface change state graph 4; when it is in the interface 4; The interface change state Figure 4 The selection in the selection in the selecti"&amp;"on of the state of execution failure (eg:: the contract group preparation), the interactive interface displayed by the interface change state graph 5; when the system's process task is completed, the interface changes state Figure 6 shows the interactive "&amp;"interface; in the interface change state Figure 6, after sliding the mouse cursor and other renames nodes (for example: service ingredients and investment ingredients), the interface changes are changed user-interface.
 8. The displayed carrier equipmen"&amp;"t for display is the existing design. The display screen panel can be applied to computers, laptops, tablet computers, mobile phones, smartphones, smart glasses, watches, smart watches, fitness monitors, head wearing, head wearing Form headphones, persona"&amp;"l digital assistants, smart speakers, television, monitor, set -top box, navigator, display instrument for vehicles.")</f>
        <v>1. The name of the product in appearance: The task scheduling of the display screen panel Manage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It is used to manage and display the node operation scheduling and display of the unidirectional process task of the single branch.
 7. Human -computer interaction method of graphical user interface: The main view of the first -way process task of the main view of the display is the initial operation interface of the single branch node; when the mouse is slipped into the head in the main view, the interactive interface displayed by the interface change state graph 1; When clicking the "Start Process" in the Main View or Interface Change State Figure 1, the interactive interface displayed by the interface change status is shown in the interface; When approved), the interactive interface displayed by the interface changes in Figure 3; when the system's process task (for example: the contract preparation in batch) fails, the interactive interface displayed by the interface change state graph 4; when it is in the interface 4; The interface change state Figure 4 The selection in the selection in the selection of the state of execution failure (eg:: the contract group preparation), the interactive interface displayed by the interface change state graph 5; when the system's process task is completed, the interface changes state Figure 6 shows the interactive interface; in the interface change state Figure 6, after sliding the mouse cursor and other renames nodes (for example: service ingredients and investment ingredients), the interface changes are changed user-interface.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instrument for vehicles.</v>
      </c>
      <c r="D449" s="6" t="s">
        <v>1323</v>
      </c>
      <c r="E449" s="4" t="str">
        <f ca="1">IFERROR(__xludf.DUMMYFUNCTION("GOOGLETRANSLATE(D449,""auto"",""en"")"),"Show -screen panel task scheduling management graphic user interface")</f>
        <v>Show -screen panel task scheduling management graphic user interface</v>
      </c>
    </row>
    <row r="450" spans="1:5" ht="15" x14ac:dyDescent="0.25">
      <c r="A450" s="5" t="s">
        <v>1324</v>
      </c>
      <c r="B450" s="6" t="s">
        <v>1325</v>
      </c>
      <c r="C450" s="3" t="str">
        <f ca="1">IFERROR(__xludf.DUMMYFUNCTION("GOOGLETRANSLATE(B450,""auto"",""en"")"),"IoT is the unique network connected to the Internet. Commodities include machinery, general equipment, humans and animals. There are many examples of IoT applications, such as watchmaking equipment such as watches, which can monitor everything from exerci"&amp;"se to fitness and family automation. Subsequently, the sensors running in various environments can create a large amount of smart sensors to perform tasks such as data collection and analysis. And these sensors share data between different nodes and store"&amp;" them in the central network for analysis. Generally speaking, the basic components of wireless sensor network (WSN) are the security data storage of hardware, communication layer, middleware, and the WSN. All of these are included in the wireless sensor "&amp;"network (WSN). The success of this Internet of Things (IoT) depends on the pointer number assigned to each project or device. The most important advantage of pointer numbers is unity, stability, and reliable")</f>
        <v>IoT is the unique network connected to the Internet. Commodities include machinery, general equipment, humans and animals. There are many examples of IoT applications, such as watchmaking equipment such as watches, which can monitor everything from exercise to fitness and family automation. Subsequently, the sensors running in various environments can create a large amount of smart sensors to perform tasks such as data collection and analysis. And these sensors share data between different nodes and store them in the central network for analysis. Generally speaking, the basic components of wireless sensor network (WSN) are the security data storage of hardware, communication layer, middleware, and the WSN. All of these are included in the wireless sensor network (WSN). The success of this Internet of Things (IoT) depends on the pointer number assigned to each project or device. The most important advantage of pointer numbers is unity, stability, and reliable</v>
      </c>
      <c r="D450" s="6" t="s">
        <v>1326</v>
      </c>
      <c r="E450" s="4" t="str">
        <f ca="1">IFERROR(__xludf.DUMMYFUNCTION("GOOGLETRANSLATE(D450,""auto"",""en"")"),"Use identity verification encryption and related data plus algorithm to protect the communication between the Internet of Things equipment in the car network")</f>
        <v>Use identity verification encryption and related data plus algorithm to protect the communication between the Internet of Things equipment in the car network</v>
      </c>
    </row>
    <row r="451" spans="1:5" ht="15" x14ac:dyDescent="0.25">
      <c r="A451" s="5" t="s">
        <v>1327</v>
      </c>
      <c r="B451" s="6" t="s">
        <v>1328</v>
      </c>
      <c r="C451" s="3" t="str">
        <f ca="1">IFERROR(__xludf.DUMMYFUNCTION("GOOGLETRANSLATE(B451,""auto"",""en"")"),"The present invention involves intelligent control fields, and specially involves intelligent control methods and systems of treadmills combining the Internet of Things and data analysis, including: the minimum cycle is obtained according to the appropria"&amp;"teness of the steps. Curve; obtain the reference data segment of the reference sub -curve according to the simultaneous similarities; obtain the reference slope and reference pressure of each data point in the reference data segment through the linear fit"&amp;"ting; Obtain the status of the current data segment; when the current data segment is activated, the prediction pressure is obtained according to the predicted equation; the current moment is calculated according to the predicted pressure and reference pr"&amp;"essure; the movement speed of the treadmill is intelligently controlled according to the degree of abnormal level. Through the prediction results, the present invention has regulated the speed of the treadmill before the athletes have abnormal situations."&amp;" The speed of the treadmill can be safer to control the speed of the treadmill.")</f>
        <v>The present invention involves intelligent control fields, and specially involves intelligent control methods and systems of treadmills combining the Internet of Things and data analysis, including: the minimum cycle is obtained according to the appropriateness of the steps. Curve; obtain the reference data segment of the reference sub -curve according to the simultaneous similarities; obtain the reference slope and reference pressure of each data point in the reference data segment through the linear fitting; Obtain the status of the current data segment; when the current data segment is activated, the prediction pressure is obtained according to the predicted equation; the current moment is calculated according to the predicted pressure and reference pressure; the movement speed of the treadmill is intelligently controlled according to the degree of abnormal level. Through the prediction results, the present invention has regulated the speed of the treadmill before the athletes have abnormal situations. The speed of the treadmill can be safer to control the speed of the treadmill.</v>
      </c>
      <c r="D451" s="6" t="s">
        <v>1329</v>
      </c>
      <c r="E451" s="4" t="str">
        <f ca="1">IFERROR(__xludf.DUMMYFUNCTION("GOOGLETRANSLATE(D451,""auto"",""en"")"),"Intelligent control methods and systems combined with the Internet of Things and data analysis")</f>
        <v>Intelligent control methods and systems combined with the Internet of Things and data analysis</v>
      </c>
    </row>
    <row r="452" spans="1:5" ht="15" x14ac:dyDescent="0.25">
      <c r="A452" s="5" t="s">
        <v>1330</v>
      </c>
      <c r="B452" s="6" t="s">
        <v>1331</v>
      </c>
      <c r="C452" s="3" t="str">
        <f ca="1">IFERROR(__xludf.DUMMYFUNCTION("GOOGLETRANSLATE(B452,""auto"",""en"")"),"This application is applicable to the field of data processing technology, which provides a method of generating fitness guidance information, terminal equipment and computer readable storage media. , Experience data, fitness preference information, and p"&amp;"re -constructed fitness knowledge maps to generate user fitness guidance information; of which, fitness knowledge maps are used as intellectual maps that use fitness elements as various entities and describe the connection relationship between various ent"&amp;"ities. In the method provided in this application, the terminal device can determine the specific fitness needs of different users by obtained the body type data, physical measurement data, and fitness preference information obtained. , Thereby improving "&amp;"the accuracy of generating fitness guidance information.")</f>
        <v>This application is applicable to the field of data processing technology, which provides a method of generating fitness guidance information, terminal equipment and computer readable storage media. , Experience data, fitness preference information, and pre -constructed fitness knowledge maps to generate user fitness guidance information; of which, fitness knowledge maps are used as intellectual maps that use fitness elements as various entities and describe the connection relationship between various entities. In the method provided in this application, the terminal device can determine the specific fitness needs of different users by obtained the body type data, physical measurement data, and fitness preference information obtained. , Thereby improving the accuracy of generating fitness guidance information.</v>
      </c>
      <c r="D452" s="6" t="s">
        <v>1332</v>
      </c>
      <c r="E452" s="4" t="str">
        <f ca="1">IFERROR(__xludf.DUMMYFUNCTION("GOOGLETRANSLATE(D452,""auto"",""en"")"),"A method of generation of fitness guidance information, terminal equipment and storage media")</f>
        <v>A method of generation of fitness guidance information, terminal equipment and storage media</v>
      </c>
    </row>
    <row r="453" spans="1:5" ht="15" x14ac:dyDescent="0.25">
      <c r="A453" s="5" t="s">
        <v>1333</v>
      </c>
      <c r="B453" s="6" t="s">
        <v>1334</v>
      </c>
      <c r="C453" s="3" t="str">
        <f ca="1">IFERROR(__xludf.DUMMYFUNCTION("GOOGLETRANSLATE(B453,""auto"",""en"")"),"This utility model discloses a device for real -time data records and releases for the event, including special servers, display equipment, participants terminals, event management equipment, cloud storage data server, recorder terminal, voice recognition"&amp;" equipment, coaches terminal , Judgment Terminal and Eagle Eye Camera Equipment, which is fixed on the top of the eagle -eye camera device with connecting cylinders, the top fixing connection of the tube body is equipped with a installation frame. The low"&amp;"er end sliding connection of the guide cylinder has a guide rod body. The device that is used for real -time data records and releases for events, the coordination of the outer surface of the outer surface of the eagle -eye camera through the coordination"&amp;" of the motor, screw, thread block, connecting bar, connecting block, lift column, fixed ring, and cleaning brush can be achieved. The cleaning of dust avoids the accumulation of dust and affects the surveillance camera. It does not need to manually disas"&amp;"semble and clean up, which improves the efficiency of work and increases practicality.")</f>
        <v>This utility model discloses a device for real -time data records and releases for the event, including special servers, display equipment, participants terminals, event management equipment, cloud storage data server, recorder terminal, voice recognition equipment, coaches terminal , Judgment Terminal and Eagle Eye Camera Equipment, which is fixed on the top of the eagle -eye camera device with connecting cylinders, the top fixing connection of the tube body is equipped with a installation frame. The lower end sliding connection of the guide cylinder has a guide rod body. The device that is used for real -time data records and releases for events, the coordination of the outer surface of the outer surface of the eagle -eye camera through the coordination of the motor, screw, thread block, connecting bar, connecting block, lift column, fixed ring, and cleaning brush can be achieved. The cleaning of dust avoids the accumulation of dust and affects the surveillance camera. It does not need to manually disassemble and clean up, which improves the efficiency of work and increases practicality.</v>
      </c>
      <c r="D453" s="6" t="s">
        <v>1335</v>
      </c>
      <c r="E453" s="4" t="str">
        <f ca="1">IFERROR(__xludf.DUMMYFUNCTION("GOOGLETRANSLATE(D453,""auto"",""en"")"),"A device for real -time data records and releases for the event")</f>
        <v>A device for real -time data records and releases for the event</v>
      </c>
    </row>
    <row r="454" spans="1:5" ht="15" x14ac:dyDescent="0.25">
      <c r="A454" s="5" t="s">
        <v>1336</v>
      </c>
      <c r="B454" s="6" t="s">
        <v>1337</v>
      </c>
      <c r="C454" s="3" t="str">
        <f ca="1">IFERROR(__xludf.DUMMYFUNCTION("GOOGLETRANSLATE(B454,""auto"",""en"")"),"The present invention provides a long -jump evaluation method, device, electronic equipment, and storage medium. This method includes: determine the video and scaled line coordinates of the tested videos in the long -jump evaluation area; ; Based on the c"&amp;"oordinates of the bone bones of the personnel in the floor -to -ceiling frame, the foot segmentation of the floor frame is divided to obtain the coordinates of multiple foot contour points in the floor frame; The coordinates of the contours of the feet an"&amp;"d the coordinates of the scaled lines are evaluated for a long -term jump results, which overcomes the defects of inaccurate jumping results in the traditional solution. In order to determine the floor -to -ceiling frame corresponding to the floor -to -ce"&amp;"iling frame, and evaluate the results accordingly, it improves the accuracy of the calculation of long jump results; in addition, the use of computer vision technology and circulating status machines for long -term evaluation, which also improves the effi"&amp;"ciency of long jump evaluation and physical education classrooms. Teaching efficiency.")</f>
        <v>The present invention provides a long -jump evaluation method, device, electronic equipment, and storage medium. This method includes: determine the video and scaled line coordinates of the tested videos in the long -jump evaluation area; ; Based on the coordinates of the bone bones of the personnel in the floor -to -ceiling frame, the foot segmentation of the floor frame is divided to obtain the coordinates of multiple foot contour points in the floor frame; The coordinates of the contours of the feet and the coordinates of the scaled lines are evaluated for a long -term jump results, which overcomes the defects of inaccurate jumping results in the traditional solution. In order to determine the floor -to -ceiling frame corresponding to the floor -to -ceiling frame, and evaluate the results accordingly, it improves the accuracy of the calculation of long jump results; in addition, the use of computer vision technology and circulating status machines for long -term evaluation, which also improves the efficiency of long jump evaluation and physical education classrooms. Teaching efficiency.</v>
      </c>
      <c r="D454" s="6" t="s">
        <v>1338</v>
      </c>
      <c r="E454" s="4" t="str">
        <f ca="1">IFERROR(__xludf.DUMMYFUNCTION("GOOGLETRANSLATE(D454,""auto"",""en"")"),"Remote evaluation method, device, electronic equipment and storage media")</f>
        <v>Remote evaluation method, device, electronic equipment and storage media</v>
      </c>
    </row>
    <row r="455" spans="1:5" ht="15" x14ac:dyDescent="0.25">
      <c r="A455" s="5" t="s">
        <v>1339</v>
      </c>
      <c r="B455" s="6" t="s">
        <v>1340</v>
      </c>
      <c r="C455" s="3" t="str">
        <f ca="1">IFERROR(__xludf.DUMMYFUNCTION("GOOGLETRANSLATE(B455,""auto"",""en"")"),"The invention disclosed a running violation detection system based on computer vision, which involves the field of running violation testing technology. It solves the difficulty of relying on the referees to rely on the naked eye to accurately determine w"&amp;"hether the athletes start illegal, and use pressure sensors to detect inconsistent technical issues that are not accurate to run. ; The invention collects video data through the data collection module; and sends the video data to the data processing modul"&amp;"e; the data processing module receives the video data, and obtains the illegal label according to the video data and illegal detection models; When illegal movements, the athlete's results are canceled; the use of computer vision judging whether athletes "&amp;"have running illegal behaviors and improved the accuracy of testing and running.")</f>
        <v>The invention disclosed a running violation detection system based on computer vision, which involves the field of running violation testing technology. It solves the difficulty of relying on the referees to rely on the naked eye to accurately determine whether the athletes start illegal, and use pressure sensors to detect inconsistent technical issues that are not accurate to run. ; The invention collects video data through the data collection module; and sends the video data to the data processing module; the data processing module receives the video data, and obtains the illegal label according to the video data and illegal detection models; When illegal movements, the athlete's results are canceled; the use of computer vision judging whether athletes have running illegal behaviors and improved the accuracy of testing and running.</v>
      </c>
      <c r="D455" s="6" t="s">
        <v>1341</v>
      </c>
      <c r="E455" s="4" t="str">
        <f ca="1">IFERROR(__xludf.DUMMYFUNCTION("GOOGLETRANSLATE(D455,""auto"",""en"")"),"A running violation detection system based on computer vision")</f>
        <v>A running violation detection system based on computer vision</v>
      </c>
    </row>
    <row r="456" spans="1:5" ht="15" x14ac:dyDescent="0.25">
      <c r="A456" s="5" t="s">
        <v>1342</v>
      </c>
      <c r="B456" s="6" t="s">
        <v>973</v>
      </c>
      <c r="C456" s="3" t="str">
        <f ca="1">IFERROR(__xludf.DUMMYFUNCTION("GOOGLETRANSLATE(B456,""auto"",""en"")"),"A system, method and computer program product for determining mechanical operation power. Get multiple sensors read from multiple force sensors under the feet. Use the total force data to determine the force value of multiple stakes. Determine the slope, "&amp;"standing time and running speed of each stride. The mechanical running power associated with multiple sensors reads the power learning model of the machine value, slope, standing time, and running speed to train machine learning models to predict mechanic"&amp;"al running power. You can then provide mechanical operation power as feedback to users or store it for future viewing and analysis. The input of the machine learning model can be determined based on the sensor data received from the wearable device worn b"&amp;"y the user.")</f>
        <v>A system, method and computer program product for determining mechanical operation power. Get multiple sensors read from multiple force sensors under the feet. Use the total force data to determine the force value of multiple stakes. Determine the slope, standing time and running speed of each stride. The mechanical running power associated with multiple sensors reads the power learning model of the machine value, slope, standing time, and running speed to train machine learning models to predict mechanical running power. You can then provide mechanical operation power as feedback to users or store it for future viewing and analysis. The input of the machine learning model can be determined based on the sensor data received from the wearable device worn by the user.</v>
      </c>
      <c r="D456" s="6" t="s">
        <v>974</v>
      </c>
      <c r="E456" s="4" t="str">
        <f ca="1">IFERROR(__xludf.DUMMYFUNCTION("GOOGLETRANSLATE(D456,""auto"",""en"")"),"Systems and methods used to determine running power")</f>
        <v>Systems and methods used to determine running power</v>
      </c>
    </row>
    <row r="457" spans="1:5" ht="15" x14ac:dyDescent="0.25">
      <c r="A457" s="5" t="s">
        <v>1343</v>
      </c>
      <c r="B457" s="6" t="s">
        <v>1344</v>
      </c>
      <c r="C457" s="3" t="str">
        <f ca="1">IFERROR(__xludf.DUMMYFUNCTION("GOOGLETRANSLATE(B457,""auto"",""en"")"),"A volleyball training system, including a volleyball network 1, the volleyball 1 is composed of an electromagnetic guide guide rail 3 between one -to -two poles 2. Convert the height of the volleyball through the Railway 3 to block the volleyball through "&amp;"the Iron Magnetic Wheel 5. A portable imaging module 6 based on artificial intelligence and ultrasonic sensor 7 synchronize to capture multiple images of users to detect the position of users and volleyball. The voice recognition module 8 , Users can ente"&amp;"r voice commands to select difficulty levels. , Connected to the axis 9 of the rod 4 through the electric ball and socket joint 10, provides exercise in a shaft 9 in multiple directions, and an infrared transmitter and a receiver 11, which is used to dete"&amp;"ct the number of volleyball pass through the volleyball pass. And let the speaker Actuates A Actues a Actues 12 notify the user.")</f>
        <v>A volleyball training system, including a volleyball network 1, the volleyball 1 is composed of an electromagnetic guide guide rail 3 between one -to -two poles 2. Convert the height of the volleyball through the Railway 3 to block the volleyball through the Iron Magnetic Wheel 5. A portable imaging module 6 based on artificial intelligence and ultrasonic sensor 7 synchronize to capture multiple images of users to detect the position of users and volleyball. The voice recognition module 8 , Users can enter voice commands to select difficulty levels. , Connected to the axis 9 of the rod 4 through the electric ball and socket joint 10, provides exercise in a shaft 9 in multiple directions, and an infrared transmitter and a receiver 11, which is used to detect the number of volleyball pass through the volleyball pass. And let the speaker Actuates A Actues a Actues 12 notify the user.</v>
      </c>
      <c r="D457" s="6" t="s">
        <v>1345</v>
      </c>
      <c r="E457" s="4" t="str">
        <f ca="1">IFERROR(__xludf.DUMMYFUNCTION("GOOGLETRANSLATE(D457,""auto"",""en"")"),"Multi -level volleyball training system")</f>
        <v>Multi -level volleyball training system</v>
      </c>
    </row>
    <row r="458" spans="1:5" ht="15" x14ac:dyDescent="0.25">
      <c r="A458" s="5" t="s">
        <v>1346</v>
      </c>
      <c r="B458" s="6" t="s">
        <v>1347</v>
      </c>
      <c r="C458" s="3" t="str">
        <f ca="1">IFERROR(__xludf.DUMMYFUNCTION("GOOGLETRANSLATE(B458,""auto"",""en"")"),"Because of its user -friendly nature that tracks personal daily healthy life, the Internet of Things (IoT) has become more and more popular in our time. This is because it is the most innovative, wearable, and convenient technology. The Internet of Things"&amp;" makes it possible to choose a healthcare system independently in the user's location. Because it relies on sensors and actuators to track human health, it must also be able to cope with the lack of infrastructure in the Internet of Things. By using image"&amp;" processing tools to help prevent the elderly fall. The elderly need severe care, but in today's workaholic life, individuals do not have time to take care of the elders who still live at home. Now everyone's life depends on the Internet of Things, which "&amp;"connects people online. By using these methods to improve scientific discoveries, many problems can be solved. IoT supports not only communication, but also communication. It also raised our understanding of various urgent issues. For these wired or wirel"&amp;"ess communication in the Internet of Things, security has become a key issue that needs to be considered. In many industries including medical, fitness, military, and other disciplines, protection information is more important than protecting sensors and "&amp;"actuators. The main goal of the present invention is to make it easier for the elderly to prevent falling through the use of equipment that meets the BAN standard. This innovation solves this problem in two main ways: aimed at creating a model. This model"&amp;" can use a variety of physiological characteristics to almost perfectly predict when the elderly will fall. In addition, the model will issue an alert before falling, and even if there is no Internet, you can notify your family. This will increase the pos"&amp;"sibility of the elderly without falling.")</f>
        <v>Because of its user -friendly nature that tracks personal daily healthy life, the Internet of Things (IoT) has become more and more popular in our time. This is because it is the most innovative, wearable, and convenient technology. The Internet of Things makes it possible to choose a healthcare system independently in the user's location. Because it relies on sensors and actuators to track human health, it must also be able to cope with the lack of infrastructure in the Internet of Things. By using image processing tools to help prevent the elderly fall. The elderly need severe care, but in today's workaholic life, individuals do not have time to take care of the elders who still live at home. Now everyone's life depends on the Internet of Things, which connects people online. By using these methods to improve scientific discoveries, many problems can be solved. IoT supports not only communication, but also communication. It also raised our understanding of various urgent issues. For these wired or wireless communication in the Internet of Things, security has become a key issue that needs to be considered. In many industries including medical, fitness, military, and other disciplines, protection information is more important than protecting sensors and actuators. The main goal of the present invention is to make it easier for the elderly to prevent falling through the use of equipment that meets the BAN standard. This innovation solves this problem in two main ways: aimed at creating a model. This model can use a variety of physiological characteristics to almost perfectly predict when the elderly will fall. In addition, the model will issue an alert before falling, and even if there is no Internet, you can notify your family. This will increase the possibility of the elderly without falling.</v>
      </c>
      <c r="D458" s="6" t="s">
        <v>1348</v>
      </c>
      <c r="E458" s="4" t="str">
        <f ca="1">IFERROR(__xludf.DUMMYFUNCTION("GOOGLETRANSLATE(D458,""auto"",""en"")"),"Early elderly people based on the Internet of Things fell detection and prevention models")</f>
        <v>Early elderly people based on the Internet of Things fell detection and prevention models</v>
      </c>
    </row>
    <row r="459" spans="1:5" ht="15" x14ac:dyDescent="0.25">
      <c r="A459" s="5" t="s">
        <v>1349</v>
      </c>
      <c r="B459" s="6" t="s">
        <v>1350</v>
      </c>
      <c r="C459" s="3" t="str">
        <f ca="1">IFERROR(__xludf.DUMMYFUNCTION("GOOGLETRANSLATE(B459,""auto"",""en"")"),"1. Design product name: The audit rules of the display screen panel Manage the graphic user interface.
 2. Design products in appearance: used for interaction and display.
 3. Design of the design of the product in appearance: lies in the interface co"&amp;"ntent of the graphic user interface.
 4. Pictures or photos that can most indicate design points: main view.
 5. There is no design point for other views, omitting other views.
 6. The purpose of the graphical user interface: It is used to manage th"&amp;"e application of the application of the audit resource tree in accordance with the audit rules.
 7. Human -computer interaction method of graphic user interface: The main view is the main interface of the audit rule when the application of the audit res"&amp;"ource tree is applied. Details; click the ""Properties List"" button in the menu bar of the main view of the main view, jump to the attribute list interface of the audit rule displayed by the interface change state. In the list of information lists, the l"&amp;"ist contains the ""Add to the Rules"" button that can click on operation; click the ""List of Rules"" button in the Menu Bar on the Basic Information on the Menu Bar of the main view or interface changes. The rule list interface of the auditing rules, whi"&amp;"ch contains ""Chinese name"", ""rules serial number"", ""rules type"", ""subdivision type"", ""rules version number"", ""rules description"", ""comparative type"", ""rule"", ""rules"" ""Threshold"", operational column with deletion, editing, querying func"&amp;"tions.
 8. The displayed carrier equipment for display is the existing design. The display screen panel can be applied to computers, laptops, tablet computers, mobile phones, smartphones, smart glasses, watches, smart watches, fitness monitors, head wea"&amp;"ring, head wearing Form headphones, personal digital assistants, smart speakers, television, monitor, projector, set -top box, navigator, display device for vehicles.")</f>
        <v>1. Design product name: The audit rules of the display screen panel Manage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It is used to manage the application of the application of the audit resource tree in accordance with the audit rules.
 7. Human -computer interaction method of graphic user interface: The main view is the main interface of the audit rule when the application of the audit resource tree is applied. Details; click the "Properties List" button in the menu bar of the main view of the main view, jump to the attribute list interface of the audit rule displayed by the interface change state. In the list of information lists, the list contains the "Add to the Rules" button that can click on operation; click the "List of Rules" button in the Menu Bar on the Basic Information on the Menu Bar of the main view or interface changes. The rule list interface of the auditing rules, which contains "Chinese name", "rules serial number", "rules type", "subdivision type", "rules version number", "rules description", "comparative type", "rule", "rules" "Threshold", operational column with deletion, editing, querying functions.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459" s="6" t="s">
        <v>1351</v>
      </c>
      <c r="E459" s="4" t="str">
        <f ca="1">IFERROR(__xludf.DUMMYFUNCTION("GOOGLETRANSLATE(D459,""auto"",""en"")"),"The auditing rules of the display screen panel Manage the graphic user interface")</f>
        <v>The auditing rules of the display screen panel Manage the graphic user interface</v>
      </c>
    </row>
    <row r="460" spans="1:5" ht="15" x14ac:dyDescent="0.25">
      <c r="A460" s="5" t="s">
        <v>1352</v>
      </c>
      <c r="B460" s="6" t="s">
        <v>1353</v>
      </c>
      <c r="C460" s="3" t="str">
        <f ca="1">IFERROR(__xludf.DUMMYFUNCTION("GOOGLETRANSLATE(B460,""auto"",""en"")"),"An example involves a system, including: processor, memory and database; where the processor is configured to receive real -time data and real -time performance of athletes; Recommendations for users of athlete stocks; based on the real -time performance "&amp;"of the athletes in the competition and the calculation indicators of the athlete's historical performance, real -time determine the stock price associated with the athlete's stock, of which the athlete's stock price uses blockchain technology; among them "&amp;"Blockchain technology is configured to promote at least one of the creation of stock transactions; and the network security module is configured to provide security to the system.")</f>
        <v>An example involves a system, including: processor, memory and database; where the processor is configured to receive real -time data and real -time performance of athletes; Recommendations for users of athlete stocks; based on the real -time performance of the athletes in the competition and the calculation indicators of the athlete's historical performance, real -time determine the stock price associated with the athlete's stock, of which the athlete's stock price uses blockchain technology; among them Blockchain technology is configured to promote at least one of the creation of stock transactions; and the network security module is configured to provide security to the system.</v>
      </c>
      <c r="D460" s="6" t="s">
        <v>1354</v>
      </c>
      <c r="E460" s="4" t="str">
        <f ca="1">IFERROR(__xludf.DUMMYFUNCTION("GOOGLETRANSLATE(D460,""auto"",""en"")"),"Use the athlete's performance data as the system for the stock trading system")</f>
        <v>Use the athlete's performance data as the system for the stock trading system</v>
      </c>
    </row>
    <row r="461" spans="1:5" ht="15" x14ac:dyDescent="0.25">
      <c r="A461" s="5" t="s">
        <v>1355</v>
      </c>
      <c r="B461" s="6" t="s">
        <v>1356</v>
      </c>
      <c r="C461" s="3" t="str">
        <f ca="1">IFERROR(__xludf.DUMMYFUNCTION("GOOGLETRANSLATE(B461,""auto"",""en"")"),"A intelligent blowing experimental device that can replace the forced swimming experiment, which involves the technology field of animal experimental device, including shells, controllers, man -machine interaction devices, end covers, heat imaging cameras"&amp;", partitions, breathable holes, six -axis robotic hands , Jet gun, high -pressure gas supply device. The present invention can replace the traditional forced swimming experimental device. The experimental process no longer depends on water, which effectiv"&amp;"ely broaden the scope of the application of experimental devices. It can conduct forced swimming experiments for mice in various products or mice in the modeling. The scope of research is wider, which broaden the research field. At the same time, the pres"&amp;"ent invention has also reduced the difficulty of experiments, saved the water source, and accurately records the mouse's movement trajectory and the duration of stopping activities, improved the effectiveness of the experimental results, and reduced the e"&amp;"ffectiveness of the experimental results, and reduced the effectiveness of the experimental results. The labor volume of experiments.")</f>
        <v>A intelligent blowing experimental device that can replace the forced swimming experiment, which involves the technology field of animal experimental device, including shells, controllers, man -machine interaction devices, end covers, heat imaging cameras, partitions, breathable holes, six -axis robotic hands , Jet gun, high -pressure gas supply device. The present invention can replace the traditional forced swimming experimental device. The experimental process no longer depends on water, which effectively broaden the scope of the application of experimental devices. It can conduct forced swimming experiments for mice in various products or mice in the modeling. The scope of research is wider, which broaden the research field. At the same time, the present invention has also reduced the difficulty of experiments, saved the water source, and accurately records the mouse's movement trajectory and the duration of stopping activities, improved the effectiveness of the experimental results, and reduced the effectiveness of the experimental results, and reduced the effectiveness of the experimental results. The labor volume of experiments.</v>
      </c>
      <c r="D461" s="6" t="s">
        <v>1357</v>
      </c>
      <c r="E461" s="4" t="str">
        <f ca="1">IFERROR(__xludf.DUMMYFUNCTION("GOOGLETRANSLATE(D461,""auto"",""en"")"),"A intelligent blow -type experimental device that can replace forced swimming experiments")</f>
        <v>A intelligent blow -type experimental device that can replace forced swimming experiments</v>
      </c>
    </row>
    <row r="462" spans="1:5" ht="15" x14ac:dyDescent="0.25">
      <c r="A462" s="5" t="s">
        <v>1358</v>
      </c>
      <c r="B462" s="6" t="s">
        <v>1359</v>
      </c>
      <c r="C462" s="3" t="str">
        <f ca="1">IFERROR(__xludf.DUMMYFUNCTION("GOOGLETRANSLATE(B462,""auto"",""en"")"),"A method of adjusting the mental state, including obtaining the first individual video data, based on the first set of characteristics of images, audio, and text data identification extracted from the video data, based on the first group of the first indi"&amp;"vidual's baseline spiritual state Features, identify the psychological state of the target, and simulate the prediction path from the psychological state of the baseline to the target psychological state. Use multi -dimensional psychological state models,"&amp;" multiple movements and computer learning models implemented by computer to simulate prediction paths. The forecast path includes one or more action in multiple actions and at least one corresponding change to the first and second dimensions of the multi "&amp;"-dimensional psychological state model. One or more movements of the forecast path are output to the second person and can be executed to adjust the first person's baseline mental state.")</f>
        <v>A method of adjusting the mental state, including obtaining the first individual video data, based on the first set of characteristics of images, audio, and text data identification extracted from the video data, based on the first group of the first individual's baseline spiritual state Features, identify the psychological state of the target, and simulate the prediction path from the psychological state of the baseline to the target psychological state. Use multi -dimensional psychological state models, multiple movements and computer learning models implemented by computer to simulate prediction paths. The forecast path includes one or more action in multiple actions and at least one corresponding change to the first and second dimensions of the multi -dimensional psychological state model. One or more movements of the forecast path are output to the second person and can be executed to adjust the first person's baseline mental state.</v>
      </c>
      <c r="D462" s="6" t="s">
        <v>1360</v>
      </c>
      <c r="E462" s="4" t="str">
        <f ca="1">IFERROR(__xludf.DUMMYFUNCTION("GOOGLETRANSLATE(D462,""auto"",""en"")"),"Adjust the mental state to improve task performance and coach improvement")</f>
        <v>Adjust the mental state to improve task performance and coach improvement</v>
      </c>
    </row>
    <row r="463" spans="1:5" ht="15" x14ac:dyDescent="0.25">
      <c r="A463" s="5" t="s">
        <v>1361</v>
      </c>
      <c r="B463" s="6" t="s">
        <v>1362</v>
      </c>
      <c r="C463" s="3" t="str">
        <f ca="1">IFERROR(__xludf.DUMMYFUNCTION("GOOGLETRANSLATE(B463,""auto"",""en"")"),"The proposed invention is based on machine learning methods to predict the performance of athletes in various competitions. The present invention aims to analyze the athlete's performance, that is, athletes and athletes. The proposed invention focuses on "&amp;"predicting the performance of the athletes by considering the record of athletes in the previous incident. Machine learning algorithms will be used to predict performance through decision -making formulation. The study considers the athlete's positive and"&amp;" negative aspects.")</f>
        <v>The proposed invention is based on machine learning methods to predict the performance of athletes in various competitions. The present invention aims to analyze the athlete's performance, that is, athletes and athletes. The proposed invention focuses on predicting the performance of the athletes by considering the record of athletes in the previous incident. Machine learning algorithms will be used to predict performance through decision -making formulation. The study considers the athlete's positive and negative aspects.</v>
      </c>
      <c r="D463" s="6" t="s">
        <v>1363</v>
      </c>
      <c r="E463" s="4" t="str">
        <f ca="1">IFERROR(__xludf.DUMMYFUNCTION("GOOGLETRANSLATE(D463,""auto"",""en"")"),"The performance of athletes of various competitions based on machine learning is predicted")</f>
        <v>The performance of athletes of various competitions based on machine learning is predicted</v>
      </c>
    </row>
    <row r="464" spans="1:5" ht="15" x14ac:dyDescent="0.25">
      <c r="A464" s="5" t="s">
        <v>1364</v>
      </c>
      <c r="B464" s="6" t="s">
        <v>1365</v>
      </c>
      <c r="C464" s="3" t="str">
        <f ca="1">IFERROR(__xludf.DUMMYFUNCTION("GOOGLETRANSLATE(B464,""auto"",""en"")"),"A system for biological monitoring athletes and providing warnings 338 to reduce damage 300 and methods when determining excessive training status. Through the implementation of efficient system architecture, the use of micro -artificial intelligence is p"&amp;"ractical for the lack of Internet coverage or no existence.")</f>
        <v>A system for biological monitoring athletes and providing warnings 338 to reduce damage 300 and methods when determining excessive training status. Through the implementation of efficient system architecture, the use of micro -artificial intelligence is practical for the lack of Internet coverage or no existence.</v>
      </c>
      <c r="D464" s="6" t="s">
        <v>1366</v>
      </c>
      <c r="E464" s="4" t="str">
        <f ca="1">IFERROR(__xludf.DUMMYFUNCTION("GOOGLETRANSLATE(D464,""auto"",""en"")"),"Move intelligent damage minimization system and method")</f>
        <v>Move intelligent damage minimization system and method</v>
      </c>
    </row>
    <row r="465" spans="1:5" ht="15" x14ac:dyDescent="0.25">
      <c r="A465" s="5" t="s">
        <v>1367</v>
      </c>
      <c r="B465" s="6" t="s">
        <v>1368</v>
      </c>
      <c r="C465" s="3" t="str">
        <f ca="1">IFERROR(__xludf.DUMMYFUNCTION("GOOGLETRANSLATE(B465,""auto"",""en"")"),"The principles of the Internet of Things and machinery are usually used in medical diagnosis and treatment to track the condition of patients. The function of the wearable sensor system with a sensor has been used for the Internet of Things to build a sys"&amp;"tem that warns the patient's companion when an abnormal situation is occurred. By using the trained model to find any abnormalities in the patient's state, machine learning has been used to assist in the field of medical diagnosis. The framework aims to u"&amp;"se temperature sensors, pulse blood oxygen instruments, Internet of Things (IoT) sensors and clouds to track the health of patients. IoT is used to classify, distribute and analyze medical data between users and medical care professionals. The data stored"&amp;" in the cloud IoT from various sensors required by the Z-WAVE device to monitor patients will be transmitted to the hospital. These data will be stored in the hospital database based on AI and ML. Data. Use FKNN -based classification methods, and divide u"&amp;"sers into several categories according to whether the user is infected. Wearables and our application of fuzzy K-nearest neighbors (FKNN) categorize users as infected or unprepared categories, and distinguish the similar coefficients according to the pati"&amp;"ent's symptoms. If there are any omissions, patients can get personalized attention through wearable technology such as fitness bracelets and other wireless connection devices (such as blood pressure and heart rate monitor cuffs, blood glucose meters, etc"&amp;".). These devices can be set to remind you of all kinds of things, including blood pressure changes, dating, calories computing and exercise. By allowing people to monitor their health in real time, the Internet of Things has completely changed people's l"&amp;"ives, especially the lives of elderly patients. This has a huge impact on families and singles. If a person's normal activities are disturbed or changed, the alarm mechanism will send messages to relevant medical professionals, family members, doctors, am"&amp;"bulances and others.")</f>
        <v>The principles of the Internet of Things and machinery are usually used in medical diagnosis and treatment to track the condition of patients. The function of the wearable sensor system with a sensor has been used for the Internet of Things to build a system that warns the patient's companion when an abnormal situation is occurred. By using the trained model to find any abnormalities in the patient's state, machine learning has been used to assist in the field of medical diagnosis. The framework aims to use temperature sensors, pulse blood oxygen instruments, Internet of Things (IoT) sensors and clouds to track the health of patients. IoT is used to classify, distribute and analyze medical data between users and medical care professionals. The data stored in the cloud IoT from various sensors required by the Z-WAVE device to monitor patients will be transmitted to the hospital. These data will be stored in the hospital database based on AI and ML. Data. Use FKNN -based classification methods, and divide users into several categories according to whether the user is infected. Wearables and our application of fuzzy K-nearest neighbors (FKNN) categorize users as infected or unprepared categories, and distinguish the similar coefficients according to the patient's symptoms. If there are any omissions, patients can get personalized attention through wearable technology such as fitness bracelets and other wireless connection devices (such as blood pressure and heart rate monitor cuffs, blood glucose meters, etc.). These devices can be set to remind you of all kinds of things, including blood pressure changes, dating, calories computing and exercise. By allowing people to monitor their health in real time, the Internet of Things has completely changed people's lives, especially the lives of elderly patients. This has a huge impact on families and singles. If a person's normal activities are disturbed or changed, the alarm mechanism will send messages to relevant medical professionals, family members, doctors, ambulances and others.</v>
      </c>
      <c r="D465" s="6" t="s">
        <v>1369</v>
      </c>
      <c r="E465" s="4" t="str">
        <f ca="1">IFERROR(__xludf.DUMMYFUNCTION("GOOGLETRANSLATE(D465,""auto"",""en"")"),"The remote intelligent medical system based on the Internet of Things is used to detect and prevent patients using artificial intelligence.")</f>
        <v>The remote intelligent medical system based on the Internet of Things is used to detect and prevent patients using artificial intelligence.</v>
      </c>
    </row>
    <row r="466" spans="1:5" ht="15" x14ac:dyDescent="0.25">
      <c r="A466" s="5" t="s">
        <v>1370</v>
      </c>
      <c r="B466" s="6" t="s">
        <v>1371</v>
      </c>
      <c r="C466" s="3" t="str">
        <f ca="1">IFERROR(__xludf.DUMMYFUNCTION("GOOGLETRANSLATE(B466,""auto"",""en"")"),"The formula of genetic algorithm in optimizing food composition and patient dietary cost is calculated to determine the quality of the solution generated by the genetic algorithm in solving the problem. The fitness value shows the quality of each solution"&amp;" represented by an individual or chromosome. Each complex is composed of a series of genes with random increases. Each gene is formed by the weight of food components customized for patients' food needs. Variable XI represents random genes generated in th"&amp;"e process of initialization in the genetic algorithm. The food needs of patients defined in certain units are represented by Y. The play in the fitness formula is defined by 10,000, which is coma to simplify the results given. Because the price variable ("&amp;"price) is in the form of price variables (prices) in the form of a thousand units, the progress is tens of thousands of. The greater the fitness value, the better the solution. Therefore, the smaller the denominator will lead to greater adaptability. This"&amp;" formula is used to minimize price and fine value (fine). Punishment multiplied by randomly generated constant (C). Therefore, the denominator includes prices and fines. The problem that can be solved by this formula is the problem of optimization, that i"&amp;"s, the minimum price determines the food composition of the best nutritional content of patients.")</f>
        <v>The formula of genetic algorithm in optimizing food composition and patient dietary cost is calculated to determine the quality of the solution generated by the genetic algorithm in solving the problem. The fitness value shows the quality of each solution represented by an individual or chromosome. Each complex is composed of a series of genes with random increases. Each gene is formed by the weight of food components customized for patients' food needs. Variable XI represents random genes generated in the process of initialization in the genetic algorithm. The food needs of patients defined in certain units are represented by Y. The play in the fitness formula is defined by 10,000, which is coma to simplify the results given. Because the price variable (price) is in the form of price variables (prices) in the form of a thousand units, the progress is tens of thousands of. The greater the fitness value, the better the solution. Therefore, the smaller the denominator will lead to greater adaptability. This formula is used to minimize price and fine value (fine). Punishment multiplied by randomly generated constant (C). Therefore, the denominator includes prices and fines. The problem that can be solved by this formula is the problem of optimization, that is, the minimum price determines the food composition of the best nutritional content of patients.</v>
      </c>
      <c r="D466" s="6" t="s">
        <v>1372</v>
      </c>
      <c r="E466" s="4" t="str">
        <f ca="1">IFERROR(__xludf.DUMMYFUNCTION("GOOGLETRANSLATE(D466,""auto"",""en"")"),"Calculate the formula of the adaptive value of the genetic algorithm in optimized food composition and patient food costs")</f>
        <v>Calculate the formula of the adaptive value of the genetic algorithm in optimized food composition and patient food costs</v>
      </c>
    </row>
    <row r="467" spans="1:5" ht="15" x14ac:dyDescent="0.25">
      <c r="A467" s="5" t="s">
        <v>1373</v>
      </c>
      <c r="B467" s="6" t="s">
        <v>1374</v>
      </c>
      <c r="C467" s="3" t="str">
        <f ca="1">IFERROR(__xludf.DUMMYFUNCTION("GOOGLETRANSLATE(B467,""auto"",""en"")"),"Curling status detection methods, systems, computer equipment, and storage mediums that are facing broadcast videos are artificial intelligence detection technology fields, and it is difficult to solve the problem of motion information information about e"&amp;"xtracting the curling ball from the broadcast video. The method of the present invention includes semantic segmentation of the curling tracks in the broadcast video. Based on the acenda information of the size in the curling track, the calculation of the "&amp;"coordinate conversion matrix between the broadcast video plane and the curved track plane will be calculated. The curling competition broadcast video from the perspective of strabismus to the downward perspective; then train the curved ball goal target de"&amp;"tection network, design the data set bidding principle, automatically amplify the data set through the data enhancement method, obtain the detection box and location information of the curling, and then the location information, and then the location info"&amp;"rmation, and then the location information, and then the location information, and then Based on the image segmentation algorithm and Hoff transformation straight -line fitting method to obtain the handle angle information described by the curling ball ro"&amp;"tation, it realizes the motion status detection of the curling in the broadcast video. The present invention is suitable for the motion state detection of the curling in the recreational video of the curling competition.")</f>
        <v>Curling status detection methods, systems, computer equipment, and storage mediums that are facing broadcast videos are artificial intelligence detection technology fields, and it is difficult to solve the problem of motion information information about extracting the curling ball from the broadcast video. The method of the present invention includes semantic segmentation of the curling tracks in the broadcast video. Based on the acenda information of the size in the curling track, the calculation of the coordinate conversion matrix between the broadcast video plane and the curved track plane will be calculated. The curling competition broadcast video from the perspective of strabismus to the downward perspective; then train the curved ball goal target detection network, design the data set bidding principle, automatically amplify the data set through the data enhancement method, obtain the detection box and location information of the curling, and then the location information, and then the location information, and then the location information, and then the location information, and then Based on the image segmentation algorithm and Hoff transformation straight -line fitting method to obtain the handle angle information described by the curling ball rotation, it realizes the motion status detection of the curling in the broadcast video. The present invention is suitable for the motion state detection of the curling in the recreational video of the curling competition.</v>
      </c>
      <c r="D467" s="6" t="s">
        <v>1375</v>
      </c>
      <c r="E467" s="4" t="str">
        <f ca="1">IFERROR(__xludf.DUMMYFUNCTION("GOOGLETRANSLATE(D467,""auto"",""en"")"),"Curling status detection method, system, computer equipment and storage media")</f>
        <v>Curling status detection method, system, computer equipment and storage media</v>
      </c>
    </row>
    <row r="468" spans="1:5" ht="15" x14ac:dyDescent="0.25">
      <c r="A468" s="5" t="s">
        <v>1376</v>
      </c>
      <c r="B468" s="6" t="s">
        <v>1377</v>
      </c>
      <c r="C468" s="3" t="str">
        <f ca="1">IFERROR(__xludf.DUMMYFUNCTION("GOOGLETRANSLATE(B468,""auto"",""en"")"),"Computing system receiving actual event data corresponding to live games. On -site events include events that occur during on -site games. Computing system analysis live broadcast data to identify the potential errors in the live broadcast data. The compu"&amp;"ting system generates the potential error ticket corresponding to the bid in the on -site event data. The computing system distributes the ticket to the first quality assurance agent to solve it. The computing system has received the instructions of the p"&amp;"roxy inspection by the first quality assurance. The computing system provides the censorship data to the end user.")</f>
        <v>Computing system receiving actual event data corresponding to live games. On -site events include events that occur during on -site games. Computing system analysis live broadcast data to identify the potential errors in the live broadcast data. The computing system generates the potential error ticket corresponding to the bid in the on -site event data. The computing system distributes the ticket to the first quality assurance agent to solve it. The computing system has received the instructions of the proxy inspection by the first quality assurance. The computing system provides the censorship data to the end user.</v>
      </c>
      <c r="D468" s="6" t="s">
        <v>1378</v>
      </c>
      <c r="E468" s="4" t="str">
        <f ca="1">IFERROR(__xludf.DUMMYFUNCTION("GOOGLETRANSLATE(D468,""auto"",""en"")"),"Artificial Intelligence Auxiliary Sports Live Data Quality Guarantee")</f>
        <v>Artificial Intelligence Auxiliary Sports Live Data Quality Guarantee</v>
      </c>
    </row>
    <row r="469" spans="1:5" ht="15" x14ac:dyDescent="0.25">
      <c r="A469" s="5" t="s">
        <v>1379</v>
      </c>
      <c r="B469" s="6" t="s">
        <v>1380</v>
      </c>
      <c r="C469" s="3" t="str">
        <f ca="1">IFERROR(__xludf.DUMMYFUNCTION("GOOGLETRANSLATE(B469,""auto"",""en"")"),"Computing system receiving actual event data corresponding to live games. On -site events include events that occur during on -site games. Computing system analysis live broadcast data to identify the potential errors in the live broadcast data. The compu"&amp;"ting system generates the potential error ticket corresponding to the bid in the on -site event data. The computing system distributes the ticket to the first quality assurance agent to solve it. The computing system has received the instructions for the "&amp;"first quality assurance of the proxy review, and the computing system provides the censorship event data to the end user.")</f>
        <v>Computing system receiving actual event data corresponding to live games. On -site events include events that occur during on -site games. Computing system analysis live broadcast data to identify the potential errors in the live broadcast data. The computing system generates the potential error ticket corresponding to the bid in the on -site event data. The computing system distributes the ticket to the first quality assurance agent to solve it. The computing system has received the instructions for the first quality assurance of the proxy review, and the computing system provides the censorship event data to the end user.</v>
      </c>
      <c r="D469" s="6" t="s">
        <v>1381</v>
      </c>
      <c r="E469" s="4" t="str">
        <f ca="1">IFERROR(__xludf.DUMMYFUNCTION("GOOGLETRANSLATE(D469,""auto"",""en"")"),"Artificial Intelligence Auxiliary Live Sports Data Quality Guarantee")</f>
        <v>Artificial Intelligence Auxiliary Live Sports Data Quality Guarantee</v>
      </c>
    </row>
    <row r="470" spans="1:5" ht="15" x14ac:dyDescent="0.25">
      <c r="A470" s="5" t="s">
        <v>1382</v>
      </c>
      <c r="B470" s="6" t="s">
        <v>1383</v>
      </c>
      <c r="C470" s="3" t="str">
        <f ca="1">IFERROR(__xludf.DUMMYFUNCTION("GOOGLETRANSLATE(B470,""auto"",""en"")"),"1. The name of the product of the product: The graphic user interface of the computers of the computer. ; 2. Design products in this exterior: used for running procedures, etc. ; 3. Design the design of the product in this exterior: lies in the interface "&amp;"content of the graphical user interface. ; 4. The picture or photo of the main point of design: The main view. 5. The purpose of graphical user interface: This design is used to meet the user's online debate/dialogue/competition scene highly customized th"&amp;"e interface layout style and the position of the personnel display position. (Example: For interface). 6. Human -computer interaction method of graphical user interface: By clicking on the interface change state Figure 1 In the upper right corner of the "&amp;"""custom layout"" in the upper right corner of the ""custom layout"" from left to right, the first button ""to set"" jump to the interface change state Figure 2. ; By clicking the interface change state Figure 2, the second button from left to right, ""Ne"&amp;"xt"" jump to the interface change state Figure 3. ; The ""use layout"" of the second button from left to right by clicking the interface changes in the interface change state jumps to the main view. ; By clicking the chair in the main view to jump to the "&amp;"interface change state Figure 4. ; Based on the interface change state Figure 4, the second button ""Select Member"" in the second button ""Participation"" jump to the interface change state from the top to the bottom. ; By clicking the interface change s"&amp;"tate Figure 2, the second button ""8 people layout"" jumps from left to right in the upper left to right. ; By clicking the interface changes, the second button from left to right in the second button ""Next step"" jumps to the interface change state from"&amp;" left to right. ; By clicking the interface change state Figure 7, the second button from left to right ""uses the layout"" jump to the interface change state Figure 8. ; By clicking the interface change state Figure 8, the second chair from left to right"&amp;" jumps from left to right to jump to the interface change state Figure 9. ; Based on the interface change status Figure 9, the second button ""Select Member"" in the ""Select Member"" jump to the interface change state Figure 10 from the top to the bottom"&amp;". ; By clicking the interface change state Figure 2, the third button from left to right, ""12 people layout"", jump to the interface change state Figure 11. ; By clicking the interface change state Figure 11, the second button from left to right, ""Next"&amp;""" jump to the interface change state Figure 12. ; By clicking the interface changes, the second button from left to right in the second button of the second button ""uses the layout"" jump to the interface change state. Figure 13. ; By clicking the inter"&amp;"face change state Figure 13, the third chair from left to right jumps from left to right to jump to the interface change state Figure 14. ; Based on the ""Select Member"" by clicking the interface change state Figure 14, the second button ""Participation"&amp;""" jump to the interface change state from the top to the lower button ""Participation"". ; By clicking the interface change state Figure 2, the fourth button ""17 people layout"" from left to right, jump to the interface change state. Figure 16. ; By cli"&amp;"cking the interface changes, the second button ""Next"" jump from left to right from left to right. ; By clicking the interface change state Figure 17, the second button from left to right ""uses the layout"" jump to the interface change state. Figure 18."&amp;" ; By clicking the interface change state Figure 18, the third chair from left to right jumps from left to right to jump to the interface change state. 19. ; Based on the ""Select Members"" in the ""Select Member"" in the interface change status figure 19"&amp;", the second button ""Participation"" jump to the interface change state Figure 20 below the top to the bottom (example: product page). ; 1. The name of the product of the design of the product: the round table meeting of the computer's round table user i"&amp;"nterface. ; 2. Design products in this exterior: used for running procedures, etc. ; 3. Design the design of the product in this exterior: lies in the interface content of the graphical user interface. ; 4. The picture or photo of the main point of design"&amp;": The main view. 5. The purpose of graphical user interface: This design is used to meet the user's online debate/dialogue/competition scene highly customized the interface layout style and the position of the personnel display position. (Example: For int"&amp;"erface). 6. Human -computer interaction method of graphical user interface: By clicking on the interface change state Figure 1 In the upper right corner of the ""custom layout"" in the upper right corner of the ""custom layout"" from left to right, the fi"&amp;"rst button ""to set"" jump to the interface change state Figure 2. ; By clicking the interface change state Figure 2, the second button from left to right, ""Next"" jump to the interface change state Figure 3. ; The ""use layout"" of the second button fro"&amp;"m left to right by clicking the interface changes in the interface change state jumps to the main view. ; By clicking the chair in the main view to jump to the interface change state Figure 4. ; Based on the interface change state Figure 4, the second but"&amp;"ton ""Select Member"" in the second button ""Participation"" jump to the interface change state from the top to the bottom. ; By clicking the interface change state Figure 2, the second button ""8 people layout"" jumps from left to right in the upper left"&amp;" to right. ; By clicking the interface changes, the second button from left to right in the second button ""Next step"" jumps to the interface change state from left to right. ; By clicking the interface change state Figure 7, the second button from left "&amp;"to right ""uses the layout"" jump to the interface change state Figure 8. ; By clicking the interface change state Figure 8, the second chair from left to right jumps from left to right to jump to the interface change state Figure 9. ; Based on the interf"&amp;"ace change status Figure 9, the second button ""Select Member"" in the ""Select Member"" jump to the interface change state Figure 10 from the top to the bottom. ; By clicking the interface change state Figure 2, the third button from left to right, ""12 "&amp;"people layout"", jump to the interface change state Figure 11. ; By clicking the interface change state Figure 11, the second button from left to right, ""Next"" jump to the interface change state Figure 12. ; By clicking the interface changes, the second"&amp;" button from left to right in the second button of the second button ""uses the layout"" jump to the interface change state. Figure 13. ; By clicking the interface change state Figure 13, the third chair from left to right jumps from left to right to jump"&amp;" to the interface change state Figure 14. ; Based on the ""Select Member"" by clicking the interface change state Figure 14, the second button ""Participation"" jump to the interface change state from the top to the lower button ""Participation"". ; By cl"&amp;"icking the interface change state Figure 2, the fourth button ""17 people layout"" from left to right, jump to the interface change state. Figure 16. ; By clicking the interface changes, the second button ""Next"" jump from left to right from left to righ"&amp;"t. ; By clicking the interface change state Figure 17, the second button from left to right ""uses the layout"" jump to the interface change state. Figure 18. ; By clicking the interface change state Figure 18, the third chair from left to right jumps fro"&amp;"m left to right to jump to the interface change state. 19. ; Based on the ""Select Members"" in the ""Select Member"" in the interface change status figure 19, the second button ""Participation"" jump to the interface change state Figure 20 below the top "&amp;"to the bottom (example: product page).")</f>
        <v>1. The name of the product of the product: The graphic user interface of the computers of the computer. ; 2. Design products in this exterior: used for running procedures, etc. ; 3. Design the design of the product in this exterior: lies in the interface content of the graphical user interface. ; 4. The picture or photo of the main point of design: The main view. 5. The purpose of graphical user interface: This design is used to meet the user's online debate/dialogue/competition scene highly customized the interface layout style and the position of the personnel display position. (Example: For interface). 6. Human -computer interaction method of graphical user interface: By clicking on the interface change state Figure 1 In the upper right corner of the "custom layout" in the upper right corner of the "custom layout" from left to right, the first button "to set" jump to the interface change state Figure 2. ; By clicking the interface change state Figure 2, the second button from left to right, "Next" jump to the interface change state Figure 3. ; The "use layout" of the second button from left to right by clicking the interface changes in the interface change state jumps to the main view. ; By clicking the chair in the main view to jump to the interface change state Figure 4. ; Based on the interface change state Figure 4, the second button "Select Member" in the second button "Participation" jump to the interface change state from the top to the bottom. ; By clicking the interface change state Figure 2, the second button "8 people layout" jumps from left to right in the upper left to right. ; By clicking the interface changes, the second button from left to right in the second button "Next step" jumps to the interface change state from left to right. ; By clicking the interface change state Figure 7, the second button from left to right "uses the layout" jump to the interface change state Figure 8. ; By clicking the interface change state Figure 8, the second chair from left to right jumps from left to right to jump to the interface change state Figure 9. ; Based on the interface change status Figure 9, the second button "Select Member" in the "Select Member" jump to the interface change state Figure 10 from the top to the bottom. ; By clicking the interface change state Figure 2, the third button from left to right, "12 people layout", jump to the interface change state Figure 11. ; By clicking the interface change state Figure 11, the second button from left to right, "Next" jump to the interface change state Figure 12. ; By clicking the interface changes, the second button from left to right in the second button of the second button "uses the layout" jump to the interface change state. Figure 13. ; By clicking the interface change state Figure 13, the third chair from left to right jumps from left to right to jump to the interface change state Figure 14. ; Based on the "Select Member" by clicking the interface change state Figure 14, the second button "Participation" jump to the interface change state from the top to the lower button "Participation". ; By clicking the interface change state Figure 2, the fourth button "17 people layout" from left to right, jump to the interface change state. Figure 16. ; By clicking the interface changes, the second button "Next" jump from left to right from left to right. ; By clicking the interface change state Figure 17, the second button from left to right "uses the layout" jump to the interface change state. Figure 18. ; By clicking the interface change state Figure 18, the third chair from left to right jumps from left to right to jump to the interface change state. 19. ; Based on the "Select Members" in the "Select Member" in the interface change status figure 19, the second button "Participation" jump to the interface change state Figure 20 below the top to the bottom (example: product page). ; 1. The name of the product of the design of the product: the round table meeting of the computer's round table user interface. ; 2. Design products in this exterior: used for running procedures, etc. ; 3. Design the design of the product in this exterior: lies in the interface content of the graphical user interface. ; 4. The picture or photo of the main point of design: The main view. 5. The purpose of graphical user interface: This design is used to meet the user's online debate/dialogue/competition scene highly customized the interface layout style and the position of the personnel display position. (Example: For interface). 6. Human -computer interaction method of graphical user interface: By clicking on the interface change state Figure 1 In the upper right corner of the "custom layout" in the upper right corner of the "custom layout" from left to right, the first button "to set" jump to the interface change state Figure 2. ; By clicking the interface change state Figure 2, the second button from left to right, "Next" jump to the interface change state Figure 3. ; The "use layout" of the second button from left to right by clicking the interface changes in the interface change state jumps to the main view. ; By clicking the chair in the main view to jump to the interface change state Figure 4. ; Based on the interface change state Figure 4, the second button "Select Member" in the second button "Participation" jump to the interface change state from the top to the bottom. ; By clicking the interface change state Figure 2, the second button "8 people layout" jumps from left to right in the upper left to right. ; By clicking the interface changes, the second button from left to right in the second button "Next step" jumps to the interface change state from left to right. ; By clicking the interface change state Figure 7, the second button from left to right "uses the layout" jump to the interface change state Figure 8. ; By clicking the interface change state Figure 8, the second chair from left to right jumps from left to right to jump to the interface change state Figure 9. ; Based on the interface change status Figure 9, the second button "Select Member" in the "Select Member" jump to the interface change state Figure 10 from the top to the bottom. ; By clicking the interface change state Figure 2, the third button from left to right, "12 people layout", jump to the interface change state Figure 11. ; By clicking the interface change state Figure 11, the second button from left to right, "Next" jump to the interface change state Figure 12. ; By clicking the interface changes, the second button from left to right in the second button of the second button "uses the layout" jump to the interface change state. Figure 13. ; By clicking the interface change state Figure 13, the third chair from left to right jumps from left to right to jump to the interface change state Figure 14. ; Based on the "Select Member" by clicking the interface change state Figure 14, the second button "Participation" jump to the interface change state from the top to the lower button "Participation". ; By clicking the interface change state Figure 2, the fourth button "17 people layout" from left to right, jump to the interface change state. Figure 16. ; By clicking the interface changes, the second button "Next" jump from left to right from left to right. ; By clicking the interface change state Figure 17, the second button from left to right "uses the layout" jump to the interface change state. Figure 18. ; By clicking the interface change state Figure 18, the third chair from left to right jumps from left to right to jump to the interface change state. 19. ; Based on the "Select Members" in the "Select Member" in the interface change status figure 19, the second button "Participation" jump to the interface change state Figure 20 below the top to the bottom (example: product page).</v>
      </c>
      <c r="D470" s="6" t="s">
        <v>1384</v>
      </c>
      <c r="E470" s="4" t="str">
        <f ca="1">IFERROR(__xludf.DUMMYFUNCTION("GOOGLETRANSLATE(D470,""auto"",""en"")"),"Computer round table conference graphics user interface")</f>
        <v>Computer round table conference graphics user interface</v>
      </c>
    </row>
    <row r="471" spans="1:5" ht="15" x14ac:dyDescent="0.25">
      <c r="A471" s="5" t="s">
        <v>1385</v>
      </c>
      <c r="B471" s="6" t="s">
        <v>1386</v>
      </c>
      <c r="C471" s="3" t="str">
        <f ca="1">IFERROR(__xludf.DUMMYFUNCTION("GOOGLETRANSLATE(B471,""auto"",""en"")"),"With the increasing population of the country, the demand for electricity has also increased. At the same time, the waste of energy has also increased in many ways. Therefore, reintering this energy into available forms is the main solution. Therefore, in"&amp;" this pace of power generation projects, we use the footsteps of people to generate electricity, whether it is walking or running. It uses a piezoelectric sensor. In order to generate voltage from the sound of footsteps, the voltage sensor is installed un"&amp;"der the platform. In addition, it also contains a USB mobile phone charging point. Users can connect to the cable here to charge the phone through the battery. Current use (radio frequency recognition) RFID card allocation, so only authorized personnel ca"&amp;"n use the generator to charge. Therefore, we use footsteps to charge the battery, use the raspberry school circuit to display it on LCD, and allow mobile charging by setting")</f>
        <v>With the increasing population of the country, the demand for electricity has also increased. At the same time, the waste of energy has also increased in many ways. Therefore, reintering this energy into available forms is the main solution. Therefore, in this pace of power generation projects, we use the footsteps of people to generate electricity, whether it is walking or running. It uses a piezoelectric sensor. In order to generate voltage from the sound of footsteps, the voltage sensor is installed under the platform. In addition, it also contains a USB mobile phone charging point. Users can connect to the cable here to charge the phone through the battery. Current use (radio frequency recognition) RFID card allocation, so only authorized personnel can use the generator to charge. Therefore, we use footsteps to charge the battery, use the raspberry school circuit to display it on LCD, and allow mobile charging by setting</v>
      </c>
      <c r="D471" s="6" t="s">
        <v>1387</v>
      </c>
      <c r="E471" s="4" t="str">
        <f ca="1">IFERROR(__xludf.DUMMYFUNCTION("GOOGLETRANSLATE(D471,""auto"",""en"")"),"Use the piezoelectric sensor to generate power based on artificial intelligence through footsteps")</f>
        <v>Use the piezoelectric sensor to generate power based on artificial intelligence through footsteps</v>
      </c>
    </row>
    <row r="472" spans="1:5" ht="15" x14ac:dyDescent="0.25">
      <c r="A472" s="5" t="s">
        <v>1388</v>
      </c>
      <c r="B472" s="6" t="s">
        <v>1389</v>
      </c>
      <c r="C472" s="3" t="str">
        <f ca="1">IFERROR(__xludf.DUMMYFUNCTION("GOOGLETRANSLATE(B472,""auto"",""en"")"),"In today's era, health and fitness have attracted more attention. In order to live a healthy life, people are following different ways, such as diet plans, regularly go to the fitness room for health inspection. In a fast -paced world, technology plays a "&amp;"pivotal role. High demand for healthy recommendations drives humans to use handheld equipment to maintain health. A recent invention is a smart watch. A large amount of health monitoring in existing equipment. Fitness tracking, blood pressure, heart rate,"&amp;" COVID -19 symptoms, sleep apnea, etc. The present invention focuses on a wearable device that supports natural language processing (NLP) and appropriate modules to solve personal health problems and health suggestions from on -site experts as required. T"&amp;"his function is very attractive to everyone's one -stop solution, because the province of self is managed by using electronic devices using voice commands.")</f>
        <v>In today's era, health and fitness have attracted more attention. In order to live a healthy life, people are following different ways, such as diet plans, regularly go to the fitness room for health inspection. In a fast -paced world, technology plays a pivotal role. High demand for healthy recommendations drives humans to use handheld equipment to maintain health. A recent invention is a smart watch. A large amount of health monitoring in existing equipment. Fitness tracking, blood pressure, heart rate, COVID -19 symptoms, sleep apnea, etc. The present invention focuses on a wearable device that supports natural language processing (NLP) and appropriate modules to solve personal health problems and health suggestions from on -site experts as required. This function is very attractive to everyone's one -stop solution, because the province of self is managed by using electronic devices using voice commands.</v>
      </c>
      <c r="D472" s="6" t="s">
        <v>1390</v>
      </c>
      <c r="E472" s="4" t="str">
        <f ca="1">IFERROR(__xludf.DUMMYFUNCTION("GOOGLETRANSLATE(D472,""auto"",""en"")"),"NLP driver smart watches with personal fitness and health recommendations")</f>
        <v>NLP driver smart watches with personal fitness and health recommendations</v>
      </c>
    </row>
    <row r="473" spans="1:5" ht="15" x14ac:dyDescent="0.25">
      <c r="A473" s="5" t="s">
        <v>1391</v>
      </c>
      <c r="B473" s="6" t="s">
        <v>1392</v>
      </c>
      <c r="C473" s="3" t="str">
        <f ca="1">IFERROR(__xludf.DUMMYFUNCTION("GOOGLETRANSLATE(B473,""auto"",""en"")"),"The present invention is a computer vision technology field, which involves a motion effect assessment method and system based on APP screening function. This method includes: Playing and displaying standard fitness videos based on APP recording, and coll"&amp;"ects video data for multi -dimensional collection of users with standard fitness videos; After the image recognition processing is performed to determine the start and end video image frame of each fitness action, and the key feature points in each video "&amp;"image frame; determine the motion feature parameters of the fitness action in each video image frame based on key feature points, and motion feature parameters Input to comparison of standard motion parameters synchronized with standard fitness videos in "&amp;"the APP to determine the user's movement effect data; according to the motion effect data, the user is scored at the completion of a stage of the exercise effect, and the scoring data is displayed. The user line is on the user line. Evaluate the movement "&amp;"of the next exercise.")</f>
        <v>The present invention is a computer vision technology field, which involves a motion effect assessment method and system based on APP screening function. This method includes: Playing and displaying standard fitness videos based on APP recording, and collects video data for multi -dimensional collection of users with standard fitness videos; After the image recognition processing is performed to determine the start and end video image frame of each fitness action, and the key feature points in each video image frame; determine the motion feature parameters of the fitness action in each video image frame based on key feature points, and motion feature parameters Input to comparison of standard motion parameters synchronized with standard fitness videos in the APP to determine the user's movement effect data; according to the motion effect data, the user is scored at the completion of a stage of the exercise effect, and the scoring data is displayed. The user line is on the user line. Evaluate the movement of the next exercise.</v>
      </c>
      <c r="D473" s="6" t="s">
        <v>1393</v>
      </c>
      <c r="E473" s="4" t="str">
        <f ca="1">IFERROR(__xludf.DUMMYFUNCTION("GOOGLETRANSLATE(D473,""auto"",""en"")"),"A motion effect evaluation method and system based on APP screening function")</f>
        <v>A motion effect evaluation method and system based on APP screening function</v>
      </c>
    </row>
    <row r="474" spans="1:5" ht="15" x14ac:dyDescent="0.25">
      <c r="A474" s="5" t="s">
        <v>1394</v>
      </c>
      <c r="B474" s="6" t="s">
        <v>1395</v>
      </c>
      <c r="C474" s="3" t="str">
        <f ca="1">IFERROR(__xludf.DUMMYFUNCTION("GOOGLETRANSLATE(B474,""auto"",""en"")"),"An example of the present invention includes energy and waste used in activities such as seminars, travel, sports competitions, performances and logistics/distribution activities, as well as the energy consumed by mobile places related to activities. Base"&amp;"d on this, each big data -based situation and artificial carbon emissions predict the amount of carbon dioxide by predicting the amount of carbon dioxide and the basis of this foundation, as well as automatic carbon transactions based on artificial intell"&amp;"igence -based carbon emission. It is related to equipment and systems.")</f>
        <v>An example of the present invention includes energy and waste used in activities such as seminars, travel, sports competitions, performances and logistics/distribution activities, as well as the energy consumed by mobile places related to activities. Based on this, each big data -based situation and artificial carbon emissions predict the amount of carbon dioxide by predicting the amount of carbon dioxide and the basis of this foundation, as well as automatic carbon transactions based on artificial intelligence -based carbon emission. It is related to equipment and systems.</v>
      </c>
      <c r="D474" s="6" t="s">
        <v>1396</v>
      </c>
      <c r="E474" s="4" t="str">
        <f ca="1">IFERROR(__xludf.DUMMYFUNCTION("GOOGLETRANSLATE(D474,""auto"",""en"")"),"Calculate carbon emissions based on big data divide")</f>
        <v>Calculate carbon emissions based on big data divide</v>
      </c>
    </row>
    <row r="475" spans="1:5" ht="15" x14ac:dyDescent="0.25">
      <c r="A475" s="5" t="s">
        <v>1397</v>
      </c>
      <c r="B475" s="6" t="s">
        <v>1398</v>
      </c>
      <c r="C475" s="3" t="str">
        <f ca="1">IFERROR(__xludf.DUMMYFUNCTION("GOOGLETRANSLATE(B475,""auto"",""en"")"),"1. Design product name: IoT shower controller box.
 2. The purpose of designing products in this exterior: This IoT shower controller box is used for the paid control and advertising playback of shower shower in service areas, schools, swimming pools, b"&amp;"aths and other places.
 3. Design of the design of the product in appearance: lies in the shape.
 4. Pictures or photos that can best show design: stereo.")</f>
        <v>1. Design product name: IoT shower controller box.
 2. The purpose of designing products in this exterior: This IoT shower controller box is used for the paid control and advertising playback of shower shower in service areas, schools, swimming pools, baths and other places.
 3. Design of the design of the product in appearance: lies in the shape.
 4. Pictures or photos that can best show design: stereo.</v>
      </c>
      <c r="D475" s="6" t="s">
        <v>1399</v>
      </c>
      <c r="E475" s="4" t="str">
        <f ca="1">IFERROR(__xludf.DUMMYFUNCTION("GOOGLETRANSLATE(D475,""auto"",""en"")"),"IoT shower controller box")</f>
        <v>IoT shower controller box</v>
      </c>
    </row>
    <row r="476" spans="1:5" ht="15" x14ac:dyDescent="0.25">
      <c r="A476" s="5" t="s">
        <v>1400</v>
      </c>
      <c r="B476" s="6" t="s">
        <v>1401</v>
      </c>
      <c r="C476" s="3" t="str">
        <f ca="1">IFERROR(__xludf.DUMMYFUNCTION("GOOGLETRANSLATE(B476,""auto"",""en"")"),"1. Design product name: Display screen panel with multimedia control graphical user interface.
 2. The purpose of designing products in this exterior: The design of the product is used to display the image.
 3. Design of the design of the product in t"&amp;"his exterior: lies in the graphic user interface information in the screen.
 4. Pictures or photos that can most indicate design points: main view.
 5. This graphic user interface can use the existing display screen panel. There is no design element i"&amp;"n the display screen panel. The back view, left view, right view, push -view, and viewing view is omitted.
 6. The purpose of the graphical user interface: The interface of this application is mainly used for the content display and functional operation"&amp;" of the vehicle multimedia, displaying the state of the multimedia radios, Bluetooth mode, and the status of the USB connection mode, etc., and perform the operation.
 7. Human -computer interaction method of graphics user interface: The graphic user in"&amp;"terface shown in the main view is the radio mode interface of the multimedia, the channel in the radio mode interface, and the touch screen button that adjusts and sounds the sound; The graphic user interface shown, click &amp; nbsp; ""Bluetooth"" touch scree"&amp;"n button or click ""USB"" touch screen button to switch to the interface change state. When switching to the interface change state Figure 1 Show the graphic user interface, the touch screen button controls the Bluetooth state below the interface; when sw"&amp;"itch to the interface change state Figure 2 shown in the graphic user interface, the control USB state is displayed at the bottom of the interface. Touch screen button.
 8. The display screen panel can be used for excavators, loaders, excavations, bulld"&amp;"ozers, shovel, flat machines, cranes, road pressing machines, drilling machines, pile machines, crushing hammers, flat machines, rock cutting machines.")</f>
        <v>1. Design product name: Display screen panel with multimedia control graphical user interface.
 2. The purpose of designing products in this exterior: The design of the product is used to display the image.
 3. Design of the design of the product in this exterior: lies in the graphic user interface information in the screen.
 4. Pictures or photos that can most indicate design points: main view.
 5. This graphic user interface can use the existing display screen panel. There is no design element in the display screen panel. The back view, left view, right view, push -view, and viewing view is omitted.
 6. The purpose of the graphical user interface: The interface of this application is mainly used for the content display and functional operation of the vehicle multimedia, displaying the state of the multimedia radios, Bluetooth mode, and the status of the USB connection mode, etc., and perform the operation.
 7. Human -computer interaction method of graphics user interface: The graphic user interface shown in the main view is the radio mode interface of the multimedia, the channel in the radio mode interface, and the touch screen button that adjusts and sounds the sound; The graphic user interface shown, click &amp; nbsp; "Bluetooth" touch screen button or click "USB" touch screen button to switch to the interface change state. When switching to the interface change state Figure 1 Show the graphic user interface, the touch screen button controls the Bluetooth state below the interface; when switch to the interface change state Figure 2 shown in the graphic user interface, the control USB state is displayed at the bottom of the interface. Touch screen button.
 8. The display screen panel can be used for excavators, loaders, excavations, bulldozers, shovel, flat machines, cranes, road pressing machines, drilling machines, pile machines, crushing hammers, flat machines, rock cutting machines.</v>
      </c>
      <c r="D476" s="6" t="s">
        <v>1402</v>
      </c>
      <c r="E476" s="4" t="str">
        <f ca="1">IFERROR(__xludf.DUMMYFUNCTION("GOOGLETRANSLATE(D476,""auto"",""en"")"),"Display screen panel with multimedia fucking graphics user interface")</f>
        <v>Display screen panel with multimedia fucking graphics user interface</v>
      </c>
    </row>
    <row r="477" spans="1:5" ht="15" x14ac:dyDescent="0.25">
      <c r="A477" s="5" t="s">
        <v>1403</v>
      </c>
      <c r="B477" s="6" t="s">
        <v>1404</v>
      </c>
      <c r="C477" s="3" t="str">
        <f ca="1">IFERROR(__xludf.DUMMYFUNCTION("GOOGLETRANSLATE(B477,""auto"",""en"")"),"A table tennis training device for the disabled, including platform 1, platform 1, set up a wearable unit 2 on the platform 1, and connect to the platform 1 through the expansion rod 3, the telescopic lever 3 can be used to change the wearable unit 2 2 Th"&amp;"e height, an artificial intelligence -based imaging unit 4 for capturing and processing user images to detect the professional level of the user, used to throw pitching devices for users to throw table tennis 5. The table tennis needs to use the racket he"&amp;"ld by the user to make the ball Strike the distance to hit the ball. The stadium isolates on the table, and the speed and height of the speed and height of the ball, and activate the double -axis screw device 8 between the platform 1 and the table. 2 Re -"&amp;"position the ball.")</f>
        <v>A table tennis training device for the disabled, including platform 1, platform 1, set up a wearable unit 2 on the platform 1, and connect to the platform 1 through the expansion rod 3, the telescopic lever 3 can be used to change the wearable unit 2 2 The height, an artificial intelligence -based imaging unit 4 for capturing and processing user images to detect the professional level of the user, used to throw pitching devices for users to throw table tennis 5. The table tennis needs to use the racket held by the user to make the ball Strike the distance to hit the ball. The stadium isolates on the table, and the speed and height of the speed and height of the ball, and activate the double -axis screw device 8 between the platform 1 and the table. 2 Re -position the ball.</v>
      </c>
      <c r="D477" s="6" t="s">
        <v>1405</v>
      </c>
      <c r="E477" s="4" t="str">
        <f ca="1">IFERROR(__xludf.DUMMYFUNCTION("GOOGLETRANSLATE(D477,""auto"",""en"")"),"Disabled Ping Table Tennis Trainer")</f>
        <v>Disabled Ping Table Tennis Trainer</v>
      </c>
    </row>
    <row r="478" spans="1:5" ht="15" x14ac:dyDescent="0.25">
      <c r="A478" s="5" t="s">
        <v>1406</v>
      </c>
      <c r="B478" s="6" t="s">
        <v>1407</v>
      </c>
      <c r="C478" s="3" t="str">
        <f ca="1">IFERROR(__xludf.DUMMYFUNCTION("GOOGLETRANSLATE(B478,""auto"",""en"")"),"1. Design product name: Graphic user interface shot by the camera of the display screen panel.
 2. The purpose of designing products in this exterior: The design of the product is used for camera shooting.
 3. Design of design products in this exterio"&amp;"r: lies in the graphic user interface displayed on the display screen panel.
 4. Pictures or photos that can best show design: Design 1 main view.
 5. Specify design 1 is the basic design.
 6. The purpose of the graphical user interface: This graphi"&amp;"c user interface is the functional interface of the camera of the application software.
 7. Human -computer interaction method of graphical user interface: Design 1 The main view is the display interface of the camera. The user clicks a button on the ri"&amp;"ght side of the screen area of ​​the interface to display the corresponding interface. Design 2 to design 6, design 8, design 9, design 9, design 9, design 9, design 9, design 9, design 9, design 9, design 9, design 9, design 9, design 9, design 9, design"&amp;" 9 The way of interaction is the same as design 1.
 Design 6 main view button is displayed on the left side of the screen area.
 Design 7 main view is the display interface of the camera shooting. The three shooting modes are displayed on the upper pa"&amp;"rt of the screen area. The user can click to select.
 The gray color block in the interface is a replaceable picture or video. The fork number in this design interface represents text and/or numbers and/or alphabetics and symbols.
 8. This graphic use"&amp;"r interface can be used for mobile phones, computers, tablets, televisions, vehicle central control screens, vehicle navigators, car display devices, game consoles, navigators, multimedia all -in -one machines, electronic notes智能健身设备、智能家电设备、带显示屏幕的机器人、智能手环"&amp;"、智能手表、智能眼镜、智能耳机、智能台灯、智能门系统、广告显示屏、自动售卖机、带显示屏幕的医疗器械、带The refrigerator of the screen, the range hood with the screen, the screen of the screen, the disinfection cabinet with the screen, the dishwasher with the screen, and the oven with the screen.")</f>
        <v>1. Design product name: Graphic user interface shot by the camera of the display screen panel.
 2. The purpose of designing products in this exterior: The design of the product is used for camera shooting.
 3. Design of design products in this exterior: lies in the graphic user interface displayed on the display screen panel.
 4. Pictures or photos that can best show design: Design 1 main view.
 5. Specify design 1 is the basic design.
 6. The purpose of the graphical user interface: This graphic user interface is the functional interface of the camera of the application software.
 7. Human -computer interaction method of graphical user interface: Design 1 The main view is the display interface of the camera. The user clicks a button on the right side of the screen area of ​​the interface to display the corresponding interface. Design 2 to design 6, design 8, design 9, design 9, design 9, design 9, design 9, design 9, design 9, design 9, design 9, design 9, design 9, design 9, design 9, design 9 The way of interaction is the same as design 1.
 Design 6 main view button is displayed on the left side of the screen area.
 Design 7 main view is the display interface of the camera shooting. The three shooting modes are displayed on the upper part of the screen area. The user can click to select.
 The gray color block in the interface is a replaceable picture or video. The fork number in this design interface represents text and/or numbers and/or alphabetics and symbols.
 8. This graphic user interface can be used for mobile phones, computers, tablets, televisions, vehicle central control screens, vehicle navigators, car display devices, game consoles, navigators, multimedia all -in -one machines, electronic notes智能健身设备、智能家电设备、带显示屏幕的机器人、智能手环、智能手表、智能眼镜、智能耳机、智能台灯、智能门系统、广告显示屏、自动售卖机、带显示屏幕的医疗器械、带The refrigerator of the screen, the range hood with the screen, the screen of the screen, the disinfection cabinet with the screen, the dishwasher with the screen, and the oven with the screen.</v>
      </c>
      <c r="D478" s="6" t="s">
        <v>1408</v>
      </c>
      <c r="E478" s="4" t="str">
        <f ca="1">IFERROR(__xludf.DUMMYFUNCTION("GOOGLETRANSLATE(D478,""auto"",""en"")"),"Graphic user interface shot by the camera of the display screen panel")</f>
        <v>Graphic user interface shot by the camera of the display screen panel</v>
      </c>
    </row>
    <row r="479" spans="1:5" ht="15" x14ac:dyDescent="0.25">
      <c r="A479" s="5" t="s">
        <v>1409</v>
      </c>
      <c r="B479" s="6" t="s">
        <v>1410</v>
      </c>
      <c r="C479" s="3" t="str">
        <f ca="1">IFERROR(__xludf.DUMMYFUNCTION("GOOGLETRANSLATE(B479,""auto"",""en"")"),"1. Design product name: Camera to adjust the graphic user interface of the screen panel.
 2. The purpose of designing products in this exterior: The design of the product is used for camera adjustment panels.
 3. Design of design products in this exte"&amp;"rior: lies in the graphic user interface displayed on the display screen panel.
 4. Pictures or photos that can best show design: Design 1 main view.
 5. Specify design 1 is the basic design.
 6. The purpose of the graphical user interface: This gra"&amp;"phic user interface is the functional interface of the camera of the application software.
 7. Human -computer interaction method of graphical user interface: Design 1 The main view is the display interface of the camera regulating panel. The user click"&amp;"s a certain icon button at the bottom of the interface to display the corresponding interface.
 The interaction method of design 2 to design 7 is the same as design 1.
 The gray color block in the interface is a replaceable picture or video. The fork "&amp;"number in this design interface represents text and/or numbers and/or alphabetics and symbols.
 8. This graphic user interface can be used for mobile phones, computers, tablets, televisions, vehicle central control screens, vehicle navigators, car displ"&amp;"ay devices, game consoles, navigators, multimedia all -in -one machines, electronic notes智能健身设备、智能家电设备、带显示屏幕的机器人、智能手环、智能手表、智能眼镜、智能耳机、智能台灯、智能门系统、广告显示屏、自动售卖机、带显示屏幕的医疗器械、带The refrigerator of the screen, the range hood with the screen, the screen of the scree"&amp;"n, the disinfection cabinet with the screen, the dishwasher with the screen, and the oven with the screen.")</f>
        <v>1. Design product name: Camera to adjust the graphic user interface of the screen panel.
 2. The purpose of designing products in this exterior: The design of the product is used for camera adjustment panels.
 3. Design of design products in this exterior: lies in the graphic user interface displayed on the display screen panel.
 4. Pictures or photos that can best show design: Design 1 main view.
 5. Specify design 1 is the basic design.
 6. The purpose of the graphical user interface: This graphic user interface is the functional interface of the camera of the application software.
 7. Human -computer interaction method of graphical user interface: Design 1 The main view is the display interface of the camera regulating panel. The user clicks a certain icon button at the bottom of the interface to display the corresponding interface.
 The interaction method of design 2 to design 7 is the same as design 1.
 The gray color block in the interface is a replaceable picture or video. The fork number in this design interface represents text and/or numbers and/or alphabetics and symbols.
 8. This graphic user interface can be used for mobile phones, computers, tablets, televisions, vehicle central control screens, vehicle navigators, car display devices, game consoles, navigators, multimedia all -in -one machines, electronic notes智能健身设备、智能家电设备、带显示屏幕的机器人、智能手环、智能手表、智能眼镜、智能耳机、智能台灯、智能门系统、广告显示屏、自动售卖机、带显示屏幕的医疗器械、带The refrigerator of the screen, the range hood with the screen, the screen of the screen, the disinfection cabinet with the screen, the dishwasher with the screen, and the oven with the screen.</v>
      </c>
      <c r="D479" s="6" t="s">
        <v>1411</v>
      </c>
      <c r="E479" s="4" t="str">
        <f ca="1">IFERROR(__xludf.DUMMYFUNCTION("GOOGLETRANSLATE(D479,""auto"",""en"")"),"The camera of the display screen panel adjust the graphic user interface of the panel")</f>
        <v>The camera of the display screen panel adjust the graphic user interface of the panel</v>
      </c>
    </row>
    <row r="480" spans="1:5" ht="15" x14ac:dyDescent="0.25">
      <c r="A480" s="5" t="s">
        <v>1412</v>
      </c>
      <c r="B480" s="6" t="s">
        <v>1413</v>
      </c>
      <c r="C480" s="3" t="str">
        <f ca="1">IFERROR(__xludf.DUMMYFUNCTION("GOOGLETRANSLATE(B480,""auto"",""en"")"),"1. The name of the product in appearance: The display screen panel with a video picture search graphic user interface.
 2. The purpose of designing products in this exterior: used to display graphic user interface.
 3. Design of design products in thi"&amp;"s appearance: lies in the graphic user interface in the screen.
 4. Pictures or photos that can best show design points: interface change status diagram.
 5. There is no design point for other views, omitting other views.
 6. The purpose of graphica"&amp;"l user interface: The interface is used for video/picture browsing, searching, sharing and commenting.
 7. Human -computer interaction method of graphical user interface: The graphic user interface displayed by the main view is to open the start interfa"&amp;"ce of the program; click on any video card frame in the main view (here is the first one at the top of the middle as an example) Enter the interface change state diagram at any position.
 8. The display screen panel of the product can be applied to comp"&amp;"uters, laptops, tablet computers, head -up display (HUD), multimedia projector, smartphone, smart robot, smart glasses, virtual reality glasses, augmented reality glasses, hybrid reality Glasses, smart watches, fitness monitors, headset headphones, drivin"&amp;"g recorders, vehicle navigation equipment, vehicle CNC computer, automobile smart rearview mirror, smart speaker, smart TV, set -top box, game handheld, game console.
 9. The gray ""X"" coating in the graphic user interface of the product of the product"&amp;" is the content picture.")</f>
        <v>1. The name of the product in appearance: The display screen panel with a video picture search graphic user interface.
 2. The purpose of designing products in this exterior: used to display graphic user interface.
 3. Design of design products in this appearance: lies in the graphic user interface in the screen.
 4. Pictures or photos that can best show design points: interface change status diagram.
 5. There is no design point for other views, omitting other views.
 6. The purpose of graphical user interface: The interface is used for video/picture browsing, searching, sharing and commenting.
 7. Human -computer interaction method of graphical user interface: The graphic user interface displayed by the main view is to open the start interface of the program; click on any video card frame in the main view (here is the first one at the top of the middle as an example) Enter the interface change state diagram at any position.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480" s="6" t="s">
        <v>1414</v>
      </c>
      <c r="E480" s="4" t="str">
        <f ca="1">IFERROR(__xludf.DUMMYFUNCTION("GOOGLETRANSLATE(D480,""auto"",""en"")"),"The display screen panel with video picture search graphics user interface")</f>
        <v>The display screen panel with video picture search graphics user interface</v>
      </c>
    </row>
    <row r="481" spans="1:5" ht="15" x14ac:dyDescent="0.25">
      <c r="A481" s="5" t="s">
        <v>1415</v>
      </c>
      <c r="B481" s="6" t="s">
        <v>1416</v>
      </c>
      <c r="C481" s="3" t="str">
        <f ca="1">IFERROR(__xludf.DUMMYFUNCTION("GOOGLETRANSLATE(B481,""auto"",""en"")"),"This device includes Frame 1, Frame 1 has a pair of ring 2, ring 2 connects to each other through rod 3, and moves on platform 5 through guide rail 4. Users operate guide rail 4 during ring training, artificial intelligence connection on platform 5 on pla"&amp;"tform 5 The enabled image capture module 6 is used to capture multiple images that users are used to obtain the professional level of the user. Motor slider 7 installed between the ring 2 and rods 3 is used to adjust the space between the lever according "&amp;"to the professional level obtained. The length of the extension block 8 along the guide rail 4 is integrated with the platform 5, which highlights the front and rear parts of the ring 2. It is used to mark the distance. A pair of electric C -shaped fixtur"&amp;"e 12 is installed on each rod 3 for the user's hands and the hands and the hands of the user. The legs are safe.")</f>
        <v>This device includes Frame 1, Frame 1 has a pair of ring 2, ring 2 connects to each other through rod 3, and moves on platform 5 through guide rail 4. Users operate guide rail 4 during ring training, artificial intelligence connection on platform 5 on platform 5 The enabled image capture module 6 is used to capture multiple images that users are used to obtain the professional level of the user. Motor slider 7 installed between the ring 2 and rods 3 is used to adjust the space between the lever according to the professional level obtained. The length of the extension block 8 along the guide rail 4 is integrated with the platform 5, which highlights the front and rear parts of the ring 2. It is used to mark the distance. A pair of electric C -shaped fixture 12 is installed on each rod 3 for the user's hands and the hands and the hands of the user. The legs are safe.</v>
      </c>
      <c r="D481" s="6" t="s">
        <v>1417</v>
      </c>
      <c r="E481" s="4" t="str">
        <f ca="1">IFERROR(__xludf.DUMMYFUNCTION("GOOGLETRANSLATE(D481,""auto"",""en"")"),"Gymnastic trainer")</f>
        <v>Gymnastic trainer</v>
      </c>
    </row>
    <row r="482" spans="1:5" ht="15" x14ac:dyDescent="0.25">
      <c r="A482" s="5" t="s">
        <v>1418</v>
      </c>
      <c r="B482" s="6" t="s">
        <v>1419</v>
      </c>
      <c r="C482" s="3" t="str">
        <f ca="1">IFERROR(__xludf.DUMMYFUNCTION("GOOGLETRANSLATE(B482,""auto"",""en"")"),"A swimming auxiliary device, including: V -shaped framework 1, and the tail 3 connects to the belt 2, which is used to fix the user during swimming; an artificial intelligence -based imaging unit 5, installed on the framework 1, used to capture multiple u"&amp;"sers of multiple users Image; a pair of roller 6 wrapped in a belt 13 to provide fixed positioning for users. A pair of Z -shaped components 7 hinges in the first part of the ship to provide users with grasping. Connected at the stern part 3 to position t"&amp;"he legs and execute the leg movement of the legs during the swimming period. When the health parameters are not matched with the standard level, the microcontroller drives component 7 and the platform 9 to help users standardize the parameters.")</f>
        <v>A swimming auxiliary device, including: V -shaped framework 1, and the tail 3 connects to the belt 2, which is used to fix the user during swimming; an artificial intelligence -based imaging unit 5, installed on the framework 1, used to capture multiple users of multiple users Image; a pair of roller 6 wrapped in a belt 13 to provide fixed positioning for users. A pair of Z -shaped components 7 hinges in the first part of the ship to provide users with grasping. Connected at the stern part 3 to position the legs and execute the leg movement of the legs during the swimming period. When the health parameters are not matched with the standard level, the microcontroller drives component 7 and the platform 9 to help users standardize the parameters.</v>
      </c>
      <c r="D482" s="6" t="s">
        <v>1420</v>
      </c>
      <c r="E482" s="4" t="str">
        <f ca="1">IFERROR(__xludf.DUMMYFUNCTION("GOOGLETRANSLATE(D482,""auto"",""en"")"),"Swimming auxiliary device")</f>
        <v>Swimming auxiliary device</v>
      </c>
    </row>
    <row r="483" spans="1:5" ht="15" x14ac:dyDescent="0.25">
      <c r="A483" s="5" t="s">
        <v>1421</v>
      </c>
      <c r="B483" s="6" t="s">
        <v>1422</v>
      </c>
      <c r="C483" s="3" t="str">
        <f ca="1">IFERROR(__xludf.DUMMYFUNCTION("GOOGLETRANSLATE(B483,""auto"",""en"")"),"Mechanical energy converts the device to electrical static bicycle IoT (Internet of Things) to manually work manually by human power, to maximizes electrical energy, and minimizes the clean power stored in the production of traditional fuel exhaust gas in"&amp;" dry/wet cell batteries. In the end, it can be finally possible. Increasing the burden of the community is affordable, without having to have the effectiveness of performance to reduce performance and integrate a healthy lifestyle to inhibit obesity. In a"&amp;"ddition, the application of the tool enhanced intelligent power (ESP32) integrated Blynk cloud in the specified time storage and use of electrical energy to increase the impressive environment -friendly operation.
 The purpose of this invention is t"&amp;"o solve the problem of net power needs affordable. It is expected to be integrated at the General Fitness Center and uses the development time to drive the battery of electric vehicles.
 Mechanical energy converts the device to electrical static bic"&amp;"ycle IoT (Internet of Things) consisting of the main components of 10 (10), namely: (a) static paddle bicycle; Intelligent power (ESP32); (D) dry/wet battery; (E) Sun charging controller (SCC); (F) module MAX30102; (g) the chain of the generator; (h) red "&amp;"sensor; (1) Stop diodes; (J) IoT (Internet of Things) Blynk Cloud.")</f>
        <v>Mechanical energy converts the device to electrical static bicycle IoT (Internet of Things) to manually work manually by human power, to maximizes electrical energy, and minimizes the clean power stored in the production of traditional fuel exhaust gas in dry/wet cell batteries. In the end, it can be finally possible. Increasing the burden of the community is affordable, without having to have the effectiveness of performance to reduce performance and integrate a healthy lifestyle to inhibit obesity. In addition, the application of the tool enhanced intelligent power (ESP32) integrated Blynk cloud in the specified time storage and use of electrical energy to increase the impressive environment -friendly operation.
 The purpose of this invention is to solve the problem of net power needs affordable. It is expected to be integrated at the General Fitness Center and uses the development time to drive the battery of electric vehicles.
 Mechanical energy converts the device to electrical static bicycle IoT (Internet of Things) consisting of the main components of 10 (10), namely: (a) static paddle bicycle; Intelligent power (ESP32); (D) dry/wet battery; (E) Sun charging controller (SCC); (F) module MAX30102; (g) the chain of the generator; (h) red sensor; (1) Stop diodes; (J) IoT (Internet of Things) Blynk Cloud.</v>
      </c>
      <c r="D483" s="6" t="s">
        <v>1423</v>
      </c>
      <c r="E483" s="4" t="str">
        <f ca="1">IFERROR(__xludf.DUMMYFUNCTION("GOOGLETRANSLATE(D483,""auto"",""en"")"),"Static paddle -type bicycles based on the Internet of Things (IoT) to electrical converters")</f>
        <v>Static paddle -type bicycles based on the Internet of Things (IoT) to electrical converters</v>
      </c>
    </row>
    <row r="484" spans="1:5" ht="15" x14ac:dyDescent="0.25">
      <c r="A484" s="5" t="s">
        <v>1424</v>
      </c>
      <c r="B484" s="6" t="s">
        <v>1425</v>
      </c>
      <c r="C484" s="3" t="str">
        <f ca="1">IFERROR(__xludf.DUMMYFUNCTION("GOOGLETRANSLATE(B484,""auto"",""en"")"),"1. Design product name: The data of the display screen panel monitor the graphic user interface.
 2. Design products in appearance: used for running procedures, information display, and human -computer interaction.
 3. Design of design products in thi"&amp;"s appearance: lies in the graphic user interface in the screen.
 4. Pictures or photos that can best show design: Design 1 main view.
 5. Specify design 1 is the basic design.
 6. The purpose of the graphical user interface: Design 1‑ Design 5 Main "&amp;"view is the main view of the software data view monitoring interface, which are used to display the real -time status and data center statistics and comprehensive mining of coal mining machines, reprinting machines, transport aircraft, pumping stations an"&amp;"d crusher, and data center statistics and comprehensive mining Work surface indicators.
 Click the parallel button below the interface to enter the corresponding function interface.
 7. The display screen panel can be used for computers, mobile phones"&amp;", tablets, smart watches, smart bracelets, fitness monitors, headset headphones, personal digital assistants (PDA), smart speakers, TV, set -top boxes, projectors, game consoles, game consoles, game consoles ,GPS.")</f>
        <v>1. Design product name: The data of the display screen panel monitor the graphic user interface.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Design 1‑ Design 5 Main view is the main view of the software data view monitoring interface, which are used to display the real -time status and data center statistics and comprehensive mining of coal mining machines, reprinting machines, transport aircraft, pumping stations and crusher, and data center statistics and comprehensive mining Work surface indicators.
 Click the parallel button below the interface to enter the corresponding function interface.
 7. The display screen panel can be used for computers, mobile phones, tablets, smart watches, smart bracelets, fitness monitors, headset headphones, personal digital assistants (PDA), smart speakers, TV, set -top boxes, projectors, game consoles, game consoles, game consoles ,GPS.</v>
      </c>
      <c r="D484" s="6" t="s">
        <v>1426</v>
      </c>
      <c r="E484" s="4" t="str">
        <f ca="1">IFERROR(__xludf.DUMMYFUNCTION("GOOGLETRANSLATE(D484,""auto"",""en"")"),"Display screen panel data summary monitoring graphic user interface")</f>
        <v>Display screen panel data summary monitoring graphic user interface</v>
      </c>
    </row>
    <row r="485" spans="1:5" ht="15" x14ac:dyDescent="0.25">
      <c r="A485" s="5" t="s">
        <v>1427</v>
      </c>
      <c r="B485" s="6" t="s">
        <v>1428</v>
      </c>
      <c r="C485" s="3" t="str">
        <f ca="1">IFERROR(__xludf.DUMMYFUNCTION("GOOGLETRANSLATE(B485,""auto"",""en"")"),"1. The name of the product designed this product: The node task scheduling of the display screen panel management graphic user interface.
 2. Design products in appearance: used for interaction and display.
 3. Design of the design of the product in a"&amp;"ppearance: lies in the interface content of the graphic user interface.
 4. Pictures or photos that can most indicate design points: main view.
 5. There is no design point for other views, omitting other views.
 6. The purpose of graphical user int"&amp;"erface: for scheduling management of multi -branch tasks.
 7. Human -computer interaction method of graphical user interface: The main interface of the main view is the main interface of multi -branch task management; click on the main view of the node "&amp;"that is not executed, such as ""asset -end account balance sharing"", jump to the interface change state Figure 1 ; Use the mouse to drag the interface or slide the interface change state. Figure 1 The sliding bar on one side, as shown in the interface ch"&amp;"anges, the interface content is continuously displayed; click on the main view or interface change state. Nodes such as ""model applicability"", jump to the interface change state Figure 3; drag the interface with mouse or sliding interface change state. "&amp;"The sliding bar on one side is as shown in the interface 4 Content; click the main view or interface change state Figure 1 or interface change state. Figure 3 presents the ""contract combination"" that has been executed, such as the ""contract combination"&amp;""", jump to the interface change state Figure 5; drag the interface in the mouse or slide the interface change state The sliding bar on the side of Figure 5, as shown in the interface change state, the interface content is continuously displayed; click th"&amp;"e main view or interface change state figure 1 or interface changes Nodes of state, such as ""profit and loss test (direct insurance)"", jump to the interface change state Figure 7.
 8. The displayed carrier equipment for display is the existing design."&amp;" The display screen panel can be applied to computers, laptops, tablet computers, mobile phones, smartphones, smart glasses, watches, smart watches, fitness monitors, head wearing, head wearing Form headphones, personal digital assistants, smart speakers,"&amp;" television, monitor, projector, set -top box, navigator, display device for vehicles.")</f>
        <v>1. The name of the product designed this product: The node task scheduling of the display screen panel management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for scheduling management of multi -branch tasks.
 7. Human -computer interaction method of graphical user interface: The main interface of the main view is the main interface of multi -branch task management; click on the main view of the node that is not executed, such as "asset -end account balance sharing", jump to the interface change state Figure 1 ; Use the mouse to drag the interface or slide the interface change state. Figure 1 The sliding bar on one side, as shown in the interface changes, the interface content is continuously displayed; click on the main view or interface change state. Nodes such as "model applicability", jump to the interface change state Figure 3; drag the interface with mouse or sliding interface change state. The sliding bar on one side is as shown in the interface 4 Content; click the main view or interface change state Figure 1 or interface change state. Figure 3 presents the "contract combination" that has been executed, such as the "contract combination", jump to the interface change state Figure 5; drag the interface in the mouse or slide the interface change state The sliding bar on the side of Figure 5, as shown in the interface change state, the interface content is continuously displayed; click the main view or interface change state figure 1 or interface changes Nodes of state, such as "profit and loss test (direct insurance)", jump to the interface change state Figure 7.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485" s="6" t="s">
        <v>1429</v>
      </c>
      <c r="E485" s="4" t="str">
        <f ca="1">IFERROR(__xludf.DUMMYFUNCTION("GOOGLETRANSLATE(D485,""auto"",""en"")"),"Node task scheduling management graphic user interface of display screen panel")</f>
        <v>Node task scheduling management graphic user interface of display screen panel</v>
      </c>
    </row>
    <row r="486" spans="1:5" ht="15" x14ac:dyDescent="0.25">
      <c r="A486" s="5" t="s">
        <v>1430</v>
      </c>
      <c r="B486" s="6" t="s">
        <v>1431</v>
      </c>
      <c r="C486" s="3" t="str">
        <f ca="1">IFERROR(__xludf.DUMMYFUNCTION("GOOGLETRANSLATE(B486,""auto"",""en"")"),"This utility model opens up a kind of artificial intelligence football robot battle platform, which belongs to the field of football robot battle. A kind of artificial intelligence football robot battle platform, including robot battle platform components"&amp;", robot battle platform components include supporting the bottom plate, supporting the middle fixed connection of the top of the bottom plate There are hydraulic telescopic rods, and the output end of the hydraulic telescopic rod is fixed with a battle pl"&amp;"atform. There are cleaning components inside the battle platform. The cleaning component includes the inner groove. The inner wall of the inner groove is connected to a screw rotation through the bearing rotation. There is a serviced motor on one side, th"&amp;"e output end of the servo motor is fixed with the end of the screw. Time can improve the practicality of the equipment and facilitate the use of staff.")</f>
        <v>This utility model opens up a kind of artificial intelligence football robot battle platform, which belongs to the field of football robot battle. A kind of artificial intelligence football robot battle platform, including robot battle platform components, robot battle platform components include supporting the bottom plate, supporting the middle fixed connection of the top of the bottom plate There are hydraulic telescopic rods, and the output end of the hydraulic telescopic rod is fixed with a battle platform. There are cleaning components inside the battle platform. The cleaning component includes the inner groove. The inner wall of the inner groove is connected to a screw rotation through the bearing rotation. There is a serviced motor on one side, the output end of the servo motor is fixed with the end of the screw. Time can improve the practicality of the equipment and facilitate the use of staff.</v>
      </c>
      <c r="D486" s="6" t="s">
        <v>1432</v>
      </c>
      <c r="E486" s="4" t="str">
        <f ca="1">IFERROR(__xludf.DUMMYFUNCTION("GOOGLETRANSLATE(D486,""auto"",""en"")"),"An artificial intelligence football robot battle platform")</f>
        <v>An artificial intelligence football robot battle platform</v>
      </c>
    </row>
    <row r="487" spans="1:5" ht="15" x14ac:dyDescent="0.25">
      <c r="A487" s="5" t="s">
        <v>1433</v>
      </c>
      <c r="B487" s="6" t="s">
        <v>1434</v>
      </c>
      <c r="C487" s="3" t="str">
        <f ca="1">IFERROR(__xludf.DUMMYFUNCTION("GOOGLETRANSLATE(B487,""auto"",""en"")"),"The examples of this article can estimate the location of the athletes that are not visible in sports broadcast videos. You can generate a prediction model based on the training data set within the field. The tracking data within the field includes the lo"&amp;"cation of all players at all times and the corresponding broadcast tracking data. This data may not necessarily include the position of all players at all times. The predictive model can be based on algorithm logic (for example, sample return) or machine "&amp;"learning model (eg, K-nearest neighbor and deep neural network). The generated prediction model can be used to estimate the unknown position of players based on the known location.")</f>
        <v>The examples of this article can estimate the location of the athletes that are not visible in sports broadcast videos. You can generate a prediction model based on the training data set within the field. The tracking data within the field includes the location of all players at all times and the corresponding broadcast tracking data. This data may not necessarily include the position of all players at all times. The predictive model can be based on algorithm logic (for example, sample return) or machine learning model (eg, K-nearest neighbor and deep neural network). The generated prediction model can be used to estimate the unknown position of players based on the known location.</v>
      </c>
      <c r="D487" s="6" t="s">
        <v>1435</v>
      </c>
      <c r="E487" s="4" t="str">
        <f ca="1">IFERROR(__xludf.DUMMYFUNCTION("GOOGLETRANSLATE(D487,""auto"",""en"")"),"It is estimated that the player location lost in the video source")</f>
        <v>It is estimated that the player location lost in the video source</v>
      </c>
    </row>
    <row r="488" spans="1:5" ht="15" x14ac:dyDescent="0.25">
      <c r="A488" s="5" t="s">
        <v>1436</v>
      </c>
      <c r="B488" s="6" t="s">
        <v>1434</v>
      </c>
      <c r="C488" s="3" t="str">
        <f ca="1">IFERROR(__xludf.DUMMYFUNCTION("GOOGLETRANSLATE(B488,""auto"",""en"")"),"The examples of this article can estimate the location of the athletes that are not visible in sports broadcast videos. You can generate a prediction model based on the training data set within the field. The tracking data within the field includes the lo"&amp;"cation of all players at all times and the corresponding broadcast tracking data. This data may not necessarily include the position of all players at all times. The predictive model can be based on algorithm logic (for example, sample return) or machine "&amp;"learning model (eg, K-nearest neighbor and deep neural network). The generated prediction model can be used to estimate the unknown position of players based on the known location.")</f>
        <v>The examples of this article can estimate the location of the athletes that are not visible in sports broadcast videos. You can generate a prediction model based on the training data set within the field. The tracking data within the field includes the location of all players at all times and the corresponding broadcast tracking data. This data may not necessarily include the position of all players at all times. The predictive model can be based on algorithm logic (for example, sample return) or machine learning model (eg, K-nearest neighbor and deep neural network). The generated prediction model can be used to estimate the unknown position of players based on the known location.</v>
      </c>
      <c r="D488" s="6" t="s">
        <v>1437</v>
      </c>
      <c r="E488" s="4" t="str">
        <f ca="1">IFERROR(__xludf.DUMMYFUNCTION("GOOGLETRANSLATE(D488,""auto"",""en"")"),"It is estimated that the lost player location in the broadcast video")</f>
        <v>It is estimated that the lost player location in the broadcast video</v>
      </c>
    </row>
    <row r="489" spans="1:5" ht="15" x14ac:dyDescent="0.25">
      <c r="A489" s="5" t="s">
        <v>1438</v>
      </c>
      <c r="B489" s="6" t="s">
        <v>1439</v>
      </c>
      <c r="C489" s="3" t="str">
        <f ca="1">IFERROR(__xludf.DUMMYFUNCTION("GOOGLETRANSLATE(B489,""auto"",""en"")"),"1. Design product name: Display screen panel with recruitment approval management graphics user interface.
 2. The purpose of designing products in this exterior: used to display graphic user interface.
 3. Design of design products in this appearance"&amp;": lies in the graphic user interface in the screen.
 4. Pictures or photos that can most indicate design points: main view.
 5. There is no design point for other views, omitting other views.
 6. The purpose of graphical user interface: The interfac"&amp;"e is used for personnel recruitment, approval, management, and browsing work recruitment information.
 7. Human -computer interaction method of graphical user interface: The graphic user interface displayed by the main view is to open the start interfac"&amp;"e of the program; slide up at any position of the main view of the main view to get the interface change state diagram 1; click ""I am in the upper right corner of the main view. The two -dimensional code ""button pops up the interface change state Figure"&amp;" 2; click the"" Gray X Round Avatar ""button in the upper left corner of the main view to enter the interface change state. Figure 4; Sliding upwards in the central center of the interface change state Figure 4 to obtain the interface change state Figure "&amp;"5; click the interface change state Figure 3 The ""Add me XX"" button in the upper right corner of the interface to pop up the interface change state. The ""Go Fill in"" blue button in the upper right to enter the interface change status. Enter the interf"&amp;"ace change state Figure 9; slide up in any position in the central government in the interface change state. The ""self -introduction"" button above Figure 10 Enter the interface change state Figure 12; click the interface change state Figure 10 The ""hom"&amp;"etown"" button to pop up the interface change state Figure 13; click the interface change state. 10 Interface change state Figure 14; click the interface changes status Figure 14 ""Add custom tags"" blue button to enter the interface change state Figure 1"&amp;"5; click the ""My Video"" button below the ""My Video"" button to enter the interface change state below 10 ; Click the ""My Picture"" button below 10 ""My Picture"" button to enter the interface changes below. FIG. 18 The ""To Departable"" button in the "&amp;"upper right of the central center enters the interface change state Figure 19; in the interface change state Figure 19 to slide up to the central position to get the interface change state Figure 20; click the interface changes state. Enter the ""button t"&amp;"o enter the interface change state Figure 21; click the interface change status Figure 18 The"" To Interview ""button on the right side of the center to enter the interface change state. 22; 23; Sliding upward in the central government in the central gove"&amp;"rnment in the interface change state. Follow up ""the"" View All ""button to enter the interface change state. Figure 26; click the interface change state Figure 26 The"" Gray X Round Avatar ""button at the top left in the center of the central center ent"&amp;"ers the interface change state Figure 27; Sliding upward in the central government to obtain the interface change state Figure 28; in the interface change state Figure 28, the central position of the central government slide up to obtain the interface cha"&amp;"nge state. 29; Click the ""+job seeker"" button in the lower right corner of the ""+job seeker"" button in the lower right corner of the interface to enter the interface change state. The button to enter the interface change state Figure 33; click the int"&amp;"erface change state Figure 33 The ""screening"" button in the upper right corner of the interface pops up the interface change state. 35; Sliding upward in the central government in the central government in the interface change state. ""Behavior Record"""&amp;" tag button Enter the interface change state Figure 38; click the ""job seeker page"" button in the upper left corner of the main view of the main view to enter the interface change state. Status Figure 40; Sliding upwards in the central center of the int"&amp;"erface change state. 42's central position to slide up to get the interface change state Figure 43; click the interface change state Figure 39 The bottom ""My"" tag button enters the interface change state Figure 44.
 8. The display screen panel of the "&amp;"product can be applied to computers, laptops, tablet computers, head -up display (HUD), multimedia projector, smartphone, smart robot, smart glasses, virtual reality glasses, augmented reality glasses, hybrid reality Glasses, smart watches, fitness monito"&amp;"rs, headset headphones, driving recorders, vehicle navigation equipment, vehicle CNC computer, automobile smart rearview mirror, smart speaker, smart TV, set -top box, game handheld, game console.
 9. The gray ""X"" coating in the graphic user interface"&amp;" of the product of the product is the content picture.")</f>
        <v>1. Design product name: Display screen panel with recruitment approval management graphics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personnel recruitment, approval, management, and browsing work recruitment information.
 7. Human -computer interaction method of graphical user interface: The graphic user interface displayed by the main view is to open the start interface of the program; slide up at any position of the main view of the main view to get the interface change state diagram 1; click "I am in the upper right corner of the main view. The two -dimensional code "button pops up the interface change state Figure 2; click the" Gray X Round Avatar "button in the upper left corner of the main view to enter the interface change state. Figure 4; Sliding upwards in the central center of the interface change state Figure 4 to obtain the interface change state Figure 5; click the interface change state Figure 3 The "Add me XX" button in the upper right corner of the interface to pop up the interface change state. The "Go Fill in" blue button in the upper right to enter the interface change status. Enter the interface change state Figure 9; slide up in any position in the central government in the interface change state. The "self -introduction" button above Figure 10 Enter the interface change state Figure 12; click the interface change state Figure 10 The "hometown" button to pop up the interface change state Figure 13; click the interface change state. 10 Interface change state Figure 14; click the interface changes status Figure 14 "Add custom tags" blue button to enter the interface change state Figure 15; click the "My Video" button below the "My Video" button to enter the interface change state below 10 ; Click the "My Picture" button below 10 "My Picture" button to enter the interface changes below. FIG. 18 The "To Departable" button in the upper right of the central center enters the interface change state Figure 19; in the interface change state Figure 19 to slide up to the central position to get the interface change state Figure 20; click the interface changes state. Enter the "button to enter the interface change state Figure 21; click the interface change status Figure 18 The" To Interview "button on the right side of the center to enter the interface change state. 22; 23; Sliding upward in the central government in the central government in the interface change state. Follow up "the" View All "button to enter the interface change state. Figure 26; click the interface change state Figure 26 The" Gray X Round Avatar "button at the top left in the center of the central center enters the interface change state Figure 27; Sliding upward in the central government to obtain the interface change state Figure 28; in the interface change state Figure 28, the central position of the central government slide up to obtain the interface change state. 29; Click the "+job seeker" button in the lower right corner of the "+job seeker" button in the lower right corner of the interface to enter the interface change state. The button to enter the interface change state Figure 33; click the interface change state Figure 33 The "screening" button in the upper right corner of the interface pops up the interface change state. 35; Sliding upward in the central government in the central government in the interface change state. "Behavior Record" tag button Enter the interface change state Figure 38; click the "job seeker page" button in the upper left corner of the main view of the main view to enter the interface change state. Status Figure 40; Sliding upwards in the central center of the interface change state. 42's central position to slide up to get the interface change state Figure 43; click the interface change state Figure 39 The bottom "My" tag button enters the interface change state Figure 44.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489" s="6" t="s">
        <v>1440</v>
      </c>
      <c r="E489" s="4" t="str">
        <f ca="1">IFERROR(__xludf.DUMMYFUNCTION("GOOGLETRANSLATE(D489,""auto"",""en"")"),"Display screen panel with recruitment approval management graphics user interface")</f>
        <v>Display screen panel with recruitment approval management graphics user interface</v>
      </c>
    </row>
    <row r="490" spans="1:5" ht="15" x14ac:dyDescent="0.25">
      <c r="A490" s="5" t="s">
        <v>1441</v>
      </c>
      <c r="B490" s="6" t="s">
        <v>1442</v>
      </c>
      <c r="C490" s="3" t="str">
        <f ca="1">IFERROR(__xludf.DUMMYFUNCTION("GOOGLETRANSLATE(B490,""auto"",""en"")"),"One method includes real -time videos of users who use the IoT (IoT) device to capture the exercise associated with the first exercise course. The real -time video of the user shows the same time and the coach's video to provide the visual comparison of u"&amp;"sers and coaches. The image analysis of the user's real -time video to determine the user's performance and show its representation. IoT devices receive biological characteristics related to users from wearable devices at multiple points. By biological ch"&amp;"aracteristic data recognition heart rate and display heart rate -based scores through display. Different from the second exercise category, the recommendation of the second exercise category is based on the simplified confirmation of the user and is displ"&amp;"ayed by the display.")</f>
        <v>One method includes real -time videos of users who use the IoT (IoT) device to capture the exercise associated with the first exercise course. The real -time video of the user shows the same time and the coach's video to provide the visual comparison of users and coaches. The image analysis of the user's real -time video to determine the user's performance and show its representation. IoT devices receive biological characteristics related to users from wearable devices at multiple points. By biological characteristic data recognition heart rate and display heart rate -based scores through display. Different from the second exercise category, the recommendation of the second exercise category is based on the simplified confirmation of the user and is displayed by the display.</v>
      </c>
      <c r="D490" s="6" t="s">
        <v>1443</v>
      </c>
      <c r="E490" s="4" t="str">
        <f ca="1">IFERROR(__xludf.DUMMYFUNCTION("GOOGLETRANSLATE(D490,""auto"",""en"")"),"Pug -type video display device and how to use interactive training and demonstrations")</f>
        <v>Pug -type video display device and how to use interactive training and demonstrations</v>
      </c>
    </row>
    <row r="491" spans="1:5" ht="15" x14ac:dyDescent="0.25">
      <c r="A491" s="5" t="s">
        <v>1444</v>
      </c>
      <c r="B491" s="6" t="s">
        <v>1445</v>
      </c>
      <c r="C491" s="3" t="str">
        <f ca="1">IFERROR(__xludf.DUMMYFUNCTION("GOOGLETRANSLATE(B491,""auto"",""en"")"),"1. Design product name: Display the graphical user interface of the display screen panel.
 2. The purpose of designing products in this exterior: used to display graphic user interface.
 3. Design of the design of the product in appearance: lies in th"&amp;"e graphic user interface.
 4. Pictures or photos that can best show design: Design 1 main view.
 5. The display screen panel is commonly designed, omit other views.
 6. Specify design 1 is the basic design.
 7. The purpose of graphical user interf"&amp;"ace: for display of photos and/or video content.
 8. Human -computer interaction method of graphical user interface: In designing the main view of 1‑2, users can use up and down to use the middle and central regions to view more content. The user's touc"&amp;"h interface can view specific pictures or videos.
 The area with a small gray block in the interface is the mosaic effect of replaceable pictures or videos. It is not a combination of many small pictures and videos. The round gray area is a replaceable "&amp;"user avatar.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refrigerators with screens, range hoods with screens, air con"&amp;"ditioners with screens, smart fitness mirrors, disinfection cabinets with screens, dishwashers with screens, and oven with screens.")</f>
        <v>1. Design product name: Display the graphical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The display screen panel is commonly designed, omit other views.
 6. Specify design 1 is the basic design.
 7. The purpose of graphical user interface: for display of photos and/or video content.
 8. Human -computer interaction method of graphical user interface: In designing the main view of 1‑2, users can use up and down to use the middle and central regions to view more content. The user's touch interface can view specific pictures or videos.
 The area with a small gray block in the interface is the mosaic effect of replaceable pictures or videos. It is not a combination of many small pictures and videos. The round gray area is a replaceable user avatar.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with screens.</v>
      </c>
      <c r="D491" s="6" t="s">
        <v>959</v>
      </c>
      <c r="E491" s="4" t="str">
        <f ca="1">IFERROR(__xludf.DUMMYFUNCTION("GOOGLETRANSLATE(D491,""auto"",""en"")"),"Display screen panel content display graphic user interface")</f>
        <v>Display screen panel content display graphic user interface</v>
      </c>
    </row>
    <row r="492" spans="1:5" ht="15" x14ac:dyDescent="0.25">
      <c r="A492" s="5" t="s">
        <v>1446</v>
      </c>
      <c r="B492" s="6" t="s">
        <v>1447</v>
      </c>
      <c r="C492" s="3" t="str">
        <f ca="1">IFERROR(__xludf.DUMMYFUNCTION("GOOGLETRANSLATE(B492,""auto"",""en"")"),"1. Design product name: Display the graphical user interface of the display screen panel.
 2. The purpose of designing products in this exterior: used to display graphic user interface.
 3. Design of the design of the product in appearance: lies in th"&amp;"e graphic user interface.
 4. Pictures or photos that can best show design: Design 1 main view.
 5. The display screen panel is commonly designed, omit other views.
 6. Specify design 1 is the basic design.
 7. The purpose of graphical user interf"&amp;"ace: for display of photos and/or video content.
 8. Human -computer interaction method of graphic user interface: In designing 1 ~ 5 main views, users can view more content through up and down the central area. The user's touch interface can view speci"&amp;"fic pictures or videos.
 The gray color blocks in the design interface are replaceable pictures or videos.
 X represents the text and/or numbers and/or alphabets in the design interface.
 9.该图形用户界面可用于手机、计算机、平板电脑、智能电视、车载中控屏幕、多媒体一体机、电子记事本、智能音箱、投影仪、游戏机"&amp;"、导航仪、智能手表、智能手环、 Smart table lamps, refrigerators with screens, range hoods with screens, air conditioners with screens, smart fitness mirrors, disinfection cabinets with screens, dishwashers with screens, and oven with screens.")</f>
        <v>1. Design product name: Display the graphical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The display screen panel is commonly designed, omit other views.
 6. Specify design 1 is the basic design.
 7. The purpose of graphical user interface: for display of photos and/or video content.
 8. Human -computer interaction method of graphic user interface: In designing 1 ~ 5 main views, users can view more content through up and down the central area. The user's touch interface can view specific pictures or videos.
 The gray color blocks in the design interface are replaceable pictures or videos.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with screens.</v>
      </c>
      <c r="D492" s="6" t="s">
        <v>959</v>
      </c>
      <c r="E492" s="4" t="str">
        <f ca="1">IFERROR(__xludf.DUMMYFUNCTION("GOOGLETRANSLATE(D492,""auto"",""en"")"),"Display screen panel content display graphic user interface")</f>
        <v>Display screen panel content display graphic user interface</v>
      </c>
    </row>
    <row r="493" spans="1:5" ht="15" x14ac:dyDescent="0.25">
      <c r="A493" s="5" t="s">
        <v>1448</v>
      </c>
      <c r="B493" s="6" t="s">
        <v>1449</v>
      </c>
      <c r="C493" s="3" t="str">
        <f ca="1">IFERROR(__xludf.DUMMYFUNCTION("GOOGLETRANSLATE(B493,""auto"",""en"")"),"1. Design product name: Cage photography graphic user interface of the display screen panel.
 2. The purpose of designing products in this exterior: used to display graphic user interface.
 3. Design of the design of the product in appearance: lies in"&amp;" the graphic user interface.
 4. Pictures or photos that can best show design: Design 1 main view.
 5. The display screen panel is commonly designed, omit other views.
 6. Specify design 1 is the basic design.
 7. The purpose of the graphical user"&amp;" interface: used for photos and/or video shooting during multimedia information processing.
 8. Human -computer interaction method of graphical user interface: Design 1 ~ 8 The main view of 1 ~ 8 is obtained in real time through the camera of the termin"&amp;"al to realize the user's photography and photography interaction.
 The gray color blocks in the design interface are replaceable pictures or videos.
 X represents the text and/or numbers and/or alphabets in the design interface.
 9.该图形用户界面可用于手机、计算机、"&amp;"平板电脑、智能电视、车载中控屏幕、多媒体一体机、电子记事本、智能音箱、投影仪、游戏机、导航仪、智能手表、智能手环、 Smart table lamps, air conditioners with screen, smart fitness mirror.")</f>
        <v>1. Design product name: Cage photography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The display screen panel is commonly designed, omit other views.
 6. Specify design 1 is the basic design.
 7. The purpose of the graphical user interface: used for photos and/or video shooting during multimedia information processing.
 8. Human -computer interaction method of graphical user interface: Design 1 ~ 8 The main view of 1 ~ 8 is obtained in real time through the camera of the terminal to realize the user's photography and photography interaction.
 The gray color blocks in the design interface are replaceable pictures or videos.
 X represents the text and/or numbers and/or alphabets in the design interface.
 9.该图形用户界面可用于手机、计算机、平板电脑、智能电视、车载中控屏幕、多媒体一体机、电子记事本、智能音箱、投影仪、游戏机、导航仪、智能手表、智能手环、 Smart table lamps, air conditioners with screen, smart fitness mirror.</v>
      </c>
      <c r="D493" s="6" t="s">
        <v>1450</v>
      </c>
      <c r="E493" s="4" t="str">
        <f ca="1">IFERROR(__xludf.DUMMYFUNCTION("GOOGLETRANSLATE(D493,""auto"",""en"")"),"Cage photography graphic user interface of display screen panel")</f>
        <v>Cage photography graphic user interface of display screen panel</v>
      </c>
    </row>
    <row r="494" spans="1:5" ht="15" x14ac:dyDescent="0.25">
      <c r="A494" s="5" t="s">
        <v>1451</v>
      </c>
      <c r="B494" s="6" t="s">
        <v>1452</v>
      </c>
      <c r="C494" s="3" t="str">
        <f ca="1">IFERROR(__xludf.DUMMYFUNCTION("GOOGLETRANSLATE(B494,""auto"",""en"")"),"1. The name of the product of the design of the product: The photography photography dynamic graphic user interface of the display screen panel.
 2. The purpose of designing products in this exterior: used to display graphic user interface.
 3. Design"&amp;" of the design of the product in appearance: lies in the graphic user interface.
 4. Pictures or photos that can best show design: Design 1 main view.
 5. The display screen panel is commonly designed, omit other views.
 6. Specify design 1 is the b"&amp;"asic design.
 7. The purpose of the graphical user interface: used for photos and/or video shooting during multimedia information processing.
 8. Human -computer interaction method of graphical user interface: Design 1 Main View, Design 1 Interface Dy"&amp;"namic Change State Figure 1 ～ 2 is the dynamic display interface displayed in turn after the user enters the shooting page. Click the design 1 interface dynamic change state Number button completes the shooting; design 2 main view, design 2 interface dyna"&amp;"mic change state Figure 1 ~ 2 is the dynamic display interface after the user enters the shooting page. View and Design 3 interface dynamic change state Figure 1 ~ 3 is the dynamic display interface after the user enters the shooting page. Click the desig"&amp;"n 3 interface dynamic change state. Figure 3 below the number button to complete the shooting.
 The gray color blocks in the design interface are replaceable pictures or videos.
 X and N in the design interface represent text and/or numbers and/or let"&amp;"ters and/or symbols.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"&amp;"screens, dishwashers with screens, and oven with screens.")</f>
        <v>1. The name of the product of the design of the product: The photography photography dynamic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The display screen panel is commonly designed, omit other views.
 6. Specify design 1 is the basic design.
 7. The purpose of the graphical user interface: used for photos and/or video shooting during multimedia information processing.
 8. Human -computer interaction method of graphical user interface: Design 1 Main View, Design 1 Interface Dynamic Change State Figure 1 ～ 2 is the dynamic display interface displayed in turn after the user enters the shooting page. Click the design 1 interface dynamic change state Number button completes the shooting; design 2 main view, design 2 interface dynamic change state Figure 1 ~ 2 is the dynamic display interface after the user enters the shooting page. View and Design 3 interface dynamic change state Figure 1 ~ 3 is the dynamic display interface after the user enters the shooting page. Click the design 3 interface dynamic change state. Figure 3 below the number button to complete the shooting.
 The gray color blocks in the design interface are replaceable pictures or videos.
 X and N in the design interface represent text and/or numbers and/or letters and/or symbols.
 9.该图形用户界面可用于手机、计算机、平板电脑、智能电视、车载中控屏幕、多媒体一体机、电子记事本、智能音箱、投影仪、游戏机、导航仪、智能手表、智能手环、 Smart table lamps, refrigerators with screens, range hoods with screens, air conditioners with screens, smart fitness mirrors, disinfection cabinets with screens, dishwashers with screens, and oven with screens.</v>
      </c>
      <c r="D494" s="6" t="s">
        <v>1453</v>
      </c>
      <c r="E494" s="4" t="str">
        <f ca="1">IFERROR(__xludf.DUMMYFUNCTION("GOOGLETRANSLATE(D494,""auto"",""en"")"),"Cage photography dynamic graphic user interface of display screen panel")</f>
        <v>Cage photography dynamic graphic user interface of display screen panel</v>
      </c>
    </row>
    <row r="495" spans="1:5" ht="15" x14ac:dyDescent="0.25">
      <c r="A495" s="5" t="s">
        <v>1454</v>
      </c>
      <c r="B495" s="6" t="s">
        <v>1455</v>
      </c>
      <c r="C495" s="3" t="str">
        <f ca="1">IFERROR(__xludf.DUMMYFUNCTION("GOOGLETRANSLATE(B495,""auto"",""en"")"),"It describes a method that is used for time and identification to participate in sports events, wherein this method includes one or more first -more first camera system that receives the first time system that is accepted by the first time system located "&amp;"along the runway of the sports track. One or more first images associated with the first image information related to the image include the objects participating in sports events through the virtual timing line. The first image information includes visual"&amp;" information about at least the first object. After time, it cannot be identified according to one or more first images; receiving or retrieval one or more second image information related to the second camera system that is located in the first position "&amp;"in the first position One or more second images include objects to participate in sports events, and the second image information includes visual information about one or more objects that can be recognized based on one or more second images; Including: u"&amp;"se the first image information and the second image information to determine the second object that matches the first object in one or more second images; if the second object is determined, identify the first object according to the visual information of"&amp;" the second object Object.")</f>
        <v>It describes a method that is used for time and identification to participate in sports events, wherein this method includes one or more first -more first camera system that receives the first time system that is accepted by the first time system located along the runway of the sports track. One or more first images associated with the first image information related to the image include the objects participating in sports events through the virtual timing line. The first image information includes visual information about at least the first object. After time, it cannot be identified according to one or more first images; receiving or retrieval one or more second image information related to the second camera system that is located in the first position in the first position One or more second images include objects to participate in sports events, and the second image information includes visual information about one or more objects that can be recognized based on one or more second images; Including: use the first image information and the second image information to determine the second object that matches the first object in one or more second images; if the second object is determined, identify the first object according to the visual information of the second object Object.</v>
      </c>
      <c r="D495" s="6" t="s">
        <v>1456</v>
      </c>
      <c r="E495" s="4" t="str">
        <f ca="1">IFERROR(__xludf.DUMMYFUNCTION("GOOGLETRANSLATE(D495,""auto"",""en"")"),"Vision -based motion timing and recognition system")</f>
        <v>Vision -based motion timing and recognition system</v>
      </c>
    </row>
    <row r="496" spans="1:5" ht="15" x14ac:dyDescent="0.25">
      <c r="A496" s="5" t="s">
        <v>1457</v>
      </c>
      <c r="B496" s="6" t="s">
        <v>1458</v>
      </c>
      <c r="C496" s="3" t="str">
        <f ca="1">IFERROR(__xludf.DUMMYFUNCTION("GOOGLETRANSLATE(B496,""auto"",""en"")"),"1. Design product name: Screen graphic user interface of the sports data of the display screen panel.
 2. Design product designed products: used for running and display programs. The display screen panel can be used for display screens of fitness equipm"&amp;"ent.
 3. Design of the design of the product in this exterior: lies in the interface content of the product graphics user interface.
 4. Pictures or photos that can most indicate design points: main view.
 5. The purpose of the graphical user interf"&amp;"ace: used to follow the selected courses to perform exercise and fitness.
 6. Human -computer interaction method of graphic user interface: The dates of the click on the main vision chart, jump to the interface change state Figure 1 Video play page, int"&amp;"erface change state Figure 1 Sliding to the interface change state in the interface 1.")</f>
        <v>1. Design product name: Screen graphic user interface of the sports data of the display screen panel.
 2. Design product designed products: used for running and display programs. The display screen panel can be used for display screens of fitness equipment.
 3. Design of the design of the product in this exterior: lies in the interface content of the product graphics user interface.
 4. Pictures or photos that can most indicate design points: main view.
 5. The purpose of the graphical user interface: used to follow the selected courses to perform exercise and fitness.
 6. Human -computer interaction method of graphic user interface: The dates of the click on the main vision chart, jump to the interface change state Figure 1 Video play page, interface change state Figure 1 Sliding to the interface change state in the interface 1.</v>
      </c>
      <c r="D496" s="6" t="s">
        <v>1459</v>
      </c>
      <c r="E496" s="4" t="str">
        <f ca="1">IFERROR(__xludf.DUMMYFUNCTION("GOOGLETRANSLATE(D496,""auto"",""en"")"),"The screen graphical user interface of the sports data of the display screen panel")</f>
        <v>The screen graphical user interface of the sports data of the display screen panel</v>
      </c>
    </row>
    <row r="497" spans="1:5" ht="15" x14ac:dyDescent="0.25">
      <c r="A497" s="5" t="s">
        <v>1460</v>
      </c>
      <c r="B497" s="6" t="s">
        <v>1461</v>
      </c>
      <c r="C497" s="3" t="str">
        <f ca="1">IFERROR(__xludf.DUMMYFUNCTION("GOOGLETRANSLATE(B497,""auto"",""en"")"),"A kind of electronic device was disclosed. Electronic devices include communication interfaces, memory, and processors. Among them, the processor obtains multiple player location data sets corresponding to multiple time points in the sports competition, a"&amp;"nd obtains multiple team positions from multiple players' location data sets. The circulating neural network series, generate data sets, obtain multiple ball data corresponding to multiple viewpoints, and receive multiple team position data sets and multi"&amp;"ple ball data according to the scheduled time length. Get the ball right information about multiple teams.")</f>
        <v>A kind of electronic device was disclosed. Electronic devices include communication interfaces, memory, and processors. Among them, the processor obtains multiple player location data sets corresponding to multiple time points in the sports competition, and obtains multiple team positions from multiple players' location data sets. The circulating neural network series, generate data sets, obtain multiple ball data corresponding to multiple viewpoints, and receive multiple team position data sets and multiple ball data according to the scheduled time length. Get the ball right information about multiple teams.</v>
      </c>
      <c r="D497" s="6" t="s">
        <v>1462</v>
      </c>
      <c r="E497" s="4" t="str">
        <f ca="1">IFERROR(__xludf.DUMMYFUNCTION("GOOGLETRANSLATE(D497,""auto"",""en"")"),"Methods, electronic equipment and systems to predict the position of sports balls")</f>
        <v>Methods, electronic equipment and systems to predict the position of sports balls</v>
      </c>
    </row>
    <row r="498" spans="1:5" ht="15" x14ac:dyDescent="0.25">
      <c r="A498" s="5" t="s">
        <v>1463</v>
      </c>
      <c r="B498" s="6" t="s">
        <v>1464</v>
      </c>
      <c r="C498" s="3" t="str">
        <f ca="1">IFERROR(__xludf.DUMMYFUNCTION("GOOGLETRANSLATE(B498,""auto"",""en"")"),"The present invention involves the field of data surveillance prediction technology, and specifically involves a fault monitoring system and method of fitness equipment. This method monitors and records the daily power consumption data and temperature dat"&amp;"a of each treadmill in the gym to build a daily historical database. Analyze the power consumption data and temperature data in the daily historical database and then group different treadmills. By associating the daily historical database of the next day"&amp;", the state transfer of each treadmill is obtained, and the full connection neural network is trained. Through the full connection neural network, the treadmill operating group belongs to the gym on the day of the day by the data predicted on the day of t"&amp;"he gym, through the distribution situation, the abnormal treadmill was obtained and the PID parameters of the abnormal treadmill were controlled. Examples of the present invention realize the monitoring and status prediction of the operation data of fitne"&amp;"ss equipment, identify abnormal treadmills with faults and control it for PID parameters, ensuring the user's experience and the life of the treadmill.")</f>
        <v>The present invention involves the field of data surveillance prediction technology, and specifically involves a fault monitoring system and method of fitness equipment. This method monitors and records the daily power consumption data and temperature data of each treadmill in the gym to build a daily historical database. Analyze the power consumption data and temperature data in the daily historical database and then group different treadmills. By associating the daily historical database of the next day, the state transfer of each treadmill is obtained, and the full connection neural network is trained. Through the full connection neural network, the treadmill operating group belongs to the gym on the day of the day by the data predicted on the day of the gym, through the distribution situation, the abnormal treadmill was obtained and the PID parameters of the abnormal treadmill were controlled. Examples of the present invention realize the monitoring and status prediction of the operation data of fitness equipment, identify abnormal treadmills with faults and control it for PID parameters, ensuring the user's experience and the life of the treadmill.</v>
      </c>
      <c r="D498" s="6" t="s">
        <v>1465</v>
      </c>
      <c r="E498" s="4" t="str">
        <f ca="1">IFERROR(__xludf.DUMMYFUNCTION("GOOGLETRANSLATE(D498,""auto"",""en"")"),"A failure monitoring system and method of fitness equipment")</f>
        <v>A failure monitoring system and method of fitness equipment</v>
      </c>
    </row>
    <row r="499" spans="1:5" ht="15" x14ac:dyDescent="0.25">
      <c r="A499" s="5" t="s">
        <v>1466</v>
      </c>
      <c r="B499" s="6" t="s">
        <v>1467</v>
      </c>
      <c r="C499" s="3" t="str">
        <f ca="1">IFERROR(__xludf.DUMMYFUNCTION("GOOGLETRANSLATE(B499,""auto"",""en"")"),"1. The name of the product of the design of the product: The information display of the graphic user interface of the display screen panel.
 2. The purpose of designing products in this exterior: The design of the product is used to display the graphica"&amp;"l user interface.
 3. Design of the design of the product in appearance: lies in the graphic user interface.
 4. Pictures or photos that can best show design: Design 1 main view.
 5. Specify design 1 is the basic design.
 6. The purpose of the gra"&amp;"phical user interface: This graphic user interface is used to display information.
 7. Human -computer interaction method of graphical user interface: Design 1 to Design 6 Main View Graphic User Interface is the interface of information display. Users c"&amp;"an click the gray card in the horizontal discharge in the middle of the interface to view the corresponding information. Among them The position of the gray card corresponds to design 1 The position of the main list of the main reference map/sweet women's"&amp;" clothing/clothing shoe bag/mother and baby book card position.
 The gray color blocks in each design interface are replaceable pictures or videos.
 The fork number in each design interface represents text and/or numbers and/or alphabetics.
 8. This"&amp;" graphic user interface can be used for mobile phones, computers, tablets, televisions, vehicle central control screens, vehicle navigators, car display devices, game consoles, navigators, multimedia all -in -one machines, smart fitness equipment, smart h"&amp;"ome appliances, smart home appliances equipment, smart home appliance equipment Robots, smart bracelets, smart watches, smart glasses, smart headphones, smart table lamps, smart door systems, advertising display, automatic sale machines, and display scree"&amp;"ns with display screens with display screens.
 9. The display screen panel is commonly designed, omitting the rear views, left view, right view, downward view, and view view of various design.")</f>
        <v>1. The name of the product of the design of the product: The information display of the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This graphic user interface is used to display information.
 7. Human -computer interaction method of graphical user interface: Design 1 to Design 6 Main View Graphic User Interface is the interface of information display. Users can click the gray card in the horizontal discharge in the middle of the interface to view the corresponding information. Among them The position of the gray card corresponds to design 1 The position of the main list of the main reference map/sweet women's clothing/clothing shoe bag/mother and baby book card position.
 The gray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smart home appliance equipment Robots, smart bracelets, smart watches, smart glasses, smart headphones, smart table lamps, smart door systems, advertising display, automatic sale machines, and display screens with display screens with display screens.
 9. The display screen panel is commonly designed, omitting the rear views, left view, right view, downward view, and view view of various design.</v>
      </c>
      <c r="D499" s="6" t="s">
        <v>1468</v>
      </c>
      <c r="E499" s="4" t="str">
        <f ca="1">IFERROR(__xludf.DUMMYFUNCTION("GOOGLETRANSLATE(D499,""auto"",""en"")"),"Information display graphic user interface of the display screen panel")</f>
        <v>Information display graphic user interface of the display screen panel</v>
      </c>
    </row>
    <row r="500" spans="1:5" ht="15" x14ac:dyDescent="0.25">
      <c r="A500" s="5" t="s">
        <v>1469</v>
      </c>
      <c r="B500" s="6" t="s">
        <v>1470</v>
      </c>
      <c r="C500" s="3" t="str">
        <f ca="1">IFERROR(__xludf.DUMMYFUNCTION("GOOGLETRANSLATE(B500,""auto"",""en"")"),"The embodiment of this application provides a fitness training method, system, computer readable medium and electronic equipment based on machine learning. This fitness training method based on machine learning includes: to obtain the user's sports level "&amp;"parameters and physical function parameters, and then based on motion level parameters and physical function parameters, the training level of matching the user through the pre -training model based on machine learning is determined. By obtaining the user"&amp;"'s motion preference information to match the database, obtain the training method that the training level and the method of preferences are obtained, and finally generate the corresponding training plan of the user based on the method of preference and t"&amp;"he training method. The method can be adapted based on the user's own movement level and physical function, determine the appropriate exercise method, and can combine the user's movement preference to generate the corresponding exercise plan, which improv"&amp;"es the personalization and adaptability of the fitness exercise plan, and effectively improves the effectively improvement. Exercise effect.")</f>
        <v>The embodiment of this application provides a fitness training method, system, computer readable medium and electronic equipment based on machine learning. This fitness training method based on machine learning includes: to obtain the user's sports level parameters and physical function parameters, and then based on motion level parameters and physical function parameters, the training level of matching the user through the pre -training model based on machine learning is determined. By obtaining the user's motion preference information to match the database, obtain the training method that the training level and the method of preferences are obtained, and finally generate the corresponding training plan of the user based on the method of preference and the training method. The method can be adapted based on the user's own movement level and physical function, determine the appropriate exercise method, and can combine the user's movement preference to generate the corresponding exercise plan, which improves the personalization and adaptability of the fitness exercise plan, and effectively improves the effectively improvement. Exercise effect.</v>
      </c>
      <c r="D500" s="6" t="s">
        <v>1471</v>
      </c>
      <c r="E500" s="4" t="str">
        <f ca="1">IFERROR(__xludf.DUMMYFUNCTION("GOOGLETRANSLATE(D500,""auto"",""en"")"),"Fitness training methods, systems, media and electronic equipment based on machine learning")</f>
        <v>Fitness training methods, systems, media and electronic equipment based on machine learning</v>
      </c>
    </row>
    <row r="501" spans="1:5" ht="15" x14ac:dyDescent="0.25">
      <c r="A501" s="5" t="s">
        <v>1472</v>
      </c>
      <c r="B501" s="6" t="s">
        <v>1473</v>
      </c>
      <c r="C501" s="3" t="str">
        <f ca="1">IFERROR(__xludf.DUMMYFUNCTION("GOOGLETRANSLATE(B501,""auto"",""en"")"),"1. The name of the product of the design of the product: The information display of the graphic user interface of the display screen panel.
 2. The purpose of designing products in this exterior: The design of the product is used to display the graphica"&amp;"l user interface.
 3. Design of the design of the product in appearance: lies in the graphic user interface.
 4. Pictures or photos that can best show design: Design 1 main view.
 5. Specifying basic design: Specify design 1 is the basic design.
 "&amp;"6. The purpose of the graphical user interface: This graphic user interface is used to display information.
 7. Human -computer interaction method of graphics user interface: Design 1 to Design 6 Main View Graphic User Interface is the interface of info"&amp;"rmation display. Users can click on the rectangular card in the horizontal discharge in the middle of the interface to view the corresponding information. Among them The position of the rectangular card corresponds to design the card position of the main "&amp;"list of the main reference map/sweet women's clothing/clothing shoe bag/mother and baby book.
 The rectangular, rounded rectangular, and circular color blocks in each design interface are replaceable pictures or videos.
 The fork number in each design"&amp;" interface represents text and/or numbers and/or alphabetics.
 8. This graphic user interface can be used for mobile phones, computers, tablets, televisions, vehicle central control screens, vehicle navigators, car display devices, game consoles, naviga"&amp;"tors, multimedia all -in -one machines, smart fitness equipment, smart home appliances, smart home appliances equipment, smart home appliance equipment Robots, smart bracelets, smart watches, smart glasses, smart headphones, smart table lamps, smart door "&amp;"systems, advertising display, automatic sale machines, and display screens with display screens with display screens.
 9. The display screen panel is commonly designed, omitting the rear views, left view, right view, downward view, and view view of vari"&amp;"ous design.")</f>
        <v>1. The name of the product of the design of the product: The information display of the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Specifying basic design: Specify design 1 is the basic design.
 6. The purpose of the graphical user interface: This graphic user interface is used to display information.
 7. Human -computer interaction method of graphics user interface: Design 1 to Design 6 Main View Graphic User Interface is the interface of information display. Users can click on the rectangular card in the horizontal discharge in the middle of the interface to view the corresponding information. Among them The position of the rectangular card corresponds to design the card position of the main list of the main reference map/sweet women's clothing/clothing shoe bag/mother and baby book.
 The rectangular, rounded rectangular, and circular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smart home appliance equipment Robots, smart bracelets, smart watches, smart glasses, smart headphones, smart table lamps, smart door systems, advertising display, automatic sale machines, and display screens with display screens with display screens.
 9. The display screen panel is commonly designed, omitting the rear views, left view, right view, downward view, and view view of various design.</v>
      </c>
      <c r="D501" s="6" t="s">
        <v>1468</v>
      </c>
      <c r="E501" s="4" t="str">
        <f ca="1">IFERROR(__xludf.DUMMYFUNCTION("GOOGLETRANSLATE(D501,""auto"",""en"")"),"Information display graphic user interface of the display screen panel")</f>
        <v>Information display graphic user interface of the display screen panel</v>
      </c>
    </row>
    <row r="502" spans="1:5" ht="15" x14ac:dyDescent="0.25">
      <c r="A502" s="5" t="s">
        <v>1474</v>
      </c>
      <c r="B502" s="6" t="s">
        <v>1475</v>
      </c>
      <c r="C502" s="3" t="str">
        <f ca="1">IFERROR(__xludf.DUMMYFUNCTION("GOOGLETRANSLATE(B502,""auto"",""en"")"),"1. The name of the product in this exterior: fitness device (integrated 1) with smart body measurement graphics user interface. 2. Design products in this exterior: The program interface used to display smart body testing. 3. Design of the design of the p"&amp;"roduct in this exterior: lies in the interface content of the graphic user interface in the screen. 4. Pictures or photos that can most indicate design points: interface zoom in the picture. 5. The purpose of the graphical user interface: for the program "&amp;"interface of the fitness device. 6. Human -computer interaction method of graphics user interface: The interface amplification diagram is the main interface interface interface interface changes when the fitness device starts. For details introduction int"&amp;"erface, interface change state Figure 2 is a clicked or down interface change state. Figure 1 The courses displayed in the middle of the screen in the screen details the interface. Start training ""Enter the opening introduction interface. The interface c"&amp;"hange state Figure 4 is the drag interface change state. Figure 3 The"" lightning ""icon in the lower left corner of the control disc in the lower left corner of the disk in the lower left corner of the disk reaches the resistance panel adjustment interfa"&amp;"ce displayed above the disc. Interface change state Figure 5 is the activation state interface of the resistance panel in the control panel of the click interface change state. The interface changes status Figure 7 is the clicked interface change state in"&amp;" the click interface changes. 6 The video in the screen in the screen is arbitrarily entered. Change status Figure 9 is the panel interface that enters the video in the screen in the screen 8 in the states of the click interface. Hand -pull rope interface"&amp;", interface change state Figure 11 is the clicks of the interface changes. Figure 10 The panel interface in the video in the screen is arbitrarily entered. Inquiry interface, interface change state Figure 13 click the interface change state Figure 12 The "&amp;"training overview interface of ""save"" entered, interface change status Figure 14 is the training detail interface of ""training details"" entered in the ""training details"" of the click interface. Figure 15 shows the user icon in the upper left corner "&amp;"of the click interface status. The user icon pops up the sidebar function interface. Change status Figure 16 ""Start Evaluation"" Enter the evaluation introduction interface, interface change status Figure 18 is the clicks of the click interface change st"&amp;"ate. 17 The access panel interface in the video in the screen is arbitrarily entered. End the action interface interface of the evaluation button. The physical measurement interface, the interface change state Figure 22 is the three -time physical test in"&amp;"terface that stretchs the force arm on the fitness device. The interface change state Figure 23 After the test is completed and stops the test of the force arms on the fitness device, the test end of the loading page. Figure 26 is the interface of the ""T"&amp;"raining Book of Training"" in the Status of the Clicked Interface. 27 In the upper left corner of the cross icon closing the interface, the personal center has evaluated the interface. The interface displayed after the whole body evaluation.")</f>
        <v>1. The name of the product in this exterior: fitness device (integrated 1) with smart body measurement graphics user interface. 2. Design products in this exterior: The program interface used to display smart body testing. 3. Design of the design of the product in this exterior: lies in the interface content of the graphic user interface in the screen. 4. Pictures or photos that can most indicate design points: interface zoom in the picture. 5. The purpose of the graphical user interface: for the program interface of the fitness device. 6. Human -computer interaction method of graphics user interface: The interface amplification diagram is the main interface interface interface interface changes when the fitness device starts. For details introduction interface, interface change state Figure 2 is a clicked or down interface change state. Figure 1 The courses displayed in the middle of the screen in the screen details the interface. Start training "Enter the opening introduction interface. The interface change state Figure 4 is the drag interface change state. Figure 3 The" lightning "icon in the lower left corner of the control disc in the lower left corner of the disk in the lower left corner of the disk reaches the resistance panel adjustment interface displayed above the disc. Interface change state Figure 5 is the activation state interface of the resistance panel in the control panel of the click interface change state. The interface changes status Figure 7 is the clicked interface change state in the click interface changes. 6 The video in the screen in the screen is arbitrarily entered. Change status Figure 9 is the panel interface that enters the video in the screen in the screen 8 in the states of the click interface. Hand -pull rope interface, interface change state Figure 11 is the clicks of the interface changes. Figure 10 The panel interface in the video in the screen is arbitrarily entered. Inquiry interface, interface change state Figure 13 click the interface change state Figure 12 The training overview interface of "save" entered, interface change status Figure 14 is the training detail interface of "training details" entered in the "training details" of the click interface. Figure 15 shows the user icon in the upper left corner of the click interface status. The user icon pops up the sidebar function interface. Change status Figure 16 "Start Evaluation" Enter the evaluation introduction interface, interface change status Figure 18 is the clicks of the click interface change state. 17 The access panel interface in the video in the screen is arbitrarily entered. End the action interface interface of the evaluation button. The physical measurement interface, the interface change state Figure 22 is the three -time physical test interface that stretchs the force arm on the fitness device. The interface change state Figure 23 After the test is completed and stops the test of the force arms on the fitness device, the test end of the loading page. Figure 26 is the interface of the "Training Book of Training" in the Status of the Clicked Interface. 27 In the upper left corner of the cross icon closing the interface, the personal center has evaluated the interface. The interface displayed after the whole body evaluation.</v>
      </c>
      <c r="D502" s="6" t="s">
        <v>1476</v>
      </c>
      <c r="E502" s="4" t="str">
        <f ca="1">IFERROR(__xludf.DUMMYFUNCTION("GOOGLETRANSLATE(D502,""auto"",""en"")"),"A fitness device with intelligent body measurement graphics user interface (integrated 1)")</f>
        <v>A fitness device with intelligent body measurement graphics user interface (integrated 1)</v>
      </c>
    </row>
    <row r="503" spans="1:5" ht="15" x14ac:dyDescent="0.25">
      <c r="A503" s="5" t="s">
        <v>1477</v>
      </c>
      <c r="B503" s="6" t="s">
        <v>1478</v>
      </c>
      <c r="C503" s="3" t="str">
        <f ca="1">IFERROR(__xludf.DUMMYFUNCTION("GOOGLETRANSLATE(B503,""auto"",""en"")"),"1. The name of the product of the design of the product: The text -generated video graphic user interface of the display screen panel.
 2. The purpose of designing products in this exterior: The design of the product is used to display the graphical use"&amp;"r interface.
 3. Design of the design of the product in appearance: lies in the graphic user interface.
 4. Pictures or photos that can best show design: Design 1 main view.
 5. Specify design 1 is the basic design.
 6. The purpose of graphical us"&amp;"er interface: This graphic user interface is used for text generating videos.
 7. Human -computer interaction method of graphics user interface: Design 1 to Design 5 Main View Graphic User Interface is the interface of a video generating video.
 In th"&amp;"e interface of the main view of the 1 main view, when the user selects the tab of the lower part of the interface and clicks the control of the lower part of the tab, the interface enters the design 1 interface change state diagram.
 The position of the"&amp;" tab corresponds to design 1 Intelligent matching material of the main aspect of the reference diagram or the position of the text tab is only introduced.
 Design 2 to Design 5 Interactive operation is the same design 1.
 The gray color blocks in each"&amp;" design interface are replaceable pictures or videos.
 The fork number in each design interface represents text and/or numbers and/or alphabetics.
 8. This graphic user interface can be used for mobile phones, computers, tablets, televisions, vehicle "&amp;"central control screens, vehicle navigators, car display devices, game consoles, navigators, multimedia all -in -one machines, smart fitness equipment, smart home appliances, smart home appliances equipment, smart home appliance equipment Robots, smart br"&amp;"acelets, smart watches, smart glasses, smart headphones, smart table lamps, smart door systems, advertising display, automatic sale machines, and display screens with display screens with display screens.
 9. The display screen panel is commonly designe"&amp;"d, omitting the rear views, left view, right view, downward view, and view view of various design.")</f>
        <v>1. The name of the product of the design of the product: The text -generated video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for text generating videos.
 7. Human -computer interaction method of graphics user interface: Design 1 to Design 5 Main View Graphic User Interface is the interface of a video generating video.
 In the interface of the main view of the 1 main view, when the user selects the tab of the lower part of the interface and clicks the control of the lower part of the tab, the interface enters the design 1 interface change state diagram.
 The position of the tab corresponds to design 1 Intelligent matching material of the main aspect of the reference diagram or the position of the text tab is only introduced.
 Design 2 to Design 5 Interactive operation is the same design 1.
 The gray color blocks in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smart home appliance equipment Robots, smart bracelets, smart watches, smart glasses, smart headphones, smart table lamps, smart door systems, advertising display, automatic sale machines, and display screens with display screens with display screens.
 9. The display screen panel is commonly designed, omitting the rear views, left view, right view, downward view, and view view of various design.</v>
      </c>
      <c r="D503" s="6" t="s">
        <v>1479</v>
      </c>
      <c r="E503" s="4" t="str">
        <f ca="1">IFERROR(__xludf.DUMMYFUNCTION("GOOGLETRANSLATE(D503,""auto"",""en"")"),"Text generating video graphic user interface of display screen panel")</f>
        <v>Text generating video graphic user interface of display screen panel</v>
      </c>
    </row>
    <row r="504" spans="1:5" ht="15" x14ac:dyDescent="0.25">
      <c r="A504" s="5" t="s">
        <v>1480</v>
      </c>
      <c r="B504" s="6" t="s">
        <v>1481</v>
      </c>
      <c r="C504" s="3" t="str">
        <f ca="1">IFERROR(__xludf.DUMMYFUNCTION("GOOGLETRANSLATE(B504,""auto"",""en"")"),"1. Design product name: The work order management graphic user interface of the display screen panel.
 2. Design products in appearance: used for interaction and display.
 3. Design of the design of the product in appearance: lies in the graphic user "&amp;"interface.
 4. Pictures or photos that can most indicate design points: main view.
 5. There is no design point for other views, omitting other views.
 6. The purpose of the graphical user interface: used for the management of the person in charge o"&amp;"f the work order for the management of the work order status.
 7. Human -computer interaction method of graphical user interface: The main view is the main interface of the work order management; click the ""allocating person in charge"" button in the m"&amp;"ain view interface, as shown in the interface change state Figure 1 shown Practical window; click the ""State Management"" option in the menu bar on the left menu bar on the left side of the main view, jump to the interface change state. Figure 2 shows th"&amp;"e feedback work order interface; The editing button of the worksel feedback bar in the right side, jump to the interface change state. Figure 3 The tooling feedback and the dynamic interface of the work order; click the ""To Arrive Work Filter"" option in"&amp;" the interface change state, then click on it The lower -level options ""To I Arrives"" module, jump to the interface change state. Figure 4 shows the list interface of my archive work order; click on the interface changes. Figure 4 The work archive bar o"&amp;"n the right side of the Archive List is displayed as such as green and so on. The color button, jump to the interface change state. Figure 5 The information details and the dynamic interface of the work order are displayed; Effective management ""Options,"&amp;" jump to the interface change state. 6 The archived work order information list interface displayed by the interface; Single information statistics option, jump to the interface change state. 7 displayed in the detailed work order information statistics i"&amp;"nterface.
 8. The displayed carrier equipment for display is the existing design. The display screen panel can be applied to computers, laptops, tablet computers, mobile phones, smartphones, smart glasses, watches, smart watches, fitness monitors, head "&amp;"wearing, head wearing Form headphones, personal digital assistants, smart speakers, television, monitor, projector, set -top box, navigator, display device for vehicles.")</f>
        <v>1. Design product name: The work order management graphic user interface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used for the management of the person in charge of the work order for the management of the work order status.
 7. Human -computer interaction method of graphical user interface: The main view is the main interface of the work order management; click the "allocating person in charge" button in the main view interface, as shown in the interface change state Figure 1 shown Practical window; click the "State Management" option in the menu bar on the left menu bar on the left side of the main view, jump to the interface change state. Figure 2 shows the feedback work order interface; The editing button of the worksel feedback bar in the right side, jump to the interface change state. Figure 3 The tooling feedback and the dynamic interface of the work order; click the "To Arrive Work Filter" option in the interface change state, then click on it The lower -level options "To I Arrives" module, jump to the interface change state. Figure 4 shows the list interface of my archive work order; click on the interface changes. Figure 4 The work archive bar on the right side of the Archive List is displayed as such as green and so on. The color button, jump to the interface change state. Figure 5 The information details and the dynamic interface of the work order are displayed; Effective management "Options, jump to the interface change state. 6 The archived work order information list interface displayed by the interface; Single information statistics option, jump to the interface change state. 7 displayed in the detailed work order information statistics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4" s="6" t="s">
        <v>1482</v>
      </c>
      <c r="E504" s="4" t="str">
        <f ca="1">IFERROR(__xludf.DUMMYFUNCTION("GOOGLETRANSLATE(D504,""auto"",""en"")"),"The work order management graphic user interface of the display screen panel")</f>
        <v>The work order management graphic user interface of the display screen panel</v>
      </c>
    </row>
    <row r="505" spans="1:5" ht="15" x14ac:dyDescent="0.25">
      <c r="A505" s="5" t="s">
        <v>1483</v>
      </c>
      <c r="B505" s="6" t="s">
        <v>1484</v>
      </c>
      <c r="C505" s="3" t="str">
        <f ca="1">IFERROR(__xludf.DUMMYFUNCTION("GOOGLETRANSLATE(B505,""auto"",""en"")"),"1. Design product name: The power monitoring equipment of the display screen panel manages graphic user interface.
 2. Design products in appearance: used for interaction and display.
 3. Design of the design of the product in appearance: lies in the "&amp;"graphic user interface.
 4. Pictures or photos that can most indicate design points: main view.
 5. There is no design point for other views, omitting other views.
 6. The purpose of graphical user interface: installation and commissioning for monit"&amp;"oring equipment for environmental protection and electricity monitoring.
 7. Human -computer interaction method of graphical user interface: The main view is the main interface of environmental protection and electricity monitoring information; click th"&amp;"e modification button on the right side of the ""Overall Information"" on the main view to jump to the interface change status Figure 1; click the main master In the view, the ""pollution facilities"" icon, jump to the interface change state Figure 2; cli"&amp;"ck the ""collector"" icon in the main view, jump to the interface change state diagram 3; Figure 4 of the interface change state; click the ""monitoring point"" icon in the main view, jump to the interface change status diagram 5; click the ""corporate ge"&amp;"neral table"" icon in the main view, jump to the interface change state Figure 6; click the interface changes status The symbol ""+"" in the upper right corner in Figure 2 is the addition button to jump to the interface change state. 7 The add production "&amp;"pollution facilities interface displayed; by sliding up the interface to change the state of the state 7 interface The displayed pollution facilities interface displayed by the display; click the ""pollution control facility"" cells in the interface chang"&amp;"e state. 7, jump to the selection of polluting facilities displayed in the interface change state. 9.
 8. The displayed carrier equipment for display is the existing design. The display screen panel can be applied to computers, laptops, tablet computers"&amp;", mobile phones, smartphones, smart glasses, watches, smart watches, fitness monitors, head wearing, head wearing Form headphones, personal digital assistants, smart speakers, television, monitor, projector, set -top box, navigator, display device for veh"&amp;"icles.")</f>
        <v>1. Design product name: The power monitoring equipment of the display screen panel manages graphic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graphical user interface: installation and commissioning for monitoring equipment for environmental protection and electricity monitoring.
 7. Human -computer interaction method of graphical user interface: The main view is the main interface of environmental protection and electricity monitoring information; click the modification button on the right side of the "Overall Information" on the main view to jump to the interface change status Figure 1; click the main master In the view, the "pollution facilities" icon, jump to the interface change state Figure 2; click the "collector" icon in the main view, jump to the interface change state diagram 3; Figure 4 of the interface change state; click the "monitoring point" icon in the main view, jump to the interface change status diagram 5; click the "corporate general table" icon in the main view, jump to the interface change state Figure 6; click the interface changes status The symbol "+" in the upper right corner in Figure 2 is the addition button to jump to the interface change state. 7 The add production pollution facilities interface displayed; by sliding up the interface to change the state of the state 7 interface The displayed pollution facilities interface displayed by the display; click the "pollution control facility" cells in the interface change state. 7, jump to the selection of polluting facilities displayed in the interface change state. 9.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5" s="6" t="s">
        <v>1485</v>
      </c>
      <c r="E505" s="4" t="str">
        <f ca="1">IFERROR(__xludf.DUMMYFUNCTION("GOOGLETRANSLATE(D505,""auto"",""en"")"),"Power monitoring equipment of display screen panel management graphic user interface")</f>
        <v>Power monitoring equipment of display screen panel management graphic user interface</v>
      </c>
    </row>
    <row r="506" spans="1:5" ht="15" x14ac:dyDescent="0.25">
      <c r="A506" s="5" t="s">
        <v>1486</v>
      </c>
      <c r="B506" s="6" t="s">
        <v>1487</v>
      </c>
      <c r="C506" s="3" t="str">
        <f ca="1">IFERROR(__xludf.DUMMYFUNCTION("GOOGLETRANSLATE(B506,""auto"",""en"")"),"1. The name of the product of the design of the product: The data analysis graphic user interface of the display screen panel.
 2. Design products in appearance: used for interaction and display.
 3. Design of the design of the product in appearance: "&amp;"lies in the graphic user interface.
 4. Pictures or photos that can most indicate design points: main view.
 5. There is no design point for other views, omitting other views.
 6. The purpose of graphical user interface: used for system management o"&amp;"f data analysis systems in the Taiwan area.
 7. Human -computer interaction method of graphics user interface: The main view is the main interface of the online management platform of the Taiwan area; by dragging the main view of the scroll bar or rolli"&amp;"ng mouse wheel, etc., as shown in the interface change state ; Click the ""line loss analysis"" option of the left menu bar of the main view or interface change state, jump to the interface change state Figure 2; Intelligent diagnosis ""option, jump to th"&amp;"e interface change state Figure 3; click the"" Taiwan area information ""option in the left menus bar of the main view or interface change status. Tourism interface; click the branch of the interface change state Figure 4, as shown in the interface change"&amp;"s in the state of the interface changes. , Jump to the interface change state Figure 6; click the interface change state Figure 4‑6 ""Smart Diagnosis of the Taiwan District"" module, jump to the interface change state Figure 7.
 8. The displayed carrier"&amp;" equipment for display is the existing design. The display screen panel can be applied to computers, laptops, tablet computers, mobile phones, smartphones, smart glasses, watches, smart watches, fitness monitors, head wearing, head wearing Form headphones"&amp;", personal digital assistants, smart speakers, television, monitor, projector, set -top box, navigator, display device for vehicles.")</f>
        <v>1. The name of the product of the design of the product: The data analysis graphic user interface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graphical user interface: used for system management of data analysis systems in the Taiwan area.
 7. Human -computer interaction method of graphics user interface: The main view is the main interface of the online management platform of the Taiwan area; by dragging the main view of the scroll bar or rolling mouse wheel, etc., as shown in the interface change state ; Click the "line loss analysis" option of the left menu bar of the main view or interface change state, jump to the interface change state Figure 2; Intelligent diagnosis "option, jump to the interface change state Figure 3; click the" Taiwan area information "option in the left menus bar of the main view or interface change status. Tourism interface; click the branch of the interface change state Figure 4, as shown in the interface changes in the state of the interface changes. , Jump to the interface change state Figure 6; click the interface change state Figure 4‑6 "Smart Diagnosis of the Taiwan District" module, jump to the interface change state Figure 7.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6" s="6" t="s">
        <v>1488</v>
      </c>
      <c r="E506" s="4" t="str">
        <f ca="1">IFERROR(__xludf.DUMMYFUNCTION("GOOGLETRANSLATE(D506,""auto"",""en"")"),"Display screen panel data analysis graphical user interface")</f>
        <v>Display screen panel data analysis graphical user interface</v>
      </c>
    </row>
    <row r="507" spans="1:5" ht="15" x14ac:dyDescent="0.25">
      <c r="A507" s="5" t="s">
        <v>1489</v>
      </c>
      <c r="B507" s="6" t="s">
        <v>1490</v>
      </c>
      <c r="C507" s="3" t="str">
        <f ca="1">IFERROR(__xludf.DUMMYFUNCTION("GOOGLETRANSLATE(B507,""auto"",""en"")"),"1. The name of the product of this design product: The desktop area management operation graphic user interface of the display screen panel.
 2. Design products in appearance: used for interaction and display.
 3. Design of the design of the product i"&amp;"n appearance: lies in the graphic user interface.
 4. Pictures or photos that can best show design points: Figure 1 of the interface change state.
 5. There is no design point for other views, omitting other views.
 6. The purpose of graphical user "&amp;"interface: for management of data analysis, device connection and management client operating system in the platform area.
 7. Human -computer interaction method of graphics user interface: The main view is the interface of the data synchronous settings"&amp;", enter the data settings of the total table and household table at the interface, click the ""Next"" button to complete the entire setting wizard, jump to the jump to the entire settings, and jump to the jump to to the entire settings. The interface chan"&amp;"ge state Figure 1 The operation management page of the system unit displayed by the platform, click the interface change state Figure 1 The ""Taiwan area line loss"" option in the left menu bar, jump to the interface change state Figure 2; click the main "&amp;"view or interface change The ""Intelligent Diagnosis"" option in the left menu bar of Status 2, jump to the interface change state Figure 3; click the ""clock super poor"" option in the interface change state, jump to the interface change state Figure 4; "&amp;"click the interface interface; click the interface Change status graph 3 or interface change state Figure 4 option in Figure 4, jump to the interface change state Figure 5; click the arrow icon on the right side of the suspected electric stolen list in th"&amp;"e interface change state. Interface changes status Figure 6; click the ""Taiwan Topology"" option in the left menu bar of the interface in the interface changes. Jump to the interface change state Figure 8; click the ""equipment management"" option of the"&amp;" left menu bar of the interface in the interface change state.
 8. The displayed carrier equipment for display is the existing design. The display screen panel can be applied to computers, laptops, tablet computers, mobile phones, smartphones, smart gla"&amp;"sses, watches, smart watches, fitness monitors, head wearing, head wearing Form headphones, personal digital assistants, smart speakers, television, monitor, projector, set -top box, navigator, display device for vehicles.")</f>
        <v>1. The name of the product of this design product: The desktop area management operation graphic user interface of the display screen panel.
 2. Design products in appearance: used for interaction and display.
 3. Design of the design of the product in appearance: lies in the graphic user interface.
 4. Pictures or photos that can best show design points: Figure 1 of the interface change state.
 5. There is no design point for other views, omitting other views.
 6. The purpose of graphical user interface: for management of data analysis, device connection and management client operating system in the platform area.
 7. Human -computer interaction method of graphics user interface: The main view is the interface of the data synchronous settings, enter the data settings of the total table and household table at the interface, click the "Next" button to complete the entire setting wizard, jump to the jump to the entire settings, and jump to the jump to to the entire settings. The interface change state Figure 1 The operation management page of the system unit displayed by the platform, click the interface change state Figure 1 The "Taiwan area line loss" option in the left menu bar, jump to the interface change state Figure 2; click the main view or interface change The "Intelligent Diagnosis" option in the left menu bar of Status 2, jump to the interface change state Figure 3; click the "clock super poor" option in the interface change state, jump to the interface change state Figure 4; click the interface interface; click the interface Change status graph 3 or interface change state Figure 4 option in Figure 4, jump to the interface change state Figure 5; click the arrow icon on the right side of the suspected electric stolen list in the interface change state. Interface changes status Figure 6; click the "Taiwan Topology" option in the left menu bar of the interface in the interface changes. Jump to the interface change state Figure 8; click the "equipment management" option of the left menu bar of the interface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7" s="6" t="s">
        <v>1491</v>
      </c>
      <c r="E507" s="4" t="str">
        <f ca="1">IFERROR(__xludf.DUMMYFUNCTION("GOOGLETRANSLATE(D507,""auto"",""en"")"),"Management of graphic user interface of the desk area of ​​the display screen panel")</f>
        <v>Management of graphic user interface of the desk area of ​​the display screen panel</v>
      </c>
    </row>
    <row r="508" spans="1:5" ht="15" x14ac:dyDescent="0.25">
      <c r="A508" s="5" t="s">
        <v>1492</v>
      </c>
      <c r="B508" s="6" t="s">
        <v>1493</v>
      </c>
      <c r="C508" s="3" t="str">
        <f ca="1">IFERROR(__xludf.DUMMYFUNCTION("GOOGLETRANSLATE(B508,""auto"",""en"")"),"1. The name of the product of the design of the product: The power surface output of the display screen panel is set to set the graphical user interface.
 2. Design products in appearance: used for interaction and display.
 3. Design of the design of "&amp;"the product in appearance: lies in the graphic user interface.
 4. Pictures or photos that can most indicate design points: main view.
 5. There is no design point for other views, omitting other views.
 6. The purpose of the graphical user interfac"&amp;"e: The operation of the on -site implementation personnel perform the operation of the power meter business parameters.
 7. Human -computer interaction method of graphics user interface: The main view is the main interface of the output settings of the "&amp;"abnormal power meter in the business parameter settings of the smart power meter operation error monitoring module. The interface changes are shown in Figure 1, the upper limit of the pop -up result is set to set the pop -up window; after clicking the che"&amp;"ck box to select the power supply unit, click the ""batch modification"" button in the interface change state. The pop -up of the output upper limit is popped up to set the pop -up window; click on the interface change state Figure 2 The single -selection"&amp;" box in the ""Selected Land City"" in the pop -up window interface, the display interface changes in the state of the interface 3 displayed output output upper limit settings set the pop -up window. The selected area of ​​the city of the city of the city;"&amp;" click the ""OK"" button under the pop -up window interface in the interface change state. Window; click the ""Add Output Strategy"" button at the bottom right of the main screen interface to complete the output strategy settings that will take effect in "&amp;"the future.
 8. The displayed carrier equipment for display is the existing design. The display screen panel can be applied to computers, laptops, tablet computers, mobile phones, smartphones, smart glasses, watches, smart watches, fitness monitors, hea"&amp;"d wearing, head wearing Form headphones, personal digital assistants, smart speakers, television, monitor, projector, set -top box, navigator, display device for vehicles.")</f>
        <v>1. The name of the product of the design of the product: The power surface output of the display screen panel is set to set the graphical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The operation of the on -site implementation personnel perform the operation of the power meter business parameters.
 7. Human -computer interaction method of graphics user interface: The main view is the main interface of the output settings of the abnormal power meter in the business parameter settings of the smart power meter operation error monitoring module. The interface changes are shown in Figure 1, the upper limit of the pop -up result is set to set the pop -up window; after clicking the check box to select the power supply unit, click the "batch modification" button in the interface change state. The pop -up of the output upper limit is popped up to set the pop -up window; click on the interface change state Figure 2 The single -selection box in the "Selected Land City" in the pop -up window interface, the display interface changes in the state of the interface 3 displayed output output upper limit settings set the pop -up window. The selected area of ​​the city of the city of the city; click the "OK" button under the pop -up window interface in the interface change state. Window; click the "Add Output Strategy" button at the bottom right of the main screen interface to complete the output strategy settings that will take effect in the future.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8" s="6" t="s">
        <v>1494</v>
      </c>
      <c r="E508" s="4" t="str">
        <f ca="1">IFERROR(__xludf.DUMMYFUNCTION("GOOGLETRANSLATE(D508,""auto"",""en"")"),"Electric energy meter output settings of the display screen panel set the graphical user interface")</f>
        <v>Electric energy meter output settings of the display screen panel set the graphical user interface</v>
      </c>
    </row>
    <row r="509" spans="1:5" ht="15" x14ac:dyDescent="0.25">
      <c r="A509" s="5" t="s">
        <v>1495</v>
      </c>
      <c r="B509" s="6" t="s">
        <v>1496</v>
      </c>
      <c r="C509" s="3" t="str">
        <f ca="1">IFERROR(__xludf.DUMMYFUNCTION("GOOGLETRANSLATE(B509,""auto"",""en"")"),"1. Design product name: The energy efficiency monitoring system graphical user interface of the display screen panel.
 2. Design products in appearance: used for interaction and display.
 3. Design of the design of the product in appearance: lies in t"&amp;"he graphic user interface.
 4. Pictures or photos that can best show design points: Figure 4 of the interface change state.
 5. There is no design point for other views, omitting other views.
 6. The purpose of graphical user interface: Monitoring o"&amp;"f the operation of photovoltaic power stations.
 7. Human -computer interaction method of graphical user interface: The main view is the main interface of the energy efficiency monitoring system; click the meteorological station icon in the upper right "&amp;"corner of the main screen, as shown in the interface change state. State Figure 1 The ""Trend Analysis"" button below the pop -up window of the meteorological station, as shown in the interface change status. 2 shown in the meteorological data trend analy"&amp;"sis of the pop -up window; As shown in the interface changes, the failure to expose the police clearly pop -up window; click the topology map block in the main view or select the whole station below the selection box to select the ""exchange flow box/inve"&amp;"rter/group string search"", if the interface is the interface Change status Figure 4 The interface displayed in Figure 4; click the wide -screen icon button in the lower right corner of the top touches in the interface change state, as if the wide -screen"&amp;" status interface displayed in the interface changes; A icon button is the management system icon button, jump to the interface changes state. 6 Show of the management system's shutdown analysis interface; click on the interface change status. 6 Below the"&amp;" stop equipment in the statistical list of the stop equipment As shown in the interface change state Figure 7 Show the parking detailed pop -up window of the equipment; click the interface change state Figure 6 The ""configuration center"" option of the l"&amp;"eft menu bar on the left menu bar, jump to the interface change state. The interface change state Figure 8 Configure the ""Intelligent Diagnostic Configuration"" option below the title of the center, as shown in the intelligent diagnostic configuration in"&amp;"terface displayed by the interface change state.
 8. The displayed carrier equipment for display is the existing design. The display screen panel can be applied to computers, laptops, tablet computers, mobile phones, smartphones, smart glasses, watches,"&amp;" smart watches, fitness monitors, head wearing, head wearing Form headphones, personal digital assistants, smart speakers, television, monitor, projector, set -top box, navigator, display device for vehicles.")</f>
        <v>1. Design product name: The energy efficiency monitoring system graphical user interface of the display screen panel.
 2. Design products in appearance: used for interaction and display.
 3. Design of the design of the product in appearance: lies in the graphic user interface.
 4. Pictures or photos that can best show design points: Figure 4 of the interface change state.
 5. There is no design point for other views, omitting other views.
 6. The purpose of graphical user interface: Monitoring of the operation of photovoltaic power stations.
 7. Human -computer interaction method of graphical user interface: The main view is the main interface of the energy efficiency monitoring system; click the meteorological station icon in the upper right corner of the main screen, as shown in the interface change state. State Figure 1 The "Trend Analysis" button below the pop -up window of the meteorological station, as shown in the interface change status. 2 shown in the meteorological data trend analysis of the pop -up window; As shown in the interface changes, the failure to expose the police clearly pop -up window; click the topology map block in the main view or select the whole station below the selection box to select the "exchange flow box/inverter/group string search", if the interface is the interface Change status Figure 4 The interface displayed in Figure 4; click the wide -screen icon button in the lower right corner of the top touches in the interface change state, as if the wide -screen status interface displayed in the interface changes; A icon button is the management system icon button, jump to the interface changes state. 6 Show of the management system's shutdown analysis interface; click on the interface change status. 6 Below the stop equipment in the statistical list of the stop equipment As shown in the interface change state Figure 7 Show the parking detailed pop -up window of the equipment; click the interface change state Figure 6 The "configuration center" option of the left menu bar on the left menu bar, jump to the interface change state. The interface change state Figure 8 Configure the "Intelligent Diagnostic Configuration" option below the title of the center, as shown in the intelligent diagnostic configuration interface displayed by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09" s="6" t="s">
        <v>1497</v>
      </c>
      <c r="E509" s="4" t="str">
        <f ca="1">IFERROR(__xludf.DUMMYFUNCTION("GOOGLETRANSLATE(D509,""auto"",""en"")"),"The energy efficiency monitoring system graphics user interface of the display screen panel")</f>
        <v>The energy efficiency monitoring system graphics user interface of the display screen panel</v>
      </c>
    </row>
    <row r="510" spans="1:5" ht="15" x14ac:dyDescent="0.25">
      <c r="A510" s="5" t="s">
        <v>1498</v>
      </c>
      <c r="B510" s="6" t="s">
        <v>1499</v>
      </c>
      <c r="C510" s="3" t="str">
        <f ca="1">IFERROR(__xludf.DUMMYFUNCTION("GOOGLETRANSLATE(B510,""auto"",""en"")"),"1. The name of the product of the design of the product: The electrical meter monitoring and verifying the graphic user interface of the display screen panel.
 2. Design products in appearance: used for interaction and display.
 3. Design of the desig"&amp;"n of the product in appearance: lies in the graphic user interface.
 4. Pictures or photos that can most indicate design points: main view.
 5. There is no design point for other views, omitting other views.
 6. The purpose of the graphical user int"&amp;"erface: Data simulation verification and sampling operations for data running data run by intelligent power meter are used.
 7. Human -computer interaction method of graphical user interface: The main view is the data simulation of the data simulation o"&amp;"f the data of the intelligent power meter running error monitoring module; click the ""Next"" button at the bottom of the main view interface to jump to the data displayed by the interface changes. Simulation parameter setting interface; click the ""next "&amp;"step"" button below the interface 1 interface to click the ""Next"" button below the interface to jump to the data simulation preview interface displayed by the interface change state. ""The button, as shown in the interface change state, the pop -up hist"&amp;"orical record pop -up window is shown; click the"" Model Verification ""option in the left menus bar in the left menus bar in the interface of the main view or interface changes. The model verification interface displayed by the change status Figure 4; th"&amp;"e file upload area in the interface change state Figure 4 is uploaded by the ""click"" button or drag file to upload the file, and then jump to the interface change state. 5 Interface; click the ""Sample Sample Selection"" option in the left menus bar on "&amp;"the left menu bar of the main view or interface changes in the main view or interface. Interface changes status Figure 6 The setting includes the condition information of the sample samples such as ""manufacturer name"", ""power supply unit"", ""operating"&amp;" years"", ""electrical energy meter batch"", etc. After selecting this information The sampling electric energy displayed by the interface change state shows the detailed interface. The interface change state Figure 8 The test results list interface displ"&amp;"ayed.
 8. The displayed carrier equipment for display is the existing design. The display screen panel can be applied to computers, laptops, tablet computers, mobile phones, smartphones, smart glasses, watches, smart watches, fitness monitors, head wear"&amp;"ing, head wearing Form headphones, personal digital assistants, smart speakers, television, monitor, projector, set -top box, navigator, display device for vehicles.")</f>
        <v>1. The name of the product of the design of the product: The electrical meter monitoring and verifying the graphic user interface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Data simulation verification and sampling operations for data running data run by intelligent power meter are used.
 7. Human -computer interaction method of graphical user interface: The main view is the data simulation of the data simulation of the data of the intelligent power meter running error monitoring module; click the "Next" button at the bottom of the main view interface to jump to the data displayed by the interface changes. Simulation parameter setting interface; click the "next step" button below the interface 1 interface to click the "Next" button below the interface to jump to the data simulation preview interface displayed by the interface change state. "The button, as shown in the interface change state, the pop -up historical record pop -up window is shown; click the" Model Verification "option in the left menus bar in the left menus bar in the interface of the main view or interface changes. The model verification interface displayed by the change status Figure 4; the file upload area in the interface change state Figure 4 is uploaded by the "click" button or drag file to upload the file, and then jump to the interface change state. 5 Interface; click the "Sample Sample Selection" option in the left menus bar on the left menu bar of the main view or interface changes in the main view or interface. Interface changes status Figure 6 The setting includes the condition information of the sample samples such as "manufacturer name", "power supply unit", "operating years", "electrical energy meter batch", etc. After selecting this information The sampling electric energy displayed by the interface change state shows the detailed interface. The interface change state Figure 8 The test results list interface displayed.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0" s="6" t="s">
        <v>1500</v>
      </c>
      <c r="E510" s="4" t="str">
        <f ca="1">IFERROR(__xludf.DUMMYFUNCTION("GOOGLETRANSLATE(D510,""auto"",""en"")"),"Electric energy meter supervision and verification graphic user interface of the display screen panel")</f>
        <v>Electric energy meter supervision and verification graphic user interface of the display screen panel</v>
      </c>
    </row>
    <row r="511" spans="1:5" ht="15" x14ac:dyDescent="0.25">
      <c r="A511" s="5" t="s">
        <v>1501</v>
      </c>
      <c r="B511" s="6" t="s">
        <v>1502</v>
      </c>
      <c r="C511" s="3" t="str">
        <f ca="1">IFERROR(__xludf.DUMMYFUNCTION("GOOGLETRANSLATE(B511,""auto"",""en"")"),"1. The name of the product of the design of the product: The household variant of the display screen panel analyzes the graphic user interface.
 2. Design products in appearance: used for interaction and display.
 3. Design of the design of the produc"&amp;"t in appearance: lies in the graphic user interface.
 4. Pictures or photos that can most indicate design points: main view.
 5. There is no design point for other views, omitting other views.
 6. The purpose of the graphical user interface: used to"&amp;" show the suspicion of the doubtful household change relationship error and it may belong to the Taiwan area.
 7. Human -computer interaction method of graphical user interface: The main view of the main view is the homepage of the analysis of the data "&amp;"analysis of the household variation; through the rolling bar or rolling mouse wheel in the main view, the interface changes The unit household mutation data statistical interface; click the ""Demonstration of Disposter Display Dimination"" option in the m"&amp;"ain screen menu bar to display the changes of the interface. Interface; Rolling bar or rolling mouse wheel in the drag interface change state, as shown in the interface change state and interface change status as shown in the interface changes. The ""Coll"&amp;"ect topology diagnosis"" option in 3 and 4, display the interface change state Figure 6.
 8. The displayed carrier equipment for display is the existing design. The display screen panel can be applied to computers, laptops, tablet computers, mobile phon"&amp;"es, smartphones, smart glasses, watches, smart watches, fitness monitors, head wearing, head wearing Form headphones, personal digital assistants, smart speakers, television, monitor, projector, set -top box, navigator, display device for vehicles.")</f>
        <v>1. The name of the product of the design of the product: The household variant of the display screen panel analyzes the graphic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used to show the suspicion of the doubtful household change relationship error and it may belong to the Taiwan area.
 7. Human -computer interaction method of graphical user interface: The main view of the main view is the homepage of the analysis of the data analysis of the household variation; through the rolling bar or rolling mouse wheel in the main view, the interface changes The unit household mutation data statistical interface; click the "Demonstration of Disposter Display Dimination" option in the main screen menu bar to display the changes of the interface. Interface; Rolling bar or rolling mouse wheel in the drag interface change state, as shown in the interface change state and interface change status as shown in the interface changes. The "Collect topology diagnosis" option in 3 and 4, display the interface change state Figure 6.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1" s="6" t="s">
        <v>1503</v>
      </c>
      <c r="E511" s="4" t="str">
        <f ca="1">IFERROR(__xludf.DUMMYFUNCTION("GOOGLETRANSLATE(D511,""auto"",""en"")"),"Analysis of graphic user interface of the household variable variation of the display screen panel")</f>
        <v>Analysis of graphic user interface of the household variable variation of the display screen panel</v>
      </c>
    </row>
    <row r="512" spans="1:5" ht="15" x14ac:dyDescent="0.25">
      <c r="A512" s="5" t="s">
        <v>1504</v>
      </c>
      <c r="B512" s="6" t="s">
        <v>1505</v>
      </c>
      <c r="C512" s="3" t="str">
        <f ca="1">IFERROR(__xludf.DUMMYFUNCTION("GOOGLETRANSLATE(B512,""auto"",""en"")"),"1. The name of the product in appearance: Manage graphic user interface for the protection area of ​​the display screen panel.
 2. Design products in appearance: used for interaction and display.
 3. Design of the design of the product in appearance: "&amp;"lies in the graphic user interface.
 4. Pictures or photos that can most indicate design points: main view.
 5. There is no design point for other views, omitting other views.
 6. The purpose of graphical user interface: For information management o"&amp;"f security platform system protection areas.
 7. Human -computer interaction method of graphics user interface: The main view is the main interface of the status of the safe platform system protection area; click the ""terminal zone"" card in the main v"&amp;"iew, and then jump to the interface change state. Configuration interface; click the ""Zone3"" card in the main view, and jump to the detailed configuration interface displayed in the protected area displayed in the interface change state; click the ""def"&amp;"ault permissions"" drop box in the interface change state. Figure 3 The default permissions of the pop -up protection area shows the pop -up window; in the interface change state Figure 2 Check the ""Set as the terminal zone"" check box, as shown in the i"&amp;"nterface change state Figure 4 Window; click the ""user"" drop -down box in the interface change state, as shown in the interface change state as shown in the interface changes. , As shown in the interface changes, the pop -up window shows the pop -up sta"&amp;"te state.
 8. The displayed carrier equipment for display is the existing design. The display screen panel can be applied to computers, laptops, tablet computers, mobile phones, smartphones, smart glasses, watches, smart watches, fitness monitors, head "&amp;"wearing, head wearing Form headphones, personal digital assistants, smart speakers, television, monitor, projector, set -top box, navigator, display device for vehicles.")</f>
        <v>1. The name of the product in appearance: Manage graphic user interface for the protection area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graphical user interface: For information management of security platform system protection areas.
 7. Human -computer interaction method of graphics user interface: The main view is the main interface of the status of the safe platform system protection area; click the "terminal zone" card in the main view, and then jump to the interface change state. Configuration interface; click the "Zone3" card in the main view, and jump to the detailed configuration interface displayed in the protected area displayed in the interface change state; click the "default permissions" drop box in the interface change state. Figure 3 The default permissions of the pop -up protection area shows the pop -up window; in the interface change state Figure 2 Check the "Set as the terminal zone" check box, as shown in the interface change state Figure 4 Window; click the "user" drop -down box in the interface change state, as shown in the interface change state as shown in the interface changes. , As shown in the interface changes, the pop -up window shows the pop -up state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2" s="6" t="s">
        <v>1506</v>
      </c>
      <c r="E512" s="4" t="str">
        <f ca="1">IFERROR(__xludf.DUMMYFUNCTION("GOOGLETRANSLATE(D512,""auto"",""en"")"),"Management graphic user interface for the protection area of ​​display screen panel")</f>
        <v>Management graphic user interface for the protection area of ​​display screen panel</v>
      </c>
    </row>
    <row r="513" spans="1:5" ht="15" x14ac:dyDescent="0.25">
      <c r="A513" s="5" t="s">
        <v>1507</v>
      </c>
      <c r="B513" s="6" t="s">
        <v>1508</v>
      </c>
      <c r="C513" s="3" t="str">
        <f ca="1">IFERROR(__xludf.DUMMYFUNCTION("GOOGLETRANSLATE(B513,""auto"",""en"")"),"1. Design product name: Analysis of the user interface of the user activity analysis of the display screen panel.
 2. Design products in appearance: used for interaction and display.
 3. Design of the design of the product in appearance: lies in the g"&amp;"raphic user interface.
 4. Pictures or photos that can most indicate design points: main view.
 5. There is no design point for other views, omitting other views.
 6. The purpose of the graphical user interface: The statistical dimension setting and"&amp;" results display for the analysis of user activity analysis of the security platform system.
 7. Human -computer interaction method of graphical user interface: The main view is the main interface of the user activity analysis of the security platform s"&amp;"ystem; by dragging the main view of the rolling bar or the rolling mouse wheel, the interface changes are displayed. Activity analysis results; click the ""Data range filter"" button of the main view or interface change state. The active definition button"&amp;" under the setting option, as shown in the interface change state Figure 3, the pop -up definition of the population settings pop -up window; click the display chart setting button in the ""Settings"" option of the main view or interface change state. The"&amp;" interface changes state Figure 4 The pop -up display of the pop -up show is set to set the pop -up window; click the ""More"" guide button on the right side of the ""full time access to the desktop active top10"" module in the main view, as shown in the "&amp;"interface change state diagram 5 shown in full time active active period is active. State ranking pop -up window; click the ""All User"" guide buttons on the right side of the user's active state analysis module in the main view, jump to all user active s"&amp;"tatus interface displayed by the interface change state; Any icon of the ""Details"" column on the right side of the list, as shown in the interface change state, as shown in the active details of the selected user, click on the interface change state Fig"&amp;"ure 1 The ""all desktop"" on the right side of the desktop analysis module in the desktop 1 Guide button, jump to all desktop active status interface displayed by the interface change state; click on the desktop activity list in the desktop activity list "&amp;"on the right side of the ""Details"" column in the desktop activity list in the interface. Show the active details of the selected desktop pop -up window.
 8. The displayed carrier equipment for display is the existing design. The display screen panel c"&amp;"an be applied to computers, laptops, tablet computers, mobile phones, smartphones, smart glasses, watches, smart watches, fitness monitors, head wearing, head wearing Form headphones, personal digital assistants, smart speakers, television, monitor, proje"&amp;"ctor, set -top box, navigator, display device for vehicles.")</f>
        <v>1. Design product name: Analysis of the user interface of the user activity analysis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The statistical dimension setting and results display for the analysis of user activity analysis of the security platform system.
 7. Human -computer interaction method of graphical user interface: The main view is the main interface of the user activity analysis of the security platform system; by dragging the main view of the rolling bar or the rolling mouse wheel, the interface changes are displayed. Activity analysis results; click the "Data range filter" button of the main view or interface change state. The active definition button under the setting option, as shown in the interface change state Figure 3, the pop -up definition of the population settings pop -up window; click the display chart setting button in the "Settings" option of the main view or interface change state. The interface changes state Figure 4 The pop -up display of the pop -up show is set to set the pop -up window; click the "More" guide button on the right side of the "full time access to the desktop active top10" module in the main view, as shown in the interface change state diagram 5 shown in full time active active period is active. State ranking pop -up window; click the "All User" guide buttons on the right side of the user's active state analysis module in the main view, jump to all user active status interface displayed by the interface change state; Any icon of the "Details" column on the right side of the list, as shown in the interface change state, as shown in the active details of the selected user, click on the interface change state Figure 1 The "all desktop" on the right side of the desktop analysis module in the desktop 1 Guide button, jump to all desktop active status interface displayed by the interface change state; click on the desktop activity list in the desktop activity list on the right side of the "Details" column in the desktop activity list in the interface. Show the active details of the selected desktop pop -up window.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3" s="6" t="s">
        <v>1509</v>
      </c>
      <c r="E513" s="4" t="str">
        <f ca="1">IFERROR(__xludf.DUMMYFUNCTION("GOOGLETRANSLATE(D513,""auto"",""en"")"),"User activity analysis graphic user interface of display screen panel")</f>
        <v>User activity analysis graphic user interface of display screen panel</v>
      </c>
    </row>
    <row r="514" spans="1:5" ht="15" x14ac:dyDescent="0.25">
      <c r="A514" s="5" t="s">
        <v>1510</v>
      </c>
      <c r="B514" s="6" t="s">
        <v>1511</v>
      </c>
      <c r="C514" s="3" t="str">
        <f ca="1">IFERROR(__xludf.DUMMYFUNCTION("GOOGLETRANSLATE(B514,""auto"",""en"")"),"1. Design product name: Power supply monitoring graphic user interface on the display screen panel.
 2. Design products in appearance: used for interaction and display.
 3. Design of the design of the product in appearance: lies in the graphic user in"&amp;"terface.
 4. Pictures or photos that can best show design points: Figure 1 of the interface change state.
 5. There is no design point for other views, omitting other views.
 6. The purpose of graphical user interface: Used for power supply monitori"&amp;"ng of power distribution cabinets in the venue.
 7. Human -computer interaction method of graphics user interface: The main view is the main interface of the power supply monitoring of the venue; click on the card where the power distribution cabinet is"&amp;" located in the distribution cabinet list in the main view interface, and jump to the interface change state. Select the information details interface of the power distribution cabinet; the interface of the state change state by sliding up the interface o"&amp;"f the interface, as shown in the interface change state Figure 2, the continuous display power distribution cabinet information details interface; click on the interface change state. The icon button, as shown in the interface changes, the amplifying stat"&amp;"e interface of the current curve displayed by the interface; click the ""Alert"" button below the main view interface to jump to the interface of different positions in the interface change state. The interface change state Figure 4 The card in the distri"&amp;"bution cabinet list in the interface in the interface, jump to the alarm information interface of the selected power distribution cabinet displayed in the interface change state.
 8. The displayed carrier equipment for display is the existing design. Th"&amp;"e display screen panel can be applied to computers, laptops, tablet computers, mobile phones, smartphones, smart glasses, watches, smart watches, fitness monitors, head wearing, head wearing Form headphones, personal digital assistants, smart speakers, te"&amp;"levision, monitor, projector, set -top box, navigator, display device for vehicles.")</f>
        <v>1. Design product name: Power supply monitoring graphic user interface on the display screen panel.
 2. Design products in appearance: used for interaction and display.
 3. Design of the design of the product in appearance: lies in the graphic user interface.
 4. Pictures or photos that can best show design points: Figure 1 of the interface change state.
 5. There is no design point for other views, omitting other views.
 6. The purpose of graphical user interface: Used for power supply monitoring of power distribution cabinets in the venue.
 7. Human -computer interaction method of graphics user interface: The main view is the main interface of the power supply monitoring of the venue; click on the card where the power distribution cabinet is located in the distribution cabinet list in the main view interface, and jump to the interface change state. Select the information details interface of the power distribution cabinet; the interface of the state change state by sliding up the interface of the interface, as shown in the interface change state Figure 2, the continuous display power distribution cabinet information details interface; click on the interface change state. The icon button, as shown in the interface changes, the amplifying state interface of the current curve displayed by the interface; click the "Alert" button below the main view interface to jump to the interface of different positions in the interface change state. The interface change state Figure 4 The card in the distribution cabinet list in the interface in the interface, jump to the alarm information interface of the selected power distribution cabinet displayed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4" s="6" t="s">
        <v>1512</v>
      </c>
      <c r="E514" s="4" t="str">
        <f ca="1">IFERROR(__xludf.DUMMYFUNCTION("GOOGLETRANSLATE(D514,""auto"",""en"")"),"Power supply monitoring graphic user interface of display screen panels")</f>
        <v>Power supply monitoring graphic user interface of display screen panels</v>
      </c>
    </row>
    <row r="515" spans="1:5" ht="15" x14ac:dyDescent="0.25">
      <c r="A515" s="5" t="s">
        <v>1513</v>
      </c>
      <c r="B515" s="6" t="s">
        <v>1514</v>
      </c>
      <c r="C515" s="3" t="str">
        <f ca="1">IFERROR(__xludf.DUMMYFUNCTION("GOOGLETRANSLATE(B515,""auto"",""en"")"),"1. Design product name: Charging monitoring management graphic user interface of the display screen panel.
 2. Design products in appearance: used for interaction and display.
 3. Design of the design of the product in appearance: lies in the graphic "&amp;"user interface.
 4. Pictures or photos that can best show design points: Figure 3 of the interface change state.
 5. There is no design point for other views, omitting other views.
 6. The purpose of the graphical user interface: used to monitor the"&amp;" abnormal power consumption of the equipment and the management of the electric vehicle charging operating system.
 7. Human -computer interaction method of graphical user interface: The main view is the homepage of the electric vehicle charging monitor"&amp;"ing system; click the ""device distribution"" module at the bottom of the main view page, jump to the device distribution state interface displayed by the interface change state. Click the interface change state Figure 1 The list icon button on the right "&amp;"side, jump to the interface change state Figure 2 Statistical number of the equipment within the selected range; click on the interface change state And click on a certain community in the area, as shown in the interface changes, show the distribution of "&amp;"the equipment in the community; click the ""historical monitoring"" module below the main view, jump to the interface change state. Record the situation interface; click the ""My"" module under the main view to jump to the user information interface displ"&amp;"ayed by the interface change state. Select the corresponding monitoring equipment and jump to the device management details interface shown in the interface change state.
 8. The displayed carrier equipment for display is the existing design. The displa"&amp;"y screen panel can be applied to computers, laptops, tablet computers, mobile phones, smartphones, smart glasses, watches, smart watches, fitness monitors, head wearing, head wearing Form headphones, personal digital assistants, smart speakers, television"&amp;", monitor, projector, set -top box, navigator, display device for vehicles.")</f>
        <v>1. Design product name: Charging monitoring management graphic user interface of the display screen panel.
 2. Design products in appearance: used for interaction and display.
 3. Design of the design of the product in appearance: lies in the graphic user interface.
 4. Pictures or photos that can best show design points: Figure 3 of the interface change state.
 5. There is no design point for other views, omitting other views.
 6. The purpose of the graphical user interface: used to monitor the abnormal power consumption of the equipment and the management of the electric vehicle charging operating system.
 7. Human -computer interaction method of graphical user interface: The main view is the homepage of the electric vehicle charging monitoring system; click the "device distribution" module at the bottom of the main view page, jump to the device distribution state interface displayed by the interface change state. Click the interface change state Figure 1 The list icon button on the right side, jump to the interface change state Figure 2 Statistical number of the equipment within the selected range; click on the interface change state And click on a certain community in the area, as shown in the interface changes, show the distribution of the equipment in the community; click the "historical monitoring" module below the main view, jump to the interface change state. Record the situation interface; click the "My" module under the main view to jump to the user information interface displayed by the interface change state. Select the corresponding monitoring equipment and jump to the device management details interface shown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5" s="6" t="s">
        <v>1515</v>
      </c>
      <c r="E515" s="4" t="str">
        <f ca="1">IFERROR(__xludf.DUMMYFUNCTION("GOOGLETRANSLATE(D515,""auto"",""en"")"),"Charging monitoring management graphic user interface of display screen panel")</f>
        <v>Charging monitoring management graphic user interface of display screen panel</v>
      </c>
    </row>
    <row r="516" spans="1:5" ht="15" x14ac:dyDescent="0.25">
      <c r="A516" s="5" t="s">
        <v>1516</v>
      </c>
      <c r="B516" s="6" t="s">
        <v>1517</v>
      </c>
      <c r="C516" s="3" t="str">
        <f ca="1">IFERROR(__xludf.DUMMYFUNCTION("GOOGLETRANSLATE(B516,""auto"",""en"")"),"1. The name of the product of the design of the product: The power meter test cycle of the display screen panel is adjusted to adjust the graphic user interface.
 2. Design products in appearance: used for interaction and display.
 3. Design of the de"&amp;"sign of the product in appearance: lies in the graphic user interface.
 4. Pictures or photos that can best show design points: Figure 1 of the interface change state.
 5. There is no design point for other views, omitting other views.
 6. The purpo"&amp;"se of the graphical user interface: It is used to apply for all the processes of the qualified intelligent power meter application to extend the verification cycle.
 7. Human -computer interaction method of graphical user interface: The main view is the"&amp;" main interface of the electrical table of the electrical table of the electrical table in which it is intended to adjust the verification cycle. Change status Figure 1 The electrical table application details interface displayed; click the ""Organization"&amp;" Summary"" option in the menu bar on the left menu bar of the main view to display the interface of the organization summary list displayed in the display status 2; After adjusting the pilot cycle of the electrical table, click the ""Organization Summary"&amp;""" button in the interface changes. 2, as shown in the interface change state, the pop -up window of the preview information of the organization's summary; The ""Next Step"" button at the bottom right of the pop -up window will jump to the pop -up window "&amp;"interface confirmed by the summary table displayed in the interface change state; Options, expand options that include ""Extreme Quality Level Judgment"" and ""Examination Conclusion Report"". Click the ""Verification Conclusion Report"" option to display"&amp;" the detailed information interface of the test conclusion report displayed in the interface changes. 5.
 8. The displayed carrier equipment for display is the existing design. The display screen panel can be applied to computers, laptops, tablet comput"&amp;"ers, mobile phones, smartphones, smart glasses, watches, smart watches, fitness monitors, head wearing, head wearing Form headphones, personal digital assistants, smart speakers, television, monitor, projector, set -top box, navigator, display device for "&amp;"vehicles.")</f>
        <v>1. The name of the product of the design of the product: The power meter test cycle of the display screen panel is adjusted to adjust the graphic user interface.
 2. Design products in appearance: used for interaction and display.
 3. Design of the design of the product in appearance: lies in the graphic user interface.
 4. Pictures or photos that can best show design points: Figure 1 of the interface change state.
 5. There is no design point for other views, omitting other views.
 6. The purpose of the graphical user interface: It is used to apply for all the processes of the qualified intelligent power meter application to extend the verification cycle.
 7. Human -computer interaction method of graphical user interface: The main view is the main interface of the electrical table of the electrical table of the electrical table in which it is intended to adjust the verification cycle. Change status Figure 1 The electrical table application details interface displayed; click the "Organization Summary" option in the menu bar on the left menu bar of the main view to display the interface of the organization summary list displayed in the display status 2; After adjusting the pilot cycle of the electrical table, click the "Organization Summary" button in the interface changes. 2, as shown in the interface change state, the pop -up window of the preview information of the organization's summary; The "Next Step" button at the bottom right of the pop -up window will jump to the pop -up window interface confirmed by the summary table displayed in the interface change state; Options, expand options that include "Extreme Quality Level Judgment" and "Examination Conclusion Report". Click the "Verification Conclusion Report" option to display the detailed information interface of the test conclusion report displayed in the interface changes. 5.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6" s="6" t="s">
        <v>1518</v>
      </c>
      <c r="E516" s="4" t="str">
        <f ca="1">IFERROR(__xludf.DUMMYFUNCTION("GOOGLETRANSLATE(D516,""auto"",""en"")"),"The electrical energy meter test cycle of the display screen panel adjust the graphic user interface")</f>
        <v>The electrical energy meter test cycle of the display screen panel adjust the graphic user interface</v>
      </c>
    </row>
    <row r="517" spans="1:5" ht="15" x14ac:dyDescent="0.25">
      <c r="A517" s="5" t="s">
        <v>1519</v>
      </c>
      <c r="B517" s="6" t="s">
        <v>1520</v>
      </c>
      <c r="C517" s="3" t="str">
        <f ca="1">IFERROR(__xludf.DUMMYFUNCTION("GOOGLETRANSLATE(B517,""auto"",""en"")"),"1. The name of the product of the product: The data of the display screen panel deepen the analysis of the graphic user interface.
 2. Design products in appearance: used for interaction and display.
 3. Design of the design of the product in appearan"&amp;"ce: lies in the graphic user interface.
 4. Pictures or photos that can most indicate design points: main view.
 5. There is no design point for other views, omitting other views.
 6. The purpose of graphical user interface: for display and analysis"&amp;" and management of power data information.
 7. Human -computer interaction method of graphics user interface: The main view is the main interface of the data general viewing of the module monitoring module of the power meter; through the rolling bar or "&amp;"rolling mouse wheel in the main view Continuously display the data interface of the power meter; click the ""Analysis Result Statistics"" option in the menu bar in the menu bar in the main view or interface change state, jump to the interface change state"&amp;" figure 2; If you put away the icon, the interface change state Figure 3 Set up the statistical results analysis chart bar; click on the main view to the interface change state. Figure 3 in any interface menu bar, jump to the interface changes Status Figu"&amp;"re 4; click the interface change Status. Figure 4 Corporation of the ""Number of abnormal tables"" in the Statistical Table of the Electric Power Table in the Based Watch Bar in the Watch Bar in the Watch Bar in the Green Folding icon of the Green in the "&amp;"Watch Barn in the Watch Piece of the Watch Watch, which is in the colors of color such as in the watchbar of the watchbar of the table. Change status Figure 4 The ""Electrical Energy Display Fine"" watchbar in the Statistical Table of the Electric Power T"&amp;"able 4 in the Statistical Table of the Statistics Form in the Corporation of Electric Tables, the green jump arrow icon in the green table bar, as shown in the interface change state, the pop -up prompt window; click the main view to the interface change "&amp;"status diagram 4 in the ""Electricity Display Dimination"" option in any interface or the ""jump"" button in the state of the interface change state, jump to the interface change state diagram 7; The ""Data Quality Governance"" option in any interface in "&amp;"Figure 7, jump to the interface change state Figure 8; click the main view to the interface change state diagram. 4. Configure the ""option, jump to the interface change state figure 9; click the"" Add calculation range ""button in the interface change st"&amp;"ate. The ""data range"" selector in Figure 10 is shown in the interface change state.
 8. The displayed carrier equipment for display is the existing design. The display screen panel can be applied to computers, laptops, tablet computers, mobile phones,"&amp;" smartphones, smart glasses, watches, smart watches, fitness monitors, head wearing, head wearing Form headphones, personal digital assistants, smart speakers, television, monitor, projector, set -top box, navigator, display device for vehicles.")</f>
        <v>1. The name of the product of the product: The data of the display screen panel deepen the analysis of the graphic user interface.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graphical user interface: for display and analysis and management of power data information.
 7. Human -computer interaction method of graphics user interface: The main view is the main interface of the data general viewing of the module monitoring module of the power meter; through the rolling bar or rolling mouse wheel in the main view Continuously display the data interface of the power meter; click the "Analysis Result Statistics" option in the menu bar in the menu bar in the main view or interface change state, jump to the interface change state figure 2; If you put away the icon, the interface change state Figure 3 Set up the statistical results analysis chart bar; click on the main view to the interface change state. Figure 3 in any interface menu bar, jump to the interface changes Status Figure 4; click the interface change Status. Figure 4 Corporation of the "Number of abnormal tables" in the Statistical Table of the Electric Power Table in the Based Watch Bar in the Watch Bar in the Watch Bar in the Green Folding icon of the Green in the Watch Barn in the Watch Piece of the Watch Watch, which is in the colors of color such as in the watchbar of the watchbar of the table. Change status Figure 4 The "Electrical Energy Display Fine" watchbar in the Statistical Table of the Electric Power Table 4 in the Statistical Table of the Statistics Form in the Corporation of Electric Tables, the green jump arrow icon in the green table bar, as shown in the interface change state, the pop -up prompt window; click the main view to the interface change status diagram 4 in the "Electricity Display Dimination" option in any interface or the "jump" button in the state of the interface change state, jump to the interface change state diagram 7; The "Data Quality Governance" option in any interface in Figure 7, jump to the interface change state Figure 8; click the main view to the interface change state diagram. 4. Configure the "option, jump to the interface change state figure 9; click the" Add calculation range "button in the interface change state. The "data range" selector in Figure 10 is shown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7" s="6" t="s">
        <v>1521</v>
      </c>
      <c r="E517" s="4" t="str">
        <f ca="1">IFERROR(__xludf.DUMMYFUNCTION("GOOGLETRANSLATE(D517,""auto"",""en"")"),"Data of the display screen panel deepen the analysis of graphical user interface")</f>
        <v>Data of the display screen panel deepen the analysis of graphical user interface</v>
      </c>
    </row>
    <row r="518" spans="1:5" ht="15" x14ac:dyDescent="0.25">
      <c r="A518" s="5" t="s">
        <v>1522</v>
      </c>
      <c r="B518" s="6" t="s">
        <v>1523</v>
      </c>
      <c r="C518" s="3" t="str">
        <f ca="1">IFERROR(__xludf.DUMMYFUNCTION("GOOGLETRANSLATE(B518,""auto"",""en"")"),"1. The name of the product of the design of the product: The environmental protection power monitoring graphic user interface of the display screen panel.
 2. Design products in appearance: used for interaction and display.
 3. Design of the design of"&amp;" the product in appearance: lies in the graphic user interface.
 4. Pictures or photos that can most indicate design points: main view.
 5. There is no design point for other views, omitting other views.
 6. The purpose of the graphical user interfa"&amp;"ce: for approval of the abnormal situation of the monitoring and monitoring points of environmental protection and electricity.
 7. Human -computer interaction method of graphics user interface: The main view is the main interface of environmental prote"&amp;"ction and electricity monitoring; click the magnifying icon button in the upper right corner of the ""Enterprise Enterprise Curve"" in the main view interface, as shown in the state of the interface changes. Use the load curve of the electric curve to amp"&amp;"lify the state interface; click the ""review"" button in the main view interface, and click the left check box to select the monitoring point. Interface; click the ""Audit"" button in the main view interface, click the ""Review"" option, jump to the inter"&amp;"face change status of the interface, the existing review monitoring point list interface displayed. The option button in the status ""Option button to screen the monitoring point status; click the interface change status. Figure 3 List. 3 List of the moni"&amp;"toring point of the state, jump to the interface change state of the governance facility detail interface; 4 The interface, as shown in the interface changes in the interface changes, the details interface of the continuous display of the continuous displ"&amp;"ay; the interface 5 interface of the interface of the interface is changed by sliding up the interface in the upward interface.
 8. The displayed carrier equipment for display is the existing design. The display screen panel can be applied to computers,"&amp;" laptops, tablet computers, mobile phones, smartphones, smart glasses, watches, smart watches, fitness monitors, head wearing, head wearing Form headphones, personal digital assistants, smart speakers, television, monitor, projector, set -top box, navigat"&amp;"or, display device for vehicles.")</f>
        <v>1. The name of the product of the design of the product: The environmental protection power monitoring graphic user interface of the display screen panel.
 2. Design products in appearance: used for interaction and display.
 3. Design of the design of the product in appearance: lies in the graphic user interface.
 4. Pictures or photos that can most indicate design points: main view.
 5. There is no design point for other views, omitting other views.
 6. The purpose of the graphical user interface: for approval of the abnormal situation of the monitoring and monitoring points of environmental protection and electricity.
 7. Human -computer interaction method of graphics user interface: The main view is the main interface of environmental protection and electricity monitoring; click the magnifying icon button in the upper right corner of the "Enterprise Enterprise Curve" in the main view interface, as shown in the state of the interface changes. Use the load curve of the electric curve to amplify the state interface; click the "review" button in the main view interface, and click the left check box to select the monitoring point. Interface; click the "Audit" button in the main view interface, click the "Review" option, jump to the interface change status of the interface, the existing review monitoring point list interface displayed. The option button in the status "Option button to screen the monitoring point status; click the interface change status. Figure 3 List. 3 List of the monitoring point of the state, jump to the interface change state of the governance facility detail interface; 4 The interface, as shown in the interface changes in the interface changes, the details interface of the continuous display of the continuous display; the interface 5 interface of the interface of the interface is changed by sliding up the interface in the upward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18" s="6" t="s">
        <v>1524</v>
      </c>
      <c r="E518" s="4" t="str">
        <f ca="1">IFERROR(__xludf.DUMMYFUNCTION("GOOGLETRANSLATE(D518,""auto"",""en"")"),"Environmental protection electricity monitoring graphic user interface of display screen panel")</f>
        <v>Environmental protection electricity monitoring graphic user interface of display screen panel</v>
      </c>
    </row>
    <row r="519" spans="1:5" ht="15" x14ac:dyDescent="0.25">
      <c r="A519" s="5" t="s">
        <v>1525</v>
      </c>
      <c r="B519" s="6" t="s">
        <v>1526</v>
      </c>
      <c r="C519" s="3" t="str">
        <f ca="1">IFERROR(__xludf.DUMMYFUNCTION("GOOGLETRANSLATE(B519,""auto"",""en"")"),"The present invention has disclosed the equipment and its preparation methods and applications of motion behavior analysis, voice recognition and sweat component detection. The present invention prepares hydrogels modified by conductive materials (RGO, PG"&amp;") and hydrogels modified by Lumino. As the main component of the motion monitoring unit, RGO hydrogel realizes the evaluation of running steaming and motion duration, while collecting storage sweat. Subsequently, the bipolar electrodes were formed with th"&amp;"e healing of the Romino hydrogel, which constituted the sweat component detection unit, and realized the detection of urea, lactic acid and chloride in the sweat. With the excellent stretching, adhesive and strain sensing performance of hydrogel, as well "&amp;"as the advantages of high sensitivity, stability, and accuracy of bipolar electrochemical lighting sensing platforms, this device can provide physical movement behavior and sweat sweat Double sensor analysis of biochemical indicators. The invention also e"&amp;"xplored the application of PG hydrogel in the field of voice recognition, and verified the performance of the multi -functional hydrogel.")</f>
        <v>The present invention has disclosed the equipment and its preparation methods and applications of motion behavior analysis, voice recognition and sweat component detection. The present invention prepares hydrogels modified by conductive materials (RGO, PG) and hydrogels modified by Lumino. As the main component of the motion monitoring unit, RGO hydrogel realizes the evaluation of running steaming and motion duration, while collecting storage sweat. Subsequently, the bipolar electrodes were formed with the healing of the Romino hydrogel, which constituted the sweat component detection unit, and realized the detection of urea, lactic acid and chloride in the sweat. With the excellent stretching, adhesive and strain sensing performance of hydrogel, as well as the advantages of high sensitivity, stability, and accuracy of bipolar electrochemical lighting sensing platforms, this device can provide physical movement behavior and sweat sweat Double sensor analysis of biochemical indicators. The invention also explored the application of PG hydrogel in the field of voice recognition, and verified the performance of the multi -functional hydrogel.</v>
      </c>
      <c r="D519" s="6" t="s">
        <v>1527</v>
      </c>
      <c r="E519" s="4" t="str">
        <f ca="1">IFERROR(__xludf.DUMMYFUNCTION("GOOGLETRANSLATE(D519,""auto"",""en"")"),"A equipment and its preparation methods and applications that analyze the amplitude of motion, voice recognition and detection of sweat ingredients of sports")</f>
        <v>A equipment and its preparation methods and applications that analyze the amplitude of motion, voice recognition and detection of sweat ingredients of sports</v>
      </c>
    </row>
    <row r="520" spans="1:5" ht="15" x14ac:dyDescent="0.25">
      <c r="A520" s="5" t="s">
        <v>1528</v>
      </c>
      <c r="B520" s="6" t="s">
        <v>1529</v>
      </c>
      <c r="C520" s="3" t="str">
        <f ca="1">IFERROR(__xludf.DUMMYFUNCTION("GOOGLETRANSLATE(B520,""auto"",""en"")"),"1. The name of the product in this appearance: Select the display screen panel with a smart scene to select the graphical user interface. 2. Design products in appearance: It is used to display human -machine interaction interfaces and for user touch. Sco"&amp;"pe of display screen panels: for desktop computers, smartphones, tablets, touch all -in -one machines, laptops, vehicle touch screen computers, smart home management robots, smart watches, fitness monitor, headset headphones, smart speakers, smart speaker"&amp;"s , Bring screen set -top box, smart TV, projection equipment, laser TV. 3. Design of the design of the product in appearance: lies in the graphic user interface. 4. Pictures or photos that can most indicate design points: main view. 5. The purpose of gra"&amp;"phical user interface: Graphic user interface is used for users to understand and set smart scenarios. In the main vision interface, through any operation of the remote control/sliding/gesture, the rounded rectangle selected the ""Good Morning"" button at"&amp;" the bottom of the interface to enter the interface of the change state graph 1. In the changing state Figure 1, through any operation of the remote control/sliding/gesture, select the ""sleep aid"" button at the bottom of the interface to enter the inter"&amp;"face of the changing state at the bottom of the interface. After clicking the ""Sleeping"" button in the changing state Figure 2 interface, enter the interface of the change state Figure 3. In the change state Figure 2 interface, the ""meditation"" button"&amp;" at the bottom of the interface will enter the ""meditation"" button at the bottom of the interface to enter the interface of the change state Figure 4. After clicking the ""Meditation"" button in the change state Figure 4 interface, enter the interface o"&amp;"f the change state Figure 5. In the changing state Figure 4 interface, the ""surprise"" button at the bottom of the interface will enter the ""surprise"" button at the bottom of the interface to enter the interface of the change state Figure 6. Click the "&amp;"""Atmospheric Photography"" button on the top of the interface of the main view interface to enter the interface of the changing state Figure 7. Click the ""time album"" button on the top of the interface of the main view interface to enter the interface "&amp;"of the change state Figure 8. Click on the ""Magic Universe"" button on the top of the interface of the main vision interface to enter the interface of the change state Figure 9. 6. No design points, omittime, left view, left view, right view, downward vi"&amp;"ew, and view view.")</f>
        <v>1. The name of the product in this appearance: Select the display screen panel with a smart scene to select the graphical user interface. 2. Design products in appearance: It is used to display human -machine interaction interfaces and for user touch. Scope of display screen panels: for desktop computers, smartphones, tablets, touch all -in -one machines, laptops, vehicle touch screen computers, smart home management robots, smart watches, fitness monitor, headset headphones, smart speakers, smart speakers , Bring screen set -top box, smart TV, projection equipment, laser TV. 3. Design of the design of the product in appearance: lies in the graphic user interface. 4. Pictures or photos that can most indicate design points: main view. 5. The purpose of graphical user interface: Graphic user interface is used for users to understand and set smart scenarios. In the main vision interface, through any operation of the remote control/sliding/gesture, the rounded rectangle selected the "Good Morning" button at the bottom of the interface to enter the interface of the change state graph 1. In the changing state Figure 1, through any operation of the remote control/sliding/gesture, select the "sleep aid" button at the bottom of the interface to enter the interface of the changing state at the bottom of the interface. After clicking the "Sleeping" button in the changing state Figure 2 interface, enter the interface of the change state Figure 3. In the change state Figure 2 interface, the "meditation" button at the bottom of the interface will enter the "meditation" button at the bottom of the interface to enter the interface of the change state Figure 4. After clicking the "Meditation" button in the change state Figure 4 interface, enter the interface of the change state Figure 5. In the changing state Figure 4 interface, the "surprise" button at the bottom of the interface will enter the "surprise" button at the bottom of the interface to enter the interface of the change state Figure 6. Click the "Atmospheric Photography" button on the top of the interface of the main view interface to enter the interface of the changing state Figure 7. Click the "time album" button on the top of the interface of the main view interface to enter the interface of the change state Figure 8. Click on the "Magic Universe" button on the top of the interface of the main vision interface to enter the interface of the change state Figure 9. 6. No design points, omittime, left view, left view, right view, downward view, and view view.</v>
      </c>
      <c r="D520" s="6" t="s">
        <v>1530</v>
      </c>
      <c r="E520" s="4" t="str">
        <f ca="1">IFERROR(__xludf.DUMMYFUNCTION("GOOGLETRANSLATE(D520,""auto"",""en"")"),"Select the display screen panel with a smart scene to select the graphical user interface")</f>
        <v>Select the display screen panel with a smart scene to select the graphical user interface</v>
      </c>
    </row>
    <row r="521" spans="1:5" ht="15" x14ac:dyDescent="0.25">
      <c r="A521" s="5" t="s">
        <v>1531</v>
      </c>
      <c r="B521" s="6" t="s">
        <v>1532</v>
      </c>
      <c r="C521" s="3" t="str">
        <f ca="1">IFERROR(__xludf.DUMMYFUNCTION("GOOGLETRANSLATE(B521,""auto"",""en"")"),"1. The name of the product of the design of the product: The portal login window of the display screen panel customize the graphic user interface.
 2. The purpose of designing products in this exterior: The design of the product is used to display the g"&amp;"raphical user interface.
 3. Design of the design of the product in appearance: lies in the graphic user interface.
 4. Pictures or photos that can best show design: Design 1 main view.
 5. Specify design 1 is the basic design.
 6. The purpose of "&amp;"the graphical user interface: This graphic user interface is used for the customization window of the portal login window.
 7. Human -computer interaction method of graphics user interface: Design 1 to Design 4 Main View Graphic User Interface is the cu"&amp;"stom interface of the portal login window. Users can click the control in the middle area of ​​the interface Preview the portal login window on the right side of the interface.
 Design 1 to design 4 gray color blocks are replaceable pictures or videos.
"&amp;" 
 The fork number in each design interface represents text and/or numbers and/or alphabetics.
 8. This graphic user interface can be used for mobile phones, computers, tablets, televisions, vehicle central control screens, vehicle navigators, car displ"&amp;"ay devices, game consoles, navigators, multimedia all -in -one machines, smart fitness equipment, smart home appliances, smart home appliances equipment Robots, smart bracelets, smart watches, smart glasses, smart headphones, smart table lamps, smart door"&amp;" systems, advertising display, automatic sale machines, and display screens with display screens with display screens.
 9. The display screen panel is commonly designed, omitting the rear views, left view, right view, downward view, and view view of var"&amp;"ious design.")</f>
        <v>1. The name of the product of the design of the product: The portal login window of the display screen panel customize the graphic user interface.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This graphic user interface is used for the customization window of the portal login window.
 7. Human -computer interaction method of graphics user interface: Design 1 to Design 4 Main View Graphic User Interface is the custom interface of the portal login window. Users can click the control in the middle area of ​​the interface Preview the portal login window on the right side of the interface.
 Design 1 to design 4 gray color blocks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Robots, smart bracelets, smart watches, smart glasses, smart headphones, smart table lamps, smart door systems, advertising display, automatic sale machines, and display screens with display screens with display screens.
 9. The display screen panel is commonly designed, omitting the rear views, left view, right view, downward view, and view view of various design.</v>
      </c>
      <c r="D521" s="6" t="s">
        <v>1533</v>
      </c>
      <c r="E521" s="4" t="str">
        <f ca="1">IFERROR(__xludf.DUMMYFUNCTION("GOOGLETRANSLATE(D521,""auto"",""en"")"),"The portal login window of the display screen panel customized graphic user interface")</f>
        <v>The portal login window of the display screen panel customized graphic user interface</v>
      </c>
    </row>
    <row r="522" spans="1:5" ht="15" x14ac:dyDescent="0.25">
      <c r="A522" s="5" t="s">
        <v>1534</v>
      </c>
      <c r="B522" s="6" t="s">
        <v>1535</v>
      </c>
      <c r="C522" s="3" t="str">
        <f ca="1">IFERROR(__xludf.DUMMYFUNCTION("GOOGLETRANSLATE(B522,""auto"",""en"")"),"1. Design product name: Virtual special network display graphics user interface of the display screen panel.
 2. The purpose of designing products in this exterior: The design of the product is used to display the graphical user interface.
 3. Design "&amp;"of the design of the product in appearance: lies in the graphic user interface.
 4. Pictures or photos that can most indicate design points: main view.
 5. The purpose of graphical user interface: This graphic user interface is used to display virtual"&amp;" special networks.
 6. Human -computer interaction of graphic user interface: The graphic user interface of the main view is the interface displayed by a virtual special network. Users can click on the cards arranged on the left side of the interface to"&amp;" view the corresponding virtual special network information. The card corresponds to the position of the vertical arrangement of the cards under the node of the main visual reference diagram.
 The gray color block in the interface is a replaceable pictu"&amp;"re or video.
 The fork number in the interface represents text and/or numbers and/or alphabetics and/or symbols.
 7. This graphic user interface can be used for mobile phones, computers, tablets, televisions, vehicle central control screens, vehicle n"&amp;"avigators, vehicle display devices, game consoles, navigators, multimedia all -in -one machines, smart speakers, smart fitness equipment, smart home appliances, bands, band Robots, smart bracelets, smart watches, smart glasses, smart headphones, smart tab"&amp;"le lamps, smart door systems, advertising display, automatic sales machines on the display screen.
 8. The display screen panel is commonly designed, omitting the rear view, left view, right view, downward view, and upper view of various designs.")</f>
        <v>1. Design product name: Virtual special network display graphics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most indicate design points: main view.
 5. The purpose of graphical user interface: This graphic user interface is used to display virtual special networks.
 6. Human -computer interaction of graphic user interface: The graphic user interface of the main view is the interface displayed by a virtual special network. Users can click on the cards arranged on the left side of the interface to view the corresponding virtual special network information. The card corresponds to the position of the vertical arrangement of the cards under the node of the main visual reference diagram.
 The gray color block in the interface is a replaceable picture or video.
 The fork number in the interface represents text and/or numbers and/or alphabetics and/or symbols.
 7. This graphic user interface can be used for mobile phones, computers, tablets, televisions, vehicle central control screens, vehicle navigators, vehicle display devices, game consoles, navigators, multimedia all -in -one machines, smart speakers, smart fitness equipment, smart home appliances, bands, band Robots, smart bracelets, smart watches, smart glasses, smart headphones, smart table lamps, smart door systems, advertising display, automatic sales machines on the display screen.
 8. The display screen panel is commonly designed, omitting the rear view, left view, right view, downward view, and upper view of various designs.</v>
      </c>
      <c r="D522" s="6" t="s">
        <v>1536</v>
      </c>
      <c r="E522" s="4" t="str">
        <f ca="1">IFERROR(__xludf.DUMMYFUNCTION("GOOGLETRANSLATE(D522,""auto"",""en"")"),"Virtual network display graphics user interface of display screen panel")</f>
        <v>Virtual network display graphics user interface of display screen panel</v>
      </c>
    </row>
    <row r="523" spans="1:5" ht="15" x14ac:dyDescent="0.25">
      <c r="A523" s="5" t="s">
        <v>1537</v>
      </c>
      <c r="B523" s="6" t="s">
        <v>1538</v>
      </c>
      <c r="C523" s="3" t="str">
        <f ca="1">IFERROR(__xludf.DUMMYFUNCTION("GOOGLETRANSLATE(B523,""auto"",""en"")"),"1. The name of the product of the product: The trigger and disposal graphical user interface of the display screen panel. 2. The purpose of designing products in this exterior: The design of the product is used to display the graphical user interface. 3. "&amp;"Design of the design of the product in appearance: lies in the graphic user interface. 4. Pictures or photos that can most indicate design points: main view. 5. The purpose of graphical user interface: This graphic user interface is used to display trigge"&amp;"r conditions and disposal strategies. 6. Human -computer interaction method of graphical user interface: The graphic user interface of the main view is the interface displayed by trigger conditions and disposal strategies. Users can click on the control e"&amp;"diting conditions on the right side of the middle part of the interface. The editing control position behind the right side of the central part. The gray color blocks in the design interface are replaceable pictures or videos. The fork number in the desig"&amp;"n interface represents text and/or numbers and/or alphabets and/or symbols. 7. This graphic user interface can be used for mobile phones, computers, tablets, televisions, vehicle central control screens, vehicle navigators, game consoles, navigators, mult"&amp;"imedia all -in -one machines, smart speakers, smart fitness mirrors with display screens, display screens with display screens, display screens with display screens Fitness monitor, refrigerators with display screens, air conditioners with display screens"&amp;", washing machines with display screens, water heaters with display screens, range hoods with display screens, dishwashers with display screens, integrated screens with display screens Steaming ovens with display screens, robots with display screens, smar"&amp;"t bracelets, smart watches, smart glasses, smart headphones, smart table lamps, access control systems with display screens, advertising display, and automatic selling machines. 8. The display screen panel is commonly designed, omittime, left view, left v"&amp;"iew, right view, down -view, upper view.")</f>
        <v>1. The name of the product of the product: The trigger and disposal graphical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most indicate design points: main view. 5. The purpose of graphical user interface: This graphic user interface is used to display trigger conditions and disposal strategies. 6. Human -computer interaction method of graphical user interface: The graphic user interface of the main view is the interface displayed by trigger conditions and disposal strategies. Users can click on the control editing conditions on the right side of the middle part of the interface. The editing control position behind the right side of the central part. The gray color blocks in the design interface are replaceable pictures or videos. The fork number in the design interface represents text and/or numbers and/or alphabets and/or symbols. 7. This graphic user interface can be used for mobile phones, computers, tablets, televisions, vehicle central control screens, vehicle navigators, game consoles, navigators, multimedia all -in -one machines, smart speakers, smart fitness mirrors with display screens, display screens with display screens, display screens with display screens Fitness monitor, refrigerators with display screens, air conditioners with display screens, washing machines with display screens, water heaters with display screens, range hoods with display screens, dishwashers with display screens, integrated screens with display screens Steaming ovens with display screens, robots with display screens, smart bracelets, smart watches, smart glasses, smart headphones, smart table lamps, access control systems with display screens, advertising display, and automatic selling machines. 8. The display screen panel is commonly designed, omittime, left view, left view, right view, down -view, upper view.</v>
      </c>
      <c r="D523" s="6" t="s">
        <v>1539</v>
      </c>
      <c r="E523" s="4" t="str">
        <f ca="1">IFERROR(__xludf.DUMMYFUNCTION("GOOGLETRANSLATE(D523,""auto"",""en"")"),"Trigger and disposal graphical user interface of display screen panel")</f>
        <v>Trigger and disposal graphical user interface of display screen panel</v>
      </c>
    </row>
    <row r="524" spans="1:5" ht="15" x14ac:dyDescent="0.25">
      <c r="A524" s="5" t="s">
        <v>1540</v>
      </c>
      <c r="B524" s="6" t="s">
        <v>1541</v>
      </c>
      <c r="C524" s="3" t="str">
        <f ca="1">IFERROR(__xludf.DUMMYFUNCTION("GOOGLETRANSLATE(B524,""auto"",""en"")"),"The field of video processing technology involved in computer vision provides a smooth round positioning method in sports videos based on group sports information. This method includes: to obtain the movement indicators of the current video, and use the e"&amp;"xercise indicators as a group movement information to measure the extent of the athlete's movement in the sports video; The purpose of dividing sports videos. The invention is expressed in the form of matrix in the form of athlete tracking in the video, a"&amp;"nd obtained the characteristics that expressed the smooth round and non -fluid round as easy to distinguish; the positioning method used by the smooth round obtained the ideal positioning effect of split sports videos.")</f>
        <v>The field of video processing technology involved in computer vision provides a smooth round positioning method in sports videos based on group sports information. This method includes: to obtain the movement indicators of the current video, and use the exercise indicators as a group movement information to measure the extent of the athlete's movement in the sports video; The purpose of dividing sports videos. The invention is expressed in the form of matrix in the form of athlete tracking in the video, and obtained the characteristics that expressed the smooth round and non -fluid round as easy to distinguish; the positioning method used by the smooth round obtained the ideal positioning effect of split sports videos.</v>
      </c>
      <c r="D524" s="6" t="s">
        <v>1542</v>
      </c>
      <c r="E524" s="4" t="str">
        <f ca="1">IFERROR(__xludf.DUMMYFUNCTION("GOOGLETRANSLATE(D524,""auto"",""en"")"),"A smooth round positioning method in sports videos based on group sports information")</f>
        <v>A smooth round positioning method in sports videos based on group sports information</v>
      </c>
    </row>
    <row r="525" spans="1:5" ht="15" x14ac:dyDescent="0.25">
      <c r="A525" s="5" t="s">
        <v>1543</v>
      </c>
      <c r="B525" s="6" t="s">
        <v>1544</v>
      </c>
      <c r="C525" s="3" t="str">
        <f ca="1">IFERROR(__xludf.DUMMYFUNCTION("GOOGLETRANSLATE(B525,""auto"",""en"")"),"1. The name of the product of the design of the product: The end computing management system graphical user interface of the display screen panel.
 2. Design products in appearance: used for interaction and display.
 3. Design of the design of the pro"&amp;"duct in appearance: lies in the interface content of the graphic user interface.
 4. Pictures or photos that can most indicate design points: main view.
 5. There is no design point for other views, omitting other views.
 6. The purpose of the graph"&amp;"ical user interface: It is used for the management of the tube equipment in the computing management platform system.
 7. Human -computer interaction method of graphics user interface: The main view is the summary interface of the end computing manageme"&amp;"nt platform system, including the guide information such as menu bar, equipment status module, alarm overview module; 1 The summary interface of the continuous display; click to select the ""Equipment List"" option under the equipment management module in"&amp;" the main view of the main view, jump to the interface change state Figure 2; Model ""option, jump to the interface change state Figure 3; click to select the"" equipment grouping ""option under the equipment management module in the main view, jump to th"&amp;"e interface change state figure 4; click to select the device in the menu bar in the main view of the main view. The ""online authentication"" option under the management module, jump to the interface change state Figure 5; click to select the ""firmware "&amp;"upgrade"" option under the equipment management module in the menu bar in the main view, jump to the interface change state Figure 6; click to select the master The ""General Configuration"" option under the equipment management module in the view of the "&amp;"menu bar, jump to the interface change state Figure 7; click the network management module of the menu bar in the main view, and then select the ""network settings"" option in the network management module, jump jump Transfer to the interface change state"&amp;" Figure 8; click the ""VPN"" option in the network management module of the selection interface in the selection interface change state, jump to the interface change state Figure 9; The ""firewall"" option under the module jumps to the interface change st"&amp;"ate Figure 10; click to select the ""network monitoring"" option under the network management module in the network management module in the selected interface. Interface change state Figure 8 The ""Advanced Settings"" option under the network management "&amp;"module in the menu bar, jump to the interface change state Figure 12; click the application management module in the main screen menu bar, and select the ""Quick Getthfold"" option, jump to the jump to the switch to The interface change state Figure 13; c"&amp;"lick Select the interface change state Figure 13 The ""My Mirror"" option under the management module in the menu bar, jump to the interface change state Figure 14; The ""Application Configuration"" option below, jump to the interface change state Figure "&amp;"15; click the selection interface change status. Figure 13 The ""Application Template"" option under the application of the management module in the menu bar, jump to the interface change state Figure 16; click the selection interface to select the interf"&amp;"ace Change status Figure 13 The ""deployment task"" option under the management module in the menu bar, jump to the interface change state Figure 17; click Select interface change state. 13 in the menu bar of the management module To the interface change "&amp;"state Figure 18; click on the operation and maintenance management module in the main screen menu bar, and select the ""real -time monitoring"" option under the operation and maintenance management module, jump to the interface change state figure 19; The"&amp;" ""Equipment Upper and offline"" option under the central operation and dimension management module, jump to the interface change state Figure 20; click the selection interface change status. Figure 19 Menu Bar in the ""Equipment Operation and Moderate"" "&amp;"option under the operation and maintenance module in the menu bar, jump to the interface to the interface Change status Figure 21; click Select the ""Real -time Alert"" option under the operation and maintenance management module in the 199 menu bar, jump"&amp;" to the interface change state Figure 22; The ""historical alarm"" option below, jump to the interface change state Figure 23; click the selection interface change status. Figure 19 Menu Bar in the ""Alert Rules"" option under the operation and maintenanc"&amp;"e module in the menu bar, jump to the interface change state Figure 24; click to select selection Interface change status Figure 19 The ""Alert Notice"" option under the operation and maintenance management module in the menu bar, jump to the interface ch"&amp;"ange state Figure 25; , Jump to the interface change state Figure 26; click the selection interface change state. Figure 19 Menu Bar in the ""Operation Log"" option under the operation and maintenance management module in the menu bar, jump to the interfa"&amp;"ce change state Figure 27; The ""Run Log"" option under the central operation and dimension management module, jump to the interface change state Figure 28; click the selection interface change status. Figure 19 Menu Bar in the ""Application Status Event"&amp;""" option in the operation and maintenance management module in the menu bar, jump to the interface change State Figure 29; click the system management module in the main screen menu bar, and select the ""menu management"" option under the system manageme"&amp;"nt module, jump to the interface change state Figure 30; Management ""option, jump to the interface change state Figure 31; click Select the interface change state Figure 30"" role management ""option under the system management module, jump to the interf"&amp;"ace change state Figure 32; click Select interface change state Figure 30 System management module system management module The ""User Group Management"" options below, jump to the interface change state Figure 33; click the selection interface change sta"&amp;"te. Figure 30 The ""System Configuration"" option under the system management module, jump to the interface change state Figure 34; click the selection interface changes status Figure 30 The ""Dictionary Management"" option under the system management mod"&amp;"ule jumps to the interface change state Figure 35; click the help center module in the main screen menu bar, jump to the interface change state Figure 36.
 8. The displayed carrier equipment for display is the existing design. The display screen panel c"&amp;"an be applied to computers, laptops, tablet computers, mobile phones, smartphones, smart glasses, watches, smart watches, fitness monitors, head wearing, head wearing Form headphones, personal digital assistants, smart speakers, television, monitor, proje"&amp;"ctor, set -top box, navigator, display device for vehicles.")</f>
        <v>1. The name of the product of the design of the product: The end computing management system graphical user interface of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It is used for the management of the tube equipment in the computing management platform system.
 7. Human -computer interaction method of graphics user interface: The main view is the summary interface of the end computing management platform system, including the guide information such as menu bar, equipment status module, alarm overview module; 1 The summary interface of the continuous display; click to select the "Equipment List" option under the equipment management module in the main view of the main view, jump to the interface change state Figure 2; Model "option, jump to the interface change state Figure 3; click to select the" equipment grouping "option under the equipment management module in the main view, jump to the interface change state figure 4; click to select the device in the menu bar in the main view of the main view. The "online authentication" option under the management module, jump to the interface change state Figure 5; click to select the "firmware upgrade" option under the equipment management module in the menu bar in the main view, jump to the interface change state Figure 6; click to select the master The "General Configuration" option under the equipment management module in the view of the menu bar, jump to the interface change state Figure 7; click the network management module of the menu bar in the main view, and then select the "network settings" option in the network management module, jump jump Transfer to the interface change state Figure 8; click the "VPN" option in the network management module of the selection interface in the selection interface change state, jump to the interface change state Figure 9; The "firewall" option under the module jumps to the interface change state Figure 10; click to select the "network monitoring" option under the network management module in the network management module in the selected interface. Interface change state Figure 8 The "Advanced Settings" option under the network management module in the menu bar, jump to the interface change state Figure 12; click the application management module in the main screen menu bar, and select the "Quick Getthfold" option, jump to the jump to the switch to The interface change state Figure 13; click Select the interface change state Figure 13 The "My Mirror" option under the management module in the menu bar, jump to the interface change state Figure 14; The "Application Configuration" option below, jump to the interface change state Figure 15; click the selection interface change status. Figure 13 The "Application Template" option under the application of the management module in the menu bar, jump to the interface change state Figure 16; click the selection interface to select the interface Change status Figure 13 The "deployment task" option under the management module in the menu bar, jump to the interface change state Figure 17; click Select interface change state. 13 in the menu bar of the management module To the interface change state Figure 18; click on the operation and maintenance management module in the main screen menu bar, and select the "real -time monitoring" option under the operation and maintenance management module, jump to the interface change state figure 19; The "Equipment Upper and offline" option under the central operation and dimension management module, jump to the interface change state Figure 20; click the selection interface change status. Figure 19 Menu Bar in the "Equipment Operation and Moderate" option under the operation and maintenance module in the menu bar, jump to the interface to the interface Change status Figure 21; click Select the "Real -time Alert" option under the operation and maintenance management module in the 199 menu bar, jump to the interface change state Figure 22; The "historical alarm" option below, jump to the interface change state Figure 23; click the selection interface change status. Figure 19 Menu Bar in the "Alert Rules" option under the operation and maintenance module in the menu bar, jump to the interface change state Figure 24; click to select selection Interface change status Figure 19 The "Alert Notice" option under the operation and maintenance management module in the menu bar, jump to the interface change state Figure 25; , Jump to the interface change state Figure 26; click the selection interface change state. Figure 19 Menu Bar in the "Operation Log" option under the operation and maintenance management module in the menu bar, jump to the interface change state Figure 27; The "Run Log" option under the central operation and dimension management module, jump to the interface change state Figure 28; click the selection interface change status. Figure 19 Menu Bar in the "Application Status Event" option in the operation and maintenance management module in the menu bar, jump to the interface change State Figure 29; click the system management module in the main screen menu bar, and select the "menu management" option under the system management module, jump to the interface change state Figure 30; Management "option, jump to the interface change state Figure 31; click Select the interface change state Figure 30" role management "option under the system management module, jump to the interface change state Figure 32; click Select interface change state Figure 30 System management module system management module The "User Group Management" options below, jump to the interface change state Figure 33; click the selection interface change state. Figure 30 The "System Configuration" option under the system management module, jump to the interface change state Figure 34; click the selection interface changes status Figure 30 The "Dictionary Management" option under the system management module jumps to the interface change state Figure 35; click the help center module in the main screen menu bar, jump to the interface change state Figure 36.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25" s="6" t="s">
        <v>1545</v>
      </c>
      <c r="E525" s="4" t="str">
        <f ca="1">IFERROR(__xludf.DUMMYFUNCTION("GOOGLETRANSLATE(D525,""auto"",""en"")"),"The end computing management system graphical user interface of the display screen panel")</f>
        <v>The end computing management system graphical user interface of the display screen panel</v>
      </c>
    </row>
    <row r="526" spans="1:5" ht="15" x14ac:dyDescent="0.25">
      <c r="A526" s="5" t="s">
        <v>1546</v>
      </c>
      <c r="B526" s="6" t="s">
        <v>1547</v>
      </c>
      <c r="C526" s="3" t="str">
        <f ca="1">IFERROR(__xludf.DUMMYFUNCTION("GOOGLETRANSLATE(B526,""auto"",""en"")"),"1. Design product name: The network management system graphical user interface of the display screen panel.
 2. Design products in appearance: used for interaction and display.
 3. Design of the design of the product in appearance: lies in the interfa"&amp;"ce content of the graphic user interface.
 4. Pictures or photos that can most indicate design points: main view.
 5. There is no design point for other views, omitting other views.
 6.图形用户界面的用途：用于5G专网管理系统中核心网网元、基站网元的运行状态概览，以及对网络进行相应的配置管理、开户管理、告警管理、"&amp;"性能管理、拓扑管理、 Maintain management, log management, system management.
 7. Human -computer interaction method of graphics user interface: The main view is the main interface of the 5G dedicated network management system, including menu bar, core network ele"&amp;"ment overview module, base station network component overview module, core network alarm overview module, base station alarm summary module module Such information; click the configuration management module in the main screen menu bar, and then click the "&amp;"""Core Network Yuan Management"" option under the configuration management module to jump to the PCF network metader information interface displayed by the interface change state. Figure 1 The ""Configuration"" button in the upper right corner, jump to th"&amp;"e interface change state. The mesh configuration information interface displayed by the interface. Options, jump to the CMD configuration page information in the UPF unit displayed by the interface change state. Interface changes status Figure 4 Details o"&amp;"f the base station details interface; click the ""configuration"" button in the upper right corner of the interface in the upper right corner of the interface, jump to the base station configuration management interface displayed by the interface change s"&amp;"tate. The ""Account Opening Management"" option under a menu bar configuration management module, jump to the interface change state. 6 displayed account management interface; click the main view, interface change status. The ""Alarm Police"" option, jump"&amp;" to the interface change state. 7 displayed the alarm details interface; click the ""Alert Statistics"" option under the alarm management module in the menu bar in the interface. 7 Details of the alarm statistical information information; click the topolo"&amp;"gy management module in the menu bar in the menu bar in the main view of the main view, interface change status, and jump to the network monitoring view of the network monitoring view of the interface change state. Change status Figure 1 任 图 图 图 变 变 变 变 变"&amp;" 变 变 变 变 变 变 变 变 变 变 变, jump to the interface change state Figure 10 The performance task information details interface; click the interface change state Figure 10 menu column in menu column in the menu bar The ""Performance Index"" option under the manag"&amp;"ement module, jump to the interface change state. The performance indicator detail interface displayed; click the main view, interface change status. Tracking the ""option, jump to the interface change state. The task details interface displayed; click th"&amp;"e interface to change the state of the"" net element log ""option under the menu bar in the menu bar, jump to the interface change state. Yuan Ji details interface; click the interface change state Figure 12‑13 Rens of the ""License Management"" option in"&amp;" the management module in any menu bar, jump to the License Management Details interface displayed by the interface change state. Status 1414 Ren in the menu bar in the menu bar and select the ""Operation Log"" option, jump to the interface change Status."&amp;" 15 displayed in the operation log detail interface; click the interface to change the state. The ""Log Configuration"" option, jump to the interface changes state. 16 The log file setting interface displayed; click the main view, interface change status."&amp;" Jump to the interface changes. Figure 17 The corner table details information interface.
 8. The displayed carrier equipment for display is the existing design. The display screen panel can be applied to computers, laptops, tablet computers, mobile pho"&amp;"nes, smartphones, smart glasses, watches, smart watches, fitness monitors, head wearing, head wearing Form headphones, personal digital assistants, smart speakers, television, monitor, projector, set -top box, navigator, display device for vehicles.")</f>
        <v>1. Design product name: The network management system graphical user interface of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6.图形用户界面的用途：用于5G专网管理系统中核心网网元、基站网元的运行状态概览，以及对网络进行相应的配置管理、开户管理、告警管理、性能管理、拓扑管理、 Maintain management, log management, system management.
 7. Human -computer interaction method of graphics user interface: The main view is the main interface of the 5G dedicated network management system, including menu bar, core network element overview module, base station network component overview module, core network alarm overview module, base station alarm summary module module Such information; click the configuration management module in the main screen menu bar, and then click the "Core Network Yuan Management" option under the configuration management module to jump to the PCF network metader information interface displayed by the interface change state. Figure 1 The "Configuration" button in the upper right corner, jump to the interface change state. The mesh configuration information interface displayed by the interface. Options, jump to the CMD configuration page information in the UPF unit displayed by the interface change state. Interface changes status Figure 4 Details of the base station details interface; click the "configuration" button in the upper right corner of the interface in the upper right corner of the interface, jump to the base station configuration management interface displayed by the interface change state. The "Account Opening Management" option under a menu bar configuration management module, jump to the interface change state. 6 displayed account management interface; click the main view, interface change status. The "Alarm Police" option, jump to the interface change state. 7 displayed the alarm details interface; click the "Alert Statistics" option under the alarm management module in the menu bar in the interface. 7 Details of the alarm statistical information information; click the topology management module in the menu bar in the menu bar in the main view of the main view, interface change status, and jump to the network monitoring view of the network monitoring view of the interface change state. Change status Figure 1 任 图 图 图 变 变 变 变 变 变 变 变 变 变 变 变 变 变 变 变, jump to the interface change state Figure 10 The performance task information details interface; click the interface change state Figure 10 menu column in menu column in the menu bar The "Performance Index" option under the management module, jump to the interface change state. The performance indicator detail interface displayed; click the main view, interface change status. Tracking the "option, jump to the interface change state. The task details interface displayed; click the interface to change the state of the" net element log "option under the menu bar in the menu bar, jump to the interface change state. Yuan Ji details interface; click the interface change state Figure 12‑13 Rens of the "License Management" option in the management module in any menu bar, jump to the License Management Details interface displayed by the interface change state. Status 1414 Ren in the menu bar in the menu bar and select the "Operation Log" option, jump to the interface change Status. 15 displayed in the operation log detail interface; click the interface to change the state. The "Log Configuration" option, jump to the interface changes state. 16 The log file setting interface displayed; click the main view, interface change status. Jump to the interface changes. Figure 17 The corner table details information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26" s="6" t="s">
        <v>1548</v>
      </c>
      <c r="E526" s="4" t="str">
        <f ca="1">IFERROR(__xludf.DUMMYFUNCTION("GOOGLETRANSLATE(D526,""auto"",""en"")"),"The network management system graphical user interface of the display screen panel")</f>
        <v>The network management system graphical user interface of the display screen panel</v>
      </c>
    </row>
    <row r="527" spans="1:5" ht="15" x14ac:dyDescent="0.25">
      <c r="A527" s="5" t="s">
        <v>1549</v>
      </c>
      <c r="B527" s="6" t="s">
        <v>1550</v>
      </c>
      <c r="C527" s="3" t="str">
        <f ca="1">IFERROR(__xludf.DUMMYFUNCTION("GOOGLETRANSLATE(B527,""auto"",""en"")"),"Globally, the primary problem in each girl and women is her safety and harassment. The only idea that plagues each girl is that even in their spare time, they can act freely on the street without worrying about their safety. Among the countries with the w"&amp;"orst crime, India has disgusting records in various forms of sexual exploitation. At home, streets, public transport and even office. Indian women are always vigilant, just like a country in a state of terrorist alertness. There were bizarre cases of*youn"&amp;"g children, gang raped children, and trafficking women. We have created a country where women are learning to deal with survival anxiety, and we should be ashamed. Many non -governmental organizations, rehabilitation centers, and help hotlines have been p"&amp;"ut into operation in the past few years, but they are all treated therapy for harassment, not the ""prevention"" we need. Our goal is to make women feel as strong as ever, strong enough to fight against our society, strong enough to overcome difficulties,"&amp;" and be strong enough to protect themselves from any sexual assault. Our goal is to give power to those who do not re -exist without them. According to data from the National Criminal Records Bureau, the total number of*cases in India has reached an amazi"&amp;"ng 22,8650, while the Delhi and the national capital accounted for 5234 of them. According to the Ministry of the Interior, a total of 24,193 cases were reported in 2011. Compared with men, women have many advantages and skills, which is why women shine i"&amp;"n various fields such as education, sports, national defense, administration, and politics. Due to the sense of insecurity in society, women cannot show their talents to our country. In order to protect the safety of schools, college students, and profess"&amp;"ional women, the present invention was considered. Our idea is to design a system that makes women more secure in every place and every hour. The present invention proposes a new technology to protect women. The project focuses on providing security guara"&amp;"ntees for women, so that they will never feel helpless. In the present invention, we will introduce wearable devices to protect women's safety. The system consists of sensors, GSM, GPS, memory card, vibration circuit, bee twister, camera, raspberry Pi-3 m"&amp;"odule and other modules. The output of the system connected to the application is recorded.")</f>
        <v>Globally, the primary problem in each girl and women is her safety and harassment. The only idea that plagues each girl is that even in their spare time, they can act freely on the street without worrying about their safety. Among the countries with the worst crime, India has disgusting records in various forms of sexual exploitation. At home, streets, public transport and even office. Indian women are always vigilant, just like a country in a state of terrorist alertness. There were bizarre cases of*young children, gang raped children, and trafficking women. We have created a country where women are learning to deal with survival anxiety, and we should be ashamed. Many non -governmental organizations, rehabilitation centers, and help hotlines have been put into operation in the past few years, but they are all treated therapy for harassment, not the "prevention" we need. Our goal is to make women feel as strong as ever, strong enough to fight against our society, strong enough to overcome difficulties, and be strong enough to protect themselves from any sexual assault. Our goal is to give power to those who do not re -exist without them. According to data from the National Criminal Records Bureau, the total number of*cases in India has reached an amazing 22,8650, while the Delhi and the national capital accounted for 5234 of them. According to the Ministry of the Interior, a total of 24,193 cases were reported in 2011. Compared with men, women have many advantages and skills, which is why women shine in various fields such as education, sports, national defense, administration, and politics. Due to the sense of insecurity in society, women cannot show their talents to our country. In order to protect the safety of schools, college students, and professional women, the present invention was considered. Our idea is to design a system that makes women more secure in every place and every hour. The present invention proposes a new technology to protect women. The project focuses on providing security guarantees for women, so that they will never feel helpless. In the present invention, we will introduce wearable devices to protect women's safety. The system consists of sensors, GSM, GPS, memory card, vibration circuit, bee twister, camera, raspberry Pi-3 module and other modules. The output of the system connected to the application is recorded.</v>
      </c>
      <c r="D527" s="6" t="s">
        <v>1551</v>
      </c>
      <c r="E527" s="4" t="str">
        <f ca="1">IFERROR(__xludf.DUMMYFUNCTION("GOOGLETRANSLATE(D527,""auto"",""en"")"),"Smart wearable devices using artificial intelligence to protect women's security")</f>
        <v>Smart wearable devices using artificial intelligence to protect women's security</v>
      </c>
    </row>
    <row r="528" spans="1:5" ht="15" x14ac:dyDescent="0.25">
      <c r="A528" s="5" t="s">
        <v>1552</v>
      </c>
      <c r="B528" s="6" t="s">
        <v>1553</v>
      </c>
      <c r="C528" s="3" t="str">
        <f ca="1">IFERROR(__xludf.DUMMYFUNCTION("GOOGLETRANSLATE(B528,""auto"",""en"")"),"1. Design product name: The mesh operation status of the display screen panel manages the graphic user interface.
 2. Design products in appearance: used for interaction and display.
 3. Design of the design of the product in appearance: lies in the i"&amp;"nterface content of the graphic user interface.
 4. Pictures or photos that can most indicate design points: main view.
 5. There is no design point for other views, omitting other views.
 6. The purpose of the graphical user interface: for 5GC cont"&amp;"rol mesh performance and link status monitoring, configuration management, alarm management, log management.
 7. Human -computer interaction method of graphics user interface: The main view is the main interface of the 5GC network element operation stat"&amp;"us management. Click the ""deployment"" submissive under the menu column of the main view left menu bar, and click the ""topology"" sub -under the ""deployment"" Module, jump to the topology interface displayed by the interface change state. Change Status"&amp;" Figure 1 一 ""Monitoring"" module in any menu bar, jump to the interface change state Figure 3; click the main view, interface change status Figure 1 ‑ ""system log"" module in any menu bar, jump Transfer to the information detail interface displayed by t"&amp;"he interface change state; click the ""alarm"" module in the main view, interface change status figure 1‑4 any menu bar, jump to the active warning interface displayed by the interface change state. The main view and interface change state Figure 1 5 The "&amp;"""template"" sub -module under the ""configuration"" module in any menu bar, jump to the interface change state Figure 6.
 8. The displayed carrier equipment for display is the existing design. The display screen panel can be applied to computers, lapto"&amp;"ps, tablet computers, mobile phones, smartphones, smart glasses, watches, smart watches, fitness monitors, head wearing, head wearing Form headphones, personal digital assistants, smart speakers, television, monitor, projector, set -top box, navigator, di"&amp;"splay device for vehicles.")</f>
        <v>1. Design product name: The mesh operation status of the display screen panel manages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for 5GC control mesh performance and link status monitoring, configuration management, alarm management, log management.
 7. Human -computer interaction method of graphics user interface: The main view is the main interface of the 5GC network element operation status management. Click the "deployment" submissive under the menu column of the main view left menu bar, and click the "topology" sub -under the "deployment" Module, jump to the topology interface displayed by the interface change state. Change Status Figure 1 一 "Monitoring" module in any menu bar, jump to the interface change state Figure 3; click the main view, interface change status Figure 1 ‑ "system log" module in any menu bar, jump Transfer to the information detail interface displayed by the interface change state; click the "alarm" module in the main view, interface change status figure 1‑4 any menu bar, jump to the active warning interface displayed by the interface change state. The main view and interface change state Figure 1 5 The "template" sub -module under the "configuration" module in any menu bar, jump to the interface change state Figure 6.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28" s="6" t="s">
        <v>1554</v>
      </c>
      <c r="E528" s="4" t="str">
        <f ca="1">IFERROR(__xludf.DUMMYFUNCTION("GOOGLETRANSLATE(D528,""auto"",""en"")"),"The mesh running status of the display screen panel manages the graphical user interface")</f>
        <v>The mesh running status of the display screen panel manages the graphical user interface</v>
      </c>
    </row>
    <row r="529" spans="1:5" ht="15" x14ac:dyDescent="0.25">
      <c r="A529" s="5" t="s">
        <v>1555</v>
      </c>
      <c r="B529" s="6" t="s">
        <v>1556</v>
      </c>
      <c r="C529" s="3" t="str">
        <f ca="1">IFERROR(__xludf.DUMMYFUNCTION("GOOGLETRANSLATE(B529,""auto"",""en"")"),"1. Design product name: Display screen panel with the service graphics user interface with the park.
 2. The purpose of designing products in this exterior: used to display graphic user interface.
 3. Design of design products in this appearance: lies"&amp;" in the graphic user interface in the screen.
 4. Pictures or photos that can most indicate design points: main view.
 5. There is no design point for other views, omitting other views.
 6. The purpose of graphic user interface: The interface is use"&amp;"d for the purpose of the park/community life service browsing, punching through and enterprise certification management.
 7. Human -computer interaction method of graphical user interface: In the main view, the interface shows the module layout related "&amp;"to the living service content of the park. Users can click on the operating controls in any module to perform more operations.
 8. The display screen panel of the product can be applied to computers, laptops, tablet computers, head -up display (HUD), mu"&amp;"ltimedia projector, smartphone, smart robot, smart glasses, virtual reality glasses, augmented reality glasses, hybrid reality Glasses, smart watches, fitness monitors, headset headphones, driving recorders, vehicle navigation equipment, vehicle CNC compu"&amp;"ter, automobile smart rearview mirror, smart speaker, smart TV, set -top box, game handheld, game console.
 9. The gray ""X"" coating in the graphic user interface of the product of the product is the content picture.")</f>
        <v>1. Design product name: Display screen panel with the service graphics user interface with the park.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 user interface: The interface is used for the purpose of the park/community life service browsing, punching through and enterprise certification management.
 7. Human -computer interaction method of graphical user interface: In the main view, the interface shows the module layout related to the living service content of the park. Users can click on the operating controls in any module to perform more operations.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529" s="6" t="s">
        <v>1557</v>
      </c>
      <c r="E529" s="4" t="str">
        <f ca="1">IFERROR(__xludf.DUMMYFUNCTION("GOOGLETRANSLATE(D529,""auto"",""en"")"),"Display screen panel with the park service graphics user interface")</f>
        <v>Display screen panel with the park service graphics user interface</v>
      </c>
    </row>
    <row r="530" spans="1:5" ht="15" x14ac:dyDescent="0.25">
      <c r="A530" s="5" t="s">
        <v>1558</v>
      </c>
      <c r="B530" s="6" t="s">
        <v>1559</v>
      </c>
      <c r="C530" s="3" t="str">
        <f ca="1">IFERROR(__xludf.DUMMYFUNCTION("GOOGLETRANSLATE(B530,""auto"",""en"")"),"1. Design product name: Fusion positioning platform graphics user interface of the display screen panel.
 2. Design products in appearance: used for interaction and display.
 3. Design of the design of the product in appearance: lies in the interface "&amp;"content of the graphic user interface.
 4. Pictures or photos that can most indicate design points: main view.
 5. There is no design point for other views, omitting other views.
 6. The purpose of the graphical user interface: used to display diffe"&amp;"rent location service functions of the label.
 7. Human -computer interaction method of graphical user interface: The main view is the front desk main interface of the high -precision fusion positioning platform. The main interface includes modules such"&amp;" as menu bar, platform overview, positioning terminal, industry scene statistics, and tenants distribution. The ""Positioning Map"" option in the module jumps to the positioning map interface displayed by the interface change state. In this interface, you"&amp;" can view the map information by entering the label number or the tag name;一菜单栏模块中的“告警明细”选项，跳转至界面变化状态图2展示的告警明细界面，该界面包含“电子围栏名称”、“管控规则”、“告警区域”、“告警标签”、 ""Alarm name name"", ""alarm time"", ""belong to the tenant"" and other information; click the main view, "&amp;"interface change status Figure 1‑2 ""Enter the cockpit"" button in any interface, jump to the interface change state Figure 3; Click the ""location management"" button under the ""Map Management"" option in the menu bar module in the interface change stat"&amp;"e. At any menu bar module, the ""fence management"" option and select the ""fence drawing"" button to jump to the fence drawing interface displayed by the interface change state. 5.
 8. The displayed carrier equipment for display is the existing design."&amp;" The display screen panel can be applied to computers, laptops, tablet computers, mobile phones, smartphones, smart glasses, watches, smart watches, fitness monitors, head wearing, head wearing Form headphones, personal digital assistants, smart speakers,"&amp;" television, monitor, projector, set -top box, navigator, display device for vehicles.")</f>
        <v>1. Design product name: Fusion positioning platform graphics user interface of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used to display different location service functions of the label.
 7. Human -computer interaction method of graphical user interface: The main view is the front desk main interface of the high -precision fusion positioning platform. The main interface includes modules such as menu bar, platform overview, positioning terminal, industry scene statistics, and tenants distribution. The "Positioning Map" option in the module jumps to the positioning map interface displayed by the interface change state. In this interface, you can view the map information by entering the label number or the tag name;一菜单栏模块中的“告警明细”选项，跳转至界面变化状态图2展示的告警明细界面，该界面包含“电子围栏名称”、“管控规则”、“告警区域”、“告警标签”、 "Alarm name name", "alarm time", "belong to the tenant" and other information; click the main view, interface change status Figure 1‑2 "Enter the cockpit" button in any interface, jump to the interface change state Figure 3; Click the "location management" button under the "Map Management" option in the menu bar module in the interface change state. At any menu bar module, the "fence management" option and select the "fence drawing" button to jump to the fence drawing interface displayed by the interface change state. 5.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30" s="6" t="s">
        <v>1560</v>
      </c>
      <c r="E530" s="4" t="str">
        <f ca="1">IFERROR(__xludf.DUMMYFUNCTION("GOOGLETRANSLATE(D530,""auto"",""en"")"),"Fusion positioning of display screen panel graphics user interface")</f>
        <v>Fusion positioning of display screen panel graphics user interface</v>
      </c>
    </row>
    <row r="531" spans="1:5" ht="15" x14ac:dyDescent="0.25">
      <c r="A531" s="5" t="s">
        <v>1561</v>
      </c>
      <c r="B531" s="6" t="s">
        <v>1562</v>
      </c>
      <c r="C531" s="3" t="str">
        <f ca="1">IFERROR(__xludf.DUMMYFUNCTION("GOOGLETRANSLATE(B531,""auto"",""en"")"),"This article revealed a method and system for evaluating online education or skill training networks based on artificial intelligence -based prediction tools. The system proposed includes the first interactive tool (102); the second interactive tool (202)"&amp;"; the monitoring cloud server (300) integrated in the online education solution or skill training network (1000). First Interactive Tool (102) is installed in the first user device (100) for teachers to participate in the online education plan or skill tr"&amp;"aining network (1000). The second interactive tool (202) is installed in the second user device (200) for students to visit the online education plan or skill training network (1000). Regulatory cloud server (300) is coupled between wireless communication"&amp;" between the first user device (100) and the second user device (200). The prediction module based on artificial intelligence (302) is embedded in the in charge of the cloud server (300), configured to check one or more of each course associated with each"&amp;" course during a session of the online education solution or skill training network (1000) The status of the teaching outline code); compares the status of the inspection with a set of predefined educational/training parameters; evaluate the various perfo"&amp;"rmance levels/scores of students/teachers after each course; Output results table; one or more improvement suggestions for online education or skills training networks.")</f>
        <v>This article revealed a method and system for evaluating online education or skill training networks based on artificial intelligence -based prediction tools. The system proposed includes the first interactive tool (102); the second interactive tool (202); the monitoring cloud server (300) integrated in the online education solution or skill training network (1000). First Interactive Tool (102) is installed in the first user device (100) for teachers to participate in the online education plan or skill training network (1000). The second interactive tool (202) is installed in the second user device (200) for students to visit the online education plan or skill training network (1000). Regulatory cloud server (300) is coupled between wireless communication between the first user device (100) and the second user device (200). The prediction module based on artificial intelligence (302) is embedded in the in charge of the cloud server (300), configured to check one or more of each course associated with each course during a session of the online education solution or skill training network (1000) The status of the teaching outline code); compares the status of the inspection with a set of predefined educational/training parameters; evaluate the various performance levels/scores of students/teachers after each course; Output results table; one or more improvement suggestions for online education or skills training networks.</v>
      </c>
      <c r="D531" s="6" t="s">
        <v>1563</v>
      </c>
      <c r="E531" s="4" t="str">
        <f ca="1">IFERROR(__xludf.DUMMYFUNCTION("GOOGLETRANSLATE(D531,""auto"",""en"")"),"An innovative method of using artificial intelligence to improve the online education system and education skills teaching evaluation system")</f>
        <v>An innovative method of using artificial intelligence to improve the online education system and education skills teaching evaluation system</v>
      </c>
    </row>
    <row r="532" spans="1:5" ht="15" x14ac:dyDescent="0.25">
      <c r="A532" s="5" t="s">
        <v>1564</v>
      </c>
      <c r="B532" s="6" t="s">
        <v>1565</v>
      </c>
      <c r="C532" s="3" t="str">
        <f ca="1">IFERROR(__xludf.DUMMYFUNCTION("GOOGLETRANSLATE(B532,""auto"",""en"")"),"The present invention disclosed an intimate matrix viewpoint synthesis method, application and system based on deep learning, involving deep learning fields. The present invention includes the following steps: obtain the data pair of the adjacent two fram"&amp;"es, align the data of the two adjacent frames to the reference frame, obtain the edge image, and generate the mask according to the effective area; The data pair of light flow results are inferred by the blocking area of ​​the frame according to the optic"&amp;"al flow results; the edge images, mask and light flow results are naturally returned to the intimate matrix network; Synthetic full -frame view point in RGB color space image. The invention is absorbed and integrated with the advantages of traditional alg"&amp;"orithms and deep learning. In daily viewing, running, fast rotation and crowd scenes, you can provide excellent video stability effects, and do your best to maintain high stability, reduce the screenshot ratio and low distortions Transformed high -quality"&amp;" video.")</f>
        <v>The present invention disclosed an intimate matrix viewpoint synthesis method, application and system based on deep learning, involving deep learning fields. The present invention includes the following steps: obtain the data pair of the adjacent two frames, align the data of the two adjacent frames to the reference frame, obtain the edge image, and generate the mask according to the effective area; The data pair of light flow results are inferred by the blocking area of ​​the frame according to the optical flow results; the edge images, mask and light flow results are naturally returned to the intimate matrix network; Synthetic full -frame view point in RGB color space image. The invention is absorbed and integrated with the advantages of traditional algorithms and deep learning. In daily viewing, running, fast rotation and crowd scenes, you can provide excellent video stability effects, and do your best to maintain high stability, reduce the screenshot ratio and low distortions Transformed high -quality video.</v>
      </c>
      <c r="D532" s="6" t="s">
        <v>1566</v>
      </c>
      <c r="E532" s="4" t="str">
        <f ca="1">IFERROR(__xludf.DUMMYFUNCTION("GOOGLETRANSLATE(D532,""auto"",""en"")"),"An intimate matrix viewing method, application and system based on deep learning")</f>
        <v>An intimate matrix viewing method, application and system based on deep learning</v>
      </c>
    </row>
    <row r="533" spans="1:5" ht="15" x14ac:dyDescent="0.25">
      <c r="A533" s="5" t="s">
        <v>1567</v>
      </c>
      <c r="B533" s="6" t="s">
        <v>1568</v>
      </c>
      <c r="C533" s="3" t="str">
        <f ca="1">IFERROR(__xludf.DUMMYFUNCTION("GOOGLETRANSLATE(B533,""auto"",""en"")"),"One method may include obtaining sensor data from one or more active sensors, and each active sensor is coupled to the corresponding area of ​​the sports user. This method may include obtaining the image data of sports users and every active sensor connec"&amp;"ted to sports users. This method may include muscles related to each region related to activity sensors based on machine learning modules and based on sensor data and image data. This method may include the movement of data recognition users based on the "&amp;"sensor and the sensor data of the determined body part. This method may include analyzing the determination of sports users, including evaluating the physical posture of sports users, identifying one or more sports modes of sports users, and/or injury eva"&amp;"luation of sports users.")</f>
        <v>One method may include obtaining sensor data from one or more active sensors, and each active sensor is coupled to the corresponding area of ​​the sports user. This method may include obtaining the image data of sports users and every active sensor connected to sports users. This method may include muscles related to each region related to activity sensors based on machine learning modules and based on sensor data and image data. This method may include the movement of data recognition users based on the sensor and the sensor data of the determined body part. This method may include analyzing the determination of sports users, including evaluating the physical posture of sports users, identifying one or more sports modes of sports users, and/or injury evaluation of sports users.</v>
      </c>
      <c r="D533" s="6" t="s">
        <v>1569</v>
      </c>
      <c r="E533" s="4" t="str">
        <f ca="1">IFERROR(__xludf.DUMMYFUNCTION("GOOGLETRANSLATE(D533,""auto"",""en"")"),"Activity sensor intelligent analysis automatic grouping")</f>
        <v>Activity sensor intelligent analysis automatic grouping</v>
      </c>
    </row>
    <row r="534" spans="1:5" ht="15" x14ac:dyDescent="0.25">
      <c r="A534" s="5" t="s">
        <v>1570</v>
      </c>
      <c r="B534" s="6" t="s">
        <v>1571</v>
      </c>
      <c r="C534" s="3" t="str">
        <f ca="1">IFERROR(__xludf.DUMMYFUNCTION("GOOGLETRANSLATE(B534,""auto"",""en"")"),"A virtual training system and method were disclosed. The system includes two -dimensional (2D) and three -dimensional (3D) image sensors, biological characteristic data sensors, processors and output equipment. The 2D image sensor sensor's 2D image, while"&amp;" the 3D image sensor sensor sensor includes the user's 3D image. Biological data sensor detects at least one biological characteristics of users. The processor generates feedback information related to the standard form motion compared with the user movem"&amp;"ent during the session. Standard form movement can be exercise, dance movement, martial arts movement or physical therapy movement. The feedback is provided by the output device. At least one captured by the 2D image sensor and the 3D image sensor is supe"&amp;"rimposed on the guiders who represent standard form movement.")</f>
        <v>A virtual training system and method were disclosed. The system includes two -dimensional (2D) and three -dimensional (3D) image sensors, biological characteristic data sensors, processors and output equipment. The 2D image sensor sensor's 2D image, while the 3D image sensor sensor sensor includes the user's 3D image. Biological data sensor detects at least one biological characteristics of users. The processor generates feedback information related to the standard form motion compared with the user movement during the session. Standard form movement can be exercise, dance movement, martial arts movement or physical therapy movement. The feedback is provided by the output device. At least one captured by the 2D image sensor and the 3D image sensor is superimposed on the guiders who represent standard form movement.</v>
      </c>
      <c r="D534" s="6" t="s">
        <v>1572</v>
      </c>
      <c r="E534" s="4" t="str">
        <f ca="1">IFERROR(__xludf.DUMMYFUNCTION("GOOGLETRANSLATE(D534,""auto"",""en"")"),"Virtual coaches on mobile and Internet of Things devices")</f>
        <v>Virtual coaches on mobile and Internet of Things devices</v>
      </c>
    </row>
    <row r="535" spans="1:5" ht="15" x14ac:dyDescent="0.25">
      <c r="A535" s="5" t="s">
        <v>1573</v>
      </c>
      <c r="B535" s="6" t="s">
        <v>1574</v>
      </c>
      <c r="C535" s="3" t="str">
        <f ca="1">IFERROR(__xludf.DUMMYFUNCTION("GOOGLETRANSLATE(B535,""auto"",""en"")"),"1. The name of the product of the design of the product: display screen panel with a remote control function graphical user interface. ; 2. Design products in this exterior: used for interaction and display. ; 3. Design the design of the product in this a"&amp;"ppearance: lies in the content of the graphical user interface. ; 4. The picture or photo of the main point of design: The main view. ; 5. There is no design point for other views, omitting other views. 6. Graphic user interface use: used to control smart"&amp;" electrical appliances by remote control screen. 7. Human -computer interaction method of graphical user interface: The main view is the main interface of remote control smart appliances. The main interface is set on the top switch button and the function"&amp;"al area set in the main interface. Machine status; the functional area is set up ""0 ；2 years old mode"", ""3‑6 years old mode"", ""7‑12 years old mode"" and other control modules that are not in the same mode. Heating """" and ""dehumidification"" and ot"&amp;"her buttons to adjust the functional mode. By touching the ""△"" button in each control module, the temperature can be adjusted upwards. By touching the ""▽"" button in each control module, the temperature can be adjusted downward. Essence 8. The carrier "&amp;"equipment for display is designed for existing. The display screen panel can be applied to computers, laptops, tablet computers, mobile phones, smartphones, smart glasses, watches, smart watches, fitness monitor, head head, head head, head head, header We"&amp;"ar headphones, personal digital assistants, smart speakers, TVs. ; 1. The name of the product design product: display screen panel with a remote control function graphical user interface. ; 2. Design products in this exterior: used for interaction and dis"&amp;"play. ; 3. Design the design of the product in this appearance: lies in the content of the graphical user interface. ; 4. The picture or photo of the main point of design: The main view. ; 5. There is no design point for other views, omitting other views."&amp;" 6. Graphic user interface use: used to control smart electrical appliances by remote control screen. 7. Human -computer interaction method of graphical user interface: The main view is the main interface of remote control smart appliances. The main inter"&amp;"face is set on the top switch button and the functional area set in the main interface. Machine status; the functional area is set up ""0 ；2 years old mode"", ""3‑6 years old mode"", ""7‑12 years old mode"" and other control modules that are not in the sa"&amp;"me mode. Heating """" and ""dehumidification"" and other buttons to adjust the functional mode. By touching the ""△"" button in each control module, the temperature can be adjusted upwards. By touching the ""▽"" button in each control module, the temperat"&amp;"ure can be adjusted downward. Essence 8. The carrier equipment for display is designed for existing. The display screen panel can be applied to computers, laptops, tablet computers, mobile phones, smartphones, smart glasses, watches, smart watches, fitnes"&amp;"s monitor, head head, head head, head head, header Wear headphones, personal digital assistants, smart speakers, TVs.")</f>
        <v>1. The name of the product of the design of the product: display screen panel with a remote control function graphical user interface. ; 2. Design products in this exterior: used for interaction and display. ; 3. Design the design of the product in this appearance: lies in the content of the graphical user interface. ; 4. The picture or photo of the main point of design: The main view. ; 5. There is no design point for other views, omitting other views. 6. Graphic user interface use: used to control smart electrical appliances by remote control screen. 7. Human -computer interaction method of graphical user interface: The main view is the main interface of remote control smart appliances. The main interface is set on the top switch button and the functional area set in the main interface. Machine status; the functional area is set up "0 ；2 years old mode", "3‑6 years old mode", "7‑12 years old mode" and other control modules that are not in the same mode. Heating "" and "dehumidification" and other buttons to adjust the functional mode. By touching the "△" button in each control module, the temperature can be adjusted upwards. By touching the "▽" button in each control module, the temperature can be adjusted downward. Essence 8. The carrier equipment for display is designed for existing. The display screen panel can be applied to computers, laptops, tablet computers, mobile phones, smartphones, smart glasses, watches, smart watches, fitness monitor, head head, head head, head head, header Wear headphones, personal digital assistants, smart speakers, TVs. ; 1. The name of the product design product: display screen panel with a remote control function graphical user interface. ; 2. Design products in this exterior: used for interaction and display. ; 3. Design the design of the product in this appearance: lies in the content of the graphical user interface. ; 4. The picture or photo of the main point of design: The main view. ; 5. There is no design point for other views, omitting other views. 6. Graphic user interface use: used to control smart electrical appliances by remote control screen. 7. Human -computer interaction method of graphical user interface: The main view is the main interface of remote control smart appliances. The main interface is set on the top switch button and the functional area set in the main interface. Machine status; the functional area is set up "0 ；2 years old mode", "3‑6 years old mode", "7‑12 years old mode" and other control modules that are not in the same mode. Heating "" and "dehumidification" and other buttons to adjust the functional mode. By touching the "△" button in each control module, the temperature can be adjusted upwards. By touching the "▽" button in each control module, the temperature can be adjusted downward. Essence 8. The carrier equipment for display is designed for existing. The display screen panel can be applied to computers, laptops, tablet computers, mobile phones, smartphones, smart glasses, watches, smart watches, fitness monitor, head head, head head, head head, header Wear headphones, personal digital assistants, smart speakers, TVs.</v>
      </c>
      <c r="D535" s="6" t="s">
        <v>1575</v>
      </c>
      <c r="E535" s="4" t="str">
        <f ca="1">IFERROR(__xludf.DUMMYFUNCTION("GOOGLETRANSLATE(D535,""auto"",""en"")"),"Display screen panel with remote control function graphics user interface")</f>
        <v>Display screen panel with remote control function graphics user interface</v>
      </c>
    </row>
    <row r="536" spans="1:5" ht="15" x14ac:dyDescent="0.25">
      <c r="A536" s="5" t="s">
        <v>1576</v>
      </c>
      <c r="B536" s="6" t="s">
        <v>1577</v>
      </c>
      <c r="C536" s="3" t="str">
        <f ca="1">IFERROR(__xludf.DUMMYFUNCTION("GOOGLETRANSLATE(B536,""auto"",""en"")"),"1. Design product name: Display screen panel with weather forecast graphic user interface.
 2. The purpose of designing products in this exterior: used to display graphic user interface. Instruments, headphones, personal digital assistants, smart speake"&amp;"rs, TV, monitor, projector, set -top box, game machine, navigator, display screen for vehicles.
 3. Design of the design of the product here: It is to display the content and layout of the graphical user interface in the display screen panel.
 4. Pict"&amp;"ures or photos that can best show design: Design 1 main view.
 5. Specify design 1 is the basic design.
 6. The purpose of the graphical user interface: This graphic user interface is used to display the weather conditions in the current and certain t"&amp;"ime according to the place set. At the same time, the corresponding geometric figures and themes are displayed according to different weather conditions. Let users easily distinguish the current weather status.
 Users can interact human -computer intera"&amp;"ction by clicking the corresponding weather sound effects and dynamic changes, switching different weather status by sliding.
 X or X or text in the view belong to variable content.
 Among them: Design 1 main view to design 10 main views corresponding"&amp;" to the graphic user interface of sunny, cloudy, cloudy, cloudy, fog, haze, sandstorms, snowy days, sunny days, and thunderstorms. Figure to design 10 main views The reference picture shows the specific application example corresponding to design.
 When"&amp;" the user clicks the weather geometric graphics of the main view 1, enter the design 1 interface change state Figure 1. Among them, the geometric figures have shifted and the color is also changed. If necessary, you can also emit the corresponding weather"&amp;" sound effects. Click back to design 1 main view; design 1 interface change state 1 reference map can also be interpreted similarly.
 When the user slides (such as the left sliding) from the design 1 of the design 1, enter the change state of the design"&amp;" 1 interface. Two locations.
 When the user moves in the same direction again, it enters the changes of the design 1 interface Figure 3. Among them, the lighting position of the bright spot under the address is the right side, indicating that the interf"&amp;"ace is aimed at the weather conditions of the third address at this time.
 When the user changes from the design 1 interface Figure 3 (for example, the right sliding), it will enter the design 1 interface change status graph 2 and the design 1 main view"&amp;" in turn.
 Design 1 interface change state 2 Reference diagram and design 1 interface change state 3 Reference diagram can also be understood similarly.
 7. Other situations that need to be described and other descriptions: Since the design of this ap"&amp;"pearance requires the protection of the graphic user interface, and the display screen panel is commonly designed, the rear view, left view, right view, downward view, and upstream view.")</f>
        <v>1. Design product name: Display screen panel with weather forecast graphic user interface.
 2. The purpose of designing products in this exterior: used to display graphic user interface. Instruments, headphones, personal digital assistants, smart speakers, TV, monitor, projector, set -top box, game machine, navigator, display screen for vehicles.
 3. Design of the design of the product here: It is to display the content and layout of the graphical user interface in the display screen panel.
 4. Pictures or photos that can best show design: Design 1 main view.
 5. Specify design 1 is the basic design.
 6. The purpose of the graphical user interface: This graphic user interface is used to display the weather conditions in the current and certain time according to the place set. At the same time, the corresponding geometric figures and themes are displayed according to different weather conditions. Let users easily distinguish the current weather status.
 Users can interact human -computer interaction by clicking the corresponding weather sound effects and dynamic changes, switching different weather status by sliding.
 X or X or text in the view belong to variable content.
 Among them: Design 1 main view to design 10 main views corresponding to the graphic user interface of sunny, cloudy, cloudy, cloudy, fog, haze, sandstorms, snowy days, sunny days, and thunderstorms. Figure to design 10 main views The reference picture shows the specific application example corresponding to design.
 When the user clicks the weather geometric graphics of the main view 1, enter the design 1 interface change state Figure 1. Among them, the geometric figures have shifted and the color is also changed. If necessary, you can also emit the corresponding weather sound effects. Click back to design 1 main view; design 1 interface change state 1 reference map can also be interpreted similarly.
 When the user slides (such as the left sliding) from the design 1 of the design 1, enter the change state of the design 1 interface. Two locations.
 When the user moves in the same direction again, it enters the changes of the design 1 interface Figure 3. Among them, the lighting position of the bright spot under the address is the right side, indicating that the interface is aimed at the weather conditions of the third address at this time.
 When the user changes from the design 1 interface Figure 3 (for example, the right sliding), it will enter the design 1 interface change status graph 2 and the design 1 main view in turn.
 Design 1 interface change state 2 Reference diagram and design 1 interface change state 3 Reference diagram can also be understood similarly.
 7. Other situations that need to be described and other descriptions: Since the design of this appearance requires the protection of the graphic user interface, and the display screen panel is commonly designed, the rear view, left view, right view, downward view, and upstream view.</v>
      </c>
      <c r="D536" s="6" t="s">
        <v>1578</v>
      </c>
      <c r="E536" s="4" t="str">
        <f ca="1">IFERROR(__xludf.DUMMYFUNCTION("GOOGLETRANSLATE(D536,""auto"",""en"")"),"Display screen panel with weather forecast graphical user interface")</f>
        <v>Display screen panel with weather forecast graphical user interface</v>
      </c>
    </row>
    <row r="537" spans="1:5" ht="15" x14ac:dyDescent="0.25">
      <c r="A537" s="5" t="s">
        <v>1579</v>
      </c>
      <c r="B537" s="6" t="s">
        <v>1580</v>
      </c>
      <c r="C537" s="3" t="str">
        <f ca="1">IFERROR(__xludf.DUMMYFUNCTION("GOOGLETRANSLATE(B537,""auto"",""en"")"),"According to some embodiments, this article revealed a method that helps to respond to the inquiries associated with sports events. Therefore, this method includes inquiries associated with sports events from user equipment, using natural language process"&amp;"ing (NLP) model analysis and query, identification and query related intention, and based on query, based on intent and parameters as query to generate database queries. Based on the database associated with sports events instructions, search for search b"&amp;"ased on the database query in the database. It is based on the search results. Send to user device.")</f>
        <v>According to some embodiments, this article revealed a method that helps to respond to the inquiries associated with sports events. Therefore, this method includes inquiries associated with sports events from user equipment, using natural language processing (NLP) model analysis and query, identification and query related intention, and based on query, based on intent and parameters as query to generate database queries. Based on the database associated with sports events instructions, search for search based on the database query in the database. It is based on the search results. Send to user device.</v>
      </c>
      <c r="D537" s="6" t="s">
        <v>1581</v>
      </c>
      <c r="E537" s="4" t="str">
        <f ca="1">IFERROR(__xludf.DUMMYFUNCTION("GOOGLETRANSLATE(D537,""auto"",""en"")"),"Methods and systems used to promote the inquiries related to responding to sports events")</f>
        <v>Methods and systems used to promote the inquiries related to responding to sports events</v>
      </c>
    </row>
    <row r="538" spans="1:5" ht="15" x14ac:dyDescent="0.25">
      <c r="A538" s="5" t="s">
        <v>1582</v>
      </c>
      <c r="B538" s="6" t="s">
        <v>1583</v>
      </c>
      <c r="C538" s="3" t="str">
        <f ca="1">IFERROR(__xludf.DUMMYFUNCTION("GOOGLETRANSLATE(B538,""auto"",""en"")"),"A fitness management system (100) was released. The fitness management system (100) includes the basic module (106) with a calorie target module (110). To determine the total calorie intake of the user; calorie consumption module (114), configured to dete"&amp;"rmine the total calorie consumed by the user; and the artificial intelligence and cardiurbal module (110) of the calorie consumption module, the calorie burning module, and the calorie target module (110) Machine learning (AI/ML) module (120). The AI/ML m"&amp;"odule (118) is configured to determine the results based on the total calorie intake of the user at least during the predetermined time and the total calorie of the burning. Essence The predetermined time.")</f>
        <v>A fitness management system (100) was released. The fitness management system (100) includes the basic module (106) with a calorie target module (110). To determine the total calorie intake of the user; calorie consumption module (114), configured to determine the total calorie consumed by the user; and the artificial intelligence and cardiurbal module (110) of the calorie consumption module, the calorie burning module, and the calorie target module (110) Machine learning (AI/ML) module (120). The AI/ML module (118) is configured to determine the results based on the total calorie intake of the user at least during the predetermined time and the total calorie of the burning. Essence The predetermined time.</v>
      </c>
      <c r="D538" s="6" t="s">
        <v>1584</v>
      </c>
      <c r="E538" s="4" t="str">
        <f ca="1">IFERROR(__xludf.DUMMYFUNCTION("GOOGLETRANSLATE(D538,""auto"",""en"")"),"A fitness management system and its method")</f>
        <v>A fitness management system and its method</v>
      </c>
    </row>
    <row r="539" spans="1:5" ht="15" x14ac:dyDescent="0.25">
      <c r="A539" s="5" t="s">
        <v>1585</v>
      </c>
      <c r="B539" s="6" t="s">
        <v>1586</v>
      </c>
      <c r="C539" s="3" t="str">
        <f ca="1">IFERROR(__xludf.DUMMYFUNCTION("GOOGLETRANSLATE(B539,""auto"",""en"")"),"The present invention proposes a self -service robot applied to the sports venue, including the AGV unmanned vehicle chassis. The AGV drone chassis is set on the storage tank. The goods sold; also include information collection modules and human -machine "&amp;"interaction modules; information collection modules are used to monitor the environment in the sports field where the robot is located. When monitoring to the situation where the shopping service needs ; Human -machine interaction module, the service obje"&amp;"cts used in the sports field tube interact with human -computer interactions with the robot to provide goods purchase and payment services for service objects; solve the existing technology, athletes need to stay away from where they are located in the sp"&amp;"orts venue. Only to buy the problem of drinking water or medicine.")</f>
        <v>The present invention proposes a self -service robot applied to the sports venue, including the AGV unmanned vehicle chassis. The AGV drone chassis is set on the storage tank. The goods sold; also include information collection modules and human -machine interaction modules; information collection modules are used to monitor the environment in the sports field where the robot is located. When monitoring to the situation where the shopping service needs ; Human -machine interaction module, the service objects used in the sports field tube interact with human -computer interactions with the robot to provide goods purchase and payment services for service objects; solve the existing technology, athletes need to stay away from where they are located in the sports venue. Only to buy the problem of drinking water or medicine.</v>
      </c>
      <c r="D539" s="6" t="s">
        <v>1587</v>
      </c>
      <c r="E539" s="4" t="str">
        <f ca="1">IFERROR(__xludf.DUMMYFUNCTION("GOOGLETRANSLATE(D539,""auto"",""en"")"),"A self -service robot and working method applied to the sports venue")</f>
        <v>A self -service robot and working method applied to the sports venue</v>
      </c>
    </row>
    <row r="540" spans="1:5" ht="15" x14ac:dyDescent="0.25">
      <c r="A540" s="5" t="s">
        <v>1588</v>
      </c>
      <c r="B540" s="6" t="s">
        <v>1589</v>
      </c>
      <c r="C540" s="3" t="str">
        <f ca="1">IFERROR(__xludf.DUMMYFUNCTION("GOOGLETRANSLATE(B540,""auto"",""en"")"),"This utility model has disclosed an intelligent identification system for ice shoes, which belongs to the Internet of Things. This device contains ice shoes, electronic labels, radio frequency reading and writing modules, six -axis sensors, communication "&amp;"modules, and computing units. Among them, ice shoes are composed of two parts: shoe body and ice knife. On the ice knife; the radio frequency read and write module is fixed in the sports field; the six -axis sensor and the communication module are connect"&amp;"ed to one to one to one -to -one, and are installed on the body of the two ice shoes. Connect to the radio frequency read and write module through communication, and is also connected to the communication module. This practical new type can use the three "&amp;"-sided radio frequency reading and writing device and the six -axis gyroscope to achieve accurate calculation of the ice knife inclination and the accurate and efficient training of the auxiliary skating athletes. It can also be calculated through the dec"&amp;"entralization of the edge.")</f>
        <v>This utility model has disclosed an intelligent identification system for ice shoes, which belongs to the Internet of Things. This device contains ice shoes, electronic labels, radio frequency reading and writing modules, six -axis sensors, communication modules, and computing units. Among them, ice shoes are composed of two parts: shoe body and ice knife. On the ice knife; the radio frequency read and write module is fixed in the sports field; the six -axis sensor and the communication module are connected to one to one to one -to -one, and are installed on the body of the two ice shoes. Connect to the radio frequency read and write module through communication, and is also connected to the communication module. This practical new type can use the three -sided radio frequency reading and writing device and the six -axis gyroscope to achieve accurate calculation of the ice knife inclination and the accurate and efficient training of the auxiliary skating athletes. It can also be calculated through the decentralization of the edge.</v>
      </c>
      <c r="D540" s="6" t="s">
        <v>1590</v>
      </c>
      <c r="E540" s="4" t="str">
        <f ca="1">IFERROR(__xludf.DUMMYFUNCTION("GOOGLETRANSLATE(D540,""auto"",""en"")"),"An intelligent identification system of ice shoes inclusion angle")</f>
        <v>An intelligent identification system of ice shoes inclusion angle</v>
      </c>
    </row>
    <row r="541" spans="1:5" ht="15" x14ac:dyDescent="0.25">
      <c r="A541" s="5" t="s">
        <v>1591</v>
      </c>
      <c r="B541" s="6" t="s">
        <v>1592</v>
      </c>
      <c r="C541" s="3" t="str">
        <f ca="1">IFERROR(__xludf.DUMMYFUNCTION("GOOGLETRANSLATE(B541,""auto"",""en"")"),"1. Design product name: Graphic user interface for sports fitness applications for mobile phones.
 2. Design products in this exterior: Provide users with different scene modes for training and relaxation.
 3. Design of design products in this exterio"&amp;"r: lies in the content of the graphic user interface.
 4. Pictures or photos that can most indicate the design points: change status Figure 1.
 5. The mobile phone is commonly designed, omittime, left view, left view, right view, push -view, upper vie"&amp;"w.
 6. The purpose of the graphical user interface: This graphic user interface is the operation interface of the application software, and the interface is used for human -computer interaction.
 7. Human -computer interaction method of graphics user "&amp;"interface: After logging in to the main view, turn to the change state Figure 1; click the changing state Figure 1 to add the device button, turn to the change state Figure 2, open the state in the device, make equipment search and add, and add it. Search"&amp;" failure can click the changing state Figure 2 Manual adding button at the bottom, turn to the change state Figure 3, you can choose to add the corresponding product to add, and add the completion page to turn to the change state Figure 1.
 Change statu"&amp;"s Figure 1 The bottom label bar includes malls, solutions, discovery, and my buttons. Clicking on each button, the page will be adjusted to the change state Figure 4, 5, 6, 7, 8.
 The gray block is the content screen.")</f>
        <v>1. Design product name: Graphic user interface for sports fitness applications for mobile phones.
 2. Design products in this exterior: Provide users with different scene modes for training and relaxation.
 3. Design of design products in this exterior: lies in the content of the graphic user interface.
 4. Pictures or photos that can most indicate the design points: change status Figure 1.
 5. The mobile phone is commonly designed, omittime, left view, left view, right view, push -view, upper view.
 6. The purpose of the graphical user interface: This graphic user interface is the operation interface of the application software, and the interface is used for human -computer interaction.
 7. Human -computer interaction method of graphics user interface: After logging in to the main view, turn to the change state Figure 1; click the changing state Figure 1 to add the device button, turn to the change state Figure 2, open the state in the device, make equipment search and add, and add it. Search failure can click the changing state Figure 2 Manual adding button at the bottom, turn to the change state Figure 3, you can choose to add the corresponding product to add, and add the completion page to turn to the change state Figure 1.
 Change status Figure 1 The bottom label bar includes malls, solutions, discovery, and my buttons. Clicking on each button, the page will be adjusted to the change state Figure 4, 5, 6, 7, 8.
 The gray block is the content screen.</v>
      </c>
      <c r="D541" s="6" t="s">
        <v>1593</v>
      </c>
      <c r="E541" s="4" t="str">
        <f ca="1">IFERROR(__xludf.DUMMYFUNCTION("GOOGLETRANSLATE(D541,""auto"",""en"")"),"Graphical user interface for sports and fitness applications for mobile phones")</f>
        <v>Graphical user interface for sports and fitness applications for mobile phones</v>
      </c>
    </row>
    <row r="542" spans="1:5" ht="15" x14ac:dyDescent="0.25">
      <c r="A542" s="5" t="s">
        <v>1594</v>
      </c>
      <c r="B542" s="6" t="s">
        <v>1595</v>
      </c>
      <c r="C542" s="3" t="str">
        <f ca="1">IFERROR(__xludf.DUMMYFUNCTION("GOOGLETRANSLATE(B542,""auto"",""en"")"),"1. The name of the product designed this product: The display screen panel for the administrator system graphical user interface (Lino Fitness).
 2. Design product use: used for running procedures.
 3. Design of the design of the product in this exter"&amp;"ior: lies in the interface content of the graphical user interface.
 4. Pictures or photos that can most indicate design points: main view.
 5. Most of the design, omittime view, left and right view, pitch view.
 6. The purpose of the graphical user"&amp;" interface: The graphic user interface is the interactive interface of the fitness administrator system, which is used to set the settings and use of the program interface after login.
 7. The area of ​​the graphic user interface in the product: the dis"&amp;"play screen panel, the display screen panel is used in the computer.
 8. Human -computer interaction method of graphical user interface: The keyboard input text content or the mouse click the screen.
 9. Change state description of the graphic user in"&amp;"terface: After the program starts, enter the main view; enter the account number and password in the main view, click ""Login"" to enter the interface change status. Information management "", user management"", ""check -in data"", expand all modules to e"&amp;"nter the interface change state Figure 2; interface change status Figure 2 click ""Add Course"" to enter the interface change state Figure 3; Select Category ""Enter the Interface Change State Figure 4; interface change state Figure 4 click"" Confirmation"&amp;" Added ""to enter the interface change state Figure 5; interface change state Figure 2 click"" Course List ""to enter the interface change state diagram 6; interface change status diagram In the 6, click ""Edit"" to enter the interface change state Figure"&amp;" 7; interface change status Figure 7 click ""OK Modification"" to enter the interface change state. Change status Figure 9 Click ""OK"" to enter the interface change state Figure 10; interface change state Figure 2 click ""Add information"" to enter the i"&amp;"nterface change state. 12; Interface Change Status Figure 12 Click the ""Filter"" icon in the upper right corner to enter the interface change state. Figure 13; the interface change state Figure 12 Click ""Delete"" to enter the interface change state Figu"&amp;"re 14; ""The icon enter the interface change state Figure 15; the interface change state Figure 12 click the"" export ""icon in the upper right corner to enter the interface change state. In Figure 2, click ""Pickup Record"" to enter the interface change "&amp;"state Figure 18.
 10. Interface change Status Figure 12‑16 The coating part is the content screen.")</f>
        <v>1. The name of the product designed this product: The display screen panel for the administrator system graphical user interface (Lino Fitness).
 2. Design product use: used for running procedures.
 3. Design of the design of the product in this exterior: lies in the interface content of the graphical user interface.
 4. Pictures or photos that can most indicate design points: main view.
 5. Most of the design, omittime view, left and right view, pitch view.
 6. The purpose of the graphical user interface: The graphic user interface is the interactive interface of the fitness administrator system, which is used to set the settings and use of the program interface after login.
 7. The area of ​​the graphic user interface in the product: the display screen panel, the display screen panel is used in the computer.
 8. Human -computer interaction method of graphical user interface: The keyboard input text content or the mouse click the screen.
 9. Change state description of the graphic user interface: After the program starts, enter the main view; enter the account number and password in the main view, click "Login" to enter the interface change status. Information management ", user management", "check -in data", expand all modules to enter the interface change state Figure 2; interface change status Figure 2 click "Add Course" to enter the interface change state Figure 3; Select Category "Enter the Interface Change State Figure 4; interface change state Figure 4 click" Confirmation Added "to enter the interface change state Figure 5; interface change state Figure 2 click" Course List "to enter the interface change state diagram 6; interface change status diagram In the 6, click "Edit" to enter the interface change state Figure 7; interface change status Figure 7 click "OK Modification" to enter the interface change state. Change status Figure 9 Click "OK" to enter the interface change state Figure 10; interface change state Figure 2 click "Add information" to enter the interface change state. 12; Interface Change Status Figure 12 Click the "Filter" icon in the upper right corner to enter the interface change state. Figure 13; the interface change state Figure 12 Click "Delete" to enter the interface change state Figure 14; "The icon enter the interface change state Figure 15; the interface change state Figure 12 click the" export "icon in the upper right corner to enter the interface change state. In Figure 2, click "Pickup Record" to enter the interface change state Figure 18.
 10. Interface change Status Figure 12‑16 The coating part is the content screen.</v>
      </c>
      <c r="D542" s="6" t="s">
        <v>1596</v>
      </c>
      <c r="E542" s="4" t="str">
        <f ca="1">IFERROR(__xludf.DUMMYFUNCTION("GOOGLETRANSLATE(D542,""auto"",""en"")"),"Display screen panel for administrator system graphical user interface (Lino Fitness)")</f>
        <v>Display screen panel for administrator system graphical user interface (Lino Fitness)</v>
      </c>
    </row>
    <row r="543" spans="1:5" ht="15" x14ac:dyDescent="0.25">
      <c r="A543" s="5" t="s">
        <v>1597</v>
      </c>
      <c r="B543" s="6" t="s">
        <v>1598</v>
      </c>
      <c r="C543" s="3" t="str">
        <f ca="1">IFERROR(__xludf.DUMMYFUNCTION("GOOGLETRANSLATE(B543,""auto"",""en"")"),"The referees of sports competitions in different fields are carried out in different ways according to relevant international rules, which are usually carried out by multiple referees. Today, due to the advancement of science and technology, the referee o"&amp;"f the competition is often advanced and smart devices have been replaced. The referee now only announces the results through the system referee. In various competitions, athletes may install a series of sensors on their bodies or clothes, and transmit dat"&amp;"a to the referee system for referee according to the athletes' actions. In the field of floating stone taekwondo competitions, we do not have such conditions. In the floating stone competition, the perspective of performance action is very important, and "&amp;"these angles have not yet been identified and judged by intelligent systems. In this scheme, we intelligently made the PUMICE judgment system. We use a series of wearable sensors to transmit the data of the required angle to the referee system, and the re"&amp;"feree can be seen.")</f>
        <v>The referees of sports competitions in different fields are carried out in different ways according to relevant international rules, which are usually carried out by multiple referees. Today, due to the advancement of science and technology, the referee of the competition is often advanced and smart devices have been replaced. The referee now only announces the results through the system referee. In various competitions, athletes may install a series of sensors on their bodies or clothes, and transmit data to the referee system for referee according to the athletes' actions. In the field of floating stone taekwondo competitions, we do not have such conditions. In the floating stone competition, the perspective of performance action is very important, and these angles have not yet been identified and judged by intelligent systems. In this scheme, we intelligently made the PUMICE judgment system. We use a series of wearable sensors to transmit the data of the required angle to the referee system, and the referee can be seen.</v>
      </c>
      <c r="D543" s="6" t="s">
        <v>1599</v>
      </c>
      <c r="E543" s="4" t="str">
        <f ca="1">IFERROR(__xludf.DUMMYFUNCTION("GOOGLETRANSLATE(D543,""auto"",""en"")"),"Technical identification and punishment system based on artificial intelligence -based taekwondo competition")</f>
        <v>Technical identification and punishment system based on artificial intelligence -based taekwondo competition</v>
      </c>
    </row>
    <row r="544" spans="1:5" ht="15" x14ac:dyDescent="0.25">
      <c r="A544" s="5" t="s">
        <v>1600</v>
      </c>
      <c r="B544" s="6" t="s">
        <v>1601</v>
      </c>
      <c r="C544" s="3" t="str">
        <f ca="1">IFERROR(__xludf.DUMMYFUNCTION("GOOGLETRANSLATE(B544,""auto"",""en"")"),"1. The name of the product in appearance: The display screen panel for the user system of the user system (Lino Fitness).
 2. Design product use: used for running procedures.
 3. Design of the design of the product in this exterior: lies in the interf"&amp;"ace content of the graphical user interface.
 4. Pictures or photos that can most indicate design points: main view.
 5. Most of the design, omittime view, left and right view, pitch view.
 6. The purpose of the graphical user interface: The graphic"&amp;"al user interface is the interactive interface of the fitness user system, which is used to set the settings and use of the program interface after login.
 7. The area of ​​the graphical user interface in the product: the display screen panel, the displ"&amp;"ay screen panel is used for mobile phones and computers.
 8. Human -computer interaction method of graphical user interface: finger and mouse click the screen or touch the screen.
 9. Change state description of the graphic user interface: After the p"&amp;"rogram starts, enter the main view; click ""New User"" into the interface change state in the ""main view"". Figure 2 of the interface change state; interface change state Figure 2 click ""any curriculum strip"" to enter the interface change state Figure "&amp;"3; interface change status figure 3 click ""plus number"" to enter the interface change state figure 4; Information ""Enter the interface change state Figure 5; interface change status figure 2 click"" My ""enter the interface change state Figure 6; inter"&amp;"face change status Figure 6 click"" My course ""to enter the interface changes. 7; interface changes status diagram 7 Click ""Any Course Bar"" to enter the interface change state Figure 8; interface change status figure 8 click ""human -type icon"" in the"&amp;" lower right corner to enter the interface change state figure 9; interface change state figure 6 click ""chart data"", enter the interface change status diagram 10.")</f>
        <v>1. The name of the product in appearance: The display screen panel for the user system of the user system (Lino Fitness).
 2. Design product use: used for running procedures.
 3. Design of the design of the product in this exterior: lies in the interface content of the graphical user interface.
 4. Pictures or photos that can most indicate design points: main view.
 5. Most of the design, omittime view, left and right view, pitch view.
 6. The purpose of the graphical user interface: The graphical user interface is the interactive interface of the fitness user system, which is used to set the settings and use of the program interface after login.
 7. The area of ​​the graphical user interface in the product: the display screen panel, the display screen panel is used for mobile phones and computers.
 8. Human -computer interaction method of graphical user interface: finger and mouse click the screen or touch the screen.
 9. Change state description of the graphic user interface: After the program starts, enter the main view; click "New User" into the interface change state in the "main view". Figure 2 of the interface change state; interface change state Figure 2 click "any curriculum strip" to enter the interface change state Figure 3; interface change status figure 3 click "plus number" to enter the interface change state figure 4; Information "Enter the interface change state Figure 5; interface change status figure 2 click" My "enter the interface change state Figure 6; interface change status Figure 6 click" My course "to enter the interface changes. 7; interface changes status diagram 7 Click "Any Course Bar" to enter the interface change state Figure 8; interface change status figure 8 click "human -type icon" in the lower right corner to enter the interface change state figure 9; interface change state figure 6 click "chart data", enter the interface change status diagram 10.</v>
      </c>
      <c r="D544" s="6" t="s">
        <v>1602</v>
      </c>
      <c r="E544" s="4" t="str">
        <f ca="1">IFERROR(__xludf.DUMMYFUNCTION("GOOGLETRANSLATE(D544,""auto"",""en"")"),"Display screen panel for user system graphics user interface (Lino Fitness)")</f>
        <v>Display screen panel for user system graphics user interface (Lino Fitness)</v>
      </c>
    </row>
    <row r="545" spans="1:5" ht="15" x14ac:dyDescent="0.25">
      <c r="A545" s="5" t="s">
        <v>1603</v>
      </c>
      <c r="B545" s="6" t="s">
        <v>1604</v>
      </c>
      <c r="C545" s="3" t="str">
        <f ca="1">IFERROR(__xludf.DUMMYFUNCTION("GOOGLETRANSLATE(B545,""auto"",""en"")"),"1. The name of the product of the design of the product: The template of the display screen panel selects the graphic user interface. 2. The purpose of designing products in this exterior: used to display graphic user interface. 3. Design of the design of"&amp;" the product in appearance: lies in the graphic user interface. 4. Pictures or photos that can best show design: Design 1 main view. 5. Specify design 1 is the basic design. 6. The purpose of the graphical user interface: used for the choice of theme temp"&amp;"late during the multimedia information processing process on the display screen panel. 7. Human -computer interaction method of graphical user interface: Design 1 to Design 9 Main View Graphic User Interface is the interface of the theme template selectio"&amp;"n during the multimedia information processing process. The user previews the template in the interface. The gray color in the design interface in the design interface is Block is a replaceable picture or video. X represents the text and/or numbers and/or"&amp;" alphabets in the design interface. 8. Other situations that need to be described and other descriptions: The user interface of this graphic can be used for mobile phones, computers, tablets, smart TVs, vehicle central control screens, multimedia all -in "&amp;"-one machines, electronic notepads, smart speakers, projectors, game consoles, navigators, navigators , Smart watches, smart bracelets, smart table lamps, refrigerators with screens, hoods with screens, air conditioners with screens, smart fitness mirrors"&amp;", disinfection cabinets with screens, dishwashers with screens, and oven with screens.")</f>
        <v>1. The name of the product of the design of the product: The template of the display screen panel selects the graphic user interface. 2. The purpose of designing products in this exterior: used to display graphic user interface. 3. Design of the design of the product in appearance: lies in the graphic user interface. 4. Pictures or photos that can best show design: Design 1 main view. 5. Specify design 1 is the basic design. 6. The purpose of the graphical user interface: used for the choice of theme template during the multimedia information processing process on the display screen panel. 7. Human -computer interaction method of graphical user interface: Design 1 to Design 9 Main View Graphic User Interface is the interface of the theme template selection during the multimedia information processing process. The user previews the template in the interface. The gray color in the design interface in the design interface is Block is a replaceable picture or video. X represents the text and/or numbers and/or alphabets in the design interface. 8. Other situations that need to be described and other descriptions: The user interface of this graphic can be used for mobile phones, computers, tablets, smart TVs, vehicle central control screens, multimedia all -in -one machines, electronic notepads, smart speakers, projectors, game consoles, navigators, navigators , Smart watches, smart bracelets, smart table lamps, refrigerators with screens, hoods with screens, air conditioners with screens, smart fitness mirrors, disinfection cabinets with screens, dishwashers with screens, and oven with screens.</v>
      </c>
      <c r="D545" s="6" t="s">
        <v>1605</v>
      </c>
      <c r="E545" s="4" t="str">
        <f ca="1">IFERROR(__xludf.DUMMYFUNCTION("GOOGLETRANSLATE(D545,""auto"",""en"")"),"The template of the display screen panel selects the graphical user interface")</f>
        <v>The template of the display screen panel selects the graphical user interface</v>
      </c>
    </row>
    <row r="546" spans="1:5" ht="15" x14ac:dyDescent="0.25">
      <c r="A546" s="5" t="s">
        <v>1606</v>
      </c>
      <c r="B546" s="6" t="s">
        <v>1607</v>
      </c>
      <c r="C546" s="3" t="str">
        <f ca="1">IFERROR(__xludf.DUMMYFUNCTION("GOOGLETRANSLATE(B546,""auto"",""en"")"),"The present invention involves the technical field of intelligent parking system. Specifically, it involves a smart parking scheduling method, including S10 vehicles parking, S20 human -machine interaction, S30 parking robot recognition, S40 parking robot"&amp;" positioning and transportation, one, one, one, one S50 code scanning remote regulation, S60 parking robot positioning transportation two, S70 parking area to pick up the car, the vehicle stopped in the S10's parking specific operation steps as follows: F"&amp;"irst of all, the owner drove his vehicle to the corresponding location of the parking area. Digital marking from 20 to 20 parking spaces, each parking space on the parking area is marked with a QR code corresponding to the corresponding parking space info"&amp;"rmation. Each QR code corresponds to 1 to 20 in the parking area from 1 to 20 In the parking space, the owner parked the vehicle in one of the 1 to 20 parking spaces specified in the parking area to complete the vehicle parking operation. The present inve"&amp;"ntion is conducive to parking operations, saving time, and bringing convenience to the public.")</f>
        <v>The present invention involves the technical field of intelligent parking system. Specifically, it involves a smart parking scheduling method, including S10 vehicles parking, S20 human -machine interaction, S30 parking robot recognition, S40 parking robot positioning and transportation, one, one, one, one S50 code scanning remote regulation, S60 parking robot positioning transportation two, S70 parking area to pick up the car, the vehicle stopped in the S10's parking specific operation steps as follows: First of all, the owner drove his vehicle to the corresponding location of the parking area. Digital marking from 20 to 20 parking spaces, each parking space on the parking area is marked with a QR code corresponding to the corresponding parking space information. Each QR code corresponds to 1 to 20 in the parking area from 1 to 20 In the parking space, the owner parked the vehicle in one of the 1 to 20 parking spaces specified in the parking area to complete the vehicle parking operation. The present invention is conducive to parking operations, saving time, and bringing convenience to the public.</v>
      </c>
      <c r="D546" s="6" t="s">
        <v>1608</v>
      </c>
      <c r="E546" s="4" t="str">
        <f ca="1">IFERROR(__xludf.DUMMYFUNCTION("GOOGLETRANSLATE(D546,""auto"",""en"")"),"A smart transportation scheduling method for intelligent transportation")</f>
        <v>A smart transportation scheduling method for intelligent transportation</v>
      </c>
    </row>
    <row r="547" spans="1:5" ht="15" x14ac:dyDescent="0.25">
      <c r="A547" s="5" t="s">
        <v>1609</v>
      </c>
      <c r="B547" s="6" t="s">
        <v>1610</v>
      </c>
      <c r="C547" s="3" t="str">
        <f ca="1">IFERROR(__xludf.DUMMYFUNCTION("GOOGLETRANSLATE(B547,""auto"",""en"")"),"The present invention disclosed a visual sports field appointment system based on the Internet of Things, which involves the field of sports equipment management technology, including user terminals. The output of the user terminal is connected to the Int"&amp;"ernet of Things server. The central processor, and the output of the central processor has a database for storing VR videos of various sports venues. The invention uses a visual reservation module to use the voice input unit for voice recognition input. I"&amp;"n the middle of the venue, it moves on both sides to experience the perspective of venue in different orientations. Even if it is used in multiple users, it will not cause the server to collapse, and the operation stability is better. At the same time, VR"&amp;" visualization can experience different perspectives, so that customers can experience better experience and improve the success rate of appointment.")</f>
        <v>The present invention disclosed a visual sports field appointment system based on the Internet of Things, which involves the field of sports equipment management technology, including user terminals. The output of the user terminal is connected to the Internet of Things server. The central processor, and the output of the central processor has a database for storing VR videos of various sports venues. The invention uses a visual reservation module to use the voice input unit for voice recognition input. In the middle of the venue, it moves on both sides to experience the perspective of venue in different orientations. Even if it is used in multiple users, it will not cause the server to collapse, and the operation stability is better. At the same time, VR visualization can experience different perspectives, so that customers can experience better experience and improve the success rate of appointment.</v>
      </c>
      <c r="D547" s="6" t="s">
        <v>1611</v>
      </c>
      <c r="E547" s="4" t="str">
        <f ca="1">IFERROR(__xludf.DUMMYFUNCTION("GOOGLETRANSLATE(D547,""auto"",""en"")"),"A visual sports field reservation system based on the Internet of Things")</f>
        <v>A visual sports field reservation system based on the Internet of Things</v>
      </c>
    </row>
    <row r="548" spans="1:5" ht="15" x14ac:dyDescent="0.25">
      <c r="A548" s="5" t="s">
        <v>1612</v>
      </c>
      <c r="B548" s="6" t="s">
        <v>1613</v>
      </c>
      <c r="C548" s="3" t="str">
        <f ca="1">IFERROR(__xludf.DUMMYFUNCTION("GOOGLETRANSLATE(B548,""auto"",""en"")"),"1. The name of the product of the product: The base station status information of the display screen panel display the graphic user interface.
 2. Design products in appearance: used for interaction and display.
 3. Design of the design of the product"&amp;" in appearance: lies in the interface content of the graphic user interface.
 4. Pictures or photos that can most indicate design points: main view.
 5. There is no design point for other views, omitting other views.
 6. The purpose of the graphical"&amp;" user interface: used to monitor the operating status of 5G small base stations.
 7. Human -computer interaction method of graphical user interface: The main view of the main view is the main interface of the base station status information display. The"&amp;" ""debug"" option button obtains the corresponding interface information of the base station.
 8. The display screen panel can be applied to computers, laptops, tablets, mobile phones, smartphones, smart phones, smart glasses, watches, smart watches, fi"&amp;"tness monitor, wearing headphones, personal digital assistants, smart speakers, smart speakers, smart speakers, smart speakers, smart speakers, smart speakers, smart speakers, smart speakers, smart speakers, smart speakers, smart speakers, smart speakers,"&amp;" smart speakers, Television, monitor, projector, set -top box, navigator, display device for vehicles.")</f>
        <v>1. The name of the product of the product: The base station status information of the display screen panel display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used to monitor the operating status of 5G small base stations.
 7. Human -computer interaction method of graphical user interface: The main view of the main view is the main interface of the base station status information display. The "debug" option button obtains the corresponding interface information of the base station.
 8. The display screen panel can be applied to computers, laptops, tablets, mobile phones, smartphones, smart phones, smart glasses, watches, smart watches, fitness monitor, wearing headphones, personal digital assistants, smart speakers, smart speakers, smart speakers, smart speakers, smart speakers, smart speakers, smart speakers, smart speakers, smart speakers, smart speakers, smart speakers, smart speakers, smart speakers, Television, monitor, projector, set -top box, navigator, display device for vehicles.</v>
      </c>
      <c r="D548" s="6" t="s">
        <v>1614</v>
      </c>
      <c r="E548" s="4" t="str">
        <f ca="1">IFERROR(__xludf.DUMMYFUNCTION("GOOGLETRANSLATE(D548,""auto"",""en"")"),"The base station status information display graphic user interface of the display screen panel")</f>
        <v>The base station status information display graphic user interface of the display screen panel</v>
      </c>
    </row>
    <row r="549" spans="1:5" ht="15" x14ac:dyDescent="0.25">
      <c r="A549" s="5" t="s">
        <v>1615</v>
      </c>
      <c r="B549" s="6" t="s">
        <v>1616</v>
      </c>
      <c r="C549" s="3" t="str">
        <f ca="1">IFERROR(__xludf.DUMMYFUNCTION("GOOGLETRANSLATE(B549,""auto"",""en"")"),"1. Design product name: Smart, Housing Construction Supervision System Graphic User Interface of the Display Screen Panel.
 2. Design products in appearance: used for interaction and display.
 3. Design of the design of the product in appearance: lies"&amp;" in the graphic user interface.
 4. Pictures or photos that can best show design points: Figure 3 of the interface change state.
 5. The purpose of graphical user interface: for supervision of the overall construction and investment progress of the pr"&amp;"oject.
 6. Human -computer interaction method of graphical user interface: The main interface of the project showed by the main view of the project after logging in after the user is logged in; the rolling bar or rolling mouse wheel in the main view of "&amp;"the main view, such as the interface change state Figure 1 shows the interface; by dragging the interface change state Figure 1, the rolling bar or rolling mouse wheel, etc., as if the interface changes status Figure 2 shows the interface, click the ""Sub"&amp;"mit"" button at the bottom of the interface to complete the application for the overall construction plan project project After the project declaration is completed, the user logs in, as shown in the interface 3; the interface changes in the interface cha"&amp;"nge state in Figure 3, as shown in the interface changes in the interface changes; The rolling bar or rolling mouse in the dynamic interface changes in Figure 4, as shown in the interface change state as shown in the interface changes; click the ""Return"&amp;""" button below the interface change state, jump to the interface change state. 6 shown in Figure 6 shown Interface; Rolling bar or rolling mouse in the state change state in Figure 6, as shown in the interface of the interface changes; the rolling bar or"&amp;" rolling mouse in the state change state in the state of the interface changes, such as the interface, such as the interface, then the interface will be Change status Figure 8 Show interface; click the ""Modification Record"" button in the interface chang"&amp;"e state. 6, jump to the interface changes state Figure 9; click the main view, interface change status graph 1‑2, interface change status Figure 6‑7 In any interface, the ""Modification"" button on the right side of the project declaration plan list, jump"&amp;" to the interface change state Figure 10; click the ""OK"" button in the interface change state figure 10, as shown in the interface changes. After passing, the user logs in, as shown in the interface change state as shown in the interface; by dragging th"&amp;"e interface change state Figure 12, the rolling bar or rolling mouse, etc., as shown in the interface state change state; The ""Submit"" button in 13, jump to the interface change state Figure 14; by dragging the interface change state Figure 14, the roll"&amp;"ing bar or rolling mouse, etc. 13 The ""View Complete Situation"" button on the right side of the monthly information in 13, jump to the interface change state Figure 16.
 7.其他需要说明的情形其他说明：显示用的载体设备为现有设计，该显示屏幕面板可以应用于计算机、笔记本电脑、平板电脑、手机、智能手机、智能手环、智能眼镜、手表、智能W"&amp;"atch, fitness monitor, headset headset, personal digital assistant, smart speakers, television, monitor, set -top box, navigator.")</f>
        <v>1. Design product name: Smart, Housing Construction Supervision System Graphic User Interface of the Display Screen Panel.
 2. Design products in appearance: used for interaction and display.
 3. Design of the design of the product in appearance: lies in the graphic user interface.
 4. Pictures or photos that can best show design points: Figure 3 of the interface change state.
 5. The purpose of graphical user interface: for supervision of the overall construction and investment progress of the project.
 6. Human -computer interaction method of graphical user interface: The main interface of the project showed by the main view of the project after logging in after the user is logged in; the rolling bar or rolling mouse wheel in the main view of the main view, such as the interface change state Figure 1 shows the interface; by dragging the interface change state Figure 1, the rolling bar or rolling mouse wheel, etc., as if the interface changes status Figure 2 shows the interface, click the "Submit" button at the bottom of the interface to complete the application for the overall construction plan project project After the project declaration is completed, the user logs in, as shown in the interface 3; the interface changes in the interface change state in Figure 3, as shown in the interface changes in the interface changes; The rolling bar or rolling mouse in the dynamic interface changes in Figure 4, as shown in the interface change state as shown in the interface changes; click the "Return" button below the interface change state, jump to the interface change state. 6 shown in Figure 6 shown Interface; Rolling bar or rolling mouse in the state change state in Figure 6, as shown in the interface of the interface changes; the rolling bar or rolling mouse in the state change state in the state of the interface changes, such as the interface, such as the interface, then the interface will be Change status Figure 8 Show interface; click the "Modification Record" button in the interface change state. 6, jump to the interface changes state Figure 9; click the main view, interface change status graph 1‑2, interface change status Figure 6‑7 In any interface, the "Modification" button on the right side of the project declaration plan list, jump to the interface change state Figure 10; click the "OK" button in the interface change state figure 10, as shown in the interface changes. After passing, the user logs in, as shown in the interface change state as shown in the interface; by dragging the interface change state Figure 12, the rolling bar or rolling mouse, etc., as shown in the interface state change state; The "Submit" button in 13, jump to the interface change state Figure 14; by dragging the interface change state Figure 14, the rolling bar or rolling mouse, etc. 13 The "View Complete Situation" button on the right side of the monthly information in 13, jump to the interface change state Figure 16.
 7.其他需要说明的情形其他说明：显示用的载体设备为现有设计，该显示屏幕面板可以应用于计算机、笔记本电脑、平板电脑、手机、智能手机、智能手环、智能眼镜、手表、智能Watch, fitness monitor, headset headset, personal digital assistant, smart speakers, television, monitor, set -top box, navigator.</v>
      </c>
      <c r="D549" s="6" t="s">
        <v>1617</v>
      </c>
      <c r="E549" s="4" t="str">
        <f ca="1">IFERROR(__xludf.DUMMYFUNCTION("GOOGLETRANSLATE(D549,""auto"",""en"")"),"Smart Housing Construction Supervision and guarantee system graphical user interface of display screen panel")</f>
        <v>Smart Housing Construction Supervision and guarantee system graphical user interface of display screen panel</v>
      </c>
    </row>
    <row r="550" spans="1:5" ht="15" x14ac:dyDescent="0.25">
      <c r="A550" s="5" t="s">
        <v>1618</v>
      </c>
      <c r="B550" s="6" t="s">
        <v>1619</v>
      </c>
      <c r="C550" s="3" t="str">
        <f ca="1">IFERROR(__xludf.DUMMYFUNCTION("GOOGLETRANSLATE(B550,""auto"",""en"")"),"The ticket exchange server is configured as the number of tickets that are determined as an event distribution. Ticket exchange server access the training data of the stadium, the training data describes the attendance of historical events, the historical"&amp;" opponent of the sports team, and the historical victory/negative record of the sports team. Ticket exchange server training machine learning model. This machine learning model is configured to predict the attendance of the future activities in the stadiu"&amp;"m based on the current or predictive records of the sports team's current or predictive victory/failure record in the future activities. The ticket exchange server chooses the competition against the opponent, and uses a machine learning model to determin"&amp;"e the number of attendees for prediction. Ticket exchange server -based number of attendees recognize the number of available tickets that can be greater than the stadium capacity, and distribute the number of tickets to potential attendees.")</f>
        <v>The ticket exchange server is configured as the number of tickets that are determined as an event distribution. Ticket exchange server access the training data of the stadium, the training data describes the attendance of historical events, the historical opponent of the sports team, and the historical victory/negative record of the sports team. Ticket exchange server training machine learning model. This machine learning model is configured to predict the attendance of the future activities in the stadium based on the current or predictive records of the sports team's current or predictive victory/failure record in the future activities. The ticket exchange server chooses the competition against the opponent, and uses a machine learning model to determine the number of attendees for prediction. Ticket exchange server -based number of attendees recognize the number of available tickets that can be greater than the stadium capacity, and distribute the number of tickets to potential attendees.</v>
      </c>
      <c r="D550" s="6" t="s">
        <v>1620</v>
      </c>
      <c r="E550" s="4" t="str">
        <f ca="1">IFERROR(__xludf.DUMMYFUNCTION("GOOGLETRANSLATE(D550,""auto"",""en"")"),"The number of machine learning for ticket allocation attendance")</f>
        <v>The number of machine learning for ticket allocation attendance</v>
      </c>
    </row>
    <row r="551" spans="1:5" ht="15" x14ac:dyDescent="0.25">
      <c r="A551" s="5" t="s">
        <v>1621</v>
      </c>
      <c r="B551" s="6" t="s">
        <v>1622</v>
      </c>
      <c r="C551" s="3" t="str">
        <f ca="1">IFERROR(__xludf.DUMMYFUNCTION("GOOGLETRANSLATE(B551,""auto"",""en"")"),"1. The name of the product in appearance: The display screen panel with the graphical user interface with the operation control.
 2. The purpose of designing products in this exterior: This design product is used for display information and running prog"&amp;"rams. The display screen panel is used for computers, laptops, tablets, mobile phones, smartphones, wearable devices, smart glasses, virtual reality glasses glasses, virtual reality glasses , Augmented reality glasses, hybrid glasses, watches, smart watch"&amp;"es, fitness monitor, headset headphones, smart speakers, TV, set -top boxes.
 3. Design of the design of the product in appearance: lies in the graphic user interface content in the screen, the display screen panel is designed with existing, and the ""t"&amp;"ext content"" in the interface is only used to indicate the content area. The text itself is not the protection content of this design design. Essence
 4. Pictures or photos that can most indicate the point of design: Design 4 interface changes. Figure "&amp;"1.
 5. Save the view: The product hardware part is conventional design, omitting design 1 ‑ Design 4 views, left view, right view, down -view view, and retry view.
 6. Specify design 4 is the basic design.
 7. The purpose of the graphical user inter"&amp;"face: The interface of the product design product is used to operate the interface of the application control application.
 8. Human -computer interaction method of graphic user interface: Click the design 1 down arrow button above the main visual map i"&amp;"nterface to enter the design 1 interface change status diagram, click the design 2 main vision interface, the lower arrow button can enter the design 2 interface changes state diagram diagram 1. Click the design 2 interface changes. Figure 1 ""screen reco"&amp;"rding"" button can enter the design 2 interface change state. 2, click the design 3 of the main visual map interface to enter the design 3 interface changes, click the design 4 main view view The downward arrow button above the interface can enter the des"&amp;"ign 4 interface change state Figure 1. Click the design 4 interface change state Figure 1 ""screen recording"" button to enter the design 4 interface change state Figure 2.")</f>
        <v>1. The name of the product in appearance: The display screen panel with the graphical user interface with the operation control.
 2. The purpose of designing products in this exterior: This design product is used for display information and running programs. The display screen panel is used for computers, laptops, tablets, mobile phones, smartphones, wearable devices, smart glasses, virtual reality glasses glasses, virtual reality glasses , Augmented reality glasses, hybrid glasses, watches, smart watches, fitness monitor, headset headphones, smart speakers, TV, set -top boxes.
 3. Design of the design of the product in appearance: lies in the graphic user interface content in the screen, the display screen panel is designed with existing, and the "text content" in the interface is only used to indicate the content area. The text itself is not the protection content of this design design. Essence
 4. Pictures or photos that can most indicate the point of design: Design 4 interface changes. Figure 1.
 5. Save the view: The product hardware part is conventional design, omitting design 1 ‑ Design 4 views, left view, right view, down -view view, and retry view.
 6. Specify design 4 is the basic design.
 7. The purpose of the graphical user interface: The interface of the product design product is used to operate the interface of the application control application.
 8. Human -computer interaction method of graphic user interface: Click the design 1 down arrow button above the main visual map interface to enter the design 1 interface change status diagram, click the design 2 main vision interface, the lower arrow button can enter the design 2 interface changes state diagram diagram 1. Click the design 2 interface changes. Figure 1 "screen recording" button can enter the design 2 interface change state. 2, click the design 3 of the main visual map interface to enter the design 3 interface changes, click the design 4 main view view The downward arrow button above the interface can enter the design 4 interface change state Figure 1. Click the design 4 interface change state Figure 1 "screen recording" button to enter the design 4 interface change state Figure 2.</v>
      </c>
      <c r="D551" s="6" t="s">
        <v>1623</v>
      </c>
      <c r="E551" s="4" t="str">
        <f ca="1">IFERROR(__xludf.DUMMYFUNCTION("GOOGLETRANSLATE(D551,""auto"",""en"")"),"Display screen panel with a graphical user interface with operation control")</f>
        <v>Display screen panel with a graphical user interface with operation control</v>
      </c>
    </row>
    <row r="552" spans="1:5" ht="15" x14ac:dyDescent="0.25">
      <c r="A552" s="5" t="s">
        <v>1624</v>
      </c>
      <c r="B552" s="6" t="s">
        <v>1625</v>
      </c>
      <c r="C552" s="3" t="str">
        <f ca="1">IFERROR(__xludf.DUMMYFUNCTION("GOOGLETRANSLATE(B552,""auto"",""en"")"),"Calculate the video stream of the system to receive the game. The computing system uses one or more artificial intelligence models to generate tracking data corresponding to the video stream. The computing system combines the video stream of the game with"&amp;" the tracking data to generate the transaction interactive video data. By sending interactive video data to the client device that executes media player, the media player renders the graphics corresponding to the tracking data on the video stream.")</f>
        <v>Calculate the video stream of the system to receive the game. The computing system uses one or more artificial intelligence models to generate tracking data corresponding to the video stream. The computing system combines the video stream of the game with the tracking data to generate the transaction interactive video data. By sending interactive video data to the client device that executes media player, the media player renders the graphics corresponding to the tracking data on the video stream.</v>
      </c>
      <c r="D552" s="6" t="s">
        <v>1626</v>
      </c>
      <c r="E552" s="4" t="str">
        <f ca="1">IFERROR(__xludf.DUMMYFUNCTION("GOOGLETRANSLATE(D552,""auto"",""en"")"),"The method and system of using live tracking data in the live sports video stream")</f>
        <v>The method and system of using live tracking data in the live sports video stream</v>
      </c>
    </row>
    <row r="553" spans="1:5" ht="15" x14ac:dyDescent="0.25">
      <c r="A553" s="5" t="s">
        <v>1627</v>
      </c>
      <c r="B553" s="6" t="s">
        <v>1628</v>
      </c>
      <c r="C553" s="3" t="str">
        <f ca="1">IFERROR(__xludf.DUMMYFUNCTION("GOOGLETRANSLATE(B553,""auto"",""en"")"),"A voice -based sports video target video detection computer system is used to convert the relay voice corresponding to sports videos into text; according to text, target videos related to preset events are detected from the text.")</f>
        <v>A voice -based sports video target video detection computer system is used to convert the relay voice corresponding to sports videos into text; according to text, target videos related to preset events are detected from the text.</v>
      </c>
      <c r="D553" s="6" t="s">
        <v>1629</v>
      </c>
      <c r="E553" s="4" t="str">
        <f ca="1">IFERROR(__xludf.DUMMYFUNCTION("GOOGLETRANSLATE(D553,""auto"",""en"")"),"Sports video target video detection computer system and methods based on voice recognition")</f>
        <v>Sports video target video detection computer system and methods based on voice recognition</v>
      </c>
    </row>
    <row r="554" spans="1:5" ht="15" x14ac:dyDescent="0.25">
      <c r="A554" s="5" t="s">
        <v>1630</v>
      </c>
      <c r="B554" s="6" t="s">
        <v>1625</v>
      </c>
      <c r="C554" s="3" t="str">
        <f ca="1">IFERROR(__xludf.DUMMYFUNCTION("GOOGLETRANSLATE(B554,""auto"",""en"")"),"Calculate the video stream of the system to receive the game. The computing system uses one or more artificial intelligence models to generate tracking data corresponding to the video stream. The computing system combines the video stream of the game with"&amp;" the tracking data to generate the transaction interactive video data. By sending interactive video data to the client device that executes media player, the media player renders the graphics corresponding to the tracking data on the video stream.")</f>
        <v>Calculate the video stream of the system to receive the game. The computing system uses one or more artificial intelligence models to generate tracking data corresponding to the video stream. The computing system combines the video stream of the game with the tracking data to generate the transaction interactive video data. By sending interactive video data to the client device that executes media player, the media player renders the graphics corresponding to the tracking data on the video stream.</v>
      </c>
      <c r="D554" s="6" t="s">
        <v>1631</v>
      </c>
      <c r="E554" s="4" t="str">
        <f ca="1">IFERROR(__xludf.DUMMYFUNCTION("GOOGLETRANSLATE(D554,""auto"",""en"")"),"Methods and systems used to use live tracking data in the live sports video stream")</f>
        <v>Methods and systems used to use live tracking data in the live sports video stream</v>
      </c>
    </row>
    <row r="555" spans="1:5" ht="15" x14ac:dyDescent="0.25">
      <c r="A555" s="5" t="s">
        <v>1632</v>
      </c>
      <c r="B555" s="6" t="s">
        <v>1633</v>
      </c>
      <c r="C555" s="3" t="str">
        <f ca="1">IFERROR(__xludf.DUMMYFUNCTION("GOOGLETRANSLATE(B555,""auto"",""en"")"),"Recently, the number of people admitted to the hospital due to respiratory tract infection has increased rapidly. Screening for patients has become an impeccable challenge facing public health. Due to the increase in the incidence of COPD, other lung dise"&amp;"ases, cardiac -related diseases, and COVID, the demand for continuous life monitoring is increasing. Continuous monitoring of the life signs of patients with respiratory system play a vital role in intensive care. The proposed system is a monitoring equip"&amp;"ment that can be worn, innovative, economical, accurate, and real -time. Injecting index. The system can also measure body components: fat -free, fat weight measured by biological impedance spectrals (BIS), and more accurate to say that the amount of wate"&amp;"r is used (using micro -current range, extracellular and intracellular water). It is beneficial to patients with dehydration, excessive hydrophobic, and retention in the state of body fluid; arrhythmia; respiratory disease, elderly diseases; athletes, far"&amp;"mers, ICU patients, edema; and weight loss providing clinical decision -making support systems. The obtained patient data is transmitted through microcontroller and integrated with user -friendly mobile applications. It provides effective alarm -based two"&amp;" -way communication system between clinicians and patients. Each patient has his own unique patient ID, clinicians and nurses will evaluate it. In case of any emergency, the ambulance will receive alert. This is a effective and reliable method for reducin"&amp;"g the mortality of the disease and the clinical admission of patients by retaining life during the golden period. The device provides patients with efficient and quantitative self -health monitoring technologies.")</f>
        <v>Recently, the number of people admitted to the hospital due to respiratory tract infection has increased rapidly. Screening for patients has become an impeccable challenge facing public health. Due to the increase in the incidence of COPD, other lung diseases, cardiac -related diseases, and COVID, the demand for continuous life monitoring is increasing. Continuous monitoring of the life signs of patients with respiratory system play a vital role in intensive care. The proposed system is a monitoring equipment that can be worn, innovative, economical, accurate, and real -time. Injecting index. The system can also measure body components: fat -free, fat weight measured by biological impedance spectrals (BIS), and more accurate to say that the amount of water is used (using micro -current range, extracellular and intracellular water). It is beneficial to patients with dehydration, excessive hydrophobic, and retention in the state of body fluid; arrhythmia; respiratory disease, elderly diseases; athletes, farmers, ICU patients, edema; and weight loss providing clinical decision -making support systems. The obtained patient data is transmitted through microcontroller and integrated with user -friendly mobile applications. It provides effective alarm -based two -way communication system between clinicians and patients. Each patient has his own unique patient ID, clinicians and nurses will evaluate it. In case of any emergency, the ambulance will receive alert. This is a effective and reliable method for reducing the mortality of the disease and the clinical admission of patients by retaining life during the golden period. The device provides patients with efficient and quantitative self -health monitoring technologies.</v>
      </c>
      <c r="D555" s="6" t="s">
        <v>1634</v>
      </c>
      <c r="E555" s="4" t="str">
        <f ca="1">IFERROR(__xludf.DUMMYFUNCTION("GOOGLETRANSLATE(D555,""auto"",""en"")"),"Intelligent health monitoring system based on the Internet of Things")</f>
        <v>Intelligent health monitoring system based on the Internet of Things</v>
      </c>
    </row>
    <row r="556" spans="1:5" ht="15" x14ac:dyDescent="0.25">
      <c r="A556" s="5" t="s">
        <v>1635</v>
      </c>
      <c r="B556" s="6" t="s">
        <v>1636</v>
      </c>
      <c r="C556" s="3" t="str">
        <f ca="1">IFERROR(__xludf.DUMMYFUNCTION("GOOGLETRANSLATE(B556,""auto"",""en"")"),"The present invention disclosed a software and hardware -combined shooting sports visual training device, including the device collection module, which is used to obtain ball speed tags and ball spin tags through high -speed cameras. The data analysis mod"&amp;"ule is used to obtain recognition models and regression models through the training of neural network models, and obtain the corresponding playback position and playback technology to get the speed and spin of the ball; The ball performance threshold, by "&amp;"comparing the play position, balloon technology, ball speed or spinning and spinning performance threshold, obtains a collection of bad hit events; input the tensor of bad hit events to the reverse fact function to adjust the amount of tensor quantity. Th"&amp;"e element obtains a collection of quantities to meet the ballistic performance threshold. This device can provide visualized suggestions for the coaches based on the data of collecting and processing athletes.")</f>
        <v>The present invention disclosed a software and hardware -combined shooting sports visual training device, including the device collection module, which is used to obtain ball speed tags and ball spin tags through high -speed cameras. The data analysis module is used to obtain recognition models and regression models through the training of neural network models, and obtain the corresponding playback position and playback technology to get the speed and spin of the ball; The ball performance threshold, by comparing the play position, balloon technology, ball speed or spinning and spinning performance threshold, obtains a collection of bad hit events; input the tensor of bad hit events to the reverse fact function to adjust the amount of tensor quantity. The element obtains a collection of quantities to meet the ballistic performance threshold. This device can provide visualized suggestions for the coaches based on the data of collecting and processing athletes.</v>
      </c>
      <c r="D556" s="6" t="s">
        <v>1637</v>
      </c>
      <c r="E556" s="4" t="str">
        <f ca="1">IFERROR(__xludf.DUMMYFUNCTION("GOOGLETRANSLATE(D556,""auto"",""en"")"),"A hardware and hardware combined shooting sports visual training device")</f>
        <v>A hardware and hardware combined shooting sports visual training device</v>
      </c>
    </row>
    <row r="557" spans="1:5" ht="15" x14ac:dyDescent="0.25">
      <c r="A557" s="5" t="s">
        <v>1638</v>
      </c>
      <c r="B557" s="6" t="s">
        <v>1639</v>
      </c>
      <c r="C557" s="3" t="str">
        <f ca="1">IFERROR(__xludf.DUMMYFUNCTION("GOOGLETRANSLATE(B557,""auto"",""en"")"),"The present invention provides a test method and device based on visual technology -based volleyball ball padding, involving the field of volleyball technology. The method includes the configuration phase and the movement phase, and uses low -cost, low po"&amp;"wer consumption, high -calculation edge intelligent equipment and consumer product -grade 2D cameras, combined with the target detection algorithm in AI deep learning, and human joint node detection algorithm. The volleyball is accurate for the real -time"&amp;" measurement of the wall padding project. After using the present invention plan, the volleyball of the testers can be reported in real time. The invention solves the problem of difficulty in the installation and deployment of the existing technology, and"&amp;" some fouls cannot be judged. You can also view the test of the test process and the test process analysis.")</f>
        <v>The present invention provides a test method and device based on visual technology -based volleyball ball padding, involving the field of volleyball technology. The method includes the configuration phase and the movement phase, and uses low -cost, low power consumption, high -calculation edge intelligent equipment and consumer product -grade 2D cameras, combined with the target detection algorithm in AI deep learning, and human joint node detection algorithm. The volleyball is accurate for the real -time measurement of the wall padding project. After using the present invention plan, the volleyball of the testers can be reported in real time. The invention solves the problem of difficulty in the installation and deployment of the existing technology, and some fouls cannot be judged. You can also view the test of the test process and the test process analysis.</v>
      </c>
      <c r="D557" s="6" t="s">
        <v>1640</v>
      </c>
      <c r="E557" s="4" t="str">
        <f ca="1">IFERROR(__xludf.DUMMYFUNCTION("GOOGLETRANSLATE(D557,""auto"",""en"")"),"A test method and device based on the volleyball pairing of the wall -based volleyball pairing of the wall")</f>
        <v>A test method and device based on the volleyball pairing of the wall -based volleyball pairing of the wall</v>
      </c>
    </row>
    <row r="558" spans="1:5" ht="15" x14ac:dyDescent="0.25">
      <c r="A558" s="5" t="s">
        <v>1641</v>
      </c>
      <c r="B558" s="6" t="s">
        <v>1642</v>
      </c>
      <c r="C558" s="3" t="str">
        <f ca="1">IFERROR(__xludf.DUMMYFUNCTION("GOOGLETRANSLATE(B558,""auto"",""en"")"),"This utility model provides a wireless issuer and wireless issuer system that includes wireless hair commanders: human -machine interactive device; signal trigger, connect with the human -computer interaction device; sound and light device, and the signal"&amp;" trigger with the signal trigger Communication connection; wireless communication device, connect to the signal trigger and cloud timer, respectively. The wireless hair order provided by this utility model, through human -computer interaction devices, rea"&amp;"lizes simple information interactive methods. Based on the cooperation between human -computer interaction devices, signal triggers, and sound and light devices Precisely determine the departure time of all athletes, prevent people from operating errors, "&amp;"improve the speed and accuracy of grades, and be safer and more environmentally friendly.")</f>
        <v>This utility model provides a wireless issuer and wireless issuer system that includes wireless hair commanders: human -machine interactive device; signal trigger, connect with the human -computer interaction device; sound and light device, and the signal trigger with the signal trigger Communication connection; wireless communication device, connect to the signal trigger and cloud timer, respectively. The wireless hair order provided by this utility model, through human -computer interaction devices, realizes simple information interactive methods. Based on the cooperation between human -computer interaction devices, signal triggers, and sound and light devices Precisely determine the departure time of all athletes, prevent people from operating errors, improve the speed and accuracy of grades, and be safer and more environmentally friendly.</v>
      </c>
      <c r="D558" s="6" t="s">
        <v>1643</v>
      </c>
      <c r="E558" s="4" t="str">
        <f ca="1">IFERROR(__xludf.DUMMYFUNCTION("GOOGLETRANSLATE(D558,""auto"",""en"")"),"Wireless issuer and wireless hair order system")</f>
        <v>Wireless issuer and wireless hair order system</v>
      </c>
    </row>
    <row r="559" spans="1:5" ht="15" x14ac:dyDescent="0.25">
      <c r="A559" s="5" t="s">
        <v>1644</v>
      </c>
      <c r="B559" s="6" t="s">
        <v>1645</v>
      </c>
      <c r="C559" s="3" t="str">
        <f ca="1">IFERROR(__xludf.DUMMYFUNCTION("GOOGLETRANSLATE(B559,""auto"",""en"")"),"Examples of systems and methods for exercise are disclosed, including the exercise machine. The exercise machine includes a multi-directional component of the exercise machine-human interface. Provide the exercise machine-the human interface with the dive"&amp;"rgent strength exercise machine-human interface to provide resistance to the human body during physical exercise, and the artificial intelligence (AI) component configured to control the multi-directional force component. In the example, AI components can"&amp;" control the multi -directional force component based on the variability of morphological characteristics and running speed parameters, including at least one in the length, stride frequency, explosive driving force and arm driving.")</f>
        <v>Examples of systems and methods for exercise are disclosed, including the exercise machine. The exercise machine includes a multi-directional component of the exercise machine-human interface. Provide the exercise machine-the human interface with the divergent strength exercise machine-human interface to provide resistance to the human body during physical exercise, and the artificial intelligence (AI) component configured to control the multi-directional force component. In the example, AI components can control the multi -directional force component based on the variability of morphological characteristics and running speed parameters, including at least one in the length, stride frequency, explosive driving force and arm driving.</v>
      </c>
      <c r="D559" s="6" t="s">
        <v>1646</v>
      </c>
      <c r="E559" s="4" t="str">
        <f ca="1">IFERROR(__xludf.DUMMYFUNCTION("GOOGLETRANSLATE(D559,""auto"",""en"")"),"Omnidirectional torque training")</f>
        <v>Omnidirectional torque training</v>
      </c>
    </row>
    <row r="560" spans="1:5" ht="15" x14ac:dyDescent="0.25">
      <c r="A560" s="5" t="s">
        <v>1647</v>
      </c>
      <c r="B560" s="6" t="s">
        <v>1648</v>
      </c>
      <c r="C560" s="3" t="str">
        <f ca="1">IFERROR(__xludf.DUMMYFUNCTION("GOOGLETRANSLATE(B560,""auto"",""en"")"),"Provide a method for providing exercise load information for the target entity. This method includes: target data sets of target entities during the target sports competition of multiple time units. Sequence, use an artificial neural network to determine "&amp;"the estimated load index of the degree of exercise load that reflects the target entity from the target data set, including")</f>
        <v>Provide a method for providing exercise load information for the target entity. This method includes: target data sets of target entities during the target sports competition of multiple time units. Sequence, use an artificial neural network to determine the estimated load index of the degree of exercise load that reflects the target entity from the target data set, including</v>
      </c>
      <c r="D560" s="6" t="s">
        <v>1649</v>
      </c>
      <c r="E560" s="4" t="str">
        <f ca="1">IFERROR(__xludf.DUMMYFUNCTION("GOOGLETRANSLATE(D560,""auto"",""en"")"),"How to provide exercise load information")</f>
        <v>How to provide exercise load information</v>
      </c>
    </row>
    <row r="561" spans="1:5" ht="15" x14ac:dyDescent="0.25">
      <c r="A561" s="5" t="s">
        <v>1650</v>
      </c>
      <c r="B561" s="6" t="s">
        <v>1651</v>
      </c>
      <c r="C561" s="3" t="str">
        <f ca="1">IFERROR(__xludf.DUMMYFUNCTION("GOOGLETRANSLATE(B561,""auto"",""en"")"),"The invention discloses a control method for human -computer interaction components, electrical equipment and electrical equipment. Among them, human -machine interactive components include load trigger sensors, operating control sensors and controllers T"&amp;"he trigger signal, the operating control sensor is used to detect the operating control signal of the electrical equipment, the controller is connected to the load trigger sensor and the operating control sensor. This can be responsible for the user's tri"&amp;"gger of the load module through the load trigger the sensor and the controller; the control sensor and the controller are responsible for the user's overall operation control of the system by operating the control sensor and the controller, so as to truly"&amp;" realize the ""zero contact"" operation.")</f>
        <v>The invention discloses a control method for human -computer interaction components, electrical equipment and electrical equipment. Among them, human -machine interactive components include load trigger sensors, operating control sensors and controllers The trigger signal, the operating control sensor is used to detect the operating control signal of the electrical equipment, the controller is connected to the load trigger sensor and the operating control sensor. This can be responsible for the user's trigger of the load module through the load trigger the sensor and the controller; the control sensor and the controller are responsible for the user's overall operation control of the system by operating the control sensor and the controller, so as to truly realize the "zero contact" operation.</v>
      </c>
      <c r="D561" s="6" t="s">
        <v>1652</v>
      </c>
      <c r="E561" s="4" t="str">
        <f ca="1">IFERROR(__xludf.DUMMYFUNCTION("GOOGLETRANSLATE(D561,""auto"",""en"")"),"A control method of human -computer interaction components, electrical equipment and electrical equipment")</f>
        <v>A control method of human -computer interaction components, electrical equipment and electrical equipment</v>
      </c>
    </row>
    <row r="562" spans="1:5" ht="15" x14ac:dyDescent="0.25">
      <c r="A562" s="5" t="s">
        <v>1653</v>
      </c>
      <c r="B562" s="6" t="s">
        <v>1654</v>
      </c>
      <c r="C562" s="3" t="str">
        <f ca="1">IFERROR(__xludf.DUMMYFUNCTION("GOOGLETRANSLATE(B562,""auto"",""en"")"),"An editor application is configured to set at least one assessment data structure, and each evaluation data structure is configured to evaluate the corresponding specific motion mode in a series of image data structures. Each assessment data structure inc"&amp;"ludes the modified machine learning (ML) model workpiece configuration used to evaluate a specific ML model for evaluating specific physical exercise. In addition, based on multiple image data structure sequence training ML models, these image data struct"&amp;"ures display different variants of specific sports modes of specific physical exercise, and for each image data structure, provide a set of key data elements, key data indicator image data data The elements of the corresponding location of the landmark in"&amp;" the structure are further based on the category label provided by each image data structure. In addition, the ML model is configured to input data based on the key data elements that include at least one image data structure, and determine the tags of ea"&amp;"ch image data structure. At least one specific motion mode assessment point in the mode, where the key data element indicator boundary is marked in the image data structure; the geometric assessment data is generated and the configuration of key data elem"&amp;"ents corresponding to the specific image data structure corresponding to the assessment point conducts geometric assessment Or at least one movement stage of a specific motion mode is evaluated; generating feedback data is generated to provide users with "&amp;"feedback, which depends on the result of geometric assessment. In addition, the editor application includes at least one graphic user interface, which is configured to receive the ML model under the use of user input to train the ML model artificial produ"&amp;"ct.")</f>
        <v>An editor application is configured to set at least one assessment data structure, and each evaluation data structure is configured to evaluate the corresponding specific motion mode in a series of image data structures. Each assessment data structure includes the modified machine learning (ML) model workpiece configuration used to evaluate a specific ML model for evaluating specific physical exercise. In addition, based on multiple image data structure sequence training ML models, these image data structures display different variants of specific sports modes of specific physical exercise, and for each image data structure, provide a set of key data elements, key data indicator image data data The elements of the corresponding location of the landmark in the structure are further based on the category label provided by each image data structure. In addition, the ML model is configured to input data based on the key data elements that include at least one image data structure, and determine the tags of each image data structure. At least one specific motion mode assessment point in the mode, where the key data element indicator boundary is marked in the image data structure; the geometric assessment data is generated and the configuration of key data elements corresponding to the specific image data structure corresponding to the assessment point conducts geometric assessment Or at least one movement stage of a specific motion mode is evaluated; generating feedback data is generated to provide users with feedback, which depends on the result of geometric assessment. In addition, the editor application includes at least one graphic user interface, which is configured to receive the ML model under the use of user input to train the ML model artificial product.</v>
      </c>
      <c r="D562" s="6" t="s">
        <v>1655</v>
      </c>
      <c r="E562" s="4" t="str">
        <f ca="1">IFERROR(__xludf.DUMMYFUNCTION("GOOGLETRANSLATE(D562,""auto"",""en"")"),"The assessment data structure for evaluating a specific motion mode and the instrument board for setting the assessment data structure")</f>
        <v>The assessment data structure for evaluating a specific motion mode and the instrument board for setting the assessment data structure</v>
      </c>
    </row>
    <row r="563" spans="1:5" ht="15" x14ac:dyDescent="0.25">
      <c r="A563" s="5" t="s">
        <v>1656</v>
      </c>
      <c r="B563" s="6" t="s">
        <v>1657</v>
      </c>
      <c r="C563" s="3" t="str">
        <f ca="1">IFERROR(__xludf.DUMMYFUNCTION("GOOGLETRANSLATE(B563,""auto"",""en"")"),"An artificial intelligence -based calorie horizontal detection and food recommended equipment. The device includes a kit. This kit includes (i) multiple sensors, which uses the energy consumed during physical activity. Many of the sensors include (A) usin"&amp;"g acceleration measuring physical activity and energy consumed in different cases, including walking on the stairs. (B ) Use the sensor to store all the received information in the database, and can be retrieved for follow -up reference. (C) Transfer data"&amp;" 1 to the doctor/nurse and store it in the central system for follow -up operations. (ii) Implement the acceleration meter and heart rate sensor to determine the energy consumption during sports activities. When activity is being carried out, the equipmen"&amp;"t may be affected by environmental factors and generate inappropriate data. Equipment may be affected by environmental factors and produce inappropriate data, and non -wear imaging equipment and image analysis systems will be restricted by whether they ar"&amp;"e continuously used for each meal or snack.")</f>
        <v>An artificial intelligence -based calorie horizontal detection and food recommended equipment. The device includes a kit. This kit includes (i) multiple sensors, which uses the energy consumed during physical activity. Many of the sensors include (A) using acceleration measuring physical activity and energy consumed in different cases, including walking on the stairs. (B ) Use the sensor to store all the received information in the database, and can be retrieved for follow -up reference. (C) Transfer data 1 to the doctor/nurse and store it in the central system for follow -up operations. (ii) Implement the acceleration meter and heart rate sensor to determine the energy consumption during sports activities. When activity is being carried out, the equipment may be affected by environmental factors and generate inappropriate data. Equipment may be affected by environmental factors and produce inappropriate data, and non -wear imaging equipment and image analysis systems will be restricted by whether they are continuously used for each meal or snack.</v>
      </c>
      <c r="D563" s="6" t="s">
        <v>1658</v>
      </c>
      <c r="E563" s="4" t="str">
        <f ca="1">IFERROR(__xludf.DUMMYFUNCTION("GOOGLETRANSLATE(D563,""auto"",""en"")"),"Caliba -level detection and food recommended equipment based on artificial intelligence")</f>
        <v>Caliba -level detection and food recommended equipment based on artificial intelligence</v>
      </c>
    </row>
    <row r="564" spans="1:5" ht="15" x14ac:dyDescent="0.25">
      <c r="A564" s="5" t="s">
        <v>1659</v>
      </c>
      <c r="B564" s="6" t="s">
        <v>1660</v>
      </c>
      <c r="C564" s="3" t="str">
        <f ca="1">IFERROR(__xludf.DUMMYFUNCTION("GOOGLETRANSLATE(B564,""auto"",""en"")"),"The present invention disclosed a comprehensive training system based on the Internet of Things technology, including smart mobile terminals, smart bracelets and training devices; training devices include the base, the one end of the base is fixed with a "&amp;"connecting rod, and the two ends of the connecting rod are fixed. Adjustable vertical rods, the top of the vertical rod is provided with a hook board, and a weightlifting rod is placed on the hook board. There is also a sitting board on the base. The side"&amp;" of the sitting board is connected to the base through the first adjustment rod. The first adjustment rod is connected to the second adjustment rod, and the second adjustment rod is connected to the backboard; the first adjustment rod and the second adjus"&amp;"tment rod are equipped with adjustment The hole, the first adjustment rod and the second adjustment rod are fixed by the adjustment hole and the screw. The present invention can conduct a variety of forces training for trainers to achieve the purpose of c"&amp;"omprehensive training, and conduct real -time monitoring and statistical trainer training process through various IoT devices. The design is reasonable and convenient to use.")</f>
        <v>The present invention disclosed a comprehensive training system based on the Internet of Things technology, including smart mobile terminals, smart bracelets and training devices; training devices include the base, the one end of the base is fixed with a connecting rod, and the two ends of the connecting rod are fixed. Adjustable vertical rods, the top of the vertical rod is provided with a hook board, and a weightlifting rod is placed on the hook board. There is also a sitting board on the base. The side of the sitting board is connected to the base through the first adjustment rod. The first adjustment rod is connected to the second adjustment rod, and the second adjustment rod is connected to the backboard; the first adjustment rod and the second adjustment rod are equipped with adjustment The hole, the first adjustment rod and the second adjustment rod are fixed by the adjustment hole and the screw. The present invention can conduct a variety of forces training for trainers to achieve the purpose of comprehensive training, and conduct real -time monitoring and statistical trainer training process through various IoT devices. The design is reasonable and convenient to use.</v>
      </c>
      <c r="D564" s="6" t="s">
        <v>1661</v>
      </c>
      <c r="E564" s="4" t="str">
        <f ca="1">IFERROR(__xludf.DUMMYFUNCTION("GOOGLETRANSLATE(D564,""auto"",""en"")"),"A comprehensive training system based on IoT technology")</f>
        <v>A comprehensive training system based on IoT technology</v>
      </c>
    </row>
    <row r="565" spans="1:5" ht="15" x14ac:dyDescent="0.25">
      <c r="A565" s="5" t="s">
        <v>1662</v>
      </c>
      <c r="B565" s="6" t="s">
        <v>1663</v>
      </c>
      <c r="C565" s="3" t="str">
        <f ca="1">IFERROR(__xludf.DUMMYFUNCTION("GOOGLETRANSLATE(B565,""auto"",""en"")"),"The invention is a system of wearable units that can perceive and issue alert to identify whether women are in danger of anti -social people. The system includes a heart rate sensor that is used to detect palpitations caused by danger. Coupling the heart "&amp;"rate sensor and the Bluetooth transmitter. One pair of 6 -axis gyroscope is integrated into two wearable wristbands, and one on each leg. These two MEMS gyroscopes also integrate the corresponding Bluetooth sensor. This gyroscope can detect when the woman"&amp;" wears it is running. It can also detect when women's legs open because of*. The microphone sensor is connected on the wearable belt to activate the alarm system when women scream. The local computing unit detects general sighs including ""asking for help"&amp;""". The calculation unit is also connected to the wearable belt with the integrated GPS module. The GPS module is used to get the position of this person when generating alarm signal. All sensors are connected to an embedded system to have a built -in IoT"&amp;" module. Machine learning technology is used to train embedded units based on the Internet of Things, and to accurately detect dangerous scenes by using real -world data.")</f>
        <v>The invention is a system of wearable units that can perceive and issue alert to identify whether women are in danger of anti -social people. The system includes a heart rate sensor that is used to detect palpitations caused by danger. Coupling the heart rate sensor and the Bluetooth transmitter. One pair of 6 -axis gyroscope is integrated into two wearable wristbands, and one on each leg. These two MEMS gyroscopes also integrate the corresponding Bluetooth sensor. This gyroscope can detect when the woman wears it is running. It can also detect when women's legs open because of*. The microphone sensor is connected on the wearable belt to activate the alarm system when women scream. The local computing unit detects general sighs including "asking for help". The calculation unit is also connected to the wearable belt with the integrated GPS module. The GPS module is used to get the position of this person when generating alarm signal. All sensors are connected to an embedded system to have a built -in IoT module. Machine learning technology is used to train embedded units based on the Internet of Things, and to accurately detect dangerous scenes by using real -world data.</v>
      </c>
      <c r="D565" s="6" t="s">
        <v>1664</v>
      </c>
      <c r="E565" s="4" t="str">
        <f ca="1">IFERROR(__xludf.DUMMYFUNCTION("GOOGLETRANSLATE(D565,""auto"",""en"")"),"Artificial intelligence supports wearable system based on multi -sensor data fusion to ensure women's safety")</f>
        <v>Artificial intelligence supports wearable system based on multi -sensor data fusion to ensure women's safety</v>
      </c>
    </row>
    <row r="566" spans="1:5" ht="15" x14ac:dyDescent="0.25">
      <c r="A566" s="5" t="s">
        <v>1665</v>
      </c>
      <c r="B566" s="6" t="s">
        <v>1666</v>
      </c>
      <c r="C566" s="3" t="str">
        <f ca="1">IFERROR(__xludf.DUMMYFUNCTION("GOOGLETRANSLATE(B566,""auto"",""en"")"),"A method, system, and platform of transaction objects such as coins and trading cards such as coins and trading cards such as coins and trading cards are disclosed. By adopting the hierarchical standards of industry standards, the current computer -aided "&amp;"coins and sports trading card platforms use a variety of technologies, such as laser scanning, machine vision, smartphone iOS and Android native installation object recognition, neural network model, blockchain, NFT, NFT, NFT, NFT With intelligent contrac"&amp;"ts, digital fingerprint recognition is intellectual property rights and franchise fees to achieve consistent grading and transactions to a large number of transaction objects. Terminal verification and transaction can also be performed on the classified t"&amp;"ransaction objects.")</f>
        <v>A method, system, and platform of transaction objects such as coins and trading cards such as coins and trading cards such as coins and trading cards are disclosed. By adopting the hierarchical standards of industry standards, the current computer -aided coins and sports trading card platforms use a variety of technologies, such as laser scanning, machine vision, smartphone iOS and Android native installation object recognition, neural network model, blockchain, NFT, NFT, NFT, NFT With intelligent contracts, digital fingerprint recognition is intellectual property rights and franchise fees to achieve consistent grading and transactions to a large number of transaction objects. Terminal verification and transaction can also be performed on the classified transaction objects.</v>
      </c>
      <c r="D566" s="6" t="s">
        <v>1667</v>
      </c>
      <c r="E566" s="4" t="str">
        <f ca="1">IFERROR(__xludf.DUMMYFUNCTION("GOOGLETRANSLATE(D566,""auto"",""en"")"),"Methods and systems for automatic grading and trading for coins and trading cards")</f>
        <v>Methods and systems for automatic grading and trading for coins and trading cards</v>
      </c>
    </row>
    <row r="567" spans="1:5" ht="15" x14ac:dyDescent="0.25">
      <c r="A567" s="5" t="s">
        <v>1668</v>
      </c>
      <c r="B567" s="6" t="s">
        <v>1666</v>
      </c>
      <c r="C567" s="3" t="str">
        <f ca="1">IFERROR(__xludf.DUMMYFUNCTION("GOOGLETRANSLATE(B567,""auto"",""en"")"),"A method, system, and platform of transaction objects such as coins and trading cards such as coins and trading cards such as coins and trading cards are disclosed. By adopting the hierarchical standards of industry standards, the current computer -aided "&amp;"coins and sports trading card platforms use a variety of technologies, such as laser scanning, machine vision, smartphone iOS and Android native installation object recognition, neural network model, blockchain, NFT, NFT, NFT, NFT With intelligent contrac"&amp;"ts, digital fingerprint recognition is intellectual property rights and franchise fees to achieve consistent grading and transactions to a large number of transaction objects. Terminal verification and transaction can also be performed on the classified t"&amp;"ransaction objects.")</f>
        <v>A method, system, and platform of transaction objects such as coins and trading cards such as coins and trading cards such as coins and trading cards are disclosed. By adopting the hierarchical standards of industry standards, the current computer -aided coins and sports trading card platforms use a variety of technologies, such as laser scanning, machine vision, smartphone iOS and Android native installation object recognition, neural network model, blockchain, NFT, NFT, NFT, NFT With intelligent contracts, digital fingerprint recognition is intellectual property rights and franchise fees to achieve consistent grading and transactions to a large number of transaction objects. Terminal verification and transaction can also be performed on the classified transaction objects.</v>
      </c>
      <c r="D567" s="6" t="s">
        <v>1667</v>
      </c>
      <c r="E567" s="4" t="str">
        <f ca="1">IFERROR(__xludf.DUMMYFUNCTION("GOOGLETRANSLATE(D567,""auto"",""en"")"),"Methods and systems for automatic grading and trading for coins and trading cards")</f>
        <v>Methods and systems for automatic grading and trading for coins and trading cards</v>
      </c>
    </row>
    <row r="568" spans="1:5" ht="15" x14ac:dyDescent="0.25">
      <c r="A568" s="5" t="s">
        <v>1669</v>
      </c>
      <c r="B568" s="6" t="s">
        <v>1670</v>
      </c>
      <c r="C568" s="3" t="str">
        <f ca="1">IFERROR(__xludf.DUMMYFUNCTION("GOOGLETRANSLATE(B568,""auto"",""en"")"),"1. The name of the product in this exterior: The running user interface of the train running status of the display screen panel.
 2. Design products in appearance: used for interaction and display.
 3. Design of the design of the product in appearance"&amp;": lies in the interface content of the graphic user interface.
 4. Pictures or photos that can most indicate design points: main view.
 5. There is no design point for other views, omitting other views.
 6. The purpose of graphical user interface: u"&amp;"sed to monitor rail transit operating status and crowded status.
 7. Human -computer interaction method of graphical user interface: The main view is the main interface of the train operation. View the abnormal information of the previous and next page "&amp;"by clicking the ""Previous Page"" and ""Next Page"" button below the interface.
 8. The displayed carrier equipment for display is the existing design. The display screen panel can be applied to computers, laptops, tablet computers, mobile phones, smart"&amp;"phones, smart glasses, watches, smart watches, fitness monitors, head wearing, head wearing Form headphones, personal digital assistants, smart speakers, television, monitor, projector, set -top box, navigator, display device for vehicles.")</f>
        <v>1. The name of the product in this exterior: The running user interface of the train running status of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used to monitor rail transit operating status and crowded status.
 7. Human -computer interaction method of graphical user interface: The main view is the main interface of the train operation. View the abnormal information of the previous and next page by clicking the "Previous Page" and "Next Page" button below the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68" s="6" t="s">
        <v>1671</v>
      </c>
      <c r="E568" s="4" t="str">
        <f ca="1">IFERROR(__xludf.DUMMYFUNCTION("GOOGLETRANSLATE(D568,""auto"",""en"")"),"The train operation status of the display screen panel graphical user interface")</f>
        <v>The train operation status of the display screen panel graphical user interface</v>
      </c>
    </row>
    <row r="569" spans="1:5" ht="15" x14ac:dyDescent="0.25">
      <c r="A569" s="5" t="s">
        <v>1672</v>
      </c>
      <c r="B569" s="6" t="s">
        <v>1673</v>
      </c>
      <c r="C569" s="3" t="str">
        <f ca="1">IFERROR(__xludf.DUMMYFUNCTION("GOOGLETRANSLATE(B569,""auto"",""en"")"),"1. The name of the product in appearance: The rail traffic simulation of the display screen panel deducts the graphic user interface.
 2. Design products in appearance: used for interaction and display.
 3. Design of the design of the product in appea"&amp;"rance: lies in the interface content of the graphic user interface.
 4. Pictures or photos that can most indicate design points: main view.
 5. There is no design point for other views, omitting other views.
 6. The purpose of the graphical user int"&amp;"erface: It is used to simulate information such as simulation, driving, standing control, and alarm when monitoring rail transit.
 7. Human -computer interaction method of graphics user interface: The main view is the main interface of the entire networ"&amp;"k operation status of the rail traffic of the simulation and deducting the rail transit; Check the interface of the single -operating line; click the ""Train"" button at the right end of the timeline below the main view interface and the play button at th"&amp;"e left end of the timeline, drag the timeline, jump to the interface change state Figure 2; click the main view to the interface change state In Figure 2, the ""line crowding"" button in the menu bar of the left side of the first interface, jump to the in"&amp;"terface change state Figure 3; click the main view to the interface change state. The line status ""button, jump to the interface change status Figure 4; click the"" enter and exit passenger flow ""button in the left menu bar in the interface 4 in the int"&amp;"erface 4 in the main view to the interface change status. To the interface change state Figure 5; click the changes of the interface. Figure 5 The number above the subway station is ""Xizhimen"", jump to the interface change state Figure 6; click the main"&amp;" view to the interface change state. 6 The ""Late State of the Train"" button in China, jump to the interface change state diagram 7; click the main view to the interface change status. 8.
 8. The displayed carrier equipment for display is the existing "&amp;"design. The display screen panel can be applied to computers, laptops, tablet computers, mobile phones, smartphones, smart glasses, watches, smart watches, fitness monitors, head wearing, head wearing Form headphones, personal digital assistants, smart sp"&amp;"eakers, television, monitor, projector, set -top box, navigator, display device for vehicles.")</f>
        <v>1. The name of the product in appearance: The rail traffic simulation of the display screen panel deducts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It is used to simulate information such as simulation, driving, standing control, and alarm when monitoring rail transit.
 7. Human -computer interaction method of graphics user interface: The main view is the main interface of the entire network operation status of the rail traffic of the simulation and deducting the rail transit; Check the interface of the single -operating line; click the "Train" button at the right end of the timeline below the main view interface and the play button at the left end of the timeline, drag the timeline, jump to the interface change state Figure 2; click the main view to the interface change state In Figure 2, the "line crowding" button in the menu bar of the left side of the first interface, jump to the interface change state Figure 3; click the main view to the interface change state. The line status "button, jump to the interface change status Figure 4; click the" enter and exit passenger flow "button in the left menu bar in the interface 4 in the interface 4 in the main view to the interface change status. To the interface change state Figure 5; click the changes of the interface. Figure 5 The number above the subway station is "Xizhimen", jump to the interface change state Figure 6; click the main view to the interface change state. 6 The "Late State of the Train" button in China, jump to the interface change state diagram 7; click the main view to the interface change status. 8.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69" s="6" t="s">
        <v>1674</v>
      </c>
      <c r="E569" s="4" t="str">
        <f ca="1">IFERROR(__xludf.DUMMYFUNCTION("GOOGLETRANSLATE(D569,""auto"",""en"")"),"Display screen panel rail transit simulation deduction graphic user interface")</f>
        <v>Display screen panel rail transit simulation deduction graphic user interface</v>
      </c>
    </row>
    <row r="570" spans="1:5" ht="15" x14ac:dyDescent="0.25">
      <c r="A570" s="5" t="s">
        <v>1675</v>
      </c>
      <c r="B570" s="6" t="s">
        <v>1676</v>
      </c>
      <c r="C570" s="3" t="str">
        <f ca="1">IFERROR(__xludf.DUMMYFUNCTION("GOOGLETRANSLATE(B570,""auto"",""en"")"),"The present invention disclosed an interactive intelligent fitness mirror device that involves smart homes and smart fitness, including: monitors to display the user interface operating. The user interface mask has at least one interactive object. Provide"&amp;" control movements for users to perform; image recognition sensors are used to collect user action data; processors, coupled to the display and image recognition sensor for comparison The operating data is matched with any interactive object display provi"&amp;"ded by at least one interactive object on the user interface. The control instructions are used to control the user interface switching or complete the specified operation on the user interface; the mirror is used to show the image of the user on the mirr"&amp;"or, including part of the reflection part, which is via where the monitor is via the place. The user interface displayed by the mirror part of the reflection part to the user, and at least part of the user's imaging in the mirror is superimposed on the re"&amp;"flection part.")</f>
        <v>The present invention disclosed an interactive intelligent fitness mirror device that involves smart homes and smart fitness, including: monitors to display the user interface operating. The user interface mask has at least one interactive object. Provide control movements for users to perform; image recognition sensors are used to collect user action data; processors, coupled to the display and image recognition sensor for comparison The operating data is matched with any interactive object display provided by at least one interactive object on the user interface. The control instructions are used to control the user interface switching or complete the specified operation on the user interface; the mirror is used to show the image of the user on the mirror, including part of the reflection part, which is via where the monitor is via the place. The user interface displayed by the mirror part of the reflection part to the user, and at least part of the user's imaging in the mirror is superimposed on the reflection part.</v>
      </c>
      <c r="D570" s="6" t="s">
        <v>1677</v>
      </c>
      <c r="E570" s="4" t="str">
        <f ca="1">IFERROR(__xludf.DUMMYFUNCTION("GOOGLETRANSLATE(D570,""auto"",""en"")"),"An interactive intelligent fitness mirror device")</f>
        <v>An interactive intelligent fitness mirror device</v>
      </c>
    </row>
    <row r="571" spans="1:5" ht="15" x14ac:dyDescent="0.25">
      <c r="A571" s="5" t="s">
        <v>1678</v>
      </c>
      <c r="B571" s="6" t="s">
        <v>1679</v>
      </c>
      <c r="C571" s="3" t="str">
        <f ca="1">IFERROR(__xludf.DUMMYFUNCTION("GOOGLETRANSLATE(B571,""auto"",""en"")"),"The present invention disclosed a method and system and system of youth sports and health management. It belongs to the field of data management technology. Data processing, the simple Bayesian model is a simple operation and good performance of machine l"&amp;"earning classification algorithms. It has achieved effective classification analysis of data, improving the judgment and guiding prediction of students' physical fitness. Attention in constitution.")</f>
        <v>The present invention disclosed a method and system and system of youth sports and health management. It belongs to the field of data management technology. Data processing, the simple Bayesian model is a simple operation and good performance of machine learning classification algorithms. It has achieved effective classification analysis of data, improving the judgment and guiding prediction of students' physical fitness. Attention in constitution.</v>
      </c>
      <c r="D571" s="6" t="s">
        <v>1680</v>
      </c>
      <c r="E571" s="4" t="str">
        <f ca="1">IFERROR(__xludf.DUMMYFUNCTION("GOOGLETRANSLATE(D571,""auto"",""en"")"),"Youth Sports and Health Management Methods and Systems")</f>
        <v>Youth Sports and Health Management Methods and Systems</v>
      </c>
    </row>
    <row r="572" spans="1:5" ht="15" x14ac:dyDescent="0.25">
      <c r="A572" s="5" t="s">
        <v>1681</v>
      </c>
      <c r="B572" s="6" t="s">
        <v>1682</v>
      </c>
      <c r="C572" s="3" t="str">
        <f ca="1">IFERROR(__xludf.DUMMYFUNCTION("GOOGLETRANSLATE(B572,""auto"",""en"")"),"A video data processing system for video data that provides video content that provides sports events to obtain audio content files, including: the receiver is configured to receive data streams including video data; preferred data acquisition device, con"&amp;"figured to obtain preference data, of which of which , Prefer the participants who participated in sports events selected by data instructions; category identifiers acquisition device, configured to obtain category identifiers from machine learning algori"&amp;"thms from entering video data. Among them With sports events, the category identifier indicates the category category; the audio content file acquisition device, configured as the obtained category identifier and obtained preference data, obtain audio con"&amp;"tent file from the pre -storage audio content file set in the collection of audio content files Among them, the audio content file provides audio content associated with the category of scenes, as well as preference data; and synchronizers, configure it a"&amp;"s synchronous audio content and video content to play the scene in synchronous playback scenes for media player, configure to play video content and audio content document.")</f>
        <v>A video data processing system for video data that provides video content that provides sports events to obtain audio content files, including: the receiver is configured to receive data streams including video data; preferred data acquisition device, configured to obtain preference data, of which of which , Prefer the participants who participated in sports events selected by data instructions; category identifiers acquisition device, configured to obtain category identifiers from machine learning algorithms from entering video data. Among them With sports events, the category identifier indicates the category category; the audio content file acquisition device, configured as the obtained category identifier and obtained preference data, obtain audio content file from the pre -storage audio content file set in the collection of audio content files Among them, the audio content file provides audio content associated with the category of scenes, as well as preference data; and synchronizers, configure it as synchronous audio content and video content to play the scene in synchronous playback scenes for media player, configure to play video content and audio content document.</v>
      </c>
      <c r="D572" s="6" t="s">
        <v>1683</v>
      </c>
      <c r="E572" s="4" t="str">
        <f ca="1">IFERROR(__xludf.DUMMYFUNCTION("GOOGLETRANSLATE(D572,""auto"",""en"")"),"Information processing system and information processing method")</f>
        <v>Information processing system and information processing method</v>
      </c>
    </row>
    <row r="573" spans="1:5" ht="15" x14ac:dyDescent="0.25">
      <c r="A573" s="5" t="s">
        <v>1684</v>
      </c>
      <c r="B573" s="6" t="s">
        <v>1685</v>
      </c>
      <c r="C573" s="3" t="str">
        <f ca="1">IFERROR(__xludf.DUMMYFUNCTION("GOOGLETRANSLATE(B573,""auto"",""en"")"),"1. The name of the product of the design of the product: The shooting graphic user interface of the display screen panel.
 2. The purpose of designing products in this exterior: used to display graphic user interface.
 3. Design of the design of the p"&amp;"roduct in appearance: lies in the graphic user interface.
 4. Pictures or photos that can best show design: Design 1 main view.
 5. Specify design 1 is the basic design.
 6. The purpose of the graphical user interface: This graphic user interface is"&amp;" used for shooting.
 7. Human -computer interaction method of graphics user interface: Design 1 to Design 6 Master View Graphic User Interface is the interface of the shooting. Users can click on the control of the control of the middle or middle part o"&amp;"f the right side of the interface for shooting. See the circular control position on the left or right in the reference diagram.
 The gray color blocks of each design interface are replaceable pictures or videos.
 The fork number in each design interf"&amp;"ace represents text and/or numbers and/or alphabetics.
 8. This graphic user interface can be used for mobile phones, computers, tablets, televisions, vehicle central control screens, vehicle navigators, car display devices, game consoles, navigators, m"&amp;"ultimedia all -in -one machines, smart speakers, smart fitness mirrors with display screens , Fitness monitor with display screens, refrigerators with display screens, refrigerators with display screens, water purifiers with display screens, water dispens"&amp;"ers with display screens, air conditioners with display screens, washing machines with display screens, display display, display display display, display display display The water heater on the screen, the range hood with a display screen, dishwasher with"&amp;" a display screen, an integrated stove with a display screen, a steaming oven with a display screen, a rice cooker with a display screen, an electric pressure cooker with a display screen, a display screen Cooking machines, wall breaking machines with dis"&amp;"play screens, water heaters with display screens, water kettles with display screens, induction cookers with display screens, microwave ovens with display screens, microwave rice cookers with display screens, squeeze with display screens, squeezes with di"&amp;"splay screens汁机、带显示屏幕的消毒柜、带显示屏幕的加湿器、带显示屏幕的除湿器、带显示屏幕的机器人、智能手环、智能手表、智能眼镜、智能耳机、智能台灯、智能门系统、 Advertising display, automatic saleer, massage device with display screen, and rehabilitation career with display screens.
 9. The display screen panel is commonly d"&amp;"esigned, omitting the rear views, left view, right view, downward view, and view view of various design.")</f>
        <v>1. The name of the product of the design of the product: The shooting graphic user interface of the display screen panel.
 2. The purpose of designing products in this exterior: used to display graphic user interface.
 3. Design of the design of the product in appearance: lies in the graphic user interface.
 4. Pictures or photos that can best show design: Design 1 main view.
 5. Specify design 1 is the basic design.
 6. The purpose of the graphical user interface: This graphic user interface is used for shooting.
 7. Human -computer interaction method of graphics user interface: Design 1 to Design 6 Master View Graphic User Interface is the interface of the shooting. Users can click on the control of the control of the middle or middle part of the right side of the interface for shooting. See the circular control position on the left or right in the reference diagram.
 The gray color blocks of each design interface are replaceable pictures or videos.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speakers, smart fitness mirrors with display screens , Fitness monitor with display screens, refrigerators with display screens, refrigerators with display screens, water purifiers with display screens, water dispensers with display screens, air conditioners with display screens, washing machines with display screens, display display, display display display, display display display The water heater on the screen, the range hood with a display screen, dishwasher with a display screen, an integrated stove with a display screen, a steaming oven with a display screen, a rice cooker with a display screen, an electric pressure cooker with a display screen, a display screen Cooking machines, wall breaking machines with display screens, water heaters with display screens, water kettles with display screens, induction cookers with display screens, microwave ovens with display screens, microwave rice cookers with display screens, squeeze with display screens, squeezes with display screens汁机、带显示屏幕的消毒柜、带显示屏幕的加湿器、带显示屏幕的除湿器、带显示屏幕的机器人、智能手环、智能手表、智能眼镜、智能耳机、智能台灯、智能门系统、 Advertising display, automatic saleer, massage device with display screen, and rehabilitation career with display screens.
 9. The display screen panel is commonly designed, omitting the rear views, left view, right view, downward view, and view view of various design.</v>
      </c>
      <c r="D573" s="6" t="s">
        <v>339</v>
      </c>
      <c r="E573" s="4" t="str">
        <f ca="1">IFERROR(__xludf.DUMMYFUNCTION("GOOGLETRANSLATE(D573,""auto"",""en"")"),"Shooting graphics user interface of display screen panel")</f>
        <v>Shooting graphics user interface of display screen panel</v>
      </c>
    </row>
    <row r="574" spans="1:5" ht="15" x14ac:dyDescent="0.25">
      <c r="A574" s="5" t="s">
        <v>1686</v>
      </c>
      <c r="B574" s="6" t="s">
        <v>1687</v>
      </c>
      <c r="C574" s="3" t="str">
        <f ca="1">IFERROR(__xludf.DUMMYFUNCTION("GOOGLETRANSLATE(B574,""auto"",""en"")"),"This utility model opens up a kind of upper limb grip and stretch rehabilitation training instrument, including: human operating devices, including operating baskets and basket covers, handles and switching parts on the outer wall of the operating basket,"&amp;" stress sensors on the handle; human -machines; Interactive device, connect to the human operating device signal, human -machine interactive devices include game modules, display modules and sound playback modules, display modules to display rehabilitatio"&amp;"n training games in the game module, sound play module play the corresponding sound when the user performs the game operation; The inductive feedback device is located on the human operating device. The induction feedback device includes LED display light"&amp;"s, vibration parts and controllers. At the beginning of rehabilitation training, the user operates the human operating device to perform corresponding operations on the rehabilitation training game in the display module. LED Display lights and vibration p"&amp;"arts feedback the right and wrong of the game operation; it can solve the problem of cumbersome interaction methods of general upper limb rehabilitation equipment, inconvenient patient exercises, and expensive prices and complex settings.")</f>
        <v>This utility model opens up a kind of upper limb grip and stretch rehabilitation training instrument, including: human operating devices, including operating baskets and basket covers, handles and switching parts on the outer wall of the operating basket, stress sensors on the handle; human -machines; Interactive device, connect to the human operating device signal, human -machine interactive devices include game modules, display modules and sound playback modules, display modules to display rehabilitation training games in the game module, sound play module play the corresponding sound when the user performs the game operation; The inductive feedback device is located on the human operating device. The induction feedback device includes LED display lights, vibration parts and controllers. At the beginning of rehabilitation training, the user operates the human operating device to perform corresponding operations on the rehabilitation training game in the display module. LED Display lights and vibration parts feedback the right and wrong of the game operation; it can solve the problem of cumbersome interaction methods of general upper limb rehabilitation equipment, inconvenient patient exercises, and expensive prices and complex settings.</v>
      </c>
      <c r="D574" s="6" t="s">
        <v>1688</v>
      </c>
      <c r="E574" s="4" t="str">
        <f ca="1">IFERROR(__xludf.DUMMYFUNCTION("GOOGLETRANSLATE(D574,""auto"",""en"")"),"A kind of upper limb grabbing stretch rehabilitation training instrument")</f>
        <v>A kind of upper limb grabbing stretch rehabilitation training instrument</v>
      </c>
    </row>
    <row r="575" spans="1:5" ht="15" x14ac:dyDescent="0.25">
      <c r="A575" s="5" t="s">
        <v>1689</v>
      </c>
      <c r="B575" s="6" t="s">
        <v>1690</v>
      </c>
      <c r="C575" s="3" t="str">
        <f ca="1">IFERROR(__xludf.DUMMYFUNCTION("GOOGLETRANSLATE(B575,""auto"",""en"")"),"1. Design product name: The smart sports data of the computer shows the graphical user interface.
 2. Design product use: computer smart large screen operation display.
 3. Design of design products in this appearance: lies in the interface layout of "&amp;"the design.
 4. Pictures or photos that can most indicate design points: main view.
 5. The purpose of graphical user interface: used to display running data.
 6. Human -computer interaction method of graphic user interface: On the main interface, c"&amp;"lick the ""grade file"" icon on the right to enter the changes in the recognition status Figure 1. After the identification is successful, jump to the change state Figure 2, then jump to the jump to the jump to the jump to the jump to Change status Figure"&amp;" 3, test and operate historical data.")</f>
        <v>1. Design product name: The smart sports data of the computer shows the graphical user interface.
 2. Design product use: computer smart large screen operation display.
 3. Design of design products in this appearance: lies in the interface layout of the design.
 4. Pictures or photos that can most indicate design points: main view.
 5. The purpose of graphical user interface: used to display running data.
 6. Human -computer interaction method of graphic user interface: On the main interface, click the "grade file" icon on the right to enter the changes in the recognition status Figure 1. After the identification is successful, jump to the change state Figure 2, then jump to the jump to the jump to the jump to the jump to Change status Figure 3, test and operate historical data.</v>
      </c>
      <c r="D575" s="6" t="s">
        <v>1691</v>
      </c>
      <c r="E575" s="4" t="str">
        <f ca="1">IFERROR(__xludf.DUMMYFUNCTION("GOOGLETRANSLATE(D575,""auto"",""en"")"),"The smart sports data of the computer shows the graphical user interface")</f>
        <v>The smart sports data of the computer shows the graphical user interface</v>
      </c>
    </row>
    <row r="576" spans="1:5" ht="15" x14ac:dyDescent="0.25">
      <c r="A576" s="5" t="s">
        <v>1692</v>
      </c>
      <c r="B576" s="6" t="s">
        <v>1693</v>
      </c>
      <c r="C576" s="3" t="str">
        <f ca="1">IFERROR(__xludf.DUMMYFUNCTION("GOOGLETRANSLATE(B576,""auto"",""en"")"),"The present invention disclosed a smart terminal based on big data and artificial intelligence entrances, including the shell, which has a control center in the internal fixed connection of the shell. Matching the corresponding connection settings with th"&amp;"e control center, the fixed connection of the outside of the shell is set with a speaker, which is set on the lower side of the display, and the matching of the corresponding connection settings between the speaker and the control center, the control cent"&amp;"er There are multiple slots on the left, which is set on the left side of the control center. The active slot is located on the lower side of the multiple slot. The rear side of the active groove and the stable slot match the corresponding settings. While"&amp;" the present invention can better complete the protection operation of the slot and the control center, it can complete the simple adjustment of the shell and the curved rod according to the actual work conditions. The overall operation is simple and prac"&amp;"tical.")</f>
        <v>The present invention disclosed a smart terminal based on big data and artificial intelligence entrances, including the shell, which has a control center in the internal fixed connection of the shell. Matching the corresponding connection settings with the control center, the fixed connection of the outside of the shell is set with a speaker, which is set on the lower side of the display, and the matching of the corresponding connection settings between the speaker and the control center, the control center There are multiple slots on the left, which is set on the left side of the control center. The active slot is located on the lower side of the multiple slot. The rear side of the active groove and the stable slot match the corresponding settings. While the present invention can better complete the protection operation of the slot and the control center, it can complete the simple adjustment of the shell and the curved rod according to the actual work conditions. The overall operation is simple and practical.</v>
      </c>
      <c r="D576" s="6" t="s">
        <v>1694</v>
      </c>
      <c r="E576" s="4" t="str">
        <f ca="1">IFERROR(__xludf.DUMMYFUNCTION("GOOGLETRANSLATE(D576,""auto"",""en"")"),"A smart terminal based on big data and artificial intelligence entrance")</f>
        <v>A smart terminal based on big data and artificial intelligence entrance</v>
      </c>
    </row>
    <row r="577" spans="1:5" ht="15" x14ac:dyDescent="0.25">
      <c r="A577" s="5" t="s">
        <v>1695</v>
      </c>
      <c r="B577" s="6" t="s">
        <v>1696</v>
      </c>
      <c r="C577" s="3" t="str">
        <f ca="1">IFERROR(__xludf.DUMMYFUNCTION("GOOGLETRANSLATE(B577,""auto"",""en"")"),"A basketball auxiliary training method and device provided this publicly provided involved artificial intelligence technology, including: the first image of the target player at the time of basketball, and the second image of the basketball after shot; ac"&amp;"cording to the first image, the second image, the second image, the second image, the second image Determine the exercise parameters at the time of basketball; according to the second image, determine the first time from the basketball to entering the bas"&amp;"ket; according to the second image, determine the first deviation rate; Scores, determine the first result; according to exercise parameters, the first result, determine the best exercise parameters. This solution determines the player's movement paramete"&amp;"rs and the accuracy of basketball through the image of basketball and the image after shot. Then use the best sports parameters to adjust the training of players. Can more accurately locate the problems of basketball players and correct them in time.")</f>
        <v>A basketball auxiliary training method and device provided this publicly provided involved artificial intelligence technology, including: the first image of the target player at the time of basketball, and the second image of the basketball after shot; according to the first image, the second image, the second image, the second image, the second image Determine the exercise parameters at the time of basketball; according to the second image, determine the first time from the basketball to entering the basket; according to the second image, determine the first deviation rate; Scores, determine the first result; according to exercise parameters, the first result, determine the best exercise parameters. This solution determines the player's movement parameters and the accuracy of basketball through the image of basketball and the image after shot. Then use the best sports parameters to adjust the training of players. Can more accurately locate the problems of basketball players and correct them in time.</v>
      </c>
      <c r="D577" s="6" t="s">
        <v>1697</v>
      </c>
      <c r="E577" s="4" t="str">
        <f ca="1">IFERROR(__xludf.DUMMYFUNCTION("GOOGLETRANSLATE(D577,""auto"",""en"")"),"Basketball auxiliary training method, device")</f>
        <v>Basketball auxiliary training method, device</v>
      </c>
    </row>
    <row r="578" spans="1:5" ht="15" x14ac:dyDescent="0.25">
      <c r="A578" s="5" t="s">
        <v>1698</v>
      </c>
      <c r="B578" s="6" t="s">
        <v>1699</v>
      </c>
      <c r="C578" s="3" t="str">
        <f ca="1">IFERROR(__xludf.DUMMYFUNCTION("GOOGLETRANSLATE(B578,""auto"",""en"")"),"Provides an electronic device and method for providing data -driven help for users participating in sports. The first sensor data associated with one or more motion mode of the user's body with the user's body and receives the first information associated"&amp;" with the location of the body's physical activity. Electronic devices determine the first indicator of one or more that may affect the performance of users or users in physical activity. Since then, the electronic device is based on the application of on"&amp;"e or more first indicators and the first information received by the first or more first indicator of the electronic equipment to generate data. The generating data includes one or more improvement suggestions related to physical activity for users. Elect"&amp;"ronic equipment control display device display demonstration data.")</f>
        <v>Provides an electronic device and method for providing data -driven help for users participating in sports. The first sensor data associated with one or more motion mode of the user's body with the user's body and receives the first information associated with the location of the body's physical activity. Electronic devices determine the first indicator of one or more that may affect the performance of users or users in physical activity. Since then, the electronic device is based on the application of one or more first indicators and the first information received by the first or more first indicator of the electronic equipment to generate data. The generating data includes one or more improvement suggestions related to physical activity for users. Electronic equipment control display device display demonstration data.</v>
      </c>
      <c r="D578" s="6" t="s">
        <v>1700</v>
      </c>
      <c r="E578" s="4" t="str">
        <f ca="1">IFERROR(__xludf.DUMMYFUNCTION("GOOGLETRANSLATE(D578,""auto"",""en"")"),"Provide data -driven help for users participating in sports activities")</f>
        <v>Provide data -driven help for users participating in sports activities</v>
      </c>
    </row>
    <row r="579" spans="1:5" ht="15" x14ac:dyDescent="0.25">
      <c r="A579" s="5" t="s">
        <v>1701</v>
      </c>
      <c r="B579" s="6" t="s">
        <v>1702</v>
      </c>
      <c r="C579" s="3" t="str">
        <f ca="1">IFERROR(__xludf.DUMMYFUNCTION("GOOGLETRANSLATE(B579,""auto"",""en"")"),"[0001] The present invention involves a cane -style fitness device, including platform 1 located on the ground. Platform 1 has a cane 2 and a cane 2 for users to exercise physical exercise. The display panel 3 is mapped on the ground. Platform 1 can provi"&amp;"de touch inputs related to the difficulty of exercise. A pair of C -shaped fixture 4 is fixed on the cane 2 through an electric slider. It is used to clamp each foot of the user. Configured on the platform 1 and used to shoot the image of the operating ro"&amp;"d 2. Place multiple pneumatic rod 6 vertically between the platform 1 and the manipulator 2, which is used to adjust the inclinedness of the operating rod 2. For the correct physical posture of projection of virtual users.")</f>
        <v>[0001] The present invention involves a cane -style fitness device, including platform 1 located on the ground. Platform 1 has a cane 2 and a cane 2 for users to exercise physical exercise. The display panel 3 is mapped on the ground. Platform 1 can provide touch inputs related to the difficulty of exercise. A pair of C -shaped fixture 4 is fixed on the cane 2 through an electric slider. It is used to clamp each foot of the user. Configured on the platform 1 and used to shoot the image of the operating rod 2. Place multiple pneumatic rod 6 vertically between the platform 1 and the manipulator 2, which is used to adjust the inclinedness of the operating rod 2. For the correct physical posture of projection of virtual users.</v>
      </c>
      <c r="D579" s="6" t="s">
        <v>1703</v>
      </c>
      <c r="E579" s="4" t="str">
        <f ca="1">IFERROR(__xludf.DUMMYFUNCTION("GOOGLETRANSLATE(D579,""auto"",""en"")"),"Stick fit")</f>
        <v>Stick fit</v>
      </c>
    </row>
    <row r="580" spans="1:5" ht="15" x14ac:dyDescent="0.25">
      <c r="A580" s="5" t="s">
        <v>1704</v>
      </c>
      <c r="B580" s="6" t="s">
        <v>1705</v>
      </c>
      <c r="C580" s="3" t="str">
        <f ca="1">IFERROR(__xludf.DUMMYFUNCTION("GOOGLETRANSLATE(B580,""auto"",""en"")"),"1. Design product name: The control of the display screen panel is used to retrieve the graphic user interface.
 2. The purpose of designing products in this exterior: The control of the display screen panel is retrieved.
 3. Design of design products"&amp;" in this appearance: lies in the graphic user interface in the screen.
 4. Pictures or photos that can most indicate design points: main view.
 5. There is no design point for other views, omitting other views.
 6. The purpose of the graphical user "&amp;"interface: The control of the display screen panel is retrieved.
 7. Human -computer interaction method of graphical user interface: Click the center of the circular diagram on the interface to make a series of controls display one by one along the curv"&amp;"ed path.
 8. Change state description of the graphic user interface: Click the center of the circular chart on the main view interface, change from the main view of the view to the change state. Figure 1‑3.
 9. The final product applied by the display"&amp;" screen panel is mobile phones, computers, smart TVs, vehicle central control screens, multimedia all -in -one machines, electronic notepads, wearing display devices, smart speakers, projectors, navigators, smart, smart Watch, smart bracelets, smart table"&amp;" lamps, refrigerators with screens, range hoods with screens, air conditioners with screens, smart fitness mirrors, disinfection cabinets with screens, dishwashers with screens, and screens with screens.")</f>
        <v>1. Design product name: The control of the display screen panel is used to retrieve the graphic user interface.
 2. The purpose of designing products in this exterior: The control of the display screen panel is retrieved.
 3. Design of design products in this appearance: lies in the graphic user interface in the screen.
 4. Pictures or photos that can most indicate design points: main view.
 5. There is no design point for other views, omitting other views.
 6. The purpose of the graphical user interface: The control of the display screen panel is retrieved.
 7. Human -computer interaction method of graphical user interface: Click the center of the circular diagram on the interface to make a series of controls display one by one along the curved path.
 8. Change state description of the graphic user interface: Click the center of the circular chart on the main view interface, change from the main view of the view to the change state. Figure 1‑3.
 9. The final product applied by the display screen panel is mobile phones, computers, smart TVs, vehicle central control screens, multimedia all -in -one machines, electronic notepads, wearing display devices, smart speakers, projectors, navigators, smart, smart Watch, smart bracelets, smart table lamps, refrigerators with screens, range hoods with screens, air conditioners with screens, smart fitness mirrors, disinfection cabinets with screens, dishwashers with screens, and screens with screens.</v>
      </c>
      <c r="D580" s="6" t="s">
        <v>1706</v>
      </c>
      <c r="E580" s="4" t="str">
        <f ca="1">IFERROR(__xludf.DUMMYFUNCTION("GOOGLETRANSLATE(D580,""auto"",""en"")"),"Controls used to display screen panels to retrieve graphical user interface")</f>
        <v>Controls used to display screen panels to retrieve graphical user interface</v>
      </c>
    </row>
    <row r="581" spans="1:5" ht="15" x14ac:dyDescent="0.25">
      <c r="A581" s="5" t="s">
        <v>1707</v>
      </c>
      <c r="B581" s="6" t="s">
        <v>1708</v>
      </c>
      <c r="C581" s="3" t="str">
        <f ca="1">IFERROR(__xludf.DUMMYFUNCTION("GOOGLETRANSLATE(B581,""auto"",""en"")"),"An information processing system, which is used to obtain audio content files for video data that provides video content that provides sports events, including: receiver, configured to receive data streams including video data; Data, which prefer data to "&amp;"indicate the selection participants participating in sports events; category identifier obtaining device, configured to obtain category identifiers from machine learning algorithms from entering video data. Machine learning algorithms are trained on it. S"&amp;"cenaries are classified into a set of categories in a set of scheduled categories associated with sports events. The category identifier indicates the category of the scenario; , A audio content file from a set of audio content files pre -stored, this aud"&amp;"io content file provides audio content related to scenario category and preference data; and synchronizers, configured to synchronize audio content and video content for media playback Play the scene in synchronization and be configured to play video cont"&amp;"ent and audio content files.")</f>
        <v>An information processing system, which is used to obtain audio content files for video data that provides video content that provides sports events, including: receiver, configured to receive data streams including video data; Data, which prefer data to indicate the selection participants participating in sports events; category identifier obtaining device, configured to obtain category identifiers from machine learning algorithms from entering video data. Machine learning algorithms are trained on it. Scenaries are classified into a set of categories in a set of scheduled categories associated with sports events. The category identifier indicates the category of the scenario; , A audio content file from a set of audio content files pre -stored, this audio content file provides audio content related to scenario category and preference data; and synchronizers, configured to synchronize audio content and video content for media playback Play the scene in synchronization and be configured to play video content and audio content files.</v>
      </c>
      <c r="D581" s="6" t="s">
        <v>1709</v>
      </c>
      <c r="E581" s="4" t="str">
        <f ca="1">IFERROR(__xludf.DUMMYFUNCTION("GOOGLETRANSLATE(D581,""auto"",""en"")"),"Information processing system and information processing program")</f>
        <v>Information processing system and information processing program</v>
      </c>
    </row>
    <row r="582" spans="1:5" ht="15" x14ac:dyDescent="0.25">
      <c r="A582" s="5" t="s">
        <v>1710</v>
      </c>
      <c r="B582" s="6" t="s">
        <v>1711</v>
      </c>
      <c r="C582" s="3" t="str">
        <f ca="1">IFERROR(__xludf.DUMMYFUNCTION("GOOGLETRANSLATE(B582,""auto"",""en"")"),"1. The name of the product in appearance: The fitness program graphic user interface for fitness equipment.
 2. The purpose of designing products in this exterior: The design of the product in this exterior is used to record the interaction of sports in"&amp;"formation in real time.
 3. Design of the design of the product in this exterior: lies in the graphic user interface content displayed by the display screen.
 4. Pictures or photos that can most indicate design points: main view.
 5. The display scr"&amp;"een panel is commonly designed, omit other views.
 6. The purpose of graphical user interface: The interface of the design of the product in this exterior is used for human -computer interaction and display fitness information.
 7. Change state descri"&amp;"ption of the graphic user interface: The interface displayed by the main view is the initial login interface of the software; the interface change state diagram The interface displayed on the reason for the ""face recognition"" or ""NFC"" button in the ma"&amp;"in view. Interface; interface change state Figure 2 Display interface display interface displayed after clicking the ""Quick Start"" button in the interface changes; The interface displayed after the key ""After the key; the interface change state Figure "&amp;"4 shows the interface displayed after the interface change state. Figure 3.")</f>
        <v>1. The name of the product in appearance: The fitness program graphic user interface for fitness equipment.
 2. The purpose of designing products in this exterior: The design of the product in this exterior is used to record the interaction of sports information in real time.
 3. Design of the design of the product in this exterior: lies in the graphic user interface content displayed by the display screen.
 4. Pictures or photos that can most indicate design points: main view.
 5. The display screen panel is commonly designed, omit other views.
 6. The purpose of graphical user interface: The interface of the design of the product in this exterior is used for human -computer interaction and display fitness information.
 7. Change state description of the graphic user interface: The interface displayed by the main view is the initial login interface of the software; the interface change state diagram The interface displayed on the reason for the "face recognition" or "NFC" button in the main view. Interface; interface change state Figure 2 Display interface display interface displayed after clicking the "Quick Start" button in the interface changes; The interface displayed after the key "After the key; the interface change state Figure 4 shows the interface displayed after the interface change state. Figure 3.</v>
      </c>
      <c r="D582" s="6" t="s">
        <v>1712</v>
      </c>
      <c r="E582" s="4" t="str">
        <f ca="1">IFERROR(__xludf.DUMMYFUNCTION("GOOGLETRANSLATE(D582,""auto"",""en"")"),"The fitness program graphics user interface used for fitness equipment")</f>
        <v>The fitness program graphics user interface used for fitness equipment</v>
      </c>
    </row>
    <row r="583" spans="1:5" ht="15" x14ac:dyDescent="0.25">
      <c r="A583" s="5" t="s">
        <v>1713</v>
      </c>
      <c r="B583" s="6" t="s">
        <v>1714</v>
      </c>
      <c r="C583" s="3" t="str">
        <f ca="1">IFERROR(__xludf.DUMMYFUNCTION("GOOGLETRANSLATE(B583,""auto"",""en"")"),"1. The name of the product designed this product: The device service graphics user interface used for display screen panels.
 2. The purpose of designing products in this exterior: This design product is used for computers, laptops, tablet computers, sm"&amp;"artphones, smart watches, fitness monitor, headset headphones, smart speakers, TV, and set -top display screen panels. Display equipment services and control services through human -computer interaction to guide user behavior.
 3. Design of the design o"&amp;"f the product in this exterior: lies in the content of the graphic user interface in the screen.
 4. Pictures or photos that can best show design: Design 1 main view.
 5. The display screen panel is commonly designed, omit other views.
 6. Specify d"&amp;"esign 1 is the basic design.
 7. The purpose of the graphical user interface: During the process of equipment equity in the operating interface, the user uses the function and add information to achieve the purpose of performing service operations such "&amp;"as repair, cleaning, and extension of equipment.
 8. Human -computer interaction method of graphical user interface: Design 1 The main view of the main view is the main interface of the user's device service. By selecting a icon or text in the interface"&amp;", the interface jumps to the next interface; the design 2 main view is to serve the user's device service. Main interface, select the one -click repairs button at the bottom left of the main screen, the interface is transformed into design 2 interface cha"&amp;"nge state Figure 1, slide up the interface up, the interface is transformed into design 2 interface change state Figure 2, select design 2 interface change state Figure 2 Add pictures/video tabs, fill in the relevant information and time and address, the "&amp;"interface is transformed into a design 2 interface change state Figure 3, slide up the interface up, the interface is transformed to design 2 interface change state Figure 4; design 3 main view is user device equipment device equipment equipment device eq"&amp;"uipment device equipment device equipment device device The main interface of the service, select the view button on the right side of the main view of the warranty card, the interface is transformed into the design 3 interface change status diagram, pres"&amp;"enting the main service information of the warranty card; the design 4 main view is the main interface of the user device service, select the design design, select the design design, select the design design, select the design design, select the design de"&amp;"sign, select the design of the design. 4 The main viewing warranty card on the right side of the warranty card, the interface is transformed into design 4 interface change status diagram, presenting the relevant information interface received by the warra"&amp;"nty card; where the ""gray block"" in the interface is expressed as a variable picture, and ""gray color in the interface"" in the interface ""gray color ""Botage and cross -line"" indicate a variable icon.")</f>
        <v>1. The name of the product designed this product: The device service graphics user interface used for display screen panels.
 2. The purpose of designing products in this exterior: This design product is used for computers, laptops, tablet computers, smartphones, smart watches, fitness monitor, headset headphones, smart speakers, TV, and set -top display screen panels. Display equipment services and control services through human -computer interaction to guide user behavior.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graphical user interface: During the process of equipment equity in the operating interface, the user uses the function and add information to achieve the purpose of performing service operations such as repair, cleaning, and extension of equipment.
 8. Human -computer interaction method of graphical user interface: Design 1 The main view of the main view is the main interface of the user's device service. By selecting a icon or text in the interface, the interface jumps to the next interface; the design 2 main view is to serve the user's device service. Main interface, select the one -click repairs button at the bottom left of the main screen, the interface is transformed into design 2 interface change state Figure 1, slide up the interface up, the interface is transformed into design 2 interface change state Figure 2, select design 2 interface change state Figure 2 Add pictures/video tabs, fill in the relevant information and time and address, the interface is transformed into a design 2 interface change state Figure 3, slide up the interface up, the interface is transformed to design 2 interface change state Figure 4; design 3 main view is user device equipment device equipment equipment device equipment device equipment device equipment device device The main interface of the service, select the view button on the right side of the main view of the warranty card, the interface is transformed into the design 3 interface change status diagram, presenting the main service information of the warranty card; the design 4 main view is the main interface of the user device service, select the design design, select the design design, select the design design, select the design design, select the design design, select the design of the design. 4 The main viewing warranty card on the right side of the warranty card, the interface is transformed into design 4 interface change status diagram, presenting the relevant information interface received by the warranty card; where the "gray block" in the interface is expressed as a variable picture, and "gray color in the interface" in the interface "gray color "Botage and cross -line" indicate a variable icon.</v>
      </c>
      <c r="D583" s="6" t="s">
        <v>1715</v>
      </c>
      <c r="E583" s="4" t="str">
        <f ca="1">IFERROR(__xludf.DUMMYFUNCTION("GOOGLETRANSLATE(D583,""auto"",""en"")"),"Equipment service graphics user interface for display screen panels")</f>
        <v>Equipment service graphics user interface for display screen panels</v>
      </c>
    </row>
    <row r="584" spans="1:5" ht="15" x14ac:dyDescent="0.25">
      <c r="A584" s="5" t="s">
        <v>1716</v>
      </c>
      <c r="B584" s="6" t="s">
        <v>1717</v>
      </c>
      <c r="C584" s="3" t="str">
        <f ca="1">IFERROR(__xludf.DUMMYFUNCTION("GOOGLETRANSLATE(B584,""auto"",""en"")"),"1. Design product name: The control of the display screen panel is used to expand the graphic user interface.
 2. Design products in appearance: used to display and human -computer interaction.
 3. Design of the design of the product here: lies in the"&amp;" graphic user interface status diagram in the screen.
 4. Pictures or photos that can most indicate design points: main view.
 5. There is no design point for other views, omitting other views.
 6. The purpose of graphical user interface: used to di"&amp;"splay human -computer interaction.
 7. Human -computer interaction method of graphical user interface: The user can click the arrow on the interface to make the controls on the corresponding direction change from the main view to the change state in tur"&amp;"n to the change state Figure 1, 2, 3 and 4.
 8.该界面用于手机、计算机、平板电脑、智能电视、车载中控屏幕、多媒体一体机、电子记事本、头戴式显示设备、智能音箱、投影仪、游戏机、导航仪、智能手表、 Smart bracelets, smart table lamps, refrigerators with screens, hoods with screens, air conditioners with screens, smart fitness mirr"&amp;"ors, disinfection cabinets with screens, dishwashers with screens, and oven with screens.")</f>
        <v>1. Design product name: The control of the display screen panel is used to expand the graphic user interface.
 2. Design products in appearance: used to display and human -computer interaction.
 3. Design of the design of the product here: lies in the graphic user interface status diagram in the screen.
 4. Pictures or photos that can most indicate design points: main view.
 5. There is no design point for other views, omitting other views.
 6. The purpose of graphical user interface: used to display human -computer interaction.
 7. Human -computer interaction method of graphical user interface: The user can click the arrow on the interface to make the controls on the corresponding direction change from the main view to the change state in turn to the change state Figure 1, 2, 3 and 4.
 8.该界面用于手机、计算机、平板电脑、智能电视、车载中控屏幕、多媒体一体机、电子记事本、头戴式显示设备、智能音箱、投影仪、游戏机、导航仪、智能手表、 Smart bracelets, smart table lamps, refrigerators with screens, hoods with screens, air conditioners with screens, smart fitness mirrors, disinfection cabinets with screens, dishwashers with screens, and oven with screens.</v>
      </c>
      <c r="D584" s="6" t="s">
        <v>1718</v>
      </c>
      <c r="E584" s="4" t="str">
        <f ca="1">IFERROR(__xludf.DUMMYFUNCTION("GOOGLETRANSLATE(D584,""auto"",""en"")"),"Controls used for display screen panels Expand graphic user interface")</f>
        <v>Controls used for display screen panels Expand graphic user interface</v>
      </c>
    </row>
    <row r="585" spans="1:5" ht="15" x14ac:dyDescent="0.25">
      <c r="A585" s="5" t="s">
        <v>1719</v>
      </c>
      <c r="B585" s="6" t="s">
        <v>1720</v>
      </c>
      <c r="C585" s="3" t="str">
        <f ca="1">IFERROR(__xludf.DUMMYFUNCTION("GOOGLETRANSLATE(B585,""auto"",""en"")"),"1. Design product name: The control graphic user interface for the control of the screen panel.
 2. Design products in appearance: used to display and human -computer interaction.
 3. Design of the design of the product in appearance: lies in the grap"&amp;"hic user interface.
 4. Pictures or photos that can most indicate design points: main view.
 5. The purpose of graphical user interface: used to display human -computer interaction.
 6. Human -computer interaction method of graphical user interface:"&amp;" Users can click the arrows on the interface in turn to fold the control one by one; change from the main view to the change state figure 1, change status figure 2, change status 3, change status chart 4.
 7. Other situations that need to be described a"&amp;"nd other descriptions: This graphic user interface can be used for mobile phones, computers, tablet computers, smart TVs, vehicle central control screens, multimedia all -in -one machines, electronic notepads, headset display devices, smart speakers, proj"&amp;"ectors, projectors, projectors , Gaming machine, navigator, smart watch, smart bracelet, smart table lamp, refrigerator with screen, range hood with screen, air conditioning with screen, smart fitness mirror, disinfection cabinet with screen, dishwasher w"&amp;"ith screen Overse with a screen.")</f>
        <v>1. Design product name: The control graphic user interface for the control of the screen panel.
 2. Design products in appearance: used to display and human -computer interaction.
 3. Design of the design of the product in appearance: lies in the graphic user interface.
 4. Pictures or photos that can most indicate design points: main view.
 5. The purpose of graphical user interface: used to display human -computer interaction.
 6. Human -computer interaction method of graphical user interface: Users can click the arrows on the interface in turn to fold the control one by one; change from the main view to the change state figure 1, change status figure 2, change status 3, change status chart 4.
 7. Other situations that need to be described and other descriptions: This graphic user interface can be used for mobile phones, computers, tablet computers, smart TVs, vehicle central control screens, multimedia all -in -one machines, electronic notepads, headset display devices, smart speakers, projectors, projectors, projectors , Gaming machine, navigator, smart watch, smart bracelet, smart table lamp, refrigerator with screen, range hood with screen, air conditioning with screen, smart fitness mirror, disinfection cabinet with screen, dishwasher with screen Overse with a screen.</v>
      </c>
      <c r="D585" s="6" t="s">
        <v>1721</v>
      </c>
      <c r="E585" s="4" t="str">
        <f ca="1">IFERROR(__xludf.DUMMYFUNCTION("GOOGLETRANSLATE(D585,""auto"",""en"")"),"The control of the control graphic user interface for the control screen panel")</f>
        <v>The control of the control graphic user interface for the control screen panel</v>
      </c>
    </row>
    <row r="586" spans="1:5" ht="15" x14ac:dyDescent="0.25">
      <c r="A586" s="5" t="s">
        <v>1722</v>
      </c>
      <c r="B586" s="6" t="s">
        <v>1723</v>
      </c>
      <c r="C586" s="3" t="str">
        <f ca="1">IFERROR(__xludf.DUMMYFUNCTION("GOOGLETRANSLATE(B586,""auto"",""en"")"),"[0001] The present invention involves a method for detecting sports events and a system for executing this method, including the following steps: obtain image data that capture video of specific sports events; An online text data, wherein the online text "&amp;"data includes the content information related to the creation time and the content information of the online text data. The creation time is information about the time for the creation of the online text data; Neural networks, which are pre -obtained in a"&amp;"dvance image data related to multiple sports events are marked with the writing time and analysis results of writing content included in online text data. Generate wonderful sports images, including at least one sports event data reflected in text data th"&amp;"at extract text data.")</f>
        <v>[0001] The present invention involves a method for detecting sports events and a system for executing this method, including the following steps: obtain image data that capture video of specific sports events; An online text data, wherein the online text data includes the content information related to the creation time and the content information of the online text data. The creation time is information about the time for the creation of the online text data; Neural networks, which are pre -obtained in advance image data related to multiple sports events are marked with the writing time and analysis results of writing content included in online text data. Generate wonderful sports images, including at least one sports event data reflected in text data that extract text data.</v>
      </c>
      <c r="D586" s="6" t="s">
        <v>1724</v>
      </c>
      <c r="E586" s="4" t="str">
        <f ca="1">IFERROR(__xludf.DUMMYFUNCTION("GOOGLETRANSLATE(D586,""auto"",""en"")"),"Methods to detect sports events and systems that execute this method")</f>
        <v>Methods to detect sports events and systems that execute this method</v>
      </c>
    </row>
    <row r="587" spans="1:5" ht="15" x14ac:dyDescent="0.25">
      <c r="A587" s="5" t="s">
        <v>1725</v>
      </c>
      <c r="B587" s="6" t="s">
        <v>1726</v>
      </c>
      <c r="C587" s="3" t="str">
        <f ca="1">IFERROR(__xludf.DUMMYFUNCTION("GOOGLETRANSLATE(B587,""auto"",""en"")"),"1. The name of the product in appearance: display screen panel with sports service graphics user interface.
 2. Design products in appearance: used for interaction and display.
 3. Design of the design of the product in appearance: lies in the interfa"&amp;"ce content of the graphic user interface.
 4. Pictures or photos that can best show design points: Figure 2 of the interface change state.
 5. There is no design point for other views, omitting other views.
 6. The purpose of graphical user interfac"&amp;"e: used to provide users with sports auxiliary services.
 7. Human -computer interaction method of graphics user interface: The main view is the user login main interface. The display login method includes login methods such as ""face recognition login"&amp;""", ""QR code login"", ""Member card induction area"" and other login methods; click In the main view of the ""Face recognition login"" button, QR code login button, member card swiping card, etc., one of the ways login interface, jump to the training mod"&amp;"e selection page displayed by the interface change state. The ""Start Training"" button, jump to the interface change state. Figure 2 The training page displayed. This page contains the ""current itinerary"" module, ""Number"", ""current weight"", ""group"&amp;" number"", ""calorie"", ""training training"", ""training training Movement information such as duration """" and ""heart rate""; click the ""start"" button in the interface change state Figure 2, jump to the training record report page displayed by the i"&amp;"nterface change state. List; click the ""Calibai of each Group of Training"" button in Figure 3 in the interface change state to switch to the training card in the training card in the interface change state.
 8. The displayed carrier equipment for disp"&amp;"lay is the existing design. The display screen panel can be applied to computers, laptops, tablet computers, mobile phones, smartphones, smart glasses, watches, smart watches, fitness monitors, head wearing, head wearing Form headphones, personal digital "&amp;"assistants, smart speakers, television, monitor, projector, set -top box, navigator, display device for vehicles.")</f>
        <v>1. The name of the product in appearance: display screen panel with sports service graphics user interface.
 2. Design products in appearance: used for interaction and display.
 3. Design of the design of the product in appearance: lies in the interface content of the graphic user interface.
 4. Pictures or photos that can best show design points: Figure 2 of the interface change state.
 5. There is no design point for other views, omitting other views.
 6. The purpose of graphical user interface: used to provide users with sports auxiliary services.
 7. Human -computer interaction method of graphics user interface: The main view is the user login main interface. The display login method includes login methods such as "face recognition login", "QR code login", "Member card induction area" and other login methods; click In the main view of the "Face recognition login" button, QR code login button, member card swiping card, etc., one of the ways login interface, jump to the training mode selection page displayed by the interface change state. The "Start Training" button, jump to the interface change state. Figure 2 The training page displayed. This page contains the "current itinerary" module, "Number", "current weight", "group number", "calorie", "training training", "training training Movement information such as duration "" and "heart rate"; click the "start" button in the interface change state Figure 2, jump to the training record report page displayed by the interface change state. List; click the "Calibai of each Group of Training" button in Figure 3 in the interface change state to switch to the training card in the training card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87" s="6" t="s">
        <v>1727</v>
      </c>
      <c r="E587" s="4" t="str">
        <f ca="1">IFERROR(__xludf.DUMMYFUNCTION("GOOGLETRANSLATE(D587,""auto"",""en"")"),"Display screen panel with sports service graphical user interface")</f>
        <v>Display screen panel with sports service graphical user interface</v>
      </c>
    </row>
    <row r="588" spans="1:5" ht="15" x14ac:dyDescent="0.25">
      <c r="A588" s="5" t="s">
        <v>1728</v>
      </c>
      <c r="B588" s="6" t="s">
        <v>1729</v>
      </c>
      <c r="C588" s="3" t="str">
        <f ca="1">IFERROR(__xludf.DUMMYFUNCTION("GOOGLETRANSLATE(B588,""auto"",""en"")"),"1. Design product name: Display screen panel with a home -based motion service graphical user interface.
 2. Design products in appearance: used for interaction and display.
 3. Design of the design of the product in appearance: lies in the interface "&amp;"content of the graphic user interface.
 4. Pictures or photos that can best show design points: Figure 3 of the interface change state.
 5. There is no design point for other views, omitting other views.
 6. The purpose of graphical user interface: "&amp;"used to provide users with sports auxiliary services.
 7. Human -computer interaction method of graphical user interface: The main view is the main interface of the rhythm platform; click the ""course"" label in the main view, jump to the curriculum cla"&amp;"ssification page displayed by the interface change state. Choose the exercise course, jump to the course of the course of the interface change status. The course detail page displayed; click the ""device"" label below the main view or interface changes. T"&amp;"he control button in the interface change state Figure 3, as shown in the interface changes, the suspension of the pop -up window page displayed; click the ""My"" label below of the main view or interface change status. User page; click the ""exercise rec"&amp;"ord"" title in the title list of the interface change state, and jump to the training record details displayed by the interface change state. 6.
 8. The displayed carrier equipment for display is the existing design. The display screen panel can be appl"&amp;"ied to computers, laptops, tablet computers, mobile phones, smartphones, smart glasses, watches, smart watches, fitness monitors, head wearing, head wearing Form headphones, personal digital assistants, smart speakers, television, monitor, projector, set "&amp;"-top box, navigator, display device for vehicles.")</f>
        <v>1. Design product name: Display screen panel with a home -based motion service graphical user interface.
 2. Design products in appearance: used for interaction and display.
 3. Design of the design of the product in appearance: lies in the interface content of the graphic user interface.
 4. Pictures or photos that can best show design points: Figure 3 of the interface change state.
 5. There is no design point for other views, omitting other views.
 6. The purpose of graphical user interface: used to provide users with sports auxiliary services.
 7. Human -computer interaction method of graphical user interface: The main view is the main interface of the rhythm platform; click the "course" label in the main view, jump to the curriculum classification page displayed by the interface change state. Choose the exercise course, jump to the course of the course of the interface change status. The course detail page displayed; click the "device" label below the main view or interface changes. The control button in the interface change state Figure 3, as shown in the interface changes, the suspension of the pop -up window page displayed; click the "My" label below of the main view or interface change status. User page; click the "exercise record" title in the title list of the interface change state, and jump to the training record details displayed by the interface change state. 6.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88" s="6" t="s">
        <v>1730</v>
      </c>
      <c r="E588" s="4" t="str">
        <f ca="1">IFERROR(__xludf.DUMMYFUNCTION("GOOGLETRANSLATE(D588,""auto"",""en"")"),"Bring a display screen panel with a household rhythm service graphics user interface")</f>
        <v>Bring a display screen panel with a household rhythm service graphics user interface</v>
      </c>
    </row>
    <row r="589" spans="1:5" ht="15" x14ac:dyDescent="0.25">
      <c r="A589" s="5" t="s">
        <v>1731</v>
      </c>
      <c r="B589" s="6" t="s">
        <v>1732</v>
      </c>
      <c r="C589" s="3" t="str">
        <f ca="1">IFERROR(__xludf.DUMMYFUNCTION("GOOGLETRANSLATE(B589,""auto"",""en"")"),"1. The name of the product in appearance: The display screen panel with the venue movement is recommended to the graphical user interface.
 2. Design products in appearance: used for interaction and display.
 3. Design of the design of the product in "&amp;"appearance: lies in the interface content of the graphic user interface.
 4. Pictures or photos that can best show design points: Figure 4 of the interface change state.
 5. There is no design point for other views, omitting other views.
 6. The pur"&amp;"pose of graphical user interface: used to provide users with sports auxiliary services.
 7. Human -computer interaction method of graphics user interface: The main view is the main interface of the venue rhythm platform service. This page shows login me"&amp;"thods such as ""face recognition login"", ""two -dimensional code login"", ""Member card induction area"" and other login methods; click In the main view, the ""Face recognition login"" button, jump to the interface change state. Figure 1 displayed on the"&amp;" face recognition page, move the face into the box for the face recognition login, set the countdown to the bottom of the page, return the main time without scanning the code, return to the Lord, View, or click the ""Return"" button to jump to the main vi"&amp;"ew; click the ""QR Code Login"" button in the main view, jump to the two -dimensional code login page displayed by the interface change state, and use mobile smart devices to scan the QR code Log in, set the countdown at the bottom of the page, return to "&amp;"the main view without scanning the code, or click the ""Return"" button to jump to the main view; swipe the card to log in or complete the interface change state in Figure 1 at the ""Member card induction area"" of the main view of the view. Face recognit"&amp;"ion operation or scanning interface changes state in Figure 2 Login, jump to the interface change state. The user login the movement mode page after the login is successful. ""Wait for other sports modes, click the prompt at the bottom one mode to perform"&amp;" the next movement steps; click the interface change status Figure 3 of the"" click Start Movement ""button under one of the motion mode, jump to the interface change status. Pages, this page can view the basic information of sports users, and push accord"&amp;"ing to the user's basic information to include related sports information such as ""recommended gear"", ""recommended heart rate"", ""recommended duration"", ""precautions"" The ""Start Movement"" button in FIG. 4 Jump to the interface change state. Figur"&amp;"e 5 The movement page displayed by the display. This page can set the gear required for the movement required by the exercise according to the exercise. The current gear value also includes real -time energy, motion heart rate, and exercise time of real -"&amp;"time consumption during exercise; automatic jump to the interface change state after exercise. 6 displayed on the motion survey report page. Select the specific options, or do not make a choice and skip the page directly; click the ""completion"" button i"&amp;"n the interface change state Figure 6, and jump to the interface change state. 7 The submitted sports survey report page displayed. You can view on this page. ""Consumption calories"", ""exercise time"", ""average heart rate"", ""highest heart rate"", ""a"&amp;"verage gear"", ""highest gear"" and other sports data information such as ""consumption of calorie"", ""exercise time"", ""average heart rate"", ""highest heart rate"", ""highest heart rate"", ""highest heart rate"", ""the highest heart rate"", ""the high"&amp;"est heart rate"", ""the highest heart rate"", ""average gear"", ""the average gear"", and ""the highest gear"", and the ""return"" at the bottom of the page Button, return to the main interface.
 8. The displayed carrier equipment for display is the exi"&amp;"sting design. The display screen panel can be applied to computers, laptops, tablet computers, mobile phones, smartphones, smart glasses, watches, smart watches, fitness monitors, head wearing, head wearing Form headphones, personal digital assistants, sm"&amp;"art speakers, television, monitor, projector, set -top box, navigator, display device for vehicles.")</f>
        <v>1. The name of the product in appearance: The display screen panel with the venue movement is recommended to the graphical user interface.
 2. Design products in appearance: used for interaction and display.
 3. Design of the design of the product in appearance: lies in the interface content of the graphic user interface.
 4. Pictures or photos that can best show design points: Figure 4 of the interface change state.
 5. There is no design point for other views, omitting other views.
 6. The purpose of graphical user interface: used to provide users with sports auxiliary services.
 7. Human -computer interaction method of graphics user interface: The main view is the main interface of the venue rhythm platform service. This page shows login methods such as "face recognition login", "two -dimensional code login", "Member card induction area" and other login methods; click In the main view, the "Face recognition login" button, jump to the interface change state. Figure 1 displayed on the face recognition page, move the face into the box for the face recognition login, set the countdown to the bottom of the page, return the main time without scanning the code, return to the Lord, View, or click the "Return" button to jump to the main view; click the "QR Code Login" button in the main view, jump to the two -dimensional code login page displayed by the interface change state, and use mobile smart devices to scan the QR code Log in, set the countdown at the bottom of the page, return to the main view without scanning the code, or click the "Return" button to jump to the main view; swipe the card to log in or complete the interface change state in Figure 1 at the "Member card induction area" of the main view of the view. Face recognition operation or scanning interface changes state in Figure 2 Login, jump to the interface change state. The user login the movement mode page after the login is successful. "Wait for other sports modes, click the prompt at the bottom one mode to perform the next movement steps; click the interface change status Figure 3 of the" click Start Movement "button under one of the motion mode, jump to the interface change status. Pages, this page can view the basic information of sports users, and push according to the user's basic information to include related sports information such as "recommended gear", "recommended heart rate", "recommended duration", "precautions" The "Start Movement" button in FIG. 4 Jump to the interface change state. Figure 5 The movement page displayed by the display. This page can set the gear required for the movement required by the exercise according to the exercise. The current gear value also includes real -time energy, motion heart rate, and exercise time of real -time consumption during exercise; automatic jump to the interface change state after exercise. 6 displayed on the motion survey report page. Select the specific options, or do not make a choice and skip the page directly; click the "completion" button in the interface change state Figure 6, and jump to the interface change state. 7 The submitted sports survey report page displayed. You can view on this page. "Consumption calories", "exercise time", "average heart rate", "highest heart rate", "average gear", "highest gear" and other sports data information such as "consumption of calorie", "exercise time", "average heart rate", "highest heart rate", "highest heart rate", "highest heart rate", "the highest heart rate", "the highest heart rate", "the highest heart rate", "average gear", "the average gear", and "the highest gear", and the "return" at the bottom of the page Button, return to the main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89" s="6" t="s">
        <v>1733</v>
      </c>
      <c r="E589" s="4" t="str">
        <f ca="1">IFERROR(__xludf.DUMMYFUNCTION("GOOGLETRANSLATE(D589,""auto"",""en"")"),"The display screen panel with the venue movement is recommended to the graphical user interface")</f>
        <v>The display screen panel with the venue movement is recommended to the graphical user interface</v>
      </c>
    </row>
    <row r="590" spans="1:5" ht="15" x14ac:dyDescent="0.25">
      <c r="A590" s="5" t="s">
        <v>1734</v>
      </c>
      <c r="B590" s="6" t="s">
        <v>1735</v>
      </c>
      <c r="C590" s="3" t="str">
        <f ca="1">IFERROR(__xludf.DUMMYFUNCTION("GOOGLETRANSLATE(B590,""auto"",""en"")"),"1. Design product name: Display screen panel with sports data service graphics user interface.
 2. Design products in appearance: used for interaction and display.
 3. Design of the design of the product in appearance: lies in the interface content of"&amp;" the graphic user interface.
 4. Pictures or photos that can best show design points: Figure 3 of the interface change state.
 5. There is no design point for other views, omitting other views.
 6. The purpose of graphical user interface: used to pr"&amp;"ovide users with sports data services.
 7. Human -computer interaction method of graphics user interface: The main view is the user login main interface. The display login method includes login methods such as ""face recognition login"", ""QR code login"&amp;""", ""Member card induction area"" and other login methods; click In the main view of the ""Face Recognition Login"" button, jump to the interface change state. The face recognition login page displayed; Code logging page; face recognition box in the pers"&amp;"on in the interface change state in Figure 1 or use the mobile smart device scan interface to change the two -dimensional code or use the membership card to log in in Figure 2 The motion page displayed by the change state Figure 3, showing the motion prom"&amp;"pt screen of the left side of the page, the right side of the page contains detailed exercise data such as ""current itinerary"", ""current number"", ""head schedule"", ""movement duration"", ""current speed"", etc. Information, the upper right corner of "&amp;"the page contains the ""Exit"" button to exit the sports page; click the ""Ending Movement"" button below the interface change state, jump to the motion survey report page displayed by the interface change state. 4 contains the ""average"" average ""avera"&amp;"ge"" average Cumulative exercise information such as speed "","" total sports itinerary "","" total number of exercise "","" exercise duration ""and other cumulative exercise information. The cumulative motion information shows a list of single sports spe"&amp;"ed below. The single exercise speed information includes"" speed "","" number of exercise times "",,, the number of exercise times"",,, the number of exercise times "",,, the number of exercise times,, the number of exercise times,,,, the number of exerci"&amp;"se times,, For sports information such as ""corresponding itinerans"", click the ""Return"" button at the bottom of the page to return to the initial page of the motion, or to return to the end of the countdown, and the page will automatically return to t"&amp;"he initial page of the motion.
 8. The displayed carrier equipment for display is the existing design. The display screen panel can be applied to computers, laptops, tablet computers, mobile phones, smartphones, smart glasses, watches, smart watches, fi"&amp;"tness monitors, head wearing, head wearing Form headphones, personal digital assistants, smart speakers, television, monitor, projector, set -top box, navigator, display device for vehicles.")</f>
        <v>1. Design product name: Display screen panel with sports data service graphics user interface.
 2. Design products in appearance: used for interaction and display.
 3. Design of the design of the product in appearance: lies in the interface content of the graphic user interface.
 4. Pictures or photos that can best show design points: Figure 3 of the interface change state.
 5. There is no design point for other views, omitting other views.
 6. The purpose of graphical user interface: used to provide users with sports data services.
 7. Human -computer interaction method of graphics user interface: The main view is the user login main interface. The display login method includes login methods such as "face recognition login", "QR code login", "Member card induction area" and other login methods; click In the main view of the "Face Recognition Login" button, jump to the interface change state. The face recognition login page displayed; Code logging page; face recognition box in the person in the interface change state in Figure 1 or use the mobile smart device scan interface to change the two -dimensional code or use the membership card to log in in Figure 2 The motion page displayed by the change state Figure 3, showing the motion prompt screen of the left side of the page, the right side of the page contains detailed exercise data such as "current itinerary", "current number", "head schedule", "movement duration", "current speed", etc. Information, the upper right corner of the page contains the "Exit" button to exit the sports page; click the "Ending Movement" button below the interface change state, jump to the motion survey report page displayed by the interface change state. 4 contains the "average" average "average" average Cumulative exercise information such as speed "," total sports itinerary "," total number of exercise "," exercise duration "and other cumulative exercise information. The cumulative motion information shows a list of single sports speed below. The single exercise speed information includes" speed "," number of exercise times ",,, the number of exercise times",,, the number of exercise times ",,, the number of exercise times,, the number of exercise times,,,, the number of exercise times,, For sports information such as "corresponding itinerans", click the "Return" button at the bottom of the page to return to the initial page of the motion, or to return to the end of the countdown, and the page will automatically return to the initial page of the motion.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90" s="6" t="s">
        <v>1736</v>
      </c>
      <c r="E590" s="4" t="str">
        <f ca="1">IFERROR(__xludf.DUMMYFUNCTION("GOOGLETRANSLATE(D590,""auto"",""en"")"),"Display screen panel with sports data service graphical user interface")</f>
        <v>Display screen panel with sports data service graphical user interface</v>
      </c>
    </row>
    <row r="591" spans="1:5" ht="15" x14ac:dyDescent="0.25">
      <c r="A591" s="5" t="s">
        <v>1737</v>
      </c>
      <c r="B591" s="6" t="s">
        <v>1738</v>
      </c>
      <c r="C591" s="3" t="str">
        <f ca="1">IFERROR(__xludf.DUMMYFUNCTION("GOOGLETRANSLATE(B591,""auto"",""en"")"),"The invention disclosed a cricket system control method based on target detection and model prediction control, which is the field of computer vision processing and the field of control. The invention introduces color testing on the basis of Hoffyuan dete"&amp;"ction. The algorithm combined with the Hoffyuan detection algorithm reduces the interference of environmental information to the Hoffyuan detection algorithm. And propose a method to use the MPC algorithm to solve the plate tilt angle according to the sma"&amp;"ll ball position.")</f>
        <v>The invention disclosed a cricket system control method based on target detection and model prediction control, which is the field of computer vision processing and the field of control. The invention introduces color testing on the basis of Hoffyuan detection. The algorithm combined with the Hoffyuan detection algorithm reduces the interference of environmental information to the Hoffyuan detection algorithm. And propose a method to use the MPC algorithm to solve the plate tilt angle according to the small ball position.</v>
      </c>
      <c r="D591" s="6" t="s">
        <v>1739</v>
      </c>
      <c r="E591" s="4" t="str">
        <f ca="1">IFERROR(__xludf.DUMMYFUNCTION("GOOGLETRANSLATE(D591,""auto"",""en"")"),"A cricket system control method based on target detection and model prediction control")</f>
        <v>A cricket system control method based on target detection and model prediction control</v>
      </c>
    </row>
    <row r="592" spans="1:5" ht="15" x14ac:dyDescent="0.25">
      <c r="A592" s="5" t="s">
        <v>1740</v>
      </c>
      <c r="B592" s="6" t="s">
        <v>1741</v>
      </c>
      <c r="C592" s="3" t="str">
        <f ca="1">IFERROR(__xludf.DUMMYFUNCTION("GOOGLETRANSLATE(B592,""auto"",""en"")"),"1. Design product name: Test the display screen panel of the dynamic graphic user interface with energy.
 2. Design products in appearance: used for interaction and display.
 3. Design of the design of the product in appearance: lies in the interface "&amp;"content of the graphic user interface.
 4. Pictures or photos that can most indicate design points: main view.
 5. There is no design point for other views, omitting other views.
 6. The purpose of the graphical user interface: used to provide users"&amp;" with fitness testing services.
 7. Human -computer interaction method of graphics user interface: The main interface of the main view is the main interface of the body and energy test service; The ""Click Measurement"" button in Figure 1 to jump to the"&amp;" interface change state Figure 2; after detecting the positioning point, automatically jump to the interface change state, the open -eye balancing timing test page displayed; The interface changes status Figure 4 The open -eyed balance test ritual page di"&amp;"splayed; click the ""muscle endurance"" test type button in the main view to jump to the muscle endurance test page displayed by the interface change state. The ""Click Measurement"" button to jump to the interface change state. 6 displayed on the muscle "&amp;"endurance test page; after the test is completed, the muscle endurance test ritual displayed by the interface change state will be automatically jumped to the interface change state; Sitting ""Test type button, jump to the five -site sites test page displ"&amp;"ayed by the interface change state. Take the test page of the station; after the test is completed, the five -site sites test ritual displayed by the interface change state will be automatically jumped to the interface change state; The three -meter -off "&amp;"test page displayed on the 11 display; click the ""Click Measurement"" button in the interface changes. Change status Figure 13 The three -meter -off test ritual page displayed; click the ""Cardiopulmonary Power"" test type button in the main view, jump t"&amp;"o the interface change state. 14 shows the cardiopulmonary moderate energy test page; click the interface changes status Figure 14 The ""Click Measurement"" button in the middle to jump to the interface change state. Figure 15 shows the cardiopulmonary fi"&amp;"tness test page displayed in real -time; after the test is completed, it will automatically jump to the interface change state. 16 The cardiopulmonary appropriate test ritual.
 8. The displayed carrier equipment for display is the existing design. The d"&amp;"isplay screen panel can be applied to computers, laptops, tablet computers, mobile phones, smartphones, smart glasses, watches, smart watches, fitness monitors, head wearing, head wearing Form headphones, personal digital assistants, smart speakers, telev"&amp;"ision, monitor, projector, set -top box, navigator, display device for vehicles.")</f>
        <v>1. Design product name: Test the display screen panel of the dynamic graphic user interface with energy.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used to provide users with fitness testing services.
 7. Human -computer interaction method of graphics user interface: The main interface of the main view is the main interface of the body and energy test service; The "Click Measurement" button in Figure 1 to jump to the interface change state Figure 2; after detecting the positioning point, automatically jump to the interface change state, the open -eye balancing timing test page displayed; The interface changes status Figure 4 The open -eyed balance test ritual page displayed; click the "muscle endurance" test type button in the main view to jump to the muscle endurance test page displayed by the interface change state. The "Click Measurement" button to jump to the interface change state. 6 displayed on the muscle endurance test page; after the test is completed, the muscle endurance test ritual displayed by the interface change state will be automatically jumped to the interface change state; Sitting "Test type button, jump to the five -site sites test page displayed by the interface change state. Take the test page of the station; after the test is completed, the five -site sites test ritual displayed by the interface change state will be automatically jumped to the interface change state; The three -meter -off test page displayed on the 11 display; click the "Click Measurement" button in the interface changes. Change status Figure 13 The three -meter -off test ritual page displayed; click the "Cardiopulmonary Power" test type button in the main view, jump to the interface change state. 14 shows the cardiopulmonary moderate energy test page; click the interface changes status Figure 14 The "Click Measurement" button in the middle to jump to the interface change state. Figure 15 shows the cardiopulmonary fitness test page displayed in real -time; after the test is completed, it will automatically jump to the interface change state. 16 The cardiopulmonary appropriate test ritual.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92" s="6" t="s">
        <v>1742</v>
      </c>
      <c r="E592" s="4" t="str">
        <f ca="1">IFERROR(__xludf.DUMMYFUNCTION("GOOGLETRANSLATE(D592,""auto"",""en"")"),"Test the display screen panel of dynamic graphic user interface")</f>
        <v>Test the display screen panel of dynamic graphic user interface</v>
      </c>
    </row>
    <row r="593" spans="1:5" ht="15" x14ac:dyDescent="0.25">
      <c r="A593" s="5" t="s">
        <v>1743</v>
      </c>
      <c r="B593" s="6" t="s">
        <v>1744</v>
      </c>
      <c r="C593" s="3" t="str">
        <f ca="1">IFERROR(__xludf.DUMMYFUNCTION("GOOGLETRANSLATE(B593,""auto"",""en"")"),"1. The name of the product in appearance: The display screen panel with the motion guidance graphical user interface.
 2. Design products in appearance: used for interaction and display.
 3. Design of the design of the product in appearance: lies in t"&amp;"he interface content of the graphic user interface.
 4. Pictures or photos that can best show design points: Figure 8 of the interface change state.
 5. There is no design point for other views, omitting other views.
 6. The purpose of graphical use"&amp;"r interface: used to provide users with sports guidance and sports recommendation services.
 7. Human -computer interaction method of graphics user interface: The main view is the login main interface; click the face recognition button of the person in "&amp;"the main view, jump to the interface change state diagram 1; click the QR code login button in the main view, jump to jump to jump To the interface change state Figure 2; if there is no member information of the unregistered member, the login failure page"&amp;" displayed by the interface change status 3; if the membership information is complete, the login page displayed by the interface change status 4; After the failure, the countdown of the login failed page is over, as shown in the interface changes. Figure"&amp;" 5 The unprecedented login user's sports mode page displayed; after the interface changes map 4 Login page is successful, the interface change state Figure 6 shows the motion mode interface interface. ; Click the ""Start Evaluation"" button in Figure 6 in"&amp;" Figure 6, jump to the interface change state Figure 7; click the ""immediately start exercise"" button in the interface change status. 6 Figure 8; click the interface change state Figure 7 or the interface change state figure 8 The ""Start Evaluation"" b"&amp;"utton below 8, jump to the interface change state Figure 9; click the ""next step"" button below the interface change state, if the interface changes are changed State Figure 10 The evaluation page of the pop -up window displayed by the State Figure 10; a"&amp;"fter 5 seconds of the countdown, automatically jump to the interface change state Figure 11; click the ""next step"" button in the interface changes. Figure 12 The evaluation page of the pop -up window with the evaluation steps shown in Figure 12; after 5"&amp;" seconds of the countdown, the automatic jump to the interface change state Figure 13; click the interface change status. Figure 13 below the ""Entry Evaluation"" button, as if the interface changes state diagram 14 The assessment page with the pop -up wi"&amp;"ndow with the evaluation steps shown in the interface is changed after the assessment of the assessment 14 is over, and the initial page of the starting movement displayed by the interface change state will be automatically jumped to the interface change "&amp;"state. The ""Start Movement"" button, as shown in the interface change state, shows that the target value sets the pop -up window page; click the ""OK"" button in the interface changes. The ""Ending Movement"" button below the Status Figure 17, jump to th"&amp;"e interface change state Figure 18; the single -color blocks related to the filling in all the above interface are represented as a variable content screen display area. For variable characters or text content.
 8. The displayed carrier equipment for di"&amp;"splay is the existing design. The display screen panel can be applied to computers, laptops, tablet computers, mobile phones, smartphones, smart glasses, watches, smart watches, fitness monitors, head wearing, head wearing Form headphones, personal digita"&amp;"l assistants, smart speakers, television, monitor, projector, set -top box, navigator, display device for vehicles.")</f>
        <v>1. The name of the product in appearance: The display screen panel with the motion guidance graphical user interface.
 2. Design products in appearance: used for interaction and display.
 3. Design of the design of the product in appearance: lies in the interface content of the graphic user interface.
 4. Pictures or photos that can best show design points: Figure 8 of the interface change state.
 5. There is no design point for other views, omitting other views.
 6. The purpose of graphical user interface: used to provide users with sports guidance and sports recommendation services.
 7. Human -computer interaction method of graphics user interface: The main view is the login main interface; click the face recognition button of the person in the main view, jump to the interface change state diagram 1; click the QR code login button in the main view, jump to jump to jump To the interface change state Figure 2; if there is no member information of the unregistered member, the login failure page displayed by the interface change status 3; if the membership information is complete, the login page displayed by the interface change status 4; After the failure, the countdown of the login failed page is over, as shown in the interface changes. Figure 5 The unprecedented login user's sports mode page displayed; after the interface changes map 4 Login page is successful, the interface change state Figure 6 shows the motion mode interface interface. ; Click the "Start Evaluation" button in Figure 6 in Figure 6, jump to the interface change state Figure 7; click the "immediately start exercise" button in the interface change status. 6 Figure 8; click the interface change state Figure 7 or the interface change state figure 8 The "Start Evaluation" button below 8, jump to the interface change state Figure 9; click the "next step" button below the interface change state, if the interface changes are changed State Figure 10 The evaluation page of the pop -up window displayed by the State Figure 10; after 5 seconds of the countdown, automatically jump to the interface change state Figure 11; click the "next step" button in the interface changes. Figure 12 The evaluation page of the pop -up window with the evaluation steps shown in Figure 12; after 5 seconds of the countdown, the automatic jump to the interface change state Figure 13; click the interface change status. Figure 13 below the "Entry Evaluation" button, as if the interface changes state diagram 14 The assessment page with the pop -up window with the evaluation steps shown in the interface is changed after the assessment of the assessment 14 is over, and the initial page of the starting movement displayed by the interface change state will be automatically jumped to the interface change state. The "Start Movement" button, as shown in the interface change state, shows that the target value sets the pop -up window page; click the "OK" button in the interface changes. The "Ending Movement" button below the Status Figure 17, jump to the interface change state Figure 18; the single -color blocks related to the filling in all the above interface are represented as a variable content screen display area. For variable characters or text content.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93" s="6" t="s">
        <v>1745</v>
      </c>
      <c r="E593" s="4" t="str">
        <f ca="1">IFERROR(__xludf.DUMMYFUNCTION("GOOGLETRANSLATE(D593,""auto"",""en"")"),"Display screen panel with sports guidance graphical user interface")</f>
        <v>Display screen panel with sports guidance graphical user interface</v>
      </c>
    </row>
    <row r="594" spans="1:5" ht="15" x14ac:dyDescent="0.25">
      <c r="A594" s="5" t="s">
        <v>1746</v>
      </c>
      <c r="B594" s="6" t="s">
        <v>1747</v>
      </c>
      <c r="C594" s="3" t="str">
        <f ca="1">IFERROR(__xludf.DUMMYFUNCTION("GOOGLETRANSLATE(B594,""auto"",""en"")"),"1. The name of the product in appearance: The display screen panel with the body composition analysis graphical user interface.
 2. Design products in appearance: used for interaction and display.
 3. Design of the design of the product in appearance:"&amp;" lies in the interface content of the graphic user interface.
 4. Pictures or photos that can best show design points: Figure 9 of the interface change state.
 5. There is no design point for other views, omitting other views.
 6. The purpose of the"&amp;" graphical user interface: used to analyze the content of human ingredients.
 7. Human -computer interaction method of graphic user interface: The main view is the user login the main interface; click the button below the ""face recognition login"" meth"&amp;"od in the main view to jump to the interface change status diagram 1; click ""Two -dimensional two -dimensional in the main view of the main view. The button below the code ""Code"" jump to the interface change state Figure 2; log in through the face reco"&amp;"gnition, or scan the QR code, or visit the visitor mode, or swipe the membership card. The ""START"" button in Figure 3 in Figure 3, jump to the interface change state Figure 4; click the ""OK"" button below the interface change state, jump to the interfa"&amp;"ce change state Figure 5; Change status of change; after the end of the human ingredient information, jump to the interface change state Figure 7; click the ""summary"" menu guidance bar in the interface change state in Figure 7, jump to the interface cha"&amp;"nge state Figure 8; click the interface changes status Figure 7 To the interface change state Figure 8 The ""obesity analysis"" button in the menu guide bar, jump to the interface change state Figure 9; click the interface change state figure 7 to the int"&amp;"erface changes The ""human ingredients"" button, jump to the interface change state figure 10; click the interface change status figure 7 to the interface change state. 10 Ren icon's ""body analysis"" button in the guide bar, jump to the interface change "&amp;"state diagram diagram 11.
 8.其他需要说明的情形其他说明：显示用的载体设备为现有设计，该显示屏幕面板可以应用于计算机、笔记本电脑、平板电脑、手机、智能手机、智能手环、智能眼镜、手表、智能Watch, fitness monitor, headset headphones, personal digital assistants, smart speakers, television, monitor, projector, set -top box, navigator, "&amp;"display device for vehicles.")</f>
        <v>1. The name of the product in appearance: The display screen panel with the body composition analysis graphical user interface.
 2. Design products in appearance: used for interaction and display.
 3. Design of the design of the product in appearance: lies in the interface content of the graphic user interface.
 4. Pictures or photos that can best show design points: Figure 9 of the interface change state.
 5. There is no design point for other views, omitting other views.
 6. The purpose of the graphical user interface: used to analyze the content of human ingredients.
 7. Human -computer interaction method of graphic user interface: The main view is the user login the main interface; click the button below the "face recognition login" method in the main view to jump to the interface change status diagram 1; click "Two -dimensional two -dimensional in the main view of the main view. The button below the code "Code" jump to the interface change state Figure 2; log in through the face recognition, or scan the QR code, or visit the visitor mode, or swipe the membership card. The "START" button in Figure 3 in Figure 3, jump to the interface change state Figure 4; click the "OK" button below the interface change state, jump to the interface change state Figure 5; Change status of change; after the end of the human ingredient information, jump to the interface change state Figure 7; click the "summary" menu guidance bar in the interface change state in Figure 7, jump to the interface change state Figure 8; click the interface changes status Figure 7 To the interface change state Figure 8 The "obesity analysis" button in the menu guide bar, jump to the interface change state Figure 9; click the interface change state figure 7 to the interface changes The "human ingredients" button, jump to the interface change state figure 10; click the interface change status figure 7 to the interface change state. 10 Ren icon's "body analysis" button in the guide bar, jump to the interface change state diagram diagram 11.
 8.其他需要说明的情形其他说明：显示用的载体设备为现有设计，该显示屏幕面板可以应用于计算机、笔记本电脑、平板电脑、手机、智能手机、智能手环、智能眼镜、手表、智能Watch, fitness monitor, headset headphones, personal digital assistants, smart speakers, television, monitor, projector, set -top box, navigator, display device for vehicles.</v>
      </c>
      <c r="D594" s="6" t="s">
        <v>1748</v>
      </c>
      <c r="E594" s="4" t="str">
        <f ca="1">IFERROR(__xludf.DUMMYFUNCTION("GOOGLETRANSLATE(D594,""auto"",""en"")"),"Display screen panel with human body composition analysis graphical user interface")</f>
        <v>Display screen panel with human body composition analysis graphical user interface</v>
      </c>
    </row>
    <row r="595" spans="1:5" ht="15" x14ac:dyDescent="0.25">
      <c r="A595" s="5" t="s">
        <v>1749</v>
      </c>
      <c r="B595" s="6" t="s">
        <v>1750</v>
      </c>
      <c r="C595" s="3" t="str">
        <f ca="1">IFERROR(__xludf.DUMMYFUNCTION("GOOGLETRANSLATE(B595,""auto"",""en"")"),"The present invention involves artificial intelligence fields, and a test method, device, equipment and storage medium of sports projects are disclosed. This method includes: receiving sports test plans including target testing items, target testing scene"&amp;"s, and list of testers; determine the target to be tested in the test order in the list of test personnel, and broadcast test preparation prompts; call the camera device for the target test scene Use image collection to obtain real -time images of the sce"&amp;"ne and perform the integrity test of the human body for the real -time image; if the detection passes, the target test scene is cooked, and the test of the target test project is based on the target test method. Call the camera device to capture the image"&amp;" recognition, and call at least one way to call the depth sensor for in -depth measurement. The present invention uses image recognition and in -depth measurement to share a set of equipment for multiple tests, thereby reducing the cost of sports testing.")</f>
        <v>The present invention involves artificial intelligence fields, and a test method, device, equipment and storage medium of sports projects are disclosed. This method includes: receiving sports test plans including target testing items, target testing scenes, and list of testers; determine the target to be tested in the test order in the list of test personnel, and broadcast test preparation prompts; call the camera device for the target test scene Use image collection to obtain real -time images of the scene and perform the integrity test of the human body for the real -time image; if the detection passes, the target test scene is cooked, and the test of the target test project is based on the target test method. Call the camera device to capture the image recognition, and call at least one way to call the depth sensor for in -depth measurement. The present invention uses image recognition and in -depth measurement to share a set of equipment for multiple tests, thereby reducing the cost of sports testing.</v>
      </c>
      <c r="D595" s="6" t="s">
        <v>1751</v>
      </c>
      <c r="E595" s="4" t="str">
        <f ca="1">IFERROR(__xludf.DUMMYFUNCTION("GOOGLETRANSLATE(D595,""auto"",""en"")"),"Test methods, devices, equipment and storage media of sports projects")</f>
        <v>Test methods, devices, equipment and storage media of sports projects</v>
      </c>
    </row>
    <row r="596" spans="1:5" ht="15" x14ac:dyDescent="0.25">
      <c r="A596" s="5" t="s">
        <v>1752</v>
      </c>
      <c r="B596" s="6" t="s">
        <v>1753</v>
      </c>
      <c r="C596" s="3" t="str">
        <f ca="1">IFERROR(__xludf.DUMMYFUNCTION("GOOGLETRANSLATE(B596,""auto"",""en"")"),"1. Design product name: Homepage user interface of the cloud company on the display screen panel.
 2. Design products in appearance: used for running procedures, information display, and human -computer interaction.
 3. Design of the design of the pro"&amp;"duct in this exterior: lies in the interface content of the graphic user interface in the screen.
 4. Pictures or photos that can best show design: Design 1 main view.
 5. Specify design 1 is the basic design.
 6. The purpose of the graphical user i"&amp;"nterface: Design 1 Main view to design 3 The main view is the homepage interface of the cloud enterprise. Users can perform related operations according to the interface prompts.
 7. Other instructions: This display screen panel is applied to vehicles, "&amp;"computers, laptops, tablets, mobile phones, smart watches, smart bracelets, fitness monitor, headset headphones, personal digital assistants (PDA), smart speakers, TVs, TVs , Skytop box, projector, game console or navigator.")</f>
        <v>1. Design product name: Homepage user interface of the cloud company on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Main view to design 3 The main view is the homepage interface of the cloud enterprise. Users can perform related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596" s="6" t="s">
        <v>1754</v>
      </c>
      <c r="E596" s="4" t="str">
        <f ca="1">IFERROR(__xludf.DUMMYFUNCTION("GOOGLETRANSLATE(D596,""auto"",""en"")"),"Homepage graphics user interface on the display screen panel")</f>
        <v>Homepage graphics user interface on the display screen panel</v>
      </c>
    </row>
    <row r="597" spans="1:5" ht="15" x14ac:dyDescent="0.25">
      <c r="A597" s="5" t="s">
        <v>1755</v>
      </c>
      <c r="B597" s="6" t="s">
        <v>1756</v>
      </c>
      <c r="C597" s="3" t="str">
        <f ca="1">IFERROR(__xludf.DUMMYFUNCTION("GOOGLETRANSLATE(B597,""auto"",""en"")"),"1. Design product name: Advertising feedback graphic user interface on the display screen panel.
 2. Design products in appearance: used for running procedures, information display, and human -computer interaction.
 3. Design of the design of the prod"&amp;"uct in this exterior: lies in the interface content of the graphic user interface in the screen.
 4. Pictures or photos that can best show design points: interface change status diagram.
 5. The purpose of graphical user interface: This graphic user i"&amp;"nterface is used for advertising feedback.
 The main view is the homepage interface. The user clicks the ""Feedback"" button in the middle of the interface to enter the advertising interface with pop -up windows. As shown in the interface change state d"&amp;"iagram, the user can feedback the advertisement content according to the pop -up reminder.
 6. Other instructions: This display screen panel is applied to vehicles, computers, laptops, tablets, mobile phones, smart watches, smart bracelets, fitness moni"&amp;"tor, headset headphones, personal digital assistant (PDA), smart speakers, TVs, TVs , Skytop box, projector, game console or navigator.")</f>
        <v>1. Design product name: Advertising feedback graphic user interface on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points: interface change status diagram.
 5. The purpose of graphical user interface: This graphic user interface is used for advertising feedback.
 The main view is the homepage interface. The user clicks the "Feedback" button in the middle of the interface to enter the advertising interface with pop -up windows. As shown in the interface change state diagram, the user can feedback the advertisement content according to the pop -up reminder.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597" s="6" t="s">
        <v>1757</v>
      </c>
      <c r="E597" s="4" t="str">
        <f ca="1">IFERROR(__xludf.DUMMYFUNCTION("GOOGLETRANSLATE(D597,""auto"",""en"")"),"Advertising feedback graphics user interface of display screen panel")</f>
        <v>Advertising feedback graphics user interface of display screen panel</v>
      </c>
    </row>
    <row r="598" spans="1:5" ht="15" x14ac:dyDescent="0.25">
      <c r="A598" s="5" t="s">
        <v>1758</v>
      </c>
      <c r="B598" s="6" t="s">
        <v>1759</v>
      </c>
      <c r="C598" s="3" t="str">
        <f ca="1">IFERROR(__xludf.DUMMYFUNCTION("GOOGLETRANSLATE(B598,""auto"",""en"")"),"Examples of this application disclose a smart runway. The smart runway includes the interactive screen and at least two identification rods. The interactive screen is set at the entrance of the runway. There are identification rods at the beginning and en"&amp;"d point of the runway. The interactive screen is established with communication connections. The smart runway integrates the new generation of artificial intelligence technology and big data management platform into the fitness venue or outdoor experience"&amp;" facilities of outdoor landscapes, in -depth combination of sports infrastructure, and effectively build an intelligent visualized smart park. Sports, guide the whole people to conduct scientific and efficient exercise, and comprehensively meet the future"&amp;" development of national fitness and the construction of smart cities.")</f>
        <v>Examples of this application disclose a smart runway. The smart runway includes the interactive screen and at least two identification rods. The interactive screen is set at the entrance of the runway. There are identification rods at the beginning and end point of the runway. The interactive screen is established with communication connections. The smart runway integrates the new generation of artificial intelligence technology and big data management platform into the fitness venue or outdoor experience facilities of outdoor landscapes, in -depth combination of sports infrastructure, and effectively build an intelligent visualized smart park. Sports, guide the whole people to conduct scientific and efficient exercise, and comprehensively meet the future development of national fitness and the construction of smart cities.</v>
      </c>
      <c r="D598" s="6" t="s">
        <v>1760</v>
      </c>
      <c r="E598" s="4" t="str">
        <f ca="1">IFERROR(__xludf.DUMMYFUNCTION("GOOGLETRANSLATE(D598,""auto"",""en"")"),"Wisdom runway")</f>
        <v>Wisdom runway</v>
      </c>
    </row>
    <row r="599" spans="1:5" ht="15" x14ac:dyDescent="0.25">
      <c r="A599" s="5" t="s">
        <v>1761</v>
      </c>
      <c r="B599" s="6" t="s">
        <v>1762</v>
      </c>
      <c r="C599" s="3" t="str">
        <f ca="1">IFERROR(__xludf.DUMMYFUNCTION("GOOGLETRANSLATE(B599,""auto"",""en"")"),"1. Design product name: Sample relationship map user interface for display screen panels.
 2. Design products in this exterior: used to display interface content.
 3. Design of the design of the product in this exterior: lies in the interface content "&amp;"of the graphical user interface.
 4. Pictures or photos that can most indicate design points: main view.
 5. Used to design and omit other views of the display screen panel.
 6. The purpose of the graphical user interface: It is used to display the "&amp;"multi -dimensional relationship map of the network node sample, as well as the depth mining and visual correlation analysis of the sample.
 Human -machine interaction content: The main view is to display the system main interface of the multi -dimension"&amp;"al relationship map of the network node sample. The user can view the relationship map of the sample in this interface, and the sample diagram of the sample map can be Perform node operation and query, and click at a node in the main view map with a mouse"&amp;" or touch, as shown in the interface change state. Nodes, as shown in the interface change state, showing the details of the node on the right side of the interface; one side of the elected interface diagram, as shown in the interface change state. Select"&amp;" any two nodes in the main view spectrum, and then click the ""shortest path"" in the top toolbar. List """" shows the information of all nodes.
 7. The displayed carrier equipment for display is the existing design. The display screen panel can be appl"&amp;"ied to computers, laptops, tablet computers, mobile phones, smartphones, smart glasses, watches, smart watches, fitness monitors, head wearing, head wearing Form headphones, personal digital assistants, smart speakers, television, monitor, projector, set "&amp;"-top box, navigator, display device for vehicles.")</f>
        <v>1. Design product name: Sample relationship map user interface for display screen panels.
 2. Design products in this exterior: used to display interface content.
 3. Design of the design of the product in this exterior: lies in the interface content of the graphical user interface.
 4. Pictures or photos that can most indicate design points: main view.
 5. Used to design and omit other views of the display screen panel.
 6. The purpose of the graphical user interface: It is used to display the multi -dimensional relationship map of the network node sample, as well as the depth mining and visual correlation analysis of the sample.
 Human -machine interaction content: The main view is to display the system main interface of the multi -dimensional relationship map of the network node sample. The user can view the relationship map of the sample in this interface, and the sample diagram of the sample map can be Perform node operation and query, and click at a node in the main view map with a mouse or touch, as shown in the interface change state. Nodes, as shown in the interface change state, showing the details of the node on the right side of the interface; one side of the elected interface diagram, as shown in the interface change state. Select any two nodes in the main view spectrum, and then click the "shortest path" in the top toolbar. List "" shows the information of all nodes.
 7.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599" s="6" t="s">
        <v>1763</v>
      </c>
      <c r="E599" s="4" t="str">
        <f ca="1">IFERROR(__xludf.DUMMYFUNCTION("GOOGLETRANSLATE(D599,""auto"",""en"")"),"Sample relationship diagram graphical user interface for display screen panels")</f>
        <v>Sample relationship diagram graphical user interface for display screen panels</v>
      </c>
    </row>
    <row r="600" spans="1:5" ht="15" x14ac:dyDescent="0.25">
      <c r="A600" s="5" t="s">
        <v>1764</v>
      </c>
      <c r="B600" s="6" t="s">
        <v>1765</v>
      </c>
      <c r="C600" s="3" t="str">
        <f ca="1">IFERROR(__xludf.DUMMYFUNCTION("GOOGLETRANSLATE(B600,""auto"",""en"")"),"1. Design product name: The threatening tissue graphical user interface for the display screen panel.
 2. Design products in this exterior: used to display interface content.
 3. Design of the design of the product in this exterior: lies in the interf"&amp;"ace content of the graphical user interface.
 4. Pictures or photos that can most indicate design points: main view.
 5. Used to design and omit other views of the display screen panel.
 6. The purpose of graphical user interface: used to show the k"&amp;"nowledge map of the APT (high -level continuous threat) organization, including IP, domain name, MD5, attackers, victims, etc.
 Human -machine interaction content: The main view is the main interface of the system that displays the knowledge diagram of "&amp;"the APT organization. The user clicks a node in the interface diagram, which can expand or put away the lower node of the node; ""The button, as shown in the interface change state, shows the name of all nodes; when the input device such as the mouse and "&amp;"other input devices slide through a certain node in the main view spectrum, as shown in the interface change state Figure 2, the highlight shows the highlight showing the highlight, the highlight shows that the highlight shows that this should be displaye"&amp;"d. Nodes and all superior nodes; when entering the node type or retrieval value in the search box in the upper right, and click the ""Query"" button, as shown in the interface change state Figure 3, highlight and magnify the node and all superior nodes.
 "&amp;"
 7. The displayed carrier equipment for display is the existing design. The display screen panel can be applied to computers, laptops, tablet computers, mobile phones, smartphones, smart glasses, watches, smart watches, fitness monitors, head wearing, he"&amp;"ad wearing Form headphones, personal digital assistants, smart speakers, television, monitor, projector, set -top box, navigator, display device for vehicles.")</f>
        <v>1. Design product name: The threatening tissue graphical user interface for the display screen panel.
 2. Design products in this exterior: used to display interface content.
 3. Design of the design of the product in this exterior: lies in the interface content of the graphical user interface.
 4. Pictures or photos that can most indicate design points: main view.
 5. Used to design and omit other views of the display screen panel.
 6. The purpose of graphical user interface: used to show the knowledge map of the APT (high -level continuous threat) organization, including IP, domain name, MD5, attackers, victims, etc.
 Human -machine interaction content: The main view is the main interface of the system that displays the knowledge diagram of the APT organization. The user clicks a node in the interface diagram, which can expand or put away the lower node of the node; "The button, as shown in the interface change state, shows the name of all nodes; when the input device such as the mouse and other input devices slide through a certain node in the main view spectrum, as shown in the interface change state Figure 2, the highlight shows the highlight showing the highlight, the highlight shows that the highlight shows that this should be displayed. Nodes and all superior nodes; when entering the node type or retrieval value in the search box in the upper right, and click the "Query" button, as shown in the interface change state Figure 3, highlight and magnify the node and all superior nodes.
 7.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00" s="6" t="s">
        <v>1766</v>
      </c>
      <c r="E600" s="4" t="str">
        <f ca="1">IFERROR(__xludf.DUMMYFUNCTION("GOOGLETRANSLATE(D600,""auto"",""en"")"),"The threatening tissue graphical user interface for display screen panels")</f>
        <v>The threatening tissue graphical user interface for display screen panels</v>
      </c>
    </row>
    <row r="601" spans="1:5" ht="15" x14ac:dyDescent="0.25">
      <c r="A601" s="5" t="s">
        <v>1767</v>
      </c>
      <c r="B601" s="6" t="s">
        <v>1768</v>
      </c>
      <c r="C601" s="3" t="str">
        <f ca="1">IFERROR(__xludf.DUMMYFUNCTION("GOOGLETRANSLATE(B601,""auto"",""en"")"),"Field: Safety Equipment. Material: System that ensures a comprehensive safety of water bodies. The system used to ensure the comprehensive safety of the water body includes a functional block composed of software and hardware components, configured to rec"&amp;"eive-transmission and/or analyze information about water bodies and release appropriate scenarios to prevent danger. It also includes an automatic rescue workstation access access. Analyze the user interface of the unit; meteorological monitoring unit, vi"&amp;"deo surveillance unit, panoramic camera monitoring beach and swimming area, gimbal camera surveillance swimming area and waters; hydrological monitoring unit, which is a hobbly formula and water temperature measurement sensor form. Equipment, current noti"&amp;"fication unit, analysis unit, server hardware and software use artificial intelligence technology to implement and design the operations of video analysis systems, water analysis systems, external equipment management systems, and notification management "&amp;"systems. Effect: Not only is it on the water, but it also provides comprehensive monitoring of swimmers underwater. 1 cl, 3 dwg")</f>
        <v>Field: Safety Equipment. Material: System that ensures a comprehensive safety of water bodies. The system used to ensure the comprehensive safety of the water body includes a functional block composed of software and hardware components, configured to receive-transmission and/or analyze information about water bodies and release appropriate scenarios to prevent danger. It also includes an automatic rescue workstation access access. Analyze the user interface of the unit; meteorological monitoring unit, video surveillance unit, panoramic camera monitoring beach and swimming area, gimbal camera surveillance swimming area and waters; hydrological monitoring unit, which is a hobbly formula and water temperature measurement sensor form. Equipment, current notification unit, analysis unit, server hardware and software use artificial intelligence technology to implement and design the operations of video analysis systems, water analysis systems, external equipment management systems, and notification management systems. Effect: Not only is it on the water, but it also provides comprehensive monitoring of swimmers underwater. 1 cl, 3 dwg</v>
      </c>
      <c r="D601" s="6" t="s">
        <v>1769</v>
      </c>
      <c r="E601" s="4" t="str">
        <f ca="1">IFERROR(__xludf.DUMMYFUNCTION("GOOGLETRANSLATE(D601,""auto"",""en"")"),"Water comprehensive safety")</f>
        <v>Water comprehensive safety</v>
      </c>
    </row>
    <row r="602" spans="1:5" ht="15" x14ac:dyDescent="0.25">
      <c r="A602" s="5" t="s">
        <v>1770</v>
      </c>
      <c r="B602" s="6" t="s">
        <v>1771</v>
      </c>
      <c r="C602" s="3" t="str">
        <f ca="1">IFERROR(__xludf.DUMMYFUNCTION("GOOGLETRANSLATE(B602,""auto"",""en"")"),"Due to the needs of intelligent life and intelligent solutions for industrial operations, family automation and medical care, the Internet of Things (IoT) is of great significance in technology and social fields. The telecommunications network provides a "&amp;"all -weather Internet connection for the equipment in the physical system and handheld devices. These developments make it easier to keep participation anytime, anywhere when interacting with one or more applications. Many smart devices may interact in th"&amp;"e background, resulting in an event -driven intelligent activity issued alarm or record status abstract based on strategy. We are shaping intelligent solutions for industrial, transportation, electronic medical care, electronic education and other daily a"&amp;"ctivities. IoT activity is autonomous and supports dynamic machines to communicate with machines (M2M). Dynamic changes of heterogeneity, signal quality and challenges of a large amount of data are being solved through multiple technologies. In this artic"&amp;"le, we discussed the role of intelligent system technology, security, loopholes, and the use of machine learning (ML) and artificial intelligence (AI) intelligent solutions based on the Internet of Things. One key factor that hinders the continuous effort"&amp;"s of the Internet of Things is safe. The Internet of Things and Machine Learning (ML) are widely used in many aspects of life, and medical care is one of them. With the rapid development and improvement of the Internet, traditional patient service strateg"&amp;"ies are gradually replaced by electronic medical systems. The use of IoT technology provides the most modern medical equipment environment for medical professionals and patients. The Internet of Things and machine learning are very valuable in various fie"&amp;"lds from remote observation to modern climate to mechanization. In addition, in view of the reduction of costs, easy understanding, and improving the personal satisfaction of patients, medical care applications mainly show their interest in IoT things. Th"&amp;"e latest application of the Internet of Things Medical, after investigation and facing problems in the clinical environment, needs to be based on intelligence and creativity. In specific portable and implanted Internet of Things model devices, the method "&amp;"of calculating data transmission is studied. Plant technology leads to natural replacement of human injuries. The creation of wearable and implanted medical care body regional networks faces several challenges explained in this study. In this article, the"&amp;" IoT and machine learning based on healthcare and health care are displayed in detail. By combining machine learning (ML) into the Internet of Things (IoT), applications used in medical care listed in All issues and challenges are used in applications or "&amp;"equipment for medical care and their important uses. In addition, by displaying the previous work to indicate the algorithm used for development equipment in the Internet of Things, and classify them according to the method used.")</f>
        <v>Due to the needs of intelligent life and intelligent solutions for industrial operations, family automation and medical care, the Internet of Things (IoT) is of great significance in technology and social fields. The telecommunications network provides a all -weather Internet connection for the equipment in the physical system and handheld devices. These developments make it easier to keep participation anytime, anywhere when interacting with one or more applications. Many smart devices may interact in the background, resulting in an event -driven intelligent activity issued alarm or record status abstract based on strategy. We are shaping intelligent solutions for industrial, transportation, electronic medical care, electronic education and other daily activities. IoT activity is autonomous and supports dynamic machines to communicate with machines (M2M). Dynamic changes of heterogeneity, signal quality and challenges of a large amount of data are being solved through multiple technologies. In this article, we discussed the role of intelligent system technology, security, loopholes, and the use of machine learning (ML) and artificial intelligence (AI) intelligent solutions based on the Internet of Things. One key factor that hinders the continuous efforts of the Internet of Things is safe. The Internet of Things and Machine Learning (ML) are widely used in many aspects of life, and medical care is one of them. With the rapid development and improvement of the Internet, traditional patient service strategies are gradually replaced by electronic medical systems. The use of IoT technology provides the most modern medical equipment environment for medical professionals and patients. The Internet of Things and machine learning are very valuable in various fields from remote observation to modern climate to mechanization. In addition, in view of the reduction of costs, easy understanding, and improving the personal satisfaction of patients, medical care applications mainly show their interest in IoT things. The latest application of the Internet of Things Medical, after investigation and facing problems in the clinical environment, needs to be based on intelligence and creativity. In specific portable and implanted Internet of Things model devices, the method of calculating data transmission is studied. Plant technology leads to natural replacement of human injuries. The creation of wearable and implanted medical care body regional networks faces several challenges explained in this study. In this article, the IoT and machine learning based on healthcare and health care are displayed in detail. By combining machine learning (ML) into the Internet of Things (IoT), applications used in medical care listed in All issues and challenges are used in applications or equipment for medical care and their important uses. In addition, by displaying the previous work to indicate the algorithm used for development equipment in the Internet of Things, and classify them according to the method used.</v>
      </c>
      <c r="D602" s="6" t="s">
        <v>1772</v>
      </c>
      <c r="E602" s="4" t="str">
        <f ca="1">IFERROR(__xludf.DUMMYFUNCTION("GOOGLETRANSLATE(D602,""auto"",""en"")"),"Machine learning (ML) and the Internet of Things (IoT) for medical care applications discovery system discovery system")</f>
        <v>Machine learning (ML) and the Internet of Things (IoT) for medical care applications discovery system discovery system</v>
      </c>
    </row>
    <row r="603" spans="1:5" ht="15" x14ac:dyDescent="0.25">
      <c r="A603" s="5" t="s">
        <v>1773</v>
      </c>
      <c r="B603" s="6" t="s">
        <v>1774</v>
      </c>
      <c r="C603" s="3" t="str">
        <f ca="1">IFERROR(__xludf.DUMMYFUNCTION("GOOGLETRANSLATE(B603,""auto"",""en"")"),"1. The name of the product of the product: The intelligent indicator graph of the display screen panel is designed.
 2. Design products in appearance: used for running procedures, information display, and human -computer interaction.
 3. Design of the"&amp;" design of the product in this exterior: lies in the interface content of the graphic user interface in the screen.
 4. Pictures or photos that can best show design: Design 1 main view.
 5. Specify design 1 is the basic design.
 6. The purpose of th"&amp;"e graphical user interface: This graphic user interface is used in the intelligent indicator diagram. In the form of the graph, check the relationship between the excavation indicator and the indicator, and support the management of the graph. The indicat"&amp;"or diagram has the function of drilling and dragging.
 Design 1 The main view is the interface in the stapon state of a indicator. The user right -click on the indicator to appear a functional window, as shown in the design 1 interface change state. Var"&amp;"ious data relationships related to indicators, as shown in design 1 interface changes. 2.
 Design 2 Main view is the interface in the expansion of the relevant data relationship of a indicator. The user right -click on any related relationship index and"&amp;" the functional window appears. If the design 2 interface changes are shown in Figure 1, click the ""lower drill"" button , Expand various data relationships related to this indicator, as shown in the design 2 interface change state.
 Design 3 main view"&amp;" is the interface in the correlation of a indicator. The indicator diagram has a drag and drag function. Users can drag and drag as needed, as shown in the design 3 interface change state diagram.
 The process of design 4 to design 8 is referred to desi"&amp;"gn 1.
 7. Other instructions: This display screen panel is applied to vehicles, computers, laptops, tablets, mobile phones, smart watches, smart bracelets, fitness monitor, headset headphones, personal digital assistants (PDA), smart speakers, TVs, TVs "&amp;", Skytop box, projector, game console or navigator.")</f>
        <v>1. The name of the product of the product: The intelligent indicator graph of the display screen panel is designed.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in the intelligent indicator diagram. In the form of the graph, check the relationship between the excavation indicator and the indicator, and support the management of the graph. The indicator diagram has the function of drilling and dragging.
 Design 1 The main view is the interface in the stapon state of a indicator. The user right -click on the indicator to appear a functional window, as shown in the design 1 interface change state. Various data relationships related to indicators, as shown in design 1 interface changes. 2.
 Design 2 Main view is the interface in the expansion of the relevant data relationship of a indicator. The user right -click on any related relationship index and the functional window appears. If the design 2 interface changes are shown in Figure 1, click the "lower drill" button , Expand various data relationships related to this indicator, as shown in the design 2 interface change state.
 Design 3 main view is the interface in the correlation of a indicator. The indicator diagram has a drag and drag function. Users can drag and drag as needed, as shown in the design 3 interface change state diagram.
 The process of design 4 to design 8 is referred to design 1.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03" s="6" t="s">
        <v>1775</v>
      </c>
      <c r="E603" s="4" t="str">
        <f ca="1">IFERROR(__xludf.DUMMYFUNCTION("GOOGLETRANSLATE(D603,""auto"",""en"")"),"Smart indicator diagram graphical user interface of display screen panel")</f>
        <v>Smart indicator diagram graphical user interface of display screen panel</v>
      </c>
    </row>
    <row r="604" spans="1:5" ht="15" x14ac:dyDescent="0.25">
      <c r="A604" s="5" t="s">
        <v>1776</v>
      </c>
      <c r="B604" s="6" t="s">
        <v>1777</v>
      </c>
      <c r="C604" s="3" t="str">
        <f ca="1">IFERROR(__xludf.DUMMYFUNCTION("GOOGLETRANSLATE(B604,""auto"",""en"")"),"The invention discloses a digital resistance device fitness system and system data processing method, which includes: digital resistance modules, control modules, and smart terminals; wherein, the digital resistance module connects the power of the contro"&amp;"l module; the control is controlled The module includes: processing unit, voice recognition unit, touch display unit, VR device, speed sensor, load sensor, position sensor, wireless communication unit, position sensor, and wireless communication unit; Int"&amp;"elligent terminal wireless connection. Using the embodiment of the present invention can enrich the functions of fitness equipment, improve the intelligence of fitness equipment, and improve the user experience.")</f>
        <v>The invention discloses a digital resistance device fitness system and system data processing method, which includes: digital resistance modules, control modules, and smart terminals; wherein, the digital resistance module connects the power of the control module; the control is controlled The module includes: processing unit, voice recognition unit, touch display unit, VR device, speed sensor, load sensor, position sensor, wireless communication unit, position sensor, and wireless communication unit; Intelligent terminal wireless connection. Using the embodiment of the present invention can enrich the functions of fitness equipment, improve the intelligence of fitness equipment, and improve the user experience.</v>
      </c>
      <c r="D604" s="6" t="s">
        <v>1778</v>
      </c>
      <c r="E604" s="4" t="str">
        <f ca="1">IFERROR(__xludf.DUMMYFUNCTION("GOOGLETRANSLATE(D604,""auto"",""en"")"),"A digital resistor fitness system and system data processing method")</f>
        <v>A digital resistor fitness system and system data processing method</v>
      </c>
    </row>
    <row r="605" spans="1:5" ht="15" x14ac:dyDescent="0.25">
      <c r="A605" s="5" t="s">
        <v>1779</v>
      </c>
      <c r="B605" s="6" t="s">
        <v>1780</v>
      </c>
      <c r="C605" s="3" t="str">
        <f ca="1">IFERROR(__xludf.DUMMYFUNCTION("GOOGLETRANSLATE(B605,""auto"",""en"")"),"1. Design product name: Shipping screen panel of the user interface of the ship digging auxiliary operation graphics user interface.
 2. Design products in appearance: used for interaction and display.
 3. Design of the design of the product in appear"&amp;"ance: lies in the interface content of the graphic user interface.
 4. Pictures or photos that can most indicate design points: main view.
 5. The display screen panel is commonly designed, and other views of the display screen panel are omitted.
 6"&amp;". The purpose of the graphical user interface: It is used to assist the ship dig operation.
 7.图形用户界面在产品中的区域：该显示屏幕面板可以应用于计算机、笔记本电脑、平板电脑、手机、智能手环、智能眼镜、手表、健身监视器、头戴式耳机、个人数字助理、 Smart speakers, television, monitor, projector, set -top box, navigator, display "&amp;"device for vehicles.
 8. Human -computer interaction method of graphics user interface: The main view is the interface view of the initial position of the ship, the ruler shows the coordinates of the ship digging the tip of the fighter tooth in real tim"&amp;"e. One display light indicates that the ship digs the tip of the bucket tooth is currently underwater warning light; when the ship moves the tip of the bucket tooth to move down the water, the interface jumps to the interface change state by the main view"&amp;". At this time From the first one of the main view, gradually jumping to the third one; when the ship digs the tip of the bucket tooth continues to move down and reaches the specified mining position, the interface passing state changes. 2. At this time, "&amp;"the warning lights from the interface change state Figure 1 The third lit up and jump to the fourth light; after a certain period of time, the interface via the interface changes state. 2 to the interface changes. The upper right direction key in Status 3"&amp;" is turned from the downbar key to the upward key from the downbar key of the interface changes. When the tip continues to move upwards, the interface changes of the interface transition status Figure 3 turn to the interface change state in order Figure 4"&amp;" and the interface change state Figure 5, the interface change state Figure 4 is the interface view of the middle state where the boat digs the tip of the ship, the interface view, the interface interface The change state of the change is the interface vi"&amp;"ew of the ship's tip tooth to the surface of the water. During the movement of the ship's tomber to the water surface, the warning light on the upper right of the interface becomes darkened from right to left.")</f>
        <v>1. Design product name: Shipping screen panel of the user interface of the ship digging auxiliary operation graphics user interface.
 2. Design products in appearance: used for interaction and display.
 3. Design of the design of the product in appearance: lies in the interface content of the graphic user interface.
 4. Pictures or photos that can most indicate design points: main view.
 5. The display screen panel is commonly designed, and other views of the display screen panel are omitted.
 6. The purpose of the graphical user interface: It is used to assist the ship dig operation.
 7.图形用户界面在产品中的区域：该显示屏幕面板可以应用于计算机、笔记本电脑、平板电脑、手机、智能手环、智能眼镜、手表、健身监视器、头戴式耳机、个人数字助理、 Smart speakers, television, monitor, projector, set -top box, navigator, display device for vehicles.
 8. Human -computer interaction method of graphics user interface: The main view is the interface view of the initial position of the ship, the ruler shows the coordinates of the ship digging the tip of the fighter tooth in real time. One display light indicates that the ship digs the tip of the bucket tooth is currently underwater warning light; when the ship moves the tip of the bucket tooth to move down the water, the interface jumps to the interface change state by the main view. At this time From the first one of the main view, gradually jumping to the third one; when the ship digs the tip of the bucket tooth continues to move down and reaches the specified mining position, the interface passing state changes. 2. At this time, the warning lights from the interface change state Figure 1 The third lit up and jump to the fourth light; after a certain period of time, the interface via the interface changes state. 2 to the interface changes. The upper right direction key in Status 3 is turned from the downbar key to the upward key from the downbar key of the interface changes. When the tip continues to move upwards, the interface changes of the interface transition status Figure 3 turn to the interface change state in order Figure 4 and the interface change state Figure 5, the interface change state Figure 4 is the interface view of the middle state where the boat digs the tip of the ship, the interface view, the interface interface The change state of the change is the interface view of the ship's tip tooth to the surface of the water. During the movement of the ship's tomber to the water surface, the warning light on the upper right of the interface becomes darkened from right to left.</v>
      </c>
      <c r="D605" s="6" t="s">
        <v>1781</v>
      </c>
      <c r="E605" s="4" t="str">
        <f ca="1">IFERROR(__xludf.DUMMYFUNCTION("GOOGLETRANSLATE(D605,""auto"",""en"")"),"Ship Display Display Panel on the User Interface of the Graphics User Interface")</f>
        <v>Ship Display Display Panel on the User Interface of the Graphics User Interface</v>
      </c>
    </row>
    <row r="606" spans="1:5" ht="12.75" x14ac:dyDescent="0.2">
      <c r="A606" s="7" t="s">
        <v>1782</v>
      </c>
      <c r="B606" s="6" t="s">
        <v>518</v>
      </c>
      <c r="C606" s="3" t="str">
        <f ca="1">IFERROR(__xludf.DUMMYFUNCTION("GOOGLETRANSLATE(B606,""auto"",""en"")"),"-")</f>
        <v>-</v>
      </c>
      <c r="D606" s="6" t="s">
        <v>518</v>
      </c>
      <c r="E606" s="4" t="str">
        <f ca="1">IFERROR(__xludf.DUMMYFUNCTION("GOOGLETRANSLATE(D606,""auto"",""en"")"),"-")</f>
        <v>-</v>
      </c>
    </row>
    <row r="607" spans="1:5" ht="15" x14ac:dyDescent="0.25">
      <c r="A607" s="5" t="s">
        <v>1783</v>
      </c>
      <c r="B607" s="6" t="s">
        <v>1784</v>
      </c>
      <c r="C607" s="3" t="str">
        <f ca="1">IFERROR(__xludf.DUMMYFUNCTION("GOOGLETRANSLATE(B607,""auto"",""en"")"),"The present invention has disclosed the artificial intelligence education interactive system, involving the field of artificial intelligence technology, including cloud artificial intelligence servers, identification ports, teaching demonstration terminal"&amp;"s, and power startup terminals. The terminal maintains real -time data interoperability through the Internet. The present invention starts a complete educational interactive system by setting up cloud artificial intelligence servers, identification ports,"&amp;" teaching demonstration terminals, and power supply. The current information of the operator perform dual information identification, improves the identification efficiency and accuracy, and conducts a systematic process interactive request instruction in"&amp;"struction database comparison, learning analysis, comparative reasoning, language processing and demonstration operation to achieve the best interactive effect. The overall exercise process has increased the overall work efficiency and met the need for us"&amp;"e.")</f>
        <v>The present invention has disclosed the artificial intelligence education interactive system, involving the field of artificial intelligence technology, including cloud artificial intelligence servers, identification ports, teaching demonstration terminals, and power startup terminals. The terminal maintains real -time data interoperability through the Internet. The present invention starts a complete educational interactive system by setting up cloud artificial intelligence servers, identification ports, teaching demonstration terminals, and power supply. The current information of the operator perform dual information identification, improves the identification efficiency and accuracy, and conducts a systematic process interactive request instruction instruction database comparison, learning analysis, comparative reasoning, language processing and demonstration operation to achieve the best interactive effect. The overall exercise process has increased the overall work efficiency and met the need for use.</v>
      </c>
      <c r="D607" s="6" t="s">
        <v>1785</v>
      </c>
      <c r="E607" s="4" t="str">
        <f ca="1">IFERROR(__xludf.DUMMYFUNCTION("GOOGLETRANSLATE(D607,""auto"",""en"")"),"Based on artificial intelligence education interactive system")</f>
        <v>Based on artificial intelligence education interactive system</v>
      </c>
    </row>
    <row r="608" spans="1:5" ht="15" x14ac:dyDescent="0.25">
      <c r="A608" s="5" t="s">
        <v>1786</v>
      </c>
      <c r="B608" s="6" t="s">
        <v>1787</v>
      </c>
      <c r="C608" s="3" t="str">
        <f ca="1">IFERROR(__xludf.DUMMYFUNCTION("GOOGLETRANSLATE(B608,""auto"",""en"")"),"The present invention involves the field of computer vision technology, which specifically involves a method and system of fitness action risk assessment methods based on computer vision. This method first extracts the area of ​​interest, detects the key "&amp;"points in the area of ​​interest, and builds a characteristic polyhedron by key points; Get the feature value of the feature polyhedron, build a feature matrix according to the number of fitness video image frames corresponding to the characteristic value"&amp;" and feature polyhedron; the first abnormal feature value, second abnormal feature value, and third abnormal feature value corresponding to the computing feature matrix are greater than presets than presets. The third abnormal characteristic value of the "&amp;"abnormal threshold is an abnormal feature value; the polyal class of the abnormal feature value obtains multiple abnormal categories to obtain the degree and density of the abnormal feature value; the degree of harm to the exercise of fitness personnel is"&amp;" obtained according to the degree of discreteness and density. The invention uses the characteristics of the characteristic value of the characteristics of the fitness personnel to obtain an abnormal characteristic value, achieving the purpose of improvin"&amp;"g the reliability of the degree of harm to fitness action.")</f>
        <v>The present invention involves the field of computer vision technology, which specifically involves a method and system of fitness action risk assessment methods based on computer vision. This method first extracts the area of ​​interest, detects the key points in the area of ​​interest, and builds a characteristic polyhedron by key points; Get the feature value of the feature polyhedron, build a feature matrix according to the number of fitness video image frames corresponding to the characteristic value and feature polyhedron; the first abnormal feature value, second abnormal feature value, and third abnormal feature value corresponding to the computing feature matrix are greater than presets than presets. The third abnormal characteristic value of the abnormal threshold is an abnormal feature value; the polyal class of the abnormal feature value obtains multiple abnormal categories to obtain the degree and density of the abnormal feature value; the degree of harm to the exercise of fitness personnel is obtained according to the degree of discreteness and density. The invention uses the characteristics of the characteristic value of the characteristics of the fitness personnel to obtain an abnormal characteristic value, achieving the purpose of improving the reliability of the degree of harm to fitness action.</v>
      </c>
      <c r="D608" s="6" t="s">
        <v>1788</v>
      </c>
      <c r="E608" s="4" t="str">
        <f ca="1">IFERROR(__xludf.DUMMYFUNCTION("GOOGLETRANSLATE(D608,""auto"",""en"")"),"An evaluation method and system based on computer vision -based fitness action risk assessment method")</f>
        <v>An evaluation method and system based on computer vision -based fitness action risk assessment method</v>
      </c>
    </row>
    <row r="609" spans="1:5" ht="15" x14ac:dyDescent="0.25">
      <c r="A609" s="5" t="s">
        <v>1789</v>
      </c>
      <c r="B609" s="6" t="s">
        <v>1790</v>
      </c>
      <c r="C609" s="3" t="str">
        <f ca="1">IFERROR(__xludf.DUMMYFUNCTION("GOOGLETRANSLATE(B609,""auto"",""en"")"),"The present invention disclosed a swimming pole water body purification and cleaning bionic machine manta. The solar cell is used as the power to drive flexible pectoral fins through motor -driven fins, and configure ultraviolet light strips with steriliz"&amp;"ation function. Water quality monitoring tube monitoring indicators such as water turbidity, pH value, urea, free residual chlorine. The head is equipped with a camera, LED lighting device, and the body is configured to detect the sensor. Based on water q"&amp;"uality monitoring and image recognition results, active identification and autonomous water body purification and cleaning. After the sewage enters the mouth of the bati, there are two paths under the drainage of the negative pressure generated by the pum"&amp;"p operation. In the water purification mode, the water body is purified by purifying the filter pack; in the garbage filtration mode, the water body is filtered by a thick filtering package to remove the solid garbage, and the purification water is discha"&amp;"rged from the drainage port on the back. The rolling brush loaded on the abdomen can rotate the wall of the pond. The sewage is absorbed by the abdomen. After filtering through the rough filtering bag, the water purification is discharged from the drainag"&amp;"e port.")</f>
        <v>The present invention disclosed a swimming pole water body purification and cleaning bionic machine manta. The solar cell is used as the power to drive flexible pectoral fins through motor -driven fins, and configure ultraviolet light strips with sterilization function. Water quality monitoring tube monitoring indicators such as water turbidity, pH value, urea, free residual chlorine. The head is equipped with a camera, LED lighting device, and the body is configured to detect the sensor. Based on water quality monitoring and image recognition results, active identification and autonomous water body purification and cleaning. After the sewage enters the mouth of the bati, there are two paths under the drainage of the negative pressure generated by the pump operation. In the water purification mode, the water body is purified by purifying the filter pack; in the garbage filtration mode, the water body is filtered by a thick filtering package to remove the solid garbage, and the purification water is discharged from the drainage port on the back. The rolling brush loaded on the abdomen can rotate the wall of the pond. The sewage is absorbed by the abdomen. After filtering through the rough filtering bag, the water purification is discharged from the drainage port.</v>
      </c>
      <c r="D609" s="6" t="s">
        <v>1791</v>
      </c>
      <c r="E609" s="4" t="str">
        <f ca="1">IFERROR(__xludf.DUMMYFUNCTION("GOOGLETRANSLATE(D609,""auto"",""en"")"),"A kind of swimming pole water body purification and cleaning bionic machine manta")</f>
        <v>A kind of swimming pole water body purification and cleaning bionic machine manta</v>
      </c>
    </row>
    <row r="610" spans="1:5" ht="15" x14ac:dyDescent="0.25">
      <c r="A610" s="5" t="s">
        <v>1792</v>
      </c>
      <c r="B610" s="6" t="s">
        <v>1793</v>
      </c>
      <c r="C610" s="3" t="str">
        <f ca="1">IFERROR(__xludf.DUMMYFUNCTION("GOOGLETRANSLATE(B610,""auto"",""en"")"),"1. The name of the product of the design of the product: The display screen panel with the curriculum model test reserved the graphical user interface.
 2. The purpose of designing products in this exterior: The graphic user interface of the design of t"&amp;"he product is used for human -machine interaction on the display screen panel. The display screen panel is used to usual, and it is used for game consoles, mobile phones, tablets, computers, education machines, education machines, and educational machines"&amp;". , Car navigator, smart TV, game console display.
 3. Design of the design of the product in this exterior: lies in the graphical user interface displayed in the display screen panel.
 4. Pictures or photos that can best show design: Design 1 main vi"&amp;"ew.
 5. Specify design 1 is the basic design.
 6. The purpose of graphic user interface: The product interface designed in this appearance is used to make an appointment for employees of driving school employees to make reservations for trainees' trai"&amp;"ning courses or simulation tests. The interface displayed by the main view of the main view is to make an appointment for the driving training course of the driver school employees to make an appointment for the driving training course of the students. In"&amp;" the interface, a number of reservation courses for driving school coaches can be displayed. The floating windows with the information of the course above the selected training course; the interface displayed by the main view of the main view is click on "&amp;"any driving training course to enter the design 1 change status. The displayed interface interface of the appointment has multiple editors for employees of driving schools to fill in the editor; in the design 1 change status Figure 1 display interface dis"&amp;"play, click OK Options to enter the design 1 change state. The interface; the interface displayed by the main view of the main view is the interface of the employee of the driving school employee to make an appointment for the trainee's driving simulation"&amp;" test. The interface shows multiple reservation tests for driving school coaches. Exam Entering Design 2 Change State Figure 1 The student simulation test editing interface displayed, with multiple editing options for employees of driving schools to fill "&amp;"in the editor to edit the selected simulation exams; Design 2 change status Figure 2 Display employees of driving schools successfully appointments the interface after the relevant simulation test are successfully approved; in the above view, the circle i"&amp;"n the upper right corner represents the user avatar, and the box in the upper left corner represents the LOGO picture of the driving school.
 7. Small view: Design product design product design 1‑2 rear view, left view, right view, down view and view vi"&amp;"ew without design, so omitted.")</f>
        <v>1. The name of the product of the design of the product: The display screen panel with the curriculum model test reserved the graphical user interface.
 2. The purpose of designing products in this exterior: The graphic user interface of the design of the product is used for human -machine interaction on the display screen panel. The display screen panel is used to usual, and it is used for game consoles, mobile phones, tablets, computers, education machines, education machines, and educational machines. , Car navigator, smart TV, game console display.
 3. Design of the design of the product in this exterior: lies in the graphical user interface displayed in the display screen panel.
 4. Pictures or photos that can best show design: Design 1 main view.
 5. Specify design 1 is the basic design.
 6. The purpose of graphic user interface: The product interface designed in this appearance is used to make an appointment for employees of driving school employees to make reservations for trainees' training courses or simulation tests. The interface displayed by the main view of the main view is to make an appointment for the driving training course of the driver school employees to make an appointment for the driving training course of the students. In the interface, a number of reservation courses for driving school coaches can be displayed. The floating windows with the information of the course above the selected training course; the interface displayed by the main view of the main view is click on any driving training course to enter the design 1 change status. The displayed interface interface of the appointment has multiple editors for employees of driving schools to fill in the editor; in the design 1 change status Figure 1 display interface display, click OK Options to enter the design 1 change state. The interface; the interface displayed by the main view of the main view is the interface of the employee of the driving school employee to make an appointment for the trainee's driving simulation test. The interface shows multiple reservation tests for driving school coaches. Exam Entering Design 2 Change State Figure 1 The student simulation test editing interface displayed, with multiple editing options for employees of driving schools to fill in the editor to edit the selected simulation exams; Design 2 change status Figure 2 Display employees of driving schools successfully appointments the interface after the relevant simulation test are successfully approved; in the above view, the circle in the upper right corner represents the user avatar, and the box in the upper left corner represents the LOGO picture of the driving school.
 7. Small view: Design product design product design 1‑2 rear view, left view, right view, down view and view view without design, so omitted.</v>
      </c>
      <c r="D610" s="6" t="s">
        <v>1794</v>
      </c>
      <c r="E610" s="4" t="str">
        <f ca="1">IFERROR(__xludf.DUMMYFUNCTION("GOOGLETRANSLATE(D610,""auto"",""en"")"),"The display screen panel with a curriculum mold test reserves the graphical user interface")</f>
        <v>The display screen panel with a curriculum mold test reserves the graphical user interface</v>
      </c>
    </row>
    <row r="611" spans="1:5" ht="15" x14ac:dyDescent="0.25">
      <c r="A611" s="5" t="s">
        <v>1795</v>
      </c>
      <c r="B611" s="6" t="s">
        <v>1796</v>
      </c>
      <c r="C611" s="3" t="str">
        <f ca="1">IFERROR(__xludf.DUMMYFUNCTION("GOOGLETRANSLATE(B611,""auto"",""en"")"),"1. Design product name: Smart assistant interactive graphic user interface for display screen panels.
 2. Design products in appearance: used for interaction and display.
 3. Design of the design of the product in appearance: lies in the interface con"&amp;"tent of the graphic user interface.
 4. Pictures or photos that can best show design points: Figure 3 of the interface change state.
 5. There is no design point for other views, omitting other views.
 6. The purpose of the graphical user interface:"&amp;" For smart assistants for dialogue and answer.
 7. Human -computer interaction method of graphics user interface: The main view is the main interface with smart assistants, displaying the smart assistant mascot of the standing and waved hand on the top "&amp;"of the menu bar on the left of the main interface, and then as shown in the interface change state figure 1 shown in Figure 1 The mascot in the interface is down to indicate that the function of the page is ready; when the interface changes are not operat"&amp;"ed, the mascot in the interface is converted into a sleep form, indicating that the interface function is in use to be used in use. Status; Move the cursor of the external input device to the mascot to the interface, as shown in the interface change state"&amp;". The guidance user uses functional interface displayed. Click the mascot in the interface change state Figure 3, as shown in the interface changes, the dialogue and answer box interface displayed by the interface change, and the question and answer dialo"&amp;"gue with the smart mascot to solve the problem.
 8. The displayed carrier equipment for display is the existing design. The display screen panel can be applied to computers, laptops, tablet computers, mobile phones, smartphones, smart glasses, watches, "&amp;"smart watches, fitness monitors, head wearing, head wearing Form headphones, personal digital assistants, smart speakers, television, monitor, projector, set -top box, navigator, display device for vehicles.")</f>
        <v>1. Design product name: Smart assistant interactive graphic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3 of the interface change state.
 5. There is no design point for other views, omitting other views.
 6. The purpose of the graphical user interface: For smart assistants for dialogue and answer.
 7. Human -computer interaction method of graphics user interface: The main view is the main interface with smart assistants, displaying the smart assistant mascot of the standing and waved hand on the top of the menu bar on the left of the main interface, and then as shown in the interface change state figure 1 shown in Figure 1 The mascot in the interface is down to indicate that the function of the page is ready; when the interface changes are not operated, the mascot in the interface is converted into a sleep form, indicating that the interface function is in use to be used in use. Status; Move the cursor of the external input device to the mascot to the interface, as shown in the interface change state. The guidance user uses functional interface displayed. Click the mascot in the interface change state Figure 3, as shown in the interface changes, the dialogue and answer box interface displayed by the interface change, and the question and answer dialogue with the smart mascot to solve the problem.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11" s="6" t="s">
        <v>1797</v>
      </c>
      <c r="E611" s="4" t="str">
        <f ca="1">IFERROR(__xludf.DUMMYFUNCTION("GOOGLETRANSLATE(D611,""auto"",""en"")"),"Smart assistant interactive graphic user interface for display screen panels")</f>
        <v>Smart assistant interactive graphic user interface for display screen panels</v>
      </c>
    </row>
    <row r="612" spans="1:5" ht="15" x14ac:dyDescent="0.25">
      <c r="A612" s="5" t="s">
        <v>1798</v>
      </c>
      <c r="B612" s="6" t="s">
        <v>1799</v>
      </c>
      <c r="C612" s="3" t="str">
        <f ca="1">IFERROR(__xludf.DUMMYFUNCTION("GOOGLETRANSLATE(B612,""auto"",""en"")"),"1. Design product name: Risk data information management graphic user interface for display screen panels.
 2. Design products in appearance: used for interaction and display.
 3. Design of the design of the product in appearance: lies in the interfac"&amp;"e content of the graphic user interface.
 4. Pictures or photos that can most indicate design points: main view.
 5. There is no design point for other views, omitting other views.
 6. The purpose of graphical user interface: used to manage risk dat"&amp;"a information.
 7. Human -computer interaction method of graphical user interface: The main interface of the main view is the main interface displayed by the risk data information management system; click the overall situation of the ""credit risk"" mod"&amp;"ule in the navigation bar in the main screen menu, jump to the interface change state Figure 1; click the ""regional economy"" guidance bar in the ""macroeconomic"" in the ""macroeconomic"" under the outer direction module in the navigation bar of the mai"&amp;"n view chart, jump to the interface change state Figure 2; Change status Figure 3 Shows the continuous display page; click the regional analysis guidance bar under the ""Institutional View"" module in the main visual chart menu navigation bar, jump to the"&amp;" interface change state Figure 4; The interface change state Figure 5 Shows the continuous display page; the change of the interface change status Figure 5, as shown in the interface change status Figure 6, the continuous display page shown.
 8. The dis"&amp;"played carrier equipment for display is the existing design. The display screen panel can be applied to computers, laptops, tablet computers, mobile phones, smartphones, smart glasses, watches, smart watches, fitness monitors, head wearing, head wearing F"&amp;"orm headphones, personal digital assistants, smart speakers, television, monitor, projector, set -top box, navigator, display device for vehicles.")</f>
        <v>1. Design product name: Risk data information management graphic user interface for display screen panels.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used to manage risk data information.
 7. Human -computer interaction method of graphical user interface: The main interface of the main view is the main interface displayed by the risk data information management system; click the overall situation of the "credit risk" module in the navigation bar in the main screen menu, jump to the interface change state Figure 1; click the "regional economy" guidance bar in the "macroeconomic" in the "macroeconomic" under the outer direction module in the navigation bar of the main view chart, jump to the interface change state Figure 2; Change status Figure 3 Shows the continuous display page; click the regional analysis guidance bar under the "Institutional View" module in the main visual chart menu navigation bar, jump to the interface change state Figure 4; The interface change state Figure 5 Shows the continuous display page; the change of the interface change status Figure 5, as shown in the interface change status Figure 6, the continuous display page shown.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12" s="6" t="s">
        <v>1800</v>
      </c>
      <c r="E612" s="4" t="str">
        <f ca="1">IFERROR(__xludf.DUMMYFUNCTION("GOOGLETRANSLATE(D612,""auto"",""en"")"),"Risk data information management graph user interface for display screen panels")</f>
        <v>Risk data information management graph user interface for display screen panels</v>
      </c>
    </row>
    <row r="613" spans="1:5" ht="15" x14ac:dyDescent="0.25">
      <c r="A613" s="5" t="s">
        <v>1801</v>
      </c>
      <c r="B613" s="6" t="s">
        <v>1802</v>
      </c>
      <c r="C613" s="3" t="str">
        <f ca="1">IFERROR(__xludf.DUMMYFUNCTION("GOOGLETRANSLATE(B613,""auto"",""en"")"),"The augmented real -mobility data analysis system includes computerized visual equipment that can be worn by the first user. The computer -based visual device has a display screen. The display is configured to display a data set in the proximal field of t"&amp;"he first user without completely hindering the remote view of the first user. Sports is set in the remote field of the first user. At least one athlete is in the sports environment. At least one sensor communicates with the computer -based visual device, "&amp;"at least one sensor sensor data corresponds to at least one athlete. The computer -based data processing system and computerized visual device and at least one sensor communication. The data sensing by at least one sensor is processed by the computer -bas"&amp;"ed data processing system to generate analysis motion data. The data is filled to the data concentration on the display screen of the computerized visual device.")</f>
        <v>The augmented real -mobility data analysis system includes computerized visual equipment that can be worn by the first user. The computer -based visual device has a display screen. The display is configured to display a data set in the proximal field of the first user without completely hindering the remote view of the first user. Sports is set in the remote field of the first user. At least one athlete is in the sports environment. At least one sensor communicates with the computer -based visual device, at least one sensor sensor data corresponds to at least one athlete. The computer -based data processing system and computerized visual device and at least one sensor communication. The data sensing by at least one sensor is processed by the computer -based data processing system to generate analysis motion data. The data is filled to the data concentration on the display screen of the computerized visual device.</v>
      </c>
      <c r="D613" s="6" t="s">
        <v>1803</v>
      </c>
      <c r="E613" s="4" t="str">
        <f ca="1">IFERROR(__xludf.DUMMYFUNCTION("GOOGLETRANSLATE(D613,""auto"",""en"")"),"Augmented reality and artificial intelligence sports data analysis system and method")</f>
        <v>Augmented reality and artificial intelligence sports data analysis system and method</v>
      </c>
    </row>
    <row r="614" spans="1:5" ht="15" x14ac:dyDescent="0.25">
      <c r="A614" s="5" t="s">
        <v>1804</v>
      </c>
      <c r="B614" s="6" t="s">
        <v>1805</v>
      </c>
      <c r="C614" s="3" t="str">
        <f ca="1">IFERROR(__xludf.DUMMYFUNCTION("GOOGLETRANSLATE(B614,""auto"",""en"")"),"The present invention disclosed a method, device and equipment based on a visual technology -based football dribbling rod, involving the field of sports testing technology. The embodiment of the present invention uses low -cost, low power consumption, hig"&amp;"h -calculation edge intelligent equipment and consumer product -grade 2D cameras, combined with the target detection algorithm in AI deep learning, human joint node detection algorithm, to achieve football dribbling wound movement movement motion Real -ti"&amp;"me measurement of the project. After using the present invention plan, you can report the test staff's football dribbling rod scores in real time. The timing score accuracy is ± 0.1S, meeting the requirements of the sports test level. The invention solves"&amp;" the problem of difficulty in the installation and deployment of the existing technology, and some fouls cannot be judged. You can also view the test of the test process and the test process analysis.")</f>
        <v>The present invention disclosed a method, device and equipment based on a visual technology -based football dribbling rod, involving the field of sports testing technology. The embodiment of the present invention uses low -cost, low power consumption, high -calculation edge intelligent equipment and consumer product -grade 2D cameras, combined with the target detection algorithm in AI deep learning, human joint node detection algorithm, to achieve football dribbling wound movement movement motion Real -time measurement of the project. After using the present invention plan, you can report the test staff's football dribbling rod scores in real time. The timing score accuracy is ± 0.1S, meeting the requirements of the sports test level. The invention solves the problem of difficulty in the installation and deployment of the existing technology, and some fouls cannot be judged. You can also view the test of the test process and the test process analysis.</v>
      </c>
      <c r="D614" s="6" t="s">
        <v>1806</v>
      </c>
      <c r="E614" s="4" t="str">
        <f ca="1">IFERROR(__xludf.DUMMYFUNCTION("GOOGLETRANSLATE(D614,""auto"",""en"")"),"A test method, device and equipment based on a football dribbling rod around visual technology")</f>
        <v>A test method, device and equipment based on a football dribbling rod around visual technology</v>
      </c>
    </row>
    <row r="615" spans="1:5" ht="15" x14ac:dyDescent="0.25">
      <c r="A615" s="5" t="s">
        <v>1807</v>
      </c>
      <c r="B615" s="6" t="s">
        <v>1808</v>
      </c>
      <c r="C615" s="3" t="str">
        <f ca="1">IFERROR(__xludf.DUMMYFUNCTION("GOOGLETRANSLATE(B615,""auto"",""en"")"),"1. Design product name: The desktop homepage of the screen panel of the display screen panel.
 2. Design products in appearance: used for running procedures, information display, and human -computer interaction.
 3. Design of the design of the product"&amp;" in this exterior: lies in the interface content of the graphic user interface in the screen.
 4. Pictures or photos that can best show design: Design 1 main view.
 5. Specify design 1 is the basic design.
 6. The purpose of the graphical user inter"&amp;"face: The design point of this graphic user interface lies in the desktop homepage. The user long presss the application icon to evoke the fast pop -up window of the application.
 Design 1 main view is the desktop homepage interface. Design 2 main views"&amp;" and design 3 main views as the desktop homepage interface that evokes fast pop -up windows.
 7. Other instructions: This display screen panel is applied to vehicles, computers, laptops, tablets, mobile phones, smart watches, smart bracelets, fitness mo"&amp;"nitor, headset headphones, personal digital assistants (PDA), smart speakers, TVs, TVs , Skytop box, projector, game console or navigator.")</f>
        <v>1. Design product name: The desktop homepage of the screen panel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desktop homepage. The user long presss the application icon to evoke the fast pop -up window of the application.
 Design 1 main view is the desktop homepage interface. Design 2 main views and design 3 main views as the desktop homepage interface that evokes fast pop -up windows.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15" s="6" t="s">
        <v>1809</v>
      </c>
      <c r="E615" s="4" t="str">
        <f ca="1">IFERROR(__xludf.DUMMYFUNCTION("GOOGLETRANSLATE(D615,""auto"",""en"")"),"The graphical user interface of the desktop homepage of the display screen panel")</f>
        <v>The graphical user interface of the desktop homepage of the display screen panel</v>
      </c>
    </row>
    <row r="616" spans="1:5" ht="15" x14ac:dyDescent="0.25">
      <c r="A616" s="5" t="s">
        <v>1810</v>
      </c>
      <c r="B616" s="6" t="s">
        <v>1811</v>
      </c>
      <c r="C616" s="3" t="str">
        <f ca="1">IFERROR(__xludf.DUMMYFUNCTION("GOOGLETRANSLATE(B616,""auto"",""en"")"),"1. Design product name: The graphic user interface of the shortcut edit of the display screen panel.
 2. Design products in appearance: used for running procedures, information display, and human -computer interaction.
 3. Design of the design of the "&amp;"product in this exterior: lies in the interface content of the graphic user interface in the screen.
 4. Pictures or photos that can most indicate design points: main view.
 5. The purpose of graphical user interface: The design point of this graphic "&amp;"user interface lies in the shortcut editing.
 The main view is the smart assistant interface. The user has long pressing the area in the application area, the interface appears pop -up, and the editing button of the pop -up window has a pop -up window. "&amp;"The editing button in the upper right corner of the window, enter the fast -function editing interface, as shown in the interface change state Figure 2, click the application of the application in the fast -function pop -up window, you can add the applica"&amp;"tion to the application display area on the left side of the interface Sloping up to the bottom in the fast -function pop -up window, you can choose other applications, as shown in the interface change state Figure 3, click on the bottom of the fast -func"&amp;"tion pop -up window to select other application buttons to pop up other applications popcuts, such as interface changes, such as changes in interface changes According to the state Figure 4, the user clicks any application, which can be added to the appli"&amp;"cation display area on the left side of the interface.
 6. Other instructions: This display screen panel is applied to vehicles, computers, laptops, tablets, mobile phones, smart watches, smart bracelets, fitness monitor, headset headphones, personal di"&amp;"gital assistant (PDA), smart speakers, TVs, TVs , Skytop box, projector, game console or navigator.")</f>
        <v>1. Design product name: The graphic user interface of the shortcut edit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graphical user interface: The design point of this graphic user interface lies in the shortcut editing.
 The main view is the smart assistant interface. The user has long pressing the area in the application area, the interface appears pop -up, and the editing button of the pop -up window has a pop -up window. The editing button in the upper right corner of the window, enter the fast -function editing interface, as shown in the interface change state Figure 2, click the application of the application in the fast -function pop -up window, you can add the application to the application display area on the left side of the interface Sloping up to the bottom in the fast -function pop -up window, you can choose other applications, as shown in the interface change state Figure 3, click on the bottom of the fast -function pop -up window to select other application buttons to pop up other applications popcuts, such as interface changes, such as changes in interface changes According to the state Figure 4, the user clicks any application, which can be added to the application display area on the left side of the interface.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616" s="6" t="s">
        <v>1812</v>
      </c>
      <c r="E616" s="4" t="str">
        <f ca="1">IFERROR(__xludf.DUMMYFUNCTION("GOOGLETRANSLATE(D616,""auto"",""en"")"),"The graphic user interface of the shortcut editor of the display screen panel")</f>
        <v>The graphic user interface of the shortcut editor of the display screen panel</v>
      </c>
    </row>
    <row r="617" spans="1:5" ht="15" x14ac:dyDescent="0.25">
      <c r="A617" s="5" t="s">
        <v>1813</v>
      </c>
      <c r="B617" s="6" t="s">
        <v>1814</v>
      </c>
      <c r="C617" s="3" t="str">
        <f ca="1">IFERROR(__xludf.DUMMYFUNCTION("GOOGLETRANSLATE(B617,""auto"",""en"")"),"1. Design product name: The desktop user interface set by the desktop main screen of the display screen panel.
 2. Design products in appearance: used for running procedures, information display, and human -computer interaction.
 3. Design of the desi"&amp;"gn of the product in this exterior: lies in the interface content of the graphic user interface in the screen.
 4. Pictures or photos that can most indicate design points: main view.
 5. The purpose of the graphical user interface: The design point of"&amp;" this graphic user interface lies in the main screen setting of the desktop.
 The main view is the desktop editing interface. Click the setting icon in the lower right corner of the interface to evoke the pop -up window. As shown in the interface change"&amp;"s, click the main screen in the pop -up window and enter the setting main screen interface. The page, as shown in the interface change state. 2.
 6. Other instructions: This display screen panel is applied to vehicles, computers, laptops, tablets, mobil"&amp;"e phones, smart watches, smart bracelets, fitness monitor, headset headphones, personal digital assistant (PDA), smart speakers, TVs, TVs , Skytop box, projector, game console or navigator.")</f>
        <v>1. Design product name: The desktop user interface set by the desktop main screen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design point of this graphic user interface lies in the main screen setting of the desktop.
 The main view is the desktop editing interface. Click the setting icon in the lower right corner of the interface to evoke the pop -up window. As shown in the interface changes, click the main screen in the pop -up window and enter the setting main screen interface. The page, as shown in the interface change state. 2.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617" s="6" t="s">
        <v>1815</v>
      </c>
      <c r="E617" s="4" t="str">
        <f ca="1">IFERROR(__xludf.DUMMYFUNCTION("GOOGLETRANSLATE(D617,""auto"",""en"")"),"The graphical user interface set by the main screen setting of the display screen panel")</f>
        <v>The graphical user interface set by the main screen setting of the display screen panel</v>
      </c>
    </row>
    <row r="618" spans="1:5" ht="15" x14ac:dyDescent="0.25">
      <c r="A618" s="5" t="s">
        <v>1816</v>
      </c>
      <c r="B618" s="6" t="s">
        <v>1817</v>
      </c>
      <c r="C618" s="3" t="str">
        <f ca="1">IFERROR(__xludf.DUMMYFUNCTION("GOOGLETRANSLATE(B618,""auto"",""en"")"),"1. Design product name: The desktop editing of the display screen panel edit the graphic user interface.
 2. Design products in appearance: used for running procedures, information display, and human -computer interaction.
 3. Design of the design of "&amp;"the product in this exterior: lies in the interface content of the graphic user interface in the screen.
 4. Pictures or photos that can best show design: Design 1 main view.
 5. Specify design 1 is the basic design.
 6. The purpose of the graphical"&amp;" user interface: The design point of this graphic user interface lies in the desktop editing.
 Design 1 The main view is the homepage interface of the desktop. The user is pinched into the desktop editing interface in the interface double finger.
 Des"&amp;"ign 2 main view is the desktop editing interface. The user checks any application icon to evoke the small screen below the interface. If the design 2 interface changes are shown, the user drags the small screen to edit the screen order.
 7. Other instru"&amp;"ctions: This display screen panel is applied to vehicles, computers, laptops, tablets, mobile phones, smart watches, smart bracelets, fitness monitor, headset headphones, personal digital assistants (PDA), smart speakers, TVs, TVs , Skytop box, projector,"&amp;" game console or navigator.")</f>
        <v>1. Design product name: The desktop editing of the display screen panel edit the graphic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desktop editing.
 Design 1 The main view is the homepage interface of the desktop. The user is pinched into the desktop editing interface in the interface double finger.
 Design 2 main view is the desktop editing interface. The user checks any application icon to evoke the small screen below the interface. If the design 2 interface changes are shown, the user drags the small screen to edit the screen order.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18" s="6" t="s">
        <v>1818</v>
      </c>
      <c r="E618" s="4" t="str">
        <f ca="1">IFERROR(__xludf.DUMMYFUNCTION("GOOGLETRANSLATE(D618,""auto"",""en"")"),"The graphic user interface of the desktop editing of the display screen panel")</f>
        <v>The graphic user interface of the desktop editing of the display screen panel</v>
      </c>
    </row>
    <row r="619" spans="1:5" ht="15" x14ac:dyDescent="0.25">
      <c r="A619" s="5" t="s">
        <v>1819</v>
      </c>
      <c r="B619" s="6" t="s">
        <v>1820</v>
      </c>
      <c r="C619" s="3" t="str">
        <f ca="1">IFERROR(__xludf.DUMMYFUNCTION("GOOGLETRANSLATE(B619,""auto"",""en"")"),"1. The name of the product in appearance: the display screen panel with the vehicle data and the status graphic user interface.
 2. The purpose of designing products in this exterior: The graphic user interface of the design of the product is used for h"&amp;"uman -machine interaction on the display screen panel. The display screen panel is used to usual, and it is used for game consoles, mobile phones, tablets, computers, education machines, education machines, and educational machines. , Car navigator, smart"&amp;" TV, game console display.
 3. Design of the design of the product in this exterior: lies in the graphical user interface displayed in the display screen panel.
 4. Pictures or photos that can best show design: Design 1 main view.
 5. Specify design"&amp;" 1 is the basic design.
 6. The purpose of the graphic user interface: The product interface designed in this appearance is used to help students master the car driving technology to understand the practice of their own projects and help the coach track"&amp;"ing the trainee's car practice; The displayed interfaces are the relevant status and practice data of manual transmission vehicles during the driver's driving process; the interface displayed by the main view of the 3, 4, 7, and 8 is to display and record"&amp;" the driver's driving process. Related states and practice data; in the above view, the circle in the upper left corner of the view represents the user's avatar.
 7. Small view: Design product design product design 1‑8 rear view, left view, right view, "&amp;"down -view view, and retribution without design points, so omitted.")</f>
        <v>1. The name of the product in appearance: the display screen panel with the vehicle data and the status graphic user interface.
 2. The purpose of designing products in this exterior: The graphic user interface of the design of the product is used for human -machine interaction on the display screen panel. The display screen panel is used to usual, and it is used for game consoles, mobile phones, tablets, computers, education machines, education machines, and educational machines. , Car navigator, smart TV, game console display.
 3. Design of the design of the product in this exterior: lies in the graphical user interface displayed in the display screen panel.
 4. Pictures or photos that can best show design: Design 1 main view.
 5. Specify design 1 is the basic design.
 6. The purpose of the graphic user interface: The product interface designed in this appearance is used to help students master the car driving technology to understand the practice of their own projects and help the coach tracking the trainee's car practice; The displayed interfaces are the relevant status and practice data of manual transmission vehicles during the driver's driving process; the interface displayed by the main view of the 3, 4, 7, and 8 is to display and record the driver's driving process. Related states and practice data; in the above view, the circle in the upper left corner of the view represents the user's avatar.
 7. Small view: Design product design product design 1‑8 rear view, left view, right view, down -view view, and retribution without design points, so omitted.</v>
      </c>
      <c r="D619" s="6" t="s">
        <v>1821</v>
      </c>
      <c r="E619" s="4" t="str">
        <f ca="1">IFERROR(__xludf.DUMMYFUNCTION("GOOGLETRANSLATE(D619,""auto"",""en"")"),"Display screen panel with record vehicle data and status graphical user interface")</f>
        <v>Display screen panel with record vehicle data and status graphical user interface</v>
      </c>
    </row>
    <row r="620" spans="1:5" ht="15" x14ac:dyDescent="0.25">
      <c r="A620" s="5" t="s">
        <v>1822</v>
      </c>
      <c r="B620" s="6" t="s">
        <v>1823</v>
      </c>
      <c r="C620" s="3" t="str">
        <f ca="1">IFERROR(__xludf.DUMMYFUNCTION("GOOGLETRANSLATE(B620,""auto"",""en"")"),"1. Design product name: Graphic user interface of the stock editing of the display screen panel.
 2. Design products in appearance: used for running procedures, information display, and human -computer interaction.
 3. Design of the design of the prod"&amp;"uct in this exterior: lies in the interface content of the graphic user interface in the screen.
 4. Pictures or photos that can most indicate design points: main view.
 5. The purpose of graphical user interface: The design point of this graphic user"&amp;" interface lies in stock editing.
 The main view is the intelligent assistant interface. The user has a long pressing area in the stock display area. The interface appears pop -up window. Click the ""Edit"" button of the pop -up window. The upper and lo"&amp;"wer buttons after the color scheme can set the relevant parameters, as shown in the interface change state Figure 2.
 6. Other instructions: This display screen panel is applied to vehicles, computers, laptops, tablets, mobile phones, smart watches, sma"&amp;"rt bracelets, fitness monitor, headset headphones, personal digital assistant (PDA), smart speakers, TVs, TVs , Skytop box, projector, game console or navigator.")</f>
        <v>1. Design product name: Graphic user interface of the stock editing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graphical user interface: The design point of this graphic user interface lies in stock editing.
 The main view is the intelligent assistant interface. The user has a long pressing area in the stock display area. The interface appears pop -up window. Click the "Edit" button of the pop -up window. The upper and lower buttons after the color scheme can set the relevant parameters, as shown in the interface change state Figure 2.
 6. Other instructions: This display screen panel is applied to vehicles, computers, laptops, tablets, mobile phones, smart watches, smart bracelets, fitness monitor, headset headphones, personal digital assistant (PDA), smart speakers, TVs, TVs , Skytop box, projector, game console or navigator.</v>
      </c>
      <c r="D620" s="6" t="s">
        <v>1824</v>
      </c>
      <c r="E620" s="4" t="str">
        <f ca="1">IFERROR(__xludf.DUMMYFUNCTION("GOOGLETRANSLATE(D620,""auto"",""en"")"),"Graphic user interface of stock editing of the display screen panel")</f>
        <v>Graphic user interface of stock editing of the display screen panel</v>
      </c>
    </row>
    <row r="621" spans="1:5" ht="15" x14ac:dyDescent="0.25">
      <c r="A621" s="5" t="s">
        <v>1825</v>
      </c>
      <c r="B621" s="6" t="s">
        <v>1826</v>
      </c>
      <c r="C621" s="3" t="str">
        <f ca="1">IFERROR(__xludf.DUMMYFUNCTION("GOOGLETRANSLATE(B621,""auto"",""en"")"),"An artificial intelligence adjustment odds based on baseball or cricket lineup. Specific examples include a hitter who may be pitching for the next player, and when a ball player approaches the third hitter he faces (he can be replaced by the minimum limi"&amp;"t).")</f>
        <v>An artificial intelligence adjustment odds based on baseball or cricket lineup. Specific examples include a hitter who may be pitching for the next player, and when a ball player approaches the third hitter he faces (he can be replaced by the minimum limit).</v>
      </c>
      <c r="D621" s="6" t="s">
        <v>1827</v>
      </c>
      <c r="E621" s="4" t="str">
        <f ca="1">IFERROR(__xludf.DUMMYFUNCTION("GOOGLETRANSLATE(D621,""auto"",""en"")"),"Specker -specific odds manipulation")</f>
        <v>Specker -specific odds manipulation</v>
      </c>
    </row>
    <row r="622" spans="1:5" ht="15" x14ac:dyDescent="0.25">
      <c r="A622" s="5" t="s">
        <v>1828</v>
      </c>
      <c r="B622" s="6" t="s">
        <v>1829</v>
      </c>
      <c r="C622" s="3" t="str">
        <f ca="1">IFERROR(__xludf.DUMMYFUNCTION("GOOGLETRANSLATE(B622,""auto"",""en"")"),"A computer implementation system used to assist sports competition analysts includes: operating user interfaces that can interact with users; records of storage storage sports game players and game objects in the sports venue; processor. The processor is "&amp;"configured as a well -trained artificial intelligence algorithm. The processor is configured to query the real -time location of sports game players and game objects through artificial intelligence algorithms, as well as predicting sports game players and"&amp;" game objects in the future.")</f>
        <v>A computer implementation system used to assist sports competition analysts includes: operating user interfaces that can interact with users; records of storage storage sports game players and game objects in the sports venue; processor. The processor is configured as a well -trained artificial intelligence algorithm. The processor is configured to query the real -time location of sports game players and game objects through artificial intelligence algorithms, as well as predicting sports game players and game objects in the future.</v>
      </c>
      <c r="D622" s="6" t="s">
        <v>1830</v>
      </c>
      <c r="E622" s="4" t="str">
        <f ca="1">IFERROR(__xludf.DUMMYFUNCTION("GOOGLETRANSLATE(D622,""auto"",""en"")"),"Auxiliary sports coaches and its implementation methods")</f>
        <v>Auxiliary sports coaches and its implementation methods</v>
      </c>
    </row>
    <row r="623" spans="1:5" ht="15" x14ac:dyDescent="0.25">
      <c r="A623" s="5" t="s">
        <v>1831</v>
      </c>
      <c r="B623" s="6" t="s">
        <v>1832</v>
      </c>
      <c r="C623" s="3" t="str">
        <f ca="1">IFERROR(__xludf.DUMMYFUNCTION("GOOGLETRANSLATE(B623,""auto"",""en"")"),"1. Design product name: Digital wallet graphical user interface for display screen panels.
 2. Design products in appearance: used for interaction and display.
 3. Design of the design of the product in appearance: lies in the interface content of the"&amp;" graphic user interface.
 4. Pictures or photos that can best show design points: Figure 1 of the interface change state.
 5. There is no design point for other views, omitting other views.
 6. The purpose of the graphical user interface: used to di"&amp;"splay the functional information of digital wallets.
 7. Human -computer interaction method of graphics user interface: The main view is the main interface of the digital wallet, which shows the cover of the digital wallet; the start -up display shows t"&amp;"he main view of the main view to the interface change state. , ""Give Money"", ""Query"", ""Help"" and other functional buttons of the customer's basic information page, this page shows information such as customer account names, account numbers, and tran"&amp;"saction records; Transfer to the transaction calendar page displayed by the interface changes. 2, the date of the transaction record on this page is highlighted, click the ""Return to the homepage"" button in the upper left corner of the page, jump to the"&amp;" interface change state Figure 1; click the interface changes status Figure 2 The dates displayed in the highlight in the interface, as shown in the interface change state, the highlight date of the transaction detailed pop -up window displayed, the pop -"&amp;"up window shows the specific ""transaction date"", ""transaction type"", ""income"", ""balance"" When the transaction information, click the ""Close"" button under the pop -up window to close the trading details; click the ""Help"" button in the interface"&amp;" change state, jump to the call customer service page displayed by the interface change state. Basic information such as avatars, names, scores, positions, etc. of the customer manager; click the ""Getting Money"" button in the interface change state Figu"&amp;"re 1 to jump to the withdrawal of the withdrawal amount displayed by the interface change state. 5 contains the digital input box and the input keyboard Input the amount of withdrawal in the digital input box by entering the keyboard input box. The upper "&amp;"left corner of the page shows the ""Return to the Homepage"" button. Click the ""Return to the Homepage"" button to jump to the interface change state Figure 1; After clicking the ""OK"" button after the amount, the amount of withdrawal amount displayed i"&amp;"n the interface change is confirmed to confirm the pop -up window. The pop -up window contains transaction information such as ""transaction date"", ""trading type"", and ""amount"". The ""OK"" button is confirmed to withdraw the withdrawal of the withdra"&amp;"wal of the withdrawal transaction, click the ""Cancel"" button to cancel the withdrawal transaction; click the ""OK"" button in the interface change state. ; When the staff comes to service, it jumps to the verification identity page displayed by the inte"&amp;"rface change state. Swipe the card verification identity; after the staff completes the identity of the card to verify the card, the dynamic verification code page displayed by the interface change status. For a safe for money or money, click the ""Return"&amp;" to the Homepage"" button set up in the upper left corner to jump to the interface change state Figure 1; after the staff uses the dynamic verification code for operation, the identity verification shown in the interface change status 10 is successful. Wi"&amp;"ndow, this pop -up window contains withdrawal information such as ""transaction accounts"" and ""transaction details"". Click the ""OK"" button under the pop -up window to confirm the withdrawal, click the ""Cancel"" button to give up withdrawal; Determin"&amp;"e the ""button, as shown in the interface change state, which contains the trading information pop -up information of transaction information such as"" transaction date "","" trading type "","" amount "","" balance ""and other transaction information. Cli"&amp;"ck"" OK ""under the pop -up window. The button completes the withdrawal.
 8. The displayed carrier equipment for display is the existing design. The display screen panel can be applied to computers, laptops, tablet computers, mobile phones, smartphones,"&amp;" smart glasses, watches, smart watches, fitness monitors, head wearing, head wearing Form headphones, personal digital assistants, smart speakers, television, monitor, projector, set -top box, navigator, display device for vehicles.")</f>
        <v>1. Design product name: Digital wallet graphical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used to display the functional information of digital wallets.
 7. Human -computer interaction method of graphics user interface: The main view is the main interface of the digital wallet, which shows the cover of the digital wallet; the start -up display shows the main view of the main view to the interface change state. , "Give Money", "Query", "Help" and other functional buttons of the customer's basic information page, this page shows information such as customer account names, account numbers, and transaction records; Transfer to the transaction calendar page displayed by the interface changes. 2, the date of the transaction record on this page is highlighted, click the "Return to the homepage" button in the upper left corner of the page, jump to the interface change state Figure 1; click the interface changes status Figure 2 The dates displayed in the highlight in the interface, as shown in the interface change state, the highlight date of the transaction detailed pop -up window displayed, the pop -up window shows the specific "transaction date", "transaction type", "income", "balance" When the transaction information, click the "Close" button under the pop -up window to close the trading details; click the "Help" button in the interface change state, jump to the call customer service page displayed by the interface change state. Basic information such as avatars, names, scores, positions, etc. of the customer manager; click the "Getting Money" button in the interface change state Figure 1 to jump to the withdrawal of the withdrawal amount displayed by the interface change state. 5 contains the digital input box and the input keyboard Input the amount of withdrawal in the digital input box by entering the keyboard input box. The upper left corner of the page shows the "Return to the Homepage" button. Click the "Return to the Homepage" button to jump to the interface change state Figure 1; After clicking the "OK" button after the amount, the amount of withdrawal amount displayed in the interface change is confirmed to confirm the pop -up window. The pop -up window contains transaction information such as "transaction date", "trading type", and "amount". The "OK" button is confirmed to withdraw the withdrawal of the withdrawal of the withdrawal transaction, click the "Cancel" button to cancel the withdrawal transaction; click the "OK" button in the interface change state. ; When the staff comes to service, it jumps to the verification identity page displayed by the interface change state. Swipe the card verification identity; after the staff completes the identity of the card to verify the card, the dynamic verification code page displayed by the interface change status. For a safe for money or money, click the "Return to the Homepage" button set up in the upper left corner to jump to the interface change state Figure 1; after the staff uses the dynamic verification code for operation, the identity verification shown in the interface change status 10 is successful. Window, this pop -up window contains withdrawal information such as "transaction accounts" and "transaction details". Click the "OK" button under the pop -up window to confirm the withdrawal, click the "Cancel" button to give up withdrawal; Determine the "button, as shown in the interface change state, which contains the trading information pop -up information of transaction information such as" transaction date "," trading type "," amount "," balance "and other transaction information. Click" OK "under the pop -up window. The button completes the withdrawal.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23" s="6" t="s">
        <v>1833</v>
      </c>
      <c r="E623" s="4" t="str">
        <f ca="1">IFERROR(__xludf.DUMMYFUNCTION("GOOGLETRANSLATE(D623,""auto"",""en"")"),"Digital wallet graphical user interface for display screen panel")</f>
        <v>Digital wallet graphical user interface for display screen panel</v>
      </c>
    </row>
    <row r="624" spans="1:5" ht="15" x14ac:dyDescent="0.25">
      <c r="A624" s="5" t="s">
        <v>1834</v>
      </c>
      <c r="B624" s="6" t="s">
        <v>1835</v>
      </c>
      <c r="C624" s="3" t="str">
        <f ca="1">IFERROR(__xludf.DUMMYFUNCTION("GOOGLETRANSLATE(B624,""auto"",""en"")"),"1. The name of the product of the product: The mass service graphics user interface used for display screen panels. 2. Design products in appearance: used for interaction and display. 3. Design of the design of the product in appearance: lies in the inter"&amp;"face content of the graphic user interface. 4. Pictures or photos that can best show design points: interface change state Figure 1.5. Other views have no design points, omitting other views. 6. The purpose of graphical user interface: used to provide ser"&amp;"vices to the masses. 7. Human -computer interaction method of graphical user interface: Main viewing display activity list interface for the masses; click on any project in the project status list in the main view of the main view, jump to the interface c"&amp;"hange status graph 1; click the interface changes The ""I want to claim"" button in the Status Figure 1, jump to the interface change state Figure 2; click the ""initiated project"" button under the main view, jump to the interface change state Figure 3; "&amp;"As shown in the interface change state Figure 4; click the ""Published"" button below the interface change status figure 4, jump to the interface change state figure 5; click the ""I project"" button below the interface change state. To the interface chan"&amp;"ge state Figure 6; click the interface changes status Figure 6 The project to be reviewed to the state to be reviewed, jump to the interface change state Figure 7; click the conjunctivation state in the interface change state, jump to the interface change"&amp;" state Figure 8; Drag the interface change state Figure 8 interface, as shown in the interface change state figure 9; dragging interface change state Figure 9 interface, as shown in the interface changes ""View more"" button, jump to the interface change "&amp;"state Figure 11; click at any of the project list in the project activity list in the main view, jump to the interface change state figure 12; Upload the service dynamic ""button, jump to the interface change state Figure 13; drag the interface changes st"&amp;"atus Figure 13, as shown in the interface change state figure 14; if the user is the role of the administrator, click"" My ""module in the main view of the main view. , Jump to the interface change state Figure 15.8. Other situations that need to be descr"&amp;"ibed in other descriptions: The carrier equipment for display is designed for the existing design. Smart bracelets, smart glasses, watches, smart watches, fitness monitors, headphones, personal digital assistants, smart speakers, television, monitor, proj"&amp;"ector, set -top box, navigator, display device for vehicles.")</f>
        <v>1. The name of the product of the product: The mass service graphics user interface used for display screen panels. 2. Design products in appearance: used for interaction and display. 3. Design of the design of the product in appearance: lies in the interface content of the graphic user interface. 4. Pictures or photos that can best show design points: interface change state Figure 1.5. Other views have no design points, omitting other views. 6. The purpose of graphical user interface: used to provide services to the masses. 7. Human -computer interaction method of graphical user interface: Main viewing display activity list interface for the masses; click on any project in the project status list in the main view of the main view, jump to the interface change status graph 1; click the interface changes The "I want to claim" button in the Status Figure 1, jump to the interface change state Figure 2; click the "initiated project" button under the main view, jump to the interface change state Figure 3; As shown in the interface change state Figure 4; click the "Published" button below the interface change status figure 4, jump to the interface change state figure 5; click the "I project" button below the interface change state. To the interface change state Figure 6; click the interface changes status Figure 6 The project to be reviewed to the state to be reviewed, jump to the interface change state Figure 7; click the conjunctivation state in the interface change state, jump to the interface change state Figure 8; Drag the interface change state Figure 8 interface, as shown in the interface change state figure 9; dragging interface change state Figure 9 interface, as shown in the interface changes "View more" button, jump to the interface change state Figure 11; click at any of the project list in the project activity list in the main view, jump to the interface change state figure 12; Upload the service dynamic "button, jump to the interface change state Figure 13; drag the interface changes status Figure 13, as shown in the interface change state figure 14; if the user is the role of the administrator, click" My "module in the main view of the main view. , Jump to the interface change state Figure 15.8. Other situations that need to be described in other descriptions: The carrier equipment for display is designed for the existing design. Smart bracelets, smart glasses, watches, smart watches, fitness monitors, headphones, personal digital assistants, smart speakers, television, monitor, projector, set -top box, navigator, display device for vehicles.</v>
      </c>
      <c r="D624" s="6" t="s">
        <v>1836</v>
      </c>
      <c r="E624" s="4" t="str">
        <f ca="1">IFERROR(__xludf.DUMMYFUNCTION("GOOGLETRANSLATE(D624,""auto"",""en"")"),"Mass service graphics user interface for display screen panels")</f>
        <v>Mass service graphics user interface for display screen panels</v>
      </c>
    </row>
    <row r="625" spans="1:5" ht="15" x14ac:dyDescent="0.25">
      <c r="A625" s="5" t="s">
        <v>1837</v>
      </c>
      <c r="B625" s="6" t="s">
        <v>1838</v>
      </c>
      <c r="C625" s="3" t="str">
        <f ca="1">IFERROR(__xludf.DUMMYFUNCTION("GOOGLETRANSLATE(B625,""auto"",""en"")"),"The present invention involves an abnormal detection method and system based on computer vision, which involves the field of basketball frame abnormal detection technology. Methods include the following steps: According to the pixels between the target ba"&amp;"sketball frame and the corresponding standard circle, the morphological indicators corresponding to the target basketball frames are obtained; According to the differences between the minimum external rectangle of each target basketball frame and the corr"&amp;"esponding standard minimum external rectangle, the degree of bending indicators corresponding to each target basketball frame will be obtained; input the panoramic image of each frame basketball court to the key point detection network, and obtain each fr"&amp;"ame The key point thermal diagram corresponding to the panoramic image of the basketball court; according to the key point thermal diagram, the thermal indicators corresponding to each target basketball frame; according to the morphological indicators, cu"&amp;"rved degree indicators and heat indicators corresponding to the target basketball frames, get the target basketball frames. The degree of exception. The invention can improve the accuracy of the abnormal detection of the basketball box.")</f>
        <v>The present invention involves an abnormal detection method and system based on computer vision, which involves the field of basketball frame abnormal detection technology. Methods include the following steps: According to the pixels between the target basketball frame and the corresponding standard circle, the morphological indicators corresponding to the target basketball frames are obtained; According to the differences between the minimum external rectangle of each target basketball frame and the corresponding standard minimum external rectangle, the degree of bending indicators corresponding to each target basketball frame will be obtained; input the panoramic image of each frame basketball court to the key point detection network, and obtain each frame The key point thermal diagram corresponding to the panoramic image of the basketball court; according to the key point thermal diagram, the thermal indicators corresponding to each target basketball frame; according to the morphological indicators, curved degree indicators and heat indicators corresponding to the target basketball frames, get the target basketball frames. The degree of exception. The invention can improve the accuracy of the abnormal detection of the basketball box.</v>
      </c>
      <c r="D625" s="6" t="s">
        <v>1839</v>
      </c>
      <c r="E625" s="4" t="str">
        <f ca="1">IFERROR(__xludf.DUMMYFUNCTION("GOOGLETRANSLATE(D625,""auto"",""en"")"),"An abnormal detection method and system based on computer vision box")</f>
        <v>An abnormal detection method and system based on computer vision box</v>
      </c>
    </row>
    <row r="626" spans="1:5" ht="15" x14ac:dyDescent="0.25">
      <c r="A626" s="5" t="s">
        <v>1840</v>
      </c>
      <c r="B626" s="6" t="s">
        <v>1841</v>
      </c>
      <c r="C626" s="3" t="str">
        <f ca="1">IFERROR(__xludf.DUMMYFUNCTION("GOOGLETRANSLATE(B626,""auto"",""en"")"),"1. Design product name: System fast setting graphic user interface of the display screen panel.
 2. Design products in appearance: used for running procedures, information display, and human -computer interaction.
 3. Design of the design of the produ"&amp;"ct in this exterior: lies in the interface content of the graphic user interface in the screen.
 4. Pictures or photos that can best show design: Design 1 main view.
 5. Specify design 1 is the basic design.
 6. The purpose of graphical user interfa"&amp;"ce: This graphic user interface is used for fast setting of vehicle system.
 Design 1 main view and design 2 main views are the speed setting interface of the vehicle system. Users can perform relevant operations according to the interface prompts.
 7"&amp;". Other instructions: This display screen panel is applied to vehicles, computers, laptops, tablets, mobile phones, smart watches, smart bracelets, fitness monitor, headset headphones, personal digital assistants (PDA), smart speakers, TVs, TVs , Skytop b"&amp;"ox, projector, game console or navigator.")</f>
        <v>1. Design product name: System fast setting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fast setting of vehicle system.
 Design 1 main view and design 2 main views are the speed setting interface of the vehicle system. Users can perform relevant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26" s="6" t="s">
        <v>1842</v>
      </c>
      <c r="E626" s="4" t="str">
        <f ca="1">IFERROR(__xludf.DUMMYFUNCTION("GOOGLETRANSLATE(D626,""auto"",""en"")"),"System fast setting graphic user interface of display screen panel")</f>
        <v>System fast setting graphic user interface of display screen panel</v>
      </c>
    </row>
    <row r="627" spans="1:5" ht="15" x14ac:dyDescent="0.25">
      <c r="A627" s="5" t="s">
        <v>1843</v>
      </c>
      <c r="B627" s="6" t="s">
        <v>1844</v>
      </c>
      <c r="C627" s="3" t="str">
        <f ca="1">IFERROR(__xludf.DUMMYFUNCTION("GOOGLETRANSLATE(B627,""auto"",""en"")"),"1. Design product name: Answer graphic user interface for the competition for display screen panels.
 2. Design products in appearance: used for interaction and display.
 3. Design of the design of the product in appearance: lies in the interface cont"&amp;"ent of the graphic user interface.
 4. Pictures or photos that can best show design points: Figure 1 of the interface change state.
 5. The purpose of the graphical user interface: the information used to show the answer to the competition.
 6. Huma"&amp;"n -computer interaction method of graphic user interface: The main view is the main interface of the competition answer; click the main view of the main view as an activity in the middle state, jump to the interface change state Figure 1; drag the interfa"&amp;"ce change state Figure 1 The interface, as shown in the interface changes, the details interface displayed on the activity of the continuing display; click on any activity of the main view of the main view as the ""unwanted"" state, and jump to the interf"&amp;"ace change status. Any activity, jump to the interface change state Figure 4; click the ""Start answering"" button in the interface change state in Figure 1, jump to the interface change state Figure 5; click the ""next question"" in the interface change "&amp;"state Figure 5 The button, jump to the interface change state Figure 6; click the ""Next Question"" button in the interface change state, jump to the interface change state Figure 7; click the interface change state diagram 5 or interface change state fig"&amp;"ure 6 or interface changes The answering card icon in Status 7, jump to the interface change state Figure 8; click the ""complete submission"" button in the interface changes. In the 7s of the ""Complete Paper"" button, if the results are not passed, jump"&amp;" to the interface change state Figure 10.
 7.其他需要说明的情形其他说明：显示用的载体设备为现有设计，该显示屏幕面板可以应用于计算机、笔记本电脑、平板电脑、手机、智能手机、智能手环、智能眼镜、手表、智能Watch, fitness monitor, headset headset, personal digital assistant, smart speakers, television, monitor, set -top box, navigator,"&amp;" display instrument for vehicles.")</f>
        <v>1. Design product name: Answer graphic user interface for the competition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 purpose of the graphical user interface: the information used to show the answer to the competition.
 6. Human -computer interaction method of graphic user interface: The main view is the main interface of the competition answer; click the main view of the main view as an activity in the middle state, jump to the interface change state Figure 1; drag the interface change state Figure 1 The interface, as shown in the interface changes, the details interface displayed on the activity of the continuing display; click on any activity of the main view of the main view as the "unwanted" state, and jump to the interface change status. Any activity, jump to the interface change state Figure 4; click the "Start answering" button in the interface change state in Figure 1, jump to the interface change state Figure 5; click the "next question" in the interface change state Figure 5 The button, jump to the interface change state Figure 6; click the "Next Question" button in the interface change state, jump to the interface change state Figure 7; click the interface change state diagram 5 or interface change state figure 6 or interface changes The answering card icon in Status 7, jump to the interface change state Figure 8; click the "complete submission" button in the interface changes. In the 7s of the "Complete Paper" button, if the results are not passed, jump to the interface change state Figure 10.
 7.其他需要说明的情形其他说明：显示用的载体设备为现有设计，该显示屏幕面板可以应用于计算机、笔记本电脑、平板电脑、手机、智能手机、智能手环、智能眼镜、手表、智能Watch, fitness monitor, headset headset, personal digital assistant, smart speakers, television, monitor, set -top box, navigator, display instrument for vehicles.</v>
      </c>
      <c r="D627" s="6" t="s">
        <v>1845</v>
      </c>
      <c r="E627" s="4" t="str">
        <f ca="1">IFERROR(__xludf.DUMMYFUNCTION("GOOGLETRANSLATE(D627,""auto"",""en"")"),"Answer graphic user interface for the competition for display screen panels")</f>
        <v>Answer graphic user interface for the competition for display screen panels</v>
      </c>
    </row>
    <row r="628" spans="1:5" ht="15" x14ac:dyDescent="0.25">
      <c r="A628" s="5" t="s">
        <v>1846</v>
      </c>
      <c r="B628" s="6" t="s">
        <v>1847</v>
      </c>
      <c r="C628" s="3" t="str">
        <f ca="1">IFERROR(__xludf.DUMMYFUNCTION("GOOGLETRANSLATE(B628,""auto"",""en"")"),"1. Design product name: Display screen panel with satellite frequency band monitoring graphical user interface. ; 2. Design products for designing products: used to display graphical user interface. ; 3. Design of the design of the product in this exterio"&amp;"r: lies in the graphic user interface in the screen. ; 4. The picture or photo of the main point of design: The main view. ; 5. There is no design point for other views, omitting other views. 6. The purpose of graphical user interface: The interface is us"&amp;"ed for the use of the space satellite frequency band monitoring and data display. ; 7. Human -computer interaction method of graphical user interface: The graphic user interface displayed by the main view is the start interface of the opening program; Aft"&amp;"er the menu, and click the ""Star Computer Speed ​​Transition Source Pack"" button to enter the interface change state Figure 1; click the interface change state Figure 1 ""ZTMS001_Net instruction receiving counting"" button in the upper left corner of th"&amp;"e center of the center to get the interface change state. Change State Figure 2 The ""ZTMS003_Coly -Control instruction Receiving Critical"" button in the upper left corner of the central center is obtained from the interface change state. Essence ; 8. Th"&amp;"e display screen panels of the design of the product can be applied to computers, laptops, tablet computers, head -up display (HUD), multimedia projector, smartphone, smart robot, smart glasses, virtual reality glasses, enhanced reality glasses, mixed mix"&amp;"ed Reality glasses, smart watches, fitness monitor, headset headphones, driving recorders, vehicle navigation equipment, vehicle CNC computer, automobile smart rearview mirror, smart speaker, smart TV, set -top box, game handheld, game console. ; 1. The n"&amp;"ame of the product design product: Display screen panel with satellite frequency band monitoring graphical user interface. ; 2. Design products for designing products: used to display graphical user interface. ; 3. Design of the design of the product in t"&amp;"his exterior: lies in the graphic user interface in the screen. ; 4. The picture or photo of the main point of design: The main view. ; 5. There is no design point for other views, omitting other views. 6. The purpose of graphical user interface: The inte"&amp;"rface is used for the use of the space satellite frequency band monitoring and data display. ; 7. Human -computer interaction method of graphical user interface: The graphic user interface displayed by the main view is the start interface of the opening p"&amp;"rogram; After the menu, and click the ""Star Computer Speed ​​Transition Source Pack"" button to enter the interface change state Figure 1; click the interface change state Figure 1 ""ZTMS001_Net instruction receiving counting"" button in the upper left c"&amp;"orner of the center of the center to get the interface change state. Change State Figure 2 The ""ZTMS003_Coly -Control instruction Receiving Critical"" button in the upper left corner of the central center is obtained from the interface change state. Esse"&amp;"nce ; 8. The display screen panels of the design of the product can be applied to computers, laptops, tablet computers, head -up display (HUD), multimedia projector, smartphone, smart robot, smart glasses, virtual reality glasses, enhanced reality glasses"&amp;", mixed mixed Reality glasses, smart watches, fitness monitor, headset headphones, driving recorders, vehicle navigation equipment, vehicle CNC computer, automobile smart rearview mirror, smart speaker, smart TV, set -top box, game handheld, game console.")</f>
        <v>1. Design product name: Display screen panel with satellite frequency band monitoring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the space satellite frequency band monitoring and data display. ; 7. Human -computer interaction method of graphical user interface: The graphic user interface displayed by the main view is the start interface of the opening program; After the menu, and click the "Star Computer Speed ​​Transition Source Pack" button to enter the interface change state Figure 1; click the interface change state Figure 1 "ZTMS001_Net instruction receiving counting" button in the upper left corner of the center of the center to get the interface change state. Change State Figure 2 The "ZTMS003_Coly -Control instruction Receiving Critical" button in the upper left corner of the central center is obtained from the interface change state. Essence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 ; 1. The name of the product design product: Display screen panel with satellite frequency band monitoring graphical user interface. ; 2. Design products for designing products: used to display graphical user interface. ; 3. Design of the design of the product in this exterior: lies in the graphic user interface in the screen. ; 4. The picture or photo of the main point of design: The main view. ; 5. There is no design point for other views, omitting other views. 6. The purpose of graphical user interface: The interface is used for the use of the space satellite frequency band monitoring and data display. ; 7. Human -computer interaction method of graphical user interface: The graphic user interface displayed by the main view is the start interface of the opening program; After the menu, and click the "Star Computer Speed ​​Transition Source Pack" button to enter the interface change state Figure 1; click the interface change state Figure 1 "ZTMS001_Net instruction receiving counting" button in the upper left corner of the center of the center to get the interface change state. Change State Figure 2 The "ZTMS003_Coly -Control instruction Receiving Critical" button in the upper left corner of the central center is obtained from the interface change state. Essence ; 8. The display screen panels of the design of the product can be applied to computers, laptops, tablet computers, head -up display (HUD), multimedia projector, smartphone, smart robot, smart glasses, virtual reality glasses, enhanced reality glasses, mixed mixed Reality glasses, smart watches, fitness monitor, headset headphones, driving recorders, vehicle navigation equipment, vehicle CNC computer, automobile smart rearview mirror, smart speaker, smart TV, set -top box, game handheld, game console.</v>
      </c>
      <c r="D628" s="6" t="s">
        <v>1848</v>
      </c>
      <c r="E628" s="4" t="str">
        <f ca="1">IFERROR(__xludf.DUMMYFUNCTION("GOOGLETRANSLATE(D628,""auto"",""en"")"),"Display screen panel with satellite frequency monitoring graphical user interface")</f>
        <v>Display screen panel with satellite frequency monitoring graphical user interface</v>
      </c>
    </row>
    <row r="629" spans="1:5" ht="15" x14ac:dyDescent="0.25">
      <c r="A629" s="5" t="s">
        <v>1849</v>
      </c>
      <c r="B629" s="6" t="s">
        <v>1850</v>
      </c>
      <c r="C629" s="3" t="str">
        <f ca="1">IFERROR(__xludf.DUMMYFUNCTION("GOOGLETRANSLATE(B629,""auto"",""en"")"),"1. Design product name: System fast setting graphic user interface of the display screen panel.
 2. Design products in appearance: used for running procedures, information display, and human -computer interaction.
 3. Design of the design of the produ"&amp;"ct in this exterior: lies in the interface content of the graphic user interface in the screen.
 4. Pictures or photos that can best show design: Design 1 main view.
 5. Specify design 1 is the basic design.
 6. The purpose of graphical user interfa"&amp;"ce: This graphic user interface is used for fast setting of vehicle system.
 Design 1 The main view is the fast setting interface of the vehicle system. The user clicks the ""Power ‑ comfort"" button to enter the power adjustment fast setting interface,"&amp;" as shown in the design 1 interface change state diagram.
 Design 2 main view is the fast setting interface of the vehicle system. The user clicks the ""HUD height"" button to enter the first -speed display fast setting interface, as shown in the design"&amp;" 2 interface change state diagram.
 Design 3 main views are the fast setting interface of the vehicle system. Users click the ""Mode ‑ Hybrid"" button to enter the fast setting interface of the mode, as shown in the design 3 interface change state diagr"&amp;"am.
 Design 4 main views are the fast setting interface of the vehicle system. Users clicks the ""Empty Hall High Siter"" button to enter the air suspension fast setting interface, as shown in the design 4 interface change state diagram.
 7. Other ins"&amp;"tructions: This display screen panel is applied to vehicles, computers, laptops, tablets, mobile phones, smart watches, smart bracelets, fitness monitor, headset headphones, personal digital assistants (PDA), smart speakers, TVs, TVs , Skytop box, project"&amp;"or, game console or navigator.")</f>
        <v>1. Design product name: System fast setting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fast setting of vehicle system.
 Design 1 The main view is the fast setting interface of the vehicle system. The user clicks the "Power ‑ comfort" button to enter the power adjustment fast setting interface, as shown in the design 1 interface change state diagram.
 Design 2 main view is the fast setting interface of the vehicle system. The user clicks the "HUD height" button to enter the first -speed display fast setting interface, as shown in the design 2 interface change state diagram.
 Design 3 main views are the fast setting interface of the vehicle system. Users click the "Mode ‑ Hybrid" button to enter the fast setting interface of the mode, as shown in the design 3 interface change state diagram.
 Design 4 main views are the fast setting interface of the vehicle system. Users clicks the "Empty Hall High Siter" button to enter the air suspension fast setting interface, as shown in the design 4 interface change state diagram.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29" s="6" t="s">
        <v>1842</v>
      </c>
      <c r="E629" s="4" t="str">
        <f ca="1">IFERROR(__xludf.DUMMYFUNCTION("GOOGLETRANSLATE(D629,""auto"",""en"")"),"System fast setting graphic user interface of display screen panel")</f>
        <v>System fast setting graphic user interface of display screen panel</v>
      </c>
    </row>
    <row r="630" spans="1:5" ht="15" x14ac:dyDescent="0.25">
      <c r="A630" s="5" t="s">
        <v>1851</v>
      </c>
      <c r="B630" s="6" t="s">
        <v>1852</v>
      </c>
      <c r="C630" s="3" t="str">
        <f ca="1">IFERROR(__xludf.DUMMYFUNCTION("GOOGLETRANSLATE(B630,""auto"",""en"")"),"The method of training agents uses a hybrid scene to teach specific skills that are useful in larger areas, such as hybrid racing and very specific tactical racing scenes. The aspect of this method can include the following or more: (1) Training the intel"&amp;"ligence of one or more cars on the track is very good at timing race; (2) running agents in various racing scenarios, quantity, quantity, Variable opponents start on the track with different configurations; (3) The opponent is ) In various games, set up s"&amp;"pecific short scenes with your opponents, and have specific success standards; (5) Formulate dynamic courses based on the performance of the smart body in various evaluation scenarios.")</f>
        <v>The method of training agents uses a hybrid scene to teach specific skills that are useful in larger areas, such as hybrid racing and very specific tactical racing scenes. The aspect of this method can include the following or more: (1) Training the intelligence of one or more cars on the track is very good at timing race; (2) running agents in various racing scenarios, quantity, quantity, Variable opponents start on the track with different configurations; (3) The opponent is ) In various games, set up specific short scenes with your opponents, and have specific success standards; (5) Formulate dynamic courses based on the performance of the smart body in various evaluation scenarios.</v>
      </c>
      <c r="D630" s="6" t="s">
        <v>1853</v>
      </c>
      <c r="E630" s="4" t="str">
        <f ca="1">IFERROR(__xludf.DUMMYFUNCTION("GOOGLETRANSLATE(D630,""auto"",""en"")"),"Use courses and skills to train artificial intelligence agents")</f>
        <v>Use courses and skills to train artificial intelligence agents</v>
      </c>
    </row>
    <row r="631" spans="1:5" ht="15" x14ac:dyDescent="0.25">
      <c r="A631" s="5" t="s">
        <v>1854</v>
      </c>
      <c r="B631" s="6" t="s">
        <v>1855</v>
      </c>
      <c r="C631" s="3" t="str">
        <f ca="1">IFERROR(__xludf.DUMMYFUNCTION("GOOGLETRANSLATE(B631,""auto"",""en"")"),"The present invention provides a method and system that improves the effect of physical education, involving the technical field of teaching methods optimization. Based on teaching object information, the teaching quality analysis of teaching objects is p"&amp;"erformed. Make characteristic analysis of the teaching content corresponding to each course stage, determine the characteristic information collection of teaching arrangements, determine the target relationship of teaching curriculum arrangements accordin"&amp;"g to the teaching goals and teaching curriculum arrangements, and further build the relationship between the target function. Arrange information to solve most of the teaching courses in existing technologies mostly for collective teaching. The students' "&amp;"own circumstances will not be considered, which will affect the technical problems of the teaching results to a certain extent. Optimize the purpose of maximizing the quality of teaching.")</f>
        <v>The present invention provides a method and system that improves the effect of physical education, involving the technical field of teaching methods optimization. Based on teaching object information, the teaching quality analysis of teaching objects is performed. Make characteristic analysis of the teaching content corresponding to each course stage, determine the characteristic information collection of teaching arrangements, determine the target relationship of teaching curriculum arrangements according to the teaching goals and teaching curriculum arrangements, and further build the relationship between the target function. Arrange information to solve most of the teaching courses in existing technologies mostly for collective teaching. The students' own circumstances will not be considered, which will affect the technical problems of the teaching results to a certain extent. Optimize the purpose of maximizing the quality of teaching.</v>
      </c>
      <c r="D631" s="6" t="s">
        <v>1856</v>
      </c>
      <c r="E631" s="4" t="str">
        <f ca="1">IFERROR(__xludf.DUMMYFUNCTION("GOOGLETRANSLATE(D631,""auto"",""en"")"),"A method and system that improves the effect of physical education")</f>
        <v>A method and system that improves the effect of physical education</v>
      </c>
    </row>
    <row r="632" spans="1:5" ht="15" x14ac:dyDescent="0.25">
      <c r="A632" s="5" t="s">
        <v>1857</v>
      </c>
      <c r="B632" s="6" t="s">
        <v>1858</v>
      </c>
      <c r="C632" s="3" t="str">
        <f ca="1">IFERROR(__xludf.DUMMYFUNCTION("GOOGLETRANSLATE(B632,""auto"",""en"")"),"This application disclosed the fitness effect monitoring method, device, electronic equipment, storage medium and system, which is applied to the field of artificial intelligence. The method of fitness effect monitoring includes: obtaining user point clou"&amp;"d data through three -dimensional monitoring device, according to the user point cloud data data according to the user point cloud data data Establish user body model data; compare the data of the user's body model with the historical user data in the pre"&amp;"set model library to obtain the results of the user history; The data is compared to obtain the typical comparison results of the public; according to the results of the user history and the results of the typical comparison of the public, the monitoring "&amp;"results of the fitness effect are determined. This application solves the technical problems of poor accuracy of the monitoring of users' fitness effects in existing technologies.")</f>
        <v>This application disclosed the fitness effect monitoring method, device, electronic equipment, storage medium and system, which is applied to the field of artificial intelligence. The method of fitness effect monitoring includes: obtaining user point cloud data through three -dimensional monitoring device, according to the user point cloud data data according to the user point cloud data data Establish user body model data; compare the data of the user's body model with the historical user data in the preset model library to obtain the results of the user history; The data is compared to obtain the typical comparison results of the public; according to the results of the user history and the results of the typical comparison of the public, the monitoring results of the fitness effect are determined. This application solves the technical problems of poor accuracy of the monitoring of users' fitness effects in existing technologies.</v>
      </c>
      <c r="D632" s="6" t="s">
        <v>1859</v>
      </c>
      <c r="E632" s="4" t="str">
        <f ca="1">IFERROR(__xludf.DUMMYFUNCTION("GOOGLETRANSLATE(D632,""auto"",""en"")"),"Fitness effect monitoring methods, devices, electronic equipment, storage media and systems")</f>
        <v>Fitness effect monitoring methods, devices, electronic equipment, storage media and systems</v>
      </c>
    </row>
    <row r="633" spans="1:5" ht="15" x14ac:dyDescent="0.25">
      <c r="A633" s="5" t="s">
        <v>1860</v>
      </c>
      <c r="B633" s="6" t="s">
        <v>1861</v>
      </c>
      <c r="C633" s="3" t="str">
        <f ca="1">IFERROR(__xludf.DUMMYFUNCTION("GOOGLETRANSLATE(B633,""auto"",""en"")"),"Provide a computing system to extract dialogue features from multiple dialogues (for example, between coaches and students), apply dialogue features to machine learning systems to generate dialogue analysis indicators and apply the mapping of dialogue ana"&amp;"lysis indicators to action and inference to determine Act or inference for multi -party dialogue. In various embodiments, the action and inference can include the scores that determine the multi -party dialogue, such as the scores towards the progress of "&amp;"the coach goal, the instant score of each point in the entire dialogue, the dialogue impact score, and the ownership score. These scores can be, for example, together with the context and benchmark indicators, appear in various user interfaces to select r"&amp;"esources for coaches or students, to update the coach/student matching, to provide real -time alarm to indicate the progress of the dialogue, etc. Essence")</f>
        <v>Provide a computing system to extract dialogue features from multiple dialogues (for example, between coaches and students), apply dialogue features to machine learning systems to generate dialogue analysis indicators and apply the mapping of dialogue analysis indicators to action and inference to determine Act or inference for multi -party dialogue. In various embodiments, the action and inference can include the scores that determine the multi -party dialogue, such as the scores towards the progress of the coach goal, the instant score of each point in the entire dialogue, the dialogue impact score, and the ownership score. These scores can be, for example, together with the context and benchmark indicators, appear in various user interfaces to select resources for coaches or students, to update the coach/student matching, to provide real -time alarm to indicate the progress of the dialogue, etc. Essence</v>
      </c>
      <c r="D633" s="6" t="s">
        <v>1862</v>
      </c>
      <c r="E633" s="4" t="str">
        <f ca="1">IFERROR(__xludf.DUMMYFUNCTION("GOOGLETRANSLATE(D633,""auto"",""en"")"),"Report to multi -party dialogue in calculation")</f>
        <v>Report to multi -party dialogue in calculation</v>
      </c>
    </row>
    <row r="634" spans="1:5" ht="15" x14ac:dyDescent="0.25">
      <c r="A634" s="5" t="s">
        <v>1863</v>
      </c>
      <c r="B634" s="6" t="s">
        <v>1864</v>
      </c>
      <c r="C634" s="3" t="str">
        <f ca="1">IFERROR(__xludf.DUMMYFUNCTION("GOOGLETRANSLATE(B634,""auto"",""en"")"),"This application involves a fitness equipment, which specifically involves a rowing machine, which includes: the rack body, a sliding rail on the rack body; The ring -shaped shell, the internal fixed setting of the host shell is set with magnetic resistan"&amp;"ce components, magnetic control inertial wheel components and speed detection components. The handle, the magnetic resistance component, speed detection component connects to the human -computer interaction terminal communication; the cushion is set on th"&amp;"e sliding rail of the rack body by rolling wheel sliding. The automatic control of the rowing machine is implemented. The response speed of the switching between different resistance values ​​reaches millisecond level and has higher accuracy. It supports "&amp;"multiple training modes and visual training, and optimizes the user's training experience.")</f>
        <v>This application involves a fitness equipment, which specifically involves a rowing machine, which includes: the rack body, a sliding rail on the rack body; The ring -shaped shell, the internal fixed setting of the host shell is set with magnetic resistance components, magnetic control inertial wheel components and speed detection components. The handle, the magnetic resistance component, speed detection component connects to the human -computer interaction terminal communication; the cushion is set on the sliding rail of the rack body by rolling wheel sliding. The automatic control of the rowing machine is implemented. The response speed of the switching between different resistance values ​​reaches millisecond level and has higher accuracy. It supports multiple training modes and visual training, and optimizes the user's training experience.</v>
      </c>
      <c r="D634" s="6" t="s">
        <v>1865</v>
      </c>
      <c r="E634" s="4" t="str">
        <f ca="1">IFERROR(__xludf.DUMMYFUNCTION("GOOGLETRANSLATE(D634,""auto"",""en"")"),"Rowing machine")</f>
        <v>Rowing machine</v>
      </c>
    </row>
    <row r="635" spans="1:5" ht="15" x14ac:dyDescent="0.25">
      <c r="A635" s="5" t="s">
        <v>1866</v>
      </c>
      <c r="B635" s="6" t="s">
        <v>1867</v>
      </c>
      <c r="C635" s="3" t="str">
        <f ca="1">IFERROR(__xludf.DUMMYFUNCTION("GOOGLETRANSLATE(B635,""auto"",""en"")"),"1. The name of the product of the design of the product: The arranging user interface of the display screen panel.
 2. The purpose of designing products in this exterior: The design of the product is used to display the graphical user interface.
 3. D"&amp;"esign of the design of the product in appearance: lies in the graphic user interface.
 4. Pictures or photos that can best show design: Design 1 main view.
 5. Specify design 1 is the basic design.
 6. The purpose of graphical user interface: This g"&amp;"raphic user interface is used for arranging.
 7. Human -computer interaction method of graphics user interface: Design 1 to Design 4 Main View Graphic User Interface is the interface of the arranger. Users can click the control at the bottom of the inte"&amp;"rface for arranging.
 The fork number in each design interface represents text and/or numbers and/or alphabetics.
 8. This graphic user interface can be used for mobile phones, computers, tablets, televisions, vehicle central control screens, vehicle "&amp;"navigators, car display devices, game consoles, navigators, multimedia all -in -one machines, smart fitness equipment, smart home appliances, smart home appliances equipment, smart home appliance equipment Robots, smart bracelets, smart watches, smart gla"&amp;"sses, smart headphones, smart table lamps, smart door systems, advertising display, automatic sale machines, and display screens with display screens with display screens.")</f>
        <v>1. The name of the product of the design of the product: The arranging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for arranging.
 7. Human -computer interaction method of graphics user interface: Design 1 to Design 4 Main View Graphic User Interface is the interface of the arranger. Users can click the control at the bottom of the interface for arranging.
 The fork number in each design interface represents text and/or numbers and/or alphabetics.
 8. This graphic user interface can be used for mobile phones, computers, tablets, televisions, vehicle central control screens, vehicle navigators, car display devices, game consoles, navigators, multimedia all -in -one machines, smart fitness equipment, smart home appliances, smart home appliances equipment, smart home appliance equipment Robots, smart bracelets, smart watches, smart glasses, smart headphones, smart table lamps, smart door systems, advertising display, automatic sale machines, and display screens with display screens with display screens.</v>
      </c>
      <c r="D635" s="6" t="s">
        <v>1868</v>
      </c>
      <c r="E635" s="4" t="str">
        <f ca="1">IFERROR(__xludf.DUMMYFUNCTION("GOOGLETRANSLATE(D635,""auto"",""en"")"),"The arranging graphic user interface of the display screen panel")</f>
        <v>The arranging graphic user interface of the display screen panel</v>
      </c>
    </row>
    <row r="636" spans="1:5" ht="15" x14ac:dyDescent="0.25">
      <c r="A636" s="5" t="s">
        <v>1869</v>
      </c>
      <c r="B636" s="6" t="s">
        <v>1870</v>
      </c>
      <c r="C636" s="3" t="str">
        <f ca="1">IFERROR(__xludf.DUMMYFUNCTION("GOOGLETRANSLATE(B636,""auto"",""en"")"),"1. The name of the product of the design of the product: The chord editing graphic user interface of the display screen panel.
 2. The purpose of designing products in this exterior: The design of the product is used to display the graphical user interf"&amp;"ace.
 3. Design of the design of the product in appearance: lies in the graphic user interface.
 4. Pictures or photos that can best show design: Design 1 main view.
 5. Specify design 1 is the basic design.
 6. The purpose of graphical user inter"&amp;"face: This graphic user interface is used to edit chords.
 7. Human -computer interaction method of graphical user interface: Design 1 to Design 4 Main View Graphic User Interfaces are the interface of chord editing.
 In the interface of the main view"&amp;" of the main view, when the user clicks the control of each row on the right side of each line in the middle of the interface, the interface enters the design 1 interface change status diagram. During the control.
 The interactive operation of design 2 "&amp;"to design 4 is the same design 1.
 The fork number in each design interface represents text and/or numbers and/or alphabetics.
 8. The display screen panel can be used for mobile phones, computers, tablets, televisions, vehicle central control screens"&amp;", vehicle navigators, car display devices, game consoles, navigators, multimedia all -in -one machines, smart fitness equipment, smart home appliances Robots, smart bracelets, smart watches, smart glasses, smart headphones, smart table lamps, smart door s"&amp;"ystems, advertising display, automatic sale machines, and display screens with display screens with display screens.")</f>
        <v>1. The name of the product of the design of the product: The chord editing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edit chords.
 7. Human -computer interaction method of graphical user interface: Design 1 to Design 4 Main View Graphic User Interfaces are the interface of chord editing.
 In the interface of the main view of the main view, when the user clicks the control of each row on the right side of each line in the middle of the interface, the interface enters the design 1 interface change status diagram. During the control.
 The interactive operation of design 2 to design 4 is the same design 1.
 The fork number in each design interface represents text and/or numbers and/or alphabetics.
 8. The display screen panel can be used for mobile phones, computers, tablets, televisions, vehicle central control screens, vehicle navigators, car display devices, game consoles, navigators, multimedia all -in -one machines, smart fitness equipment, smart home appliances Robots, smart bracelets, smart watches, smart glasses, smart headphones, smart table lamps, smart door systems, advertising display, automatic sale machines, and display screens with display screens with display screens.</v>
      </c>
      <c r="D636" s="6" t="s">
        <v>1871</v>
      </c>
      <c r="E636" s="4" t="str">
        <f ca="1">IFERROR(__xludf.DUMMYFUNCTION("GOOGLETRANSLATE(D636,""auto"",""en"")"),"The chord editing graphic user interface of the display screen panel")</f>
        <v>The chord editing graphic user interface of the display screen panel</v>
      </c>
    </row>
    <row r="637" spans="1:5" ht="15" x14ac:dyDescent="0.25">
      <c r="A637" s="5" t="s">
        <v>1872</v>
      </c>
      <c r="B637" s="6" t="s">
        <v>1873</v>
      </c>
      <c r="C637" s="3" t="str">
        <f ca="1">IFERROR(__xludf.DUMMYFUNCTION("GOOGLETRANSLATE(B637,""auto"",""en"")"),"1. The name of the product in appearance: The recording and recording editing graphic user interface of the display screen panel.
 2. The purpose of designing products in this exterior: The design of the product is used to display the graphical user int"&amp;"erface.
 3. Design of the design of the product in appearance: lies in the graphic user interface.
 4. Pictures or photos that can best show design: Design 1 main view.
 5. Specify design 1 is the basic design.
 6. The purpose of graphical user in"&amp;"terface: This graphic user interface is used for recording and recording editing.
 7. Human -computer interaction methods of graphical user interface: Design 1 to Design 6 Main view User interfaces are recording the interface. Users can click the contro"&amp;"l at the bottom of the interface for recording.
 In the interface of the 5 main view view, when the user clicks the strip color block in the middle of the interface, the interface enters the design 5 interface change status diagram, and the user can cli"&amp;"ck on the control of the bottom of the interface to change the control of the state diagram for recording editing.
 Design 6 The interactive operation of the same design 5.
 The gray color block in design 4 is a replaceable picture or video.
 The fo"&amp;"rk number in each design interface represents text and/or numbers and/or alphabetics.
 8. This graphic user interface can be used for mobile phones, computers, tablets, televisions, vehicle central control screens, vehicle navigators, vehicle display de"&amp;"vices, game consoles, navigators, multimedia all -in -one machines, smart speakers, smart fitness equipment, smart home appliances, bands, band Robots, smart bracelets, smart watches, smart glasses, smart headphones, smart table lamps, smart door systems,"&amp;" advertising display, automatic sale machines, and medical devices with display screens with display screens.")</f>
        <v>1. The name of the product in appearance: The recording and recording editing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for recording and recording editing.
 7. Human -computer interaction methods of graphical user interface: Design 1 to Design 6 Main view User interfaces are recording the interface. Users can click the control at the bottom of the interface for recording.
 In the interface of the 5 main view view, when the user clicks the strip color block in the middle of the interface, the interface enters the design 5 interface change status diagram, and the user can click on the control of the bottom of the interface to change the control of the state diagram for recording editing.
 Design 6 The interactive operation of the same design 5.
 The gray color block in design 4 is a replaceable picture or video.
 The fork number in each design interface represents text and/or numbers and/or alphabetics.
 8. This graphic user interface can be used for mobile phones, computers, tablets, televisions, vehicle central control screens, vehicle navigators, vehicle display devices, game consoles, navigators, multimedia all -in -one machines, smart speakers, smart fitness equipment, smart home appliances, bands, band Robots, smart bracelets, smart watches, smart glasses, smart headphones, smart table lamps, smart door systems, advertising display, automatic sale machines, and medical devices with display screens with display screens.</v>
      </c>
      <c r="D637" s="6" t="s">
        <v>1874</v>
      </c>
      <c r="E637" s="4" t="str">
        <f ca="1">IFERROR(__xludf.DUMMYFUNCTION("GOOGLETRANSLATE(D637,""auto"",""en"")"),"Display screen panel recording and recording editing graphic user interface")</f>
        <v>Display screen panel recording and recording editing graphic user interface</v>
      </c>
    </row>
    <row r="638" spans="1:5" ht="15" x14ac:dyDescent="0.25">
      <c r="A638" s="5" t="s">
        <v>1875</v>
      </c>
      <c r="B638" s="6" t="s">
        <v>1876</v>
      </c>
      <c r="C638" s="3" t="str">
        <f ca="1">IFERROR(__xludf.DUMMYFUNCTION("GOOGLETRANSLATE(B638,""auto"",""en"")"),"1. Design product name: The industry ranking of the display screen panel display graphics user interface.
 2. Design products in appearance: used for running procedures, information display, and human -computer interaction.
 3. Design of design produc"&amp;"ts in this appearance: lies in the graphic user interface in the screen.
 4. Pictures or photos that can most indicate design points: main view.
 5. The purpose of the graphic user interface: This graphic user interface is used in the information of t"&amp;"he enterprise industry ranking. The main view is the homepage of the corporate consultant. The user clicks the ""View Industry Ranking"" on the right side of the interface. The changing state diagram can be viewed by the industry ranking and score.
 6. "&amp;"This display screen panel can be used for vehicles, computers, laptops, tablets, mobile phones, smart watches, smart bracelets, fitness monitor, headset headphones, personal digital assistants (PDA), smart speakers, TV, set -top boxes, set -top boxes, set"&amp;" -top boxes, set -top boxes, set -top boxes, set -top boxes, set -top boxes, set -top boxes, set -top boxes, set -top boxes, set -top box, Projector, game console or navigator.")</f>
        <v>1. Design product name: The industry ranking of the display screen panel display graphics user interface.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 user interface: This graphic user interface is used in the information of the enterprise industry ranking. The main view is the homepage of the corporate consultant. The user clicks the "View Industry Ranking" on the right side of the interface. The changing state diagram can be viewed by the industry ranking and score.
 6.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38" s="6" t="s">
        <v>1877</v>
      </c>
      <c r="E638" s="4" t="str">
        <f ca="1">IFERROR(__xludf.DUMMYFUNCTION("GOOGLETRANSLATE(D638,""auto"",""en"")"),"The industry ranking of the display screen panel display graphics user interface")</f>
        <v>The industry ranking of the display screen panel display graphics user interface</v>
      </c>
    </row>
    <row r="639" spans="1:5" ht="15" x14ac:dyDescent="0.25">
      <c r="A639" s="5" t="s">
        <v>1878</v>
      </c>
      <c r="B639" s="6" t="s">
        <v>1879</v>
      </c>
      <c r="C639" s="3" t="str">
        <f ca="1">IFERROR(__xludf.DUMMYFUNCTION("GOOGLETRANSLATE(B639,""auto"",""en"")"),"1. Design product name: Graphic user interface for corporate information diagnosis of display screen panels.
 2. Design products in appearance: used for running procedures, information display, and human -computer interaction.
 3. Design of design pro"&amp;"ducts in this appearance: lies in the graphic user interface in the screen.
 4. Pictures or photos that can most indicate design points: main view.
 5. The purpose of graphical user interface: This graphic user interface is used for the diagnosis and "&amp;"evaluation of corporate financial information. The main view is the homepage of the corporate consultant. Users can perform relevant operations according to the interface prompts.
 The main view is the homepage of the corporate consultant. Sliding up th"&amp;"e homepage interface upwards. You can view different information of the enterprise. As shown in the interface change state Figure 1 and Figure 2, after entering the interface change status Figure 2, you can slide to the left or click the menu above the in"&amp;"terface. Bar column, switch to the information display interface of financial overview and interbank comparison, as shown in the interface change state Figure 3 and Figure 4.
 6. This display screen panel can be used for vehicles, computers, laptops, ta"&amp;"blets, mobile phones, smart watches, smart bracelets, fitness monitor, headset headphones, personal digital assistants (PDA), smart speakers, TV, set -top boxes, set -top boxes, set -top boxes, set -top boxes, set -top boxes, set -top boxes, set -top boxe"&amp;"s, set -top boxes, set -top boxes, set -top boxes, set -top box, Projector, game console or navigator.")</f>
        <v>1. Design product name: Graphic user interface for corporate information diagnosis of display screen panels.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graphical user interface: This graphic user interface is used for the diagnosis and evaluation of corporate financial information. The main view is the homepage of the corporate consultant. Users can perform relevant operations according to the interface prompts.
 The main view is the homepage of the corporate consultant. Sliding up the homepage interface upwards. You can view different information of the enterprise. As shown in the interface change state Figure 1 and Figure 2, after entering the interface change status Figure 2, you can slide to the left or click the menu above the interface. Bar column, switch to the information display interface of financial overview and interbank comparison, as shown in the interface change state Figure 3 and Figure 4.
 6.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39" s="6" t="s">
        <v>1880</v>
      </c>
      <c r="E639" s="4" t="str">
        <f ca="1">IFERROR(__xludf.DUMMYFUNCTION("GOOGLETRANSLATE(D639,""auto"",""en"")"),"Graphic user interface of corporate information diagnosis of display screen panel")</f>
        <v>Graphic user interface of corporate information diagnosis of display screen panel</v>
      </c>
    </row>
    <row r="640" spans="1:5" ht="15" x14ac:dyDescent="0.25">
      <c r="A640" s="5" t="s">
        <v>1881</v>
      </c>
      <c r="B640" s="6" t="s">
        <v>1882</v>
      </c>
      <c r="C640" s="3" t="str">
        <f ca="1">IFERROR(__xludf.DUMMYFUNCTION("GOOGLETRANSLATE(B640,""auto"",""en"")"),"1. The name of the product of the design of the product: The organizational activity management graphic user interface for the display screen panel.
 2. The purpose of designing products in this exterior: Organizational activity management graphic user "&amp;"interface for display screen panels.
 3. Design of the design of the product in appearance: lies in the interface content of the graphic user interface.
 4. Pictures or photos that can most indicate design points: main view.
 5. The design that requ"&amp;"ests protection contains color.
 6. There is no design point for other views, omitting other views.
 7. The purpose of the graphical user interface: used to manage the organization's activity information.
 8. Human -computer interaction method of gr"&amp;"aphics user interface: The main view is to set the main interface for the activities of organizing activity management. The ""Drag Sort"" button sorts the activity, and the organizational activity list shows ""activity name"", ""holding time"", ""holding "&amp;"place"", ""quota restriction"", ""operator"", ""operation time"", ""status"" and so on. Detailed activity information; click the ""New Activity"" button in the main view to jump to the interface change state. The activity organization attribute configurat"&amp;"ion interface displayed. 、“举办时间”、“举办地点”、“报名截止日期”等活动基本属性输入编辑；拖动界面变化状态图1，则如界面变化状态图2所示接续展示的包含“志愿者保障”、 Input editing of basic attributes such as ""Precautions""; click the ""Next"" button below the interface change state, jump to the interface change state Fi"&amp;"gure 3. 3 shown in the configuration interface shown in the volunteer information. Click the ""Submit"" button below , The volunteer configuration information is completed; click the ""Business Operation"" button in the menu bar above the main view to jum"&amp;"p to the interface change state. 4 shown in the activity organization operation interface. , ""Organization locations"", ""Status"" and other information screening activities list. The display of information such as ""activity name"", ""holding time"", """&amp;"holding place"", ""status"", ""status"" and other information below the interface ; Click on the interface change state Figure 4 The ""view"" button on the right side of the right side of the order information list on the right side of the interface, jump"&amp;" to the interface change state of the activity information display interface displayed by the interface change state. Specific number of people such as the number of people "","" number of people to be reviewed "","" review of the number of people "","" r"&amp;"eview and rejection ""and other specific number information. Screening information such as names ""and"" mobile phone number "", enter specific screening information to query the displayed below containing"" registration time "","" activity name "","" hol"&amp;"ding time "","" volunteer information "","" order status "","" The order details of the order number ""such as"" information such as ""view"" and ""review"" buttons with blue and other colors are displayed on the right. Click the ""A review"" button to re"&amp;"view the order information and pass the operation or review the operation; click the interface change changes In Status Figure 5, the ""View"" button on the right side of the blue and other color of the order of the order 5, jump to the interface change s"&amp;"tate. The order registration details displayed.
 9. The displayed carrier equipment for display is the existing design. The display screen panel can be applied to computers, laptops, tablet computers, mobile phones, smartphones, smart glasses, watches, "&amp;"smart watches, fitness monitor, head wearing, head wearing Form headphones, personal digital assistants, smart speakers, television, monitor, projector, set -top box, navigator, display device for vehicles.")</f>
        <v>1. The name of the product of the design of the product: The organizational activity management graphic user interface for the display screen panel.
 2. The purpose of designing products in this exterior: Organizational activity management graphic user interface for display screen panels.
 3. Design of the design of the product in appearance: lies in the interface content of the graphic user interface.
 4. Pictures or photos that can most indicate design points: main view.
 5. The design that requests protection contains color.
 6. There is no design point for other views, omitting other views.
 7. The purpose of the graphical user interface: used to manage the organization's activity information.
 8. Human -computer interaction method of graphics user interface: The main view is to set the main interface for the activities of organizing activity management. The "Drag Sort" button sorts the activity, and the organizational activity list shows "activity name", "holding time", "holding place", "quota restriction", "operator", "operation time", "status" and so on. Detailed activity information; click the "New Activity" button in the main view to jump to the interface change state. The activity organization attribute configuration interface displayed. 、“举办时间”、“举办地点”、“报名截止日期”等活动基本属性输入编辑；拖动界面变化状态图1，则如界面变化状态图2所示接续展示的包含“志愿者保障”、 Input editing of basic attributes such as "Precautions"; click the "Next" button below the interface change state, jump to the interface change state Figure 3. 3 shown in the configuration interface shown in the volunteer information. Click the "Submit" button below , The volunteer configuration information is completed; click the "Business Operation" button in the menu bar above the main view to jump to the interface change state. 4 shown in the activity organization operation interface. , "Organization locations", "Status" and other information screening activities list. The display of information such as "activity name", "holding time", "holding place", "status", "status" and other information below the interface ; Click on the interface change state Figure 4 The "view" button on the right side of the right side of the order information list on the right side of the interface, jump to the interface change state of the activity information display interface displayed by the interface change state. Specific number of people such as the number of people "," number of people to be reviewed "," review of the number of people "," review and rejection "and other specific number information. Screening information such as names "and" mobile phone number ", enter specific screening information to query the displayed below containing" registration time "," activity name "," holding time "," volunteer information "," order status "," The order details of the order number "such as" information such as "view" and "review" buttons with blue and other colors are displayed on the right. Click the "A review" button to review the order information and pass the operation or review the operation; click the interface change changes In Status Figure 5, the "View" button on the right side of the blue and other color of the order of the order 5, jump to the interface change state. The order registration details displayed.
 9. The displayed carrier equipment for display is the existing design. The display screen panel can be applied to computers, laptops, tablet computers, mobile phones, smartphones, smart glasses, watches, smart watches, fitness monitor, head wearing, head wearing Form headphones, personal digital assistants, smart speakers, television, monitor, projector, set -top box, navigator, display device for vehicles.</v>
      </c>
      <c r="D640" s="6" t="s">
        <v>1883</v>
      </c>
      <c r="E640" s="4" t="str">
        <f ca="1">IFERROR(__xludf.DUMMYFUNCTION("GOOGLETRANSLATE(D640,""auto"",""en"")"),"Organizational activity management graphic user interface for display screen panels")</f>
        <v>Organizational activity management graphic user interface for display screen panels</v>
      </c>
    </row>
    <row r="641" spans="1:5" ht="15" x14ac:dyDescent="0.25">
      <c r="A641" s="5" t="s">
        <v>1884</v>
      </c>
      <c r="B641" s="6" t="s">
        <v>1885</v>
      </c>
      <c r="C641" s="3" t="str">
        <f ca="1">IFERROR(__xludf.DUMMYFUNCTION("GOOGLETRANSLATE(B641,""auto"",""en"")"),"1. Design product name: Graphic user interface for corporate information assessment of the display screen panel.
 2. Design products in appearance: used for running procedures, information display, and human -computer interaction.
 3. Design of design"&amp;" products in this appearance: lies in the graphic user interface in the screen.
 4. Pictures or photos that can best show design: Design 1 main view.
 5. Specify design 1 is the basic design.
 6. The purpose of graphic user interface: This graphic u"&amp;"ser interface is used for the evaluation of corporate financial information. Design 1 main view to design 3 main views as the homepage of corporate consultants. Users can perform relevant operations according to the interface prompts.
 Design 1 The main"&amp;" view is the homepage of the corporate consultant. The user clicks the ""risk assessment"" on the upper menu bar in the interface to enter the details page of the risk assessment visual report display. Carry out related operations.
 Design 2 main view i"&amp;"s the homepage of the corporate consultant. The user clicks the ""Investment Consultant"" on the upper menu bar in the interface to enter the details page displayed by the investment consultant's visual report. Carry out related operations.
 Design 3 Th"&amp;"e main view is the homepage of the corporate consultant. The user clicks the ""financing consultant"" on the upper menu bar in the interface to enter the details page of the financing consultant visual report. Carry out related operations.
 7. This disp"&amp;"lay screen panel can be used for vehicles, computers, laptops, tablets, mobile phones, smart watches, smart bracelets, fitness monitor, headset headphones, personal digital assistants (PDA), smart speakers, TV, set -top boxes, set -top boxes, set -top box"&amp;"es, set -top boxes, set -top boxes, set -top boxes, set -top boxes, set -top boxes, set -top boxes, set -top boxes, set -top box, Projector, game console or navigator.")</f>
        <v>1. Design product name: Graphic user interface for corporate information assessment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 user interface: This graphic user interface is used for the evaluation of corporate financial information. Design 1 main view to design 3 main views as the homepage of corporate consultants. Users can perform relevant operations according to the interface prompts.
 Design 1 The main view is the homepage of the corporate consultant. The user clicks the "risk assessment" on the upper menu bar in the interface to enter the details page of the risk assessment visual report display. Carry out related operations.
 Design 2 main view is the homepage of the corporate consultant. The user clicks the "Investment Consultant" on the upper menu bar in the interface to enter the details page displayed by the investment consultant's visual report. Carry out related operations.
 Design 3 The main view is the homepage of the corporate consultant. The user clicks the "financing consultant" on the upper menu bar in the interface to enter the details page of the financing consultant visual report. Carry out related operations.
 7.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41" s="6" t="s">
        <v>1886</v>
      </c>
      <c r="E641" s="4" t="str">
        <f ca="1">IFERROR(__xludf.DUMMYFUNCTION("GOOGLETRANSLATE(D641,""auto"",""en"")"),"Graphic user interface of corporate information assessment of display screen panel")</f>
        <v>Graphic user interface of corporate information assessment of display screen panel</v>
      </c>
    </row>
    <row r="642" spans="1:5" ht="15" x14ac:dyDescent="0.25">
      <c r="A642" s="5" t="s">
        <v>1887</v>
      </c>
      <c r="B642" s="6" t="s">
        <v>1888</v>
      </c>
      <c r="C642" s="3" t="str">
        <f ca="1">IFERROR(__xludf.DUMMYFUNCTION("GOOGLETRANSLATE(B642,""auto"",""en"")"),"1. Design product name: The financial statement information of the display screen panel display the graphic user interface.
 2. Design products in appearance: used for running procedures, information display, and human -computer interaction.
 3. Desig"&amp;"n of design products in this appearance: lies in the graphic user interface in the screen.
 4. Pictures or photos that can most indicate design points: main view.
 5. The purpose of the graphical user interface: This graphic user interface is used for"&amp;" information on the financial statement of the enterprise. The main view is the homepage of the corporate consultant. The user clicks on the ""financial statement"" at the top left of the interface to enter the financial statements State Figure 1 shows, t"&amp;"o the left slide interface or the menu bar above the interface, you can switch and view different types of financial statements, as shown in the interface change state figure 2 and interface change state Figure 3.
 6. This display screen panel can be us"&amp;"ed for vehicles, computers, laptops, tablets, mobile phones, smart watches, smart bracelets, fitness monitor, headset headphones, personal digital assistants (PDA), smart speakers, TV, set -top boxes, set -top boxes, set -top boxes, set -top boxes, set -t"&amp;"op boxes, set -top boxes, set -top boxes, set -top boxes, set -top boxes, set -top boxes, set -top box, Projector, game console or navigator.")</f>
        <v>1. Design product name: The financial statement information of the display screen panel display the graphic user interface.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This graphic user interface is used for information on the financial statement of the enterprise. The main view is the homepage of the corporate consultant. The user clicks on the "financial statement" at the top left of the interface to enter the financial statements State Figure 1 shows, to the left slide interface or the menu bar above the interface, you can switch and view different types of financial statements, as shown in the interface change state figure 2 and interface change state Figure 3.
 6.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42" s="6" t="s">
        <v>1889</v>
      </c>
      <c r="E642" s="4" t="str">
        <f ca="1">IFERROR(__xludf.DUMMYFUNCTION("GOOGLETRANSLATE(D642,""auto"",""en"")"),"Financial statement information of the display screen panel display graph user interface")</f>
        <v>Financial statement information of the display screen panel display graph user interface</v>
      </c>
    </row>
    <row r="643" spans="1:5" ht="15" x14ac:dyDescent="0.25">
      <c r="A643" s="5" t="s">
        <v>1890</v>
      </c>
      <c r="B643" s="6" t="s">
        <v>1891</v>
      </c>
      <c r="C643" s="3" t="str">
        <f ca="1">IFERROR(__xludf.DUMMYFUNCTION("GOOGLETRANSLATE(B643,""auto"",""en"")"),"1. Design product name: Create a graphical user interface on the enterprise card of the display screen panel.
 2. Design products in appearance: used for running procedures, information display, and human -computer interaction.
 3. Design of design pr"&amp;"oducts in this appearance: lies in the graphic user interface in the screen.
 4. Pictures or photos that can most indicate design points: main view.
 5. The purpose of graphical user interface: This graphic user interface is used for the creation of c"&amp;"orporate data cards.
 The main view is the homepage of the corporate consultant. The user clicks the ""switch"" in the upper right corner of the interface to enter the selected corporate interface. As shown in the state of the interface changes, select "&amp;"any enterprise below. If there is no relevant enterprise industry information, you can enter the corporate information The card interface, as shown in Figure 2 of the interface change state, slide up the interface up to the upper answering progress bar to"&amp;" enter the interface change state Figure 3 after the display is completed. Click the ""submission"" at the bottom of the interface to complete the creation of the corporate data card.
 6. This display screen panel can be used for vehicles, computers, la"&amp;"ptops, tablets, mobile phones, smart watches, smart bracelets, fitness monitor, headset headphones, personal digital assistants (PDA), smart speakers, TV, set -top boxes, set -top boxes, set -top boxes, set -top boxes, set -top boxes, set -top boxes, set "&amp;"-top boxes, set -top boxes, set -top boxes, set -top boxes, set -top box, Projector, game console or navigator.")</f>
        <v>1. Design product name: Create a graphical user interface on the enterprise card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graphical user interface: This graphic user interface is used for the creation of corporate data cards.
 The main view is the homepage of the corporate consultant. The user clicks the "switch" in the upper right corner of the interface to enter the selected corporate interface. As shown in the state of the interface changes, select any enterprise below. If there is no relevant enterprise industry information, you can enter the corporate information The card interface, as shown in Figure 2 of the interface change state, slide up the interface up to the upper answering progress bar to enter the interface change state Figure 3 after the display is completed. Click the "submission" at the bottom of the interface to complete the creation of the corporate data card.
 6.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43" s="6" t="s">
        <v>1892</v>
      </c>
      <c r="E643" s="4" t="str">
        <f ca="1">IFERROR(__xludf.DUMMYFUNCTION("GOOGLETRANSLATE(D643,""auto"",""en"")"),"Enterprise information card creation user interface on display screen panels")</f>
        <v>Enterprise information card creation user interface on display screen panels</v>
      </c>
    </row>
    <row r="644" spans="1:5" ht="15" x14ac:dyDescent="0.25">
      <c r="A644" s="5" t="s">
        <v>1893</v>
      </c>
      <c r="B644" s="6" t="s">
        <v>1894</v>
      </c>
      <c r="C644" s="3" t="str">
        <f ca="1">IFERROR(__xludf.DUMMYFUNCTION("GOOGLETRANSLATE(B644,""auto"",""en"")"),"1. Design product name: Graphic user interface for corporate information diagnosis of display screen panels.
 2. Design products in appearance: used for running procedures, information display, and human -computer interaction.
 3. Design of design pro"&amp;"ducts in this appearance: lies in the graphic user interface in the screen.
 4. Pictures or photos that can best show design: Design 1 main view.
 5. Specify design 1 is the basic design.
 6. The purpose of graphical user interface: This graphic use"&amp;"r interface is used for the diagnosis and evaluation of corporate quality and financial information. Design 1 main view and design 2 main view is the homepage of the corporate consultant. Users can perform related operations according to the interface pro"&amp;"mpts.
 Design 1 The main view is the homepage of the corporate consultant. The user clicks the ""corporate quality"" on the upper menu bar in the interface to enter the enterprise quality evaluation interface. If the design 1 interface changes are shown"&amp;", you can view the visualization of the quality evaluation of the enterprise. And perform related operations according to the interface prompts.
 Design 2 main view is the homepage of the corporate consultant. The user clicks the ""financial diagnosis"""&amp;" on the upper menu bar in the interface to enter the details page of the financial diagnosis visual report display. Carry out related operations.
 7. This display screen panel can be used for vehicles, computers, laptops, tablets, mobile phones, smart w"&amp;"atches, smart bracelets, fitness monitor, headset headphones, personal digital assistants (PDA), smart speakers, TV, set -top boxes, set -top boxes, set -top boxes, set -top boxes, set -top boxes, set -top boxes, set -top boxes, set -top boxes, set -top b"&amp;"oxes, set -top boxes, set -top box, Projector, game console or navigator.")</f>
        <v>1. Design product name: Graphic user interface for corporate information diagnosis of display screen panels.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This graphic user interface is used for the diagnosis and evaluation of corporate quality and financial information. Design 1 main view and design 2 main view is the homepage of the corporate consultant. Users can perform related operations according to the interface prompts.
 Design 1 The main view is the homepage of the corporate consultant. The user clicks the "corporate quality" on the upper menu bar in the interface to enter the enterprise quality evaluation interface. If the design 1 interface changes are shown, you can view the visualization of the quality evaluation of the enterprise. And perform related operations according to the interface prompts.
 Design 2 main view is the homepage of the corporate consultant. The user clicks the "financial diagnosis" on the upper menu bar in the interface to enter the details page of the financial diagnosis visual report display. Carry out related operations.
 7.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644" s="6" t="s">
        <v>1880</v>
      </c>
      <c r="E644" s="4" t="str">
        <f ca="1">IFERROR(__xludf.DUMMYFUNCTION("GOOGLETRANSLATE(D644,""auto"",""en"")"),"Graphic user interface of corporate information diagnosis of display screen panel")</f>
        <v>Graphic user interface of corporate information diagnosis of display screen panel</v>
      </c>
    </row>
    <row r="645" spans="1:5" ht="15" x14ac:dyDescent="0.25">
      <c r="A645" s="5" t="s">
        <v>1895</v>
      </c>
      <c r="B645" s="6" t="s">
        <v>1896</v>
      </c>
      <c r="C645" s="3" t="str">
        <f ca="1">IFERROR(__xludf.DUMMYFUNCTION("GOOGLETRANSLATE(B645,""auto"",""en"")"),"1. Design product name: Registration activity management graphic user interface for the display screen panel.
 2. Design products in appearance: used for interaction and display.
 3. Design of the design of the product in appearance: lies in the inter"&amp;"face content of the graphic user interface.
 4. Pictures or photos that can best show design points: Figure 1 of the interface change state.
 5. There is no design point for other views, omitting other views.
 6. The purpose of graphical user interf"&amp;"ace: used to manage registration activities.
 7. Human -computer interaction method of graphical user interface: The main view is the main interface of the registration activity management. One of the interfaces in the Status 2 to show the details inter"&amp;"face of the activity. The interface change state Figure 1 indicates that the activity has not begun and the user does not sign up for the activity. The ""Registration"" button in Figure 1 in Figure 1, as shown in the information registration interface sho"&amp;"wn in the interface changes, click on the corresponding business to fill in the details information at the interface; Sign up immediately, jump to the interface change state. Figure 4 The registration success interface displayed; click the ""View Order"" "&amp;"button in the interface change state. 4, jump to the interface change state. Essence
 8. The displayed carrier equipment for display is the existing design. The display screen panel can be applied to computers, laptops, tablet computers, mobile phones, "&amp;"smartphones, smart glasses, watches, smart watches, fitness monitors, head wearing, head wearing Form headphones, personal digital assistants, smart speakers, television, monitor, projector, set -top box, navigator, display device for vehicles.")</f>
        <v>1. Design product name: Registration activity management graphic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graphical user interface: used to manage registration activities.
 7. Human -computer interaction method of graphical user interface: The main view is the main interface of the registration activity management. One of the interfaces in the Status 2 to show the details interface of the activity. The interface change state Figure 1 indicates that the activity has not begun and the user does not sign up for the activity. The "Registration" button in Figure 1 in Figure 1, as shown in the information registration interface shown in the interface changes, click on the corresponding business to fill in the details information at the interface; Sign up immediately, jump to the interface change state. Figure 4 The registration success interface displayed; click the "View Order" button in the interface change state. 4, jump to the interface change state. Essence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45" s="6" t="s">
        <v>1897</v>
      </c>
      <c r="E645" s="4" t="str">
        <f ca="1">IFERROR(__xludf.DUMMYFUNCTION("GOOGLETRANSLATE(D645,""auto"",""en"")"),"Registration activity management graphic user interface for display screen panel")</f>
        <v>Registration activity management graphic user interface for display screen panel</v>
      </c>
    </row>
    <row r="646" spans="1:5" ht="15" x14ac:dyDescent="0.25">
      <c r="A646" s="5" t="s">
        <v>1898</v>
      </c>
      <c r="B646" s="6" t="s">
        <v>1899</v>
      </c>
      <c r="C646" s="3" t="str">
        <f ca="1">IFERROR(__xludf.DUMMYFUNCTION("GOOGLETRANSLATE(B646,""auto"",""en"")"),"1. The name of the product in appearance: The step -by -step active graphic user interface for the display screen panel.
 2. Design products in appearance: used for interaction and display.
 3. Design of the design of the product in appearance: lies i"&amp;"n the interface content of the graphic user interface.
 4. Pictures or photos that can best show design points: Figure 3 of the interface change state.
 5. There is no design point for other views, omitting other views.
 6. The purpose of graphical "&amp;"user interface: used to show information about walking activities.
 7. Human -computer interaction method of graphics user interface: The main view of the main view is the main interface of the walking walk, and its display activity list; if the activit"&amp;"y is in progress, the user does not sign up the event, click the ""details"" button in the activity list in all the activity list of the main view. , Jump to the interface change state Figure 1; if the activity is in progress and the user has signed up th"&amp;"e event, click on the activity &amp; nbsp; ""details"" button in all the event list, jump to the interface change state figure 2; Register the event, click on the activity &amp; nbsp; ""Details"" button in all the activities list, jump to the interface change sta"&amp;"te Figure 3; click the ""I want to sign up"" button in the interface change state. The pop -up successfully confirmed the prompt window, click the ""Confirmation"" button of the prompt window, and the registration is successful; if the activity is in prog"&amp;"ress, the user has registered the event, click the ""activity details"" button in the interface change state, jump to the interface change state Figure 5; Click the ""Pickup"" button in the interface change state Figure 5 to jump to the interface change s"&amp;"tate Figure 6; click the ""My Walk"" button in the interface change state. 6, jump to the interface change state Figure 7; Through the operation of the interface 7 of the interface in the interface, the interface of the interface 7, as shown in the interf"&amp;"ace change state Figure 8, the personal information details interface in the continuous display activity; click the ""My Walk"" button in the interface change state. Jump to the interface change state Figure 9; when the number of user steps meets the stan"&amp;"dard, the interface change status Figure 6 Poppy pop -up windows in the interface change state. The ""button, then the interface change state diagram 6 pops up as shown in the"" cumulative step ""pop -up window shown in the interface change state. 12 The "&amp;"medal wall interface displayed; click the ""View more"" button in the interface change state.
 8.其他需要说明的情形其他说明：显示用的载体设备为现有设计，该显示屏幕面板可以应用于计算机、笔记本电脑、平板电脑、手机、智能手机、智能手环、智能眼镜、手表、智能Watch, fitness monitor, headset headphones, personal digital assistants, smart"&amp;" speakers, television, monitor, projector, set -top box, navigator, display device for vehicles.")</f>
        <v>1. The name of the product in appearance: The step -by -step active graphic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3 of the interface change state.
 5. There is no design point for other views, omitting other views.
 6. The purpose of graphical user interface: used to show information about walking activities.
 7. Human -computer interaction method of graphics user interface: The main view of the main view is the main interface of the walking walk, and its display activity list; if the activity is in progress, the user does not sign up the event, click the "details" button in the activity list in all the activity list of the main view. , Jump to the interface change state Figure 1; if the activity is in progress and the user has signed up the event, click on the activity &amp; nbsp; "details" button in all the event list, jump to the interface change state figure 2; Register the event, click on the activity &amp; nbsp; "Details" button in all the activities list, jump to the interface change state Figure 3; click the "I want to sign up" button in the interface change state. The pop -up successfully confirmed the prompt window, click the "Confirmation" button of the prompt window, and the registration is successful; if the activity is in progress, the user has registered the event, click the "activity details" button in the interface change state, jump to the interface change state Figure 5; Click the "Pickup" button in the interface change state Figure 5 to jump to the interface change state Figure 6; click the "My Walk" button in the interface change state. 6, jump to the interface change state Figure 7; Through the operation of the interface 7 of the interface in the interface, the interface of the interface 7, as shown in the interface change state Figure 8, the personal information details interface in the continuous display activity; click the "My Walk" button in the interface change state. Jump to the interface change state Figure 9; when the number of user steps meets the standard, the interface change status Figure 6 Poppy pop -up windows in the interface change state. The "button, then the interface change state diagram 6 pops up as shown in the" cumulative step "pop -up window shown in the interface change state. 12 The medal wall interface displayed; click the "View more" button in the interface change state.
 8.其他需要说明的情形其他说明：显示用的载体设备为现有设计，该显示屏幕面板可以应用于计算机、笔记本电脑、平板电脑、手机、智能手机、智能手环、智能眼镜、手表、智能Watch, fitness monitor, headset headphones, personal digital assistants, smart speakers, television, monitor, projector, set -top box, navigator, display device for vehicles.</v>
      </c>
      <c r="D646" s="6" t="s">
        <v>1900</v>
      </c>
      <c r="E646" s="4" t="str">
        <f ca="1">IFERROR(__xludf.DUMMYFUNCTION("GOOGLETRANSLATE(D646,""auto"",""en"")"),"Step Walking Activity Graphic User interface for display screen panels")</f>
        <v>Step Walking Activity Graphic User interface for display screen panels</v>
      </c>
    </row>
    <row r="647" spans="1:5" ht="15" x14ac:dyDescent="0.25">
      <c r="A647" s="5" t="s">
        <v>1901</v>
      </c>
      <c r="B647" s="6" t="s">
        <v>1902</v>
      </c>
      <c r="C647" s="3" t="str">
        <f ca="1">IFERROR(__xludf.DUMMYFUNCTION("GOOGLETRANSLATE(B647,""auto"",""en"")"),"The present invention involves the field of artificial intelligence technology, and specifically involves the optimization method of fitness places based on knowledge distillation. This method includes: using multiple clustering features to perform multip"&amp;"le clustering results on fitness equipment for fitness equipment. Each cluster result includes multiple cluster sets; Category; each cluster set to generate a first image; build a first -order teacher network to obtain the first serial number diagram corr"&amp;"esponding to each first image and the first settings diagram; form multiple similar combinations to obtain each similar combination combination The second image; build a second -order teacher network to obtain the second serial number diagram correspondin"&amp;"g to the second image and the second settlement diagram; build a student network to get the third serial number chart; divide the panoramic image into multiple areas to obtain each area The heat distribution evaluation indicators; determine whether the he"&amp;"at distribution of the current fitness venue is balanced. Examples of the present invention can use local information to improve the overall utilization rate of fitness places.")</f>
        <v>The present invention involves the field of artificial intelligence technology, and specifically involves the optimization method of fitness places based on knowledge distillation. This method includes: using multiple clustering features to perform multiple clustering results on fitness equipment for fitness equipment. Each cluster result includes multiple cluster sets; Category; each cluster set to generate a first image; build a first -order teacher network to obtain the first serial number diagram corresponding to each first image and the first settings diagram; form multiple similar combinations to obtain each similar combination combination The second image; build a second -order teacher network to obtain the second serial number diagram corresponding to the second image and the second settlement diagram; build a student network to get the third serial number chart; divide the panoramic image into multiple areas to obtain each area The heat distribution evaluation indicators; determine whether the heat distribution of the current fitness venue is balanced. Examples of the present invention can use local information to improve the overall utilization rate of fitness places.</v>
      </c>
      <c r="D647" s="6" t="s">
        <v>1903</v>
      </c>
      <c r="E647" s="4" t="str">
        <f ca="1">IFERROR(__xludf.DUMMYFUNCTION("GOOGLETRANSLATE(D647,""auto"",""en"")"),"Optimization method of fitness place layout based on knowledge distillation")</f>
        <v>Optimization method of fitness place layout based on knowledge distillation</v>
      </c>
    </row>
    <row r="648" spans="1:5" ht="15" x14ac:dyDescent="0.25">
      <c r="A648" s="5" t="s">
        <v>1904</v>
      </c>
      <c r="B648" s="6" t="s">
        <v>1905</v>
      </c>
      <c r="C648" s="3" t="str">
        <f ca="1">IFERROR(__xludf.DUMMYFUNCTION("GOOGLETRANSLATE(B648,""auto"",""en"")"),"The present invention disclosed a multi -person multi -perspective 3D reconstruction method based on IMU positioning. By placing a wireless IMU on everyone, obtaining the human body's thick granular 3D coordinate point, and then using multi -perspective i"&amp;"nformation to perform key points of human body recognition and identification and use of multi -perspective information. 3D reconstruction, more accurate and fine -grained reconstruction, which improves the stability, reliability and accuracy of 3D recons"&amp;"truction, and has extremely high application value. The renewal of the human body 3D for computer vision is important and far -reaching for sports analysis and in -depth research.")</f>
        <v>The present invention disclosed a multi -person multi -perspective 3D reconstruction method based on IMU positioning. By placing a wireless IMU on everyone, obtaining the human body's thick granular 3D coordinate point, and then using multi -perspective information to perform key points of human body recognition and identification and use of multi -perspective information. 3D reconstruction, more accurate and fine -grained reconstruction, which improves the stability, reliability and accuracy of 3D reconstruction, and has extremely high application value. The renewal of the human body 3D for computer vision is important and far -reaching for sports analysis and in -depth research.</v>
      </c>
      <c r="D648" s="6" t="s">
        <v>1906</v>
      </c>
      <c r="E648" s="4" t="str">
        <f ca="1">IFERROR(__xludf.DUMMYFUNCTION("GOOGLETRANSLATE(D648,""auto"",""en"")"),"A multi -person multi -perspective 3D reconstruction method based on IMU positioning")</f>
        <v>A multi -person multi -perspective 3D reconstruction method based on IMU positioning</v>
      </c>
    </row>
    <row r="649" spans="1:5" ht="15" x14ac:dyDescent="0.25">
      <c r="A649" s="5" t="s">
        <v>1907</v>
      </c>
      <c r="B649" s="6" t="s">
        <v>1908</v>
      </c>
      <c r="C649" s="3" t="str">
        <f ca="1">IFERROR(__xludf.DUMMYFUNCTION("GOOGLETRANSLATE(B649,""auto"",""en"")"),"The pattern includes the use of artificial intelligence and/or machine learning, and sports analysis is performed based on historical score data based on specific teams, players, events or other related data. Machine learning can be applied to historical "&amp;"data to increase betting odds. The odds module can analyze the correlation between the results of the event and the available parameters in real time to provide accurate and latest odds")</f>
        <v>The pattern includes the use of artificial intelligence and/or machine learning, and sports analysis is performed based on historical score data based on specific teams, players, events or other related data. Machine learning can be applied to historical data to increase betting odds. The odds module can analyze the correlation between the results of the event and the available parameters in real time to provide accurate and latest odds</v>
      </c>
      <c r="D649" s="6" t="s">
        <v>1909</v>
      </c>
      <c r="E649" s="4" t="str">
        <f ca="1">IFERROR(__xludf.DUMMYFUNCTION("GOOGLETRANSLATE(D649,""auto"",""en"")"),"Methods, systems and equipment for artificial intelligence and machine learning to enhance betting odds")</f>
        <v>Methods, systems and equipment for artificial intelligence and machine learning to enhance betting odds</v>
      </c>
    </row>
    <row r="650" spans="1:5" ht="15" x14ac:dyDescent="0.25">
      <c r="A650" s="5" t="s">
        <v>1910</v>
      </c>
      <c r="B650" s="6" t="s">
        <v>1911</v>
      </c>
      <c r="C650" s="3" t="str">
        <f ca="1">IFERROR(__xludf.DUMMYFUNCTION("GOOGLETRANSLATE(B650,""auto"",""en"")"),"The present invention disclosed the human fitness training management system based on artificial intelligence, involving the field of human fitness training management. The key points of its technical solution include the host control module. The host con"&amp;"trol module is used to receive and handle the data transmission of the entire system. The human body's data is registered and numbered to establish a folder. The body shape analysis module is used to draw a three -dimensional three -dimensional curve post"&amp;"ure of the body shape of the human body in the initial natural state. The number of video key frame extraction is performed, and the wearable sensor module is used to monitor the customer's fitness exercise data in real time. The judgment comparison modul"&amp;"e is used to determine the standard motion body movement amplitude X0 and the training sports body movement. The display module shows the standard movements of the customer's entry and the movement of the training staff continuously with the exercise, whi"&amp;"ch facilitates the training effect of the training personnel.")</f>
        <v>The present invention disclosed the human fitness training management system based on artificial intelligence, involving the field of human fitness training management. The key points of its technical solution include the host control module. The host control module is used to receive and handle the data transmission of the entire system. The human body's data is registered and numbered to establish a folder. The body shape analysis module is used to draw a three -dimensional three -dimensional curve posture of the body shape of the human body in the initial natural state. The number of video key frame extraction is performed, and the wearable sensor module is used to monitor the customer's fitness exercise data in real time. The judgment comparison module is used to determine the standard motion body movement amplitude X0 and the training sports body movement. The display module shows the standard movements of the customer's entry and the movement of the training staff continuously with the exercise, which facilitates the training effect of the training personnel.</v>
      </c>
      <c r="D650" s="6" t="s">
        <v>1912</v>
      </c>
      <c r="E650" s="4" t="str">
        <f ca="1">IFERROR(__xludf.DUMMYFUNCTION("GOOGLETRANSLATE(D650,""auto"",""en"")"),"Human fitness training management system based on artificial intelligence")</f>
        <v>Human fitness training management system based on artificial intelligence</v>
      </c>
    </row>
    <row r="651" spans="1:5" ht="15" x14ac:dyDescent="0.25">
      <c r="A651" s="5" t="s">
        <v>1913</v>
      </c>
      <c r="B651" s="6" t="s">
        <v>1914</v>
      </c>
      <c r="C651" s="3" t="str">
        <f ca="1">IFERROR(__xludf.DUMMYFUNCTION("GOOGLETRANSLATE(B651,""auto"",""en"")"),"The present invention belongs to the field of human functional monitoring technology, especially involving the Internet of Things -based athletes' non -invasive functional monitoring methods and systems. Based on physiological data sets, through expert sy"&amp;"stem analysis, expert analysis reports. The data is analyzed in depth, which causes the unable to grasp the functional condition of the athletes in real time, which will affect the development and adjustment of the training plan. It is convenient for coac"&amp;"hes to understand the function of the athletes, timely adjustment of training plans, and in -depth analysis of big data, and use artificial intelligence to improve The beneficial technical effect of teaching and research work.")</f>
        <v>The present invention belongs to the field of human functional monitoring technology, especially involving the Internet of Things -based athletes' non -invasive functional monitoring methods and systems. Based on physiological data sets, through expert system analysis, expert analysis reports. The data is analyzed in depth, which causes the unable to grasp the functional condition of the athletes in real time, which will affect the development and adjustment of the training plan. It is convenient for coaches to understand the function of the athletes, timely adjustment of training plans, and in -depth analysis of big data, and use artificial intelligence to improve The beneficial technical effect of teaching and research work.</v>
      </c>
      <c r="D651" s="6" t="s">
        <v>1915</v>
      </c>
      <c r="E651" s="4" t="str">
        <f ca="1">IFERROR(__xludf.DUMMYFUNCTION("GOOGLETRANSLATE(D651,""auto"",""en"")"),"Athlete's non -invasive function monitoring method and system based on the Internet of Things")</f>
        <v>Athlete's non -invasive function monitoring method and system based on the Internet of Things</v>
      </c>
    </row>
    <row r="652" spans="1:5" ht="15" x14ac:dyDescent="0.25">
      <c r="A652" s="5" t="s">
        <v>1916</v>
      </c>
      <c r="B652" s="6" t="s">
        <v>1917</v>
      </c>
      <c r="C652" s="3" t="str">
        <f ca="1">IFERROR(__xludf.DUMMYFUNCTION("GOOGLETRANSLATE(B652,""auto"",""en"")"),"The present invention provides a gun -to -ball linkage football detection method and system, which involves the field of computer technology. This method includes: S1, the detection area of ​​calibrating football; S2, splicing multiple gun machine screens"&amp;" to obtain the entire football field to obtain the entire football field Panorama maps; S3, to detect the panoramic diagram through the deep learning network of panoramic football detection, select the results of football test results with the highest sco"&amp;"re as the target football; S4, the target football center in the panoramic map as the center The ball machine football detection deep learning network detects the panoramic diagram, and selects the highest score football center as the center of the ball m"&amp;"achine vision needs to be moved. It can improve the detection effect of football through guns and ball linkage. Ball screen; add a tracking device to filter the results of the football, and only choose sports football, which greatly improves the detection"&amp;" efficiency.")</f>
        <v>The present invention provides a gun -to -ball linkage football detection method and system, which involves the field of computer technology. This method includes: S1, the detection area of ​​calibrating football; S2, splicing multiple gun machine screens to obtain the entire football field to obtain the entire football field Panorama maps; S3, to detect the panoramic diagram through the deep learning network of panoramic football detection, select the results of football test results with the highest score as the target football; S4, the target football center in the panoramic map as the center The ball machine football detection deep learning network detects the panoramic diagram, and selects the highest score football center as the center of the ball machine vision needs to be moved. It can improve the detection effect of football through guns and ball linkage. Ball screen; add a tracking device to filter the results of the football, and only choose sports football, which greatly improves the detection efficiency.</v>
      </c>
      <c r="D652" s="6" t="s">
        <v>1918</v>
      </c>
      <c r="E652" s="4" t="str">
        <f ca="1">IFERROR(__xludf.DUMMYFUNCTION("GOOGLETRANSLATE(D652,""auto"",""en"")"),"A football detection method and system with gunliest linkage")</f>
        <v>A football detection method and system with gunliest linkage</v>
      </c>
    </row>
    <row r="653" spans="1:5" ht="15" x14ac:dyDescent="0.25">
      <c r="A653" s="5" t="s">
        <v>1919</v>
      </c>
      <c r="B653" s="6" t="s">
        <v>1920</v>
      </c>
      <c r="C653" s="3" t="str">
        <f ca="1">IFERROR(__xludf.DUMMYFUNCTION("GOOGLETRANSLATE(B653,""auto"",""en"")"),"One method includes the adaptability value of each multiple automatic encoder during the period of the genetic algorithm. The adaptability of the automatic encoder represents the reconstruction error of the data response representing the data response rep"&amp;"resenting the first operation status of one or more devices. This method includes a subset selection based on the fitness value, a subset of an automatic encoder. This method also includes genetic operations to at least one automatic encoder to generate t"&amp;"rained automatic encoders. This method includes a trained automatic encoder to reduce the loss function value to generate a well -trained automatic encoder. The loss function value is based on the reconstruction error of the trained automatic encoder, whi"&amp;"ch reflects the data of the second operating state of the device. This method includes adding the trained automatic encoder to the crowd as an input of the subsequent genetic algorithm.")</f>
        <v>One method includes the adaptability value of each multiple automatic encoder during the period of the genetic algorithm. The adaptability of the automatic encoder represents the reconstruction error of the data response representing the data response representing the first operation status of one or more devices. This method includes a subset selection based on the fitness value, a subset of an automatic encoder. This method also includes genetic operations to at least one automatic encoder to generate trained automatic encoders. This method includes a trained automatic encoder to reduce the loss function value to generate a well -trained automatic encoder. The loss function value is based on the reconstruction error of the trained automatic encoder, which reflects the data of the second operating state of the device. This method includes adding the trained automatic encoder to the crowd as an input of the subsequent genetic algorithm.</v>
      </c>
      <c r="D653" s="6" t="s">
        <v>1921</v>
      </c>
      <c r="E653" s="4" t="str">
        <f ca="1">IFERROR(__xludf.DUMMYFUNCTION("GOOGLETRANSLATE(D653,""auto"",""en"")"),"Collaborative use of genetic algorithms and optimization trainers to generate automatic encoder")</f>
        <v>Collaborative use of genetic algorithms and optimization trainers to generate automatic encoder</v>
      </c>
    </row>
    <row r="654" spans="1:5" ht="15" x14ac:dyDescent="0.25">
      <c r="A654" s="5" t="s">
        <v>1922</v>
      </c>
      <c r="B654" s="6" t="s">
        <v>1923</v>
      </c>
      <c r="C654" s="3" t="str">
        <f ca="1">IFERROR(__xludf.DUMMYFUNCTION("GOOGLETRANSLATE(B654,""auto"",""en"")"),"1. Design product name: Play graphic user interface for music played on the screen panel.
 2. The purpose of designing products in this exterior: The design of the product in this exterior is used for running programs, displaying information and human -"&amp;"computer interaction.
 3. Design of design products in this appearance: lies in the interface content and layout of the graphic user interface.
 4. Pictures or photos that can best show design: Design 1 main view.
 5. The screen panel is commonly de"&amp;"signed, omittime view, viewing view, pult, left view and right view.
 6. Specify design 1 is the basic design.
 7. The purpose of the graphical user interface: This graphic user interface is used to display the relevant information of music reviews.
 "&amp;"
 In the design 1 main view, the user enters the """" """" """" ""Promoting the intelligent matching box, and matches the corresponding resource information according to the input content. The type of resource type is the song information; after the user "&amp;"selects the song, the page jumps to the design 1 interface change changes. State Figure 1, the name of the song in """" """" """" """" """" """" """" ""The song icon is displayed in the upper right corner.
 The type of resource can also be a song list. "&amp;"In the design 2 main view, the matching song list information is displayed; after the user selects the song list, the page jumps to the design 2 interface change status. The upper right corner displays the song bill icon.
 The type of resource can also "&amp;"be a video. In the design 3 main view, the matching video information is displayed; after the user selects the video, the page jumps to the design 3 interface change status. icon.
 8. The display screen panel is used for mobile phones, laptops, tablets,"&amp;" computers, computers, vehicle central control screens, smart TVs, smart bracelets, smart glasses, smart watches, personal digital assistants (PERSONAL &amp; NBSP; Digital &amp; Nbsp; Assistant, PDA), fitness Monitor, projector.")</f>
        <v>1. Design product name: Play graphic user interface for music played on the screen panel.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best show design: Design 1 main view.
 5. The screen panel is commonly designed, omittime view, viewing view, pult, left view and right view.
 6. Specify design 1 is the basic design.
 7. The purpose of the graphical user interface: This graphic user interface is used to display the relevant information of music reviews.
 In the design 1 main view, the user enters the "" "" "" "Promoting the intelligent matching box, and matches the corresponding resource information according to the input content. The type of resource type is the song information; after the user selects the song, the page jumps to the design 1 interface change changes. State Figure 1, the name of the song in "" "" "" "" "" "" "" "The song icon is displayed in the upper right corner.
 The type of resource can also be a song list. In the design 2 main view, the matching song list information is displayed; after the user selects the song list, the page jumps to the design 2 interface change status. The upper right corner displays the song bill icon.
 The type of resource can also be a video. In the design 3 main view, the matching video information is displayed; after the user selects the video, the page jumps to the design 3 interface change status. icon.
 8. The display screen panel is used for mobile phones, laptops, tablets, computers, computers, vehicle central control screens, smart TVs, smart bracelets, smart glasses, smart watches, personal digital assistants (PERSONAL &amp; NBSP; Digital &amp; Nbsp; Assistant, PDA), fitness Monitor, projector.</v>
      </c>
      <c r="D654" s="6" t="s">
        <v>1924</v>
      </c>
      <c r="E654" s="4" t="str">
        <f ca="1">IFERROR(__xludf.DUMMYFUNCTION("GOOGLETRANSLATE(D654,""auto"",""en"")"),"Play graphic user interface for the display screen panel")</f>
        <v>Play graphic user interface for the display screen panel</v>
      </c>
    </row>
    <row r="655" spans="1:5" ht="15" x14ac:dyDescent="0.25">
      <c r="A655" s="5" t="s">
        <v>1925</v>
      </c>
      <c r="B655" s="6" t="s">
        <v>1926</v>
      </c>
      <c r="C655" s="3" t="str">
        <f ca="1">IFERROR(__xludf.DUMMYFUNCTION("GOOGLETRANSLATE(B655,""auto"",""en"")"),"1. The name of the product of the design of the product: The display screen panel with a map model graphical user interface (extended training map F).
 2. Design products in appearance: used to display interface.
 3. Design of the design of the produc"&amp;"t in this exterior: lies in the interface content of the graphic user interface in the display screen panel.
 4. Pictures or photos that can most indicate design points: main view.
 5. No design points, omit other views.
 6. The purpose of the graph"&amp;"ical user interface: teaching and competition map for virtual simulation software for Robosim.
 7. The area of ​​the graphical user interface in the product: the main view of the main view.
 8. Change state description of graphical user interface: The"&amp;" main view is the main observation interface. It can be dragged and rotated by the human -machine interaction mode to change the observation angle.
 9. Interface change state diagram diagram 1. Interface changes status diagram. 2. Interface change statu"&amp;"s diagram. 3. Interface change status Figure 4 is a point of the four corners of the main view of the main view and drag the observation interface displayed after different angles; According to the interface change state diagram Figure 1. The interface ch"&amp;"ange state diagram diagram 2, interface change state diagram diagram 3, interface change state Figure 4 and drag to the top of the model can be returned to the main view.
 The display screen panel is used for mobile phones, television, computers, and iP"&amp;"ad.")</f>
        <v>1. The name of the product of the design of the product: The display screen panel with a map model graphical user interface (extended training map F).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the graphical user interface: teaching and competition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Figure 1. The interface change state diagram diagram 2, interface change state diagram diagram 3, interface change state Figure 4 and drag to the top of the model can be returned to the main view.
 The display screen panel is used for mobile phones, television, computers, and iPad.</v>
      </c>
      <c r="D655" s="6" t="s">
        <v>1927</v>
      </c>
      <c r="E655" s="4" t="str">
        <f ca="1">IFERROR(__xludf.DUMMYFUNCTION("GOOGLETRANSLATE(D655,""auto"",""en"")"),"Display screen panel with map model graphics user interface (extended training map F)")</f>
        <v>Display screen panel with map model graphics user interface (extended training map F)</v>
      </c>
    </row>
    <row r="656" spans="1:5" ht="15" x14ac:dyDescent="0.25">
      <c r="A656" s="5" t="s">
        <v>1928</v>
      </c>
      <c r="B656" s="6" t="s">
        <v>1929</v>
      </c>
      <c r="C656" s="3" t="str">
        <f ca="1">IFERROR(__xludf.DUMMYFUNCTION("GOOGLETRANSLATE(B656,""auto"",""en"")"),"1. Design product name: Voice search graphic user interface for display screen panels.
 2. Design products in appearance: used for interaction and display.
 3. Design of the design of the product in appearance: lies in the interface content of the gra"&amp;"phic user interface.
 4. Pictures or photos that can best show design points: Figure 1 of the interface change state.
 5. There is no design point for other views, omitting other views.
 6. The purpose of graphical user interface: for voice search i"&amp;"nformation.
 7. Human -computer interaction method of graphics user interface: The main view is the main interface of the garbage classification recycling voice search knowledge base, displaying information such as the search box garbage classification;"&amp;" It is shown to wake up the voice search function. The voice search button under the interface changes color. For example, it changes from green to red, to indicate that users can start voice input; when the user performs voice input, the interface change"&amp;"s are changed. The interface changes are shown in Figure 2, and the ups and dynamic simulation sound of sound fluctuations is performed above the voice search button to indicate the state of the voice input. After the input is completed Dynamic animation "&amp;"indicates that the voice is recognizing; after the voice recognition, enter the identification text and perform the search operation in the search box, and jump to the interface change state. Figure 4 The voice search results interface.
 8. The displaye"&amp;"d carrier equipment for display is the existing design. The display screen panel can be applied to computers, laptops, tablet computers, mobile phones, smartphones, smart glasses, watches, smart watches, fitness monitors, head wearing, head wearing Form h"&amp;"eadphones, personal digital assistants, smart speakers, television, monitor, projector, set -top box, navigator, display device for vehicles.")</f>
        <v>1. Design product name: Voice search graphic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graphical user interface: for voice search information.
 7. Human -computer interaction method of graphics user interface: The main view is the main interface of the garbage classification recycling voice search knowledge base, displaying information such as the search box garbage classification; It is shown to wake up the voice search function. The voice search button under the interface changes color. For example, it changes from green to red, to indicate that users can start voice input; when the user performs voice input, the interface changes are changed. The interface changes are shown in Figure 2, and the ups and dynamic simulation sound of sound fluctuations is performed above the voice search button to indicate the state of the voice input. After the input is completed Dynamic animation indicates that the voice is recognizing; after the voice recognition, enter the identification text and perform the search operation in the search box, and jump to the interface change state. Figure 4 The voice search results interface.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56" s="6" t="s">
        <v>1930</v>
      </c>
      <c r="E656" s="4" t="str">
        <f ca="1">IFERROR(__xludf.DUMMYFUNCTION("GOOGLETRANSLATE(D656,""auto"",""en"")"),"Voice search graphic user interface for display screen panels")</f>
        <v>Voice search graphic user interface for display screen panels</v>
      </c>
    </row>
    <row r="657" spans="1:5" ht="15" x14ac:dyDescent="0.25">
      <c r="A657" s="5" t="s">
        <v>1931</v>
      </c>
      <c r="B657" s="6" t="s">
        <v>1932</v>
      </c>
      <c r="C657" s="3" t="str">
        <f ca="1">IFERROR(__xludf.DUMMYFUNCTION("GOOGLETRANSLATE(B657,""auto"",""en"")"),"The present invention disclosed a method and system for living detection. The method can first conduct whether the real people and faces are in the detection area when the user performs identity verification. , By designing neural network structure to ext"&amp;"ract different layers of characteristics, build a characteristic pyramid structure to integrate different scale characteristic charts, and use the final feature layer for static testing; when the user passes through static testing The dynamic movement of "&amp;"the face and collecting the user's facial feature point coordinates in real time, using the dynamic trajectory determined by the human face feature point coordinates, and verifying whether it is the user's real living operation based on the dynamic trajec"&amp;"tory. The invention can not only effectively identify fraud and countermeasures, improve the accuracy of identification and detection, but also combine the use of dynamic detection and static detection, which can also save a lot of detection costs and imp"&amp;"rove the efficiency of identification and detection.")</f>
        <v>The present invention disclosed a method and system for living detection. The method can first conduct whether the real people and faces are in the detection area when the user performs identity verification. , By designing neural network structure to extract different layers of characteristics, build a characteristic pyramid structure to integrate different scale characteristic charts, and use the final feature layer for static testing; when the user passes through static testing The dynamic movement of the face and collecting the user's facial feature point coordinates in real time, using the dynamic trajectory determined by the human face feature point coordinates, and verifying whether it is the user's real living operation based on the dynamic trajectory. The invention can not only effectively identify fraud and countermeasures, improve the accuracy of identification and detection, but also combine the use of dynamic detection and static detection, which can also save a lot of detection costs and improve the efficiency of identification and detection.</v>
      </c>
      <c r="D657" s="6" t="s">
        <v>1933</v>
      </c>
      <c r="E657" s="4" t="str">
        <f ca="1">IFERROR(__xludf.DUMMYFUNCTION("GOOGLETRANSLATE(D657,""auto"",""en"")"),"A way of implementation method and system of living detection")</f>
        <v>A way of implementation method and system of living detection</v>
      </c>
    </row>
    <row r="658" spans="1:5" ht="15" x14ac:dyDescent="0.25">
      <c r="A658" s="5" t="s">
        <v>1934</v>
      </c>
      <c r="B658" s="6" t="s">
        <v>1935</v>
      </c>
      <c r="C658" s="3" t="str">
        <f ca="1">IFERROR(__xludf.DUMMYFUNCTION("GOOGLETRANSLATE(B658,""auto"",""en"")"),"A short video automatic video -based method, system and storage medium based on artificial intelligence -based short video provided by the present invention. The automatic video automatic video -based short video based on artificial intelligence includes:"&amp;" upload the current corresponding training videos and training themes in its martial arts venue to the video processing platform; preliminary analysis and in -depth analysis of the uploaded training videos; The corresponding training images are selected a"&amp;"nd analyzed; the students of each trainees are built in the corresponding inserted materials in each training link; generated short videos of trainees and displayed in the martial arts venue coaches for correction and confirmation; There is a certain limi"&amp;"tations of the generating method, highlighting the value of the training display short video display content, effectively tap the potential features in displaying short videos, improved the generating effect of short videos, and provided the mobilization "&amp;"of the martial arts venue training plan. A reliable direction.")</f>
        <v>A short video automatic video -based method, system and storage medium based on artificial intelligence -based short video provided by the present invention. The automatic video automatic video -based short video based on artificial intelligence includes: upload the current corresponding training videos and training themes in its martial arts venue to the video processing platform; preliminary analysis and in -depth analysis of the uploaded training videos; The corresponding training images are selected and analyzed; the students of each trainees are built in the corresponding inserted materials in each training link; generated short videos of trainees and displayed in the martial arts venue coaches for correction and confirmation; There is a certain limitations of the generating method, highlighting the value of the training display short video display content, effectively tap the potential features in displaying short videos, improved the generating effect of short videos, and provided the mobilization of the martial arts venue training plan. A reliable direction.</v>
      </c>
      <c r="D658" s="6" t="s">
        <v>1936</v>
      </c>
      <c r="E658" s="4" t="str">
        <f ca="1">IFERROR(__xludf.DUMMYFUNCTION("GOOGLETRANSLATE(D658,""auto"",""en"")"),"A short video automatic video generating method, system and storage medium based on artificial intelligence")</f>
        <v>A short video automatic video generating method, system and storage medium based on artificial intelligence</v>
      </c>
    </row>
    <row r="659" spans="1:5" ht="15" x14ac:dyDescent="0.25">
      <c r="A659" s="5" t="s">
        <v>1937</v>
      </c>
      <c r="B659" s="6" t="s">
        <v>1938</v>
      </c>
      <c r="C659" s="3" t="str">
        <f ca="1">IFERROR(__xludf.DUMMYFUNCTION("GOOGLETRANSLATE(B659,""auto"",""en"")"),"The systems and methods for preferred fitness status are disclosed. The system includes at least one sensor of the user's biological parameters and the use of machine learning and at least one biological parameter to generate the fitness state classificat"&amp;"ion module of the current user fitness status. The method for providing users' preferably fitness status includes at least detecting the user's biological parameters, determining the current user's fitness status through the fitness status classification "&amp;"module, and determining the user specific recommendation through the fitness status classification module.")</f>
        <v>The systems and methods for preferred fitness status are disclosed. The system includes at least one sensor of the user's biological parameters and the use of machine learning and at least one biological parameter to generate the fitness state classification module of the current user fitness status. The method for providing users' preferably fitness status includes at least detecting the user's biological parameters, determining the current user's fitness status through the fitness status classification module, and determining the user specific recommendation through the fitness status classification module.</v>
      </c>
      <c r="D659" s="6" t="s">
        <v>1939</v>
      </c>
      <c r="E659" s="4" t="str">
        <f ca="1">IFERROR(__xludf.DUMMYFUNCTION("GOOGLETRANSLATE(D659,""auto"",""en"")"),"Methods and systems used to provide users with preferred fitness status")</f>
        <v>Methods and systems used to provide users with preferred fitness status</v>
      </c>
    </row>
    <row r="660" spans="1:5" ht="15" x14ac:dyDescent="0.25">
      <c r="A660" s="5" t="s">
        <v>1940</v>
      </c>
      <c r="B660" s="6" t="s">
        <v>1941</v>
      </c>
      <c r="C660" s="3" t="str">
        <f ca="1">IFERROR(__xludf.DUMMYFUNCTION("GOOGLETRANSLATE(B660,""auto"",""en"")"),"This publicly provides structured information extraction methods, devices, equipment, storage media, and program products, involving the field of artificial intelligence, especially in the field of computer vision and deep learning. Specific implementatio"&amp;"n plans include: draw the target sports event video frame from the sports event video; conduct target testing of the video frame of the target sports event to obtain the designated target information in sports events; analyze the video frame of the target"&amp;" sports event, at least the sports events get the sports event. The characteristic information of a process, sports events include one or more processes; aggregate the characteristic information of the specified target information and at least one process"&amp;" to obtain the structured information of sports events. This public can efficiently extract key information in the video of sports events, form structured data, and provide high -quality materials for sports events, helping to complete the fast content cr"&amp;"eation of sports events.")</f>
        <v>This publicly provides structured information extraction methods, devices, equipment, storage media, and program products, involving the field of artificial intelligence, especially in the field of computer vision and deep learning. Specific implementation plans include: draw the target sports event video frame from the sports event video; conduct target testing of the video frame of the target sports event to obtain the designated target information in sports events; analyze the video frame of the target sports event, at least the sports events get the sports event. The characteristic information of a process, sports events include one or more processes; aggregate the characteristic information of the specified target information and at least one process to obtain the structured information of sports events. This public can efficiently extract key information in the video of sports events, form structured data, and provide high -quality materials for sports events, helping to complete the fast content creation of sports events.</v>
      </c>
      <c r="D660" s="6" t="s">
        <v>1942</v>
      </c>
      <c r="E660" s="4" t="str">
        <f ca="1">IFERROR(__xludf.DUMMYFUNCTION("GOOGLETRANSLATE(D660,""auto"",""en"")"),"Structural information extraction method, device, equipment and storage media")</f>
        <v>Structural information extraction method, device, equipment and storage media</v>
      </c>
    </row>
    <row r="661" spans="1:5" ht="15" x14ac:dyDescent="0.25">
      <c r="A661" s="5" t="s">
        <v>1943</v>
      </c>
      <c r="B661" s="6" t="s">
        <v>1944</v>
      </c>
      <c r="C661" s="3" t="str">
        <f ca="1">IFERROR(__xludf.DUMMYFUNCTION("GOOGLETRANSLATE(B661,""auto"",""en"")"),"This utility model has disclosed a security encrypted Bluetooth module based on the Internet of Things, including PCBA boards, programmable modules, Bluetooth data modules, and Bluetooth voice modules. The Bluetooth data module is fixed on the side of the"&amp;" PCBA board. This utility model is installed with hot -conductive copper slices and heat dissipation wings, which makes the device specific operations. On the one hand, it covers the bonding with heat -conducting copper sheet through the programming modul"&amp;"e, Bluetooth data module and Bluetooth voice module. The device has the heat -conducting heat dissipation effect of the electronic module, and it has armal silicon grease coating on the outer wall of the thermal conductivity to ensure the combined heat co"&amp;"nduction effect while avoiding its oxidation. On the other hand Fixed with heat dissipation wings, which improves the heat -conducting heat dissipation effect of the PCBA board, and then uses the dual heat conductivity to optimize the heat dissipation eff"&amp;"ect of the device for the electronic module and reduce the heat loss.")</f>
        <v>This utility model has disclosed a security encrypted Bluetooth module based on the Internet of Things, including PCBA boards, programmable modules, Bluetooth data modules, and Bluetooth voice modules. The Bluetooth data module is fixed on the side of the PCBA board. This utility model is installed with hot -conductive copper slices and heat dissipation wings, which makes the device specific operations. On the one hand, it covers the bonding with heat -conducting copper sheet through the programming module, Bluetooth data module and Bluetooth voice module. The device has the heat -conducting heat dissipation effect of the electronic module, and it has armal silicon grease coating on the outer wall of the thermal conductivity to ensure the combined heat conduction effect while avoiding its oxidation. On the other hand Fixed with heat dissipation wings, which improves the heat -conducting heat dissipation effect of the PCBA board, and then uses the dual heat conductivity to optimize the heat dissipation effect of the device for the electronic module and reduce the heat loss.</v>
      </c>
      <c r="D661" s="6" t="s">
        <v>1945</v>
      </c>
      <c r="E661" s="4" t="str">
        <f ca="1">IFERROR(__xludf.DUMMYFUNCTION("GOOGLETRANSLATE(D661,""auto"",""en"")"),"A security encryption Bluetooth module based on the Internet of Things")</f>
        <v>A security encryption Bluetooth module based on the Internet of Things</v>
      </c>
    </row>
    <row r="662" spans="1:5" ht="15" x14ac:dyDescent="0.25">
      <c r="A662" s="5" t="s">
        <v>1946</v>
      </c>
      <c r="B662" s="6" t="s">
        <v>1947</v>
      </c>
      <c r="C662" s="3" t="str">
        <f ca="1">IFERROR(__xludf.DUMMYFUNCTION("GOOGLETRANSLATE(B662,""auto"",""en"")"),"1. The name of the product of the design of the product: The logistics transportation managing graphic user interface for the display screen panel is used.
 2. Design products in appearance: used for interaction and display.
 3. Design of the design o"&amp;"f the product in appearance: lies in the interface content of the graphic user interface.
 4. Pictures or photos that can most indicate design points: main view.
 5. The design that requests protection contains color.
 6. There is no design point fo"&amp;"r other views, omitting other views.
 7. The purpose of the graphical user interface: for the management of the information of the logistics leaflet.
 8. Human -computer interaction method of graphics user interface: The main view is the main interfac"&amp;"e of the information module of the transportation center information module of the logistics operation management platform; Interface change state Figure 1 The transportation information review interface displayed; drag the interface or sliding interface "&amp;"change state Figure 1 The sliding bar on the right side, as shown in the interface change state The ""Yunlong Management"" module, jump to the interface change state. Figure 3 shows the ""Yunlong Status"" transport order information list interface; click "&amp;"the interface change state. 3 View the ""button, jump to the interface change state displayed information interface displayed; click the"" Security Monitoring ""module in the menu list in the left menu list in the main view, and jump to the interface chan"&amp;"ge state. The transportation information list interface; click the interface change state Figure 5 The ""run trajectory"" button with orange and other colors on the right side of the information list in the list of information lists, jump to the running t"&amp;"rajectory interface displayed by the interface change state. 6.
 9. The displayed carrier equipment for display is the existing design. The display screen panel can be applied to computers, laptops, tablet computers, mobile phones, smartphones, smart gl"&amp;"asses, watches, smart watches, fitness monitor, head wearing, head wearing Format headphones, personal digital assistants, smart speakers, televisions, monitors, projectors, set -top boxes, navigators.")</f>
        <v>1. The name of the product of the design of the product: The logistics transportation managing graphic user interface for the display screen panel is used.
 2. Design products in appearance: used for interaction and display.
 3. Design of the design of the product in appearance: lies in the interface content of the graphic user interface.
 4. Pictures or photos that can most indicate design points: main view.
 5. The design that requests protection contains color.
 6. There is no design point for other views, omitting other views.
 7. The purpose of the graphical user interface: for the management of the information of the logistics leaflet.
 8. Human -computer interaction method of graphics user interface: The main view is the main interface of the information module of the transportation center information module of the logistics operation management platform; Interface change state Figure 1 The transportation information review interface displayed; drag the interface or sliding interface change state Figure 1 The sliding bar on the right side, as shown in the interface change state The "Yunlong Management" module, jump to the interface change state. Figure 3 shows the "Yunlong Status" transport order information list interface; click the interface change state. 3 View the "button, jump to the interface change state displayed information interface displayed; click the" Security Monitoring "module in the menu list in the left menu list in the main view, and jump to the interface change state. The transportation information list interface; click the interface change state Figure 5 The "run trajectory" button with orange and other colors on the right side of the information list in the list of information lists, jump to the running trajectory interface displayed by the interface change state. 6.
 9. The displayed carrier equipment for display is the existing design. The display screen panel can be applied to computers, laptops, tablet computers, mobile phones, smartphones, smart glasses, watches, smart watches, fitness monitor, head wearing, head wearing Format headphones, personal digital assistants, smart speakers, televisions, monitors, projectors, set -top boxes, navigators.</v>
      </c>
      <c r="D662" s="6" t="s">
        <v>1948</v>
      </c>
      <c r="E662" s="4" t="str">
        <f ca="1">IFERROR(__xludf.DUMMYFUNCTION("GOOGLETRANSLATE(D662,""auto"",""en"")"),"Logistics transportation managing graphic user interface for display screen panels")</f>
        <v>Logistics transportation managing graphic user interface for display screen panels</v>
      </c>
    </row>
    <row r="663" spans="1:5" ht="15" x14ac:dyDescent="0.25">
      <c r="A663" s="5" t="s">
        <v>1949</v>
      </c>
      <c r="B663" s="6" t="s">
        <v>1950</v>
      </c>
      <c r="C663" s="3" t="str">
        <f ca="1">IFERROR(__xludf.DUMMYFUNCTION("GOOGLETRANSLATE(B663,""auto"",""en"")"),"1. The name of the product of the design of the product: The display screen panel with the guide to control the graphical user interface (the game 01‑UI‑001).
 2. Design products in appearance: used to run program, touch interaction or display informati"&amp;"on.
 3. Design of the design of the product in this exterior: lies in the graphical user interface displayed in the display screen panel.
 4. Pictures or photos that can most indicate design points: main view.
 5. No design points, omittime views, p"&amp;"ult, view view, left view, right view.
 6. The purpose of the graphical user interface: The graphical user interface is used to display the operating interface of the software, such as the operating interface of the client that controls and operates on "&amp;"the tablet.
 7. The area of ​​the graphic user interface in the product: the state of the interface change status Figure 1, 2, 3, 4, 5, 6, 7, 8, 9, 14, 15, 24 in the white box Content, interface change state Figure 22 and 23 The corresponding QR code is"&amp;" placed in the white box.
 8. Human -computer interaction method of graphical user interface: The graphic user interface displayed in the display screen panel in the main view is used to represent different specific operating icons. Users can use the op"&amp;"erating interface of the software APP system of this guide platform to click ""Lering Selection"" Options, quickly switch between USB lenses, MIPI lenses, and HDMI lenses that have been connected and successfully recognized. This operation will jump to th"&amp;"e interface changes. The background layer, or open the painting mode in the painting, use the sub -camera as the background layer of the virtual camera, this operation will jump to the interface change state Figure 2; the user can set multiple pictures to"&amp;" set multiple pictures to set multiple pictures as to add multiple pictures to The background layer of the virtual camera, or open the painting mode in the painting, and use the sub -camera as the background layer of the virtual camera. This operation wil"&amp;"l jump to the interface changes. The background layer of the virtual camera, or start the painting mode in the painting, use the sub -camera as the background layer of the virtual camera, this operation will jump to the interface change state Figure 4; th"&amp;"e user can add the local import file to put the picture, video, video, video Set to the foreground, support the adjustment of the size and position, this operation will jump to the interface change state Figure 5; the user can set multiple pictures to the"&amp;" foreground by adding a local imported file to support the adjustment of the size and position. This operation will jump in this operation. This operation will jump. Transfer to the interface change state Figure 6; is the way the user enters the text thro"&amp;"ugh the keyboard, sets the text to the foreground, and supports the adjustment position, size, color, font format. This operation will jump to the interface change state. The local imported files and other methods introduce the required documents into the"&amp;" file manager, and click the document to browse the screen and other operations. This operation will jump to the interface changes. Transfer to the interface change state Figure 9; users can input modules in the software system, select ""Built -in/3.5 mic"&amp;"rophone"", and use the device as a source of audio input. This operation will jump to the interface change state Figure 10; user click "" ""Lifting"" options, you can edit the lizard through the keyboard input or U disk guidance method. This operation wil"&amp;"l jump to the interface change status. The TXT format text file that the user has imported.
 Click on any of the list in the list to enter the detailed preview interface of the lift.
 Use the interface to view the detailed content of the letter text t"&amp;"ext through this interface. You can set the text automatic scrolling, window location, size, and transparency, text attributes, etc. This operation will jump to the interface change status. It will display the preview interface displayed by the user that "&amp;"the user has edited or the imported text format text files that have been imported through the keyboard input method. This operation will jump to the interface change state. Switch scene.
 The relevant settings information of all backgrounds, prospects "&amp;"(patch), text, and camera modules in this software system recorded in the current selected scenario.
 Each scene is independent, this operation will jump to the interface change state Figure 14; the user can switch back and forth in the created scene by"&amp;" clicking the ""Scenario"" option. Click the ""Live APP"" option to directly switch the operating interface of the live APP ‑ selection through the shortcut, this operation will jump to the interface change state Figure 16; the user can click the ""Settin"&amp;"gs"" option to select the shortcut key, window mode, language and language, and Enter the operation interface about the interface, this operation will jump to the interface change state Figure 17; the user can click the ""Set the ‑ shortcut key"" option a"&amp;"nd set the keyboard button to the software function binding in the ""shortcut key"" function module in this software. This operation will jump to the interface change state Figure 18; the user can click ""Set the Window Mode"" to set the display mode of t"&amp;"his software.
 In full screen mode, the main interface window is almost full of the entire screen.
 In the floating window mode, all the main functions only retain the entrance in the main interface, and the detailed module is separated into multiple "&amp;"second -level pages. This operation will jump to the interface change state diagram 19; the user can click the ""sound input"" option to use the ""sound input"" option to use the ""sound input"" option, you can use the ""sound input"" option to use the """&amp;"sound input"" option, you can use the ""sound input"" option, you can use the ""sound input"" option, you can use the ""sound input"" option, you can use the ""sound input"" option, you can use the ""sound input"" opion The input sound (including USB audi"&amp;"o equipment, 3.5 mm microphone, music files, video files), camera screen, virtual background, foreground synthetic audio and video video. When the user ended the recording, the software automatically saves the recording video files in the device storage s"&amp;"torage Among them, this operation will jump to the interface change state Figure 20; the user uses the ""Recording Video"" option to remind the user that this function is used to record video files. Remote control ""option, install the"" Drawing Remote Co"&amp;"ntrol ""APP software on the Android mobile phone, this operation will jump to the interface change state in Figure 22; after the user clicks the"" mobile phone remote control ""option to connect to the live broadcast machine, on Android, and on Android, o"&amp;"n Android The &amp; nbsp; ""Plum Blossom Skin remote control"" APP software connects the device of the guide platform on the same local area network. The remote control connection is conducted by scanning the mobile phone remote control of the mobile phone of"&amp;" this guide platform app.
 This software system can accept the operation control of the remote control app.
 And you can receive the material files, documents, inscription books uploaded by the mobile phone remote control app, this operation will jump"&amp;" to the interface change state Figure 23; after the user connects the device of the ""Plum Blossom Telk"" APP software, receive the mobile phone remote control APP upload The material documents, documents, inscription books, this operation will jump to th"&amp;"e interface change state Figure 24.")</f>
        <v>1. The name of the product of the design of the product: The display screen panel with the guide to control the graphical user interface (the game 01‑UI‑001).
 2. Design products in appearance: used to run program, touch interaction or display information.
 3. Design of the design of the product in this exterior: lies in the graphical user interface displayed in the display screen panel.
 4. Pictures or photos that can most indicate design points: main view.
 5. No design points, omittime views, pult, view view, left view, right view.
 6. The purpose of the graphical user interface: The graphical user interface is used to display the operating interface of the software, such as the operating interface of the client that controls and operates on the tablet.
 7. The area of ​​the graphic user interface in the product: the state of the interface change status Figure 1, 2, 3, 4, 5, 6, 7, 8, 9, 14, 15, 24 in the white box Content, interface change state Figure 22 and 23 The corresponding QR code is placed in the white box.
 8. Human -computer interaction method of graphical user interface: The graphic user interface displayed in the display screen panel in the main view is used to represent different specific operating icons. Users can use the operating interface of the software APP system of this guide platform to click "Lering Selection" Options, quickly switch between USB lenses, MIPI lenses, and HDMI lenses that have been connected and successfully recognized. This operation will jump to the interface changes. The background layer, or open the painting mode in the painting, use the sub -camera as the background layer of the virtual camera, this operation will jump to the interface change state Figure 2; the user can set multiple pictures to set multiple pictures to set multiple pictures as to add multiple pictures to The background layer of the virtual camera, or open the painting mode in the painting, and use the sub -camera as the background layer of the virtual camera. This operation will jump to the interface changes. The background layer of the virtual camera, or start the painting mode in the painting, use the sub -camera as the background layer of the virtual camera, this operation will jump to the interface change state Figure 4; the user can add the local import file to put the picture, video, video, video Set to the foreground, support the adjustment of the size and position, this operation will jump to the interface change state Figure 5; the user can set multiple pictures to the foreground by adding a local imported file to support the adjustment of the size and position. This operation will jump in this operation. This operation will jump. Transfer to the interface change state Figure 6; is the way the user enters the text through the keyboard, sets the text to the foreground, and supports the adjustment position, size, color, font format. This operation will jump to the interface change state. The local imported files and other methods introduce the required documents into the file manager, and click the document to browse the screen and other operations. This operation will jump to the interface changes. Transfer to the interface change state Figure 9; users can input modules in the software system, select "Built -in/3.5 microphone", and use the device as a source of audio input. This operation will jump to the interface change state Figure 10; user click " "Lifting" options, you can edit the lizard through the keyboard input or U disk guidance method. This operation will jump to the interface change status. The TXT format text file that the user has imported.
 Click on any of the list in the list to enter the detailed preview interface of the lift.
 Use the interface to view the detailed content of the letter text text through this interface. You can set the text automatic scrolling, window location, size, and transparency, text attributes, etc. This operation will jump to the interface change status. It will display the preview interface displayed by the user that the user has edited or the imported text format text files that have been imported through the keyboard input method. This operation will jump to the interface change state. Switch scene.
 The relevant settings information of all backgrounds, prospects (patch), text, and camera modules in this software system recorded in the current selected scenario.
 Each scene is independent, this operation will jump to the interface change state Figure 14; the user can switch back and forth in the created scene by clicking the "Scenario" option. Click the "Live APP" option to directly switch the operating interface of the live APP ‑ selection through the shortcut, this operation will jump to the interface change state Figure 16; the user can click the "Settings" option to select the shortcut key, window mode, language and language, and Enter the operation interface about the interface, this operation will jump to the interface change state Figure 17; the user can click the "Set the ‑ shortcut key" option and set the keyboard button to the software function binding in the "shortcut key" function module in this software. This operation will jump to the interface change state Figure 18; the user can click "Set the Window Mode" to set the display mode of this software.
 In full screen mode, the main interface window is almost full of the entire screen.
 In the floating window mode, all the main functions only retain the entrance in the main interface, and the detailed module is separated into multiple second -level pages. This operation will jump to the interface change state diagram 19; the user can click the "sound input" option to use the "sound input" option to use the "sound input" option, you can use the "sound input" option to use the "sound input" option, you can use the "sound input" option, you can use the "sound input" option, you can use the "sound input" option, you can use the "sound input" option, you can use the "sound input" opion The input sound (including USB audio equipment, 3.5 mm microphone, music files, video files), camera screen, virtual background, foreground synthetic audio and video video. When the user ended the recording, the software automatically saves the recording video files in the device storage storage Among them, this operation will jump to the interface change state Figure 20; the user uses the "Recording Video" option to remind the user that this function is used to record video files. Remote control "option, install the" Drawing Remote Control "APP software on the Android mobile phone, this operation will jump to the interface change state in Figure 22; after the user clicks the" mobile phone remote control "option to connect to the live broadcast machine, on Android, and on Android, on Android The &amp; nbsp; "Plum Blossom Skin remote control" APP software connects the device of the guide platform on the same local area network. The remote control connection is conducted by scanning the mobile phone remote control of the mobile phone of this guide platform app.
 This software system can accept the operation control of the remote control app.
 And you can receive the material files, documents, inscription books uploaded by the mobile phone remote control app, this operation will jump to the interface change state Figure 23; after the user connects the device of the "Plum Blossom Telk" APP software, receive the mobile phone remote control APP upload The material documents, documents, inscription books, this operation will jump to the interface change state Figure 24.</v>
      </c>
      <c r="D663" s="6" t="s">
        <v>1951</v>
      </c>
      <c r="E663" s="4" t="str">
        <f ca="1">IFERROR(__xludf.DUMMYFUNCTION("GOOGLETRANSLATE(D663,""auto"",""en"")"),"Display screen panel with a guide to control the graphical user interface (drawing 01-UI-001)")</f>
        <v>Display screen panel with a guide to control the graphical user interface (drawing 01-UI-001)</v>
      </c>
    </row>
    <row r="664" spans="1:5" ht="15" x14ac:dyDescent="0.25">
      <c r="A664" s="5" t="s">
        <v>1952</v>
      </c>
      <c r="B664" s="6" t="s">
        <v>1953</v>
      </c>
      <c r="C664" s="3" t="str">
        <f ca="1">IFERROR(__xludf.DUMMYFUNCTION("GOOGLETRANSLATE(B664,""auto"",""en"")"),"Automatic penalty devices include the camera to capture the video of players and goal areas; image sorting units are used to convert the captured videos into a set of frames; a pre -processing unit is used to remove noise from the frame, and the RGB is RG"&amp;"B The format frame is converted to the HSV format frame to improve the accuracy of the frame; the background removal unit separates the foreground object when removing the background, so as to implement DPHE and highlight the quality of the extract; , For"&amp;" tracking the movement objects on the video frame; feature extraction unit for extracting a set of features; an RBF-FDLNN classifier for detecting players from the mobile object; Avoid players shoot in the goal pillar.")</f>
        <v>Automatic penalty devices include the camera to capture the video of players and goal areas; image sorting units are used to convert the captured videos into a set of frames; a pre -processing unit is used to remove noise from the frame, and the RGB is RGB The format frame is converted to the HSV format frame to improve the accuracy of the frame; the background removal unit separates the foreground object when removing the background, so as to implement DPHE and highlight the quality of the extract; , For tracking the movement objects on the video frame; feature extraction unit for extracting a set of features; an RBF-FDLNN classifier for detecting players from the mobile object; Avoid players shoot in the goal pillar.</v>
      </c>
      <c r="D664" s="6" t="s">
        <v>1954</v>
      </c>
      <c r="E664" s="4" t="str">
        <f ca="1">IFERROR(__xludf.DUMMYFUNCTION("GOOGLETRANSLATE(D664,""auto"",""en"")"),"An automatic punishment device and method based on artificial intelligence and machine learning")</f>
        <v>An automatic punishment device and method based on artificial intelligence and machine learning</v>
      </c>
    </row>
    <row r="665" spans="1:5" ht="15" x14ac:dyDescent="0.25">
      <c r="A665" s="5" t="s">
        <v>1955</v>
      </c>
      <c r="B665" s="6" t="s">
        <v>1956</v>
      </c>
      <c r="C665" s="3" t="str">
        <f ca="1">IFERROR(__xludf.DUMMYFUNCTION("GOOGLETRANSLATE(B665,""auto"",""en"")"),"1. Design product name: The functional layout settings of the display screen panel set.
 2. Design products in appearance: used for running procedures, information display, and human -computer interaction.
 3. Design of the design of the product in th"&amp;"is exterior: lies in the interface content of the graphic user interface in the screen.
 4. Pictures or photos that can best show design: Design 1 main view.
 5. Specify design 1 is the basic design.
 6. The purpose of the graphical user interface: "&amp;"This graphic user interface is used for functional layout settings. Users long press and drag can adjust the layout.
 Design 1 main view and design 2 main views are the function layout interface.
 Design 3 main views are the functional layout interfac"&amp;"e. The user clicks and drags the icon of any application of any application in the lower part of the lower part of the interface. You can add the application to the first screen function area of ​​the upper screen of the interface. , Design 3 interface ch"&amp;"ange state Figure 2 and design 3 interface change state shown in Figure 3.
 The change process of design 4 refers to design 3.
 7. Other instructions: This display screen panel is applied to vehicles, computers, laptops, tablets, mobile phones, smart "&amp;"watches, smart bracelets, fitness monitor, headset headphones, personal digital assistants (PDA), smart speakers, TVs, TVs , Skytop box, projector, game console or navigator.")</f>
        <v>1. Design product name: The functional layout settings of the display screen panel set.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for functional layout settings. Users long press and drag can adjust the layout.
 Design 1 main view and design 2 main views are the function layout interface.
 Design 3 main views are the functional layout interface. The user clicks and drags the icon of any application of any application in the lower part of the lower part of the interface. You can add the application to the first screen function area of ​​the upper screen of the interface. , Design 3 interface change state Figure 2 and design 3 interface change state shown in Figure 3.
 The change process of design 4 refers to design 3.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65" s="6" t="s">
        <v>1957</v>
      </c>
      <c r="E665" s="4" t="str">
        <f ca="1">IFERROR(__xludf.DUMMYFUNCTION("GOOGLETRANSLATE(D665,""auto"",""en"")"),"The functional layout settings of the display screen panel settings")</f>
        <v>The functional layout settings of the display screen panel settings</v>
      </c>
    </row>
    <row r="666" spans="1:5" ht="15" x14ac:dyDescent="0.25">
      <c r="A666" s="5" t="s">
        <v>1958</v>
      </c>
      <c r="B666" s="6" t="s">
        <v>1959</v>
      </c>
      <c r="C666" s="3" t="str">
        <f ca="1">IFERROR(__xludf.DUMMYFUNCTION("GOOGLETRANSLATE(B666,""auto"",""en"")"),"1. The name of the product of the design of the product: The graphic user interface of the more mode of the display screen panel.
 2. Design products in appearance: used for running procedures, information display, and human -computer interaction.
 3."&amp;" Design of the design of the product in this exterior: lies in the interface content of the graphic user interface in the screen.
 4. Pictures or photos that can best show design: Design 1 main view.
 5. Specify design 1 is the basic design.
 6. The"&amp;" purpose of graphical user interface: This graphic user interface is used for more modes.
 Design 1 main view and design 2 main view is more mode interface.
 Design 3 main view is more mode interface. The user clicks the download icon of the download "&amp;"icon in the interface. You can download the application. Design 3 interface change state Figure 1 is the interface in the application. 2 to download the complete interface for the application.
 The change process of design 4 refers to design 3.
 7. Ot"&amp;"her instructions: This display screen panel is applied to vehicles, computers, laptops, tablets, mobile phones, smart watches, smart bracelets, fitness monitor, headset headphones, personal digital assistants (PDA), smart speakers, TVs, TVs , Skytop box, "&amp;"projector, game console or navigator.")</f>
        <v>1. The name of the product of the design of the product: The graphic user interface of the more mode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more modes.
 Design 1 main view and design 2 main view is more mode interface.
 Design 3 main view is more mode interface. The user clicks the download icon of the download icon in the interface. You can download the application. Design 3 interface change state Figure 1 is the interface in the application. 2 to download the complete interface for the application.
 The change process of design 4 refers to design 3.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666" s="6" t="s">
        <v>1960</v>
      </c>
      <c r="E666" s="4" t="str">
        <f ca="1">IFERROR(__xludf.DUMMYFUNCTION("GOOGLETRANSLATE(D666,""auto"",""en"")"),"More patterns of display screen panels of graphics user interface")</f>
        <v>More patterns of display screen panels of graphics user interface</v>
      </c>
    </row>
    <row r="667" spans="1:5" ht="15" x14ac:dyDescent="0.25">
      <c r="A667" s="5" t="s">
        <v>1961</v>
      </c>
      <c r="B667" s="6" t="s">
        <v>1962</v>
      </c>
      <c r="C667" s="3" t="str">
        <f ca="1">IFERROR(__xludf.DUMMYFUNCTION("GOOGLETRANSLATE(B667,""auto"",""en"")"),"1. Design product name: Fund product graphic user interface for display screen panels.
 2. Design products in appearance: used for interaction and display.
 3. Design of the design of the product in appearance: lies in the interface content of the gra"&amp;"phic user interface.
 4. Pictures or photos that can most indicate design points: main view.
 5. There is no design point for other views, omitting other views.
 6. The purpose of graphical user interface: used to display fund product information.
 "&amp;"
 7. Human -computer interaction method of graphical user interface: The main view is the main interface of the fund product information display, which contains robots and data charts. The fund product recommendation algorithm of the change state of the c"&amp;"hange state is ended; the data chart in the interface change state Figure 1 is loaded, which is displayed as the fund product information displayed by the interface change state. 2.
 8. The displayed carrier equipment for display is the existing design."&amp;" The display screen panel can be applied to computers, laptops, tablet computers, mobile phones, smartphones, smart glasses, watches, smart watches, fitness monitors, head wearing, head wearing Form headphones, personal digital assistants, smart speakers,"&amp;" television, monitor, projector, set -top box, navigator, display device for vehicles.")</f>
        <v>1. Design product name: Fund product graphic user interface for display screen panels.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used to display fund product information.
 7. Human -computer interaction method of graphical user interface: The main view is the main interface of the fund product information display, which contains robots and data charts. The fund product recommendation algorithm of the change state of the change state is ended; the data chart in the interface change state Figure 1 is loaded, which is displayed as the fund product information displayed by the interface change state. 2.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67" s="6" t="s">
        <v>1963</v>
      </c>
      <c r="E667" s="4" t="str">
        <f ca="1">IFERROR(__xludf.DUMMYFUNCTION("GOOGLETRANSLATE(D667,""auto"",""en"")"),"Fund product graphics user interface for display screen panel")</f>
        <v>Fund product graphics user interface for display screen panel</v>
      </c>
    </row>
    <row r="668" spans="1:5" ht="15" x14ac:dyDescent="0.25">
      <c r="A668" s="5" t="s">
        <v>1964</v>
      </c>
      <c r="B668" s="6" t="s">
        <v>1965</v>
      </c>
      <c r="C668" s="3" t="str">
        <f ca="1">IFERROR(__xludf.DUMMYFUNCTION("GOOGLETRANSLATE(B668,""auto"",""en"")"),"One method includes real -time videos of users who use the IoT (IoT) device to capture the exercise associated with the first exercise course. The real -time video of the user shows the same time and the coach's video to provide the visual comparison of u"&amp;"sers and coaches. User real -time video analysis is analyzed to determine the user's performance and show its performance. IoT devices receive biological characteristics related to users from wearable devices at multiple points. By biological characterist"&amp;"ic data recognition heart rate and display heart rate -based scores through display. The recommendation of the second exercise course different from the first exercise course is based on the simplified user of the user and is displayed by a display.")</f>
        <v>One method includes real -time videos of users who use the IoT (IoT) device to capture the exercise associated with the first exercise course. The real -time video of the user shows the same time and the coach's video to provide the visual comparison of users and coaches. User real -time video analysis is analyzed to determine the user's performance and show its performance. IoT devices receive biological characteristics related to users from wearable devices at multiple points. By biological characteristic data recognition heart rate and display heart rate -based scores through display. The recommendation of the second exercise course different from the first exercise course is based on the simplified user of the user and is displayed by a display.</v>
      </c>
      <c r="D668" s="6" t="s">
        <v>1443</v>
      </c>
      <c r="E668" s="4" t="str">
        <f ca="1">IFERROR(__xludf.DUMMYFUNCTION("GOOGLETRANSLATE(D668,""auto"",""en"")"),"Pug -type video display device and how to use interactive training and demonstrations")</f>
        <v>Pug -type video display device and how to use interactive training and demonstrations</v>
      </c>
    </row>
    <row r="669" spans="1:5" ht="15" x14ac:dyDescent="0.25">
      <c r="A669" s="5" t="s">
        <v>1966</v>
      </c>
      <c r="B669" s="6" t="s">
        <v>1965</v>
      </c>
      <c r="C669" s="3" t="str">
        <f ca="1">IFERROR(__xludf.DUMMYFUNCTION("GOOGLETRANSLATE(B669,""auto"",""en"")"),"One method includes real -time videos of users who use the IoT (IoT) device to capture the exercise associated with the first exercise course. The real -time video of the user shows the same time and the coach's video to provide the visual comparison of u"&amp;"sers and coaches. User real -time video analysis is analyzed to determine the user's performance and show its performance. IoT devices receive biological characteristics related to users from wearable devices at multiple points. By biological characterist"&amp;"ic data recognition heart rate and display heart rate -based scores through display. The recommendation of the second exercise course different from the first exercise course is based on the simplified user of the user and is displayed by a display.")</f>
        <v>One method includes real -time videos of users who use the IoT (IoT) device to capture the exercise associated with the first exercise course. The real -time video of the user shows the same time and the coach's video to provide the visual comparison of users and coaches. User real -time video analysis is analyzed to determine the user's performance and show its performance. IoT devices receive biological characteristics related to users from wearable devices at multiple points. By biological characteristic data recognition heart rate and display heart rate -based scores through display. The recommendation of the second exercise course different from the first exercise course is based on the simplified user of the user and is displayed by a display.</v>
      </c>
      <c r="D669" s="6" t="s">
        <v>1443</v>
      </c>
      <c r="E669" s="4" t="str">
        <f ca="1">IFERROR(__xludf.DUMMYFUNCTION("GOOGLETRANSLATE(D669,""auto"",""en"")"),"Pug -type video display device and how to use interactive training and demonstrations")</f>
        <v>Pug -type video display device and how to use interactive training and demonstrations</v>
      </c>
    </row>
    <row r="670" spans="1:5" ht="15" x14ac:dyDescent="0.25">
      <c r="A670" s="5" t="s">
        <v>1967</v>
      </c>
      <c r="B670" s="6" t="s">
        <v>1968</v>
      </c>
      <c r="C670" s="3" t="str">
        <f ca="1">IFERROR(__xludf.DUMMYFUNCTION("GOOGLETRANSLATE(B670,""auto"",""en"")"),"1. Design product name: Fitness programming user interface of the display screen panel.
 2. The purpose of designing products in this exterior: The design of the product is used for running programs, and the design of the product is used for tablet comp"&amp;"uters and mobile phones.
 3. Design of design products in this appearance: lies in the interface content in the graphic user interface.
 4. Pictures or photos that can most indicate design points: main view.
 5. There is no design point for other vi"&amp;"ews, and other views are omitted.
 6. The purpose of the graphical user interface: for linking with fitness equipment links for strength, fitness training, sports, and entertainment.
 7. Human -computer interaction method of graphics user interface: T"&amp;"he main view of the main view is planned to be the main interface of fitness, and the ""start"" icon below the lower right corner of the main view is the voice recognition control, which can be executed by the voice function; click on the main view of ""F"&amp;"ollow me Practice ""Enter the interface change state 1; click the"" fitness game ""in the main view to enter the interface change state Figure 2; click"" Quickly Burn ""in the main view to enter the interface change state. 3; click"" Super Group ""in the "&amp;"main view Enter the interface change state Figure 4; interface changes status diagram 3, interface change status Figure 4 is commonly used in other modes; click ""Select Plan"" in the main view of the interface changes in the interface status 5; click the"&amp;" ""Modification Plan"" in the main view Status Figure 6; click the ""Settings"" icon in the lower left corner of the main view to enter the interface change status. 7, the default version update, you can download and update the software version; click the"&amp;" ""weight calibration"" in the interface change status 7 to enter the interface change state. 8 ; Click the ""version switching"" in the interface change status 7 into the interface change state Figure 9; click ""Start"" in the lower right corner of the m"&amp;"ain view to enter the interface change state figure 10, the interface change state graph 10 is the loading page of the system, the loading is completed, and the loading is completed. After that, automatically enter the change state Figure 11; click the in"&amp;"terface change state Figure 11 The ""Select Coach"" on the left side of the left side to enter the interface change state. Interface change state Figure 11 Enter the interface change state of the interface. Status Figure 16; click ""Start"" in Status 11 i"&amp;"n the interface changes to exercise entering the interface change state diagram &amp; nbsp; 17; interface change state diagram &amp; nbsp; 17 Today's work, time, time, time, training rod position, breathing instructions in the upper right corner, breathing adjust"&amp;"ment according to the direction of breathing instructions; interface changes status Figure 18 is a set of training ending ""rest screens""; click interface change state Figure 11 ""Ending Training"" Enter the interface change state figure 19; click ""Star"&amp;"t"" in the interface change state to enter the interface change state 20, default free training mode; click the ""group number"" below the interface change state into the interface changes state change state Figure 21; click the ""number of times"" in the"&amp;" interface changes in Figure 20 Entering the interface change state Figure 22; click ""rest"" in the interface change state into the interface change state. The muscle groups automatically recommend the corresponding parts of the training plan under the h"&amp;"uman model; click ""Quick De fat"" in the interface changes in the status of the interface to enter the interface change state. Interface changes status Figure 25; click ""Start"" into the interface change state in the ""start"" in the interface change st"&amp;"ate; click the ""group number"" in the interface change state into the interface change status. 27; The ""number of times"" enter the interface change state Figure 28; the ""rest"" in the ""rest"" in the interface change state changes in the interface sta"&amp;"te.")</f>
        <v>1. Design product name: Fitness programming user interface of the display screen panel.
 2. The purpose of designing products in this exterior: The design of the product is used for running programs, and the design of the product is used for tablet computers and mobile phones.
 3. Design of design products in this appearance: lies in the interface content in the graphic user interface.
 4. Pictures or photos that can most indicate design points: main view.
 5. There is no design point for other views, and other views are omitted.
 6. The purpose of the graphical user interface: for linking with fitness equipment links for strength, fitness training, sports, and entertainment.
 7. Human -computer interaction method of graphics user interface: The main view of the main view is planned to be the main interface of fitness, and the "start" icon below the lower right corner of the main view is the voice recognition control, which can be executed by the voice function; click on the main view of "Follow me Practice "Enter the interface change state 1; click the" fitness game "in the main view to enter the interface change state Figure 2; click" Quickly Burn "in the main view to enter the interface change state. 3; click" Super Group "in the main view Enter the interface change state Figure 4; interface changes status diagram 3, interface change status Figure 4 is commonly used in other modes; click "Select Plan" in the main view of the interface changes in the interface status 5; click the "Modification Plan" in the main view Status Figure 6; click the "Settings" icon in the lower left corner of the main view to enter the interface change status. 7, the default version update, you can download and update the software version; click the "weight calibration" in the interface change status 7 to enter the interface change state. 8 ; Click the "version switching" in the interface change status 7 into the interface change state Figure 9; click "Start" in the lower right corner of the main view to enter the interface change state figure 10, the interface change state graph 10 is the loading page of the system, the loading is completed, and the loading is completed. After that, automatically enter the change state Figure 11; click the interface change state Figure 11 The "Select Coach" on the left side of the left side to enter the interface change state. Interface change state Figure 11 Enter the interface change state of the interface. Status Figure 16; click "Start" in Status 11 in the interface changes to exercise entering the interface change state diagram &amp; nbsp; 17; interface change state diagram &amp; nbsp; 17 Today's work, time, time, time, training rod position, breathing instructions in the upper right corner, breathing adjustment according to the direction of breathing instructions; interface changes status Figure 18 is a set of training ending "rest screens"; click interface change state Figure 11 "Ending Training" Enter the interface change state figure 19; click "Start" in the interface change state to enter the interface change state 20, default free training mode; click the "group number" below the interface change state into the interface changes state change state Figure 21; click the "number of times" in the interface changes in Figure 20 Entering the interface change state Figure 22; click "rest" in the interface change state into the interface change state. The muscle groups automatically recommend the corresponding parts of the training plan under the human model; click "Quick De fat" in the interface changes in the status of the interface to enter the interface change state. Interface changes status Figure 25; click "Start" into the interface change state in the "start" in the interface change state; click the "group number" in the interface change state into the interface change status. 27; The "number of times" enter the interface change state Figure 28; the "rest" in the "rest" in the interface change state changes in the interface state.</v>
      </c>
      <c r="D670" s="6" t="s">
        <v>1969</v>
      </c>
      <c r="E670" s="4" t="str">
        <f ca="1">IFERROR(__xludf.DUMMYFUNCTION("GOOGLETRANSLATE(D670,""auto"",""en"")"),"The fitness program graphics user interface of the display screen panel")</f>
        <v>The fitness program graphics user interface of the display screen panel</v>
      </c>
    </row>
    <row r="671" spans="1:5" ht="15" x14ac:dyDescent="0.25">
      <c r="A671" s="5" t="s">
        <v>1970</v>
      </c>
      <c r="B671" s="6" t="s">
        <v>1971</v>
      </c>
      <c r="C671" s="3" t="str">
        <f ca="1">IFERROR(__xludf.DUMMYFUNCTION("GOOGLETRANSLATE(B671,""auto"",""en"")"),"1. The name of the product design product: The logistics driver for the display screen panel manages the graphic user interface.
 2. Design products in appearance: used for interaction and display.
 3. Design of the design of the product in appearance"&amp;": lies in the interface content of the graphic user interface.
 4. Pictures or photos that can most indicate design points: main view.
 5. There is no design point for other views, omitting other views.
 6. The purpose of graphical user interface: f"&amp;"or the management of logistics driver information.
 7. Human -computer interaction method of graphics user interface: The main view is the main interface of the information module of the driver center of the smart logistics platform management side. The"&amp;" driver's vehicle review interface of the information list; click on the right side of the vehicle information list on the right side of the main view of the ""View"" button on the right side of the vehicle information list, jump to the interface change s"&amp;"tate. Information such as information and other vehicle information; mouse dragging interface or sliding interface change state Figure 1 The sliding tool on the right side, as shown in the interface change state Figure 2 The vehicle information audit inte"&amp;"rface is continuously displayed; The sliding tool, as shown in the interface changes, the vehicle information audit interface displayed by the interface 3, the interface fills in the reasons for rejection, click the ""Reverse"" button below to refuse the "&amp;"audit information, click the ""Audit Pass"" button, and the vehicle reviews the review of the vehicle review. Information passes; click the ""Driver Management"" module in the list of main screen menu lists, jump to the interface change status. Figure 4 c"&amp;"ontains ""name"", ""mobile phone number"", ""vehicle information"", ""receiving single volume"", ""transaction transaction"", ""transaction transaction"", ""transaction transaction"" Driver information list interfaces such as quantity ""and"" driver statu"&amp;"s "", the driver's status shows the state of"" busy ""and"" idle ""; click the interface change state. 4 Jump to the interface change state Figure 5 shows the driver's information interface that contains identity information such as ""real name"" and ""mo"&amp;"bile phone number""; the mouse drags the interface or the sliding interface changes state The information interface contains drivers such as ""vehicle information"" displayed in Figure 6; the mouse dragging interface or the changing state of the sliding i"&amp;"nterface Figure 6 The sliding tool on the right side of the interface, the information interface of the driver such as driving licenses displayed by the interface change; The sliding tool on the right side of the dynamic interface or the sliding interface"&amp;". 7, as the interface changes are displayed, which contains the information interface of drivers such as ""driving license address"", and click the ""OK"" button to save the driver information.
 8. The displayed carrier equipment for display is the exis"&amp;"ting design. The display screen panel can be applied to computers, laptops, tablet computers, mobile phones, smartphones, smart glasses, watches, smart watches, fitness monitors, head wearing, head wearing Form headphones, personal digital assistants, sma"&amp;"rt speakers, television, monitor, projector, set -top box, navigator, display device for vehicles.")</f>
        <v>1. The name of the product design product: The logistics driver for the display screen panel manages the graphic user interface.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graphical user interface: for the management of logistics driver information.
 7. Human -computer interaction method of graphics user interface: The main view is the main interface of the information module of the driver center of the smart logistics platform management side. The driver's vehicle review interface of the information list; click on the right side of the vehicle information list on the right side of the main view of the "View" button on the right side of the vehicle information list, jump to the interface change state. Information such as information and other vehicle information; mouse dragging interface or sliding interface change state Figure 1 The sliding tool on the right side, as shown in the interface change state Figure 2 The vehicle information audit interface is continuously displayed; The sliding tool, as shown in the interface changes, the vehicle information audit interface displayed by the interface 3, the interface fills in the reasons for rejection, click the "Reverse" button below to refuse the audit information, click the "Audit Pass" button, and the vehicle reviews the review of the vehicle review. Information passes; click the "Driver Management" module in the list of main screen menu lists, jump to the interface change status. Figure 4 contains "name", "mobile phone number", "vehicle information", "receiving single volume", "transaction transaction", "transaction transaction", "transaction transaction" Driver information list interfaces such as quantity "and" driver status ", the driver's status shows the state of" busy "and" idle "; click the interface change state. 4 Jump to the interface change state Figure 5 shows the driver's information interface that contains identity information such as "real name" and "mobile phone number"; the mouse drags the interface or the sliding interface changes state The information interface contains drivers such as "vehicle information" displayed in Figure 6; the mouse dragging interface or the changing state of the sliding interface Figure 6 The sliding tool on the right side of the interface, the information interface of the driver such as driving licenses displayed by the interface change; The sliding tool on the right side of the dynamic interface or the sliding interface. 7, as the interface changes are displayed, which contains the information interface of drivers such as "driving license address", and click the "OK" button to save the driver information.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71" s="6" t="s">
        <v>1972</v>
      </c>
      <c r="E671" s="4" t="str">
        <f ca="1">IFERROR(__xludf.DUMMYFUNCTION("GOOGLETRANSLATE(D671,""auto"",""en"")"),"Logistics driver management graphic user interface for display screen panels")</f>
        <v>Logistics driver management graphic user interface for display screen panels</v>
      </c>
    </row>
    <row r="672" spans="1:5" ht="15" x14ac:dyDescent="0.25">
      <c r="A672" s="5" t="s">
        <v>1973</v>
      </c>
      <c r="B672" s="6" t="s">
        <v>1974</v>
      </c>
      <c r="C672" s="3" t="str">
        <f ca="1">IFERROR(__xludf.DUMMYFUNCTION("GOOGLETRANSLATE(B672,""auto"",""en"")"),"The invention involves the field of image recognition technology, which specifically involves a real -time monitoring method and artificial intelligence identification system. This method includes: obtain images and human key points category labeling imag"&amp;"es; divide the human parts of the human body; obtain the average area of ​​the human body parts corresponding to the human body category of each human body, and obtain the Gauss distribution size of each key point based , Gaussian distribution standard de"&amp;"viation; mark the category of key points of the human body into a one -dimensional distribution vector of the coordinate one dimension, and obtain the label value distribution vector at the same time; traine the neural network according to the one -dimens"&amp;"ional distribution vector of the image and coordinates, the label value distribution vector; Human posture information is recognized by the physical fitness movement. This method is based on the area area of ​​the human body in the image to obtain human p"&amp;"osture marking of different distribution size and standard differences, reducing the ambiguity of artificial marking. At the same time, the use of one -dimensional vector to realize human posture image recognition, save computing resources, and high detec"&amp;"tion accuracy.")</f>
        <v>The invention involves the field of image recognition technology, which specifically involves a real -time monitoring method and artificial intelligence identification system. This method includes: obtain images and human key points category labeling images; divide the human parts of the human body; obtain the average area of ​​the human body parts corresponding to the human body category of each human body, and obtain the Gauss distribution size of each key point based , Gaussian distribution standard deviation; mark the category of key points of the human body into a one -dimensional distribution vector of the coordinate one dimension, and obtain the label value distribution vector at the same time; traine the neural network according to the one -dimensional distribution vector of the image and coordinates, the label value distribution vector; Human posture information is recognized by the physical fitness movement. This method is based on the area area of ​​the human body in the image to obtain human posture marking of different distribution size and standard differences, reducing the ambiguity of artificial marking. At the same time, the use of one -dimensional vector to realize human posture image recognition, save computing resources, and high detection accuracy.</v>
      </c>
      <c r="D672" s="6" t="s">
        <v>1975</v>
      </c>
      <c r="E672" s="4" t="str">
        <f ca="1">IFERROR(__xludf.DUMMYFUNCTION("GOOGLETRANSLATE(D672,""auto"",""en"")"),"A real -time monitoring method and artificial intelligence identification system for fitness action")</f>
        <v>A real -time monitoring method and artificial intelligence identification system for fitness action</v>
      </c>
    </row>
    <row r="673" spans="1:5" ht="15" x14ac:dyDescent="0.25">
      <c r="A673" s="5" t="s">
        <v>1976</v>
      </c>
      <c r="B673" s="6" t="s">
        <v>1977</v>
      </c>
      <c r="C673" s="3" t="str">
        <f ca="1">IFERROR(__xludf.DUMMYFUNCTION("GOOGLETRANSLATE(B673,""auto"",""en"")"),"This application provides a power supply load prediction method based on convolutional neural networks. The power supply load prediction method based on convolutional neural networks includes the following steps: S1. Get the historical load data of the po"&amp;"wer system in a certain region, and prepare the abnormal data in the historical load data; S2. Analyze and quantify the standards of the corrected load data. The specific operation is: use the normalization formula to normalize the load data to [0, 1], so"&amp;" that the load data is at the same level, thereby accelerating the nerve nerves The convergence speed of the network. According to three types of data such as power, temperature, and holidays, this method has built an convolutional neural network power fo"&amp;"recast algorithm, which improves the correlation information such as massive data processing efficiency and comprehensive consideration of temperature in the process of power forecasting. And other issues.")</f>
        <v>This application provides a power supply load prediction method based on convolutional neural networks. The power supply load prediction method based on convolutional neural networks includes the following steps: S1. Get the historical load data of the power system in a certain region, and prepare the abnormal data in the historical load data; S2. Analyze and quantify the standards of the corrected load data. The specific operation is: use the normalization formula to normalize the load data to [0, 1], so that the load data is at the same level, thereby accelerating the nerve nerves The convergence speed of the network. According to three types of data such as power, temperature, and holidays, this method has built an convolutional neural network power forecast algorithm, which improves the correlation information such as massive data processing efficiency and comprehensive consideration of temperature in the process of power forecasting. And other issues.</v>
      </c>
      <c r="D673" s="6" t="s">
        <v>1978</v>
      </c>
      <c r="E673" s="4" t="str">
        <f ca="1">IFERROR(__xludf.DUMMYFUNCTION("GOOGLETRANSLATE(D673,""auto"",""en"")"),"Power supply load prediction method based on convolutional neural networks")</f>
        <v>Power supply load prediction method based on convolutional neural networks</v>
      </c>
    </row>
    <row r="674" spans="1:5" ht="15" x14ac:dyDescent="0.25">
      <c r="A674" s="5" t="s">
        <v>1979</v>
      </c>
      <c r="B674" s="6" t="s">
        <v>1980</v>
      </c>
      <c r="C674" s="3" t="str">
        <f ca="1">IFERROR(__xludf.DUMMYFUNCTION("GOOGLETRANSLATE(B674,""auto"",""en"")"),"1. Design product name: Fitness programming user interface for tablet computers. 2. The purpose of designing products in this exterior: The design of the product is used for running procedures. 3. Design of the design of the product in this exterior: lies"&amp;" in the interface content in the graphic user interface, the tablet is designed for the existing. 4. Pictures or photos that can most indicate design points: main view. 5. There is no design point for other views, and other views are omitted. 6. The purpo"&amp;"se of the graphical user interface: used to linked with fitness equipment for aerobic exercise and fitness. 7. Human -computer interaction method of graphics user interface: The main view is the main interface of the fitness of the relaxed cycling. Click "&amp;"the ""Passion Rider"" in the main view to enter the interface change state. The ""right"" arrow is switched by scenes, and you can press the ""square"" up and down movement of the ""grid"" in the right side of the main view to select the number of cycles;"&amp;" click ""Quickly Burn"" in the main view to enter the interface change state. 2 ; Click the ""popular combination"" in the main view to enter the interface change state diagram 3; click ""My Combination"" in the main view to enter the interface change sta"&amp;"te diagram 4; click the interface changes to the ""setting"" icon in the lower left corner of the interface to enter the interface change change Status Figure 5, you can download and update the software version; click the ""Equipment Settings"" in the int"&amp;"erface change Status 5 Enter the interface change state. 6 can choose to select the equipment; click ""PLAY"" in the lower right corner of the main view to enter the interface changes State Figure 7 Exercise, a set of exercise 360 ​​seconds will automatic"&amp;"ally enter the suspension of rest interface changes in the state. The ""PLAY"" in the lower corner enters the interface changes.")</f>
        <v>1. Design product name: Fitness programming user interface for tablet computers. 2. The purpose of designing products in this exterior: The design of the product is used for running procedures. 3. Design of the design of the product in this exterior: lies in the interface content in the graphic user interface, the tablet is designed for the existing. 4. Pictures or photos that can most indicate design points: main view. 5. There is no design point for other views, and other views are omitted. 6. The purpose of the graphical user interface: used to linked with fitness equipment for aerobic exercise and fitness. 7. Human -computer interaction method of graphics user interface: The main view is the main interface of the fitness of the relaxed cycling. Click the "Passion Rider" in the main view to enter the interface change state. The "right" arrow is switched by scenes, and you can press the "square" up and down movement of the "grid" in the right side of the main view to select the number of cycles; click "Quickly Burn" in the main view to enter the interface change state. 2 ; Click the "popular combination" in the main view to enter the interface change state diagram 3; click "My Combination" in the main view to enter the interface change state diagram 4; click the interface changes to the "setting" icon in the lower left corner of the interface to enter the interface change change Status Figure 5, you can download and update the software version; click the "Equipment Settings" in the interface change Status 5 Enter the interface change state. 6 can choose to select the equipment; click "PLAY" in the lower right corner of the main view to enter the interface changes State Figure 7 Exercise, a set of exercise 360 ​​seconds will automatically enter the suspension of rest interface changes in the state. The "PLAY" in the lower corner enters the interface changes.</v>
      </c>
      <c r="D674" s="6" t="s">
        <v>1981</v>
      </c>
      <c r="E674" s="4" t="str">
        <f ca="1">IFERROR(__xludf.DUMMYFUNCTION("GOOGLETRANSLATE(D674,""auto"",""en"")"),"Fitness program graphics user interface of tablet computer")</f>
        <v>Fitness program graphics user interface of tablet computer</v>
      </c>
    </row>
    <row r="675" spans="1:5" ht="15" x14ac:dyDescent="0.25">
      <c r="A675" s="5" t="s">
        <v>1982</v>
      </c>
      <c r="B675" s="6" t="s">
        <v>1983</v>
      </c>
      <c r="C675" s="3" t="str">
        <f ca="1">IFERROR(__xludf.DUMMYFUNCTION("GOOGLETRANSLATE(B675,""auto"",""en"")"),"A system (700) includes the matching of media comparison engine (MCE) (507) and a matching method for determining frames in media assets to realize the automation of downstream media workflows. For the target main frame in each boundary of the main media "&amp;"asset (MMA), MCE (507) uses the calculated signature, and in the best search space, and each source of each source media asset (SMA) in the best search space (SMA) Compare the frame; determine the matching of the best search space. The computer based on t"&amp;"he signature and similarity score of each source frame in the final search space determines the score of each matching information exchange rate (RIE); according to the RIE score of each game, it is determined by the RIE score of each game. Best game; com"&amp;"pare the source frame after the best matching source frame with the main frame after the main frame of the target.")</f>
        <v>A system (700) includes the matching of media comparison engine (MCE) (507) and a matching method for determining frames in media assets to realize the automation of downstream media workflows. For the target main frame in each boundary of the main media asset (MMA), MCE (507) uses the calculated signature, and in the best search space, and each source of each source media asset (SMA) in the best search space (SMA) Compare the frame; determine the matching of the best search space. The computer based on the signature and similarity score of each source frame in the final search space determines the score of each matching information exchange rate (RIE); according to the RIE score of each game, it is determined by the RIE score of each game. Best game; compare the source frame after the best matching source frame with the main frame after the main frame of the target.</v>
      </c>
      <c r="D675" s="6" t="s">
        <v>1984</v>
      </c>
      <c r="E675" s="4" t="str">
        <f ca="1">IFERROR(__xludf.DUMMYFUNCTION("GOOGLETRANSLATE(D675,""auto"",""en"")"),"For artificial intelligence -based media matching systems and methods for automated downstream media workflows")</f>
        <v>For artificial intelligence -based media matching systems and methods for automated downstream media workflows</v>
      </c>
    </row>
    <row r="676" spans="1:5" ht="15" x14ac:dyDescent="0.25">
      <c r="A676" s="5" t="s">
        <v>1985</v>
      </c>
      <c r="B676" s="6" t="s">
        <v>1986</v>
      </c>
      <c r="C676" s="3" t="str">
        <f ca="1">IFERROR(__xludf.DUMMYFUNCTION("GOOGLETRANSLATE(B676,""auto"",""en"")"),"The present invention involves a badminton racket automatic leased device based on the Internet of Things system, including leased agencies and multiple badminton rackets that include brackets, control boxes set on the upper ends of the bracket, and multi"&amp;"ple locks set on the control box. The device, the lock of the badminton racket is locked on the lock device; the lock device includes a hook, a lock rod, and a sliding component connected to the one end of the lock rod. closed loop. By identifying the dua"&amp;"l settings of chips and gravity sensors, the rackets that can be guaranteed to be consistent with the borrowed racket; through the lock -type design, it greatly saves the occupation space compared with the traditional leasing device; re -re -renewing the "&amp;"leasing rules It stipulates that the frequency of the racket is largely different from the frequency of the racket, resulting in a large difference in wear.")</f>
        <v>The present invention involves a badminton racket automatic leased device based on the Internet of Things system, including leased agencies and multiple badminton rackets that include brackets, control boxes set on the upper ends of the bracket, and multiple locks set on the control box. The device, the lock of the badminton racket is locked on the lock device; the lock device includes a hook, a lock rod, and a sliding component connected to the one end of the lock rod. closed loop. By identifying the dual settings of chips and gravity sensors, the rackets that can be guaranteed to be consistent with the borrowed racket; through the lock -type design, it greatly saves the occupation space compared with the traditional leasing device; re -re -renewing the leasing rules It stipulates that the frequency of the racket is largely different from the frequency of the racket, resulting in a large difference in wear.</v>
      </c>
      <c r="D676" s="6" t="s">
        <v>1987</v>
      </c>
      <c r="E676" s="4" t="str">
        <f ca="1">IFERROR(__xludf.DUMMYFUNCTION("GOOGLETRANSLATE(D676,""auto"",""en"")"),"An automatic leasing device based on a badminton racket based on the Internet of Things system")</f>
        <v>An automatic leasing device based on a badminton racket based on the Internet of Things system</v>
      </c>
    </row>
    <row r="677" spans="1:5" ht="15" x14ac:dyDescent="0.25">
      <c r="A677" s="5" t="s">
        <v>1988</v>
      </c>
      <c r="B677" s="6" t="s">
        <v>1989</v>
      </c>
      <c r="C677" s="3" t="str">
        <f ca="1">IFERROR(__xludf.DUMMYFUNCTION("GOOGLETRANSLATE(B677,""auto"",""en"")"),"1. The name of the product of the design of the product: The gray package for the display screen panel manages the graphic user interface.
 2. Design products in appearance: used for interaction and display.
 3. Design of the design of the product in "&amp;"appearance: lies in the interface content of the graphic user interface.
 4. Pictures or photos that can best show design points: Figure 1 of the interface change state.
 5. There is no design point for other views, omitting other views.
 6. The pur"&amp;"pose of the graphical user interface: for the management of grayscale information.
 7. Human -computer interaction method of graphics user interface: The main view is the gray version module. The selection type and whether the selection box for the rene"&amp;"wal is set at the top of the main view to search or add the new version list information. ""APPURL"", ""Version"", ""H5 address"", ""APP type"", ""Edition Batch"", ""Configuration Time"" and other versions; click the ""Release Version"" button in the menu"&amp;" bar on the left of the main view, jump Transfer to the interface change state Figure 1 The publishing version of the editing details information interface displayed. The interface faces the version information to edit it. After editing the version inform"&amp;"ation, click the ""Confirm"" button below. ""Button, the editing version information is canceled; select Android on the main view search area, click the"" Search ""button on the right, and jump to the Android version information list displayed by the inte"&amp;"rface change state. The content of the information list is performed, modified, transferred, or deleted; select iOS in the main view search area, click the ""Search"" button on the right, and jump to the iOS version information list displayed in the inter"&amp;"face change state. Execute, modify or delete the content of any information list content.
 8. The displayed carrier equipment for display is the existing design. The display screen panel can be applied to computers, laptops, tablet computers, mobile pho"&amp;"nes, smartphones, smart glasses, watches, smart watches, fitness monitors, head wearing, head wearing Form headphones, personal digital assistants, smart speakers, television, monitor, projector, set -top box, navigator, display device for vehicles.")</f>
        <v>1. The name of the product of the design of the product: The gray package for the display screen panel manages the graphic user interface.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for the management of grayscale information.
 7. Human -computer interaction method of graphics user interface: The main view is the gray version module. The selection type and whether the selection box for the renewal is set at the top of the main view to search or add the new version list information. "APPURL", "Version", "H5 address", "APP type", "Edition Batch", "Configuration Time" and other versions; click the "Release Version" button in the menu bar on the left of the main view, jump Transfer to the interface change state Figure 1 The publishing version of the editing details information interface displayed. The interface faces the version information to edit it. After editing the version information, click the "Confirm" button below. "Button, the editing version information is canceled; select Android on the main view search area, click the" Search "button on the right, and jump to the Android version information list displayed by the interface change state. The content of the information list is performed, modified, transferred, or deleted; select iOS in the main view search area, click the "Search" button on the right, and jump to the iOS version information list displayed in the interface change state. Execute, modify or delete the content of any information list content.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77" s="6" t="s">
        <v>1990</v>
      </c>
      <c r="E677" s="4" t="str">
        <f ca="1">IFERROR(__xludf.DUMMYFUNCTION("GOOGLETRANSLATE(D677,""auto"",""en"")"),"The gray package for display screen panel management graphical user interface")</f>
        <v>The gray package for display screen panel management graphical user interface</v>
      </c>
    </row>
    <row r="678" spans="1:5" ht="15" x14ac:dyDescent="0.25">
      <c r="A678" s="5" t="s">
        <v>1991</v>
      </c>
      <c r="B678" s="6" t="s">
        <v>1992</v>
      </c>
      <c r="C678" s="3" t="str">
        <f ca="1">IFERROR(__xludf.DUMMYFUNCTION("GOOGLETRANSLATE(B678,""auto"",""en"")"),"1. Design product name: The device manages graphic user interface for the display screen panel.
 2. Design products in appearance: used for interaction and display.
 3. Design of the design of the product in appearance: lies in the interface content o"&amp;"f the graphic user interface.
 4. Pictures or photos that can best show design points: Figure 2 of the interface change state.
 5. The design that requests protection contains color.
 6. There is no design point for other views, omitting other views"&amp;".
 7. The purpose of graphical user interface: for statistical management of equipment information.
 8. Human -computer interaction method of graphical user interface: The main view of the main information is the total amount of data modules of the eq"&amp;"uipment information, which shows that the number of mobile phone systems is Android, iOS and other users. Click the detailed data in the main view, jump to the interface to the interface The specific number of users corresponding to the corresponding mobi"&amp;"le phone type displayed by the change state and the corresponding user ratio of a single mobile phone type is displayed on the right; the right search area in the interface change status is The ""search"" button of the color of the blue and other colors, "&amp;"jump to the interface change state. 2 Display the number of information interface of the number of statistics users with the type of the mobile phone system; Select the mobile phone system as iOS, click the ""search"" button on the right blue and other co"&amp;"lors, and jump to the interface change state. 3 Display the number of information interfaces of the number of statistics users of the mobile phone system.
 9. The displayed carrier equipment for display is the existing design. The display screen panel c"&amp;"an be applied to computers, laptops, tablet computers, mobile phones, smartphones, smart glasses, watches, smart watches, fitness monitor, head wearing, head wearing Form headphones, personal digital assistants, smart speakers, television, monitor, projec"&amp;"tor, set -top box, navigator, display device for vehicles.")</f>
        <v>1. Design product name: The device manages graphic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2 of the interface change state.
 5. The design that requests protection contains color.
 6. There is no design point for other views, omitting other views.
 7. The purpose of graphical user interface: for statistical management of equipment information.
 8. Human -computer interaction method of graphical user interface: The main view of the main information is the total amount of data modules of the equipment information, which shows that the number of mobile phone systems is Android, iOS and other users. Click the detailed data in the main view, jump to the interface to the interface The specific number of users corresponding to the corresponding mobile phone type displayed by the change state and the corresponding user ratio of a single mobile phone type is displayed on the right; the right search area in the interface change status is The "search" button of the color of the blue and other colors, jump to the interface change state. 2 Display the number of information interface of the number of statistics users with the type of the mobile phone system; Select the mobile phone system as iOS, click the "search" button on the right blue and other colors, and jump to the interface change state. 3 Display the number of information interfaces of the number of statistics users of the mobile phone system.
 9. The displayed carrier equipment for display is the existing design. The display screen panel can be applied to computers, laptops, tablet computers, mobile phones, smartphones, smart glasses, watches, smart watches, fitness monitor, head wearing, head wearing Form headphones, personal digital assistants, smart speakers, television, monitor, projector, set -top box, navigator, display device for vehicles.</v>
      </c>
      <c r="D678" s="6" t="s">
        <v>1993</v>
      </c>
      <c r="E678" s="4" t="str">
        <f ca="1">IFERROR(__xludf.DUMMYFUNCTION("GOOGLETRANSLATE(D678,""auto"",""en"")"),"Equipment management graphics user interface for display screen panel")</f>
        <v>Equipment management graphics user interface for display screen panel</v>
      </c>
    </row>
    <row r="679" spans="1:5" ht="15" x14ac:dyDescent="0.25">
      <c r="A679" s="5" t="s">
        <v>1994</v>
      </c>
      <c r="B679" s="6" t="s">
        <v>1995</v>
      </c>
      <c r="C679" s="3" t="str">
        <f ca="1">IFERROR(__xludf.DUMMYFUNCTION("GOOGLETRANSLATE(B679,""auto"",""en"")"),"The present invention involves the field of artificial intelligence technology, and specifically involves the optimization method of fitness layout based on artificial intelligence. This method includes: obtaining the user's activity trajectory; obtaining"&amp;" the user's fitness intention according to the activity trajectory; the reference and use time of the fitness facilities; Get the interested area of ​​each trajectory point in each user's activity trajectory, and select the same type of fitness facilities"&amp;" of the same type of fitness facilities that the user finally selected in each interested area, and generate the corresponding description vector; through the description vector Get the heat optimization parameters of each fitness facility; use the heat o"&amp;"ptimization parameters and the corresponding first heat product as the actual heat of the fitness facilities; when the actual heat of the fitness facilities in the fitness place is uneven, the mobile fitness facilities will be balanced until the actual he"&amp;"at. Examples of the present invention can improve the utilization rate of fitness facilities in fitness places.")</f>
        <v>The present invention involves the field of artificial intelligence technology, and specifically involves the optimization method of fitness layout based on artificial intelligence. This method includes: obtaining the user's activity trajectory; obtaining the user's fitness intention according to the activity trajectory; the reference and use time of the fitness facilities; Get the interested area of ​​each trajectory point in each user's activity trajectory, and select the same type of fitness facilities of the same type of fitness facilities that the user finally selected in each interested area, and generate the corresponding description vector; through the description vector Get the heat optimization parameters of each fitness facility; use the heat optimization parameters and the corresponding first heat product as the actual heat of the fitness facilities; when the actual heat of the fitness facilities in the fitness place is uneven, the mobile fitness facilities will be balanced until the actual heat. Examples of the present invention can improve the utilization rate of fitness facilities in fitness places.</v>
      </c>
      <c r="D679" s="6" t="s">
        <v>1996</v>
      </c>
      <c r="E679" s="4" t="str">
        <f ca="1">IFERROR(__xludf.DUMMYFUNCTION("GOOGLETRANSLATE(D679,""auto"",""en"")"),"Optimization method of fitness place layout based on artificial intelligence")</f>
        <v>Optimization method of fitness place layout based on artificial intelligence</v>
      </c>
    </row>
    <row r="680" spans="1:5" ht="15" x14ac:dyDescent="0.25">
      <c r="A680" s="5" t="s">
        <v>1997</v>
      </c>
      <c r="B680" s="6" t="s">
        <v>1998</v>
      </c>
      <c r="C680" s="3" t="str">
        <f ca="1">IFERROR(__xludf.DUMMYFUNCTION("GOOGLETRANSLATE(B680,""auto"",""en"")"),"The present invention has disclosed the technical method of table tennis with visual video analysis technology, including the following steps: S101, dataset construction: S102, pre -processing: S103, construction model: S104, test: S105, video logic proce"&amp;"ssing, guide video results ; For the first time, the present invention uses deep learning technology to realize the intelligent guide for table tennis. This method optimizes the real -time nature of intelligent conductors. The detection speed is fast and "&amp;"optimized for table tennis. Table tennis competitions can greatly reduce manpower and increase the speed of guide, and this method can provide a reference paradigm for smart conductors in other competition fields.")</f>
        <v>The present invention has disclosed the technical method of table tennis with visual video analysis technology, including the following steps: S101, dataset construction: S102, pre -processing: S103, construction model: S104, test: S105, video logic processing, guide video results ; For the first time, the present invention uses deep learning technology to realize the intelligent guide for table tennis. This method optimizes the real -time nature of intelligent conductors. The detection speed is fast and optimized for table tennis. Table tennis competitions can greatly reduce manpower and increase the speed of guide, and this method can provide a reference paradigm for smart conductors in other competition fields.</v>
      </c>
      <c r="D680" s="6" t="s">
        <v>1999</v>
      </c>
      <c r="E680" s="4" t="str">
        <f ca="1">IFERROR(__xludf.DUMMYFUNCTION("GOOGLETRANSLATE(D680,""auto"",""en"")"),"Table tennis intelligent guide technology method based on visual video analysis technology")</f>
        <v>Table tennis intelligent guide technology method based on visual video analysis technology</v>
      </c>
    </row>
    <row r="681" spans="1:5" ht="15" x14ac:dyDescent="0.25">
      <c r="A681" s="5" t="s">
        <v>2000</v>
      </c>
      <c r="B681" s="6" t="s">
        <v>2001</v>
      </c>
      <c r="C681" s="3" t="str">
        <f ca="1">IFERROR(__xludf.DUMMYFUNCTION("GOOGLETRANSLATE(B681,""auto"",""en"")"),"1. Design product name: Play graphic user interface for music played on the screen panel.
 2. The purpose of designing products in this exterior: The design of the product in this exterior is used for running programs, displaying information and human -"&amp;"computer interaction.
 3. Design of design products in this appearance: lies in the interface content and layout of the graphic user interface.
 4. Pictures or photos that can best show design: Design 1 main view.
 5. The screen panel is commonly de"&amp;"signed, omittime view, viewing view, pult, left view and right view.
 6. Specify design 1 is the basic design.
 7. The purpose of the graphical user interface: This graphic user interface is used to display music playback related information.
 In th"&amp;"e design 1 main view, when the progress bar is played or dragged to the specified location, the cover picture of the song disappears, as shown in the design 1 interface change state, and then play the egg video, as shown in the design 1 interface change s"&amp;"tate figure 2 shown in Figure 2 shown With projection as the main creativity, use shadow to interpret the scene and content of the birthday atmosphere.
 The cover picture of the song can be configured with different shapes. In the design 2 main view, th"&amp;"e cover picture of the song is square, the design 2 interface change state Figure 1, 2, and the design 1 interface change state Figure 1 and 2 are the same.
 8. The display screen panel is used for mobile phones, laptops, tablets, computers, computers, "&amp;"vehicle central control screens, smart TVs, smart bracelets, smart glasses, smart watches, personal digital assistants (PERSONAL &amp; NBSP; Digital &amp; Nbsp; Assistant, PDA), fitness Monitor, projector.")</f>
        <v>1. Design product name: Play graphic user interface for music played on the screen panel.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best show design: Design 1 main view.
 5. The screen panel is commonly designed, omittime view, viewing view, pult, left view and right view.
 6. Specify design 1 is the basic design.
 7. The purpose of the graphical user interface: This graphic user interface is used to display music playback related information.
 In the design 1 main view, when the progress bar is played or dragged to the specified location, the cover picture of the song disappears, as shown in the design 1 interface change state, and then play the egg video, as shown in the design 1 interface change state figure 2 shown in Figure 2 shown With projection as the main creativity, use shadow to interpret the scene and content of the birthday atmosphere.
 The cover picture of the song can be configured with different shapes. In the design 2 main view, the cover picture of the song is square, the design 2 interface change state Figure 1, 2, and the design 1 interface change state Figure 1 and 2 are the same.
 8. The display screen panel is used for mobile phones, laptops, tablets, computers, computers, vehicle central control screens, smart TVs, smart bracelets, smart glasses, smart watches, personal digital assistants (PERSONAL &amp; NBSP; Digital &amp; Nbsp; Assistant, PDA), fitness Monitor, projector.</v>
      </c>
      <c r="D681" s="6" t="s">
        <v>1924</v>
      </c>
      <c r="E681" s="4" t="str">
        <f ca="1">IFERROR(__xludf.DUMMYFUNCTION("GOOGLETRANSLATE(D681,""auto"",""en"")"),"Play graphic user interface for the display screen panel")</f>
        <v>Play graphic user interface for the display screen panel</v>
      </c>
    </row>
    <row r="682" spans="1:5" ht="15" x14ac:dyDescent="0.25">
      <c r="A682" s="5" t="s">
        <v>2002</v>
      </c>
      <c r="B682" s="6" t="s">
        <v>2003</v>
      </c>
      <c r="C682" s="3" t="str">
        <f ca="1">IFERROR(__xludf.DUMMYFUNCTION("GOOGLETRANSLATE(B682,""auto"",""en"")"),"1. The name of the product in this exterior: The pharmacist review user interface for the display screen panel.
 2. Design products in appearance: used for interaction and display.
 3. Design of the design of the product in appearance: lies in the int"&amp;"erface content of the graphic user interface.
 4. Pictures or photos that can best show design points: Figure 1 of the interface change state.
 5. There is no design point for other views, omitting other views.
 6. The purpose of the graphical user "&amp;"interface: for the pharmacist trial.
 7. Human -computer interaction method of graphics user interface: The main view is the pharmacist reviewer of the smart medical cloud platform system that does not review the interface. Review interface; click the "&amp;"""details"" button to be reviewed in the main view, and jump to the interface change state. 2 Display the interface of the pharmacist reviewer's uncomfortable details; click the interface change state. 2. ""Buttons, jump to the signature interface after t"&amp;"he pharmacist trial shown in the interface change state.
 8. The displayed carrier equipment for display is the existing design. The display screen panel can be applied to computers, laptops, tablet computers, mobile phones, smartphones, smart glasses, "&amp;"watches, smart watches, fitness monitors, head wearing, head wearing Form headphones, personal digital assistants, smart speakers, television, monitor, projector, set -top box, navigator, display device for vehicles.")</f>
        <v>1. The name of the product in this exterior: The pharmacist review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for the pharmacist trial.
 7. Human -computer interaction method of graphics user interface: The main view is the pharmacist reviewer of the smart medical cloud platform system that does not review the interface. Review interface; click the "details" button to be reviewed in the main view, and jump to the interface change state. 2 Display the interface of the pharmacist reviewer's uncomfortable details; click the interface change state. 2. "Buttons, jump to the signature interface after the pharmacist trial shown in the interface change state.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2" s="6" t="s">
        <v>2004</v>
      </c>
      <c r="E682" s="4" t="str">
        <f ca="1">IFERROR(__xludf.DUMMYFUNCTION("GOOGLETRANSLATE(D682,""auto"",""en"")"),"Pharmacist review user interface for display screen panels")</f>
        <v>Pharmacist review user interface for display screen panels</v>
      </c>
    </row>
    <row r="683" spans="1:5" ht="15" x14ac:dyDescent="0.25">
      <c r="A683" s="5" t="s">
        <v>2005</v>
      </c>
      <c r="B683" s="6" t="s">
        <v>2006</v>
      </c>
      <c r="C683" s="3" t="str">
        <f ca="1">IFERROR(__xludf.DUMMYFUNCTION("GOOGLETRANSLATE(B683,""auto"",""en"")"),"1. The name of the product designed this product: The pharmacist manages the graphic user interface for the display screen panel.
 2. Design products in appearance: used for interaction and display.
 3. Design of the design of the product in appearanc"&amp;"e: lies in the interface content of the graphic user interface.
 4. Pictures or photos that can best show design points: Figure 1 of the interface change state.
 5. There is no design point for other views, omitting other views.
 6. The purpose of g"&amp;"raphical user interface: for the management of pharmacist information.
 7. Human -computer interaction method of graphics user interface: The main view is the main interface of the pharmacist management of the smart medical system, which is used to disp"&amp;"lay the interface of the pharmacist's information. , ""Mobile phone number"", ""trial permissions"" and other specific information, you can query the corresponding pharmacist information, slide the sliding toolbar under the main view, as shown in the inte"&amp;"rface change state. Or the ""new pharmacist"" button of the interface change state Figure 1, jump to the interface change state Figure 2 The new pharmacist interface displayed; the sliding interface changes status Figure 2 The sliding toolbar on the right"&amp;" side, as shown in the interface change state Figure 3 Show continuously displaying the information interface of the pharmacist in detail, click the ""Confirm"" button to add the pharmacist information; click the ""View"" button in the state of the main v"&amp;"iew or interface change status. Interface; click the ""Edit"" button in the main view or interface change state. Figure 6 Show continuously displaying a detailed editing pharmacist information interface; click the ""reset"" button in the main view or inte"&amp;"rface change state. The ""Confirmation"" button is to reset the pharmacist's login password to the initial password. Click the ""Cancel"" button in the prompt window, then the password is not reset; click the ""Delete"" button in the interface change stat"&amp;"e. Figure 8 Show that the pharmacist deletes the confirmation prompt window, click the ""Delete"" button in the prompt window, then delete the pharmacist information, click the ""Cancel"" button, and cancel the delete the pharmacist information.
 8. The"&amp;" displayed carrier equipment for display is the existing design. The display screen panel can be applied to computers, laptops, tablet computers, mobile phones, smartphones, smart glasses, watches, smart watches, fitness monitors, head wearing, head weari"&amp;"ng Form headphones, personal digital assistants, smart speakers, television, monitor, projector, set -top box, navigator, display device for vehicles.")</f>
        <v>1. The name of the product designed this product: The pharmacist manages the graphic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graphical user interface: for the management of pharmacist information.
 7. Human -computer interaction method of graphics user interface: The main view is the main interface of the pharmacist management of the smart medical system, which is used to display the interface of the pharmacist's information. , "Mobile phone number", "trial permissions" and other specific information, you can query the corresponding pharmacist information, slide the sliding toolbar under the main view, as shown in the interface change state. Or the "new pharmacist" button of the interface change state Figure 1, jump to the interface change state Figure 2 The new pharmacist interface displayed; the sliding interface changes status Figure 2 The sliding toolbar on the right side, as shown in the interface change state Figure 3 Show continuously displaying the information interface of the pharmacist in detail, click the "Confirm" button to add the pharmacist information; click the "View" button in the state of the main view or interface change status. Interface; click the "Edit" button in the main view or interface change state. Figure 6 Show continuously displaying a detailed editing pharmacist information interface; click the "reset" button in the main view or interface change state. The "Confirmation" button is to reset the pharmacist's login password to the initial password. Click the "Cancel" button in the prompt window, then the password is not reset; click the "Delete" button in the interface change state. Figure 8 Show that the pharmacist deletes the confirmation prompt window, click the "Delete" button in the prompt window, then delete the pharmacist information, click the "Cancel" button, and cancel the delete the pharmacist information.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3" s="6" t="s">
        <v>2007</v>
      </c>
      <c r="E683" s="4" t="str">
        <f ca="1">IFERROR(__xludf.DUMMYFUNCTION("GOOGLETRANSLATE(D683,""auto"",""en"")"),"Pharmacist management graphic user interface for display screen panels")</f>
        <v>Pharmacist management graphic user interface for display screen panels</v>
      </c>
    </row>
    <row r="684" spans="1:5" ht="15" x14ac:dyDescent="0.25">
      <c r="A684" s="5" t="s">
        <v>2008</v>
      </c>
      <c r="B684" s="6" t="s">
        <v>2009</v>
      </c>
      <c r="C684" s="3" t="str">
        <f ca="1">IFERROR(__xludf.DUMMYFUNCTION("GOOGLETRANSLATE(B684,""auto"",""en"")"),"1. The name of the product of the design of the product: The survey and management graphic user interface for the display screen panel.
 2. Design products in appearance: used for interaction and display.
 3. Design of the design of the product in app"&amp;"earance: lies in the interface content of the graphic user interface.
 4. Pictures or photos that can best show design points: Figure 1 of the interface change state.
 5. There is no design point for other views, omitting other views.
 6. The purpos"&amp;"e of the graphical user interface: It is used for investigation and management of the survey forms of each hospital.
 7. Human -computer interaction method of graphics user interface: The main view is the main interface of the survey and management of t"&amp;"he smart medical system, which is used to display the list of investigation in each hospital; For specific information such as ""name"", click the ""Query"" button to jump to the query results interface displayed by the interface change state; click the "&amp;"""New Survey"" button in the main view or interface change state, jump to the interface change state Figure 2 Display new survey interface; changing the sliding interface status Figure 2 The sliding toolbar on the right side, as shown in the interface cha"&amp;"nge state Figure 3, continuously display the survey information interface in detail; The toolbar, as shown in the interface changes, the survey information interface is continuously displayed in detail; the changing state of the sliding interface Figure 4"&amp;" The sliding toolbar on the right side, as shown in the interface changes, the continuous display of the new survey information shows in detail The interface, click the ""Release"" button below to add the survey; click the ""View"" button on the right sid"&amp;"e of the survey list displayed by the main view or interface change status. ; Sliding interface change state Figure 6 The sliding toolbar on the right side, as shown in the interface change state Figure 7 to the interface change state. 9 Shows continuousl"&amp;"y display the detailed survey information interface; Transfer to the interface change status Figure 10 Display all users' survey questionnaires; click the ""Edit"" button in the main view to jump to the interface of the editor survey information displayed"&amp;" by the interface change state; Sliding toolbar, as shown in the interface change state Figure 12 to the interface changes state Figure 13 Show continuously display the detailed editing survey information interface, click the ""save"" button below 13, sav"&amp;"e the editing survey information, click The ""Release"" button below the interface change state diagram to publish the edited survey information; click the ""delete"" button in the survey list of the main view or interface change status. Window, click the"&amp;" ""OK"" button to delete this survey information, click the ""Cancel"" button, and cancel the deletion of this survey information.
 8. The displayed carrier equipment for display is the existing design. The display screen panel can be applied to compute"&amp;"rs, laptops, tablet computers, mobile phones, smartphones, smart glasses, watches, smart watches, fitness monitors, head wearing, head wearing Form headphones, personal digital assistants, smart speakers, television, monitor, projector, set -top box, navi"&amp;"gator, display device for vehicles.")</f>
        <v>1. The name of the product of the design of the product: The survey and management graphic user interface for the display screen panel.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It is used for investigation and management of the survey forms of each hospital.
 7. Human -computer interaction method of graphics user interface: The main view is the main interface of the survey and management of the smart medical system, which is used to display the list of investigation in each hospital; For specific information such as "name", click the "Query" button to jump to the query results interface displayed by the interface change state; click the "New Survey" button in the main view or interface change state, jump to the interface change state Figure 2 Display new survey interface; changing the sliding interface status Figure 2 The sliding toolbar on the right side, as shown in the interface change state Figure 3, continuously display the survey information interface in detail; The toolbar, as shown in the interface changes, the survey information interface is continuously displayed in detail; the changing state of the sliding interface Figure 4 The sliding toolbar on the right side, as shown in the interface changes, the continuous display of the new survey information shows in detail The interface, click the "Release" button below to add the survey; click the "View" button on the right side of the survey list displayed by the main view or interface change status. ; Sliding interface change state Figure 6 The sliding toolbar on the right side, as shown in the interface change state Figure 7 to the interface change state. 9 Shows continuously display the detailed survey information interface; Transfer to the interface change status Figure 10 Display all users' survey questionnaires; click the "Edit" button in the main view to jump to the interface of the editor survey information displayed by the interface change state; Sliding toolbar, as shown in the interface change state Figure 12 to the interface changes state Figure 13 Show continuously display the detailed editing survey information interface, click the "save" button below 13, save the editing survey information, click The "Release" button below the interface change state diagram to publish the edited survey information; click the "delete" button in the survey list of the main view or interface change status. Window, click the "OK" button to delete this survey information, click the "Cancel" button, and cancel the deletion of this survey information.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4" s="6" t="s">
        <v>2010</v>
      </c>
      <c r="E684" s="4" t="str">
        <f ca="1">IFERROR(__xludf.DUMMYFUNCTION("GOOGLETRANSLATE(D684,""auto"",""en"")"),"Survey management graphic user interface for display screen panels")</f>
        <v>Survey management graphic user interface for display screen panels</v>
      </c>
    </row>
    <row r="685" spans="1:5" ht="15" x14ac:dyDescent="0.25">
      <c r="A685" s="5" t="s">
        <v>2011</v>
      </c>
      <c r="B685" s="6" t="s">
        <v>2012</v>
      </c>
      <c r="C685" s="3" t="str">
        <f ca="1">IFERROR(__xludf.DUMMYFUNCTION("GOOGLETRANSLATE(B685,""auto"",""en"")"),"1. Design product name: Doctor manages graphic user interface for display screen panels.
 2. Design products in appearance: used for interaction and display.
 3. Design of the design of the product in appearance: lies in the interface content of the g"&amp;"raphic user interface.
 4. Pictures or photos that can best show design points: Figure 1 of the interface change state.
 5. There is no design point for other views, omitting other views.
 6. The purpose of the graphical user interface: for the mana"&amp;"gement of doctors' information.
 7. Human -computer interaction method of graphics user interface: The main view is the main interface of the doctor's management module of the smart medical cloud platform system, which is used to display the interface o"&amp;"f the doctor's information. In the main view, check the specific ""doctor name"" and ""mobile phone"", ""mobile phone mobile phone"", ""mobile phone mobile phone"", ""mobile phone mobile phone"", mobile phone mobile phone Specific information such as the "&amp;"number "","" serving as the school district "","" settlement department "","" online retraining "", etc., you can query the corresponding doctors' information, mouse slide or drag the sliding toolbar under the main view, as shown in the interface change s"&amp;"tate Figure 1 Show the detailed display of the doctor's information interface; click the ""New Doctor"" button of the main view or interface changes. Sliding toolbar, as shown in the interface change state Figure 3, the continuous display of the doctor's "&amp;"information interface is added, click the ""Confirm"" button to add the doctor's information; click the main view or interface change state. View the ""button, jump to the interface change state. Figure 4 Show the doctor's information interface; click the"&amp;""" Edit ""button in any information list in the main view or interface change state, jump to the interface change state. 5 Doctor information interface; Mouse rolling interface or dragging sliding interface change state Figure 5 The sliding toolbar on the"&amp;" right side, as shown in the interface changes, the continuous display of the detailed editing doctor information interface; The ""reset"" button in any list, as shown in the interface changes, as shown in the pop -up password prompt window, click the ""O"&amp;"K"" button in the prompt window to reset the doctor's login password to the initial password, click the prompt to prompt The ""cancel"" button in the window does not reset the password; click the ""Delete"" button in any list in any list in the main view "&amp;"or interface change state, as shown in the interface change state. Click the ""Delete"" button in the prompt window to delete the doctor's information and click the ""Cancel"" button to cancel the delete the doctor's information.
 8. The displayed carri"&amp;"er equipment for display is the existing design. The display screen panel can be applied to computers, laptops, tablet computers, mobile phones, smartphones, smart glasses, watches, smart watches, fitness monitors, head wearing, head wearing Form headphon"&amp;"es, personal digital assistants, smart speakers, television, monitor, projector, set -top box, navigator, display device for vehicles.")</f>
        <v>1. Design product name: Doctor manages graphic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for the management of doctors' information.
 7. Human -computer interaction method of graphics user interface: The main view is the main interface of the doctor's management module of the smart medical cloud platform system, which is used to display the interface of the doctor's information. In the main view, check the specific "doctor name" and "mobile phone", "mobile phone mobile phone", "mobile phone mobile phone", "mobile phone mobile phone", mobile phone mobile phone Specific information such as the number "," serving as the school district "," settlement department "," online retraining ", etc., you can query the corresponding doctors' information, mouse slide or drag the sliding toolbar under the main view, as shown in the interface change state Figure 1 Show the detailed display of the doctor's information interface; click the "New Doctor" button of the main view or interface changes. Sliding toolbar, as shown in the interface change state Figure 3, the continuous display of the doctor's information interface is added, click the "Confirm" button to add the doctor's information; click the main view or interface change state. View the "button, jump to the interface change state. Figure 4 Show the doctor's information interface; click the" Edit "button in any information list in the main view or interface change state, jump to the interface change state. 5 Doctor information interface; Mouse rolling interface or dragging sliding interface change state Figure 5 The sliding toolbar on the right side, as shown in the interface changes, the continuous display of the detailed editing doctor information interface; The "reset" button in any list, as shown in the interface changes, as shown in the pop -up password prompt window, click the "OK" button in the prompt window to reset the doctor's login password to the initial password, click the prompt to prompt The "cancel" button in the window does not reset the password; click the "Delete" button in any list in any list in the main view or interface change state, as shown in the interface change state. Click the "Delete" button in the prompt window to delete the doctor's information and click the "Cancel" button to cancel the delete the doctor's information.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5" s="6" t="s">
        <v>2013</v>
      </c>
      <c r="E685" s="4" t="str">
        <f ca="1">IFERROR(__xludf.DUMMYFUNCTION("GOOGLETRANSLATE(D685,""auto"",""en"")"),"Doctors managed graphic user interface for display screen panels")</f>
        <v>Doctors managed graphic user interface for display screen panels</v>
      </c>
    </row>
    <row r="686" spans="1:5" ht="15" x14ac:dyDescent="0.25">
      <c r="A686" s="5" t="s">
        <v>2014</v>
      </c>
      <c r="B686" s="6" t="s">
        <v>2015</v>
      </c>
      <c r="C686" s="3" t="str">
        <f ca="1">IFERROR(__xludf.DUMMYFUNCTION("GOOGLETRANSLATE(B686,""auto"",""en"")"),"1. Design product name: Prescription management graphic user interface for display screen panels.
 2. Design products in appearance: used for interaction and display.
 3. Design of the design of the product in appearance: lies in the interface content"&amp;" of the graphic user interface.
 4. Pictures or photos that can best show design points: Figure 1 of the interface change state.
 5. There is no design point for other views, omitting other views.
 6. The purpose of the graphical user interface: for"&amp;" the management of the doctor's prescription information.
 7. Human -computer interaction method of graphics user interface: The main view is the main interface of the prescription management of the smart medical system, which is used to display the pre"&amp;"scription list issued by the doctors of all hospitals or a district of a hospital. If the prescription status is paid, "" The refund ""button is blue and other colors. You can click on the refund. In the main view, the query area fills in the specific"" o"&amp;"pening date "","" hospital area "","" consultation room "","" prescription order number "","" Demonstrate information such as the visitor's name "","" Press a doctor "", click the"" Query ""button to jump to the interface change state. Figure 1 The prescr"&amp;"iption query results interface displayed; click the main view or interface change status. The ""View"" button on the right of the prescription information, jump to the interface change state. The prescription information details interface displayed; As sh"&amp;"own in the interface change state Figure 3, the display refund confirmation prompt window is shown. Click the ""OK"" button of the prompt window to make the refund. Click the ""cancel"" button of the prompt window to cancel the refund.
 8. The displayed"&amp;" carrier equipment for display is the existing design. The display screen panel can be applied to computers, laptops, tablet computers, mobile phones, smartphones, smart glasses, watches, smart watches, fitness monitors, head wearing, head wearing Form he"&amp;"adphones, personal digital assistants, smart speakers, television, monitor, projector, set -top box, navigator, display device for vehicles.")</f>
        <v>1. Design product name: Prescription management graphic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for the management of the doctor's prescription information.
 7. Human -computer interaction method of graphics user interface: The main view is the main interface of the prescription management of the smart medical system, which is used to display the prescription list issued by the doctors of all hospitals or a district of a hospital. If the prescription status is paid, " The refund "button is blue and other colors. You can click on the refund. In the main view, the query area fills in the specific" opening date "," hospital area "," consultation room "," prescription order number "," Demonstrate information such as the visitor's name "," Press a doctor ", click the" Query "button to jump to the interface change state. Figure 1 The prescription query results interface displayed; click the main view or interface change status. The "View" button on the right of the prescription information, jump to the interface change state. The prescription information details interface displayed; As shown in the interface change state Figure 3, the display refund confirmation prompt window is shown. Click the "OK" button of the prompt window to make the refund. Click the "cancel" button of the prompt window to cancel the refund.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6" s="6" t="s">
        <v>2016</v>
      </c>
      <c r="E686" s="4" t="str">
        <f ca="1">IFERROR(__xludf.DUMMYFUNCTION("GOOGLETRANSLATE(D686,""auto"",""en"")"),"Prescription management graphic user interface for display screen panel")</f>
        <v>Prescription management graphic user interface for display screen panel</v>
      </c>
    </row>
    <row r="687" spans="1:5" ht="15" x14ac:dyDescent="0.25">
      <c r="A687" s="5" t="s">
        <v>2017</v>
      </c>
      <c r="B687" s="6" t="s">
        <v>2018</v>
      </c>
      <c r="C687" s="3" t="str">
        <f ca="1">IFERROR(__xludf.DUMMYFUNCTION("GOOGLETRANSLATE(B687,""auto"",""en"")"),"1. Design product name: Manage graphic user interface for patients for display screen panels.
 2. Design products in appearance: used for interaction and display.
 3. Design of the design of the product in appearance: lies in the interface content of "&amp;"the graphic user interface.
 4. Pictures or photos that can best show design points: Figure 1 of the interface change state.
 5. There is no design point for other views, omitting other views.
 6. The purpose of graphical user interface: used to man"&amp;"age patient information.
 7. Human -computer interaction method of graphics user interface: The main view is the management interface of the patient's patient's patients with the smart medical cloud platform system, which shows information such as ""nam"&amp;"e"", ""ID card"", ""mobile phone number"", ""number of diagnosis times"", fill in the main view view The ""name"", ""ID card"", and ""mobile phone number"" information of the inquiry area, click the ""Query"" button on the right, jump to the query results"&amp;" interface of the interface change state. The ""View"" button of the consultation information list in any list of consultation information, jump to the detailed consultation information interface displayed in the interface change state; click the interfac"&amp;"e change state. ""The button, jump to the medical record details interface of the interface change state Figure 3, check the patient's medical record information; click the"" View ""button of the prescription in the prescription information displayed in t"&amp;"he interface changes in the status 1 of the interface, jump to the interface to the interface Change status Figure 4 The prescription detail interface displayed.
 8. The displayed carrier equipment for display is the existing design. The display screen "&amp;"panel can be applied to computers, laptops, tablet computers, mobile phones, smartphones, smart glasses, watches, smart watches, fitness monitors, head wearing, head wearing Form headphones, personal digital assistants, smart speakers, television, monitor"&amp;", projector, set -top box, navigator, display device for vehicles.")</f>
        <v>1. Design product name: Manage graphic user interface for patients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graphical user interface: used to manage patient information.
 7. Human -computer interaction method of graphics user interface: The main view is the management interface of the patient's patient's patients with the smart medical cloud platform system, which shows information such as "name", "ID card", "mobile phone number", "number of diagnosis times", fill in the main view view The "name", "ID card", and "mobile phone number" information of the inquiry area, click the "Query" button on the right, jump to the query results interface of the interface change state. The "View" button of the consultation information list in any list of consultation information, jump to the detailed consultation information interface displayed in the interface change state; click the interface change state. "The button, jump to the medical record details interface of the interface change state Figure 3, check the patient's medical record information; click the" View "button of the prescription in the prescription information displayed in the interface changes in the status 1 of the interface, jump to the interface to the interface Change status Figure 4 The prescription detail interface displayed.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7" s="6" t="s">
        <v>2019</v>
      </c>
      <c r="E687" s="4" t="str">
        <f ca="1">IFERROR(__xludf.DUMMYFUNCTION("GOOGLETRANSLATE(D687,""auto"",""en"")"),"Patients used to man management graphic user interface for the display screen panel")</f>
        <v>Patients used to man management graphic user interface for the display screen panel</v>
      </c>
    </row>
    <row r="688" spans="1:5" ht="15" x14ac:dyDescent="0.25">
      <c r="A688" s="5" t="s">
        <v>2020</v>
      </c>
      <c r="B688" s="6" t="s">
        <v>2021</v>
      </c>
      <c r="C688" s="3" t="str">
        <f ca="1">IFERROR(__xludf.DUMMYFUNCTION("GOOGLETRANSLATE(B688,""auto"",""en"")"),"1. The name of the product in this exterior: The department management graphic user interface for the display screen panel.
 2. Design products in appearance: used for interaction and display.
 3. Design of the design of the product in appearance: lie"&amp;"s in the interface content of the graphic user interface.
 4. Pictures or photos that can most indicate design points: main view.
 5. There is no design point for other views, omitting other views.
 6. The purpose of the graphical user interface: fo"&amp;"r the management of information of each department.
 7. Human -computer interaction method of graphics user interface: The main view is the main interface of the department management of the smart medical system, display the interface of the ""departmen"&amp;"t management"" module, click the ""department type management"" button in the main view, jump to the interface change state state Figure 1 The department type management interface displayed; click the ""New Subject Type"" button in the interface change st"&amp;"ate. 1. Jump to the interface change state. The newly added department type interface displayed; The ""Edit"" button on the right side of the details column list, jump to the interface change status Figure 3. Users to edit the department type information "&amp;"through the interface, click the ""Save"" button, save the editing department type information, click ""Cancel cancel it ""Button, then cancel the editing operation; click the"" Delete ""button on the right side of the section type detail column displayed"&amp;" by the interface change state. The ""Delete"" button in the prompt window, then the type record record of this department disappears, click the ""Cancel"" button, then the type of the department is not deleted; click the ""New Section of the Section"" bu"&amp;"tton of the main view, jump to the interface change state Figure 5 The newly added department interface displayed, users can fill in specific information such as ""Department Code"", ""Department Name"", ""Affiliated Cinema District"", ""Department Type"""&amp;" and other specific information on the interface. The ""Confirm"" button is added to the new department information. Click the ""Cancel"" button to cancel the operation of this new department; click the ""Edit"" button on the right side of the department "&amp;"management interface displayed by the main view of the department, jump to the interface change change State Figure 6 Display the editing department interface, users can edit specific information of the department, such as ""department code"", ""departmen"&amp;"t name"", ""affiliate area"", ""department type"" and other departments on this interface. Click on the main view The ""Delete"" button on the right side of the departments of the departments of the departments of the display department, as shown in the i"&amp;"nterface changes, as shown in the pop -up department delete the confirmation prompt window, click the ""Delete"" button in the prompt window, and delete the management information of this department. Click the ""Cancel"" button to cancel the management in"&amp;"formation of this department.
 8. The displayed carrier equipment for display is the existing design. The display screen panel can be applied to computers, laptops, tablet computers, mobile phones, smartphones, smart glasses, watches, smart watches, fit"&amp;"ness monitors, head wearing, head wearing Form headphones, personal digital assistants, smart speakers, television, monitor, projector, set -top box, navigator, display device for vehicles.")</f>
        <v>1. The name of the product in this exterior: The department management graphic user interface for the display screen panel.
 2. Design products in appearance: used for interaction and display.
 3. Design of the design of the product in appearance: lies in the interface content of the graphic user interface.
 4. Pictures or photos that can most indicate design points: main view.
 5. There is no design point for other views, omitting other views.
 6. The purpose of the graphical user interface: for the management of information of each department.
 7. Human -computer interaction method of graphics user interface: The main view is the main interface of the department management of the smart medical system, display the interface of the "department management" module, click the "department type management" button in the main view, jump to the interface change state state Figure 1 The department type management interface displayed; click the "New Subject Type" button in the interface change state. 1. Jump to the interface change state. The newly added department type interface displayed; The "Edit" button on the right side of the details column list, jump to the interface change status Figure 3. Users to edit the department type information through the interface, click the "Save" button, save the editing department type information, click "Cancel cancel it "Button, then cancel the editing operation; click the" Delete "button on the right side of the section type detail column displayed by the interface change state. The "Delete" button in the prompt window, then the type record record of this department disappears, click the "Cancel" button, then the type of the department is not deleted; click the "New Section of the Section" button of the main view, jump to the interface change state Figure 5 The newly added department interface displayed, users can fill in specific information such as "Department Code", "Department Name", "Affiliated Cinema District", "Department Type" and other specific information on the interface. The "Confirm" button is added to the new department information. Click the "Cancel" button to cancel the operation of this new department; click the "Edit" button on the right side of the department management interface displayed by the main view of the department, jump to the interface change change State Figure 6 Display the editing department interface, users can edit specific information of the department, such as "department code", "department name", "affiliate area", "department type" and other departments on this interface. Click on the main view The "Delete" button on the right side of the departments of the departments of the departments of the display department, as shown in the interface changes, as shown in the pop -up department delete the confirmation prompt window, click the "Delete" button in the prompt window, and delete the management information of this department. Click the "Cancel" button to cancel the management information of this department.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88" s="6" t="s">
        <v>2022</v>
      </c>
      <c r="E688" s="4" t="str">
        <f ca="1">IFERROR(__xludf.DUMMYFUNCTION("GOOGLETRANSLATE(D688,""auto"",""en"")"),"The department management graphic user interface for display screen panel")</f>
        <v>The department management graphic user interface for display screen panel</v>
      </c>
    </row>
    <row r="689" spans="1:5" ht="15" x14ac:dyDescent="0.25">
      <c r="A689" s="5" t="s">
        <v>2023</v>
      </c>
      <c r="B689" s="6" t="s">
        <v>2024</v>
      </c>
      <c r="C689" s="3" t="str">
        <f ca="1">IFERROR(__xludf.DUMMYFUNCTION("GOOGLETRANSLATE(B689,""auto"",""en"")"),"1. The name of the product designed this product: connecting microphone graphics user interface for display screen panels.
 2. Design products in appearance: used for interaction and display.
 3. Design of the design of the product in appearance: lies"&amp;" in the interface content of the graphic user interface.
 4. Pictures or photos that can best show design points: Figure 2 of the interface change state.
 5. There is no design point for other views, omitting other views.
 6. The purpose of the grap"&amp;"hical user interface: It is used to view the state of the wireless microphone and the device connection.
 7. Human -computer interaction method of graphics user interface: The main view is the switching interface. After the boot is turned on, a single m"&amp;"icrophone is connected to the device through Bluetooth, and the display interface changes state. At the time of the display interface change state Figure 2; when the microphone is used as a broken sound and a mute state through Bluetooth connection throug"&amp;"h Bluetooth, when the microphone is used as a stereo -channel mode through Bluetooth through Bluetooth, during the use of the microphone, when the microphone is connected with the device to the stereo channel mode, the microphone is used as a three -dimen"&amp;"sional channel mode. Display interface change state Figure 4; when a single microphone is connected to the device to display the charging state, the display interface changes state Figure 5; when the two microphones are connected to the device to display "&amp;"the charging status, the display interface changes status 6; after shutting down, display the shutdown interface, display the display, display the display Main view.
 8. The display screen panel can be applied to computers, laptops, tablets, mobile phon"&amp;"es, smart bracelets, smart glasses, watches, fitness monitor, headset headphones, personal digital assistants, smart speakers, TV, monitor, projection, projection Instrument, set -top box, navigator, display device for vehicles.")</f>
        <v>1. The name of the product designed this product: connecting microphone graphics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2 of the interface change state.
 5. There is no design point for other views, omitting other views.
 6. The purpose of the graphical user interface: It is used to view the state of the wireless microphone and the device connection.
 7. Human -computer interaction method of graphics user interface: The main view is the switching interface. After the boot is turned on, a single microphone is connected to the device through Bluetooth, and the display interface changes state. At the time of the display interface change state Figure 2; when the microphone is used as a broken sound and a mute state through Bluetooth connection through Bluetooth, when the microphone is used as a stereo -channel mode through Bluetooth through Bluetooth, during the use of the microphone, when the microphone is connected with the device to the stereo channel mode, the microphone is used as a three -dimensional channel mode. Display interface change state Figure 4; when a single microphone is connected to the device to display the charging state, the display interface changes state Figure 5; when the two microphones are connected to the device to display the charging status, the display interface changes status 6; after shutting down, display the shutdown interface, display the display, display the display Main view.
 8. The display screen panel can be applied to computers, laptops, tablets, mobile phones, smart bracelets, smart glasses, watches, fitness monitor, headset headphones, personal digital assistants, smart speakers, TV, monitor, projection, projection Instrument, set -top box, navigator, display device for vehicles.</v>
      </c>
      <c r="D689" s="6" t="s">
        <v>2025</v>
      </c>
      <c r="E689" s="4" t="str">
        <f ca="1">IFERROR(__xludf.DUMMYFUNCTION("GOOGLETRANSLATE(D689,""auto"",""en"")"),"Connected microphone graphical user interface for display screen panels")</f>
        <v>Connected microphone graphical user interface for display screen panels</v>
      </c>
    </row>
    <row r="690" spans="1:5" ht="15" x14ac:dyDescent="0.25">
      <c r="A690" s="5" t="s">
        <v>2026</v>
      </c>
      <c r="B690" s="6" t="s">
        <v>2027</v>
      </c>
      <c r="C690" s="3" t="str">
        <f ca="1">IFERROR(__xludf.DUMMYFUNCTION("GOOGLETRANSLATE(B690,""auto"",""en"")"),"1. Design product name: Smart office graphics user interface for display screen panels.
 2. Design products in appearance: used for interaction and display.
 3. Design of the design of the product in appearance: lies in the interface content of the gr"&amp;"aphic user interface.
 4. Pictures or photos that can best show design points: Figure 1 of the interface change state.
 5. There is no design point for other views, omitting other views.
 6. The purpose of the graphical user interface: for meeting.
"&amp;" 
 7. Human -computer interaction method of graphical user interface: click the binding button of the main view, jump to the display interface change state Figure 1; the ""conference that has begun, slide into"" button in the sliding interface change stat"&amp;"e, jump to the display to the display to the display to the display to the display to the display to the display to the display to the display to the display to the display to the display to the display to the display to the display to the display to the "&amp;"display to the display to the display to the display to the display to the display to the display to the display to the display to the display to the display to the display to the display to the display to the display to the display to the display to the "&amp;"display to the display to the display to the display to the display to the display to the display to the display to the display to the display to the display to the display to the display to the display to the display to the display to the display. Figure"&amp;" 2 of the interface change state; click the ""Conference Document"" button in the interface change state Figure 2 to jump to the interface change state Figure 3.
 8. The display screen panel can be applied to computers, laptops, tablets, mobile phones, "&amp;"smart bracelets, smart glasses, watches, fitness monitor, headset headphones, personal digital assistants, smart speakers, TV, monitor, projection, projection Instrument, set -top box, navigator, display device for vehicles.")</f>
        <v>1. Design product name: Smart office graphics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for meeting.
 7. Human -computer interaction method of graphical user interface: click the binding button of the main view, jump to the display interface change state Figure 1; the "conference that has begun, slide into" button in the sliding interface change state, jump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to the display. Figure 2 of the interface change state; click the "Conference Document" button in the interface change state Figure 2 to jump to the interface change state Figure 3.
 8. The display screen panel can be applied to computers, laptops, tablets, mobile phones, smart bracelets, smart glasses, watches, fitness monitor, headset headphones, personal digital assistants, smart speakers, TV, monitor, projection, projection Instrument, set -top box, navigator, display device for vehicles.</v>
      </c>
      <c r="D690" s="6" t="s">
        <v>2028</v>
      </c>
      <c r="E690" s="4" t="str">
        <f ca="1">IFERROR(__xludf.DUMMYFUNCTION("GOOGLETRANSLATE(D690,""auto"",""en"")"),"Smart office graphics user interface for display screen panels")</f>
        <v>Smart office graphics user interface for display screen panels</v>
      </c>
    </row>
    <row r="691" spans="1:5" ht="15" x14ac:dyDescent="0.25">
      <c r="A691" s="5" t="s">
        <v>2029</v>
      </c>
      <c r="B691" s="6" t="s">
        <v>2030</v>
      </c>
      <c r="C691" s="3" t="str">
        <f ca="1">IFERROR(__xludf.DUMMYFUNCTION("GOOGLETRANSLATE(B691,""auto"",""en"")"),"1. The name of the product of the design of the product: The information display of the graphic user interface of the display screen panel.
 2. The purpose of designing products in this exterior: The design of the product is used to display the graphica"&amp;"l user interface.
 3. Design of the design of the product in appearance: lies in the graphic user interface.
 4. Pictures or photos that can best show design: Design 1 main view.
 5. Specify design 1 is the basic design.
 6. The purpose of the gra"&amp;"phical user interface: This graphic user interface is used to display information.
 7. Human -computer interaction method of graphics user interface: Design 1 to Design 3 Main View Graphic User Interface is the interface of information display. Users ca"&amp;"n click on the search box in the upper left of the interface to search for information search and information introduction.
 The gray color blocks in each design interface are replaceable pictures or videos.
 The fork number in each design interface r"&amp;"epresents text and/or numbers and/or alphabetics.
 8. This graphic user interface can be used for mobile phones, computers, tablets, smart TVs, vehicle central control screens, multimedia all -in -one machines, electronic notepads, headset display devic"&amp;"es, smart speakers, projectors, navigators, smart, smart, smart, smart Watch, smart bracelets, smart table lamps, refrigerators with screens, range hoods with screens, air conditioners with screens, smart fitness mirrors, disinfection cabinets with screen"&amp;"s, dishwashers with screens, and screens with screens.
 9. The display screen panel is commonly designed, omitting the rear views, left view, right view, downward view, and view view of various design.")</f>
        <v>1. The name of the product of the design of the product: The information display of the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This graphic user interface is used to display information.
 7. Human -computer interaction method of graphics user interface: Design 1 to Design 3 Main View Graphic User Interface is the interface of information display. Users can click on the search box in the upper left of the interface to search for information search and information introduction.
 The gray color blocks in each design interface are replaceable pictures or videos.
 The fork number in each design interface represents text and/or numbers and/or alphabetics.
 8. This graphic user interface can be used for mobile phones, computers, tablets, smart TVs, vehicle central control screens, multimedia all -in -one machines, electronic notepads, headset display devices, smart speakers, projectors, navigators, smart, smart, smart, smart Watch, smart bracelets, smart table lamps, refrigerators with screens, range hoods with screens, air conditioners with screens, smart fitness mirrors, disinfection cabinets with screens, dishwashers with screens, and screens with screens.
 9. The display screen panel is commonly designed, omitting the rear views, left view, right view, downward view, and view view of various design.</v>
      </c>
      <c r="D691" s="6" t="s">
        <v>1468</v>
      </c>
      <c r="E691" s="4" t="str">
        <f ca="1">IFERROR(__xludf.DUMMYFUNCTION("GOOGLETRANSLATE(D691,""auto"",""en"")"),"Information display graphic user interface of the display screen panel")</f>
        <v>Information display graphic user interface of the display screen panel</v>
      </c>
    </row>
    <row r="692" spans="1:5" ht="15" x14ac:dyDescent="0.25">
      <c r="A692" s="5" t="s">
        <v>2031</v>
      </c>
      <c r="B692" s="6" t="s">
        <v>2032</v>
      </c>
      <c r="C692" s="3" t="str">
        <f ca="1">IFERROR(__xludf.DUMMYFUNCTION("GOOGLETRANSLATE(B692,""auto"",""en"")"),"Provide an information processing device, information processing method and program, which allows users to easily search for places that conform to his/her hobbies and tastes from the place where the competition watching activities.
  [Solution] The rec"&amp;"ommended system of the event venue includes visitors information, including the attributes related to supporters in the competition of visitors who are visiting or planned, and the attributes of the target users of each venue for the competition viewing e"&amp;"vent. Recommend target user information to target users.")</f>
        <v>Provide an information processing device, information processing method and program, which allows users to easily search for places that conform to his/her hobbies and tastes from the place where the competition watching activities.
  [Solution] The recommended system of the event venue includes visitors information, including the attributes related to supporters in the competition of visitors who are visiting or planned, and the attributes of the target users of each venue for the competition viewing event. Recommend target user information to target users.</v>
      </c>
      <c r="D692" s="6" t="s">
        <v>2033</v>
      </c>
      <c r="E692" s="4" t="str">
        <f ca="1">IFERROR(__xludf.DUMMYFUNCTION("GOOGLETRANSLATE(D692,""auto"",""en"")"),"Information processing device, information processing method and program")</f>
        <v>Information processing device, information processing method and program</v>
      </c>
    </row>
    <row r="693" spans="1:5" ht="15" x14ac:dyDescent="0.25">
      <c r="A693" s="5" t="s">
        <v>2034</v>
      </c>
      <c r="B693" s="6" t="s">
        <v>2035</v>
      </c>
      <c r="C693" s="3" t="str">
        <f ca="1">IFERROR(__xludf.DUMMYFUNCTION("GOOGLETRANSLATE(B693,""auto"",""en"")"),"1. The name of the product of the design of the product: The product information display graphic user interface of the display screen panel.
 2. The purpose of designing products in this exterior: The design of the product is used to display the graphic"&amp;"al user interface.
 3. Design of the design of the product in appearance: lies in the graphic user interface.
 4. Pictures or photos that can best show design: Design 1 main view.
 5. Specify design 1 is the basic design.
 6. The purpose of graphi"&amp;"cal user interface: This graphic user interface is used to display product information.
 7. Human -computer interaction method of graphics user interface: Design 1 to Design 3 Master View Graphic User Interface is the interface of product information di"&amp;"splay. Users can click on the product information card at the lower part of the interface to enter the corresponding product details page.
 The gray color blocks in each design interface are replaceable pictures or videos.
 The fork number in each des"&amp;"ign interface represents text and/or numbers and/or alphabetics.
 8. This graphic user interface can be used for mobile phones, computers, tablets, smart TVs, vehicle central control screens, multimedia all -in -one machines, electronic notepads, headse"&amp;"t display devices, smart speakers, projectors, navigators, smart, smart, smart, smart Watch, smart bracelets, smart table lamps, refrigerators with screens, range hoods with screens, air conditioners with screens, smart fitness mirrors, disinfection cabin"&amp;"ets with screens, dishwashers with screens, and screens with screens.
 9. The display screen panel is commonly designed, omitting the rear views, left view, right view, downward view, and view view of various design.")</f>
        <v>1. The name of the product of the design of the product: The product information display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product information.
 7. Human -computer interaction method of graphics user interface: Design 1 to Design 3 Master View Graphic User Interface is the interface of product information display. Users can click on the product information card at the lower part of the interface to enter the corresponding product details page.
 The gray color blocks in each design interface are replaceable pictures or videos.
 The fork number in each design interface represents text and/or numbers and/or alphabetics.
 8. This graphic user interface can be used for mobile phones, computers, tablets, smart TVs, vehicle central control screens, multimedia all -in -one machines, electronic notepads, headset display devices, smart speakers, projectors, navigators, smart, smart, smart, smart Watch, smart bracelets, smart table lamps, refrigerators with screens, range hoods with screens, air conditioners with screens, smart fitness mirrors, disinfection cabinets with screens, dishwashers with screens, and screens with screens.
 9. The display screen panel is commonly designed, omitting the rear views, left view, right view, downward view, and view view of various design.</v>
      </c>
      <c r="D693" s="6" t="s">
        <v>330</v>
      </c>
      <c r="E693" s="4" t="str">
        <f ca="1">IFERROR(__xludf.DUMMYFUNCTION("GOOGLETRANSLATE(D693,""auto"",""en"")"),"Product information display graphic user interface of display screen panel")</f>
        <v>Product information display graphic user interface of display screen panel</v>
      </c>
    </row>
    <row r="694" spans="1:5" ht="15" x14ac:dyDescent="0.25">
      <c r="A694" s="5" t="s">
        <v>2036</v>
      </c>
      <c r="B694" s="6" t="s">
        <v>2037</v>
      </c>
      <c r="C694" s="3" t="str">
        <f ca="1">IFERROR(__xludf.DUMMYFUNCTION("GOOGLETRANSLATE(B694,""auto"",""en"")"),"1. The name of the product designed this product: The 3D file room for display screen panel can visually manage the graphic user interface.
 2. Design products for designing products: for touch interaction and display information. The display screen pan"&amp;"el is used for computers, mobile phones, tablets, and televisions.
 3. Design of the design of the product in this appearance: lies in the content displayed by the graphic user interface, the display screen panel is commonly designed.
 4. Pictures or "&amp;"photos that can most indicate design points: main view.
 5. There is no design point for other views, omitting other views.
 6. The purpose of graphical user interface: Interaction interface for the visual management of the archive room.
 7. Human -"&amp;"computer interaction method of graphical user interface: The main view is the visual management interface of the archives room. The upper left corner of the main view of the picture is the archive query positioning bar. Enter the file -related information"&amp;" of the file to query the specific location of the file.
 Click the frame in the main view, and the interpretation of the operation button bar on the bottom of the interface to display ""Change State Figure 1"".
 Click the changing state Figure 1 The "&amp;"""modify the attribute"" operation button at the bottom, the pop -up body attribute modify the pop -up window, you can adjust the attribute information of the frame according to the actual situation, and display ""Change State Figure 2"".
 Click the cha"&amp;"nging state Figure 1 The bottom left -shift button at the bottom and the third right movement button can be controlled by the manipulating frame, as shown in ""Change Status Figure 3"".
 After the frame is removed, it can be automatically switched to th"&amp;"e shelf open interface, displaying ""Change Status Figure 4"".
 Click the first icon button in the upper right corner of the change state, enter the archive room to overlook the interface global, and display ""Change State Figure 5"".
 It can be enlar"&amp;"ged, reduced, and adjusted the visualization angle of the archives through the mouse and control keys, as shown in ""Change State Figure 6"".
 Double -click the temperature and humidity integrated machine graphics of the ""Change Status Figure 6"". The "&amp;"interface pops up all -in -one to control the pop -up window. You can view the operating conditions of the device and perform remote control to display the ""Change Status Figure 7"".
 Double -click ""Change Status Figure 6"" The controller graphics in "&amp;"the lower left corner of the left corner. The interface pops up the controller information list. You can view the list of environmental equipment and perform remote control to display ""Change State Figure 8"".")</f>
        <v>1. The name of the product designed this product: The 3D file room for display screen panel can visually manage the graphic user interface.
 2. Design products for designing products: for touch interaction and display information. The display screen panel is used for computers, mobile phones, tablets, and televisions.
 3. Design of the design of the product in this appearance: lies in the content displayed by the graphic user interface, the display screen panel is commonly designed.
 4. Pictures or photos that can most indicate design points: main view.
 5. There is no design point for other views, omitting other views.
 6. The purpose of graphical user interface: Interaction interface for the visual management of the archive room.
 7. Human -computer interaction method of graphical user interface: The main view is the visual management interface of the archives room. The upper left corner of the main view of the picture is the archive query positioning bar. Enter the file -related information of the file to query the specific location of the file.
 Click the frame in the main view, and the interpretation of the operation button bar on the bottom of the interface to display "Change State Figure 1".
 Click the changing state Figure 1 The "modify the attribute" operation button at the bottom, the pop -up body attribute modify the pop -up window, you can adjust the attribute information of the frame according to the actual situation, and display "Change State Figure 2".
 Click the changing state Figure 1 The bottom left -shift button at the bottom and the third right movement button can be controlled by the manipulating frame, as shown in "Change Status Figure 3".
 After the frame is removed, it can be automatically switched to the shelf open interface, displaying "Change Status Figure 4".
 Click the first icon button in the upper right corner of the change state, enter the archive room to overlook the interface global, and display "Change State Figure 5".
 It can be enlarged, reduced, and adjusted the visualization angle of the archives through the mouse and control keys, as shown in "Change State Figure 6".
 Double -click the temperature and humidity integrated machine graphics of the "Change Status Figure 6". The interface pops up all -in -one to control the pop -up window. You can view the operating conditions of the device and perform remote control to display the "Change Status Figure 7".
 Double -click "Change Status Figure 6" The controller graphics in the lower left corner of the left corner. The interface pops up the controller information list. You can view the list of environmental equipment and perform remote control to display "Change State Figure 8".</v>
      </c>
      <c r="D694" s="6" t="s">
        <v>2038</v>
      </c>
      <c r="E694" s="4" t="str">
        <f ca="1">IFERROR(__xludf.DUMMYFUNCTION("GOOGLETRANSLATE(D694,""auto"",""en"")"),"The 3D archive room for display screen panel can visualize management graphic user interface")</f>
        <v>The 3D archive room for display screen panel can visualize management graphic user interface</v>
      </c>
    </row>
    <row r="695" spans="1:5" ht="15" x14ac:dyDescent="0.25">
      <c r="A695" s="5" t="s">
        <v>2039</v>
      </c>
      <c r="B695" s="6" t="s">
        <v>2040</v>
      </c>
      <c r="C695" s="3" t="str">
        <f ca="1">IFERROR(__xludf.DUMMYFUNCTION("GOOGLETRANSLATE(B695,""auto"",""en"")"),"1. The name of the product in appearance: The navigation graphic user interface used for display screen panels.
 2. Design products in appearance: used for interaction and display.
 3. Design of the design of the product in appearance: lies in the int"&amp;"erface content of the graphic user interface.
 4. Pictures or photos that can best show design points: Figure 1 of the interface change state.
 5. There is no design point for other views, omitting other views.
 6. The purpose of the graphical user "&amp;"interface: the management of navigation information in the hospital hospital.
 7. Human -computer interaction method of graphics user interface: The main view is the main interface of the navigation module in the hospital system of the smart medical clo"&amp;"ud platform system. The hospital information list, the ""editor"" button with blue and other colors in the list area is the clicked operation status, the gray ""editor"" is the non -click operation status; , And click the ""Query"" button on the right, ju"&amp;"mp to the interface change state. Figure 1 The area screening results interface displayed; click the ""new"" button of the main view or interface change state. For the interface of the newly added navigation information, users can fill in the building nam"&amp;"e, building floors and other information on this interface, as well as pictures of the navigation map corresponding to the corresponding building; use the mouse to roll the page or click the drag interface change state Figure 2 Right side The sliding bar,"&amp;" as shown in the interface changes, the interface of the new category of navigation information is continuously displayed; click the ""Save"" button in the interface change state Figure 3, then save the new information, add the new category navigation inf"&amp;"ormation status status In order not to take effect, the navigation information in the courtyard cannot be found on the mobile terminal. Click the ""Release"" button to release the new information. The main view or interface changes status Figure 1 The ""V"&amp;"iew"" button on the right side of the navigation information list area displayed in the courtyard, jump to the specific information of the corresponding navigation in the courtyard displayed by the interface change state; click the main view or interface "&amp;"change state. The ""Edit"" button on the right side of the hospital navigation information on each courtyard area is shown to jump to the interface of the interface change state. 5 displayed in the interface of the hospital navigation information. Users c"&amp;"an edit and modify the navigation information in this interface. ; Use the mouse to scroll page or click the dragging interface change state Figure 5 The sliding bar on the right side, as shown in the interface change state Figure 6 The interface of the c"&amp;"orresponding display of the categorian area is shown in the interface; The ""Delete"" button on the right side of the hospital navigation information in each courtyard, as shown in the interface changes, the statement 7, the ""OK"" button in the prompt wi"&amp;"ndow is made to delete the navigation information. Click the prompt to prompt The ""cancel"" button in the window cancel the deletion of the navigation information.
 8. The displayed carrier equipment for display is the existing design. The display scre"&amp;"en panel can be applied to computers, laptops, tablet computers, mobile phones, smartphones, smart glasses, watches, smart watches, fitness monitors, head wearing, head wearing Form headphones, personal digital assistants, smart speakers, television, moni"&amp;"tor, projector, set -top box, navigator, display device for vehicles.")</f>
        <v>1. The name of the product in appearance: The navigation graphic user interface used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the management of navigation information in the hospital hospital.
 7. Human -computer interaction method of graphics user interface: The main view is the main interface of the navigation module in the hospital system of the smart medical cloud platform system. The hospital information list, the "editor" button with blue and other colors in the list area is the clicked operation status, the gray "editor" is the non -click operation status; , And click the "Query" button on the right, jump to the interface change state. Figure 1 The area screening results interface displayed; click the "new" button of the main view or interface change state. For the interface of the newly added navigation information, users can fill in the building name, building floors and other information on this interface, as well as pictures of the navigation map corresponding to the corresponding building; use the mouse to roll the page or click the drag interface change state Figure 2 Right side The sliding bar, as shown in the interface changes, the interface of the new category of navigation information is continuously displayed; click the "Save" button in the interface change state Figure 3, then save the new information, add the new category navigation information status status In order not to take effect, the navigation information in the courtyard cannot be found on the mobile terminal. Click the "Release" button to release the new information. The main view or interface changes status Figure 1 The "View" button on the right side of the navigation information list area displayed in the courtyard, jump to the specific information of the corresponding navigation in the courtyard displayed by the interface change state; click the main view or interface change state. The "Edit" button on the right side of the hospital navigation information on each courtyard area is shown to jump to the interface of the interface change state. 5 displayed in the interface of the hospital navigation information. Users can edit and modify the navigation information in this interface. ; Use the mouse to scroll page or click the dragging interface change state Figure 5 The sliding bar on the right side, as shown in the interface change state Figure 6 The interface of the corresponding display of the categorian area is shown in the interface; The "Delete" button on the right side of the hospital navigation information in each courtyard, as shown in the interface changes, the statement 7, the "OK" button in the prompt window is made to delete the navigation information. Click the prompt to prompt The "cancel" button in the window cancel the deletion of the navigation information.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695" s="6" t="s">
        <v>2041</v>
      </c>
      <c r="E695" s="4" t="str">
        <f ca="1">IFERROR(__xludf.DUMMYFUNCTION("GOOGLETRANSLATE(D695,""auto"",""en"")"),"The navigation graphic user interface for the display screen of the display screen")</f>
        <v>The navigation graphic user interface for the display screen of the display screen</v>
      </c>
    </row>
    <row r="696" spans="1:5" ht="15" x14ac:dyDescent="0.25">
      <c r="A696" s="5" t="s">
        <v>2042</v>
      </c>
      <c r="B696" s="6" t="s">
        <v>2043</v>
      </c>
      <c r="C696" s="3" t="str">
        <f ca="1">IFERROR(__xludf.DUMMYFUNCTION("GOOGLETRANSLATE(B696,""auto"",""en"")"),"The embodiment of this application provides a display device and screening method involving the field of voice recognition technology. The display device includes the display; the controller is configured: the trigger instructions in response to the recei"&amp;"ving, in the display and the interface of the display, the follow -up interface includes the first video playback window and the second video playback window, the second video window Used to play fitness videos obtained from the server; the first video st"&amp;"ream sent by the terminal device, obtain the zoom ratio according to the identification information, video playback parameters, and the size of the first video stream, and obtain the first video stream to obtain the first video stream according to the zoo"&amp;"m ratio. The two video streams, and the layout bias parameters are obtained according to the size of the video playback parameters and the size of the second video stream; the video playback parameters include the size and/or preset video stream of the fi"&amp;"rst video playback window; where the first video stream is the terminal as the terminal The video stream obtained by the video recording device of the device, and carries the identifier information of the posture of the video corresponding to the first vi"&amp;"deo stream of the terminal device to identify the terminal device; The second video stream after the offset of the first video window. Examples of this application are used for screen display.")</f>
        <v>The embodiment of this application provides a display device and screening method involving the field of voice recognition technology. The display device includes the display; the controller is configured: the trigger instructions in response to the receiving, in the display and the interface of the display, the follow -up interface includes the first video playback window and the second video playback window, the second video window Used to play fitness videos obtained from the server; the first video stream sent by the terminal device, obtain the zoom ratio according to the identification information, video playback parameters, and the size of the first video stream, and obtain the first video stream to obtain the first video stream according to the zoom ratio. The two video streams, and the layout bias parameters are obtained according to the size of the video playback parameters and the size of the second video stream; the video playback parameters include the size and/or preset video stream of the first video playback window; where the first video stream is the terminal as the terminal The video stream obtained by the video recording device of the device, and carries the identifier information of the posture of the video corresponding to the first video stream of the terminal device to identify the terminal device; The second video stream after the offset of the first video window. Examples of this application are used for screen display.</v>
      </c>
      <c r="D696" s="6" t="s">
        <v>2044</v>
      </c>
      <c r="E696" s="4" t="str">
        <f ca="1">IFERROR(__xludf.DUMMYFUNCTION("GOOGLETRANSLATE(D696,""auto"",""en"")"),"Display device and screen -casting method")</f>
        <v>Display device and screen -casting method</v>
      </c>
    </row>
    <row r="697" spans="1:5" ht="15" x14ac:dyDescent="0.25">
      <c r="A697" s="5" t="s">
        <v>2045</v>
      </c>
      <c r="B697" s="6" t="s">
        <v>2046</v>
      </c>
      <c r="C697" s="3" t="str">
        <f ca="1">IFERROR(__xludf.DUMMYFUNCTION("GOOGLETRANSLATE(B697,""auto"",""en"")"),"The present invention involves a multi -mode volleyball game device, including multiple telescopic connecting rods 1 to form a framework similar to the volleyball court. The retractable rod 2 is installed with a network 3 to divide the venue in half. The "&amp;"game mode and the total number of players are used to divide the players into two teams, and allocate one and a half of each team. The 5 rooms installed on the frame are filled with water and sand, respectively. The water and sand are allocated in the fra"&amp;"me, and the touch sensor 7 installed on the network 3 is used to determine the player's touch. Therefore, the microcontroller starts the speaker 8 to indicate the foul situation, and the artificial intelligence -based imaging unit 9 processing the surroun"&amp;"ding images to evaluate each branch The team's score and cross -line fouls.")</f>
        <v>The present invention involves a multi -mode volleyball game device, including multiple telescopic connecting rods 1 to form a framework similar to the volleyball court. The retractable rod 2 is installed with a network 3 to divide the venue in half. The game mode and the total number of players are used to divide the players into two teams, and allocate one and a half of each team. The 5 rooms installed on the frame are filled with water and sand, respectively. The water and sand are allocated in the frame, and the touch sensor 7 installed on the network 3 is used to determine the player's touch. Therefore, the microcontroller starts the speaker 8 to indicate the foul situation, and the artificial intelligence -based imaging unit 9 processing the surrounding images to evaluate each branch The team's score and cross -line fouls.</v>
      </c>
      <c r="D697" s="6" t="s">
        <v>2047</v>
      </c>
      <c r="E697" s="4" t="str">
        <f ca="1">IFERROR(__xludf.DUMMYFUNCTION("GOOGLETRANSLATE(D697,""auto"",""en"")"),"Multi -mode volleyball game equipment")</f>
        <v>Multi -mode volleyball game equipment</v>
      </c>
    </row>
    <row r="698" spans="1:5" ht="15" x14ac:dyDescent="0.25">
      <c r="A698" s="5" t="s">
        <v>2048</v>
      </c>
      <c r="B698" s="6" t="s">
        <v>2049</v>
      </c>
      <c r="C698" s="3" t="str">
        <f ca="1">IFERROR(__xludf.DUMMYFUNCTION("GOOGLETRANSLATE(B698,""auto"",""en"")"),"1. Design product name: Yoga fitness graphics user interface used for mobile phones.
 2. Design products in this exterior: The operation of the graphic user interface (yoga fitness) for mobile phones shows information and information interaction.
 3. "&amp;"Design of design products in this appearance: lies in the combination of graphics interface and content.
 4. Pictures or photos that can most indicate design points: main view.
 5. The purpose of graphical user interface: Yoga fitness graphic user int"&amp;"erface for mobile phones.
 6. Human -computer interaction method of graphical user interface: The main view is the homepage of the yoga fitness graphic user interface for mobile phones, click ""exercise"" in the main view, jump to the interface change s"&amp;"tate Figure 1; """" Plati "","" Yin Yoga "","" Liu Yoga "","" Hatt Yoga ""and"" Asona Kaga Yoga ""will be arbitrarily. Time; click the interface change state Figure 2 The lowest circular button, jump to the interface change state Figure 3, end the timing;"&amp;" click ""discover"" in the main view, jump to the interface change status Figure 4; click in the main view ""Mine, mine me "", Jump to the interface change state Figure 5.")</f>
        <v>1. Design product name: Yoga fitness graphics user interface used for mobile phones.
 2. Design products in this exterior: The operation of the graphic user interface (yoga fitness) for mobile phones shows information and information interaction.
 3. Design of design products in this appearance: lies in the combination of graphics interface and content.
 4. Pictures or photos that can most indicate design points: main view.
 5. The purpose of graphical user interface: Yoga fitness graphic user interface for mobile phones.
 6. Human -computer interaction method of graphical user interface: The main view is the homepage of the yoga fitness graphic user interface for mobile phones, click "exercise" in the main view, jump to the interface change state Figure 1; "" Plati "," Yin Yoga "," Liu Yoga "," Hatt Yoga "and" Asona Kaga Yoga "will be arbitrarily. Time; click the interface change state Figure 2 The lowest circular button, jump to the interface change state Figure 3, end the timing; click "discover" in the main view, jump to the interface change status Figure 4; click in the main view "Mine, mine me ", Jump to the interface change state Figure 5.</v>
      </c>
      <c r="D698" s="6" t="s">
        <v>2050</v>
      </c>
      <c r="E698" s="4" t="str">
        <f ca="1">IFERROR(__xludf.DUMMYFUNCTION("GOOGLETRANSLATE(D698,""auto"",""en"")"),"Yoga fitness graphic user interface used for mobile phones")</f>
        <v>Yoga fitness graphic user interface used for mobile phones</v>
      </c>
    </row>
    <row r="699" spans="1:5" ht="15" x14ac:dyDescent="0.25">
      <c r="A699" s="5" t="s">
        <v>2051</v>
      </c>
      <c r="B699" s="6" t="s">
        <v>2052</v>
      </c>
      <c r="C699" s="3" t="str">
        <f ca="1">IFERROR(__xludf.DUMMYFUNCTION("GOOGLETRANSLATE(B699,""auto"",""en"")"),"The highlights of the video stream are extracted from the card image embedded in the video stream. The highlight may be the market segment of the video stream, such as the broadcast of sports events, and is particularly interested in one or more users. De"&amp;"termine and process the card image embedded in the video frame to extract the text. Text characters can be identified by applying machine learning models. This model trains a set of characters extracted from the card image embedded in sports TV programs. "&amp;"You can pre -process the training set of role vectors to maximize the measurement distance between the training set members. Text can be explained as metadata. Metadata can be stored in cooperation with a part of the video stream. Metadata may provide inf"&amp;"ormation about highlights and can display highlights at the same time.")</f>
        <v>The highlights of the video stream are extracted from the card image embedded in the video stream. The highlight may be the market segment of the video stream, such as the broadcast of sports events, and is particularly interested in one or more users. Determine and process the card image embedded in the video frame to extract the text. Text characters can be identified by applying machine learning models. This model trains a set of characters extracted from the card image embedded in sports TV programs. You can pre -process the training set of role vectors to maximize the measurement distance between the training set members. Text can be explained as metadata. Metadata can be stored in cooperation with a part of the video stream. Metadata may provide information about highlights and can display highlights at the same time.</v>
      </c>
      <c r="D699" s="6" t="s">
        <v>2053</v>
      </c>
      <c r="E699" s="4" t="str">
        <f ca="1">IFERROR(__xludf.DUMMYFUNCTION("GOOGLETRANSLATE(D699,""auto"",""en"")"),"Machine learning for identifying and interpreting the content of embedded information card content")</f>
        <v>Machine learning for identifying and interpreting the content of embedded information card content</v>
      </c>
    </row>
    <row r="700" spans="1:5" ht="15" x14ac:dyDescent="0.25">
      <c r="A700" s="5" t="s">
        <v>2054</v>
      </c>
      <c r="B700" s="6" t="s">
        <v>2055</v>
      </c>
      <c r="C700" s="3" t="str">
        <f ca="1">IFERROR(__xludf.DUMMYFUNCTION("GOOGLETRANSLATE(B700,""auto"",""en"")"),"1. The name of the product of the design of the product: The card information of the display screen panel display the graphical user interface.
 2. Design products in appearance: used to run programs and display graphic user interfaces.
 3. Design of "&amp;"design products in this exterior: lies in the graphic user interface displayed on the display screen panel.
 4. Pictures or photos that can best show design: Design 1 main view.
 5. The display screen panel is commonly designed, omit other views.
 6"&amp;". Specify design 1 is the basic design.
 7. The purpose of the graphic user interface of the design of the product: The interface of the design of the product here is the functional interface displayed by the product characteristic.
 Design 1 is the f"&amp;"irst interface design. Design 1 The main view is the display interface of the product card.
 The user enters the corresponding interface by clicking the product details in the interface (displayed area in the middle of the interface) or the entrance """&amp;""" button, such as the purchase interface of the product.
 Design 2 为 Design 4 is similar interface design, respectively, and its interface interaction method is the same as design 1.
 Design 1 品 Design 4 product card display area (display area on the"&amp;" upper interface) can display product pictures or videos, ""X"" in each design interface represents text, numbers, letters, and/or symbols.
 该图形用户界面可用于手机、计算机、平板电脑、智能电视、车载中控屏幕、多媒体一体机、电子记事本、头戴式显示器、智能音箱、投影仪、游戏机、导航仪、智能手表、智能Bracelets, smart table lamps, refr"&amp;"igerators with screens, hoods with screens, air conditioners with screens, smart fitness mirrors, disinfection cabinets with screens, dishwashers with screens, and oven with screens.
 Through the design of the product interface in this exterior, this pr"&amp;"oduct can realize the human -computer interaction operation of the user.")</f>
        <v>1. The name of the product of the design of the product: The card information of the display screen panel display the graphical user interface.
 2. Design products in appearance: used to run programs and display graphic user interfaces.
 3. Design of design products in this exterior: lies in the graphic user interface displayed on the display screen panel.
 4. Pictures or photos that can best show design: Design 1 main view.
 5. The display screen panel is commonly designed, omit other views.
 6. Specify design 1 is the basic design.
 7. The purpose of the graphic user interface of the design of the product: The interface of the design of the product here is the functional interface displayed by the product characteristic.
 Design 1 is the first interface design. Design 1 The main view is the display interface of the product card.
 The user enters the corresponding interface by clicking the product details in the interface (displayed area in the middle of the interface) or the entrance "" button, such as the purchase interface of the product.
 Design 2 为 Design 4 is similar interface design, respectively, and its interface interaction method is the same as design 1.
 Design 1 品 Design 4 product card display area (display area on the upper interface) can display product pictures or videos, "X" in each design interface represents text, numbers, letters, and/or symbols.
 该图形用户界面可用于手机、计算机、平板电脑、智能电视、车载中控屏幕、多媒体一体机、电子记事本、头戴式显示器、智能音箱、投影仪、游戏机、导航仪、智能手表、智能Bracelets, smart table lamps, refrigerators with screens, hoods with screens, air conditioners with screens, smart fitness mirrors, disinfection cabinets with screens, dishwashers with screens, and oven with screens.
 Through the design of the product interface in this exterior, this product can realize the human -computer interaction operation of the user.</v>
      </c>
      <c r="D700" s="6" t="s">
        <v>2056</v>
      </c>
      <c r="E700" s="4" t="str">
        <f ca="1">IFERROR(__xludf.DUMMYFUNCTION("GOOGLETRANSLATE(D700,""auto"",""en"")"),"The card information of the display screen panel display graphics user interface")</f>
        <v>The card information of the display screen panel display graphics user interface</v>
      </c>
    </row>
    <row r="701" spans="1:5" ht="15" x14ac:dyDescent="0.25">
      <c r="A701" s="5" t="s">
        <v>2057</v>
      </c>
      <c r="B701" s="6" t="s">
        <v>2058</v>
      </c>
      <c r="C701" s="3" t="str">
        <f ca="1">IFERROR(__xludf.DUMMYFUNCTION("GOOGLETRANSLATE(B701,""auto"",""en"")"),"1. The name of the product in appearance: The display screen panel with the hotel service graphics user interface (06).
 2. The purpose of designing products in this exterior: This design product is used for hotel services, providing operating panels fo"&amp;"r graphic user interfaces for users to choose from, which can be used for display equipment for projectors, televisions, and tablets.
 3. Design of the design of the product here: lies in the user interaction interface displayed by the operation panel.
"&amp;" 
 4. Pictures or photos that can most indicate design points: main view.
 5. There are no main points of design, omittime views, left view, right view, push -view, back -view view.
 6. The purpose of graphic user interface: ""Homepage"", ""live broad"&amp;"cast"", ""aurora TV"", ""brand introduction"", ""smart screen"", ""fitness interaction"" of the user interaction interface displayed by operation and displaying the operating panel display.
 7. The area of ​​the graphic user interface in the product: th"&amp;"e area on the operation panel.
 8. Human -computer interaction method of graphics user interface: 1) During the booting process, first display the main view of the ""welcome to the hotel"" interface operation panel. After the boot is turned on, it will "&amp;"automatically jump to the ""hotel homepage"" interface change state Figure 1; 2) Operating interface change Status Figure 1 The ""live TV"" function button, the interface from the interface change state Figure 1 jump to the interface change state Figure 2"&amp;"; 3) the ""Aurora TV"" function button in the operation interface changes. 2 State Figure 2 Jump to the interface change state Figure 3; 4) The operation interface changes status. Figure 3 ""Brand Introduction"" function button, the interface changes from"&amp;" the interface state Figure 3 jump to the interface change state. Jump to the interface change state diagram 7 and interface change state Figure 8, stay setting time operation interface change state Figure 8 Automatically jump to the interface change stat"&amp;"e Figure 5 ""smart screen"" interface; 5) operation interface change state The ""fitness interactive"" function button, the interface is changed from the interface change state. 5 jump to the interface change state. 6.")</f>
        <v>1. The name of the product in appearance: The display screen panel with the hotel service graphics user interface (06).
 2. The purpose of designing products in this exterior: This design product is used for hotel services, providing operating panels for graphic user interfaces for users to choose from, which can be used for display equipment for projectors, televisions, and tablets.
 3. Design of the design of the product here: lies in the user interaction interface displayed by the operation panel.
 4. Pictures or photos that can most indicate design points: main view.
 5. There are no main points of design, omittime views, left view, right view, push -view, back -view view.
 6. The purpose of graphic user interface: "Homepage", "live broadcast", "aurora TV", "brand introduction", "smart screen", "fitness interaction" of the user interaction interface displayed by operation and displaying the operating panel display.
 7. The area of ​​the graphic user interface in the product: the area on the operation panel.
 8. Human -computer interaction method of graphics user interface: 1) During the booting process, first display the main view of the "welcome to the hotel" interface operation panel. After the boot is turned on, it will automatically jump to the "hotel homepage" interface change state Figure 1; 2) Operating interface change Status Figure 1 The "live TV" function button, the interface from the interface change state Figure 1 jump to the interface change state Figure 2; 3) the "Aurora TV" function button in the operation interface changes. 2 State Figure 2 Jump to the interface change state Figure 3; 4) The operation interface changes status. Figure 3 "Brand Introduction" function button, the interface changes from the interface state Figure 3 jump to the interface change state. Jump to the interface change state diagram 7 and interface change state Figure 8, stay setting time operation interface change state Figure 8 Automatically jump to the interface change state Figure 5 "smart screen" interface; 5) operation interface change state The "fitness interactive" function button, the interface is changed from the interface change state. 5 jump to the interface change state. 6.</v>
      </c>
      <c r="D701" s="6" t="s">
        <v>2059</v>
      </c>
      <c r="E701" s="4" t="str">
        <f ca="1">IFERROR(__xludf.DUMMYFUNCTION("GOOGLETRANSLATE(D701,""auto"",""en"")"),"Display screen panel with hotel service graphical user interface (06)")</f>
        <v>Display screen panel with hotel service graphical user interface (06)</v>
      </c>
    </row>
    <row r="702" spans="1:5" ht="15" x14ac:dyDescent="0.25">
      <c r="A702" s="5" t="s">
        <v>2060</v>
      </c>
      <c r="B702" s="6" t="s">
        <v>2061</v>
      </c>
      <c r="C702" s="3" t="str">
        <f ca="1">IFERROR(__xludf.DUMMYFUNCTION("GOOGLETRANSLATE(B702,""auto"",""en"")"),"1. The name of the product of the design of the product: The diagnosis and treatment records of the display screen panel management graphic user interface.
 2. Design products in appearance: used for interaction and display.
 3. Design of the design o"&amp;"f the product in appearance: lies in the interface content of the graphic user interface.
 4. Pictures or photos that can best show design points: Figure 1 of the interface change state.
 5. There is no design point for other views, omitting other vie"&amp;"ws.
 6. The purpose of the graphical user interface: It is used to view the management record of each consultation.
 7. Human -computer interaction method of graphics user interface: The main view is the management interface of the diagnosis and treat"&amp;"ment records of the smart medical cloud platform system. The button, jump to the results of the query information of the inquiry information of the interface change state; click the ""view"" button of each list of information in the interface change state"&amp;", jump to the interface change state Figure 2 or interface change status Figure 3 Detailed consultation status information interface; changing state of the sliding interface Figure 3 The sliding toolbar on the right side, as shown in the interface changes"&amp;", the detailed display detailed diagnosis and treatment information interface shows.
 8. The displayed carrier equipment for display is the existing design. The display screen panel can be applied to computers, laptops, tablet computers, mobile phones, "&amp;"smartphones, smart glasses, watches, smart watches, fitness monitors, head wearing, head wearing Form headphones, personal digital assistants, smart speakers, television, monitor, set -top box, navigator, display device for vehicles.")</f>
        <v>1. The name of the product of the design of the product: The diagnosis and treatment records of the display screen panel management graphic user interface.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It is used to view the management record of each consultation.
 7. Human -computer interaction method of graphics user interface: The main view is the management interface of the diagnosis and treatment records of the smart medical cloud platform system. The button, jump to the results of the query information of the inquiry information of the interface change state; click the "view" button of each list of information in the interface change state, jump to the interface change state Figure 2 or interface change status Figure 3 Detailed consultation status information interface; changing state of the sliding interface Figure 3 The sliding toolbar on the right side, as shown in the interface changes, the detailed display detailed diagnosis and treatment information interface shows.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set -top box, navigator, display device for vehicles.</v>
      </c>
      <c r="D702" s="6" t="s">
        <v>2062</v>
      </c>
      <c r="E702" s="4" t="str">
        <f ca="1">IFERROR(__xludf.DUMMYFUNCTION("GOOGLETRANSLATE(D702,""auto"",""en"")"),"Diagnosis and treatment records of display screen panels Manage graphic user interface")</f>
        <v>Diagnosis and treatment records of display screen panels Manage graphic user interface</v>
      </c>
    </row>
    <row r="703" spans="1:5" ht="15" x14ac:dyDescent="0.25">
      <c r="A703" s="5" t="s">
        <v>2063</v>
      </c>
      <c r="B703" s="6" t="s">
        <v>2064</v>
      </c>
      <c r="C703" s="3" t="str">
        <f ca="1">IFERROR(__xludf.DUMMYFUNCTION("GOOGLETRANSLATE(B703,""auto"",""en"")"),"The invention involves the field of image data processing technology, which specifically involves a football robot and recognition method based on deep learning, including visual system, data processing system, kicking system, and mobile chassis. The data"&amp;" processing system includes image processing subsystems, trajectory calculators Systems and instruction output subsystems, visual system collection target area screens; image processing subsystem establishment target recognition network models to identify"&amp;" the target area screen to get ball targets; Instructions; mobile chassis drive the kick system based on the mobile instructions; the kicking system shoots the ball target based on the shooting instruction. The complex background composed of the remaining"&amp;" football robots on the court will interfere with the recognition of football targets.")</f>
        <v>The invention involves the field of image data processing technology, which specifically involves a football robot and recognition method based on deep learning, including visual system, data processing system, kicking system, and mobile chassis. The data processing system includes image processing subsystems, trajectory calculators Systems and instruction output subsystems, visual system collection target area screens; image processing subsystem establishment target recognition network models to identify the target area screen to get ball targets; Instructions; mobile chassis drive the kick system based on the mobile instructions; the kicking system shoots the ball target based on the shooting instruction. The complex background composed of the remaining football robots on the court will interfere with the recognition of football targets.</v>
      </c>
      <c r="D703" s="6" t="s">
        <v>2065</v>
      </c>
      <c r="E703" s="4" t="str">
        <f ca="1">IFERROR(__xludf.DUMMYFUNCTION("GOOGLETRANSLATE(D703,""auto"",""en"")"),"A football robot and recognition method based on deep learning")</f>
        <v>A football robot and recognition method based on deep learning</v>
      </c>
    </row>
    <row r="704" spans="1:5" ht="15" x14ac:dyDescent="0.25">
      <c r="A704" s="5" t="s">
        <v>2066</v>
      </c>
      <c r="B704" s="6" t="s">
        <v>2067</v>
      </c>
      <c r="C704" s="3" t="str">
        <f ca="1">IFERROR(__xludf.DUMMYFUNCTION("GOOGLETRANSLATE(B704,""auto"",""en"")"),"The present invention disclosed a swimming posture assessment method, system, device and computer readable storage medium, which belongs to the field of swimming gesture evaluation technology, including: obtain swimming images, identify human posture data"&amp;", generate two sets of coordinates; establish a three -dimensional posture model; it will The anchor -point coordinate filter generated by the same scene can be converted to three -dimensional coordinates; three -dimensional coordinates are generated into"&amp;" three -dimensional vectors, and angle between the vector is calculated; set the swimmer's joint angle threshold to determine whether the swimming posture is qualified. The invention is the present invention. With the improvement of deep learning and comp"&amp;"uting rates, the research on posture recognition continues to deepen. By shooting the human posture, marking the joints such as elbows, ankles, and heads. , Generate models and provide corresponding correction tools to improve recognition efficiency in di"&amp;"fferent environmental backgrounds.")</f>
        <v>The present invention disclosed a swimming posture assessment method, system, device and computer readable storage medium, which belongs to the field of swimming gesture evaluation technology, including: obtain swimming images, identify human posture data, generate two sets of coordinates; establish a three -dimensional posture model; it will The anchor -point coordinate filter generated by the same scene can be converted to three -dimensional coordinates; three -dimensional coordinates are generated into three -dimensional vectors, and angle between the vector is calculated; set the swimmer's joint angle threshold to determine whether the swimming posture is qualified. The invention is the present invention. With the improvement of deep learning and computing rates, the research on posture recognition continues to deepen. By shooting the human posture, marking the joints such as elbows, ankles, and heads. , Generate models and provide corresponding correction tools to improve recognition efficiency in different environmental backgrounds.</v>
      </c>
      <c r="D704" s="6" t="s">
        <v>2068</v>
      </c>
      <c r="E704" s="4" t="str">
        <f ca="1">IFERROR(__xludf.DUMMYFUNCTION("GOOGLETRANSLATE(D704,""auto"",""en"")"),"Swimming posture evaluation method, system, device and computer readable storage medium")</f>
        <v>Swimming posture evaluation method, system, device and computer readable storage medium</v>
      </c>
    </row>
    <row r="705" spans="1:5" ht="15" x14ac:dyDescent="0.25">
      <c r="A705" s="5" t="s">
        <v>2069</v>
      </c>
      <c r="B705" s="6" t="s">
        <v>2070</v>
      </c>
      <c r="C705" s="3" t="str">
        <f ca="1">IFERROR(__xludf.DUMMYFUNCTION("GOOGLETRANSLATE(B705,""auto"",""en"")"),"The present invention discloses a running behavior recognition method based on convolutional neural networks and acceleration sensors, involving intelligent identification software technology fields. The running behavior recognition method of the present "&amp;"invention is based on the three -axis acceleration sensor data, sampling in setting time interval, continuously collected the setting time data, and fixes and samples it through the three sample interpolation methods to obtain a fixed length with a fixed "&amp;"length. Time sequence, as a sample data, process multiple sample data as described above, and input the sample data into a convolutional neural network model to identify the motion status of the sample data; Status information submits data to other users "&amp;"to compare the similarity to determine whether there is an act of running. The present invention can be applied and integrated in running software to determine whether there is cheating in running and punching cards to ensure that college students can com"&amp;"plete the running and punch card tasks.")</f>
        <v>The present invention discloses a running behavior recognition method based on convolutional neural networks and acceleration sensors, involving intelligent identification software technology fields. The running behavior recognition method of the present invention is based on the three -axis acceleration sensor data, sampling in setting time interval, continuously collected the setting time data, and fixes and samples it through the three sample interpolation methods to obtain a fixed length with a fixed length. Time sequence, as a sample data, process multiple sample data as described above, and input the sample data into a convolutional neural network model to identify the motion status of the sample data; Status information submits data to other users to compare the similarity to determine whether there is an act of running. The present invention can be applied and integrated in running software to determine whether there is cheating in running and punching cards to ensure that college students can complete the running and punch card tasks.</v>
      </c>
      <c r="D705" s="6" t="s">
        <v>2071</v>
      </c>
      <c r="E705" s="4" t="str">
        <f ca="1">IFERROR(__xludf.DUMMYFUNCTION("GOOGLETRANSLATE(D705,""auto"",""en"")"),"Running behavior recognition method based on convolutional neural networks and acceleration sensors")</f>
        <v>Running behavior recognition method based on convolutional neural networks and acceleration sensors</v>
      </c>
    </row>
    <row r="706" spans="1:5" ht="15" x14ac:dyDescent="0.25">
      <c r="A706" s="5" t="s">
        <v>2072</v>
      </c>
      <c r="B706" s="6" t="s">
        <v>2073</v>
      </c>
      <c r="C706" s="3" t="str">
        <f ca="1">IFERROR(__xludf.DUMMYFUNCTION("GOOGLETRANSLATE(B706,""auto"",""en"")"),"1. Design product name: The graphic user interface of the video shooting of the display screen panel.
 2. Design products in appearance: used for running procedures, information display, and human -computer interaction.
 3. Design of design products i"&amp;"n this appearance: lies in the graphic user interface in the screen.
 4. Pictures or photos that can most indicate design points: main view.
 5. The purpose of graphical user interface: This graphic user interface is used for video shooting.
 The ma"&amp;"in view is the video shooting interface, the video template is displayed in the lower part of the interface, the user clicks any video template to enter the horizontal screen shooting interface of the video template. At the same time, the circular button "&amp;"becomes the time progress bar. After entering the interface change state Figure 3, at this time, the first video clip was filmed, and the progress bar of the representative video fragment at the bottom of the interface will be displayed. Continue to click"&amp;" the circular button on the right side of the interface to continue to shoot the video until the four until the four until the four until the four until the four until the four until the four until the four until the four until the four until the four unt"&amp;"il the four until the four until the four until the four until the four until the four until the four until the four until the four until the fourth 4 After all the video fragments are filmed, enter the interface change state Figure 4, and the central cir"&amp;"cle of the circular button on the right side of the interface becomes arrows. The progress bar of the representative video fragments at the bottom of the interface is completed. Click the circular button to enter the interface change State Figure 5, the m"&amp;"iddle arrow of the round button on the right side of the interface becomes a pair hook, click the circular button to complete the shooting.
 6. This display screen panel can be used for vehicles, computers, laptops, tablets, mobile phones, smart watches"&amp;", smart bracelets, fitness monitor, headset headphones, personal digital assistants (PDA), smart speakers, TV, set -top boxes, set -top boxes, set -top boxes, set -top boxes, set -top boxes, set -top boxes, set -top boxes, set -top boxes, set -top boxes, "&amp;"set -top boxes, set -top box, Projector, game console or navigator.")</f>
        <v>1. Design product name: The graphic user interface of the video shooting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graphical user interface: This graphic user interface is used for video shooting.
 The main view is the video shooting interface, the video template is displayed in the lower part of the interface, the user clicks any video template to enter the horizontal screen shooting interface of the video template. At the same time, the circular button becomes the time progress bar. After entering the interface change state Figure 3, at this time, the first video clip was filmed, and the progress bar of the representative video fragment at the bottom of the interface will be displayed. Continue to click the circular button on the right side of the interface to continue to shoot the video until the four until the four until the four until the four until the four until the four until the four until the four until the four until the four until the four until the four until the four until the four until the four until the four until the four until the four until the four until the four until the fourth 4 After all the video fragments are filmed, enter the interface change state Figure 4, and the central circle of the circular button on the right side of the interface becomes arrows. The progress bar of the representative video fragments at the bottom of the interface is completed. Click the circular button to enter the interface change State Figure 5, the middle arrow of the round button on the right side of the interface becomes a pair hook, click the circular button to complete the shooting.
 6.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706" s="6" t="s">
        <v>2074</v>
      </c>
      <c r="E706" s="4" t="str">
        <f ca="1">IFERROR(__xludf.DUMMYFUNCTION("GOOGLETRANSLATE(D706,""auto"",""en"")"),"Graphic user interface of video shooting of the display screen panel")</f>
        <v>Graphic user interface of video shooting of the display screen panel</v>
      </c>
    </row>
    <row r="707" spans="1:5" ht="15" x14ac:dyDescent="0.25">
      <c r="A707" s="5" t="s">
        <v>2075</v>
      </c>
      <c r="B707" s="6" t="s">
        <v>2076</v>
      </c>
      <c r="C707" s="3" t="str">
        <f ca="1">IFERROR(__xludf.DUMMYFUNCTION("GOOGLETRANSLATE(B707,""auto"",""en"")"),"1. Design product name: The graphic user interface of the camera panel of the display screen panel.
 2. Design products in appearance: used for running procedures, information display, and human -computer interaction.
 3. Design of the design of the p"&amp;"roduct in this exterior: lies in the interface content of the graphic user interface in the screen.
 4. Pictures or photos that can best show design: Design 1 main view.
 5. Specify design 1 is the basic design.
 6. The purpose of the graphical user"&amp;" interface: The design point of this graphic user interface lies in the layout of the camera panel. The design 1 is designed as the portrait of the portrait of the portrait, and the design 2 main view is the camera interface. The user can perform related "&amp;"operations according to the interface prompt.
 7. Other instructions: This display screen panel is applied to vehicles, computers, laptops, tablets, mobile phones, smart watches, smart bracelets, fitness monitor, headset headphones, personal digital ass"&amp;"istants (PDA), smart speakers, TVs, TVs , Skytop box, projector, game console or navigator.")</f>
        <v>1. Design product name: The graphic user interface of the camera panel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layout of the camera panel. The design 1 is designed as the portrait of the portrait of the portrait, and the design 2 main view is the camera interface. The user can perform related operations according to the interface prompt.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707" s="6" t="s">
        <v>2077</v>
      </c>
      <c r="E707" s="4" t="str">
        <f ca="1">IFERROR(__xludf.DUMMYFUNCTION("GOOGLETRANSLATE(D707,""auto"",""en"")"),"The graphic user interface of the camera panel of the display screen panel")</f>
        <v>The graphic user interface of the camera panel of the display screen panel</v>
      </c>
    </row>
    <row r="708" spans="1:5" ht="15" x14ac:dyDescent="0.25">
      <c r="A708" s="5" t="s">
        <v>2078</v>
      </c>
      <c r="B708" s="6" t="s">
        <v>2079</v>
      </c>
      <c r="C708" s="3" t="str">
        <f ca="1">IFERROR(__xludf.DUMMYFUNCTION("GOOGLETRANSLATE(B708,""auto"",""en"")"),"1. The name of the product of the product: The graphic user interface set by the zoom parameter settings of the display screen panel.
 2. Design products in appearance: used for running procedures, information display, and human -computer interaction.
 "&amp;"
 3. Design of design products in this appearance: lies in the graphic user interface in the screen.
 4. Pictures or photos that can best show design: Design 1 main view.
 5. Specify design 1 is the basic design.
 6. The purpose of graphical user in"&amp;"terface: The design point of this graphic user interface lies in the zoom parameter settings of the camera.
 Design 1 Main view to design 10 main views is a camera interface set by the focal parameter settings. Users can perform related operations accor"&amp;"ding to the interface prompts.
 Design 10 main views is the camera interface set by the zoom parameter settings. The user can slide the zoom shaft to adjust the zoom multiple. At the same time, the current zoom multiple is displayed above the sliding sh"&amp;"aft, as shown in the design 10 interface change state diagram.
 7. This display screen panel can be used for vehicles, computers, laptops, tablets, mobile phones, smart watches, smart bracelets, fitness monitor, headset headphones, personal digital assi"&amp;"stants (PDA), smart speakers, TV, set -top boxes, set -top boxes, set -top boxes, set -top boxes, set -top boxes, set -top boxes, set -top boxes, set -top boxes, set -top boxes, set -top boxes, set -top box, Projector, game console or navigator.")</f>
        <v>1. The name of the product of the product: The graphic user interface set by the zoom parameter settings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zoom parameter settings of the camera.
 Design 1 Main view to design 10 main views is a camera interface set by the focal parameter settings. Users can perform related operations according to the interface prompts.
 Design 10 main views is the camera interface set by the zoom parameter settings. The user can slide the zoom shaft to adjust the zoom multiple. At the same time, the current zoom multiple is displayed above the sliding shaft, as shown in the design 10 interface change state diagram.
 7.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v>
      </c>
      <c r="D708" s="6" t="s">
        <v>2080</v>
      </c>
      <c r="E708" s="4" t="str">
        <f ca="1">IFERROR(__xludf.DUMMYFUNCTION("GOOGLETRANSLATE(D708,""auto"",""en"")"),"The graphical user interface set by the zoom parameter settings of the display screen panel")</f>
        <v>The graphical user interface set by the zoom parameter settings of the display screen panel</v>
      </c>
    </row>
    <row r="709" spans="1:5" ht="15" x14ac:dyDescent="0.25">
      <c r="A709" s="5" t="s">
        <v>2081</v>
      </c>
      <c r="B709" s="6" t="s">
        <v>2082</v>
      </c>
      <c r="C709" s="3" t="str">
        <f ca="1">IFERROR(__xludf.DUMMYFUNCTION("GOOGLETRANSLATE(B709,""auto"",""en"")"),"1. Design product name: The graphic user interface set by the camera parameters of the display screen panel.
 2. Design products in appearance: used for running procedures, information display, and human -computer interaction.
 3. Design of the design"&amp;" of the product in this exterior: lies in the interface content of the graphic user interface in the screen.
 4. Pictures or photos that can best show design: Design 1 main view.
 5. Specify design 1 is the basic design.
 6. The purpose of the graph"&amp;"ical user interface: The design point of this graphic user interface lies in the camera parameter setting interface.
 Design 1 main view to design 6 main view is a camera interface set with parameter settings. Users can perform related operations accord"&amp;"ing to the interface prompts.
 7. Other instructions: This display screen panel is applied to vehicles, computers, laptops, tablets, mobile phones, smart watches, smart bracelets, fitness monitor, headset headphones, personal digital assistants (PDA), s"&amp;"mart speakers, TVs, TVs , Skytop box, projector, game console or navigator.")</f>
        <v>1. Design product name: The graphic user interface set by the camera parameters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camera parameter setting interface.
 Design 1 main view to design 6 main view is a camera interface set with parameter settings. Users can perform related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709" s="6" t="s">
        <v>2083</v>
      </c>
      <c r="E709" s="4" t="str">
        <f ca="1">IFERROR(__xludf.DUMMYFUNCTION("GOOGLETRANSLATE(D709,""auto"",""en"")"),"The graphical user interface set by the photo parameter settings of the display screen panel")</f>
        <v>The graphical user interface set by the photo parameter settings of the display screen panel</v>
      </c>
    </row>
    <row r="710" spans="1:5" ht="15" x14ac:dyDescent="0.25">
      <c r="A710" s="5" t="s">
        <v>2084</v>
      </c>
      <c r="B710" s="6" t="s">
        <v>2085</v>
      </c>
      <c r="C710" s="3" t="str">
        <f ca="1">IFERROR(__xludf.DUMMYFUNCTION("GOOGLETRANSLATE(B710,""auto"",""en"")"),"1. Design product name: Graphic user interface for the camera effect selection of the display screen panel.
 2. Design products in appearance: used for running procedures, information display, and human -computer interaction.
 3. Design of the design "&amp;"of the product in this exterior: lies in the interface content of the graphic user interface in the screen.
 4. Pictures or photos that can best show design: Design 1 main view.
 5. Specify design 1 is the basic design.
 6. The purpose of the graphi"&amp;"c user interface: The design point of this graphic user interface lies in the choice of camera effect. Design 1 main view to design 7 main views as a photo interface with a photo effect (such as optical lens effect). Users can prompt according to the inte"&amp;"rface prompts according to the interface prompts Carry out related operations.
 7. Other instructions: This display screen panel is applied to vehicles, computers, laptops, tablets, mobile phones, smart watches, smart bracelets, fitness monitor, headset"&amp;" headphones, personal digital assistants (PDA), smart speakers, TVs, TVs , Skytop box, projector, game console or navigator.")</f>
        <v>1. Design product name: Graphic user interface for the camera effect selection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 user interface: The design point of this graphic user interface lies in the choice of camera effect. Design 1 main view to design 7 main views as a photo interface with a photo effect (such as optical lens effect). Users can prompt according to the interface prompts according to the interface prompts Carry out related operations.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710" s="6" t="s">
        <v>2086</v>
      </c>
      <c r="E710" s="4" t="str">
        <f ca="1">IFERROR(__xludf.DUMMYFUNCTION("GOOGLETRANSLATE(D710,""auto"",""en"")"),"The graphic user interface of the camera effect selection of the display screen panel")</f>
        <v>The graphic user interface of the camera effect selection of the display screen panel</v>
      </c>
    </row>
    <row r="711" spans="1:5" ht="15" x14ac:dyDescent="0.25">
      <c r="A711" s="5" t="s">
        <v>2087</v>
      </c>
      <c r="B711" s="6" t="s">
        <v>2088</v>
      </c>
      <c r="C711" s="3" t="str">
        <f ca="1">IFERROR(__xludf.DUMMYFUNCTION("GOOGLETRANSLATE(B711,""auto"",""en"")"),"1. Design product name: The graphic user interface of the delayed photography of the display screen panel.
 2. Design products in appearance: used for running procedures, information display, and human -computer interaction.
 3. Design of the design o"&amp;"f the product in this exterior: lies in the interface content of the graphic user interface in the screen.
 4. Pictures or photos that can best show design: Design 1 main view.
 5. Specify design 1 is the basic design.
 6. The purpose of the graphic"&amp;"al user interface: The design point of this graphic user interface lies in the delayed photography camera interface.
 Design 1 main view to design 4 main view is a delayed photography camera interface set with speed -time settings. Users can perform rel"&amp;"ated operations according to the interface prompts.
 7. Other instructions: This display screen panel is applied to vehicles, computers, laptops, tablets, mobile phones, smart watches, smart bracelets, fitness monitor, headset headphones, personal digit"&amp;"al assistants (PDA), smart speakers, TVs, TVs , Skytop box, projector, game console or navigator.")</f>
        <v>1. Design product name: The graphic user interface of the delayed photography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delayed photography camera interface.
 Design 1 main view to design 4 main view is a delayed photography camera interface set with speed -time settings. Users can perform related operations according to the interface prompts.
 7. Other instructions: This display screen panel is applied to vehicles, computers, laptops, tablets, mobile phones, smart watches, smart bracelets, fitness monitor, headset headphones, personal digital assistants (PDA), smart speakers, TVs, TVs , Skytop box, projector, game console or navigator.</v>
      </c>
      <c r="D711" s="6" t="s">
        <v>2089</v>
      </c>
      <c r="E711" s="4" t="str">
        <f ca="1">IFERROR(__xludf.DUMMYFUNCTION("GOOGLETRANSLATE(D711,""auto"",""en"")"),"The graphical user interface of the delayed photography of the display screen panel")</f>
        <v>The graphical user interface of the delayed photography of the display screen panel</v>
      </c>
    </row>
    <row r="712" spans="1:5" ht="15" x14ac:dyDescent="0.25">
      <c r="A712" s="5" t="s">
        <v>2090</v>
      </c>
      <c r="B712" s="6" t="s">
        <v>2091</v>
      </c>
      <c r="C712" s="3" t="str">
        <f ca="1">IFERROR(__xludf.DUMMYFUNCTION("GOOGLETRANSLATE(B712,""auto"",""en"")"),"1. The name of the product of the design of the product: The camera of the display screen panel quickly continuously shot graphic user interface.
 2. Design products in appearance: used for running procedures, information display, and human -computer in"&amp;"teraction.
 3. Design of design products in this appearance: lies in the graphic user interface in the screen.
 4. Pictures or photos that can best show design: Design 1 main view.
 5. Specify design 1 is the basic design.
 6. The purpose of the g"&amp;"raphical user interface: The design point of this graphic user interface lies in the camera fast continuous continuous shooting. Use the user long press the photo button and slide the right to the right.
 Design 1 The main view is the camera interface. "&amp;"The user long holds the photo button and slide to the right. You can drag a circular icon from the camera button. Separate from the camera button. At this time, enter the camera fast continuous shooting mode. The number on the camera button represents the"&amp;" current shooting number, as shown in the design 1 interface change state. Essence
 Design 2 main view is the camera interface. Users long press the photo button and slide to the right. You can drag out a ring icon from the camera button, as shown in th"&amp;"e design 2 interface change state. Separate from the camera button. At this time, enter the camera shortcut continuous shooting mode. The number on the camera button represents the current shooting number, as shown in the design 2 interface change state. "&amp;"Essence
 Design 3 main views is the camera interface. Users long press the photo button and slide to the right. You can drag out a circular icon from the camera button. Separate from the camera button. At this time, enter the camera quick continuous sho"&amp;"oting mode. The number on the camera button represents the current number of shooting. Essence
 Design 4 Main view is the camera interface. Users long press the photo button and slide to the right. You can drag a circular icon from the camera button, as"&amp;" shown in the design 4 interface change state. Separate from the camera button. At this time, enter the camera shortcut continuous shooting mode. The number on the camera button represents the current shooting number. Essence
 Design 5 Main view is the "&amp;"camera interface. Users long press the photo button and slide to the right. You can drag a ring icon from the camera button, as shown in the design 5 interface change state. Separate from the camera button. At this time, enter the camera quick continuous "&amp;"shooting mode. The number on the camera button represents the current number of shooting. Essence
 Design 6 main views is the camera interface. Users long press the photo button and slide to the right. You can drag a circular icon from the camera button"&amp;", as shown in the design 6 interface change state. Separate from the camera button. At this time, enter the camera shortcut continuous shooting mode. The number on the camera button represents the current shooting number. Essence
 7. This display screen"&amp;" panel can be used for vehicles, computers, laptops, tablets, mobile phones, smart watches, smart bracelets, fitness monitor, headset headphones, personal digital assistants (PDA), smart speakers, TV, set -top boxes, set -top boxes, set -top boxes, set -t"&amp;"op boxes, set -top boxes, set -top boxes, set -top boxes, set -top boxes, set -top boxes, set -top boxes, set -top box, Projector, game console or navigator.
 Among them, design 4. Design 5 and design 6 Request to protect the color.")</f>
        <v>1. The name of the product of the design of the product: The camera of the display screen panel quickly continuously shot graphic user interface.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camera fast continuous continuous shooting. Use the user long press the photo button and slide the right to the right.
 Design 1 The main view is the camera interface. The user long holds the photo button and slide to the right. You can drag a circular icon from the camera button. Separate from the camera button. At this time, enter the camera fast continuous shooting mode. The number on the camera button represents the current shooting number, as shown in the design 1 interface change state. Essence
 Design 2 main view is the camera interface. Users long press the photo button and slide to the right. You can drag out a ring icon from the camera button, as shown in the design 2 interface change state. Separate from the camera button. At this time, enter the camera shortcut continuous shooting mode. The number on the camera button represents the current shooting number, as shown in the design 2 interface change state. Essence
 Design 3 main views is the camera interface. Users long press the photo button and slide to the right. You can drag out a circular icon from the camera button. Separate from the camera button. At this time, enter the camera quick continuous shooting mode. The number on the camera button represents the current number of shooting. Essence
 Design 4 Main view is the camera interface. Users long press the photo button and slide to the right. You can drag a circular icon from the camera button, as shown in the design 4 interface change state. Separate from the camera button. At this time, enter the camera shortcut continuous shooting mode. The number on the camera button represents the current shooting number. Essence
 Design 5 Main view is the camera interface. Users long press the photo button and slide to the right. You can drag a ring icon from the camera button, as shown in the design 5 interface change state. Separate from the camera button. At this time, enter the camera quick continuous shooting mode. The number on the camera button represents the current number of shooting. Essence
 Design 6 main views is the camera interface. Users long press the photo button and slide to the right. You can drag a circular icon from the camera button, as shown in the design 6 interface change state. Separate from the camera button. At this time, enter the camera shortcut continuous shooting mode. The number on the camera button represents the current shooting number. Essence
 7.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
 Among them, design 4. Design 5 and design 6 Request to protect the color.</v>
      </c>
      <c r="D712" s="6" t="s">
        <v>2092</v>
      </c>
      <c r="E712" s="4" t="str">
        <f ca="1">IFERROR(__xludf.DUMMYFUNCTION("GOOGLETRANSLATE(D712,""auto"",""en"")"),"The camera of the display screen panel fast continuous shot graphic user interface")</f>
        <v>The camera of the display screen panel fast continuous shot graphic user interface</v>
      </c>
    </row>
    <row r="713" spans="1:5" ht="15" x14ac:dyDescent="0.25">
      <c r="A713" s="5" t="s">
        <v>2093</v>
      </c>
      <c r="B713" s="6" t="s">
        <v>2094</v>
      </c>
      <c r="C713" s="3" t="str">
        <f ca="1">IFERROR(__xludf.DUMMYFUNCTION("GOOGLETRANSLATE(B713,""auto"",""en"")"),"1. The name of the product of the design of the product: The graphic user interface set by the camera shutter setting of the display screen panel. 2. Design products in appearance: used for running procedures, information display, and human -computer inte"&amp;"raction. 3. Design of design products in this appearance: lies in the graphic user interface in the screen. 4. Pictures or photos that can best show design: Design 1 main view. 5. Specify design 1 is the basic design. 6. The purpose of the graphical user "&amp;"interface: The design point of this graphic user interface lies in the camera shutter settings. Use the shutter shooting button in the interface and slide outward, drag to any location of the interface, and add a smart shutter shooting button. Conversely,"&amp;" the user grows the smart shutter shooting button on the interface and drag it, which can merge the smart shutter shooting button with the shutter shooting button. Design 1 The main view is the camera interface. The user long press the shutter shooting bu"&amp;"tton in the interface and slide out to the outside to drag out the circular icon. As shown in the design 1 interface change state, the user can drag the circular icon to the interface in the interface. Any position, you can add a smart shutter shooting bu"&amp;"tton, as shown in the design 1 interface change state. 2. Design 2 Main view is a camera interface with a smart shutter shooting button. Users long press the smart shutter shooting button and drag it. You can combine the smart shutter shooting button and "&amp;"the shutter shooting button into one. The interface changes are shown in Figure 2. Design 3 main view is the camera interface. The user long press the shutter shooting button in the interface and slide out to the outside to drag out the ring icon. As show"&amp;"n in the design 3 interface change state, the user can drag the ring icon to the interface in the interface. Any position, you can add a smart shutter shooting button, as shown in the design 3 interface change state. Design 4 The main view is a camera int"&amp;"erface with a smart shutter shooting button. Users long press the smart shutter shooting button and drag it. You can combine the smart shutter shooting button and the shutter shooting button into one. The interface changes are shown in Figure 2. Design 5 "&amp;"Main view is the camera interface. Users long press the shutter shooting button in the interface and slide outward to drag out the circular icon. As shown in the design 5 interface change state, the user can drag the circular icon to the interface in the "&amp;"interface. Any position, you can add a new smart shutter shooting button, as shown in the design 5 interface change state. 2. Design 6 The main view is a camera interface with a smart shutter shooting button. Users long press the smart shutter shooting bu"&amp;"tton and drag it. You can combine the smart shutter shooting button and the shutter shooting button into one, such as design 6 interface changes. Figure 1 and design 6 The interface changes are shown in Figure 2. Design 7 main views is the camera interfac"&amp;"e. Users long press the shutter shooting button in the interface and slide outward to drag out the circular icon. As shown in the design 7 interface change state, the user can drag the circular icon to the interface in the interface. Any position, you can"&amp;" add a new smart shutter shooting button, as shown in the design 7 interface change state. Design 8 Main view is a camera interface with a smart shutter shooting button. Users long press the smart shutter shooting button and drag it. You can combine the s"&amp;"mart shutter shooting button and the shutter shooting button into one. The interface changes are shown in Figure 2. Design 9 Main view is the camera interface. Users long press the shutter shooting button in the interface and slide outward to drag out the"&amp;" ring icon. As shown in the design 9 interface change state, the user can drag the ring icon to the interface in the interface. Any position, you can add a new smart shutter shooting button, as shown in the design 9 interface change state. Design 10 main "&amp;"views as a camera interface. Users long press the shutter shooting button in the interface and slide out to the outside to drag out the circular icon. As shown in the design 10 interface change state, the user can drag the circular icon to the interface i"&amp;"n the interface. Any position, you can add a new smart shutter shooting button, as shown in the design 10 interface change state. 7. This display screen panel can be used for vehicles, computers, laptops, tablets, mobile phones, smart watches, smart brace"&amp;"lets, fitness monitor, headset headphones, personal digital assistants (PDA), smart speakers, TV, set -top boxes, set -top boxes, set -top boxes, set -top boxes, set -top boxes, set -top boxes, set -top boxes, set -top boxes, set -top boxes, set -top boxe"&amp;"s, set -top box, Projector, game console or navigator. Among them, the design 10 requests protects the color.")</f>
        <v>1. The name of the product of the design of the product: The graphic user interface set by the camera shutter setting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camera shutter settings. Use the shutter shooting button in the interface and slide outward, drag to any location of the interface, and add a smart shutter shooting button. Conversely, the user grows the smart shutter shooting button on the interface and drag it, which can merge the smart shutter shooting button with the shutter shooting button. Design 1 The main view is the camera interface. The user long press the shutter shooting button in the interface and slide out to the outside to drag out the circular icon. As shown in the design 1 interface change state, the user can drag the circular icon to the interface in the interface. Any position, you can add a smart shutter shooting button, as shown in the design 1 interface change state. 2. Design 2 Main view is a camera interface with a smart shutter shooting button. Users long press the smart shutter shooting button and drag it. You can combine the smart shutter shooting button and the shutter shooting button into one. The interface changes are shown in Figure 2. Design 3 main view is the camera interface. The user long press the shutter shooting button in the interface and slide out to the outside to drag out the ring icon. As shown in the design 3 interface change state, the user can drag the ring icon to the interface in the interface. Any position, you can add a smart shutter shooting button, as shown in the design 3 interface change state. Design 4 The main view is a camera interface with a smart shutter shooting button. Users long press the smart shutter shooting button and drag it. You can combine the smart shutter shooting button and the shutter shooting button into one. The interface changes are shown in Figure 2. Design 5 Main view is the camera interface. Users long press the shutter shooting button in the interface and slide outward to drag out the circular icon. As shown in the design 5 interface change state, the user can drag the circular icon to the interface in the interface. Any position, you can add a new smart shutter shooting button, as shown in the design 5 interface change state. 2. Design 6 The main view is a camera interface with a smart shutter shooting button. Users long press the smart shutter shooting button and drag it. You can combine the smart shutter shooting button and the shutter shooting button into one, such as design 6 interface changes. Figure 1 and design 6 The interface changes are shown in Figure 2. Design 7 main views is the camera interface. Users long press the shutter shooting button in the interface and slide outward to drag out the circular icon. As shown in the design 7 interface change state, the user can drag the circular icon to the interface in the interface. Any position, you can add a new smart shutter shooting button, as shown in the design 7 interface change state. Design 8 Main view is a camera interface with a smart shutter shooting button. Users long press the smart shutter shooting button and drag it. You can combine the smart shutter shooting button and the shutter shooting button into one. The interface changes are shown in Figure 2. Design 9 Main view is the camera interface. Users long press the shutter shooting button in the interface and slide outward to drag out the ring icon. As shown in the design 9 interface change state, the user can drag the ring icon to the interface in the interface. Any position, you can add a new smart shutter shooting button, as shown in the design 9 interface change state. Design 10 main views as a camera interface. Users long press the shutter shooting button in the interface and slide out to the outside to drag out the circular icon. As shown in the design 10 interface change state, the user can drag the circular icon to the interface in the interface. Any position, you can add a new smart shutter shooting button, as shown in the design 10 interface change state. 7. This display screen panel can be used for vehicles, computers, laptops, tablets, mobile phones, smart watches, smart bracelets, fitness monitor, headset headphones, personal digital assistants (PDA), smart speakers, TV, set -top boxes, set -top boxes, set -top boxes, set -top boxes, set -top boxes, set -top boxes, set -top boxes, set -top boxes, set -top boxes, set -top boxes, set -top box, Projector, game console or navigator. Among them, the design 10 requests protects the color.</v>
      </c>
      <c r="D713" s="6" t="s">
        <v>2095</v>
      </c>
      <c r="E713" s="4" t="str">
        <f ca="1">IFERROR(__xludf.DUMMYFUNCTION("GOOGLETRANSLATE(D713,""auto"",""en"")"),"Graphical user interface set by the camera shutter setting of the display screen panel")</f>
        <v>Graphical user interface set by the camera shutter setting of the display screen panel</v>
      </c>
    </row>
    <row r="714" spans="1:5" ht="15" x14ac:dyDescent="0.25">
      <c r="A714" s="5" t="s">
        <v>2096</v>
      </c>
      <c r="B714" s="6" t="s">
        <v>2097</v>
      </c>
      <c r="C714" s="3" t="str">
        <f ca="1">IFERROR(__xludf.DUMMYFUNCTION("GOOGLETRANSLATE(B714,""auto"",""en"")"),"1. Design product name: The graphic user interface set by the aperture parameters of the display screen panel. ; 2. Design products for designing products: used for running program, information display, human -computer interaction. ; 3. Design of the desi"&amp;"gn of the product in this exterior: lies in the graphic user interface in the screen. ; 4. The picture or photo that can most indicate the point of design: Design 1 main view. ; 5. Specifying design 1 is the basic design. 6. The purpose of the graphical u"&amp;"ser interface: The design point of this graphic user interface lies in the aperture parameters of the camera. Design 1 main view to design 5 main view is a camera interface set with aperture parameters. Users can perform relevant operations according to t"&amp;"he interface prompts. 7. Other situations that need to be explained other explanations: This display screen panel can be used for vehicles, computers, laptops, tablets, mobile phones, smart watches, smart bracelets, fitness monitor, headset headphones, pe"&amp;"rsonal number assistant (PDA ) Smart speakers, television, set -top boxes, projectors, game consoles or navigators. ; 1. The name of the design of the product: The graphic user interface set by the aperture parameters of the display screen panel. ; 2. Des"&amp;"ign products for designing products: used for running program, information display, human -computer interaction. ; 3. Design of the design of the product in this exterior: lies in the graphic user interface in the screen. ; 4. The picture or photo that ca"&amp;"n most indicate the point of design: Design 1 main view. ; 5. Specifying design 1 is the basic design. 6. The purpose of the graphical user interface: The design point of this graphic user interface lies in the aperture parameters of the camera. Design 1 "&amp;"main view to design 5 main view is a camera interface set with aperture parameters. Users can perform relevant operations according to the interface prompts. 7. Other situations that need to be explained other explanations: This display screen panel can b"&amp;"e used for vehicles, computers, laptops, tablets, mobile phones, smart watches, smart bracelets, fitness monitor, headset headphones, personal number assistant (PDA ) Smart speakers, television, set -top boxes, projectors, game consoles or navigators.")</f>
        <v>1. Design product name: The graphic user interface set by the aperture parameters of the display screen panel. ; 2. Design products for designing products: used for running program, information display, human -computer interaction. ; 3. Design of the design of the product in this exterior: lies in the graphic user interface in the screen. ; 4. The picture or photo that can most indicate the point of design: Design 1 main view. ; 5. Specifying design 1 is the basic design. 6. The purpose of the graphical user interface: The design point of this graphic user interface lies in the aperture parameters of the camera. Design 1 main view to design 5 main view is a camera interface set with aperture parameters. Users can perform relevant operations according to the interface prompts. 7. Other situations that need to be explained other explanations: This display screen panel can be used for vehicles, computers, laptops, tablets, mobile phones, smart watches, smart bracelets, fitness monitor, headset headphones, personal number assistant (PDA ) Smart speakers, television, set -top boxes, projectors, game consoles or navigators. ; 1. The name of the design of the product: The graphic user interface set by the aperture parameters of the display screen panel. ; 2. Design products for designing products: used for running program, information display, human -computer interaction. ; 3. Design of the design of the product in this exterior: lies in the graphic user interface in the screen. ; 4. The picture or photo that can most indicate the point of design: Design 1 main view. ; 5. Specifying design 1 is the basic design. 6. The purpose of the graphical user interface: The design point of this graphic user interface lies in the aperture parameters of the camera. Design 1 main view to design 5 main view is a camera interface set with aperture parameters. Users can perform relevant operations according to the interface prompts. 7. Other situations that need to be explained other explanations: This display screen panel can be used for vehicles, computers, laptops, tablets, mobile phones, smart watches, smart bracelets, fitness monitor, headset headphones, personal number assistant (PDA ) Smart speakers, television, set -top boxes, projectors, game consoles or navigators.</v>
      </c>
      <c r="D714" s="6" t="s">
        <v>2098</v>
      </c>
      <c r="E714" s="4" t="str">
        <f ca="1">IFERROR(__xludf.DUMMYFUNCTION("GOOGLETRANSLATE(D714,""auto"",""en"")"),"The graphical user interface set by the aperture parameter settings of the display screen panel")</f>
        <v>The graphical user interface set by the aperture parameter settings of the display screen panel</v>
      </c>
    </row>
    <row r="715" spans="1:5" ht="15" x14ac:dyDescent="0.25">
      <c r="A715" s="5" t="s">
        <v>2099</v>
      </c>
      <c r="B715" s="6" t="s">
        <v>2100</v>
      </c>
      <c r="C715" s="3" t="str">
        <f ca="1">IFERROR(__xludf.DUMMYFUNCTION("GOOGLETRANSLATE(B715,""auto"",""en"")"),"1. Design product name: Doctor interface for doctors on the display screen panel.
 2. Design products in appearance: used for interaction and display.
 3. Design of the design of the product in appearance: lies in the interface content of the graphic "&amp;"user interface.
 4. Pictures or photos that can best show design points: Figure 1 of the interface change state.
 5. There is no design point for other views, omitting other views.
 6. The purpose of the graphical user interface: used to view the sc"&amp;"hedule information of the management doctor.
 7. Human -computer interaction method of graphical user interface: The main view is the main interface of the schedule information of the smart medical system. The interface of the ""time management"" module"&amp;" of the schedule management can be displayed. The user can query the rules of the time period on this interface and click "" The ""New Time Rules"" button ""new period of time rules operation. When clicking on the"" Edit ""button on the right side of the "&amp;"rules in the mid -view period of the main view, jump to the editing period of the editing period of the interface change status of the interface. The ""class information"" module of the launching list in the view of the schedule is jumped to the interface"&amp;" change state. Figure 2 Display the detailed schedule information interface. The user can select the corresponding button on the interface to add, delete, delete, delete, and delete, delete, and delete, and Modify, query and other operations; click the """&amp;"new class"" button in the upper right upper part of the interface change state, jump to the interface change state. Figure 3 shows the newly -added class information interface. This interface shows ""diagnosis information"", "" Details such as registered "&amp;"information "","" stop diagnosis status ""and"" number order information "".
 8. The displayed carrier equipment for display is the existing design. The display screen panel can be applied to computers, laptops, tablet computers, mobile phones, smartpho"&amp;"nes, smart glasses, watches, smart watches, fitness monitors, head wearing, head wearing Form headphones, personal digital assistants, smart speakers, television, monitor, projector, set -top box, navigator, display device for vehicles.")</f>
        <v>1. Design product name: Doctor interface for doctors on the display screen panel.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the graphical user interface: used to view the schedule information of the management doctor.
 7. Human -computer interaction method of graphical user interface: The main view is the main interface of the schedule information of the smart medical system. The interface of the "time management" module of the schedule management can be displayed. The user can query the rules of the time period on this interface and click " The "New Time Rules" button "new period of time rules operation. When clicking on the" Edit "button on the right side of the rules in the mid -view period of the main view, jump to the editing period of the editing period of the interface change status of the interface. The "class information" module of the launching list in the view of the schedule is jumped to the interface change state. Figure 2 Display the detailed schedule information interface. The user can select the corresponding button on the interface to add, delete, delete, delete, and delete, delete, and delete, and Modify, query and other operations; click the "new class" button in the upper right upper part of the interface change state, jump to the interface change state. Figure 3 shows the newly -added class information interface. This interface shows "diagnosis information", " Details such as registered information "," stop diagnosis status "and" number order information ".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715" s="6" t="s">
        <v>2101</v>
      </c>
      <c r="E715" s="4" t="str">
        <f ca="1">IFERROR(__xludf.DUMMYFUNCTION("GOOGLETRANSLATE(D715,""auto"",""en"")"),"Doctors on display screen panels schedule graphic user interface")</f>
        <v>Doctors on display screen panels schedule graphic user interface</v>
      </c>
    </row>
    <row r="716" spans="1:5" ht="15" x14ac:dyDescent="0.25">
      <c r="A716" s="5" t="s">
        <v>2102</v>
      </c>
      <c r="B716" s="6" t="s">
        <v>2103</v>
      </c>
      <c r="C716" s="3" t="str">
        <f ca="1">IFERROR(__xludf.DUMMYFUNCTION("GOOGLETRANSLATE(B716,""auto"",""en"")"),"1. Design product name: Satisfaction of the display screen panel survey graphic user interface.
 2. Design products in appearance: used for interaction and display.
 3. Design of the design of the product in appearance: lies in the interface content o"&amp;"f the graphic user interface.
 4. Pictures or photos that can most indicate the point of design: Design 1 interface change state Figure 1.
 5. Design 1 other views without design, omitting design 1 Other views; design 2 other views without design poin"&amp;"ts, omitting design 2 other views.
 6. Specify design 1 is the basic design.
 7. The purpose of the graphical user interface: for user satisfaction feedback.
 8. Human -computer interaction method of graphical user interface: Design 1 The main view "&amp;"is the main interface of the smart medical system. Question volume list interface; click the survey table module in the design 1 interface change state, jump to the design 1 interface change state. The questionnaire preface interface displayed. The user c"&amp;"an enter the person in the interface, the department, etc. ; Click the ""Start Answering"" button in the design 1 interface change state, jump to the design 1 interface change state Figure 3 to the design 1 interface change status. With the type of questi"&amp;"ons in the empty question, users can click the ""Next Question"" button in the interface to enter the next question. You can also click the ""Previous"" button in the interface to return to the answer to the previous question; click the design 1 The ""Sub"&amp;"mit"" button in the interface changes in Figure 5, jump to the design 1 interface change state. 6 Display the submitted successful interface. In this interface, the information such as questionnaire and submission time are displayed. The user can click on"&amp;" the "" Return to the homepage button to return to the homepage interface; Design 2 main views as the main interface of the smart medical system, click the ""Satisfaction Survey"" button in the design 2 main viewing menu bar, jump to the design 2 interfac"&amp;"e change status graph display 1 displayed displayed Question volume list interface; click the survey form module in the design 2 interface change state, jump to the design 2 interface changes in the design 2 interface. Figure 2 Display the query quiz inte"&amp;"rface interface; , Jump to design 2 interface change state Figure 3 to design 2 interface change status. 5 Display the question volume interface, which are types of questions for single -choice, multiple choices, and blank questions. Users can click on th"&amp;"e answering interface "" Next question ""button to enter the next question, you can also click the"" Previous ""button in the interface to return to the answer to the previous question; click the"" Submit ""button in the Status 5 of the Design 2 interface"&amp;". Until the design 2 interface changes, the submission interface displayed in Figure 6, display information such as questionnaires and submission time in this interface. Users can click the ""Return to Homepage"" button in the interface to return to the h"&amp;"omepage interface.
 9. The displayed carrier equipment for display is the existing design. The display screen panel can be applied to computers, laptops, tablet computers, mobile phones, smartphones, smart glasses, watches, smart watches, fitness monito"&amp;"r, head wearing, head wearing Form headphones, personal digital assistants, smart speakers, television, monitor, projector, set -top box, navigator, display device for vehicles.")</f>
        <v>1. Design product name: Satisfaction of the display screen panel survey graphic user interface.
 2. Design products in appearance: used for interaction and display.
 3. Design of the design of the product in appearance: lies in the interface content of the graphic user interface.
 4. Pictures or photos that can most indicate the point of design: Design 1 interface change state Figure 1.
 5. Design 1 other views without design, omitting design 1 Other views; design 2 other views without design points, omitting design 2 other views.
 6. Specify design 1 is the basic design.
 7. The purpose of the graphical user interface: for user satisfaction feedback.
 8. Human -computer interaction method of graphical user interface: Design 1 The main view is the main interface of the smart medical system. Question volume list interface; click the survey table module in the design 1 interface change state, jump to the design 1 interface change state. The questionnaire preface interface displayed. The user can enter the person in the interface, the department, etc. ; Click the "Start Answering" button in the design 1 interface change state, jump to the design 1 interface change state Figure 3 to the design 1 interface change status. With the type of questions in the empty question, users can click the "Next Question" button in the interface to enter the next question. You can also click the "Previous" button in the interface to return to the answer to the previous question; click the design 1 The "Submit" button in the interface changes in Figure 5, jump to the design 1 interface change state. 6 Display the submitted successful interface. In this interface, the information such as questionnaire and submission time are displayed. The user can click on the " Return to the homepage button to return to the homepage interface; Design 2 main views as the main interface of the smart medical system, click the "Satisfaction Survey" button in the design 2 main viewing menu bar, jump to the design 2 interface change status graph display 1 displayed displayed Question volume list interface; click the survey form module in the design 2 interface change state, jump to the design 2 interface changes in the design 2 interface. Figure 2 Display the query quiz interface interface; , Jump to design 2 interface change state Figure 3 to design 2 interface change status. 5 Display the question volume interface, which are types of questions for single -choice, multiple choices, and blank questions. Users can click on the answering interface " Next question "button to enter the next question, you can also click the" Previous "button in the interface to return to the answer to the previous question; click the" Submit "button in the Status 5 of the Design 2 interface. Until the design 2 interface changes, the submission interface displayed in Figure 6, display information such as questionnaires and submission time in this interface. Users can click the "Return to Homepage" button in the interface to return to the homepage interface.
 9. The displayed carrier equipment for display is the existing design. The display screen panel can be applied to computers, laptops, tablet computers, mobile phones, smartphones, smart glasses, watches, smart watches, fitness monitor, head wearing, head wearing Form headphones, personal digital assistants, smart speakers, television, monitor, projector, set -top box, navigator, display device for vehicles.</v>
      </c>
      <c r="D716" s="6" t="s">
        <v>2104</v>
      </c>
      <c r="E716" s="4" t="str">
        <f ca="1">IFERROR(__xludf.DUMMYFUNCTION("GOOGLETRANSLATE(D716,""auto"",""en"")"),"Satisfaction of the display screen panel survey graphic user interface")</f>
        <v>Satisfaction of the display screen panel survey graphic user interface</v>
      </c>
    </row>
    <row r="717" spans="1:5" ht="15" x14ac:dyDescent="0.25">
      <c r="A717" s="5" t="s">
        <v>2105</v>
      </c>
      <c r="B717" s="6" t="s">
        <v>2106</v>
      </c>
      <c r="C717" s="3" t="str">
        <f ca="1">IFERROR(__xludf.DUMMYFUNCTION("GOOGLETRANSLATE(B717,""auto"",""en"")"),"1. Design product name: Healthy missionary graphic user interface for display screen panels.
 2. Design products in appearance: used for interaction and display.
 3. Design of the design of the product in appearance: lies in the interface content of t"&amp;"he graphic user interface.
 4. Pictures or photos that can best show design points: Figure 1 of the interface change state.
 5. There is no design point for other views, omitting other views.
 6. The purpose of graphical user interface: used to help"&amp;" patients with healthy mission.
 7. Human -computer interaction method of graphics user interface: The main view is the main interface of the smart medical system. List of the article in the ""Health Health"" column; click the ""Famous Medicine Lecture "&amp;"Hall"" button in the interface change state, jump to the interface of the interface change state. The ""XXXX"" button in the interface is jumped to the interface of the interface change state. List of articles in the column; when clicking the interface ch"&amp;"anges status Figure 1 to 4 articles in the article list, jump to the article detail interface displayed by the interface change state. 5.
 8. The displayed carrier equipment for display is the existing design. The display screen panel can be applied to "&amp;"computers, laptops, tablet computers, mobile phones, smartphones, smart glasses, watches, smart watches, fitness monitors, head wearing, head wearing Form headphones, personal digital assistants, smart speakers, television, monitor, projector, set -top bo"&amp;"x, navigator, display device for vehicles.")</f>
        <v>1. Design product name: Healthy missionary graphic user interface for display screen panels.
 2. Design products in appearance: used for interaction and display.
 3. Design of the design of the product in appearance: lies in the interface content of the graphic user interface.
 4. Pictures or photos that can best show design points: Figure 1 of the interface change state.
 5. There is no design point for other views, omitting other views.
 6. The purpose of graphical user interface: used to help patients with healthy mission.
 7. Human -computer interaction method of graphics user interface: The main view is the main interface of the smart medical system. List of the article in the "Health Health" column; click the "Famous Medicine Lecture Hall" button in the interface change state, jump to the interface of the interface change state. The "XXXX" button in the interface is jumped to the interface of the interface change state. List of articles in the column; when clicking the interface changes status Figure 1 to 4 articles in the article list, jump to the article detail interface displayed by the interface change state. 5.
 8. The displayed carrier equipment for display is the existing design. The display screen panel can be applied to computers, laptops, tablet computers, mobile phones, smartphones, smart glasses, watches, smart watches, fitness monitors, head wearing, head wearing Form headphones, personal digital assistants, smart speakers, television, monitor, projector, set -top box, navigator, display device for vehicles.</v>
      </c>
      <c r="D717" s="6" t="s">
        <v>2107</v>
      </c>
      <c r="E717" s="4" t="str">
        <f ca="1">IFERROR(__xludf.DUMMYFUNCTION("GOOGLETRANSLATE(D717,""auto"",""en"")"),"Healthy mission graphic user interface for display screen panels")</f>
        <v>Healthy mission graphic user interface for display screen panels</v>
      </c>
    </row>
    <row r="718" spans="1:5" ht="15" x14ac:dyDescent="0.25">
      <c r="A718" s="5" t="s">
        <v>2108</v>
      </c>
      <c r="B718" s="6" t="s">
        <v>2109</v>
      </c>
      <c r="C718" s="3" t="str">
        <f ca="1">IFERROR(__xludf.DUMMYFUNCTION("GOOGLETRANSLATE(B718,""auto"",""en"")"),"1. The name of the product in appearance: The display screen panel with the hotel service graphics user interface (03).
 2. The purpose of designing products in this exterior: The design of the product in this exterior is used for hotel services, provid"&amp;"ing the operating panel of the graphic user interface for users to choose from, which can be used for projectors, television, and tablet display equipment.
 3. Design of the design of the product here: lies in the user interaction interface displayed by"&amp;" the operation panel.
 4. Pictures or photos that can most indicate design points: main view.
 5. There are no main points of design, omittime views, left view, right view, push -view, back -view view.
 6. The purpose of the graphical user interface"&amp;": The graphic user interface of the design of the product is used for users to select hotel functions, aurora TV functions, live TV function, brand story function, mobile screen screen function.
 7. The area of ​​the graphic user interface in the produc"&amp;"t: the rectangular area on the operation panel.
 8. Human -computer interaction method of graphical user interface: Homepage displays the main view; 1) Operating the ""XX Hotel"" function button in the main view of the main view, the interface jumps fro"&amp;"m the main view to the interface change state. In the ""Lobby"" function button, the interface is changed from the interface change state. 1 jump to the interface change state Figure 6; the operation interface changes status. Figure 1 ""Coffee Bar"" funct"&amp;"ion button. Figure 7; Operation interface changes status Figure 1 In the ""Restaurant"" function button, the interface changes from the interface changes. Figure 1 jump to the interface change state. 8; Figure 1 Jump to the interface change state Figure 9"&amp;"; the operating interface changes status Figure 1 The ""tea break area"" function button in the interface 1, the interface changes from the interface state. TV ""Function button, the interface jumps from the main view to the interface change state Figure "&amp;"2; 4) The"" live TV ""function button in the main view of the main view, the interface jumps from the main view to the interface change state. The ""Brand Story"" function button, the interface jumps from the main view to the interface change state. 4; 6)"&amp;" Operation the ""mobile phone screen"" function button in the main view of the main view.")</f>
        <v>1. The name of the product in appearance: The display screen panel with the hotel service graphics user interface (03).
 2. The purpose of designing products in this exterior: The design of the product in this exterior is used for hotel services, providing the operating panel of the graphic user interface for users to choose from, which can be used for projectors, television, and tablet display equipment.
 3. Design of the design of the product here: lies in the user interaction interface displayed by the operation panel.
 4. Pictures or photos that can most indicate design points: main view.
 5. There are no main points of design, omittime views, left view, right view, push -view, back -view view.
 6. The purpose of the graphical user interface: The graphic user interface of the design of the product is used for users to select hotel functions, aurora TV functions, live TV function, brand story function, mobile screen screen function.
 7. The area of ​​the graphic user interface in the product: the rectangular area on the operation panel.
 8. Human -computer interaction method of graphical user interface: Homepage displays the main view; 1) Operating the "XX Hotel" function button in the main view of the main view, the interface jumps from the main view to the interface change state. In the "Lobby" function button, the interface is changed from the interface change state. 1 jump to the interface change state Figure 6; the operation interface changes status. Figure 1 "Coffee Bar" function button. Figure 7; Operation interface changes status Figure 1 In the "Restaurant" function button, the interface changes from the interface changes. Figure 1 jump to the interface change state. 8; Figure 1 Jump to the interface change state Figure 9; the operating interface changes status Figure 1 The "tea break area" function button in the interface 1, the interface changes from the interface state. TV "Function button, the interface jumps from the main view to the interface change state Figure 2; 4) The" live TV "function button in the main view of the main view, the interface jumps from the main view to the interface change state. The "Brand Story" function button, the interface jumps from the main view to the interface change state. 4; 6) Operation the "mobile phone screen" function button in the main view of the main view.</v>
      </c>
      <c r="D718" s="6" t="s">
        <v>2110</v>
      </c>
      <c r="E718" s="4" t="str">
        <f ca="1">IFERROR(__xludf.DUMMYFUNCTION("GOOGLETRANSLATE(D718,""auto"",""en"")"),"Display screen panel with hotel service graphical user interface (03)")</f>
        <v>Display screen panel with hotel service graphical user interface (03)</v>
      </c>
    </row>
    <row r="719" spans="1:5" ht="15" x14ac:dyDescent="0.25">
      <c r="A719" s="5" t="s">
        <v>2111</v>
      </c>
      <c r="B719" s="6" t="s">
        <v>2112</v>
      </c>
      <c r="C719" s="3" t="str">
        <f ca="1">IFERROR(__xludf.DUMMYFUNCTION("GOOGLETRANSLATE(B719,""auto"",""en"")"),"1. The name of the product of the design of the product: The voice translated translation graphic user interface used for the display screen panel.
 2. Design products in this exterior: for display.
 3. Design of the design of the product in appearanc"&amp;"e: lies in the interface content of the graphic user interface.
 4. Pictures or photos that can best show design points: Figure 2 of the interface change state.
 5. No design points, omit other views.
 6. The purpose of the graphical user interface:"&amp;" for real -time voice conversion and translation.
 7. Human -computer interaction method of graphics user interface: Click the language switch button in the upper right corner of the main screen interface interface, jump to the display interface change "&amp;"state Figure 1; click the completion button in the lower right corner of the interface in the lower right corner of the interface, jump to the interface change state figure 2.
 8. The display screen panel can be applied to computers, laptops, tablets, m"&amp;"obile phones, smart bracelets, smart glasses, watches, fitness monitor, headset headphones, personal digital assistants, smart speakers, TV, monitor, projection, projection Instrument, set -top box, navigator, display device for vehicles.")</f>
        <v>1. The name of the product of the design of the product: The voice translated translation graphic user interface used for the display screen panel.
 2. Design products in this exterior: for display.
 3. Design of the design of the product in appearance: lies in the interface content of the graphic user interface.
 4. Pictures or photos that can best show design points: Figure 2 of the interface change state.
 5. No design points, omit other views.
 6. The purpose of the graphical user interface: for real -time voice conversion and translation.
 7. Human -computer interaction method of graphics user interface: Click the language switch button in the upper right corner of the main screen interface interface, jump to the display interface change state Figure 1; click the completion button in the lower right corner of the interface in the lower right corner of the interface, jump to the interface change state figure 2.
 8. The display screen panel can be applied to computers, laptops, tablets, mobile phones, smart bracelets, smart glasses, watches, fitness monitor, headset headphones, personal digital assistants, smart speakers, TV, monitor, projection, projection Instrument, set -top box, navigator, display device for vehicles.</v>
      </c>
      <c r="D719" s="6" t="s">
        <v>2113</v>
      </c>
      <c r="E719" s="4" t="str">
        <f ca="1">IFERROR(__xludf.DUMMYFUNCTION("GOOGLETRANSLATE(D719,""auto"",""en"")"),"The voice translation of translation graphic user interface for the voice of the display screen panel")</f>
        <v>The voice translation of translation graphic user interface for the voice of the display screen panel</v>
      </c>
    </row>
    <row r="720" spans="1:5" ht="15" x14ac:dyDescent="0.25">
      <c r="A720" s="5" t="s">
        <v>2114</v>
      </c>
      <c r="B720" s="6" t="s">
        <v>2115</v>
      </c>
      <c r="C720" s="3" t="str">
        <f ca="1">IFERROR(__xludf.DUMMYFUNCTION("GOOGLETRANSLATE(B720,""auto"",""en"")"),"The attendance rate of managing students and faculty members in many educational institutions is both time -consuming and laborious. This is because many students are often registered to each class, so it is difficult to pay close attention to everyone. I"&amp;"n some cases, students must replace the absent students or friends who are absent as an agent. The system is based on facial testing. Once the student enters the classroom, the identification algorithm will automatically identify the student and record hi"&amp;"s attendance by identifying his identity. After that, the database will be modified or updated. This reduces the time and energy required to manually update the attendance. This technology also allows identity verification by identifying the coach's face "&amp;"to open it. This is because the third party may break into the building. Therefore, this has strengthened the protection provided by the system")</f>
        <v>The attendance rate of managing students and faculty members in many educational institutions is both time -consuming and laborious. This is because many students are often registered to each class, so it is difficult to pay close attention to everyone. In some cases, students must replace the absent students or friends who are absent as an agent. The system is based on facial testing. Once the student enters the classroom, the identification algorithm will automatically identify the student and record his attendance by identifying his identity. After that, the database will be modified or updated. This reduces the time and energy required to manually update the attendance. This technology also allows identity verification by identifying the coach's face to open it. This is because the third party may break into the building. Therefore, this has strengthened the protection provided by the system</v>
      </c>
      <c r="D720" s="6" t="s">
        <v>2116</v>
      </c>
      <c r="E720" s="4" t="str">
        <f ca="1">IFERROR(__xludf.DUMMYFUNCTION("GOOGLETRANSLATE(D720,""auto"",""en"")"),"Student attendance tracker uses machine learning notification teachers and parents")</f>
        <v>Student attendance tracker uses machine learning notification teachers and parents</v>
      </c>
    </row>
    <row r="721" spans="1:5" ht="15" x14ac:dyDescent="0.25">
      <c r="A721" s="5" t="s">
        <v>2117</v>
      </c>
      <c r="B721" s="6" t="s">
        <v>2118</v>
      </c>
      <c r="C721" s="3" t="str">
        <f ca="1">IFERROR(__xludf.DUMMYFUNCTION("GOOGLETRANSLATE(B721,""auto"",""en"")"),"Combined with the Internet of Things (IoT), these technologies have recently improved the performance of the automatic swimming pool system. A large number of studies have been conducted to determine how to prevent drowning by using a series of tracking p"&amp;"eople to move and videos in the water. The study proposed an effective system that uses a single image to locate and classify the drowning object. The goal is to reduce the number of drowning people. The proposed system adopts the Internet of Things and m"&amp;"igration learning to continuously monitor the security of the swimming pool. Using a special model based on migration learning, you can use complex characteristics to distinguish between humans and others. This model is based on the model trained on the "&amp;"""ImageNet"" image database. The proposed system aims to shorten the time required for people to complete the task. It classifies the data and sends the result to the owner's mobile devices. In the prototype experiment, the sensitivity, accuracy and accur"&amp;"acy of the dedicated model with other deep learning algorithms are compared. This is called the ""control"" group.")</f>
        <v>Combined with the Internet of Things (IoT), these technologies have recently improved the performance of the automatic swimming pool system. A large number of studies have been conducted to determine how to prevent drowning by using a series of tracking people to move and videos in the water. The study proposed an effective system that uses a single image to locate and classify the drowning object. The goal is to reduce the number of drowning people. The proposed system adopts the Internet of Things and migration learning to continuously monitor the security of the swimming pool. Using a special model based on migration learning, you can use complex characteristics to distinguish between humans and others. This model is based on the model trained on the "ImageNet" image database. The proposed system aims to shorten the time required for people to complete the task. It classifies the data and sends the result to the owner's mobile devices. In the prototype experiment, the sensitivity, accuracy and accuracy of the dedicated model with other deep learning algorithms are compared. This is called the "control" group.</v>
      </c>
      <c r="D721" s="6" t="s">
        <v>2119</v>
      </c>
      <c r="E721" s="4" t="str">
        <f ca="1">IFERROR(__xludf.DUMMYFUNCTION("GOOGLETRANSLATE(D721,""auto"",""en"")"),"Based on the Internet of Things and machine learning, drowning incidents used to identify the swimming pool area")</f>
        <v>Based on the Internet of Things and machine learning, drowning incidents used to identify the swimming pool area</v>
      </c>
    </row>
    <row r="722" spans="1:5" ht="15" x14ac:dyDescent="0.25">
      <c r="A722" s="5" t="s">
        <v>2120</v>
      </c>
      <c r="B722" s="6" t="s">
        <v>2121</v>
      </c>
      <c r="C722" s="3" t="str">
        <f ca="1">IFERROR(__xludf.DUMMYFUNCTION("GOOGLETRANSLATE(B722,""auto"",""en"")"),"1. Design product name: Health management graphic user interface for display screen panels (ninth sea APP).
 2. Design products in this exterior: It is used for the operation of the graphic user interface (health management) operation of the mobile phon"&amp;"e to display information and information interaction.
 3. Design of design products in this appearance: lies in the combination of graphics interface and content.
 4. Pictures or photos that can most indicate design points: main view.
 5. Human -com"&amp;"puter interaction method of graphical user interface: The main view is the homepage of the health management graphic user interface used for mobile phones. ; Click on the interface change state Figure 1 ""Tide Band"", jump to the interface change state Fi"&amp;"gure 2; click ""Tide Belt"" in the interface changes. 1 ""Under the Tide Belt"", jump to the interface change state Figure 4; click the interface changes status Figure 1 ""Deep Sea"", jump to the interface change status Figure 5; click on the upper left c"&amp;"orner of the main view from the top to the bottom third, the third to the bottom third, the third to the bottom third, the third to the bottom number third, This icon, jump to the interface change state Figure 6; click ""community"" in the main view, jump"&amp;" to the interface change state figure 7; click ""mine"" in the main view, jump to the interface change state diagram 8; click the main view view; ""Start"", jump to the interface change state Figure 9; click the circular icon in the ""Combination Mission"&amp;""" box in the interface change status. 9, jump to the interface change state Figure 10; ""Task"", jump to the interface change state Figure 11; slide up the interface changes to the status of the interface. The interface change state Figure 10 ""relieve d"&amp;"ecompression scheme"", jump to the interface change state Figure 14; click ""Farewell to the small belly"" in the interface change state, jump to the interface change state Figure 15; The ""postpartum recovery plan"", jump to the interface change state Fi"&amp;"gure 16; click ""Menopausal relief plan"" in the interface change status. "", Jump to the interface change state Figure 18; click"" cycling ""in the interface change state. 20; click ""Quick Walk"" in the Status of the Interface Figure 11, jump to the int"&amp;"erface change state Figure 21; click ""Swimming"" in the interface changes. Slow -run "", jump to the interface change state Figure 23; click"" Prate ""in the status of the interface. State Figure 25; click the ""start"" in the interface in the interface "&amp;"in the interface of the interface changes;")</f>
        <v>1. Design product name: Health management graphic user interface for display screen panels (ninth sea APP).
 2. Design products in this exterior: It is used for the operation of the graphic user interface (health management) operation of the mobile phone to display information and information interaction.
 3. Design of design products in this appearance: lies in the combination of graphics interface and content.
 4. Pictures or photos that can most indicate design points: main view.
 5. Human -computer interaction method of graphical user interface: The main view is the homepage of the health management graphic user interface used for mobile phones. ; Click on the interface change state Figure 1 "Tide Band", jump to the interface change state Figure 2; click "Tide Belt" in the interface changes. 1 "Under the Tide Belt", jump to the interface change state Figure 4; click the interface changes status Figure 1 "Deep Sea", jump to the interface change status Figure 5; click on the upper left corner of the main view from the top to the bottom third, the third to the bottom third, the third to the bottom third, the third to the bottom number third, This icon, jump to the interface change state Figure 6; click "community" in the main view, jump to the interface change state figure 7; click "mine" in the main view, jump to the interface change state diagram 8; click the main view view; "Start", jump to the interface change state Figure 9; click the circular icon in the "Combination Mission" box in the interface change status. 9, jump to the interface change state Figure 10; "Task", jump to the interface change state Figure 11; slide up the interface changes to the status of the interface. The interface change state Figure 10 "relieve decompression scheme", jump to the interface change state Figure 14; click "Farewell to the small belly" in the interface change state, jump to the interface change state Figure 15; The "postpartum recovery plan", jump to the interface change state Figure 16; click "Menopausal relief plan" in the interface change status. ", Jump to the interface change state Figure 18; click" cycling "in the interface change state. 20; click "Quick Walk" in the Status of the Interface Figure 11, jump to the interface change state Figure 21; click "Swimming" in the interface changes. Slow -run ", jump to the interface change state Figure 23; click" Prate "in the status of the interface. State Figure 25; click the "start" in the interface in the interface in the interface of the interface changes;</v>
      </c>
      <c r="D722" s="6" t="s">
        <v>2122</v>
      </c>
      <c r="E722" s="4" t="str">
        <f ca="1">IFERROR(__xludf.DUMMYFUNCTION("GOOGLETRANSLATE(D722,""auto"",""en"")"),"Health management graphic user interface for display screen panels (ninth sea app)")</f>
        <v>Health management graphic user interface for display screen panels (ninth sea app)</v>
      </c>
    </row>
    <row r="723" spans="1:5" ht="15" x14ac:dyDescent="0.25">
      <c r="A723" s="5" t="s">
        <v>2123</v>
      </c>
      <c r="B723" s="6" t="s">
        <v>2124</v>
      </c>
      <c r="C723" s="3" t="str">
        <f ca="1">IFERROR(__xludf.DUMMYFUNCTION("GOOGLETRANSLATE(B723,""auto"",""en"")"),"A STM -based basketball training auxiliary robot, including omnidirectional chassis module, projection module, ball pickup module, visual recognition module, STM main control module and power supply module.全向底盘模块包括矩形底座、全向轮、底盘电机、平行滑轨、转动盘和圆弧滑轨；投射模块包括投射箱框架、滑"&amp;"轨支座、摩擦轮支座、舵机、挡板、 The pressure sensor, slide rails, friction wheels and friction wheel drive motors; the projection box frame includes cubic brackets, lids, and bottom plates; the ball -picking module includes the ball network, guide rail and bracket. The "&amp;"projection module and the receiving module are fixed in the omnidirectional chassis module, and the visual recognition module is fixed to the projection module; the STM main control module is connected with the omnidirectional chassis module, projection m"&amp;"odule, ball pickup module, and visual recognition module. This utility model is simple and easy to produce. It has good human -computer interaction and can achieve a variety of different targeted training. It has a wide range of applications and has high "&amp;"market value.")</f>
        <v>A STM -based basketball training auxiliary robot, including omnidirectional chassis module, projection module, ball pickup module, visual recognition module, STM main control module and power supply module.全向底盘模块包括矩形底座、全向轮、底盘电机、平行滑轨、转动盘和圆弧滑轨；投射模块包括投射箱框架、滑轨支座、摩擦轮支座、舵机、挡板、 The pressure sensor, slide rails, friction wheels and friction wheel drive motors; the projection box frame includes cubic brackets, lids, and bottom plates; the ball -picking module includes the ball network, guide rail and bracket. The projection module and the receiving module are fixed in the omnidirectional chassis module, and the visual recognition module is fixed to the projection module; the STM main control module is connected with the omnidirectional chassis module, projection module, ball pickup module, and visual recognition module. This utility model is simple and easy to produce. It has good human -computer interaction and can achieve a variety of different targeted training. It has a wide range of applications and has high market value.</v>
      </c>
      <c r="D723" s="6" t="s">
        <v>2125</v>
      </c>
      <c r="E723" s="4" t="str">
        <f ca="1">IFERROR(__xludf.DUMMYFUNCTION("GOOGLETRANSLATE(D723,""auto"",""en"")"),"A STM -based basketball training auxiliary robot")</f>
        <v>A STM -based basketball training auxiliary robot</v>
      </c>
    </row>
    <row r="724" spans="1:5" ht="15" x14ac:dyDescent="0.25">
      <c r="A724" s="5" t="s">
        <v>2126</v>
      </c>
      <c r="B724" s="6" t="s">
        <v>2127</v>
      </c>
      <c r="C724" s="3" t="str">
        <f ca="1">IFERROR(__xludf.DUMMYFUNCTION("GOOGLETRANSLATE(B724,""auto"",""en"")"),"1. Design product name: Fitness and leisure cabin.
 2. Design products for designing products: fitness and leisure compartment, provide residents' rest, self -service shopping, mobile phone charging, listening to music, watching TV, enjoying free WiFi, "&amp;"auxiliary hot water, one -click alarm, human -machine interaction and other places.
 3. Design of the design of the product in appearance: lies in the shape.
 4. Pictures or photos that are best to show design points: stereo drawing 1.
 5. The botto"&amp;"m surface of the product is not easy to see or visible when using the product.")</f>
        <v>1. Design product name: Fitness and leisure cabin.
 2. Design products for designing products: fitness and leisure compartment, provide residents' rest, self -service shopping, mobile phone charging, listening to music, watching TV, enjoying free WiFi, auxiliary hot water, one -click alarm, human -machine interaction and other places.
 3. Design of the design of the product in appearance: lies in the shape.
 4. Pictures or photos that are best to show design points: stereo drawing 1.
 5. The bottom surface of the product is not easy to see or visible when using the product.</v>
      </c>
      <c r="D724" s="6" t="s">
        <v>2128</v>
      </c>
      <c r="E724" s="4" t="str">
        <f ca="1">IFERROR(__xludf.DUMMYFUNCTION("GOOGLETRANSLATE(D724,""auto"",""en"")"),"Fitness leisure cabin")</f>
        <v>Fitness leisure cabin</v>
      </c>
    </row>
    <row r="725" spans="1:5" ht="15" x14ac:dyDescent="0.25">
      <c r="A725" s="5" t="s">
        <v>2129</v>
      </c>
      <c r="B725" s="6" t="s">
        <v>2130</v>
      </c>
      <c r="C725" s="3" t="str">
        <f ca="1">IFERROR(__xludf.DUMMYFUNCTION("GOOGLETRANSLATE(B725,""auto"",""en"")"),"1. Design product name: Search for graphic user interface for the word entry for display screen panels.
 2. The purpose of designing products in this exterior: The design of the product in this exterior is used for running programs, displaying informati"&amp;"on and human -computer interaction.
 3. Design of design products in this appearance: lies in the interface content and layout of the graphic user interface.
 4. Pictures or photos that can most indicate design points: main view.
 5. The screen pane"&amp;"l is commonly designed, omittime view, viewing view, pult, left view and right view.
 6. The purpose of graphical user interface: This graphic user interface is used to search and display information related information.
 The rhyme search box is displ"&amp;"ayed in the main view, and multiple target words are rolled around the surrounding area of ​​the rhyme search box, such as rolling left and right or up and down display below the rhyme search box.
 After the user clicks a certain target word or enter th"&amp;"e target word for search, the page jumps to the interface change status diagram. The target word automatically brings it into the search box for search to show that the rhyme words that are rhyme with the target word; and the user can be able to Select th"&amp;"e rhyme (such as unlimited, single or dual -betting, etc.), tone (such as unlimited or tail tuning), and words by the drop -down menu. Correspondingly showing the content information of the rhyme words.
 7. The display screen panel is used for mobile ph"&amp;"ones, laptops, tablets, computers, computers, vehicle central control screens, smart TVs, smart bracelets, smart glasses, smart watches, personal digital assistants (PERSONAL &amp; NBSP; Digital &amp; Nbsp; Assistant, PDA), fitness Monitor, projector.")</f>
        <v>1. Design product name: Search for graphic user interface for the word entry for display screen panels.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most indicate design points: main view.
 5. The screen panel is commonly designed, omittime view, viewing view, pult, left view and right view.
 6. The purpose of graphical user interface: This graphic user interface is used to search and display information related information.
 The rhyme search box is displayed in the main view, and multiple target words are rolled around the surrounding area of ​​the rhyme search box, such as rolling left and right or up and down display below the rhyme search box.
 After the user clicks a certain target word or enter the target word for search, the page jumps to the interface change status diagram. The target word automatically brings it into the search box for search to show that the rhyme words that are rhyme with the target word; and the user can be able to Select the rhyme (such as unlimited, single or dual -betting, etc.), tone (such as unlimited or tail tuning), and words by the drop -down menu. Correspondingly showing the content information of the rhyme words.
 7. The display screen panel is used for mobile phones, laptops, tablets, computers, computers, vehicle central control screens, smart TVs, smart bracelets, smart glasses, smart watches, personal digital assistants (PERSONAL &amp; NBSP; Digital &amp; Nbsp; Assistant, PDA), fitness Monitor, projector.</v>
      </c>
      <c r="D725" s="6" t="s">
        <v>2131</v>
      </c>
      <c r="E725" s="4" t="str">
        <f ca="1">IFERROR(__xludf.DUMMYFUNCTION("GOOGLETRANSLATE(D725,""auto"",""en"")"),"Search for graphic user interface for the entry for display screen panels")</f>
        <v>Search for graphic user interface for the entry for display screen panels</v>
      </c>
    </row>
    <row r="726" spans="1:5" ht="15" x14ac:dyDescent="0.25">
      <c r="A726" s="5" t="s">
        <v>2132</v>
      </c>
      <c r="B726" s="6" t="s">
        <v>2133</v>
      </c>
      <c r="C726" s="3" t="str">
        <f ca="1">IFERROR(__xludf.DUMMYFUNCTION("GOOGLETRANSLATE(B726,""auto"",""en"")"),"1. The name of the product of the product: display screen panel with virtual items transaction graphics user interface.
 2. Design products in this exterior: for running programs and display information.
 3. Design of the design of the product in appe"&amp;"arance: lies in the graphic user interface.
 4. Pictures or photos that can most indicate design points: main view.
 5. The design of the product in this exterior is a flat product, omitting push -up view, left view, right view, viewing view, push -vi"&amp;"ew.
 6. The purpose of graphics user interface: provides users with a more real -time, safer, and more convenient game jewelry trading market environment, which is convenient for users to buy and sell accessories. Essence
 7. Human -computer interacti"&amp;"on method of graphical user interface: The image user interface of the design of the product in this appearance is used as a third party through the platform. Users can display their own virtual items on the platform, to buy and sell users who need it. Yo"&amp;"u can intuitively understand the latest items and some special items. Users can enter the interface change state by clicking the ""discovery"" of the main view. Users can learn about the activities carried out on this platform and other users' comments on"&amp;" this platform.
 In the interface change state Figure 1 click ""Player Show"" to enter the interface change state Figure 2. This interface can see the exquisite items displayed by the user and the reviews of other users.
 In the interface change state"&amp;" Figure 2 click ""Games"" to enter the interface change state Figure 3, you can understand the score of your favorite team and the team that will start the game.
 In the interface change state Figure 3 click ""column"" to enter the interface change stat"&amp;"e Figure 4. You can see a work for the game and the platform specially collected and produced.
 In the interface change state Figure 4 click ""inventory"" to enter the interface change state Figure 5, you can see all your own virtual items.
 In the in"&amp;"terface change state Figure 5 Click ""My Backpack"" to enter the interface change state Figure 6, you can see the related virtual items you have.
 In the interface change state Figure 6 Click ""Sale"" to enter the interface change state Figure 7, you ca"&amp;"n see whether the virtual items are on sale and set the store opening and closure.
 In the interface change state Figure 7 Click ""Delivery"" to enter the interface change state Figure 8. You can see that some users buy virtual items sold and need to be"&amp;" shipped.
 In the interface change state Figure 8 Click ""Rent"" to enter the interface change state Figure 9, you can see the time and return date of rental of the rental item.
 In the interface change state figure 9 Click ""Settings"" to enter the i"&amp;"nterface change state Figure 10, you can see the user's own information, including ""my wallet"", ""my collection"", ""my points"", ""My transaction"" , ""My Service"" and other content.
 In the interface change state Figure 10 click ""avatar icon"" to "&amp;"enter the interface change state Figure 11. You can see that this APP needs to enter the mobile phone number and verification code. At the same time, you need to sign a user protocol with this platform to log in/register.
 8. The display screen panel is"&amp;" applied to: mobile phones, computers.")</f>
        <v>1. The name of the product of the product: display screen panel with virtual items transaction graphics user interface.
 2. Design products in this exterior: for running programs and display information.
 3. Design of the design of the product in appearance: lies in the graphic user interface.
 4. Pictures or photos that can most indicate design points: main view.
 5. The design of the product in this exterior is a flat product, omitting push -up view, left view, right view, viewing view, push -view.
 6. The purpose of graphics user interface: provides users with a more real -time, safer, and more convenient game jewelry trading market environment, which is convenient for users to buy and sell accessories. Essence
 7. Human -computer interaction method of graphical user interface: The image user interface of the design of the product in this appearance is used as a third party through the platform. Users can display their own virtual items on the platform, to buy and sell users who need it. You can intuitively understand the latest items and some special items. Users can enter the interface change state by clicking the "discovery" of the main view. Users can learn about the activities carried out on this platform and other users' comments on this platform.
 In the interface change state Figure 1 click "Player Show" to enter the interface change state Figure 2. This interface can see the exquisite items displayed by the user and the reviews of other users.
 In the interface change state Figure 2 click "Games" to enter the interface change state Figure 3, you can understand the score of your favorite team and the team that will start the game.
 In the interface change state Figure 3 click "column" to enter the interface change state Figure 4. You can see a work for the game and the platform specially collected and produced.
 In the interface change state Figure 4 click "inventory" to enter the interface change state Figure 5, you can see all your own virtual items.
 In the interface change state Figure 5 Click "My Backpack" to enter the interface change state Figure 6, you can see the related virtual items you have.
 In the interface change state Figure 6 Click "Sale" to enter the interface change state Figure 7, you can see whether the virtual items are on sale and set the store opening and closure.
 In the interface change state Figure 7 Click "Delivery" to enter the interface change state Figure 8. You can see that some users buy virtual items sold and need to be shipped.
 In the interface change state Figure 8 Click "Rent" to enter the interface change state Figure 9, you can see the time and return date of rental of the rental item.
 In the interface change state figure 9 Click "Settings" to enter the interface change state Figure 10, you can see the user's own information, including "my wallet", "my collection", "my points", "My transaction" , "My Service" and other content.
 In the interface change state Figure 10 click "avatar icon" to enter the interface change state Figure 11. You can see that this APP needs to enter the mobile phone number and verification code. At the same time, you need to sign a user protocol with this platform to log in/register.
 8. The display screen panel is applied to: mobile phones, computers.</v>
      </c>
      <c r="D726" s="6" t="s">
        <v>2134</v>
      </c>
      <c r="E726" s="4" t="str">
        <f ca="1">IFERROR(__xludf.DUMMYFUNCTION("GOOGLETRANSLATE(D726,""auto"",""en"")"),"Display screen panel with virtual items trading graphics user interface")</f>
        <v>Display screen panel with virtual items trading graphics user interface</v>
      </c>
    </row>
    <row r="727" spans="1:5" ht="15" x14ac:dyDescent="0.25">
      <c r="A727" s="5" t="s">
        <v>2135</v>
      </c>
      <c r="B727" s="6" t="s">
        <v>2136</v>
      </c>
      <c r="C727" s="3" t="str">
        <f ca="1">IFERROR(__xludf.DUMMYFUNCTION("GOOGLETRANSLATE(B727,""auto"",""en"")"),"The practical new type belongs to the field of basketball. Specifically, it is a smart lifting basketball rack based on the Internet of Things, including the bottom plate, which is set with a liquid rod on the surface of the bottom plate. The surface rota"&amp;"tion connection has the first active board. The inner wall of the first activity board is connected to the second activity board. The top of the lift board is installed with the main body of a basketball rack. By setting up the first movement board and th"&amp;"e second activity board, because the first activity board and the second activity board are rotated with the skateboard. When the skateboard is moved, the first activity board and the second activity board set up in the ""V"" shape The angle will graduall"&amp;"y become smaller, and then the second activity board will apply to the downward plate that is connected with its own rotation connection. The lifting board will exercise horizontally under the action of a limit rod to achieve a high level of adjustment of"&amp;" the main body of the basketball rack.")</f>
        <v>The practical new type belongs to the field of basketball. Specifically, it is a smart lifting basketball rack based on the Internet of Things, including the bottom plate, which is set with a liquid rod on the surface of the bottom plate. The surface rotation connection has the first active board. The inner wall of the first activity board is connected to the second activity board. The top of the lift board is installed with the main body of a basketball rack. By setting up the first movement board and the second activity board, because the first activity board and the second activity board are rotated with the skateboard. When the skateboard is moved, the first activity board and the second activity board set up in the "V" shape The angle will gradually become smaller, and then the second activity board will apply to the downward plate that is connected with its own rotation connection. The lifting board will exercise horizontally under the action of a limit rod to achieve a high level of adjustment of the main body of the basketball rack.</v>
      </c>
      <c r="D727" s="6" t="s">
        <v>2137</v>
      </c>
      <c r="E727" s="4" t="str">
        <f ca="1">IFERROR(__xludf.DUMMYFUNCTION("GOOGLETRANSLATE(D727,""auto"",""en"")"),"A smart lifting basketball rack based on the Internet of Things")</f>
        <v>A smart lifting basketball rack based on the Internet of Things</v>
      </c>
    </row>
    <row r="728" spans="1:5" ht="15" x14ac:dyDescent="0.25">
      <c r="A728" s="5" t="s">
        <v>2138</v>
      </c>
      <c r="B728" s="6" t="s">
        <v>2139</v>
      </c>
      <c r="C728" s="3" t="str">
        <f ca="1">IFERROR(__xludf.DUMMYFUNCTION("GOOGLETRANSLATE(B728,""auto"",""en"")"),"1. The name of the product of the design of the product: The smart screen video for the display screen panel is traced back to the graphic user interface.
 2. Design products in appearance: used for interaction and display.
 3. The design of the desig"&amp;"n of the product in this exterior: lies in the main view.
 4. Pictures or photos that can best show design points: Figure 1 of the interface change state.
 5. There is no design point for other views, omitting other views.
 6. The purpose of the gra"&amp;"phical user interface: For fast back to view video records.
 7. Human -computer interaction method of graphical user interface: Click the ""Graphic Back"" button in the toolbar below the main view, jump to the interface change state diagram 1; click the"&amp;" ""text trace"" button in the toolbar below the main view, jump Turn to the interface change state Figure 2; click the ""dynamic trace"" button in the toolbar below the main view, jump to the interface change state Figure 3.
 8. The display screen panel"&amp;" can be applied to computers, laptops, tablets, mobile phones, smart bracelets, smart glasses, watches, fitness monitor, headset headphones, personal digital assistants, smart speakers, TV, monitor, projection, projection Instrument, set -top box, navigat"&amp;"or, display device for vehicles.")</f>
        <v>1. The name of the product of the design of the product: The smart screen video for the display screen panel is traced back to the graphic user interface.
 2. Design products in appearance: used for interaction and display.
 3. The design of the design of the product in this exterior: lies in the main view.
 4. Pictures or photos that can best show design points: Figure 1 of the interface change state.
 5. There is no design point for other views, omitting other views.
 6. The purpose of the graphical user interface: For fast back to view video records.
 7. Human -computer interaction method of graphical user interface: Click the "Graphic Back" button in the toolbar below the main view, jump to the interface change state diagram 1; click the "text trace" button in the toolbar below the main view, jump Turn to the interface change state Figure 2; click the "dynamic trace" button in the toolbar below the main view, jump to the interface change state Figure 3.
 8. The display screen panel can be applied to computers, laptops, tablets, mobile phones, smart bracelets, smart glasses, watches, fitness monitor, headset headphones, personal digital assistants, smart speakers, TV, monitor, projection, projection Instrument, set -top box, navigator, display device for vehicles.</v>
      </c>
      <c r="D728" s="6" t="s">
        <v>2140</v>
      </c>
      <c r="E728" s="4" t="str">
        <f ca="1">IFERROR(__xludf.DUMMYFUNCTION("GOOGLETRANSLATE(D728,""auto"",""en"")"),"Smart screen video back traceable graphic user interface for display screen panel")</f>
        <v>Smart screen video back traceable graphic user interface for display screen panel</v>
      </c>
    </row>
    <row r="729" spans="1:5" ht="15" x14ac:dyDescent="0.25">
      <c r="A729" s="5" t="s">
        <v>2141</v>
      </c>
      <c r="B729" s="6" t="s">
        <v>2142</v>
      </c>
      <c r="C729" s="3" t="str">
        <f ca="1">IFERROR(__xludf.DUMMYFUNCTION("GOOGLETRANSLATE(B729,""auto"",""en"")"),"The present invention proposes a wearable computer device based on the Internet of Things, including the watch body, which is connected to the fitness equipment and headsets through the Internet of Things. There is a groove with a groove near the interior"&amp;" of the surface of the surface, which has a folding fixed mechanism inside the groove; The folding fixed agency includes the dynamic hinge that is fixed at the inside of the groove near the one end of the table body, and the static hinge connected to the "&amp;"one end of the wattoral hinge is connected to The lower surface is connected to the sliding locking component. The present invention can quickly dissipate the surface and guide the user's body to quickly enter the state of testing physical data.")</f>
        <v>The present invention proposes a wearable computer device based on the Internet of Things, including the watch body, which is connected to the fitness equipment and headsets through the Internet of Things. There is a groove with a groove near the interior of the surface of the surface, which has a folding fixed mechanism inside the groove; The folding fixed agency includes the dynamic hinge that is fixed at the inside of the groove near the one end of the table body, and the static hinge connected to the one end of the wattoral hinge is connected to The lower surface is connected to the sliding locking component. The present invention can quickly dissipate the surface and guide the user's body to quickly enter the state of testing physical data.</v>
      </c>
      <c r="D729" s="6" t="s">
        <v>2143</v>
      </c>
      <c r="E729" s="4" t="str">
        <f ca="1">IFERROR(__xludf.DUMMYFUNCTION("GOOGLETRANSLATE(D729,""auto"",""en"")"),"A wearable computer device based on the Internet of Things")</f>
        <v>A wearable computer device based on the Internet of Things</v>
      </c>
    </row>
    <row r="730" spans="1:5" ht="15" x14ac:dyDescent="0.25">
      <c r="A730" s="5" t="s">
        <v>2144</v>
      </c>
      <c r="B730" s="6" t="s">
        <v>2145</v>
      </c>
      <c r="C730" s="3" t="str">
        <f ca="1">IFERROR(__xludf.DUMMYFUNCTION("GOOGLETRANSLATE(B730,""auto"",""en"")"),"1. Design product name: Interactive communication graphic user interface for display screen panels.
 2. The purpose of designing products in this exterior: The design of the product in this exterior is used for running programs, displaying information a"&amp;"nd human -computer interaction.
 3. Design of design products in this appearance: lies in the interface content and layout of the graphic user interface.
 4. Pictures or photos that can best show design: Design 1 main view.
 5. The screen panel is c"&amp;"ommonly designed, omitting design 1 to design 5 post -view view, viewing view, pult, left view and right view.
 6. Specify design 1 is the basic design.
 7. The purpose of graphical user interface: This graphic user interface is used to display inform"&amp;"ation that interacts with users.
 In the design 1 main view, the interactive card that displays the navigation bar is ""Hidden Ending"", click the ""Gift Get"" button to display the hidden ending information; the interactive card can be superimposed in "&amp;"the existing content display area, such as design 1 use. Status Reference Figure 1 is displayed in the content of the article, such as design 1 use status. Figure 2 is displayed in the content of the picture article, if the design 1 uses status reference "&amp;"Figure 3 is displayed in the video article content; in addition, the button in the switching navigation bar can be displayed Interactive information corresponding to the button.
 Design 2 The main view displayed the interactive card labeled ""Easter Egg"&amp;"s"" in the navigation bar. Click the ""Gift Get"" button to display the egg information; the same as the design 1 main view function, the interactive card can be superimposed in the existing content display area, such as Design 2 use status refer to Figur"&amp;"e 1, 2, and 3.
 Design 3 The main view shows the interactive card of the navigation bar as ""product"". Click the ""Buy"" button to buy the product; the same as the design 1 main view function, the interactive card can be superimposed in the existing co"&amp;"ntent display area, such as design design, such as design 3 Refer to the status of use in Figure 1, 2, and 3.
 Design 4 The main view shows the interactive card of ""reward"" labeled navigation bar. Users can slide left and right in the interactive card"&amp;" to choose the amount of reward, click the ""Reward"" button to complete the reward operation of this amount; and the design 1 The main view of the main view is the same. Interactive cards can be superimposed in the existing content display area, as shown"&amp;" in Figure 1, 2, and 3 as designed 4.
 The number of labels of the navigation bar can be configured on demand, such as designing 5 main views, design 5 main views to display the interactive card of the navigation bar tag ""Gifts"". Users can slide left "&amp;"and right in the interactive card to select the gift and quantity of gifts. Click "" The ""gift"" button can complete the gift operation of the gift; the same as the design 1 main view function, the interactive card can be superimposed in the existing con"&amp;"tent display area, as shown in Figure 1, 2, and 3 in design 5.
 8. The display screen panel is used for mobile phones, laptops, tablets, computers, computers, vehicle central control screens, smart TVs, smart bracelets, smart glasses, smart watches, per"&amp;"sonal digital assistants, fitness monitor, projector.")</f>
        <v>1. Design product name: Interactive communication graphic user interface for display screen panels.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best show design: Design 1 main view.
 5. The screen panel is commonly designed, omitting design 1 to design 5 post -view view, viewing view, pult, left view and right view.
 6. Specify design 1 is the basic design.
 7. The purpose of graphical user interface: This graphic user interface is used to display information that interacts with users.
 In the design 1 main view, the interactive card that displays the navigation bar is "Hidden Ending", click the "Gift Get" button to display the hidden ending information; the interactive card can be superimposed in the existing content display area, such as design 1 use. Status Reference Figure 1 is displayed in the content of the article, such as design 1 use status. Figure 2 is displayed in the content of the picture article, if the design 1 uses status reference Figure 3 is displayed in the video article content; in addition, the button in the switching navigation bar can be displayed Interactive information corresponding to the button.
 Design 2 The main view displayed the interactive card labeled "Easter Eggs" in the navigation bar. Click the "Gift Get" button to display the egg information; the same as the design 1 main view function, the interactive card can be superimposed in the existing content display area, such as Design 2 use status refer to Figure 1, 2, and 3.
 Design 3 The main view shows the interactive card of the navigation bar as "product". Click the "Buy" button to buy the product; the same as the design 1 main view function, the interactive card can be superimposed in the existing content display area, such as design design, such as design 3 Refer to the status of use in Figure 1, 2, and 3.
 Design 4 The main view shows the interactive card of "reward" labeled navigation bar. Users can slide left and right in the interactive card to choose the amount of reward, click the "Reward" button to complete the reward operation of this amount; and the design 1 The main view of the main view is the same. Interactive cards can be superimposed in the existing content display area, as shown in Figure 1, 2, and 3 as designed 4.
 The number of labels of the navigation bar can be configured on demand, such as designing 5 main views, design 5 main views to display the interactive card of the navigation bar tag "Gifts". Users can slide left and right in the interactive card to select the gift and quantity of gifts. Click " The "gift" button can complete the gift operation of the gift; the same as the design 1 main view function, the interactive card can be superimposed in the existing content display area, as shown in Figure 1, 2, and 3 in design 5.
 8. The display screen panel is used for mobile phones, laptops, tablets, computers, computers, vehicle central control screens, smart TVs, smart bracelets, smart glasses, smart watches, personal digital assistants, fitness monitor, projector.</v>
      </c>
      <c r="D730" s="6" t="s">
        <v>2146</v>
      </c>
      <c r="E730" s="4" t="str">
        <f ca="1">IFERROR(__xludf.DUMMYFUNCTION("GOOGLETRANSLATE(D730,""auto"",""en"")"),"For interactive communication graphic user interface for display screen panels")</f>
        <v>For interactive communication graphic user interface for display screen panels</v>
      </c>
    </row>
    <row r="731" spans="1:5" ht="15" x14ac:dyDescent="0.25">
      <c r="A731" s="5" t="s">
        <v>2147</v>
      </c>
      <c r="B731" s="6" t="s">
        <v>2148</v>
      </c>
      <c r="C731" s="3" t="str">
        <f ca="1">IFERROR(__xludf.DUMMYFUNCTION("GOOGLETRANSLATE(B731,""auto"",""en"")"),"The patent of the invention disclosed a video -based fitness category and counting method, which involves the field of computer vision. Including the following steps: Collect real -time sports video streams, use MPII data sets to train the human gesture t"&amp;"o estimate the MPE model, get the human bone point information of each frame of the video stream; process the human bone point information as a vector. The vector input is in the trained classification model to get the motion classification results of eac"&amp;"h frame; input the sports classification results sequence into the counting algorithm, and complete the count by drawing five motion curves to obtain each movement of each movement. Count the result. The use of the technology solution of the present inven"&amp;"tion solves the problem of existing fitness exercise and classification counting methods that cannot realize visualized exercise recognition and counting. This solution can meet the counting scenes of single people alternating multiple sports, which is co"&amp;"nvenient for primary and secondary school sports testing and personal sports volume and personal sports. Automatic estimation and other scenarios.")</f>
        <v>The patent of the invention disclosed a video -based fitness category and counting method, which involves the field of computer vision. Including the following steps: Collect real -time sports video streams, use MPII data sets to train the human gesture to estimate the MPE model, get the human bone point information of each frame of the video stream; process the human bone point information as a vector. The vector input is in the trained classification model to get the motion classification results of each frame; input the sports classification results sequence into the counting algorithm, and complete the count by drawing five motion curves to obtain each movement of each movement. Count the result. The use of the technology solution of the present invention solves the problem of existing fitness exercise and classification counting methods that cannot realize visualized exercise recognition and counting. This solution can meet the counting scenes of single people alternating multiple sports, which is convenient for primary and secondary school sports testing and personal sports volume and personal sports. Automatic estimation and other scenarios.</v>
      </c>
      <c r="D731" s="6" t="s">
        <v>2149</v>
      </c>
      <c r="E731" s="4" t="str">
        <f ca="1">IFERROR(__xludf.DUMMYFUNCTION("GOOGLETRANSLATE(D731,""auto"",""en"")"),"A video -based fitness exercise classification and counting method")</f>
        <v>A video -based fitness exercise classification and counting method</v>
      </c>
    </row>
    <row r="732" spans="1:5" ht="15" x14ac:dyDescent="0.25">
      <c r="A732" s="5" t="s">
        <v>2150</v>
      </c>
      <c r="B732" s="6" t="s">
        <v>2151</v>
      </c>
      <c r="C732" s="3" t="str">
        <f ca="1">IFERROR(__xludf.DUMMYFUNCTION("GOOGLETRANSLATE(B732,""auto"",""en"")"),"1. Design product name: Smart -run graphics user interface of the display screen panel.
 2. Design products in appearance: for running program and display information.
 3. Design of design products in this appearance: lies in the interface content in "&amp;"the graphic user interface.
 4. Pictures or photos that can best show design points: Figure 2 of the interface change state.
 5. The purpose of the graphical user interface: The design of the product is used to display the graphical user interface of "&amp;"the smart music running program. The display screen panel can be used for mobile phones and tablets.
 6. Human -computer interaction method of graphical user interface: The interface shown in the main view is the user registration interface of the smart"&amp;" music running program. Change status Figure 2 is the interactive interface displayed after successfully recorded from the interface change state. From the interface change state Figure 2, click the interactive interface displayed after the ""Start Runnin"&amp;"g"" button; the interface change state Figure 5 is the interactive interface displayed after clicking the ""Start Running"" button from the interface change state. From the interface change state Figure 5, click the interactive interface displayed after t"&amp;"he ""Long Press"" button; the interface change state Figure 7 is the interactive interface displayed after clicking the ""My"" button in the ""My"" button in the interface state; To click the &amp; nbsp; ""View Operation"" button from the interface change sta"&amp;"te. 7.")</f>
        <v>1. Design product name: Smart -run graphics user interface of the display screen panel.
 2. Design products in appearance: for running program and display information.
 3. Design of design products in this appearance: lies in the interface content in the graphic user interface.
 4. Pictures or photos that can best show design points: Figure 2 of the interface change state.
 5. The purpose of the graphical user interface: The design of the product is used to display the graphical user interface of the smart music running program. The display screen panel can be used for mobile phones and tablets.
 6. Human -computer interaction method of graphical user interface: The interface shown in the main view is the user registration interface of the smart music running program. Change status Figure 2 is the interactive interface displayed after successfully recorded from the interface change state. From the interface change state Figure 2, click the interactive interface displayed after the "Start Running" button; the interface change state Figure 5 is the interactive interface displayed after clicking the "Start Running" button from the interface change state. From the interface change state Figure 5, click the interactive interface displayed after the "Long Press" button; the interface change state Figure 7 is the interactive interface displayed after clicking the "My" button in the "My" button in the interface state; To click the &amp; nbsp; "View Operation" button from the interface change state. 7.</v>
      </c>
      <c r="D732" s="6" t="s">
        <v>2152</v>
      </c>
      <c r="E732" s="4" t="str">
        <f ca="1">IFERROR(__xludf.DUMMYFUNCTION("GOOGLETRANSLATE(D732,""auto"",""en"")"),"Smart music running graphics user interface of display screen panel")</f>
        <v>Smart music running graphics user interface of display screen panel</v>
      </c>
    </row>
    <row r="733" spans="1:5" ht="15" x14ac:dyDescent="0.25">
      <c r="A733" s="5" t="s">
        <v>2153</v>
      </c>
      <c r="B733" s="6" t="s">
        <v>2154</v>
      </c>
      <c r="C733" s="3" t="str">
        <f ca="1">IFERROR(__xludf.DUMMYFUNCTION("GOOGLETRANSLATE(B733,""auto"",""en"")"),"The present invention involves the field of fitness equipment technology, and a specifically disclosure of an artificial intelligence -based traction training device; The control cabinet is fixed on the upper ends of the upper surface of the base plate. T"&amp;"wo adjustable telescopic vertical rods are fixed on the left and right ends of the surface of the base plate. The upper end of each telescopic vertical rod is connected with two fixed parts. The two ends are connected to the two -way fixed -component. The"&amp;" two hand -grip sensors are set on the left and right ends of the horizontal rod of the horizontal bar. The training strength adjustment device is set directly below the horizontal bar; Active upward combination training device can adjust the training int"&amp;"ensity in combination with the user's own situation. Its degree of intelligence is high. After the training is completed, the relevant information can be viewed from the display screen or transmitted to the user's mobile phone through the Bluetooth. conve"&amp;"nient.")</f>
        <v>The present invention involves the field of fitness equipment technology, and a specifically disclosure of an artificial intelligence -based traction training device; The control cabinet is fixed on the upper ends of the upper surface of the base plate. Two adjustable telescopic vertical rods are fixed on the left and right ends of the surface of the base plate. The upper end of each telescopic vertical rod is connected with two fixed parts. The two ends are connected to the two -way fixed -component. The two hand -grip sensors are set on the left and right ends of the horizontal rod of the horizontal bar. The training strength adjustment device is set directly below the horizontal bar; Active upward combination training device can adjust the training intensity in combination with the user's own situation. Its degree of intelligence is high. After the training is completed, the relevant information can be viewed from the display screen or transmitted to the user's mobile phone through the Bluetooth. convenient.</v>
      </c>
      <c r="D733" s="6" t="s">
        <v>2155</v>
      </c>
      <c r="E733" s="4" t="str">
        <f ca="1">IFERROR(__xludf.DUMMYFUNCTION("GOOGLETRANSLATE(D733,""auto"",""en"")"),"Pagantic trainer based on artificial intelligence")</f>
        <v>Pagantic trainer based on artificial intelligence</v>
      </c>
    </row>
    <row r="734" spans="1:5" ht="15" x14ac:dyDescent="0.25">
      <c r="A734" s="5" t="s">
        <v>2156</v>
      </c>
      <c r="B734" s="6" t="s">
        <v>2157</v>
      </c>
      <c r="C734" s="3" t="str">
        <f ca="1">IFERROR(__xludf.DUMMYFUNCTION("GOOGLETRANSLATE(B734,""auto"",""en"")"),"Abstract: The invention involves a new digital twin model using the human body and the human body to capture, track, analyze and evaluate the system and method of human movement, action or behavior. Digital human models combine and enhance the art technol"&amp;"ogy in the fields of computer vision, machine learning, voice processing, sports science, sports and health to achieve the best analysis and evaluation of human movement, behavior and health. The existing methods developed in the behavior space are differ"&amp;"ent. Among these methods, the analysis and evaluation only export from two -dimensional or three -dimensional landmarks (such as those extracted from images or videos or attached to the body). Among the analysis, the complete (complete) and accurate human"&amp;" specific model models are used to combine the use of human shape, human anatomy structure, and internal content or particles, and are restricted by the human clinical, physical and biomechanical characteristics, and the force that affects each particle f"&amp;"orce. In digital twin models. Our technology in the present invention aims to substantially replace and replace researchers and scientists for decades of tradition and approximate methods (in sports and other fields, these methods are derived from a few c"&amp;"orpses). The system will provide new knowledge in the field of sports analysis, tracking and motion evaluation, including sports. The invention, as a overall aimed at (i) the identification, detection, and extract of a specific twins model (ii) identifica"&amp;"tion, detection, and extract representing the human body and its movement mode, such as in exercise. A video; (II) will integrate and restraint the physical and bioligue characteristics of the human body and the human body of the human body and other huma"&amp;"n body -related motion analysis based on rigid and non -rigid shapes and composition particles. These modules and systems with these functions are indispensable and critical in sports and other sports fields, such as the millimeter difference in exercise."&amp;" The first place of jumping or running can separate the first place from the last place in the game. In -health areas such as health, inaccurate clinical assessment of data from human sports may lead to serious risks. The present invention will greatly im"&amp;"prove the analysis of human movement, human behavior analysis, general human modeling, and will achieve accurate assessment required for different fields including sports, exercise, science and health applications. 100 160110 120 Constaldardized Clinical,"&amp;" Physical, ECOLOGAL An BiomeChanical Data of the Human Body Memory 140 17018012 PARTICIPANT-Speci FIC Another Data Physical Activity Module DigitalHuman CO 150 130 Other Human Relevant Data C Means in4 Dn Movement Patterns Figure 1: Fragic description inv"&amp;"ention invention invention invention invention inventions Overall summary of the system, I")</f>
        <v>Abstract: The invention involves a new digital twin model using the human body and the human body to capture, track, analyze and evaluate the system and method of human movement, action or behavior. Digital human models combine and enhance the art technology in the fields of computer vision, machine learning, voice processing, sports science, sports and health to achieve the best analysis and evaluation of human movement, behavior and health. The existing methods developed in the behavior space are different. Among these methods, the analysis and evaluation only export from two -dimensional or three -dimensional landmarks (such as those extracted from images or videos or attached to the body). Among the analysis, the complete (complete) and accurate human specific model models are used to combine the use of human shape, human anatomy structure, and internal content or particles, and are restricted by the human clinical, physical and biomechanical characteristics, and the force that affects each particle force. In digital twin models. Our technology in the present invention aims to substantially replace and replace researchers and scientists for decades of tradition and approximate methods (in sports and other fields, these methods are derived from a few corpses). The system will provide new knowledge in the field of sports analysis, tracking and motion evaluation, including sports. The invention, as a overall aimed at (i) the identification, detection, and extract of a specific twins model (ii) identification, detection, and extract representing the human body and its movement mode, such as in exercise. A video; (II) will integrate and restraint the physical and bioligue characteristics of the human body and the human body of the human body and other human body -related motion analysis based on rigid and non -rigid shapes and composition particles. These modules and systems with these functions are indispensable and critical in sports and other sports fields, such as the millimeter difference in exercise. The first place of jumping or running can separate the first place from the last place in the game. In -health areas such as health, inaccurate clinical assessment of data from human sports may lead to serious risks. The present invention will greatly improve the analysis of human movement, human behavior analysis, general human modeling, and will achieve accurate assessment required for different fields including sports, exercise, science and health applications. 100 160110 120 Constaldardized Clinical, Physical, ECOLOGAL An BiomeChanical Data of the Human Body Memory 140 17018012 PARTICIPANT-Speci FIC Another Data Physical Activity Module DigitalHuman CO 150 130 Other Human Relevant Data C Means in4 Dn Movement Patterns Figure 1: Fragic description invention invention invention invention invention inventions Overall summary of the system, I</v>
      </c>
      <c r="D734" s="6" t="s">
        <v>2158</v>
      </c>
      <c r="E734" s="4" t="str">
        <f ca="1">IFERROR(__xludf.DUMMYFUNCTION("GOOGLETRANSLATE(D734,""auto"",""en"")"),"Use specific theme human digital twin models to track, analyze and evaluate human movement")</f>
        <v>Use specific theme human digital twin models to track, analyze and evaluate human movement</v>
      </c>
    </row>
    <row r="735" spans="1:5" ht="15" x14ac:dyDescent="0.25">
      <c r="A735" s="5" t="s">
        <v>2159</v>
      </c>
      <c r="B735" s="6" t="s">
        <v>2160</v>
      </c>
      <c r="C735" s="3" t="str">
        <f ca="1">IFERROR(__xludf.DUMMYFUNCTION("GOOGLETRANSLATE(B735,""auto"",""en"")"),"A table tennis training device, including the expansion rod 3 installed along the edge of the tennis table through the electric slider 4, including filling the primary 1 and second room 2 of multiple table tennis 5 through an electric ball nest joint. Art"&amp;"ificial intelligence is used for decoding users The height enabled image capture module 6 is used to select the touch interactive display panel 7 from the first mode and the second mode. 8. It is used to launch the ball to the user through the opening on "&amp;"the main chamber 1 5, a pair of rotary disks 9 to generate centrifugal force. The ball 13 uses the centrifugal force to launch to the user. Users can practice the selected hit.")</f>
        <v>A table tennis training device, including the expansion rod 3 installed along the edge of the tennis table through the electric slider 4, including filling the primary 1 and second room 2 of multiple table tennis 5 through an electric ball nest joint. Artificial intelligence is used for decoding users The height enabled image capture module 6 is used to select the touch interactive display panel 7 from the first mode and the second mode. 8. It is used to launch the ball to the user through the opening on the main chamber 1 5, a pair of rotary disks 9 to generate centrifugal force. The ball 13 uses the centrifugal force to launch to the user. Users can practice the selected hit.</v>
      </c>
      <c r="D735" s="6" t="s">
        <v>2161</v>
      </c>
      <c r="E735" s="4" t="str">
        <f ca="1">IFERROR(__xludf.DUMMYFUNCTION("GOOGLETRANSLATE(D735,""auto"",""en"")"),"Table Tennis Trainer")</f>
        <v>Table Tennis Trainer</v>
      </c>
    </row>
    <row r="736" spans="1:5" ht="15" x14ac:dyDescent="0.25">
      <c r="A736" s="5" t="s">
        <v>2162</v>
      </c>
      <c r="B736" s="6" t="s">
        <v>2163</v>
      </c>
      <c r="C736" s="3" t="str">
        <f ca="1">IFERROR(__xludf.DUMMYFUNCTION("GOOGLETRANSLATE(B736,""auto"",""en"")"),"A swimming training device, including platform 1, platform 1 installation with scalability round block 2, users are lying upside down on it; artificial intelligence image collection module 3 collects multiple images of users, and will be collected and pre"&amp;" -pre -pre -pre -pre -pre -in -in -law. The set image is compared. Save the image storage data to obtain the professional level of the user, the appropriate exercise of the holographic projector 4 projector and the feet is trained by the user. A pair of C"&amp;" -shaped fixture 5 connects to the platform 1 /back to the platform 1 / Fix the user firmly on the block 2, and install four U -shaped fixtures with a telescopic rod 8 to connect to the Platform 1 through the Motor Slice 9, extend/back to the driving rod "&amp;"8 Mobile rod 8, assisted users to train.")</f>
        <v>A swimming training device, including platform 1, platform 1 installation with scalability round block 2, users are lying upside down on it; artificial intelligence image collection module 3 collects multiple images of users, and will be collected and pre -pre -pre -pre -pre -pre -in -in -law. The set image is compared. Save the image storage data to obtain the professional level of the user, the appropriate exercise of the holographic projector 4 projector and the feet is trained by the user. A pair of C -shaped fixture 5 connects to the platform 1 /back to the platform 1 / Fix the user firmly on the block 2, and install four U -shaped fixtures with a telescopic rod 8 to connect to the Platform 1 through the Motor Slice 9, extend/back to the driving rod 8 Mobile rod 8, assisted users to train.</v>
      </c>
      <c r="D736" s="6" t="s">
        <v>1007</v>
      </c>
      <c r="E736" s="4" t="str">
        <f ca="1">IFERROR(__xludf.DUMMYFUNCTION("GOOGLETRANSLATE(D736,""auto"",""en"")"),"Swimming trainer")</f>
        <v>Swimming trainer</v>
      </c>
    </row>
    <row r="737" spans="1:5" ht="15" x14ac:dyDescent="0.25">
      <c r="A737" s="5" t="s">
        <v>2164</v>
      </c>
      <c r="B737" s="6" t="s">
        <v>2165</v>
      </c>
      <c r="C737" s="3" t="str">
        <f ca="1">IFERROR(__xludf.DUMMYFUNCTION("GOOGLETRANSLATE(B737,""auto"",""en"")"),"The present invention involves a basketball training device, including: Platform 1 assembled with telescopic rod 2, rod 2 plugging funnel parts 3 for shooting, and the artificial intelligence image collection module 4 on the rod 2, which is used to detect"&amp;" the height of the user. The touch interactive display panel 5 installed on the rod 2 provides users with the option to choose a professional level. Based on the decoding height and the professional level of selection, the microcontroller corresponds to t"&amp;"he movement rod 2, the electric ball nest joint 6 will tease the lever will tease 2 and component 3 adjust the tilt angle according to the professional level selected by the user. When the user selects the intermediate level, the electromagnetic spring 7 "&amp;"installed below the platform 1 deformation to help the user jump to throw the ball into the component 3.")</f>
        <v>The present invention involves a basketball training device, including: Platform 1 assembled with telescopic rod 2, rod 2 plugging funnel parts 3 for shooting, and the artificial intelligence image collection module 4 on the rod 2, which is used to detect the height of the user. The touch interactive display panel 5 installed on the rod 2 provides users with the option to choose a professional level. Based on the decoding height and the professional level of selection, the microcontroller corresponds to the movement rod 2, the electric ball nest joint 6 will tease the lever will tease 2 and component 3 adjust the tilt angle according to the professional level selected by the user. When the user selects the intermediate level, the electromagnetic spring 7 installed below the platform 1 deformation to help the user jump to throw the ball into the component 3.</v>
      </c>
      <c r="D737" s="6" t="s">
        <v>2166</v>
      </c>
      <c r="E737" s="4" t="str">
        <f ca="1">IFERROR(__xludf.DUMMYFUNCTION("GOOGLETRANSLATE(D737,""auto"",""en"")"),"Basketball trainer")</f>
        <v>Basketball trainer</v>
      </c>
    </row>
    <row r="738" spans="1:5" ht="15" x14ac:dyDescent="0.25">
      <c r="A738" s="5" t="s">
        <v>2167</v>
      </c>
      <c r="B738" s="6" t="s">
        <v>2168</v>
      </c>
      <c r="C738" s="3" t="str">
        <f ca="1">IFERROR(__xludf.DUMMYFUNCTION("GOOGLETRANSLATE(B738,""auto"",""en"")"),"The embodiment of this application provides an adaptive method and system based on AI deep learning. According to the running posture characteristics of the running gesture extracted from the running behavior data, it is updated to the running event label"&amp;" of the running behavior data. Adjust the first adaptive characteristics of the event, and analyze the difference between the difference between the first adaptive characteristics and the characteristic characteristics of the second adaptive characteristi"&amp;"cs of the second adaptive characteristics of the characteristic plan. Correlation analysis information, analyze the information based on the degree of correlation, analyze whether the first adaptive feature obtained to match the adaptive control requireme"&amp;"nts, thereby conducting adaptive control decisions, thereby combining the characteristics of running posture to perform adaptive adjustment events for adaptive adjustment events Adaptive feature analysis can improve the reliability of adaptive control dec"&amp;"ision -making.")</f>
        <v>The embodiment of this application provides an adaptive method and system based on AI deep learning. According to the running posture characteristics of the running gesture extracted from the running behavior data, it is updated to the running event label of the running behavior data. Adjust the first adaptive characteristics of the event, and analyze the difference between the difference between the first adaptive characteristics and the characteristic characteristics of the second adaptive characteristics of the second adaptive characteristics of the characteristic plan. Correlation analysis information, analyze the information based on the degree of correlation, analyze whether the first adaptive feature obtained to match the adaptive control requirements, thereby conducting adaptive control decisions, thereby combining the characteristics of running posture to perform adaptive adjustment events for adaptive adjustment events Adaptive feature analysis can improve the reliability of adaptive control decision -making.</v>
      </c>
      <c r="D738" s="6" t="s">
        <v>2169</v>
      </c>
      <c r="E738" s="4" t="str">
        <f ca="1">IFERROR(__xludf.DUMMYFUNCTION("GOOGLETRANSLATE(D738,""auto"",""en"")"),"A self -adaptation method and system based on AI deep learning")</f>
        <v>A self -adaptation method and system based on AI deep learning</v>
      </c>
    </row>
    <row r="739" spans="1:5" ht="15" x14ac:dyDescent="0.25">
      <c r="A739" s="5" t="s">
        <v>2170</v>
      </c>
      <c r="B739" s="6" t="s">
        <v>2171</v>
      </c>
      <c r="C739" s="3" t="str">
        <f ca="1">IFERROR(__xludf.DUMMYFUNCTION("GOOGLETRANSLATE(B739,""auto"",""en"")"),"This application disclosed an evaluation and analysis and management system based on artificial intelligence -based fitness exercise effects. The system includes: fitness mirror, wherein the fitness mirror is equipped with a two -eyed camera, infrared the"&amp;"rmal imaging module, and communication module, and the two -eye collection camera is used to collect user images in the fitness area in front of the fitness mirror, infrared thermal imaging module It is used to collect the thermal imaging map in the fitne"&amp;"ss area in front of the fitness mirror; the user wears the equipment to collect the physiological data of the user in real time and send it to the communication module; The collected user images, the thermal imaging map collected by the infrared thermal i"&amp;"maging module, and the physiological data collected by the user's wearable device are prepared, and the pre -processing data is entered to the first convolutional neural network model to obtain The user's exercise effect analysis scores during fitness exe"&amp;"rcise. This can evaluate and analyze the effects of user fitness in real time, and can improve the user's sense of use.")</f>
        <v>This application disclosed an evaluation and analysis and management system based on artificial intelligence -based fitness exercise effects. The system includes: fitness mirror, wherein the fitness mirror is equipped with a two -eyed camera, infrared thermal imaging module, and communication module, and the two -eye collection camera is used to collect user images in the fitness area in front of the fitness mirror, infrared thermal imaging module It is used to collect the thermal imaging map in the fitness area in front of the fitness mirror; the user wears the equipment to collect the physiological data of the user in real time and send it to the communication module; The collected user images, the thermal imaging map collected by the infrared thermal imaging module, and the physiological data collected by the user's wearable device are prepared, and the pre -processing data is entered to the first convolutional neural network model to obtain The user's exercise effect analysis scores during fitness exercise. This can evaluate and analyze the effects of user fitness in real time, and can improve the user's sense of use.</v>
      </c>
      <c r="D739" s="6" t="s">
        <v>2172</v>
      </c>
      <c r="E739" s="4" t="str">
        <f ca="1">IFERROR(__xludf.DUMMYFUNCTION("GOOGLETRANSLATE(D739,""auto"",""en"")"),"An evaluation and analysis management system based on artificial intelligence exercise effects")</f>
        <v>An evaluation and analysis management system based on artificial intelligence exercise effects</v>
      </c>
    </row>
    <row r="740" spans="1:5" ht="15" x14ac:dyDescent="0.25">
      <c r="A740" s="5" t="s">
        <v>2173</v>
      </c>
      <c r="B740" s="6" t="s">
        <v>2174</v>
      </c>
      <c r="C740" s="3" t="str">
        <f ca="1">IFERROR(__xludf.DUMMYFUNCTION("GOOGLETRANSLATE(B740,""auto"",""en"")"),"Our invention ""unique equipment for the fashion industry"" is a change caused by advanced changes. It is almost certain that the clothing industry will experience major changes in the next few years. Smart clothes, that is, clothing not only has traditio"&amp;"nal defense and explanation ability, but also has a mechanical and advanced highlight, and has developed into one of the world's largest financial fields -a promising door in the design industry. Since the rise of wearable devices (such as smart watches a"&amp;"nd glasses), smart clothing has only appeared recently, but it has not been considered satisfactory in writing. Biological identification physical research in sports and healthcare, supporting framework for tangible organs and strong exercise, and valuabl"&amp;"e advanced management of communicating with a part of visible things that are part of the Internet of Things (IoT) environment, but it is part of the creativity of the product creativity And use case. From the perspective of an enterprise, these improveme"&amp;"nts have made re -evaluation of project progress, action plans, and joint efforts. In order to be able to evaluate the personal difficulties and opportunities of SMART Clothes, this article introduces and ordered different progress of potential computeriz"&amp;"ed innovation applications and design creativity. Therefore, this article provides suggestions for project promotion and new action plans. Because people are interested in things that need more moderate and more accurate multi -faceted sensors, they have "&amp;"become increasingly interested in things, so the innovation of sensors has developed rapidly recently.")</f>
        <v>Our invention "unique equipment for the fashion industry" is a change caused by advanced changes. It is almost certain that the clothing industry will experience major changes in the next few years. Smart clothes, that is, clothing not only has traditional defense and explanation ability, but also has a mechanical and advanced highlight, and has developed into one of the world's largest financial fields -a promising door in the design industry. Since the rise of wearable devices (such as smart watches and glasses), smart clothing has only appeared recently, but it has not been considered satisfactory in writing. Biological identification physical research in sports and healthcare, supporting framework for tangible organs and strong exercise, and valuable advanced management of communicating with a part of visible things that are part of the Internet of Things (IoT) environment, but it is part of the creativity of the product creativity And use case. From the perspective of an enterprise, these improvements have made re -evaluation of project progress, action plans, and joint efforts. In order to be able to evaluate the personal difficulties and opportunities of SMART Clothes, this article introduces and ordered different progress of potential computerized innovation applications and design creativity. Therefore, this article provides suggestions for project promotion and new action plans. Because people are interested in things that need more moderate and more accurate multi -faceted sensors, they have become increasingly interested in things, so the innovation of sensors has developed rapidly recently.</v>
      </c>
      <c r="D740" s="6" t="s">
        <v>2175</v>
      </c>
      <c r="E740" s="4" t="str">
        <f ca="1">IFERROR(__xludf.DUMMYFUNCTION("GOOGLETRANSLATE(D740,""auto"",""en"")"),"Unique equipment used in the fashion industry")</f>
        <v>Unique equipment used in the fashion industry</v>
      </c>
    </row>
    <row r="741" spans="1:5" ht="15" x14ac:dyDescent="0.25">
      <c r="A741" s="5" t="s">
        <v>2176</v>
      </c>
      <c r="B741" s="6" t="s">
        <v>2177</v>
      </c>
      <c r="C741" s="3" t="str">
        <f ca="1">IFERROR(__xludf.DUMMYFUNCTION("GOOGLETRANSLATE(B741,""auto"",""en"")"),"As we all know, water is critical to life. The present invention involves a smart water bottle that can manage water temperature in summer and winter. More specifically, it will change the temperature at that time according to our wishes/need to change. W"&amp;"e will use the temperature sensor. The charging socket will be located on the bottle cap. In addition, whether the user wants cold water, hot water or neutral water, you can use three touch sensors. A smart water bottle can meet the needs of various group"&amp;"s, including athletes who want to improve their grades, dieties who want to achieve weight targets, and collective houses or elderly people who often dehydrate. Although most of the user's liquid intake for improvement of health is insufficient, some medi"&amp;"cal applications need to limit the intake of water. Due to insufficient purity of water, kidney disease and congestive heart failure may occur. In order to avoid such problems, the use of smart water bottle is useful in today's life. People usually carry "&amp;"a water bottle to meet their needs for water, and keep their bodies sufficient in travel or other activities (such as sports and sports activities); and many other people, such as school children, office workers, patients, and so on. Because the main func"&amp;"tion is to keep the body sufficient water, the field has made efforts to provide a water bottle. The water bottle includes the function of water combined needs based on the amount of water consumed by the user.")</f>
        <v>As we all know, water is critical to life. The present invention involves a smart water bottle that can manage water temperature in summer and winter. More specifically, it will change the temperature at that time according to our wishes/need to change. We will use the temperature sensor. The charging socket will be located on the bottle cap. In addition, whether the user wants cold water, hot water or neutral water, you can use three touch sensors. A smart water bottle can meet the needs of various groups, including athletes who want to improve their grades, dieties who want to achieve weight targets, and collective houses or elderly people who often dehydrate. Although most of the user's liquid intake for improvement of health is insufficient, some medical applications need to limit the intake of water. Due to insufficient purity of water, kidney disease and congestive heart failure may occur. In order to avoid such problems, the use of smart water bottle is useful in today's life. People usually carry a water bottle to meet their needs for water, and keep their bodies sufficient in travel or other activities (such as sports and sports activities); and many other people, such as school children, office workers, patients, and so on. Because the main function is to keep the body sufficient water, the field has made efforts to provide a water bottle. The water bottle includes the function of water combined needs based on the amount of water consumed by the user.</v>
      </c>
      <c r="D741" s="6" t="s">
        <v>2178</v>
      </c>
      <c r="E741" s="4" t="str">
        <f ca="1">IFERROR(__xludf.DUMMYFUNCTION("GOOGLETRANSLATE(D741,""auto"",""en"")"),"Use the Internet of Things smart water bottle")</f>
        <v>Use the Internet of Things smart water bottle</v>
      </c>
    </row>
    <row r="742" spans="1:5" ht="15" x14ac:dyDescent="0.25">
      <c r="A742" s="5" t="s">
        <v>2179</v>
      </c>
      <c r="B742" s="6" t="s">
        <v>2180</v>
      </c>
      <c r="C742" s="3" t="str">
        <f ca="1">IFERROR(__xludf.DUMMYFUNCTION("GOOGLETRANSLATE(B742,""auto"",""en"")"),"The present invention is a monocular inspection method, system, equipment and medium based on embedded platforms, involving the field of image processing technology. The method includes: S1: Image acquisition unit uses a single camera to obtain the curren"&amp;"t color image; S2: Enter the image collection unit to get obtained Image information; S3: Pre -processing image information, including non -disturbing cutting as fixed size and normalization; S4: Use convolutional neural networks to extract different scal"&amp;"e features for pre -processing images; S5: Fusion step s4 described S4 The characteristics of different standards are generated to generate the preliminary box; S6: The discrimination is made based on the fusion characteristics, and the test results are o"&amp;"utput; the invention effectively solves the problem of low accuracy and large calculation of monocular inspection. The equipment computing power requirements are low, the overall operation is simple, and the test results are clear.")</f>
        <v>The present invention is a monocular inspection method, system, equipment and medium based on embedded platforms, involving the field of image processing technology. The method includes: S1: Image acquisition unit uses a single camera to obtain the current color image; S2: Enter the image collection unit to get obtained Image information; S3: Pre -processing image information, including non -disturbing cutting as fixed size and normalization; S4: Use convolutional neural networks to extract different scale features for pre -processing images; S5: Fusion step s4 described S4 The characteristics of different standards are generated to generate the preliminary box; S6: The discrimination is made based on the fusion characteristics, and the test results are output; the invention effectively solves the problem of low accuracy and large calculation of monocular inspection. The equipment computing power requirements are low, the overall operation is simple, and the test results are clear.</v>
      </c>
      <c r="D742" s="6" t="s">
        <v>2181</v>
      </c>
      <c r="E742" s="4" t="str">
        <f ca="1">IFERROR(__xludf.DUMMYFUNCTION("GOOGLETRANSLATE(D742,""auto"",""en"")"),"Striped pedestrian detection methods, systems, equipment and media based on embedded platforms")</f>
        <v>Striped pedestrian detection methods, systems, equipment and media based on embedded platforms</v>
      </c>
    </row>
    <row r="743" spans="1:5" ht="15" x14ac:dyDescent="0.25">
      <c r="A743" s="5" t="s">
        <v>2182</v>
      </c>
      <c r="B743" s="6" t="s">
        <v>2183</v>
      </c>
      <c r="C743" s="3" t="str">
        <f ca="1">IFERROR(__xludf.DUMMYFUNCTION("GOOGLETRANSLATE(B743,""auto"",""en"")"),"Involved in the field of sports equipment technology in this utility model, this utility model has disclosed a type of artificial intelligence automatic speed regulating treadmill, including the main bracket, and the bottom of the main bracket is fixed wi"&amp;"th a supporting mechanism. There are activity rods, the top of the load -bearing bracket is fixed with a hydraulic pump, the output end of the hydraulic pump is fixed with a pressure plate, and the top of the pressure board is fixed with a sports band mec"&amp;"hanism. Drive motor, the output end of the driving motor is connected to a papers running belt. The top of the main bracket is fixed with a control mechanism. The control mechanism includes the operating table, and the air humidifier is fixed on one side "&amp;"of the operating table. This utility model can adjust the overall slope of the device through the hydraulic pump. The humidifier can prevent users from dry face and tongue during exercise, providing users with a more comfortable exercise experience.")</f>
        <v>Involved in the field of sports equipment technology in this utility model, this utility model has disclosed a type of artificial intelligence automatic speed regulating treadmill, including the main bracket, and the bottom of the main bracket is fixed with a supporting mechanism. There are activity rods, the top of the load -bearing bracket is fixed with a hydraulic pump, the output end of the hydraulic pump is fixed with a pressure plate, and the top of the pressure board is fixed with a sports band mechanism. Drive motor, the output end of the driving motor is connected to a papers running belt. The top of the main bracket is fixed with a control mechanism. The control mechanism includes the operating table, and the air humidifier is fixed on one side of the operating table. This utility model can adjust the overall slope of the device through the hydraulic pump. The humidifier can prevent users from dry face and tongue during exercise, providing users with a more comfortable exercise experience.</v>
      </c>
      <c r="D743" s="6" t="s">
        <v>2184</v>
      </c>
      <c r="E743" s="4" t="str">
        <f ca="1">IFERROR(__xludf.DUMMYFUNCTION("GOOGLETRANSLATE(D743,""auto"",""en"")"),"Artificial intelligence automatic speed adjustment treadmill")</f>
        <v>Artificial intelligence automatic speed adjustment treadmill</v>
      </c>
    </row>
    <row r="744" spans="1:5" ht="15" x14ac:dyDescent="0.25">
      <c r="A744" s="5" t="s">
        <v>2185</v>
      </c>
      <c r="B744" s="6" t="s">
        <v>2186</v>
      </c>
      <c r="C744" s="3" t="str">
        <f ca="1">IFERROR(__xludf.DUMMYFUNCTION("GOOGLETRANSLATE(B744,""auto"",""en"")"),"A smart system that automatically adjusts the best rehabilitation intensity or motion volume with a personalized exercise prescription, including: uploaded the physiological information data measured by registered members to upload to the cloud data integ"&amp;"rated server through the Internet; Use members' physiological information data. After the diagnosis, you can open a personalized exercise prescription and upload to the cloud data integrated server; the rehabilitation fitness equipment unit can download t"&amp;"he motion prescription from the cloud data integration server to control and automatically adjust the best rehabilitation intensity or motion volume. After the diagnosis of experts such as doctors, rehabilitation teachers, or fitness coaches, the best par"&amp;"ameter values ​​of continuously updated artificial intelligence sports prescriptions can be used to improve the effect of personal rehabilitation or exercise fitness.")</f>
        <v>A smart system that automatically adjusts the best rehabilitation intensity or motion volume with a personalized exercise prescription, including: uploaded the physiological information data measured by registered members to upload to the cloud data integrated server through the Internet; Use members' physiological information data. After the diagnosis, you can open a personalized exercise prescription and upload to the cloud data integrated server; the rehabilitation fitness equipment unit can download the motion prescription from the cloud data integration server to control and automatically adjust the best rehabilitation intensity or motion volume. After the diagnosis of experts such as doctors, rehabilitation teachers, or fitness coaches, the best parameter values ​​of continuously updated artificial intelligence sports prescriptions can be used to improve the effect of personal rehabilitation or exercise fitness.</v>
      </c>
      <c r="D744" s="6" t="s">
        <v>2187</v>
      </c>
      <c r="E744" s="4" t="str">
        <f ca="1">IFERROR(__xludf.DUMMYFUNCTION("GOOGLETRANSLATE(D744,""auto"",""en"")"),"Intelligent system, automatically adjust the best rehabilitation intensity or amount of exercise according to personalized exercise prescription")</f>
        <v>Intelligent system, automatically adjust the best rehabilitation intensity or amount of exercise according to personalized exercise prescription</v>
      </c>
    </row>
    <row r="745" spans="1:5" ht="15" x14ac:dyDescent="0.25">
      <c r="A745" s="5" t="s">
        <v>2188</v>
      </c>
      <c r="B745" s="6" t="s">
        <v>2189</v>
      </c>
      <c r="C745" s="3" t="str">
        <f ca="1">IFERROR(__xludf.DUMMYFUNCTION("GOOGLETRANSLATE(B745,""auto"",""en"")"),"The patent of the present invention provides a method of understanding and constructing a multi -mode fitness knowledge map, which is characterized by: (1) use the explanation text corresponding to fitness videos and fitness as the input of the multi -mod"&amp;"e model. The standard knowledge diagram of fitness understanding and extraction of fitness actions of fitness action demonstration semantics. This method is based on the type of video feature extraction and identification action. The name of the word vect"&amp;"or characteristics of the word vector characteristics of the text is based on the name of the videos characteristics and the combination of the extraction and fusion of the word vector characteristics. Including: Corresponding Demonstration Action Video "&amp;"""Sanyuan Group. (2) The traditional knowledge graph architecture of the ""Discipline -Movement Type -Sports -Movement Name"" based on the fitness knowledge map library, which realizes the movement of the movement of the knowledge map to further add the "&amp;"""movement action name: include: corresponding to: corresponding The method of demonstration action video ""three metal groups realized the construction of a multi -mode fitness knowledge map.")</f>
        <v>The patent of the present invention provides a method of understanding and constructing a multi -mode fitness knowledge map, which is characterized by: (1) use the explanation text corresponding to fitness videos and fitness as the input of the multi -mode model. The standard knowledge diagram of fitness understanding and extraction of fitness actions of fitness action demonstration semantics. This method is based on the type of video feature extraction and identification action. The name of the word vector characteristics of the word vector characteristics of the text is based on the name of the videos characteristics and the combination of the extraction and fusion of the word vector characteristics. Including: Corresponding Demonstration Action Video "Sanyuan Group. (2) The traditional knowledge graph architecture of the "Discipline -Movement Type -Sports -Movement Name" based on the fitness knowledge map library, which realizes the movement of the movement of the knowledge map to further add the "movement action name: include: corresponding to: corresponding The method of demonstration action video "three metal groups realized the construction of a multi -mode fitness knowledge map.</v>
      </c>
      <c r="D745" s="6" t="s">
        <v>2190</v>
      </c>
      <c r="E745" s="4" t="str">
        <f ca="1">IFERROR(__xludf.DUMMYFUNCTION("GOOGLETRANSLATE(D745,""auto"",""en"")"),"A multi -mode fitness knowledge map understanding and construction method")</f>
        <v>A multi -mode fitness knowledge map understanding and construction method</v>
      </c>
    </row>
    <row r="746" spans="1:5" ht="15" x14ac:dyDescent="0.25">
      <c r="A746" s="5" t="s">
        <v>2191</v>
      </c>
      <c r="B746" s="6" t="s">
        <v>2192</v>
      </c>
      <c r="C746" s="3" t="str">
        <f ca="1">IFERROR(__xludf.DUMMYFUNCTION("GOOGLETRANSLATE(B746,""auto"",""en"")"),"1. Design product name: The document of the display screen panel configures the graphical user interface.
 2. Design products in appearance: used for running procedures, information display, and human -computer interaction.
 3. Design of design produc"&amp;"ts in this exterior: lies in the content of the graphic user interface.
 4. Pictures or photos that can most indicate design points: Design 1 interface change state Figure 3.
 5. Specify design 1 is the basic design.
 6. The purpose of the graphic u"&amp;"ser interface: Click the ""New File Library"" button in the main view of the main view to the new document. The pop -up floating layer appears on the right. The document list will be generated, as shown in the design 1 interface change state Figure 2, cli"&amp;"ck the ""Open Document Library"" button in the list operating item to enter the document library interface, as shown in the design 1 interface change state. The ""configuration column"" button, the head configuration list appears, dragging up and down can"&amp;" change the order of arrangement, click on the right circular button to open or close the header to display or hide the configuration list header, as if the design 1 interface changes status chart 4 shown.
 The main view of the design 2 to the interface"&amp;" change state is the same as the design 1. Click the deletion button under the operating item in the design 2 interface change state. Show.
 Design 3 设计 The main view of design 8 to the interface change state Figure 3 is the same as design 1.
 Click t"&amp;"he ""Filter"" button in the design 3 interface change state. Setting the screening of the pop -up window appears. You can set the screening condition by yourself, as shown in the design 3 interface change state Figure 4.
 Click the ""Local Upload"" butt"&amp;"on in the design 4 interface change state, and the pop -up document pop -up window is popped up, as shown in the design 4 interface change state Figure 4.
 Click the ""Create by Links"" button in design 5 interface change state. The drawer will pop up o"&amp;"n the right side of the interface to fill in and select the required information, as shown in the design 5 interface change state Figure 4.
 Click the ""Export Label Value"" button in the design 6 interface change state. 3 will appear to the task and do"&amp;"wnload the file, as shown in the design 6 interface change state.
 Click the ""Import Label Value"" button in the design 7 interface change state. The pop -up window selection file appears in the interface. Click OK to import the document, as shown in t"&amp;"he design 7 interface change state Figure 4.
 Click the ""Label"" button in the design 8 interface change status Figure 3, which can be switched to the label list interface. As shown in the design 8 interface change state Figure 4, click the ""New Tag"""&amp;" button in the upper right corner. As shown in the design 8 interface change state, the settings page on the right slide upward, and the interface change is shown in the design 8 interface change state. When the new -level relationship, when the visible s"&amp;"election conditions can be seen, you can set the required information according to the condition, as shown in the design 8 interface change state. 7.
 7.其他说明：显示屏幕面板应用于车辆、计算机、笔记本电脑、平板电脑、手机、智能手表、智能手环、健身监视器、头戴式耳机、个人数字助理（PDA）、智能音箱、电视、 Top box, projector, ga"&amp;"me console or navigator.")</f>
        <v>1. Design product name: The document of the display screen panel configures the graphical user interface.
 2. Design products in appearance: used for running procedures, information display, and human -computer interaction.
 3. Design of design products in this exterior: lies in the content of the graphic user interface.
 4. Pictures or photos that can most indicate design points: Design 1 interface change state Figure 3.
 5. Specify design 1 is the basic design.
 6. The purpose of the graphic user interface: Click the "New File Library" button in the main view of the main view to the new document. The pop -up floating layer appears on the right. The document list will be generated, as shown in the design 1 interface change state Figure 2, click the "Open Document Library" button in the list operating item to enter the document library interface, as shown in the design 1 interface change state. The "configuration column" button, the head configuration list appears, dragging up and down can change the order of arrangement, click on the right circular button to open or close the header to display or hide the configuration list header, as if the design 1 interface changes status chart 4 shown.
 The main view of the design 2 to the interface change state is the same as the design 1. Click the deletion button under the operating item in the design 2 interface change state. Show.
 Design 3 设计 The main view of design 8 to the interface change state Figure 3 is the same as design 1.
 Click the "Filter" button in the design 3 interface change state. Setting the screening of the pop -up window appears. You can set the screening condition by yourself, as shown in the design 3 interface change state Figure 4.
 Click the "Local Upload" button in the design 4 interface change state, and the pop -up document pop -up window is popped up, as shown in the design 4 interface change state Figure 4.
 Click the "Create by Links" button in design 5 interface change state. The drawer will pop up on the right side of the interface to fill in and select the required information, as shown in the design 5 interface change state Figure 4.
 Click the "Export Label Value" button in the design 6 interface change state. 3 will appear to the task and download the file, as shown in the design 6 interface change state.
 Click the "Import Label Value" button in the design 7 interface change state. The pop -up window selection file appears in the interface. Click OK to import the document, as shown in the design 7 interface change state Figure 4.
 Click the "Label" button in the design 8 interface change status Figure 3, which can be switched to the label list interface. As shown in the design 8 interface change state Figure 4, click the "New Tag" button in the upper right corner. As shown in the design 8 interface change state, the settings page on the right slide upward, and the interface change is shown in the design 8 interface change state. When the new -level relationship, when the visible selection conditions can be seen, you can set the required information according to the condition, as shown in the design 8 interface change state. 7.
 7.其他说明：显示屏幕面板应用于车辆、计算机、笔记本电脑、平板电脑、手机、智能手表、智能手环、健身监视器、头戴式耳机、个人数字助理（PDA）、智能音箱、电视、 Top box, projector, game console or navigator.</v>
      </c>
      <c r="D746" s="6" t="s">
        <v>2193</v>
      </c>
      <c r="E746" s="4" t="str">
        <f ca="1">IFERROR(__xludf.DUMMYFUNCTION("GOOGLETRANSLATE(D746,""auto"",""en"")"),"The document configuration graphics user interface of the display screen panel")</f>
        <v>The document configuration graphics user interface of the display screen panel</v>
      </c>
    </row>
    <row r="747" spans="1:5" ht="15" x14ac:dyDescent="0.25">
      <c r="A747" s="5" t="s">
        <v>2194</v>
      </c>
      <c r="B747" s="6" t="s">
        <v>2195</v>
      </c>
      <c r="C747" s="3" t="str">
        <f ca="1">IFERROR(__xludf.DUMMYFUNCTION("GOOGLETRANSLATE(B747,""auto"",""en"")"),"This utility model opens up a basketball court lighting light based on the Internet of Things; this utility model includes columns, the first electric retractable rod, and the IoT regulating component set on the surface of the column. There are multiple s"&amp;"econd electric retractable rods inside the opening. There are connecting grooves on the top of the column. The interior of the connection slot is set with a second electric telescopic lever to facilitate the adjustment and use. In order to control the fir"&amp;"st electric retractable rod through the control switch, that is, the first electric telescopic rod work drives the horizontal rods set on the surface to move up and down, and the transverse rod can be driven by the crossbar to make up and down adjustment."&amp;" At the top of the opposite column of Renyi Electric Electric Expansion Ring, it has increased the IoT nature and conveniently regulates the lighting on the basketball court.")</f>
        <v>This utility model opens up a basketball court lighting light based on the Internet of Things; this utility model includes columns, the first electric retractable rod, and the IoT regulating component set on the surface of the column. There are multiple second electric retractable rods inside the opening. There are connecting grooves on the top of the column. The interior of the connection slot is set with a second electric telescopic lever to facilitate the adjustment and use. In order to control the first electric retractable rod through the control switch, that is, the first electric telescopic rod work drives the horizontal rods set on the surface to move up and down, and the transverse rod can be driven by the crossbar to make up and down adjustment. At the top of the opposite column of Renyi Electric Electric Expansion Ring, it has increased the IoT nature and conveniently regulates the lighting on the basketball court.</v>
      </c>
      <c r="D747" s="6" t="s">
        <v>2196</v>
      </c>
      <c r="E747" s="4" t="str">
        <f ca="1">IFERROR(__xludf.DUMMYFUNCTION("GOOGLETRANSLATE(D747,""auto"",""en"")"),"A basketball court lighting based on the Internet of Things")</f>
        <v>A basketball court lighting based on the Internet of Things</v>
      </c>
    </row>
    <row r="748" spans="1:5" ht="15" x14ac:dyDescent="0.25">
      <c r="A748" s="5" t="s">
        <v>2197</v>
      </c>
      <c r="B748" s="6" t="s">
        <v>2198</v>
      </c>
      <c r="C748" s="3" t="str">
        <f ca="1">IFERROR(__xludf.DUMMYFUNCTION("GOOGLETRANSLATE(B748,""auto"",""en"")"),"Our invention ""Detection and identification and identification based on deep learning"" is a improvement. It becomes more and more popular in the field of sports as well as in the field of sports and in terms of design, destruction of chessboards, coordi"&amp;"nation factors, and obtaining aviation terminals. Although they have important applications, due to their ability to use the use of the actual system of the airport terminal due to their ability to use the actual system of the airport terminal. Recently, "&amp;"there are many reports on using different types of robots and interference aircraft mission in the terminal building without approval. To solve this problem, this study proposed an original strategy based on deep learning, which is used for production pos"&amp;"itioning and recognition of two robots and birds. Compared with the existing written recognition framework, the pre -arranged picture dataset evaluates the proposed method to show a better degree of proficiency. In addition, because the appearance and beh"&amp;"avior are similar, drones are often mistaken for birds. The technologies proposed can not only identify the existence or non -existence of robots in the space, but also perceive and identify two robots, as well as identifying them from birds. The data set"&amp;" used in this work to prepare the organization contains 10,000 attractive pictures, including two robots, such as multi -rotor, helicopter and birds. The deep learning strategies proposed can directly identify and perceive the two robots, and recognize th"&amp;"em from birds with 83% accuracy, 84% MAP and 81% of iOUs from birds. The advantages of normal censorship, normal accuracy and normal F1 scores were displayed as 84%, 83%, and 83%of the three categories, respectively.")</f>
        <v>Our invention "Detection and identification and identification based on deep learning" is a improvement. It becomes more and more popular in the field of sports as well as in the field of sports and in terms of design, destruction of chessboards, coordination factors, and obtaining aviation terminals. Although they have important applications, due to their ability to use the use of the actual system of the airport terminal due to their ability to use the actual system of the airport terminal. Recently, there are many reports on using different types of robots and interference aircraft mission in the terminal building without approval. To solve this problem, this study proposed an original strategy based on deep learning, which is used for production positioning and recognition of two robots and birds. Compared with the existing written recognition framework, the pre -arranged picture dataset evaluates the proposed method to show a better degree of proficiency. In addition, because the appearance and behavior are similar, drones are often mistaken for birds. The technologies proposed can not only identify the existence or non -existence of robots in the space, but also perceive and identify two robots, as well as identifying them from birds. The data set used in this work to prepare the organization contains 10,000 attractive pictures, including two robots, such as multi -rotor, helicopter and birds. The deep learning strategies proposed can directly identify and perceive the two robots, and recognize them from birds with 83% accuracy, 84% MAP and 81% of iOUs from birds. The advantages of normal censorship, normal accuracy and normal F1 scores were displayed as 84%, 83%, and 83%of the three categories, respectively.</v>
      </c>
      <c r="D748" s="6" t="s">
        <v>2199</v>
      </c>
      <c r="E748" s="4" t="str">
        <f ca="1">IFERROR(__xludf.DUMMYFUNCTION("GOOGLETRANSLATE(D748,""auto"",""en"")"),"Detective and recognition of drone based on deep learning")</f>
        <v>Detective and recognition of drone based on deep learning</v>
      </c>
    </row>
    <row r="749" spans="1:5" ht="15" x14ac:dyDescent="0.25">
      <c r="A749" s="5" t="s">
        <v>2200</v>
      </c>
      <c r="B749" s="6" t="s">
        <v>2201</v>
      </c>
      <c r="C749" s="3" t="str">
        <f ca="1">IFERROR(__xludf.DUMMYFUNCTION("GOOGLETRANSLATE(B749,""auto"",""en"")"),"1. Design product name: Graphic user interface of the accessories management of the display screen panel.
 2. Design products in appearance: used for running procedures, information display, and human -computer interaction.
 3. Design of design produc"&amp;"ts in this appearance: lies in the graphic user interface in the screen.
 4. Pictures or photos that can best show design: Design 1 main view.
 5. Specify design 1 is the basic design.
 6.其他说明：本显示屏幕面板应用于车辆、计算机、笔记本电脑、平板电脑、手机、智能手机、智能手表、健身监视器、头戴式耳机、个人数"&amp;"字助理（PDA）、智能音箱、电视、 Sky -top box, game console.")</f>
        <v>1. Design product name: Graphic user interface of the accessories management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6.其他说明：本显示屏幕面板应用于车辆、计算机、笔记本电脑、平板电脑、手机、智能手机、智能手表、健身监视器、头戴式耳机、个人数字助理（PDA）、智能音箱、电视、 Sky -top box, game console.</v>
      </c>
      <c r="D749" s="6" t="s">
        <v>2202</v>
      </c>
      <c r="E749" s="4" t="str">
        <f ca="1">IFERROR(__xludf.DUMMYFUNCTION("GOOGLETRANSLATE(D749,""auto"",""en"")"),"Graphic user interface of accessories management of display screen panels")</f>
        <v>Graphic user interface of accessories management of display screen panels</v>
      </c>
    </row>
    <row r="750" spans="1:5" ht="15" x14ac:dyDescent="0.25">
      <c r="A750" s="5" t="s">
        <v>2203</v>
      </c>
      <c r="B750" s="6" t="s">
        <v>2204</v>
      </c>
      <c r="C750" s="3" t="str">
        <f ca="1">IFERROR(__xludf.DUMMYFUNCTION("GOOGLETRANSLATE(B750,""auto"",""en"")"),"1. Design product name: Dynamic graphic user interface of the gesture animation of the display screen panel.
 2. Design products in appearance: used for running procedures, information display, and human -computer interaction.
 3. Design of design pro"&amp;"ducts in this appearance: lies in the graphic user interface in the screen.
 4. Pictures or photos that can best show design: Design 1 main view.
 5. Specify design 1 is the basic design.
 6. The purpose of the graphic user interface: The design poi"&amp;"nt of the user interface of this graphic lies in the gesture animation. In any interface, the system captures the user's wake -up gesture. A small circle appears in the interface. , Continue through gestures.
 Design 1 is the process of awakening the co"&amp;"ntroller through the gesture. The interface appears small circles and gradually becomes a disc controller.
 Design 2 is the process of reducing the volume by the user to reduce the volume. The controller gradually changes from the disc to the vertical l"&amp;"ength, until the volume reduction button is selected.
 Design 3 is the change of the controller after the user completes the volume setting. The controller gradually changes from vertical length to small circles, and finally disappears.
 Design 4 is t"&amp;"he process of setting forward through gesture settings. The controller gradually changes from a disc to a long -length type until the forward button is selected.
 Design 5 is the process of the user from the selected forward button to the back button th"&amp;"rough the gesture.
 Design 6 is the change of the controller after setting up the backward settings. The controller gradually changes from the horizontal length to a small circle, and finally disappears.
 Design 7 is the process of awakening the contr"&amp;"oller through gestures and lowering the volume. A small circle appears in the interface and gradually becomes a disc controller. The controller changes from a disc to the vertical length of the selected volume reduction button. The device gradually change"&amp;"d from vertical length to small circles, and finally disappeared.
 Design 8 After the user wakes up the controller through the gesture, select the forward button first, and then select the process of the backbone button. A small circle appears in the in"&amp;"terface, and gradually becomes a disc controller. The horizontal length of the button becomes the horizontal length of the selected back button. After the setting is set, the controller gradually changes from the horizontal length to a small circle, and f"&amp;"inally disappears.
 Design 9 After the user wakes up the controller through the gesture, select the volume reduction button first, and then select the process of the forward button. A small circle appears in the interface, and gradually becomes a disc c"&amp;"ontroller. The vertical length type is then turned into the horizontal length of the selected forward button.
 7.其他说明：本显示屏幕面板应用于车辆、计算机、笔记本电脑、平板电脑、手机、智能手机、智能手表、健身监视器、头戴式耳机、个人数字助理（PDA）、智能音箱、电视、 Sky -top box, game console.")</f>
        <v>1. Design product name: Dynamic graphic user interface of the gesture animation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 user interface: The design point of the user interface of this graphic lies in the gesture animation. In any interface, the system captures the user's wake -up gesture. A small circle appears in the interface. , Continue through gestures.
 Design 1 is the process of awakening the controller through the gesture. The interface appears small circles and gradually becomes a disc controller.
 Design 2 is the process of reducing the volume by the user to reduce the volume. The controller gradually changes from the disc to the vertical length, until the volume reduction button is selected.
 Design 3 is the change of the controller after the user completes the volume setting. The controller gradually changes from vertical length to small circles, and finally disappears.
 Design 4 is the process of setting forward through gesture settings. The controller gradually changes from a disc to a long -length type until the forward button is selected.
 Design 5 is the process of the user from the selected forward button to the back button through the gesture.
 Design 6 is the change of the controller after setting up the backward settings. The controller gradually changes from the horizontal length to a small circle, and finally disappears.
 Design 7 is the process of awakening the controller through gestures and lowering the volume. A small circle appears in the interface and gradually becomes a disc controller. The controller changes from a disc to the vertical length of the selected volume reduction button. The device gradually changed from vertical length to small circles, and finally disappeared.
 Design 8 After the user wakes up the controller through the gesture, select the forward button first, and then select the process of the backbone button. A small circle appears in the interface, and gradually becomes a disc controller. The horizontal length of the button becomes the horizontal length of the selected back button. After the setting is set, the controller gradually changes from the horizontal length to a small circle, and finally disappears.
 Design 9 After the user wakes up the controller through the gesture, select the volume reduction button first, and then select the process of the forward button. A small circle appears in the interface, and gradually becomes a disc controller. The vertical length type is then turned into the horizontal length of the selected forward button.
 7.其他说明：本显示屏幕面板应用于车辆、计算机、笔记本电脑、平板电脑、手机、智能手机、智能手表、健身监视器、头戴式耳机、个人数字助理（PDA）、智能音箱、电视、 Sky -top box, game console.</v>
      </c>
      <c r="D750" s="6" t="s">
        <v>2205</v>
      </c>
      <c r="E750" s="4" t="str">
        <f ca="1">IFERROR(__xludf.DUMMYFUNCTION("GOOGLETRANSLATE(D750,""auto"",""en"")"),"The dynamic graphic user interface of the gesture animation of the display screen panel")</f>
        <v>The dynamic graphic user interface of the gesture animation of the display screen panel</v>
      </c>
    </row>
    <row r="751" spans="1:5" ht="15" x14ac:dyDescent="0.25">
      <c r="A751" s="5" t="s">
        <v>2206</v>
      </c>
      <c r="B751" s="6" t="s">
        <v>2207</v>
      </c>
      <c r="C751" s="3" t="str">
        <f ca="1">IFERROR(__xludf.DUMMYFUNCTION("GOOGLETRANSLATE(B751,""auto"",""en"")"),"1. Design product name: Graphic user interface set by the air conditioner setting of the display screen panel.
 2. Design products in appearance: used for running procedures, information display, and human -computer interaction.
 3. Design of design p"&amp;"roducts in this appearance: lies in the graphic user interface in the screen.
 4. Pictures or photos that can best show design: Design 1 main view.
 5. Specify design 1 is the basic design.
 6. The purpose of graphical user interface: The design poi"&amp;"nt of this graphic user interface lies in air conditioning settings.
 Design 1 The main view is the air conditioning setting interface.
 Design 2 main view is the air conditioning setting interface. The user clicks the aromatherapy button on the right"&amp;" to set the aromatherapy, as shown in the designed 2 interface change state diagram.
 7.其他说明：本显示屏幕面板应用于车辆、计算机、笔记本电脑、平板电脑、手机、智能手机、智能手表、健身监视器、头戴式耳机、个人数字助理（PDA）、智能音箱、电视、 Sky -top box, game console.")</f>
        <v>1. Design product name: Graphic user interface set by the air conditioner setting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air conditioning settings.
 Design 1 The main view is the air conditioning setting interface.
 Design 2 main view is the air conditioning setting interface. The user clicks the aromatherapy button on the right to set the aromatherapy, as shown in the designed 2 interface change state diagram.
 7.其他说明：本显示屏幕面板应用于车辆、计算机、笔记本电脑、平板电脑、手机、智能手机、智能手表、健身监视器、头戴式耳机、个人数字助理（PDA）、智能音箱、电视、 Sky -top box, game console.</v>
      </c>
      <c r="D751" s="6" t="s">
        <v>2208</v>
      </c>
      <c r="E751" s="4" t="str">
        <f ca="1">IFERROR(__xludf.DUMMYFUNCTION("GOOGLETRANSLATE(D751,""auto"",""en"")"),"Graphic user interface set by the air conditioner setting of the display screen panel")</f>
        <v>Graphic user interface set by the air conditioner setting of the display screen panel</v>
      </c>
    </row>
    <row r="752" spans="1:5" ht="15" x14ac:dyDescent="0.25">
      <c r="A752" s="5" t="s">
        <v>2209</v>
      </c>
      <c r="B752" s="6" t="s">
        <v>2210</v>
      </c>
      <c r="C752" s="3" t="str">
        <f ca="1">IFERROR(__xludf.DUMMYFUNCTION("GOOGLETRANSLATE(B752,""auto"",""en"")"),"1. Design product name: Graphic user interface for vehicles on the display screen panel.
 2. Design products in appearance: used for running procedures, information display, and human -computer interaction.
 3. Design of design products in this appear"&amp;"ance: lies in the graphic user interface in the screen.
 4. Pictures or photos that can best show design: Design 1 main view.
 5. Specify design 1 is the basic design.
 6. The purpose of the graphical user interface: The design point of this graphic"&amp;" user interface lies in the vehicle environmental interface.
 Design 1 Main view to design 4 main views in order is the image interface of the front, rear, left, and right of the vehicle. The design 5 main view is the image interface of the default pers"&amp;"pective.
 7.其他说明：本显示屏幕面板应用于车辆、计算机、笔记本电脑、平板电脑、手机、智能手机、智能手表、健身监视器、头戴式耳机、个人数字助理（PDA）、智能音箱、电视、 Sky -top box, game console.")</f>
        <v>1. Design product name: Graphic user interface for vehicles on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vehicle environmental interface.
 Design 1 Main view to design 4 main views in order is the image interface of the front, rear, left, and right of the vehicle. The design 5 main view is the image interface of the default perspective.
 7.其他说明：本显示屏幕面板应用于车辆、计算机、笔记本电脑、平板电脑、手机、智能手机、智能手表、健身监视器、头戴式耳机、个人数字助理（PDA）、智能音箱、电视、 Sky -top box, game console.</v>
      </c>
      <c r="D752" s="6" t="s">
        <v>2211</v>
      </c>
      <c r="E752" s="4" t="str">
        <f ca="1">IFERROR(__xludf.DUMMYFUNCTION("GOOGLETRANSLATE(D752,""auto"",""en"")"),"The graphic user interface of the vehicle environment of the display screen panel")</f>
        <v>The graphic user interface of the vehicle environment of the display screen panel</v>
      </c>
    </row>
    <row r="753" spans="1:5" ht="15" x14ac:dyDescent="0.25">
      <c r="A753" s="5" t="s">
        <v>2212</v>
      </c>
      <c r="B753" s="6" t="s">
        <v>2213</v>
      </c>
      <c r="C753" s="3" t="str">
        <f ca="1">IFERROR(__xludf.DUMMYFUNCTION("GOOGLETRANSLATE(B753,""auto"",""en"")"),"1. Design product name: The graphic user interface of the parking panel parking panel.
 2. Design products in appearance: used for running procedures, information display, and human -computer interaction.
 3. Design of design products in this appearan"&amp;"ce: lies in the graphic user interface in the screen.
 4. Pictures or photos that can best show design: Design 1 main view.
 5. Specify design 1 is the basic design.
 6. The purpose of graphical user interface: The design point of this graphic user "&amp;"interface lies in the parking interface.
 Design 1 shows the process from the parking space to parking. Design 1 main view is the interface of the parking space. Design 1 interface change state Figure 1 is to find the interface of the parking space. Des"&amp;"ign 1 interface change state Figure 3 is the interface during parking. Design 1 interface change state Figure 4 is the interface of parking completion.
 Design 2 main view is the interface of starting parking.
 7.其他说明：本显示屏幕面板应用于车辆、计算机、笔记本电脑、平板电脑、手机、智能"&amp;"手机、智能手表、健身监视器、头戴式耳机、个人数字助理（PDA）、智能音箱、电视、 Sky -top box, game console.")</f>
        <v>1. Design product name: The graphic user interface of the parking panel parking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parking interface.
 Design 1 shows the process from the parking space to parking. Design 1 main view is the interface of the parking space. Design 1 interface change state Figure 1 is to find the interface of the parking space. Design 1 interface change state Figure 3 is the interface during parking. Design 1 interface change state Figure 4 is the interface of parking completion.
 Design 2 main view is the interface of starting parking.
 7.其他说明：本显示屏幕面板应用于车辆、计算机、笔记本电脑、平板电脑、手机、智能手机、智能手表、健身监视器、头戴式耳机、个人数字助理（PDA）、智能音箱、电视、 Sky -top box, game console.</v>
      </c>
      <c r="D753" s="6" t="s">
        <v>2214</v>
      </c>
      <c r="E753" s="4" t="str">
        <f ca="1">IFERROR(__xludf.DUMMYFUNCTION("GOOGLETRANSLATE(D753,""auto"",""en"")"),"The graphic user interface of the parking screen panel")</f>
        <v>The graphic user interface of the parking screen panel</v>
      </c>
    </row>
    <row r="754" spans="1:5" ht="15" x14ac:dyDescent="0.25">
      <c r="A754" s="5" t="s">
        <v>2215</v>
      </c>
      <c r="B754" s="6" t="s">
        <v>2216</v>
      </c>
      <c r="C754" s="3" t="str">
        <f ca="1">IFERROR(__xludf.DUMMYFUNCTION("GOOGLETRANSLATE(B754,""auto"",""en"")"),"1. Design product name: The first pop -up window user interface of the display screen panel.
 2. Design products in appearance: used for running procedures, information display, and human -computer interaction.
 3. Design of design products in this ap"&amp;"pearance: lies in the graphic user interface in the screen.
 4. Pictures or photos that can best show design: Design 1 main view.
 5. Specify design 1 is the basic design.
 6. The purpose of the graphical user interface: The design point of this gra"&amp;"phic user interface lies in the pop -up window interface of the homepage.
 Design 1 main view to the design 8 main view is the homepage interface with pop -up window.
 7.其他说明：本显示屏幕面板应用于车辆、计算机、笔记本电脑、平板电脑、手机、智能手机、智能手表、健身监视器、头戴式耳机、个人数字助理（PDA）、智能音箱、电视、 Sk"&amp;"y -top box, game console.")</f>
        <v>1. Design product name: The first pop -up window user interface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pop -up window interface of the homepage.
 Design 1 main view to the design 8 main view is the homepage interface with pop -up window.
 7.其他说明：本显示屏幕面板应用于车辆、计算机、笔记本电脑、平板电脑、手机、智能手机、智能手表、健身监视器、头戴式耳机、个人数字助理（PDA）、智能音箱、电视、 Sky -top box, game console.</v>
      </c>
      <c r="D754" s="6" t="s">
        <v>2217</v>
      </c>
      <c r="E754" s="4" t="str">
        <f ca="1">IFERROR(__xludf.DUMMYFUNCTION("GOOGLETRANSLATE(D754,""auto"",""en"")"),"The graphic user interface of the homepage pop -up window of the display screen panel")</f>
        <v>The graphic user interface of the homepage pop -up window of the display screen panel</v>
      </c>
    </row>
    <row r="755" spans="1:5" ht="15" x14ac:dyDescent="0.25">
      <c r="A755" s="5" t="s">
        <v>2218</v>
      </c>
      <c r="B755" s="6" t="s">
        <v>2219</v>
      </c>
      <c r="C755" s="3" t="str">
        <f ca="1">IFERROR(__xludf.DUMMYFUNCTION("GOOGLETRANSLATE(B755,""auto"",""en"")"),"1. Design product name: The graphic user interface of the music playback of the display screen panel.
 2. Design products in appearance: used for running procedures, information display, and human -computer interaction.
 3. Design of design products i"&amp;"n this appearance: lies in the graphic user interface in the screen.
 4. Pictures or photos that can best show design: Design 1 main view.
 5. Specify design 1 is the basic design.
 6. The purpose of the graphical user interface: The design point of"&amp;" this graphic user interface lies in the music playback interface.
 Design 1 main view to design 8 main view is the music playback interface.
 7.其他说明：本显示屏幕面板应用于车辆、计算机、笔记本电脑、平板电脑、手机、智能手机、智能手表、健身监视器、头戴式耳机、个人数字助理（PDA）、智能音箱、电视、 Sky -top box, game console.")</f>
        <v>1. Design product name: The graphic user interface of the music playback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music playback interface.
 Design 1 main view to design 8 main view is the music playback interface.
 7.其他说明：本显示屏幕面板应用于车辆、计算机、笔记本电脑、平板电脑、手机、智能手机、智能手表、健身监视器、头戴式耳机、个人数字助理（PDA）、智能音箱、电视、 Sky -top box, game console.</v>
      </c>
      <c r="D755" s="6" t="s">
        <v>2220</v>
      </c>
      <c r="E755" s="4" t="str">
        <f ca="1">IFERROR(__xludf.DUMMYFUNCTION("GOOGLETRANSLATE(D755,""auto"",""en"")"),"The graphic user interface of the music playback of the display screen panel")</f>
        <v>The graphic user interface of the music playback of the display screen panel</v>
      </c>
    </row>
    <row r="756" spans="1:5" ht="15" x14ac:dyDescent="0.25">
      <c r="A756" s="5" t="s">
        <v>2221</v>
      </c>
      <c r="B756" s="6" t="s">
        <v>2222</v>
      </c>
      <c r="C756" s="3" t="str">
        <f ca="1">IFERROR(__xludf.DUMMYFUNCTION("GOOGLETRANSLATE(B756,""auto"",""en"")"),"1. Design product name: The graphic user interface of the remote control parking of the display screen panel.
 2. Design products in appearance: used for running procedures, information display, and human -computer interaction.
 3. Design of design pr"&amp;"oducts in this appearance: lies in the graphic user interface in the screen.
 4. Pictures or photos that can best show design: Design 1 main view.
 5. Specify design 1 is the basic design.
 6. The purpose of the graphical user interface: The design "&amp;"point of this graphic user interface lies in the remote control parking interface. Design 1 main view to the design 3 main view is the remote control parking interface.
 7.其他说明：本显示屏幕面板应用于车辆、计算机、笔记本电脑、平板电脑、手机、智能手机、智能手表、健身监视器、头戴式耳机、个人数字助理（PDA）、智能音箱、电视、 Sk"&amp;"y -top box, game console.")</f>
        <v>1. Design product name: The graphic user interface of the remote control parking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remote control parking interface. Design 1 main view to the design 3 main view is the remote control parking interface.
 7.其他说明：本显示屏幕面板应用于车辆、计算机、笔记本电脑、平板电脑、手机、智能手机、智能手表、健身监视器、头戴式耳机、个人数字助理（PDA）、智能音箱、电视、 Sky -top box, game console.</v>
      </c>
      <c r="D756" s="6" t="s">
        <v>2223</v>
      </c>
      <c r="E756" s="4" t="str">
        <f ca="1">IFERROR(__xludf.DUMMYFUNCTION("GOOGLETRANSLATE(D756,""auto"",""en"")"),"The graphical user interface of the remote control parking of the display screen panel")</f>
        <v>The graphical user interface of the remote control parking of the display screen panel</v>
      </c>
    </row>
    <row r="757" spans="1:5" ht="15" x14ac:dyDescent="0.25">
      <c r="A757" s="5" t="s">
        <v>2224</v>
      </c>
      <c r="B757" s="6" t="s">
        <v>2225</v>
      </c>
      <c r="C757" s="3" t="str">
        <f ca="1">IFERROR(__xludf.DUMMYFUNCTION("GOOGLETRANSLATE(B757,""auto"",""en"")"),"1. Design product name: The vehicle healthy graphic user interface of the display screen panel.
 2. Design products in appearance: used for running procedures, information display, and human -computer interaction.
 3. Design of design products in this"&amp;" appearance: lies in the graphic user interface in the screen.
 4. Pictures or photos that can best show design: Design 1 main view.
 5. Specify design 1 is the basic design.
 6. The purpose of the graphical user interface: Design 1 main view and de"&amp;"sign 2 main views are vehicle health interface, and the interface shows vehicle information and vehicle maintenance information.
 7.其他说明：本显示屏幕面板应用于车辆、计算机、笔记本电脑、平板电脑、手机、智能手机、智能手表、健身监视器、头戴式耳机、个人数字助理（PDA）、智能音箱、电视、 Sky -top box, game console.")</f>
        <v>1. Design product name: The vehicle healthy graphic user interface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Design 1 main view and design 2 main views are vehicle health interface, and the interface shows vehicle information and vehicle maintenance information.
 7.其他说明：本显示屏幕面板应用于车辆、计算机、笔记本电脑、平板电脑、手机、智能手机、智能手表、健身监视器、头戴式耳机、个人数字助理（PDA）、智能音箱、电视、 Sky -top box, game console.</v>
      </c>
      <c r="D757" s="6" t="s">
        <v>2226</v>
      </c>
      <c r="E757" s="4" t="str">
        <f ca="1">IFERROR(__xludf.DUMMYFUNCTION("GOOGLETRANSLATE(D757,""auto"",""en"")"),"The vehicle healthy graphic user interface of the display screen panel")</f>
        <v>The vehicle healthy graphic user interface of the display screen panel</v>
      </c>
    </row>
    <row r="758" spans="1:5" ht="15" x14ac:dyDescent="0.25">
      <c r="A758" s="5" t="s">
        <v>2227</v>
      </c>
      <c r="B758" s="6" t="s">
        <v>2228</v>
      </c>
      <c r="C758" s="3" t="str">
        <f ca="1">IFERROR(__xludf.DUMMYFUNCTION("GOOGLETRANSLATE(B758,""auto"",""en"")"),"1. Design product name: Graphic user interface of the seat massage of the display screen panel.
 2. Design products in appearance: used for running procedures, information display, and human -computer interaction.
 3. Design of design products in this"&amp;" appearance: lies in the graphic user interface in the screen.
 4. Pictures or photos that can best show design: Design 1 main view.
 5. Specify design 1 is the basic design.
 6. The purpose of the graphical user interface: The design point of this "&amp;"graphic user interface lies in the seat massage interface.
 Design 1 main view and design 2 main view is the seat massage interface. The massage point on the seat will be displayed alternately according to the working mode.
 7.其他说明：本显示屏幕面板应用于车辆、计算机、笔记"&amp;"本电脑、平板电脑、手机、智能手机、智能手表、健身监视器、头戴式耳机、个人数字助理（PDA）、智能音箱、电视、 Sky -top box, game console.")</f>
        <v>1. Design product name: Graphic user interface of the seat massage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seat massage interface.
 Design 1 main view and design 2 main view is the seat massage interface. The massage point on the seat will be displayed alternately according to the working mode.
 7.其他说明：本显示屏幕面板应用于车辆、计算机、笔记本电脑、平板电脑、手机、智能手机、智能手表、健身监视器、头戴式耳机、个人数字助理（PDA）、智能音箱、电视、 Sky -top box, game console.</v>
      </c>
      <c r="D758" s="6" t="s">
        <v>2229</v>
      </c>
      <c r="E758" s="4" t="str">
        <f ca="1">IFERROR(__xludf.DUMMYFUNCTION("GOOGLETRANSLATE(D758,""auto"",""en"")"),"Graphic user interface of the seat massage of the display screen panel")</f>
        <v>Graphic user interface of the seat massage of the display screen panel</v>
      </c>
    </row>
    <row r="759" spans="1:5" ht="15" x14ac:dyDescent="0.25">
      <c r="A759" s="5" t="s">
        <v>2230</v>
      </c>
      <c r="B759" s="6" t="s">
        <v>2231</v>
      </c>
      <c r="C759" s="3" t="str">
        <f ca="1">IFERROR(__xludf.DUMMYFUNCTION("GOOGLETRANSLATE(B759,""auto"",""en"")"),"1. Design product name: The graphic user interface of the Bluetooth phone of the display screen panel.
 2. Design products in appearance: used for running procedures, information display, and human -computer interaction.
 3. Design of design products "&amp;"in this appearance: lies in the graphic user interface in the screen.
 4. Pictures or photos that can best show design: Design 1 main view.
 5. Specify design 1 is the basic design.
 6. The purpose of graphical user interface: The design point of th"&amp;"is graphic user interface lies in the Bluetooth telephone interface.
 Design 1 main view and design 2 main view is the Bluetooth dial -up keyboard interface, the design 3 main view is the official customer service interface, the design 4 main view is th"&amp;"e communication recording interface, the main view of the 5 main view is the recent call interface, the design 6 main view is the Bluetooth phone is not without the Bluetooth phone number The connection interface, the design 7 main view is the unauthorize"&amp;"d interface of the mobile phone.
 7.其他说明：本显示屏幕面板应用于车辆、计算机、笔记本电脑、平板电脑、手机、智能手机、智能手表、健身监视器、头戴式耳机、个人数字助理（PDA）、智能音箱、电视、 Sky -top box, game console.")</f>
        <v>1. Design product name: The graphic user interface of the Bluetooth phone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Bluetooth telephone interface.
 Design 1 main view and design 2 main view is the Bluetooth dial -up keyboard interface, the design 3 main view is the official customer service interface, the design 4 main view is the communication recording interface, the main view of the 5 main view is the recent call interface, the design 6 main view is the Bluetooth phone is not without the Bluetooth phone number The connection interface, the design 7 main view is the unauthorized interface of the mobile phone.
 7.其他说明：本显示屏幕面板应用于车辆、计算机、笔记本电脑、平板电脑、手机、智能手机、智能手表、健身监视器、头戴式耳机、个人数字助理（PDA）、智能音箱、电视、 Sky -top box, game console.</v>
      </c>
      <c r="D759" s="6" t="s">
        <v>2232</v>
      </c>
      <c r="E759" s="4" t="str">
        <f ca="1">IFERROR(__xludf.DUMMYFUNCTION("GOOGLETRANSLATE(D759,""auto"",""en"")"),"The graphic user interface of the Bluetooth phone of the display screen panel")</f>
        <v>The graphic user interface of the Bluetooth phone of the display screen panel</v>
      </c>
    </row>
    <row r="760" spans="1:5" ht="15" x14ac:dyDescent="0.25">
      <c r="A760" s="5" t="s">
        <v>2233</v>
      </c>
      <c r="B760" s="6" t="s">
        <v>2234</v>
      </c>
      <c r="C760" s="3" t="str">
        <f ca="1">IFERROR(__xludf.DUMMYFUNCTION("GOOGLETRANSLATE(B760,""auto"",""en"")"),"1. Design product name: Graphic user interface at the location of the vehicle position of the display screen panel.
 2. Design products in appearance: used for running procedures, information display, and human -computer interaction.
 3. Design of des"&amp;"ign products in this appearance: lies in the graphic user interface in the screen.
 4. Pictures or photos that can most indicate design points: main view.
 5. The purpose of graphical user interface: used to display vehicle location information.
 6."&amp;" Human -computer interaction method of graphic user interface: Click the parking photo to view the picture of the photo, as shown in the interface change status.
 7.其他说明：本显示屏幕面板应用于车辆、计算机、笔记本电脑、平板电脑、手机、智能手机、智能手表、健身监视器、头戴式耳机、个人数字助理（PDA）、智能音箱、电视、 Sky -top "&amp;"box, game console.")</f>
        <v>1. Design product name: Graphic user interface at the location of the vehicle position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graphical user interface: used to display vehicle location information.
 6. Human -computer interaction method of graphic user interface: Click the parking photo to view the picture of the photo, as shown in the interface change status.
 7.其他说明：本显示屏幕面板应用于车辆、计算机、笔记本电脑、平板电脑、手机、智能手机、智能手表、健身监视器、头戴式耳机、个人数字助理（PDA）、智能音箱、电视、 Sky -top box, game console.</v>
      </c>
      <c r="D760" s="6" t="s">
        <v>2235</v>
      </c>
      <c r="E760" s="4" t="str">
        <f ca="1">IFERROR(__xludf.DUMMYFUNCTION("GOOGLETRANSLATE(D760,""auto"",""en"")"),"Graphic user interface at the location of the vehicle position of the display screen panel")</f>
        <v>Graphic user interface at the location of the vehicle position of the display screen panel</v>
      </c>
    </row>
    <row r="761" spans="1:5" ht="15" x14ac:dyDescent="0.25">
      <c r="A761" s="5" t="s">
        <v>2236</v>
      </c>
      <c r="B761" s="6" t="s">
        <v>2237</v>
      </c>
      <c r="C761" s="3" t="str">
        <f ca="1">IFERROR(__xludf.DUMMYFUNCTION("GOOGLETRANSLATE(B761,""auto"",""en"")"),"1. Design product name: The graphic user interface of the vehicle navigation of the display screen panel.
 2. Design products in appearance: used for running procedures, information display, and human -computer interaction.
 3. Design of design produc"&amp;"ts in this appearance: lies in the graphic user interface in the screen.
 4. Pictures or photos that can most indicate design points: main view.
 5. The purpose of the graphical user interface: The design point of this graphic user interface lies in t"&amp;"he vehicle navigation interface.
 The main view is the search interface of vehicle navigation, and users can perform related operations according to the interface prompts.
 6.其他说明：本显示屏幕面板应用于车辆、计算机、笔记本电脑、平板电脑、手机、智能手机、智能手表、健身监视器、头戴式耳机、个人数字助理（PDA）、智能音箱、电"&amp;"视、 Sky -top box, game console.")</f>
        <v>1. Design product name: The graphic user interface of the vehicle navigation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design point of this graphic user interface lies in the vehicle navigation interface.
 The main view is the search interface of vehicle navigation, and users can perform related operations according to the interface prompts.
 6.其他说明：本显示屏幕面板应用于车辆、计算机、笔记本电脑、平板电脑、手机、智能手机、智能手表、健身监视器、头戴式耳机、个人数字助理（PDA）、智能音箱、电视、 Sky -top box, game console.</v>
      </c>
      <c r="D761" s="6" t="s">
        <v>2238</v>
      </c>
      <c r="E761" s="4" t="str">
        <f ca="1">IFERROR(__xludf.DUMMYFUNCTION("GOOGLETRANSLATE(D761,""auto"",""en"")"),"Graphic user interface of vehicle navigation on the display screen panel")</f>
        <v>Graphic user interface of vehicle navigation on the display screen panel</v>
      </c>
    </row>
    <row r="762" spans="1:5" ht="15" x14ac:dyDescent="0.25">
      <c r="A762" s="5" t="s">
        <v>2239</v>
      </c>
      <c r="B762" s="6" t="s">
        <v>2240</v>
      </c>
      <c r="C762" s="3" t="str">
        <f ca="1">IFERROR(__xludf.DUMMYFUNCTION("GOOGLETRANSLATE(B762,""auto"",""en"")"),"1. Design product name: The graphic user interface of the content search of the display screen panel.
 2. Design products in appearance: used for running procedures, information display, and human -computer interaction.
 3. Design of design products i"&amp;"n this appearance: lies in the graphic user interface in the screen.
 4. Pictures or photos that can best show design: Design 1 main view.
 5. Specify design 1 is the basic design.
 6. The purpose of the graphical user interface: The design point of"&amp;" this graphic user interface lies in the content search interface.
 Design 1 The main view and design 2 main views are the search interface population pop -up, and the user can perform related operations according to the interface prompt.
 7.其他说明：本显示屏"&amp;"幕面板应用于车辆、计算机、笔记本电脑、平板电脑、手机、智能手机、智能手表、健身监视器、头戴式耳机、个人数字助理（PDA）、智能音箱、电视、 Sky -top box, game console.")</f>
        <v>1. Design product name: The graphic user interface of the content search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content search interface.
 Design 1 The main view and design 2 main views are the search interface population pop -up, and the user can perform related operations according to the interface prompt.
 7.其他说明：本显示屏幕面板应用于车辆、计算机、笔记本电脑、平板电脑、手机、智能手机、智能手表、健身监视器、头戴式耳机、个人数字助理（PDA）、智能音箱、电视、 Sky -top box, game console.</v>
      </c>
      <c r="D762" s="6" t="s">
        <v>2241</v>
      </c>
      <c r="E762" s="4" t="str">
        <f ca="1">IFERROR(__xludf.DUMMYFUNCTION("GOOGLETRANSLATE(D762,""auto"",""en"")"),"The graphic user interface of the content search of the display screen panel")</f>
        <v>The graphic user interface of the content search of the display screen panel</v>
      </c>
    </row>
    <row r="763" spans="1:5" ht="15" x14ac:dyDescent="0.25">
      <c r="A763" s="5" t="s">
        <v>2242</v>
      </c>
      <c r="B763" s="6" t="s">
        <v>2243</v>
      </c>
      <c r="C763" s="3" t="str">
        <f ca="1">IFERROR(__xludf.DUMMYFUNCTION("GOOGLETRANSLATE(B763,""auto"",""en"")"),"1. Design product name: The graphic user interface of the multimedia information display of the display screen panel.
 2. Design products in appearance: used for running procedures, information display, and human -computer interaction.
 3. Design of d"&amp;"esign products in this appearance: lies in the graphic user interface in the screen.
 4. Pictures or photos that can best show design: Design 1 main view.
 5. Specify design 1 is the basic design.
 6. The purpose of the graphical user interface: The"&amp;" design point of this graphic user interface lies in the multimedia information display interface.
 Design 1 main view and design 2 main view is the video information display interface, and users can perform relevant operations according to the interfac"&amp;"e prompts.
 7.其他说明：本显示屏幕面板应用于车辆、计算机、笔记本电脑、平板电脑、手机、智能手机、智能手表、健身监视器、头戴式耳机、个人数字助理（PDA）、智能音箱、电视、 Sky -top box, game console.")</f>
        <v>1. Design product name: The graphic user interface of the multimedia information display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multimedia information display interface.
 Design 1 main view and design 2 main view is the video information display interface, and users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63" s="6" t="s">
        <v>2244</v>
      </c>
      <c r="E763" s="4" t="str">
        <f ca="1">IFERROR(__xludf.DUMMYFUNCTION("GOOGLETRANSLATE(D763,""auto"",""en"")"),"The graphical user interface of the multimedia information display of the display screen panel")</f>
        <v>The graphical user interface of the multimedia information display of the display screen panel</v>
      </c>
    </row>
    <row r="764" spans="1:5" ht="15" x14ac:dyDescent="0.25">
      <c r="A764" s="5" t="s">
        <v>2245</v>
      </c>
      <c r="B764" s="6" t="s">
        <v>2246</v>
      </c>
      <c r="C764" s="3" t="str">
        <f ca="1">IFERROR(__xludf.DUMMYFUNCTION("GOOGLETRANSLATE(B764,""auto"",""en"")"),"1. Design product name: The graphic user interface of the application center of the display screen panel.
 2. Design products in appearance: used for running procedures, information display, and human -computer interaction.
 3. Design of design produc"&amp;"ts in this appearance: lies in the graphic user interface in the screen.
 4. Pictures or photos that can best show design: Design 1 main view.
 5. Specify design 1 is the basic design.
 6. The purpose of the graphical user interface: The design poin"&amp;"t of this graphic user interface lies in the application center interface.
 Design 1 The main view and design 2 main views are the application center interface, and the user can perform related operations according to the interface prompt.
 Design 3 m"&amp;"ain view is the application center interface. The user clicks on any application area to view the details of the application, as shown in the design 3 interface changes.
 7. Design 2 Request to protect color.
 8. This display screen panel is used in v"&amp;"ehicles, computers, laptops, tablets, mobile phones, smartphones, smart watches, fitness monitor, headset headphones, personal digital assistants (PDA), smart speakers, TV, set -top boxes, games, games machine.")</f>
        <v>1. Design product name: The graphic user interface of the application center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application center interface.
 Design 1 The main view and design 2 main views are the application center interface, and the user can perform related operations according to the interface prompt.
 Design 3 main view is the application center interface. The user clicks on any application area to view the details of the application, as shown in the design 3 interface changes.
 7. Design 2 Request to protect color.
 8. This display screen panel is used in vehicles, computers, laptops, tablets, mobile phones, smartphones, smart watches, fitness monitor, headset headphones, personal digital assistants (PDA), smart speakers, TV, set -top boxes, games, games machine.</v>
      </c>
      <c r="D764" s="6" t="s">
        <v>2247</v>
      </c>
      <c r="E764" s="4" t="str">
        <f ca="1">IFERROR(__xludf.DUMMYFUNCTION("GOOGLETRANSLATE(D764,""auto"",""en"")"),"Graphic user interface of the application center of the display screen panel")</f>
        <v>Graphic user interface of the application center of the display screen panel</v>
      </c>
    </row>
    <row r="765" spans="1:5" ht="15" x14ac:dyDescent="0.25">
      <c r="A765" s="5" t="s">
        <v>2248</v>
      </c>
      <c r="B765" s="6" t="s">
        <v>2249</v>
      </c>
      <c r="C765" s="3" t="str">
        <f ca="1">IFERROR(__xludf.DUMMYFUNCTION("GOOGLETRANSLATE(B765,""auto"",""en"")"),"1. Design product name: The graphic user interface of the frequency adjustment of the display screen panel.
 2. Design products in appearance: used for running procedures, information display, and human -computer interaction.
 3. Design of design prod"&amp;"ucts in this appearance: lies in the graphic user interface in the screen.
 4. Pictures or photos that can best show design: Design 1 main view.
 5. The purpose of the graphical user interface: The design point of this graphic user interface lies in t"&amp;"he frequency adjustment interface. Design 1 main view to design 3 main view is the frequency adjustment interface. Users can perform relevant operations according to the interface prompts.
 For example, click the button of the radio station in different"&amp;" frequency bands in the lower part of the design 1 to listen to the corresponding radio program. Click the red button in the design 2 main view to collect the frequency band radio. Click the ""Listening to the Song"" button in the upper left corner of the"&amp;" design 3. Display song information at this button.
 6. This display screen panel is used in vehicles, computers, laptops, tablets, mobile phones, smartphones, smart watches, fitness monitor, headset headphones, personal digital assistants (PDA), smart "&amp;"speakers, TV, set -top boxes, games, games machine.")</f>
        <v>1. Design product name: The graphic user interface of the frequency adjustment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The purpose of the graphical user interface: The design point of this graphic user interface lies in the frequency adjustment interface. Design 1 main view to design 3 main view is the frequency adjustment interface. Users can perform relevant operations according to the interface prompts.
 For example, click the button of the radio station in different frequency bands in the lower part of the design 1 to listen to the corresponding radio program. Click the red button in the design 2 main view to collect the frequency band radio. Click the "Listening to the Song" button in the upper left corner of the design 3. Display song information at this button.
 6. This display screen panel is used in vehicles, computers, laptops, tablets, mobile phones, smartphones, smart watches, fitness monitor, headset headphones, personal digital assistants (PDA), smart speakers, TV, set -top boxes, games, games machine.</v>
      </c>
      <c r="D765" s="6" t="s">
        <v>2250</v>
      </c>
      <c r="E765" s="4" t="str">
        <f ca="1">IFERROR(__xludf.DUMMYFUNCTION("GOOGLETRANSLATE(D765,""auto"",""en"")"),"Display screen panels of the frequency adjustment of frequency adjustment graphics user interface")</f>
        <v>Display screen panels of the frequency adjustment of frequency adjustment graphics user interface</v>
      </c>
    </row>
    <row r="766" spans="1:5" ht="15" x14ac:dyDescent="0.25">
      <c r="A766" s="5" t="s">
        <v>2251</v>
      </c>
      <c r="B766" s="6" t="s">
        <v>2252</v>
      </c>
      <c r="C766" s="3" t="str">
        <f ca="1">IFERROR(__xludf.DUMMYFUNCTION("GOOGLETRANSLATE(B766,""auto"",""en"")"),"1. Design product name: The graphic user interface of my charging pile on the display screen panel.
 2. Design products in appearance: used for running procedures, information display, and human -computer interaction.
 3. Design of design products in "&amp;"this appearance: lies in the graphic user interface in the screen.
 4. Pictures or photos that can best show design: Design 1 main view.
 5. Specify design 1 is the basic design.
 6. The purpose of the graphical user interface: The design point of t"&amp;"his graphic user interface lies in my charging pile interface.
 Design 1 The main view is the interface in the state of unpaid power, the design 2 main view is the interface in the state of the connection, and the design 3 main view is the interface in "&amp;"the state of power. The user can perform relevant operations according to the interface prompts.
 7.其他说明：本显示屏幕面板应用于车辆、计算机、笔记本电脑、平板电脑、手机、智能手机、智能手表、健身监视器、头戴式耳机、个人数字助理（PDA）、智能音箱、电视、 Sky -top box, game console.")</f>
        <v>1. Design product name: The graphic user interface of my charging pile on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my charging pile interface.
 Design 1 The main view is the interface in the state of unpaid power, the design 2 main view is the interface in the state of the connection, and the design 3 main view is the interface in the state of power. The user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66" s="6" t="s">
        <v>2253</v>
      </c>
      <c r="E766" s="4" t="str">
        <f ca="1">IFERROR(__xludf.DUMMYFUNCTION("GOOGLETRANSLATE(D766,""auto"",""en"")"),"The graphic user interface of my charging pile of the display screen panel")</f>
        <v>The graphic user interface of my charging pile of the display screen panel</v>
      </c>
    </row>
    <row r="767" spans="1:5" ht="15" x14ac:dyDescent="0.25">
      <c r="A767" s="5" t="s">
        <v>2254</v>
      </c>
      <c r="B767" s="6" t="s">
        <v>2255</v>
      </c>
      <c r="C767" s="3" t="str">
        <f ca="1">IFERROR(__xludf.DUMMYFUNCTION("GOOGLETRANSLATE(B767,""auto"",""en"")"),"1. The name of the product of the product: the details of the graphic user interface displayed by the display screen panel.
 2. Design products in appearance: used for running procedures, information display, and human -computer interaction.
 3. Desig"&amp;"n of design products in this appearance: lies in the graphic user interface in the screen.
 4. Pictures or photos that can best show design: Design 1 main view.
 5. Specify design 1 is the basic design.
 6. The purpose of the graphical user interfac"&amp;"e: The design point of this graphic user interface lies in the details display interface.
 Design 1 main view and design 2 main view is the song list details interface. Users can perform relevant operations according to the interface prompts.
 7.其他说明："&amp;"本显示屏幕面板应用于车辆、计算机、笔记本电脑、平板电脑、手机、智能手机、智能手表、健身监视器、头戴式耳机、个人数字助理（PDA）、智能音箱、电视、 Sky -top box, game console.")</f>
        <v>1. The name of the product of the product: the details of the graphic user interface displayed by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details display interface.
 Design 1 main view and design 2 main view is the song list details interface. Users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67" s="6" t="s">
        <v>2256</v>
      </c>
      <c r="E767" s="4" t="str">
        <f ca="1">IFERROR(__xludf.DUMMYFUNCTION("GOOGLETRANSLATE(D767,""auto"",""en"")"),"Details of display screen panel Display graphic user interface")</f>
        <v>Details of display screen panel Display graphic user interface</v>
      </c>
    </row>
    <row r="768" spans="1:5" ht="15" x14ac:dyDescent="0.25">
      <c r="A768" s="5" t="s">
        <v>2257</v>
      </c>
      <c r="B768" s="6" t="s">
        <v>2258</v>
      </c>
      <c r="C768" s="3" t="str">
        <f ca="1">IFERROR(__xludf.DUMMYFUNCTION("GOOGLETRANSLATE(B768,""auto"",""en"")"),"1. Design product name: The graphic user interface of the information flow of the display screen panel.
 2. Design products in appearance: used for running procedures, information display, and human -computer interaction.
 3. Design of design products"&amp;" in this appearance: lies in the graphic user interface in the screen.
 4. Pictures or photos that can best show design: Design 1 main view.
 5. Specify design 1 is the basic design.
 6. The purpose of graphical user interface: The design point of t"&amp;"his graphic user interface lies in the information flow interface.
 Design 1 main view and design 2 main view is the information flow interface, and the design 3 main view is the information flow interface with pop -up windows. The user can perform rela"&amp;"ted operations according to the interface prompts.
 7.其他说明：本显示屏幕面板应用于车辆、计算机、笔记本电脑、平板电脑、手机、智能手机、智能手表、健身监视器、头戴式耳机、个人数字助理（PDA）、智能音箱、电视、 Sky -top box, game console.")</f>
        <v>1. Design product name: The graphic user interface of the information flow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information flow interface.
 Design 1 main view and design 2 main view is the information flow interface, and the design 3 main view is the information flow interface with pop -up windows. The user can perform related operations according to the interface prompts.
 7.其他说明：本显示屏幕面板应用于车辆、计算机、笔记本电脑、平板电脑、手机、智能手机、智能手表、健身监视器、头戴式耳机、个人数字助理（PDA）、智能音箱、电视、 Sky -top box, game console.</v>
      </c>
      <c r="D768" s="6" t="s">
        <v>2259</v>
      </c>
      <c r="E768" s="4" t="str">
        <f ca="1">IFERROR(__xludf.DUMMYFUNCTION("GOOGLETRANSLATE(D768,""auto"",""en"")"),"The graphic user interface of the information flow of the display screen panel")</f>
        <v>The graphic user interface of the information flow of the display screen panel</v>
      </c>
    </row>
    <row r="769" spans="1:5" ht="15" x14ac:dyDescent="0.25">
      <c r="A769" s="5" t="s">
        <v>2260</v>
      </c>
      <c r="B769" s="6" t="s">
        <v>2261</v>
      </c>
      <c r="C769" s="3" t="str">
        <f ca="1">IFERROR(__xludf.DUMMYFUNCTION("GOOGLETRANSLATE(B769,""auto"",""en"")"),"1. Design product name: The graphic user interface displayed on the homepage display of the display screen panel.
 2. Design products in appearance: used for running procedures, information display, and human -computer interaction.
 3. Design of desig"&amp;"n products in this appearance: lies in the graphic user interface in the screen.
 4. Pictures or photos that can best show design: Design 1 main view.
 5. Specify design 1 is the basic design.
 6. The purpose of the graphical user interface: The des"&amp;"ign point of this graphic user interface lies in the display interface of the vehicle homepage.
 Design 1 main view is the homepage interface of the vehicle, and the design 2 main view is the homepage interface of the vehicle in the charging. Users can "&amp;"perform related operations according to the interface prompts.
 7.其他说明：本显示屏幕面板应用于车辆、计算机、笔记本电脑、平板电脑、手机、智能手机、智能手表、健身监视器、头戴式耳机、个人数字助理（PDA）、智能音箱、电视、 Sky -top box, game console.")</f>
        <v>1. Design product name: The graphic user interface displayed on the homepage display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display interface of the vehicle homepage.
 Design 1 main view is the homepage interface of the vehicle, and the design 2 main view is the homepage interface of the vehicle in the charging. Users can perform related operations according to the interface prompts.
 7.其他说明：本显示屏幕面板应用于车辆、计算机、笔记本电脑、平板电脑、手机、智能手机、智能手表、健身监视器、头戴式耳机、个人数字助理（PDA）、智能音箱、电视、 Sky -top box, game console.</v>
      </c>
      <c r="D769" s="6" t="s">
        <v>2262</v>
      </c>
      <c r="E769" s="4" t="str">
        <f ca="1">IFERROR(__xludf.DUMMYFUNCTION("GOOGLETRANSLATE(D769,""auto"",""en"")"),"The graphic user interface displayed on the homepage display of the display screen panel")</f>
        <v>The graphic user interface displayed on the homepage display of the display screen panel</v>
      </c>
    </row>
    <row r="770" spans="1:5" ht="15" x14ac:dyDescent="0.25">
      <c r="A770" s="5" t="s">
        <v>2263</v>
      </c>
      <c r="B770" s="6" t="s">
        <v>2264</v>
      </c>
      <c r="C770" s="3" t="str">
        <f ca="1">IFERROR(__xludf.DUMMYFUNCTION("GOOGLETRANSLATE(B770,""auto"",""en"")"),"1. Design product name: The graphic user interface of the driving video of the display screen panel.
 2. Design products in appearance: used for running procedures, information display, and human -computer interaction.
 3. Design of design products in"&amp;" this appearance: lies in the graphic user interface in the screen.
 4. Pictures or photos that can most indicate design points: main view.
 5. The purpose of the graphical user interface: The main view is the driving video interface, and the user can"&amp;" perform related operations according to the interface prompt.
 6.其他说明：本显示屏幕面板应用于车辆、计算机、笔记本电脑、平板电脑、手机、智能手机、智能手表、健身监视器、头戴式耳机、个人数字助理（PDA）、智能音箱、电视、 Sky -top box, game console.")</f>
        <v>1. Design product name: The graphic user interface of the driving video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main view is the driving video interface, and the user can perform related operations according to the interface prompt.
 6.其他说明：本显示屏幕面板应用于车辆、计算机、笔记本电脑、平板电脑、手机、智能手机、智能手表、健身监视器、头戴式耳机、个人数字助理（PDA）、智能音箱、电视、 Sky -top box, game console.</v>
      </c>
      <c r="D770" s="6" t="s">
        <v>2265</v>
      </c>
      <c r="E770" s="4" t="str">
        <f ca="1">IFERROR(__xludf.DUMMYFUNCTION("GOOGLETRANSLATE(D770,""auto"",""en"")"),"The graphic user interface of the driving video of the display screen panel")</f>
        <v>The graphic user interface of the driving video of the display screen panel</v>
      </c>
    </row>
    <row r="771" spans="1:5" ht="15" x14ac:dyDescent="0.25">
      <c r="A771" s="5" t="s">
        <v>2266</v>
      </c>
      <c r="B771" s="6" t="s">
        <v>2267</v>
      </c>
      <c r="C771" s="3" t="str">
        <f ca="1">IFERROR(__xludf.DUMMYFUNCTION("GOOGLETRANSLATE(B771,""auto"",""en"")"),"1. Design product name: The graphic user interface of the auxiliary driver of the display screen panel.
 2. Design products in appearance: used for running procedures, information display, and human -computer interaction.
 3. Design of design products"&amp;" in this appearance: lies in the graphic user interface in the screen.
 4. Pictures or photos that can best show design: Design 1 main view.
 5. Specify design 1 is the basic design.
 6. The purpose of the graphical user interface: The design point "&amp;"of this graphic user interface lies in the vehicle auxiliary driving interface.
 Design 1 main view to design 5 main view is the vehicle auxiliary driving interface, users can perform related operations according to the interface prompts.
 7.其他说明：本显示屏"&amp;"幕面板应用于车辆、计算机、笔记本电脑、平板电脑、手机、智能手机、智能手表、健身监视器、头戴式耳机、个人数字助理（PDA）、智能音箱、电视、 Sky -top box, game console.")</f>
        <v>1. Design product name: The graphic user interface of the auxiliary driver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vehicle auxiliary driving interface.
 Design 1 main view to design 5 main view is the vehicle auxiliary driving interface, users can perform related operations according to the interface prompts.
 7.其他说明：本显示屏幕面板应用于车辆、计算机、笔记本电脑、平板电脑、手机、智能手机、智能手表、健身监视器、头戴式耳机、个人数字助理（PDA）、智能音箱、电视、 Sky -top box, game console.</v>
      </c>
      <c r="D771" s="6" t="s">
        <v>2268</v>
      </c>
      <c r="E771" s="4" t="str">
        <f ca="1">IFERROR(__xludf.DUMMYFUNCTION("GOOGLETRANSLATE(D771,""auto"",""en"")"),"The graphical user interface of the auxiliary driver of the display screen panel")</f>
        <v>The graphical user interface of the auxiliary driver of the display screen panel</v>
      </c>
    </row>
    <row r="772" spans="1:5" ht="15" x14ac:dyDescent="0.25">
      <c r="A772" s="5" t="s">
        <v>2269</v>
      </c>
      <c r="B772" s="6" t="s">
        <v>2270</v>
      </c>
      <c r="C772" s="3" t="str">
        <f ca="1">IFERROR(__xludf.DUMMYFUNCTION("GOOGLETRANSLATE(B772,""auto"",""en"")"),"1. Design product name: The graphic user interface set by the vehicle parameters of the display screen panel.
 2. Design products in appearance: used for running procedures, information display, and human -computer interaction.
 3. Design of design pr"&amp;"oducts in this appearance: lies in the graphic user interface in the screen.
 4. Pictures or photos that can best show design: Design 1 main view.
 5. Specify design 1 is the basic design.
 6. The purpose of the graphical user interface: The design "&amp;"point of this graphic user interface lies in the vehicle parameter setting interface.
 Design 1 Main view to design 8 main view is the vehicle parameter setting interface.
 Design 9 main view is the vehicle information interface.
 Users can implemen"&amp;"t the corresponding functions by clicking the corresponding control.
 7. Other situations that need to be described and other descriptions: This display screen panel is applied to vehicles, computers, laptops, tablets, mobile phones, smartphones, smart "&amp;"watches, fitness monitor, headphones, personal digital assistants (PDA), PDA,, PDA), PDA, PDA), PDA, PDA, PDA), PDA, PDA, PDA), PDA, PDA, and PCA, PDA, and PDA, PDA, and PDA, PDA, and PDA, PDA, PDA, Smart speakers, television, set -top boxes, game console"&amp;"s.")</f>
        <v>1. Design product name: The graphic user interface set by the vehicle parameters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vehicle parameter setting interface.
 Design 1 Main view to design 8 main view is the vehicle parameter setting interface.
 Design 9 main view is the vehicle information interface.
 Users can implement the corresponding functions by clicking the corresponding control.
 7. Other situations that need to be described and other descriptions: This display screen panel is applied to vehicles, computers, laptops, tablets, mobile phones, smartphones, smart watches, fitness monitor, headphones, personal digital assistants (PDA), PDA,, PDA), PDA, PDA), PDA, PDA, PDA), PDA, PDA, PDA), PDA, PDA, and PCA, PDA, and PDA, PDA, and PDA, PDA, and PDA, PDA, PDA, Smart speakers, television, set -top boxes, game consoles.</v>
      </c>
      <c r="D772" s="6" t="s">
        <v>2271</v>
      </c>
      <c r="E772" s="4" t="str">
        <f ca="1">IFERROR(__xludf.DUMMYFUNCTION("GOOGLETRANSLATE(D772,""auto"",""en"")"),"Graphical user interface set by vehicle parameters of the display screen panel")</f>
        <v>Graphical user interface set by vehicle parameters of the display screen panel</v>
      </c>
    </row>
    <row r="773" spans="1:5" ht="15" x14ac:dyDescent="0.25">
      <c r="A773" s="5" t="s">
        <v>2272</v>
      </c>
      <c r="B773" s="6" t="s">
        <v>2273</v>
      </c>
      <c r="C773" s="3" t="str">
        <f ca="1">IFERROR(__xludf.DUMMYFUNCTION("GOOGLETRANSLATE(B773,""auto"",""en"")"),"1. Design product name: My vehicle information display graphic user interface on the display screen panel.
 2. Design products in appearance: used for running procedures, information display, and human -computer interaction.
 3. Design of design produ"&amp;"cts in this appearance: lies in the graphic user interface in the screen.
 4. Pictures or photos that can best show design: Design 1 main view.
 5. Specify design 1 is the basic design.
 6. The purpose of the graphical user interface: The design poi"&amp;"nt of this graphic user interface lies in my vehicle information display interface.
 Design 1 main view to design 3 main view is my vehicle information display interface, and users can perform related operations according to the interface prompts.
 7."&amp;" Other situations that need to be described and other descriptions: This display screen panel is applied to vehicles, computers, laptops, tablets, mobile phones, smartphones, smart watches, fitness monitor, headphones, personal digital assistants (PDA), P"&amp;"DA,, PDA), PDA, PDA), PDA, PDA, PDA), PDA, PDA, PDA), PDA, PDA, and PCA, PDA, and PDA, PDA, and PDA, PDA, and PDA, PDA, PDA, Smart speakers, television, set -top boxes, game consoles.")</f>
        <v>1. Design product name: My vehicle information display graphic user interface on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my vehicle information display interface.
 Design 1 main view to design 3 main view is my vehicle information display interface, and users can perform related operations according to the interface prompts.
 7. Other situations that need to be described and other descriptions: This display screen panel is applied to vehicles, computers, laptops, tablets, mobile phones, smartphones, smart watches, fitness monitor, headphones, personal digital assistants (PDA), PDA,, PDA), PDA, PDA), PDA, PDA, PDA), PDA, PDA, PDA), PDA, PDA, and PCA, PDA, and PDA, PDA, and PDA, PDA, and PDA, PDA, PDA, Smart speakers, television, set -top boxes, game consoles.</v>
      </c>
      <c r="D773" s="6" t="s">
        <v>2274</v>
      </c>
      <c r="E773" s="4" t="str">
        <f ca="1">IFERROR(__xludf.DUMMYFUNCTION("GOOGLETRANSLATE(D773,""auto"",""en"")"),"My vehicle information display graphic user interface on the display screen panel")</f>
        <v>My vehicle information display graphic user interface on the display screen panel</v>
      </c>
    </row>
    <row r="774" spans="1:5" ht="15" x14ac:dyDescent="0.25">
      <c r="A774" s="5" t="s">
        <v>2275</v>
      </c>
      <c r="B774" s="6" t="s">
        <v>2276</v>
      </c>
      <c r="C774" s="3" t="str">
        <f ca="1">IFERROR(__xludf.DUMMYFUNCTION("GOOGLETRANSLATE(B774,""auto"",""en"")"),"1. Design product name: The graphic user interface of the charging management of the display screen panel.
 2. Design products in appearance: used for running procedures, information display, and human -computer interaction.
 3. Design of design produ"&amp;"cts in this appearance: lies in the graphic user interface in the screen.
 4. Pictures or photos that can best show design: Design 1 main view.
 5. Specify design 1 is the basic design.
 6. The purpose of graphical user interface: The design point o"&amp;"f this graphic user interface lies in the charging management interface.
 Design 1 The main view is the interface of the charging system failure, and the design 2 main view is the normal interface of the charging system.
 Users can click ""Booking Cha"&amp;"rging"" to achieve the function of charging within the appointment time.
 7. Other situations that need to be described and other descriptions: This display screen panel is applied to vehicles, computers, laptops, tablets, mobile phones, smartphones, sm"&amp;"art watches, fitness monitor, headphones, personal digital assistants (PDA), PDA,, PDA), PDA, PDA), PDA, PDA, PDA), PDA, PDA, PDA), PDA, PDA, and PCA, PDA, and PDA, PDA, and PDA, PDA, and PDA, PDA, PDA, Smart speakers, television, set -top boxes, game con"&amp;"soles.")</f>
        <v>1. Design product name: The graphic user interface of the charging management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charging management interface.
 Design 1 The main view is the interface of the charging system failure, and the design 2 main view is the normal interface of the charging system.
 Users can click "Booking Charging" to achieve the function of charging within the appointment time.
 7. Other situations that need to be described and other descriptions: This display screen panel is applied to vehicles, computers, laptops, tablets, mobile phones, smartphones, smart watches, fitness monitor, headphones, personal digital assistants (PDA), PDA,, PDA), PDA, PDA), PDA, PDA, PDA), PDA, PDA, PDA), PDA, PDA, and PCA, PDA, and PDA, PDA, and PDA, PDA, and PDA, PDA, PDA, Smart speakers, television, set -top boxes, game consoles.</v>
      </c>
      <c r="D774" s="6" t="s">
        <v>2277</v>
      </c>
      <c r="E774" s="4" t="str">
        <f ca="1">IFERROR(__xludf.DUMMYFUNCTION("GOOGLETRANSLATE(D774,""auto"",""en"")"),"Figure user interface of charging management of display screen panel")</f>
        <v>Figure user interface of charging management of display screen panel</v>
      </c>
    </row>
    <row r="775" spans="1:5" ht="15" x14ac:dyDescent="0.25">
      <c r="A775" s="5" t="s">
        <v>2278</v>
      </c>
      <c r="B775" s="6" t="s">
        <v>2279</v>
      </c>
      <c r="C775" s="3" t="str">
        <f ca="1">IFERROR(__xludf.DUMMYFUNCTION("GOOGLETRANSLATE(B775,""auto"",""en"")"),"1. Design product name: Graphic user interface set by the air conditioner setting of the display screen panel.
 2. Design products in appearance: used for running procedures, information display, and human -computer interaction.
 3. Design of design p"&amp;"roducts in this appearance: lies in the graphic user interface in the screen.
 4. Pictures or photos that can best show design: Design 1 main view.
 5. Specify design 1 is the basic design.
 6. The purpose of the graphical user interface: The design"&amp;" point of this graphic user interface lies in the air conditioning setting interface.
 Design 1 main view is the air conditioning refrigeration interface, and the design 2 main view is the air conditioning heating interface. The user can perform related"&amp;" operations according to the interface prompt.
 7. Other situations that need to be described and other descriptions: This display screen panel is applied to vehicles, computers, laptops, tablets, mobile phones, smartphones, smart watches, fitness monit"&amp;"or, headphones, personal digital assistants (PDA), PDA,, PDA), PDA, PDA), PDA, PDA, PDA), PDA, PDA, PDA), PDA, PDA, and PCA, PDA, and PDA, PDA, and PDA, PDA, and PDA, PDA, PDA, Smart speakers, television, set -top boxes, game consoles.")</f>
        <v>1. Design product name: Graphic user interface set by the air conditioner setting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air conditioning setting interface.
 Design 1 main view is the air conditioning refrigeration interface, and the design 2 main view is the air conditioning heating interface. The user can perform related operations according to the interface prompt.
 7. Other situations that need to be described and other descriptions: This display screen panel is applied to vehicles, computers, laptops, tablets, mobile phones, smartphones, smart watches, fitness monitor, headphones, personal digital assistants (PDA), PDA,, PDA), PDA, PDA), PDA, PDA, PDA), PDA, PDA, PDA), PDA, PDA, and PCA, PDA, and PDA, PDA, and PDA, PDA, and PDA, PDA, PDA, Smart speakers, television, set -top boxes, game consoles.</v>
      </c>
      <c r="D775" s="6" t="s">
        <v>2208</v>
      </c>
      <c r="E775" s="4" t="str">
        <f ca="1">IFERROR(__xludf.DUMMYFUNCTION("GOOGLETRANSLATE(D775,""auto"",""en"")"),"Graphic user interface set by the air conditioner setting of the display screen panel")</f>
        <v>Graphic user interface set by the air conditioner setting of the display screen panel</v>
      </c>
    </row>
    <row r="776" spans="1:5" ht="15" x14ac:dyDescent="0.25">
      <c r="A776" s="5" t="s">
        <v>2280</v>
      </c>
      <c r="B776" s="6" t="s">
        <v>2281</v>
      </c>
      <c r="C776" s="3" t="str">
        <f ca="1">IFERROR(__xludf.DUMMYFUNCTION("GOOGLETRANSLATE(B776,""auto"",""en"")"),"1. Design product name: Graphic user interface of vehicle information display on the display screen panel.
 2. Design products in appearance: used for running procedures, information display, and human -computer interaction.
 3. Design of design produ"&amp;"cts in this appearance: lies in the graphic user interface in the screen.
 4. Pictures or photos that can most indicate design points: main view.
 5. The purpose of the graphical user interface: The design point of this graphic user interface lies in "&amp;"the vehicle information display interface.
 The main view is the homepage interface of the vehicle. The user is on the interface of the user to view more information, as shown in the interface change state diagram.
 6.其他说明：本显示屏幕面板应用于车辆、计算机、笔记本电脑、平板电脑、"&amp;"手机、智能手机、智能手表、健身监视器、头戴式耳机、个人数字助理（PDA）、智能音箱、电视、 Sky -top box, game console.")</f>
        <v>1. Design product name: Graphic user interface of vehicle information display on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design point of this graphic user interface lies in the vehicle information display interface.
 The main view is the homepage interface of the vehicle. The user is on the interface of the user to view more information, as shown in the interface change state diagram.
 6.其他说明：本显示屏幕面板应用于车辆、计算机、笔记本电脑、平板电脑、手机、智能手机、智能手表、健身监视器、头戴式耳机、个人数字助理（PDA）、智能音箱、电视、 Sky -top box, game console.</v>
      </c>
      <c r="D776" s="6" t="s">
        <v>2282</v>
      </c>
      <c r="E776" s="4" t="str">
        <f ca="1">IFERROR(__xludf.DUMMYFUNCTION("GOOGLETRANSLATE(D776,""auto"",""en"")"),"Graphic user interface of vehicle information display on the display screen panel")</f>
        <v>Graphic user interface of vehicle information display on the display screen panel</v>
      </c>
    </row>
    <row r="777" spans="1:5" ht="15" x14ac:dyDescent="0.25">
      <c r="A777" s="5" t="s">
        <v>2283</v>
      </c>
      <c r="B777" s="6" t="s">
        <v>2284</v>
      </c>
      <c r="C777" s="3" t="str">
        <f ca="1">IFERROR(__xludf.DUMMYFUNCTION("GOOGLETRANSLATE(B777,""auto"",""en"")"),"1. Design product name: The graphic user interface of the vehicle navigation of the display screen panel.
 2. Design products in appearance: used for running procedures, information display, and human -computer interaction.
 3. Design of design produc"&amp;"ts in this appearance: lies in the graphic user interface in the screen.
 4. Pictures or photos that can best show design: Design 1 main view.
 5. Specify design 1 is the basic design.
 6. The purpose of the graphical user interface: The design poin"&amp;"t of this graphic user interface lies in the vehicle navigation interface.
 Design 1 The main view is the cruise interface, and the design 2 main view is the navigation interface. The user can perform related operations according to the interface prompt"&amp;"s.
 7.其他说明：本显示屏幕面板应用于车辆、计算机、笔记本电脑、平板电脑、手机、智能手机、智能手表、健身监视器、头戴式耳机、个人数字助理（PDA）、智能音箱、电视、 Sky -top box, game console.")</f>
        <v>1. Design product name: The graphic user interface of the vehicle navigation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vehicle navigation interface.
 Design 1 The main view is the cruise interface, and the design 2 main view is the navigation interface. The user can perform related operations according to the interface prompts.
 7.其他说明：本显示屏幕面板应用于车辆、计算机、笔记本电脑、平板电脑、手机、智能手机、智能手表、健身监视器、头戴式耳机、个人数字助理（PDA）、智能音箱、电视、 Sky -top box, game console.</v>
      </c>
      <c r="D777" s="6" t="s">
        <v>2238</v>
      </c>
      <c r="E777" s="4" t="str">
        <f ca="1">IFERROR(__xludf.DUMMYFUNCTION("GOOGLETRANSLATE(D777,""auto"",""en"")"),"Graphic user interface of vehicle navigation on the display screen panel")</f>
        <v>Graphic user interface of vehicle navigation on the display screen panel</v>
      </c>
    </row>
    <row r="778" spans="1:5" ht="15" x14ac:dyDescent="0.25">
      <c r="A778" s="5" t="s">
        <v>2285</v>
      </c>
      <c r="B778" s="6" t="s">
        <v>2286</v>
      </c>
      <c r="C778" s="3" t="str">
        <f ca="1">IFERROR(__xludf.DUMMYFUNCTION("GOOGLETRANSLATE(B778,""auto"",""en"")"),"1. The name of the product of the product: the details of the graphic user interface displayed by the display screen panel.
 2. Design products in appearance: used for running procedures, information display, and human -computer interaction.
 3. Desig"&amp;"n of design products in this appearance: lies in the graphic user interface in the screen.
 4. Pictures or photos that can best show design: Design 1 main view.
 5. Specify design 1 is the basic design.
 6. The purpose of the graphical user interfac"&amp;"e: The design point of this graphic user interface lies in the interface of the folder details.
 Design 1 The main view is the folder list interface, and the design 2 main view is the details interface of the folder. The user can perform related operati"&amp;"ons according to the interface prompt.
 7.其他说明：本显示屏幕面板应用于车辆、计算机、笔记本电脑、平板电脑、手机、智能手机、智能手表、健身监视器、头戴式耳机、个人数字助理（PDA）、智能音箱、电视、 Sky -top box, game console.")</f>
        <v>1. The name of the product of the product: the details of the graphic user interface displayed by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interface of the folder details.
 Design 1 The main view is the folder list interface, and the design 2 main view is the details interface of the folder. The user can perform related operations according to the interface prompt.
 7.其他说明：本显示屏幕面板应用于车辆、计算机、笔记本电脑、平板电脑、手机、智能手机、智能手表、健身监视器、头戴式耳机、个人数字助理（PDA）、智能音箱、电视、 Sky -top box, game console.</v>
      </c>
      <c r="D778" s="6" t="s">
        <v>2256</v>
      </c>
      <c r="E778" s="4" t="str">
        <f ca="1">IFERROR(__xludf.DUMMYFUNCTION("GOOGLETRANSLATE(D778,""auto"",""en"")"),"Details of display screen panel Display graphic user interface")</f>
        <v>Details of display screen panel Display graphic user interface</v>
      </c>
    </row>
    <row r="779" spans="1:5" ht="15" x14ac:dyDescent="0.25">
      <c r="A779" s="5" t="s">
        <v>2287</v>
      </c>
      <c r="B779" s="6" t="s">
        <v>2288</v>
      </c>
      <c r="C779" s="3" t="str">
        <f ca="1">IFERROR(__xludf.DUMMYFUNCTION("GOOGLETRANSLATE(B779,""auto"",""en"")"),"1. Design product name: The graphic user interface of the vehicle navigation of the display screen panel.
 2. Design products in appearance: used for running procedures, information display, and human -computer interaction.
 3. Design of design produc"&amp;"ts in this appearance: lies in the graphic user interface in the screen.
 4. Pictures or photos that can most indicate design points: main view.
 5. The purpose of graphical user interface: The design point of this graphic user interface lies in the v"&amp;"ehicle navigation interface. The main view is the setting interface of vehicle navigation. Users can perform relevant operations according to the interface prompts.
 6.其他说明：本显示屏幕面板应用于车辆、计算机、笔记本电脑、平板电脑、手机、智能手机、智能手表、健身监视器、头戴式耳机、个人数字助理（PDA）、智能音箱、电视、 Sky -t"&amp;"op box, game console.")</f>
        <v>1. Design product name: The graphic user interface of the vehicle navigation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graphical user interface: The design point of this graphic user interface lies in the vehicle navigation interface. The main view is the setting interface of vehicle navigation. Users can perform relevant operations according to the interface prompts.
 6.其他说明：本显示屏幕面板应用于车辆、计算机、笔记本电脑、平板电脑、手机、智能手机、智能手表、健身监视器、头戴式耳机、个人数字助理（PDA）、智能音箱、电视、 Sky -top box, game console.</v>
      </c>
      <c r="D779" s="6" t="s">
        <v>2238</v>
      </c>
      <c r="E779" s="4" t="str">
        <f ca="1">IFERROR(__xludf.DUMMYFUNCTION("GOOGLETRANSLATE(D779,""auto"",""en"")"),"Graphic user interface of vehicle navigation on the display screen panel")</f>
        <v>Graphic user interface of vehicle navigation on the display screen panel</v>
      </c>
    </row>
    <row r="780" spans="1:5" ht="15" x14ac:dyDescent="0.25">
      <c r="A780" s="5" t="s">
        <v>2289</v>
      </c>
      <c r="B780" s="6" t="s">
        <v>2243</v>
      </c>
      <c r="C780" s="3" t="str">
        <f ca="1">IFERROR(__xludf.DUMMYFUNCTION("GOOGLETRANSLATE(B780,""auto"",""en"")"),"1. Design product name: The graphic user interface of the multimedia information display of the display screen panel.
 2. Design products in appearance: used for running procedures, information display, and human -computer interaction.
 3. Design of d"&amp;"esign products in this appearance: lies in the graphic user interface in the screen.
 4. Pictures or photos that can best show design: Design 1 main view.
 5. Specify design 1 is the basic design.
 6. The purpose of the graphical user interface: The"&amp;" design point of this graphic user interface lies in the multimedia information display interface.
 Design 1 main view and design 2 main view is the video information display interface, and users can perform relevant operations according to the interfac"&amp;"e prompts.
 7.其他说明：本显示屏幕面板应用于车辆、计算机、笔记本电脑、平板电脑、手机、智能手机、智能手表、健身监视器、头戴式耳机、个人数字助理（PDA）、智能音箱、电视、 Sky -top box, game console.")</f>
        <v>1. Design product name: The graphic user interface of the multimedia information display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multimedia information display interface.
 Design 1 main view and design 2 main view is the video information display interface, and users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80" s="6" t="s">
        <v>2244</v>
      </c>
      <c r="E780" s="4" t="str">
        <f ca="1">IFERROR(__xludf.DUMMYFUNCTION("GOOGLETRANSLATE(D780,""auto"",""en"")"),"The graphical user interface of the multimedia information display of the display screen panel")</f>
        <v>The graphical user interface of the multimedia information display of the display screen panel</v>
      </c>
    </row>
    <row r="781" spans="1:5" ht="15" x14ac:dyDescent="0.25">
      <c r="A781" s="5" t="s">
        <v>2290</v>
      </c>
      <c r="B781" s="6" t="s">
        <v>2291</v>
      </c>
      <c r="C781" s="3" t="str">
        <f ca="1">IFERROR(__xludf.DUMMYFUNCTION("GOOGLETRANSLATE(B781,""auto"",""en"")"),"1. Design product name: The graphic user interface of the driving video of the display screen panel.
 2. Design products in appearance: used for running procedures, information display, and human -computer interaction.
 3. Design of design products in"&amp;" this appearance: lies in the graphic user interface in the screen.
 4. Pictures or photos that can most indicate design points: main view.
 5. The purpose of the graphical user interface: The main view is the driving video interface. The user clicks "&amp;"any video to view the details of the video, as shown in the interface change status diagram.
 6.其他说明：本显示屏幕面板应用于车辆、计算机、笔记本电脑、平板电脑、手机、智能手机、智能手表、健身监视器、头戴式耳机、个人数字助理（PDA）、智能音箱、电视、 Sky -top box, game console.")</f>
        <v>1. Design product name: The graphic user interface of the driving video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main view is the driving video interface. The user clicks any video to view the details of the video, as shown in the interface change status diagram.
 6.其他说明：本显示屏幕面板应用于车辆、计算机、笔记本电脑、平板电脑、手机、智能手机、智能手表、健身监视器、头戴式耳机、个人数字助理（PDA）、智能音箱、电视、 Sky -top box, game console.</v>
      </c>
      <c r="D781" s="6" t="s">
        <v>2265</v>
      </c>
      <c r="E781" s="4" t="str">
        <f ca="1">IFERROR(__xludf.DUMMYFUNCTION("GOOGLETRANSLATE(D781,""auto"",""en"")"),"The graphic user interface of the driving video of the display screen panel")</f>
        <v>The graphic user interface of the driving video of the display screen panel</v>
      </c>
    </row>
    <row r="782" spans="1:5" ht="15" x14ac:dyDescent="0.25">
      <c r="A782" s="5" t="s">
        <v>2292</v>
      </c>
      <c r="B782" s="6" t="s">
        <v>2293</v>
      </c>
      <c r="C782" s="3" t="str">
        <f ca="1">IFERROR(__xludf.DUMMYFUNCTION("GOOGLETRANSLATE(B782,""auto"",""en"")"),"1. Design product name: The graphic user interface of the vehicle navigation of the display screen panel.
 2. Design products in appearance: used for running procedures, information display, and human -computer interaction.
 3. Design of design produc"&amp;"ts in this appearance: lies in the graphic user interface in the screen.
 4. Pictures or photos that can most indicate design points: main view.
 5. The purpose of the graphical user interface: The design point of this graphic user interface lies in t"&amp;"he vehicle navigation interface.
 The main view is the data synchronization interface of vehicle navigation, and users can perform related operations according to the interface prompts.
 6.其他说明：本显示屏幕面板应用于车辆、计算机、笔记本电脑、平板电脑、手机、智能手机、智能手表、健身监视器、头戴式耳机、个人数字"&amp;"助理（PDA）、智能音箱、电视、 Sky -top box, game console.")</f>
        <v>1. Design product name: The graphic user interface of the vehicle navigation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design point of this graphic user interface lies in the vehicle navigation interface.
 The main view is the data synchronization interface of vehicle navigation, and users can perform related operations according to the interface prompts.
 6.其他说明：本显示屏幕面板应用于车辆、计算机、笔记本电脑、平板电脑、手机、智能手机、智能手表、健身监视器、头戴式耳机、个人数字助理（PDA）、智能音箱、电视、 Sky -top box, game console.</v>
      </c>
      <c r="D782" s="6" t="s">
        <v>2238</v>
      </c>
      <c r="E782" s="4" t="str">
        <f ca="1">IFERROR(__xludf.DUMMYFUNCTION("GOOGLETRANSLATE(D782,""auto"",""en"")"),"Graphic user interface of vehicle navigation on the display screen panel")</f>
        <v>Graphic user interface of vehicle navigation on the display screen panel</v>
      </c>
    </row>
    <row r="783" spans="1:5" ht="15" x14ac:dyDescent="0.25">
      <c r="A783" s="5" t="s">
        <v>2294</v>
      </c>
      <c r="B783" s="6" t="s">
        <v>2295</v>
      </c>
      <c r="C783" s="3" t="str">
        <f ca="1">IFERROR(__xludf.DUMMYFUNCTION("GOOGLETRANSLATE(B783,""auto"",""en"")"),"1. Design product name: The graphic user interface of the vehicle replaced by the display screen panel.
 2. Design products in appearance: used for running procedures, information display, and human -computer interaction.
 3. Design of design products"&amp;" in this appearance: lies in the graphic user interface in the screen.
 4. Pictures or photos that can most indicate design points: main view.
 5. The purpose of the graphical user interface: The design point of this graphic user interface lies in the"&amp;" vehicle replacement interface.
 The main view is the homepage interface of the vehicle. The user clicks the pull button in the upper left corner to replace the other vehicles, as shown in the interface change state diagram.
 6.其他说明：本显示屏幕面板应用于车辆、计算机、笔"&amp;"记本电脑、平板电脑、手机、智能手机、智能手表、健身监视器、头戴式耳机、个人数字助理（PDA）、智能音箱、电视、 Sky -top box, game console.")</f>
        <v>1. Design product name: The graphic user interface of the vehicle replaced by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design point of this graphic user interface lies in the vehicle replacement interface.
 The main view is the homepage interface of the vehicle. The user clicks the pull button in the upper left corner to replace the other vehicles, as shown in the interface change state diagram.
 6.其他说明：本显示屏幕面板应用于车辆、计算机、笔记本电脑、平板电脑、手机、智能手机、智能手表、健身监视器、头戴式耳机、个人数字助理（PDA）、智能音箱、电视、 Sky -top box, game console.</v>
      </c>
      <c r="D783" s="6" t="s">
        <v>2296</v>
      </c>
      <c r="E783" s="4" t="str">
        <f ca="1">IFERROR(__xludf.DUMMYFUNCTION("GOOGLETRANSLATE(D783,""auto"",""en"")"),"Graphic user interface for replacement of the vehicle on the display screen panel")</f>
        <v>Graphic user interface for replacement of the vehicle on the display screen panel</v>
      </c>
    </row>
    <row r="784" spans="1:5" ht="15" x14ac:dyDescent="0.25">
      <c r="A784" s="5" t="s">
        <v>2297</v>
      </c>
      <c r="B784" s="6" t="s">
        <v>2298</v>
      </c>
      <c r="C784" s="3" t="str">
        <f ca="1">IFERROR(__xludf.DUMMYFUNCTION("GOOGLETRANSLATE(B784,""auto"",""en"")"),"1. The name of the product in appearance: The search content of the display screen panel inputs graphic user interface.
 2. Design products in appearance: used for running procedures, information display, and human -computer interaction.
 3. Design of"&amp;" design products in this appearance: lies in the graphic user interface in the screen.
 4. Pictures or photos that can best show design: Design 1 main view.
 5. Specify design 1 is the basic design.
 6. The purpose of the graphical user interface: T"&amp;"he design point of this graphic user interface lies in searching the content input interface.
 Design 1 main view and design 2 main view is the search content input interface. Users can perform relevant operations according to the interface prompts.
 "&amp;"7.其他说明：本显示屏幕面板应用于车辆、计算机、笔记本电脑、平板电脑、手机、智能手机、智能手表、健身监视器、头戴式耳机、个人数字助理（PDA）、智能音箱、电视、 Sky -top box, game console.")</f>
        <v>1. The name of the product in appearance: The search content of the display screen panel inputs graphic user interface.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searching the content input interface.
 Design 1 main view and design 2 main view is the search content input interface. Users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84" s="6" t="s">
        <v>2299</v>
      </c>
      <c r="E784" s="4" t="str">
        <f ca="1">IFERROR(__xludf.DUMMYFUNCTION("GOOGLETRANSLATE(D784,""auto"",""en"")"),"Search content of the display screen panel input graphical user interface")</f>
        <v>Search content of the display screen panel input graphical user interface</v>
      </c>
    </row>
    <row r="785" spans="1:5" ht="15" x14ac:dyDescent="0.25">
      <c r="A785" s="5" t="s">
        <v>2300</v>
      </c>
      <c r="B785" s="6" t="s">
        <v>2301</v>
      </c>
      <c r="C785" s="3" t="str">
        <f ca="1">IFERROR(__xludf.DUMMYFUNCTION("GOOGLETRANSLATE(B785,""auto"",""en"")"),"1. Design product name: The graphic user interface of the vehicle navigation of the display screen panel.
 2. Design products in appearance: used for running procedures, information display, and human -computer interaction.
 3. Design of design produc"&amp;"ts in this appearance: lies in the graphic user interface in the screen.
 4. Pictures or photos that can most indicate design points: main view.
 5. The purpose of the graphical user interface: The design point of this graphic user interface lies in t"&amp;"he vehicle navigation interface.
 The main view is the information display interface of the interest point of the vehicle navigation, and the user can perform related operations according to the interface prompt.
 6.其他说明：本显示屏幕面板应用于车辆、计算机、笔记本电脑、平板电脑、手机"&amp;"、智能手机、智能手表、健身监视器、头戴式耳机、个人数字助理（PDA）、智能音箱、电视、 Sky -top box, game console.")</f>
        <v>1. Design product name: The graphic user interface of the vehicle navigation of the display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The design point of this graphic user interface lies in the vehicle navigation interface.
 The main view is the information display interface of the interest point of the vehicle navigation, and the user can perform related operations according to the interface prompt.
 6.其他说明：本显示屏幕面板应用于车辆、计算机、笔记本电脑、平板电脑、手机、智能手机、智能手表、健身监视器、头戴式耳机、个人数字助理（PDA）、智能音箱、电视、 Sky -top box, game console.</v>
      </c>
      <c r="D785" s="6" t="s">
        <v>2238</v>
      </c>
      <c r="E785" s="4" t="str">
        <f ca="1">IFERROR(__xludf.DUMMYFUNCTION("GOOGLETRANSLATE(D785,""auto"",""en"")"),"Graphic user interface of vehicle navigation on the display screen panel")</f>
        <v>Graphic user interface of vehicle navigation on the display screen panel</v>
      </c>
    </row>
    <row r="786" spans="1:5" ht="15" x14ac:dyDescent="0.25">
      <c r="A786" s="5" t="s">
        <v>2302</v>
      </c>
      <c r="B786" s="6" t="s">
        <v>2303</v>
      </c>
      <c r="C786" s="3" t="str">
        <f ca="1">IFERROR(__xludf.DUMMYFUNCTION("GOOGLETRANSLATE(B786,""auto"",""en"")"),"1. Design product name: The graphic user interface of the multimedia information display of the display screen panel. 2. Design products in appearance: used for running procedures, information display, and human -computer interaction. 3. Design of design "&amp;"products in this appearance: lies in the graphic user interface in the screen. 4. Pictures or photos that can best show design: Design 1 main view. 5. Specify design 1 is the basic design. 6. The purpose of the graphical user interface: The design point o"&amp;"f this graphic user interface lies in the multimedia information display interface. Design 1 main view and design 2 main views are music information display interface, and users can perform relevant operations according to the interface prompts. 7.其他说明：本显"&amp;"示屏幕面板应用于车辆、计算机、笔记本电脑、平板电脑、手机、智能手机、智能手表、健身监视器、头戴式耳机、个人数字助理（PDA）、智能音箱、电视、 Sky -top box, game console.")</f>
        <v>1. Design product name: The graphic user interface of the multimedia information display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multimedia information display interface. Design 1 main view and design 2 main views are music information display interface, and users can perform relevant operations according to the interface prompts. 7.其他说明：本显示屏幕面板应用于车辆、计算机、笔记本电脑、平板电脑、手机、智能手机、智能手表、健身监视器、头戴式耳机、个人数字助理（PDA）、智能音箱、电视、 Sky -top box, game console.</v>
      </c>
      <c r="D786" s="6" t="s">
        <v>2244</v>
      </c>
      <c r="E786" s="4" t="str">
        <f ca="1">IFERROR(__xludf.DUMMYFUNCTION("GOOGLETRANSLATE(D786,""auto"",""en"")"),"The graphical user interface of the multimedia information display of the display screen panel")</f>
        <v>The graphical user interface of the multimedia information display of the display screen panel</v>
      </c>
    </row>
    <row r="787" spans="1:5" ht="15" x14ac:dyDescent="0.25">
      <c r="A787" s="5" t="s">
        <v>2304</v>
      </c>
      <c r="B787" s="6" t="s">
        <v>2305</v>
      </c>
      <c r="C787" s="3" t="str">
        <f ca="1">IFERROR(__xludf.DUMMYFUNCTION("GOOGLETRANSLATE(B787,""auto"",""en"")"),"1. Design product name: The graphic user interface of the virtual assistant of the display screen panel. 2. Design products in appearance: used for running procedures, information display, and human -computer interaction. 3. Design of design products in t"&amp;"his appearance: lies in the graphic user interface in the screen. 4. Pictures or photos that can best show design: Design 1 main view. 5. Specify design 1 is the basic design. 6. The purpose of the graphical user interface: The design point of this graphi"&amp;"c user interface lies in the virtual assistant interface. Design 1 main view and design 2 main view is the interface with virtual assistants. When the user sends an instructions through the voice, the content of the emoji and voice indications appears abo"&amp;"ve the interface, as shown in the design 1 main view. 7. Other situations that need to be described and other descriptions: This display screen panel is applied to vehicles, computers, laptops, tablets, mobile phones, smartphones, smart watches, fitness m"&amp;"onitor, headphones, personal digital assistants (PDA), PDA,, PDA), PDA, PDA), PDA, PDA, PDA), PDA, PDA, PDA), PDA, PDA, and PCA, PDA, and PDA, PDA, and PDA, PDA, and PDA, PDA, PDA, Smart speakers, television, set -top boxes, game consoles.")</f>
        <v>1. Design product name: The graphic user interface of the virtual assistant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the graphical user interface: The design point of this graphic user interface lies in the virtual assistant interface. Design 1 main view and design 2 main view is the interface with virtual assistants. When the user sends an instructions through the voice, the content of the emoji and voice indications appears above the interface, as shown in the design 1 main view. 7. Other situations that need to be described and other descriptions: This display screen panel is applied to vehicles, computers, laptops, tablets, mobile phones, smartphones, smart watches, fitness monitor, headphones, personal digital assistants (PDA), PDA,, PDA), PDA, PDA), PDA, PDA, PDA), PDA, PDA, PDA), PDA, PDA, and PCA, PDA, and PDA, PDA, and PDA, PDA, and PDA, PDA, PDA, Smart speakers, television, set -top boxes, game consoles.</v>
      </c>
      <c r="D787" s="6" t="s">
        <v>2306</v>
      </c>
      <c r="E787" s="4" t="str">
        <f ca="1">IFERROR(__xludf.DUMMYFUNCTION("GOOGLETRANSLATE(D787,""auto"",""en"")"),"The graphic user interface of the virtual assistant of the display screen panel")</f>
        <v>The graphic user interface of the virtual assistant of the display screen panel</v>
      </c>
    </row>
    <row r="788" spans="1:5" ht="15" x14ac:dyDescent="0.25">
      <c r="A788" s="5" t="s">
        <v>2307</v>
      </c>
      <c r="B788" s="6" t="s">
        <v>2308</v>
      </c>
      <c r="C788" s="3" t="str">
        <f ca="1">IFERROR(__xludf.DUMMYFUNCTION("GOOGLETRANSLATE(B788,""auto"",""en"")"),"1. Design product name: The graphic user interface of the information flow of the display screen panel.
 2. Design products in appearance: used for running procedures, information display, and human -computer interaction.
 3. Design of design products"&amp;" in this appearance: lies in the graphic user interface in the screen.
 4. Pictures or photos that can best show design: Design 1 main view.
 5. Specify design 1 is the basic design.
 6. The purpose of graphical user interface: The design point of t"&amp;"his graphic user interface lies in the information flow interface.
 Design 1 main view and design 2 main view is the information flow interface, which can be used to perform related operations according to the interface prompts.
 7.其他说明：本显示屏幕面板应用于车辆、计"&amp;"算机、笔记本电脑、平板电脑、手机、智能手机、智能手表、健身监视器、头戴式耳机、个人数字助理（PDA）、智能音箱、电视、 Sky -top box, game console.")</f>
        <v>1. Design product name: The graphic user interface of the information flow of the display screen panel.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The design point of this graphic user interface lies in the information flow interface.
 Design 1 main view and design 2 main view is the information flow interface, which can be used to perform related operations according to the interface prompts.
 7.其他说明：本显示屏幕面板应用于车辆、计算机、笔记本电脑、平板电脑、手机、智能手机、智能手表、健身监视器、头戴式耳机、个人数字助理（PDA）、智能音箱、电视、 Sky -top box, game console.</v>
      </c>
      <c r="D788" s="6" t="s">
        <v>2259</v>
      </c>
      <c r="E788" s="4" t="str">
        <f ca="1">IFERROR(__xludf.DUMMYFUNCTION("GOOGLETRANSLATE(D788,""auto"",""en"")"),"The graphic user interface of the information flow of the display screen panel")</f>
        <v>The graphic user interface of the information flow of the display screen panel</v>
      </c>
    </row>
    <row r="789" spans="1:5" ht="15" x14ac:dyDescent="0.25">
      <c r="A789" s="5" t="s">
        <v>2309</v>
      </c>
      <c r="B789" s="6" t="s">
        <v>2310</v>
      </c>
      <c r="C789" s="3" t="str">
        <f ca="1">IFERROR(__xludf.DUMMYFUNCTION("GOOGLETRANSLATE(B789,""auto"",""en"")"),"Our invention ""virtual yoga coach with augmented reality"" is a healthy body and mind, a correct way to ensure longevity, health and disease -free life. In this regard, yoga has proven to be a useful tool. Today, due to the busy schedule, ordinary people"&amp;" do not have time to exercise and meditation, and they are often in anxiety and pressure. Not everyone knows how to perform accurate yoga. People ask for YouTube videos and online teachers, and many of them are not qualified. There are many cases of serio"&amp;"us damage due to the ignorance and negligence of people who practice yoga. The present invention aims to study various methods and technologies used for posture detection and classification, design and generate various methods of augmented reality models,"&amp;" the methods and technologies of voice assistants, and technologies that can be used to deploy applications to combine the above technology. Yoga coaches using augmented reality technology can demonstrate, detect, and guide users how to perform yoga asana"&amp;"s is a method of solving all problems, such as time, unqualified coaches, and technical problems related to the virtual world, such as wrong Internet connection, portable portability And other environmental factors such as insufficient lighting and lack o"&amp;"f yoga space. The proposed application will be able to decompose the user's specified asana into multiple limited steps. A three -dimensional model will demonstrate these steps and voice instructions from audio prompts by voice coaches. The trained and te"&amp;"sted machine learning models will be able to detect and classify the accurate active form of user execution. It will also provide users with a variety of functions, such as setting targets, consecutive victories, and custom settings; all of them will be s"&amp;"tored in the application.")</f>
        <v>Our invention "virtual yoga coach with augmented reality" is a healthy body and mind, a correct way to ensure longevity, health and disease -free life. In this regard, yoga has proven to be a useful tool. Today, due to the busy schedule, ordinary people do not have time to exercise and meditation, and they are often in anxiety and pressure. Not everyone knows how to perform accurate yoga. People ask for YouTube videos and online teachers, and many of them are not qualified. There are many cases of serious damage due to the ignorance and negligence of people who practice yoga. The present invention aims to study various methods and technologies used for posture detection and classification, design and generate various methods of augmented reality models, the methods and technologies of voice assistants, and technologies that can be used to deploy applications to combine the above technology. Yoga coaches using augmented reality technology can demonstrate, detect, and guide users how to perform yoga asanas is a method of solving all problems, such as time, unqualified coaches, and technical problems related to the virtual world, such as wrong Internet connection, portable portability And other environmental factors such as insufficient lighting and lack of yoga space. The proposed application will be able to decompose the user's specified asana into multiple limited steps. A three -dimensional model will demonstrate these steps and voice instructions from audio prompts by voice coaches. The trained and tested machine learning models will be able to detect and classify the accurate active form of user execution. It will also provide users with a variety of functions, such as setting targets, consecutive victories, and custom settings; all of them will be stored in the application.</v>
      </c>
      <c r="D789" s="6" t="s">
        <v>2311</v>
      </c>
      <c r="E789" s="4" t="str">
        <f ca="1">IFERROR(__xludf.DUMMYFUNCTION("GOOGLETRANSLATE(D789,""auto"",""en"")"),"Virtual yoga coach with augmented reality technology")</f>
        <v>Virtual yoga coach with augmented reality technology</v>
      </c>
    </row>
    <row r="790" spans="1:5" ht="15" x14ac:dyDescent="0.25">
      <c r="A790" s="5" t="s">
        <v>2312</v>
      </c>
      <c r="B790" s="6" t="s">
        <v>2313</v>
      </c>
      <c r="C790" s="3" t="str">
        <f ca="1">IFERROR(__xludf.DUMMYFUNCTION("GOOGLETRANSLATE(B790,""auto"",""en"")"),"The present invention discloses a MOBA game to determine the positioning method of line reconnaissance guards, including: collecting the line hero related data at the end of the line period; according to the improvement algorithm of the HouseHolder transf"&amp;"ormation and the strange value decomposition method, determine the match line Hero's line position; use the convolutional neural network to handle the mobile area of ​​the walking hero in it, mark the mobile position of the wandering hero; the line positi"&amp;"on of the line of the line during the line period and the mobile hero's mobile movement during the line period Combining the position, select the core point at the key intersection and grass, calculate the weighted distance of the wandering hero and each "&amp;"core point, calculate the mobility probability of the walking hero to move to each core point; Placement of reconnaissance guards. The present invention can improve the winning rate of e -sports through reasonable prevention guards.")</f>
        <v>The present invention discloses a MOBA game to determine the positioning method of line reconnaissance guards, including: collecting the line hero related data at the end of the line period; according to the improvement algorithm of the HouseHolder transformation and the strange value decomposition method, determine the match line Hero's line position; use the convolutional neural network to handle the mobile area of ​​the walking hero in it, mark the mobile position of the wandering hero; the line position of the line of the line during the line period and the mobile hero's mobile movement during the line period Combining the position, select the core point at the key intersection and grass, calculate the weighted distance of the wandering hero and each core point, calculate the mobility probability of the walking hero to move to each core point; Placement of reconnaissance guards. The present invention can improve the winning rate of e -sports through reasonable prevention guards.</v>
      </c>
      <c r="D790" s="6" t="s">
        <v>2314</v>
      </c>
      <c r="E790" s="4" t="str">
        <f ca="1">IFERROR(__xludf.DUMMYFUNCTION("GOOGLETRANSLATE(D790,""auto"",""en"")"),"A MOBA game on line reconnaissance guard placement position determination method")</f>
        <v>A MOBA game on line reconnaissance guard placement position determination method</v>
      </c>
    </row>
    <row r="791" spans="1:5" ht="15" x14ac:dyDescent="0.25">
      <c r="A791" s="5" t="s">
        <v>2315</v>
      </c>
      <c r="B791" s="6" t="s">
        <v>2316</v>
      </c>
      <c r="C791" s="3" t="str">
        <f ca="1">IFERROR(__xludf.DUMMYFUNCTION("GOOGLETRANSLATE(B791,""auto"",""en"")"),"The present invention disclosed the intelligent evaluation device, method and application of the traditional fitness method training posture, involving the technical field of intelligent fitness equipment; the device includes standardized, monitoring and "&amp;"evaluation modules; methods include monitoring, acceleration curve of testers' actions, based on sliding sliding The acceleration curve segmentation of the window and the neural network classifier on the tester's movement obtains the acceleration curve of"&amp;" each tester's movement, and the window processing, FFT computing, and wavelet experience function transformation are performed. Obtain the empirical wave component of each testor movement and the experience of the appropriate wave component of the approp"&amp;"riate section of the standard movement and complete the evaluation; the application includes the application of the device in the application of the eight -segment brocade method in the rehabilitation of the new crown pneumonia. Whether the exercise is in"&amp;" place; it has achieved high efficiency and better effects through standardized modules, monitoring modules, and evaluation modules, etc.")</f>
        <v>The present invention disclosed the intelligent evaluation device, method and application of the traditional fitness method training posture, involving the technical field of intelligent fitness equipment; the device includes standardized, monitoring and evaluation modules; methods include monitoring, acceleration curve of testers' actions, based on sliding sliding The acceleration curve segmentation of the window and the neural network classifier on the tester's movement obtains the acceleration curve of each tester's movement, and the window processing, FFT computing, and wavelet experience function transformation are performed. Obtain the empirical wave component of each testor movement and the experience of the appropriate wave component of the appropriate section of the standard movement and complete the evaluation; the application includes the application of the device in the application of the eight -segment brocade method in the rehabilitation of the new crown pneumonia. Whether the exercise is in place; it has achieved high efficiency and better effects through standardized modules, monitoring modules, and evaluation modules, etc.</v>
      </c>
      <c r="D791" s="6" t="s">
        <v>2317</v>
      </c>
      <c r="E791" s="4" t="str">
        <f ca="1">IFERROR(__xludf.DUMMYFUNCTION("GOOGLETRANSLATE(D791,""auto"",""en"")"),"Smart evaluation devices, methods and applications of traditional fitness exercises training posture")</f>
        <v>Smart evaluation devices, methods and applications of traditional fitness exercises training posture</v>
      </c>
    </row>
    <row r="792" spans="1:5" ht="15" x14ac:dyDescent="0.25">
      <c r="A792" s="5" t="s">
        <v>2318</v>
      </c>
      <c r="B792" s="6" t="s">
        <v>2319</v>
      </c>
      <c r="C792" s="3" t="str">
        <f ca="1">IFERROR(__xludf.DUMMYFUNCTION("GOOGLETRANSLATE(B792,""auto"",""en"")"),"Use two or more cameras to track the path and/or direction of the athlete's objects. Use at least two sets of images with at least two different cameras with different positions. Identify the motion area in the image and identify the candidate position in"&amp;" the two -dimensional space of the object in the motion area. Based on this, the possible position of the recognition part in the 3D space is recognized and used for each of the multiple moments in the nearby period. At least the 3D trajectory of the segm"&amp;"ented 3D trajectory of the object can be approximately similar in the 3D space of the athlete's multiple instantaneous 3D space. The graphic of the 3D trajectory of the object is merged into at least one set of images.")</f>
        <v>Use two or more cameras to track the path and/or direction of the athlete's objects. Use at least two sets of images with at least two different cameras with different positions. Identify the motion area in the image and identify the candidate position in the two -dimensional space of the object in the motion area. Based on this, the possible position of the recognition part in the 3D space is recognized and used for each of the multiple moments in the nearby period. At least the 3D trajectory of the segmented 3D trajectory of the object can be approximately similar in the 3D space of the athlete's multiple instantaneous 3D space. The graphic of the 3D trajectory of the object is merged into at least one set of images.</v>
      </c>
      <c r="D792" s="6" t="s">
        <v>2320</v>
      </c>
      <c r="E792" s="4" t="str">
        <f ca="1">IFERROR(__xludf.DUMMYFUNCTION("GOOGLETRANSLATE(D792,""auto"",""en"")"),"Use a computer visual tracking handheld sports appliance")</f>
        <v>Use a computer visual tracking handheld sports appliance</v>
      </c>
    </row>
    <row r="793" spans="1:5" ht="15" x14ac:dyDescent="0.25">
      <c r="A793" s="5" t="s">
        <v>2321</v>
      </c>
      <c r="B793" s="6" t="s">
        <v>2322</v>
      </c>
      <c r="C793" s="3" t="str">
        <f ca="1">IFERROR(__xludf.DUMMYFUNCTION("GOOGLETRANSLATE(B793,""auto"",""en"")"),"Food production, processing, packaging, transportation, planning, planning, safety and food management are all examples of modern activities of food departments. The food industry is sometimes regarded as a low -tech content, although it has recently beco"&amp;"me more innovative according to its R &amp; D and transaction ratio evaluation. Artificial intelligence robots are using around the world. These robots are developed using cutting -edge technologies and artificial intelligence progress. It aims to be used for"&amp;" human -centered development, perceive humans, and also answer human feelings. The future of social robots that can interact with humans seems to be full of hope. Now there are domestic robots, friendly robots, beverage production robots, pharmaceutical r"&amp;"obots, table tennis coaches and other types of robots. Although progress has been made in mechanical technology and automation, it is necessary to take some measures to meet the requirements of computerization in various food industry assembly processes. "&amp;"As far as we know, these problems are: the development can adapt to a automated terminal actuator that can adapt to a variety of foods while maintaining cost -effectiveness, identify food and materials in 3D conditions, and better understand the original "&amp;"data of food from the perspective of mechanical care. Essence")</f>
        <v>Food production, processing, packaging, transportation, planning, planning, safety and food management are all examples of modern activities of food departments. The food industry is sometimes regarded as a low -tech content, although it has recently become more innovative according to its R &amp; D and transaction ratio evaluation. Artificial intelligence robots are using around the world. These robots are developed using cutting -edge technologies and artificial intelligence progress. It aims to be used for human -centered development, perceive humans, and also answer human feelings. The future of social robots that can interact with humans seems to be full of hope. Now there are domestic robots, friendly robots, beverage production robots, pharmaceutical robots, table tennis coaches and other types of robots. Although progress has been made in mechanical technology and automation, it is necessary to take some measures to meet the requirements of computerization in various food industry assembly processes. As far as we know, these problems are: the development can adapt to a automated terminal actuator that can adapt to a variety of foods while maintaining cost -effectiveness, identify food and materials in 3D conditions, and better understand the original data of food from the perspective of mechanical care. Essence</v>
      </c>
      <c r="D793" s="6" t="s">
        <v>2323</v>
      </c>
      <c r="E793" s="4" t="str">
        <f ca="1">IFERROR(__xludf.DUMMYFUNCTION("GOOGLETRANSLATE(D793,""auto"",""en"")"),"Mealing robot based on machine learning and embedded technology")</f>
        <v>Mealing robot based on machine learning and embedded technology</v>
      </c>
    </row>
    <row r="794" spans="1:5" ht="15" x14ac:dyDescent="0.25">
      <c r="A794" s="5" t="s">
        <v>2324</v>
      </c>
      <c r="B794" s="6" t="s">
        <v>2325</v>
      </c>
      <c r="C794" s="3" t="str">
        <f ca="1">IFERROR(__xludf.DUMMYFUNCTION("GOOGLETRANSLATE(B794,""auto"",""en"")"),"1. Design product name: Homepage navigation graphic user interface on the display screen panel.
 2. Design products in this exterior: used to display information and human -computer interaction.
 3. Design of the design of the product in this exterior"&amp;": lies in the graphic user interface content of the display screen panel.
 4. Pictures or photos that can best show design: Design 1 main view.
 5. The display screen panel is commonly designed, omitting design 1. Design 2 back view, left view, right "&amp;"view, down -view view, upper view.
 6. Specify design 1 is the basic design.
 7. The purpose of the graphical user interface: used for the navigation interface of the homepage menu; design 1 in the main view of the main view, you can click on the cate"&amp;"gory tag above the interface to view different category program information (for example, click ""Children to view the program information of children); Design 2 You can click on the category tags above the interface to view different category program inf"&amp;"ormation (such as clicking ""Sports"" to view sports information about sports).
 8. The display screen panel can be used for computers, mobile phones, tablets, and televisions; coating areas are content screens or variable content.")</f>
        <v>1. Design product name: Homepage navigation graphic user interface on the display screen panel.
 2. Design products in this exterior: used to display information and human -computer interaction.
 3. Design of the design of the product in this exterior: lies in the graphic user interface content of the display screen panel.
 4. Pictures or photos that can best show design: Design 1 main view.
 5. The display screen panel is commonly designed, omitting design 1. Design 2 back view, left view, right view, down -view view, upper view.
 6. Specify design 1 is the basic design.
 7. The purpose of the graphical user interface: used for the navigation interface of the homepage menu; design 1 in the main view of the main view, you can click on the category tag above the interface to view different category program information (for example, click "Children to view the program information of children); Design 2 You can click on the category tags above the interface to view different category program information (such as clicking "Sports" to view sports information about sports).
 8. The display screen panel can be used for computers, mobile phones, tablets, and televisions; coating areas are content screens or variable content.</v>
      </c>
      <c r="D794" s="6" t="s">
        <v>2326</v>
      </c>
      <c r="E794" s="4" t="str">
        <f ca="1">IFERROR(__xludf.DUMMYFUNCTION("GOOGLETRANSLATE(D794,""auto"",""en"")"),"Homepage navigation graphic user interface on display screen panel")</f>
        <v>Homepage navigation graphic user interface on display screen panel</v>
      </c>
    </row>
    <row r="795" spans="1:5" ht="15" x14ac:dyDescent="0.25">
      <c r="A795" s="5" t="s">
        <v>2327</v>
      </c>
      <c r="B795" s="6" t="s">
        <v>2328</v>
      </c>
      <c r="C795" s="3" t="str">
        <f ca="1">IFERROR(__xludf.DUMMYFUNCTION("GOOGLETRANSLATE(B795,""auto"",""en"")"),"The Internet of Things (IoT) is a huge and exciting new phenomenon. It is changing the technology world and innovation in various industries including medical care. Based on the work that can be completed by clinical workflow models, it has specific appli"&amp;"cations and changes in the medical community. The first and most basic thing of the Internet of Things in the field of medical care is to bring a large amount of new data into the medical process. In fact, for many people, new fitness monitors and watches"&amp;" are one of the best examples on the Internet -these mobile, portable, and wearable devices can record real -time heart rate, blood pressure and eyeball motion, and send them to send them Give your doctor or anywhere. All of this leads to the revival of b"&amp;"ig data in the medical service field. But according to some people, this is not all roses. A event talked about by some health professionals is the ""data consumption"" of the provider's office. The Internet of Things brings a lot of new data, but if doct"&amp;"ors and others cannot manage these data, they will be greater than favorable for their workflows. If there is no key system that separate signals from noise, the Internet of Things data may make doctors overwhelmed and disturb what they are trying to do. "&amp;"If you think about it, many medical work involves diagnosis and accuracy -too many data and lack of intelligence may become a problem.")</f>
        <v>The Internet of Things (IoT) is a huge and exciting new phenomenon. It is changing the technology world and innovation in various industries including medical care. Based on the work that can be completed by clinical workflow models, it has specific applications and changes in the medical community. The first and most basic thing of the Internet of Things in the field of medical care is to bring a large amount of new data into the medical process. In fact, for many people, new fitness monitors and watches are one of the best examples on the Internet -these mobile, portable, and wearable devices can record real -time heart rate, blood pressure and eyeball motion, and send them to send them Give your doctor or anywhere. All of this leads to the revival of big data in the medical service field. But according to some people, this is not all roses. A event talked about by some health professionals is the "data consumption" of the provider's office. The Internet of Things brings a lot of new data, but if doctors and others cannot manage these data, they will be greater than favorable for their workflows. If there is no key system that separate signals from noise, the Internet of Things data may make doctors overwhelmed and disturb what they are trying to do. If you think about it, many medical work involves diagnosis and accuracy -too many data and lack of intelligence may become a problem.</v>
      </c>
      <c r="D795" s="6" t="s">
        <v>2329</v>
      </c>
      <c r="E795" s="4" t="str">
        <f ca="1">IFERROR(__xludf.DUMMYFUNCTION("GOOGLETRANSLATE(D795,""auto"",""en"")"),"Artificial intelligence -driven IoT cloud platform mobile health application")</f>
        <v>Artificial intelligence -driven IoT cloud platform mobile health application</v>
      </c>
    </row>
    <row r="796" spans="1:5" ht="15" x14ac:dyDescent="0.25">
      <c r="A796" s="5" t="s">
        <v>2330</v>
      </c>
      <c r="B796" s="6" t="s">
        <v>2331</v>
      </c>
      <c r="C796" s="3" t="str">
        <f ca="1">IFERROR(__xludf.DUMMYFUNCTION("GOOGLETRANSLATE(B796,""auto"",""en"")"),"1. The name of the product of the design of the product: The product information display graphic user interface of the display screen panel.
 2. The purpose of designing products in this exterior: The design of the product is used to display the graphic"&amp;"al user interface.
 3. Design of the design of the product in appearance: lies in the graphic user interface.
 4. Pictures or photos that can best show design: Design 1 main view.
 5. Specify design 1 is the basic design.
 6. The purpose of graphi"&amp;"cal user interface: This graphic user interface is used to display product information.
 7. Human -computer interaction method of graphical user interface: Design 1 to Design 5 Main View Graphic User Interface is the interface of product information dis"&amp;"play. Users can click on the gray color block on the left side of the lower side of the interface or the area on the right side of the gray color block to enter Corresponding product details page.
 The gray color blocks in the design interface are repla"&amp;"ceable pictures or videos.
 The fork number in the design interface represents text and/or numbers and/or alphabets and/or symbols.
 8. This graphic user interface can be used for mobile phones, computers, tablets, smart TVs, vehicle central control s"&amp;"creens, multimedia all -in -one machines, electronic notepads, headset display devices, smart speakers, projectors, navigators, smart, smart, smart, smart Watch, smart bracelets, smart table lamps, refrigerators with screens, range hoods with screens, air"&amp;" conditioners with screens, smart fitness mirrors, disinfection cabinets with screens, dishwashers with screens, and screens with screens.
 9. The display screen panel is commonly designed, omitting the rear views, left view, right view, downward view, "&amp;"and view view of various design.")</f>
        <v>1. The name of the product of the design of the product: The product information display graphic user interface of the display screen panel.
 2. The purpose of designing products in this exterior: The design of the product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This graphic user interface is used to display product information.
 7. Human -computer interaction method of graphical user interface: Design 1 to Design 5 Main View Graphic User Interface is the interface of product information display. Users can click on the gray color block on the left side of the lower side of the interface or the area on the right side of the gray color block to enter Corresponding product details page.
 The gray color blocks in the design interface are replaceable pictures or videos.
 The fork number in the design interface represents text and/or numbers and/or alphabets and/or symbols.
 8. This graphic user interface can be used for mobile phones, computers, tablets, smart TVs, vehicle central control screens, multimedia all -in -one machines, electronic notepads, headset display devices, smart speakers, projectors, navigators, smart, smart, smart, smart Watch, smart bracelets, smart table lamps, refrigerators with screens, range hoods with screens, air conditioners with screens, smart fitness mirrors, disinfection cabinets with screens, dishwashers with screens, and screens with screens.
 9. The display screen panel is commonly designed, omitting the rear views, left view, right view, downward view, and view view of various design.</v>
      </c>
      <c r="D796" s="6" t="s">
        <v>330</v>
      </c>
      <c r="E796" s="4" t="str">
        <f ca="1">IFERROR(__xludf.DUMMYFUNCTION("GOOGLETRANSLATE(D796,""auto"",""en"")"),"Product information display graphic user interface of display screen panel")</f>
        <v>Product information display graphic user interface of display screen panel</v>
      </c>
    </row>
    <row r="797" spans="1:5" ht="15" x14ac:dyDescent="0.25">
      <c r="A797" s="5" t="s">
        <v>2332</v>
      </c>
      <c r="B797" s="6" t="s">
        <v>2333</v>
      </c>
      <c r="C797" s="3" t="str">
        <f ca="1">IFERROR(__xludf.DUMMYFUNCTION("GOOGLETRANSLATE(B797,""auto"",""en"")"),"1. The name of the product design product: The trainee coach of the display screen panel allocates dynamic graphic user interface.
 2. The purpose of designing products in this exterior: The graphic user interface of the design of the product is used fo"&amp;"r human -machine interaction on the display screen panel. The display screen panel is used to usual, and it is used for game consoles, mobile phones, tablets, computers, education machines, education machines, and educational machines. , Car navigator, sm"&amp;"art TV, game console display.
 3. Design of the design of the product in this exterior: lies in the graphical user interface displayed in the display screen panel.
 4. Pictures or photos that can most indicate design points: main view.
 5. The purpo"&amp;"se of the graphic user interface: The product interface designed in this exterior is used to allocate coaches and classes for students of driving schools; the interface displayed by the main view in the view is the interface of the students' basic informa"&amp;"tion, registration information, and distribution of coach information. Coach options; interfaces displayed by the main view view to the distribution of coach options enter the change state of the trainer distribution interface displayed. The user can allo"&amp;"cate the coach for the trainees through the interface and have confirmed allocation options. The interface of the option enters the state of change state. 2 displayed after allocating coaches, which has more operating options in the interface; the interfa"&amp;"ce displayed in the change state graph 2 Display more operating options changing status. The interface displayed. , Revisit the coach options and change the coach option for users to trigger to perform related car operations; in the above view, the circle"&amp;" represents the user's avatar, the box represents the picture, the ""XX"" represents text, the use status refers to the status In actual application.
 6. Small view: The rear view, left view, right view, down view, and view view of the product are desig"&amp;"ned with no design points, so there is no design point for design, so it is omitted.")</f>
        <v>1. The name of the product design product: The trainee coach of the display screen panel allocates dynamic graphic user interface.
 2. The purpose of designing products in this exterior: The graphic user interface of the design of the product is used for human -machine interaction on the display screen panel. The display screen panel is used to usual, and it is used for game consoles, mobile phones, tablets, computers, education machines, education machines, and educational machines. , Car navigator, smart TV, game console display.
 3. Design of the design of the product in this exterior: lies in the graphical user interface displayed in the display screen panel.
 4. Pictures or photos that can most indicate design points: main view.
 5. The purpose of the graphic user interface: The product interface designed in this exterior is used to allocate coaches and classes for students of driving schools; the interface displayed by the main view in the view is the interface of the students' basic information, registration information, and distribution of coach information. Coach options; interfaces displayed by the main view view to the distribution of coach options enter the change state of the trainer distribution interface displayed. The user can allocate the coach for the trainees through the interface and have confirmed allocation options. The interface of the option enters the state of change state. 2 displayed after allocating coaches, which has more operating options in the interface; the interface displayed in the change state graph 2 Display more operating options changing status. The interface displayed. , Revisit the coach options and change the coach option for users to trigger to perform related car operations; in the above view, the circle represents the user's avatar, the box represents the picture, the "XX" represents text, the use status refers to the status In actual application.
 6. Small view: The rear view, left view, right view, down view, and view view of the product are designed with no design points, so there is no design point for design, so it is omitted.</v>
      </c>
      <c r="D797" s="6" t="s">
        <v>2334</v>
      </c>
      <c r="E797" s="4" t="str">
        <f ca="1">IFERROR(__xludf.DUMMYFUNCTION("GOOGLETRANSLATE(D797,""auto"",""en"")"),"The trainee coach of the display screen panel allocates dynamic graphic user interface")</f>
        <v>The trainee coach of the display screen panel allocates dynamic graphic user interface</v>
      </c>
    </row>
    <row r="798" spans="1:5" ht="15" x14ac:dyDescent="0.25">
      <c r="A798" s="5" t="s">
        <v>2335</v>
      </c>
      <c r="B798" s="6" t="s">
        <v>2336</v>
      </c>
      <c r="C798" s="3" t="str">
        <f ca="1">IFERROR(__xludf.DUMMYFUNCTION("GOOGLETRANSLATE(B798,""auto"",""en"")"),"1. The name of the product of the design of the product: The trainee class teacher of the display screen panel allocates dynamic graphic user interface.
 2. The purpose of designing products in this exterior: The graphic user interface of the design of "&amp;"the product is used for human -machine interaction on the display screen panel. The display screen panel is used to usual, and it is used for game consoles, mobile phones, tablets, computers, education machines, education machines, and educational machine"&amp;"s. , Car navigator, smart TV, game console display.
 3. Design of the design of the product in this exterior: lies in the graphical user interface displayed in the display screen panel.
 4. Pictures or photos that can most indicate design points: main"&amp;" view.
 5. The purpose of the graphic user interface: The product interface designed in this exterior is used to allocate and replace the class teacher of the driver school students; the interface displayed in the main view of the view is the interface "&amp;"of the basic information, registration information, and distribution of coach information. Distribution class teacher options; interface interface displayed by the main view view trigger the distribution class teacher option to enter the state of change s"&amp;"tatus. Figure 1 Display the class teacher allocation interface. Users can choose the class teacher and allocate to the students through the interface, and have confirmation of the allocation option; Select the class teacher to select and trigger the inter"&amp;"face of the assigning head teacher after the assignor of the assignment of the confirmation allocation. Picture, ""XX"" represents text.
 6. Small view: The rear view, left view, right view, down view, and view view of the product are designed with no d"&amp;"esign points, so there is no design point for design, so it is omitted.")</f>
        <v>1. The name of the product of the design of the product: The trainee class teacher of the display screen panel allocates dynamic graphic user interface.
 2. The purpose of designing products in this exterior: The graphic user interface of the design of the product is used for human -machine interaction on the display screen panel. The display screen panel is used to usual, and it is used for game consoles, mobile phones, tablets, computers, education machines, education machines, and educational machines. , Car navigator, smart TV, game console display.
 3. Design of the design of the product in this exterior: lies in the graphical user interface displayed in the display screen panel.
 4. Pictures or photos that can most indicate design points: main view.
 5. The purpose of the graphic user interface: The product interface designed in this exterior is used to allocate and replace the class teacher of the driver school students; the interface displayed in the main view of the view is the interface of the basic information, registration information, and distribution of coach information. Distribution class teacher options; interface interface displayed by the main view view trigger the distribution class teacher option to enter the state of change status. Figure 1 Display the class teacher allocation interface. Users can choose the class teacher and allocate to the students through the interface, and have confirmation of the allocation option; Select the class teacher to select and trigger the interface of the assigning head teacher after the assignor of the assignment of the confirmation allocation. Picture, "XX" represents text.
 6. Small view: The rear view, left view, right view, down view, and view view of the product are designed with no design points, so there is no design point for design, so it is omitted.</v>
      </c>
      <c r="D798" s="6" t="s">
        <v>2337</v>
      </c>
      <c r="E798" s="4" t="str">
        <f ca="1">IFERROR(__xludf.DUMMYFUNCTION("GOOGLETRANSLATE(D798,""auto"",""en"")"),"Student class teachers of the display screen panel allocate dynamic graphic user interface")</f>
        <v>Student class teachers of the display screen panel allocate dynamic graphic user interface</v>
      </c>
    </row>
    <row r="799" spans="1:5" ht="15" x14ac:dyDescent="0.25">
      <c r="A799" s="5" t="s">
        <v>2338</v>
      </c>
      <c r="B799" s="6" t="s">
        <v>2339</v>
      </c>
      <c r="C799" s="3" t="str">
        <f ca="1">IFERROR(__xludf.DUMMYFUNCTION("GOOGLETRANSLATE(B799,""auto"",""en"")"),"This publicly provides structured information extraction methods, devices, equipment, storage media, and program products, involving the field of artificial intelligence, especially in the field of computer vision and deep learning. Specific implementatio"&amp;"n plans include: draw the video frames of the target sports event from the video of sports events; conduct target detection of video frames for target sports events to obtain designated target information in sports events; aggregate the designated target "&amp;"information to obtain the structured information of sports events. This public can efficiently extract key information in the video of sports events, form structured data, and provide high -quality materials for sports events, helping to complete the fast"&amp;" content creation of sports events.")</f>
        <v>This publicly provides structured information extraction methods, devices, equipment, storage media, and program products, involving the field of artificial intelligence, especially in the field of computer vision and deep learning. Specific implementation plans include: draw the video frames of the target sports event from the video of sports events; conduct target detection of video frames for target sports events to obtain designated target information in sports events; aggregate the designated target information to obtain the structured information of sports events. This public can efficiently extract key information in the video of sports events, form structured data, and provide high -quality materials for sports events, helping to complete the fast content creation of sports events.</v>
      </c>
      <c r="D799" s="6" t="s">
        <v>1942</v>
      </c>
      <c r="E799" s="4" t="str">
        <f ca="1">IFERROR(__xludf.DUMMYFUNCTION("GOOGLETRANSLATE(D799,""auto"",""en"")"),"Structural information extraction method, device, equipment and storage media")</f>
        <v>Structural information extraction method, device, equipment and storage media</v>
      </c>
    </row>
    <row r="800" spans="1:5" ht="15" x14ac:dyDescent="0.25">
      <c r="A800" s="5" t="s">
        <v>2340</v>
      </c>
      <c r="B800" s="6" t="s">
        <v>2341</v>
      </c>
      <c r="C800" s="3" t="str">
        <f ca="1">IFERROR(__xludf.DUMMYFUNCTION("GOOGLETRANSLATE(B800,""auto"",""en"")"),"The present invention belongs to the field of fitness equipment technology. Specifically, it is a kind of fitness riding multiplayer relay competition system, including: cloud processing module that receives the various data generated by the cloud process"&amp;"ing module and the various data generated during the multi -person competition and is in the multi -person competition and is in the multi -person competition. After processing, the result feedback is given; the riding device detects the speed data and se"&amp;"nds it to the cloud processing module during the user cycling process; the environmental simulation module includes the camera and display The image when shooting user movement, the cloud processing module fuses the image with the default cycling backgrou"&amp;"nd, stitch it and is displayed on the display; the I/O module supports voice recognition and broadcast. The display screen supports touch screen operations; the present invention can use households to perform riding competitions to improve the interactive"&amp;"ness and entertainment of fitness cycling, and to improve the motivation and enthusiasm of user exercise.")</f>
        <v>The present invention belongs to the field of fitness equipment technology. Specifically, it is a kind of fitness riding multiplayer relay competition system, including: cloud processing module that receives the various data generated by the cloud processing module and the various data generated during the multi -person competition and is in the multi -person competition and is in the multi -person competition. After processing, the result feedback is given; the riding device detects the speed data and sends it to the cloud processing module during the user cycling process; the environmental simulation module includes the camera and display The image when shooting user movement, the cloud processing module fuses the image with the default cycling background, stitch it and is displayed on the display; the I/O module supports voice recognition and broadcast. The display screen supports touch screen operations; the present invention can use households to perform riding competitions to improve the interactiveness and entertainment of fitness cycling, and to improve the motivation and enthusiasm of user exercise.</v>
      </c>
      <c r="D800" s="6" t="s">
        <v>2342</v>
      </c>
      <c r="E800" s="4" t="str">
        <f ca="1">IFERROR(__xludf.DUMMYFUNCTION("GOOGLETRANSLATE(D800,""auto"",""en"")"),"A fitness riding multiplayer relay competition system")</f>
        <v>A fitness riding multiplayer relay competition system</v>
      </c>
    </row>
    <row r="801" spans="1:5" ht="15" x14ac:dyDescent="0.25">
      <c r="A801" s="5" t="s">
        <v>2343</v>
      </c>
      <c r="B801" s="6" t="s">
        <v>2344</v>
      </c>
      <c r="C801" s="3" t="str">
        <f ca="1">IFERROR(__xludf.DUMMYFUNCTION("GOOGLETRANSLATE(B801,""auto"",""en"")"),"A grass tennis training device, including the slender entity for users who can train grass tennis. 1. Multiple electric omnidirectional wheels moved along all directions through the polyterable rod 3 The image capture module enabled by artificial intellig"&amp;"ence in the direction is the image and the user's decoding height of the user and the user's decoding height and correspondingly move the rod 3. Touch interactive display panel 5, which is used to choose a professional level, the type of hitting the ball "&amp;"to practice, and the continuous hitting ball. The time interval, in which the selected hit type, equipped with multiple tennis 7 ball storage room 6, installed hydraulic promoter with one of the room 6 room 6, with a pair of racket 9 rod body 8. Use the b"&amp;"all to the user to train users to train grass tennis in appropriately.")</f>
        <v>A grass tennis training device, including the slender entity for users who can train grass tennis. 1. Multiple electric omnidirectional wheels moved along all directions through the polyterable rod 3 The image capture module enabled by artificial intelligence in the direction is the image and the user's decoding height of the user and the user's decoding height and correspondingly move the rod 3. Touch interactive display panel 5, which is used to choose a professional level, the type of hitting the ball to practice, and the continuous hitting ball. The time interval, in which the selected hit type, equipped with multiple tennis 7 ball storage room 6, installed hydraulic promoter with one of the room 6 room 6, with a pair of racket 9 rod body 8. Use the ball to the user to train users to train grass tennis in appropriately.</v>
      </c>
      <c r="D801" s="6" t="s">
        <v>2345</v>
      </c>
      <c r="E801" s="4" t="str">
        <f ca="1">IFERROR(__xludf.DUMMYFUNCTION("GOOGLETRANSLATE(D801,""auto"",""en"")"),"Grass tennis trainer")</f>
        <v>Grass tennis trainer</v>
      </c>
    </row>
    <row r="802" spans="1:5" ht="15" x14ac:dyDescent="0.25">
      <c r="A802" s="5" t="s">
        <v>2346</v>
      </c>
      <c r="B802" s="6" t="s">
        <v>2347</v>
      </c>
      <c r="C802" s="3" t="str">
        <f ca="1">IFERROR(__xludf.DUMMYFUNCTION("GOOGLETRANSLATE(B802,""auto"",""en"")"),"1. Design product name: Multi -functional home equipment. 2. The purpose of designing products in this exterior: for air adjustment; fitness mirrors for human -machine interaction, for intelligent fitness sports and multimedia display, etc.; Used as furni"&amp;"ture, used for placing items, and used as an office platform. 3. Design of the design of the product in appearance: lies in the shape of the product. 4. Pictures or photos that can best show design: Design 1 stereo. 5. Specify design 1 is the basic design"&amp;".")</f>
        <v>1. Design product name: Multi -functional home equipment. 2. The purpose of designing products in this exterior: for air adjustment; fitness mirrors for human -machine interaction, for intelligent fitness sports and multimedia display, etc.; Used as furniture, used for placing items, and used as an office platform. 3. Design of the design of the product in appearance: lies in the shape of the product. 4. Pictures or photos that can best show design: Design 1 stereo. 5. Specify design 1 is the basic design.</v>
      </c>
      <c r="D802" s="6" t="s">
        <v>2348</v>
      </c>
      <c r="E802" s="4" t="str">
        <f ca="1">IFERROR(__xludf.DUMMYFUNCTION("GOOGLETRANSLATE(D802,""auto"",""en"")"),"Multifunctional home equipment")</f>
        <v>Multifunctional home equipment</v>
      </c>
    </row>
    <row r="803" spans="1:5" ht="15" x14ac:dyDescent="0.25">
      <c r="A803" s="5" t="s">
        <v>2349</v>
      </c>
      <c r="B803" s="6" t="s">
        <v>2350</v>
      </c>
      <c r="C803" s="3" t="str">
        <f ca="1">IFERROR(__xludf.DUMMYFUNCTION("GOOGLETRANSLATE(B803,""auto"",""en"")"),"1. The name of the product in appearance: The display screen panel of the graphic user interface with the chess class.
 2. The purpose of designing products in this exterior: This design product is used to display images and interaction.
 3. The desig"&amp;"n of the design of the product in this exterior: lies in the design of the graphic user interface in the display screen panel in design 1 and design 2. Design 2 requesting the appearance design contains color.
 4. Pictures or photos that can most indica"&amp;"te design points: Design 2 main views.
 5. Nothing involves design points, omitting design 1 and design 2 rear views, left views, right views, down -view views, and retry views.
 6. Specify design 1 is the basic design.
 7. The purpose of the graphi"&amp;"cal user interface: used to help users learn chess.
 8. Human -computer interaction method of graphic user interface: Design 1 and Design 2, point ""Competition"", ""Playing Chess"" or ""Do Questions"" at the bottom position of the main interface in the"&amp;" main interface in the main interface. To generate a new interface.
 9. The display screen panel of this design product is used for mobile phones, tablets, laptops, monitors, desktop all -in -one, smart glasses, projectors, TVs, car navigators, and set "&amp;"-top boxes.")</f>
        <v>1. The name of the product in appearance: The display screen panel of the graphic user interface with the chess class.
 2. The purpose of designing products in this exterior: This design product is used to display images and interaction.
 3. The design of the design of the product in this exterior: lies in the design of the graphic user interface in the display screen panel in design 1 and design 2. Design 2 requesting the appearance design contains color.
 4. Pictures or photos that can most indicate design points: Design 2 main views.
 5. Nothing involves design points, omitting design 1 and design 2 rear views, left views, right views, down -view views, and retry views.
 6. Specify design 1 is the basic design.
 7. The purpose of the graphical user interface: used to help users learn chess.
 8. Human -computer interaction method of graphic user interface: Design 1 and Design 2, point "Competition", "Playing Chess" or "Do Questions" at the bottom position of the main interface in the main interface in the main interface. To generate a new interface.
 9. The display screen panel of this design product is used for mobile phones, tablets, laptops, monitors, desktop all -in -one, smart glasses, projectors, TVs, car navigators, and set -top boxes.</v>
      </c>
      <c r="D803" s="6" t="s">
        <v>2351</v>
      </c>
      <c r="E803" s="4" t="str">
        <f ca="1">IFERROR(__xludf.DUMMYFUNCTION("GOOGLETRANSLATE(D803,""auto"",""en"")"),"Study screen panel with chess class to learn graphical user interface")</f>
        <v>Study screen panel with chess class to learn graphical user interface</v>
      </c>
    </row>
    <row r="804" spans="1:5" ht="15" x14ac:dyDescent="0.25">
      <c r="A804" s="5" t="s">
        <v>2352</v>
      </c>
      <c r="B804" s="6" t="s">
        <v>2353</v>
      </c>
      <c r="C804" s="3" t="str">
        <f ca="1">IFERROR(__xludf.DUMMYFUNCTION("GOOGLETRANSLATE(B804,""auto"",""en"")"),"An air -conditioner auxiliary fitness control method, control device and air conditioner, the control method includes: real -time obtaining image information, the child's body surface temperature in real time in the image information contains the child's "&amp;"body surface temperature in real time. When the temperature of the child's body surface is greater than the first preset temperature value, enter the children's fitness assist mode to generate the first reminder instruction. The first reminder instruction"&amp;" is used to send the first reminder information to the mobile phone bound to the air conditioner. When identifying children's information through images, and when the temperature of children's information, the temperature of the child's information increa"&amp;"ses, or receives the signal sent by the user, control the air conditioner to enter the children's fitness assist mode; generate reminder instructions, inform The guardian, preventing children from fitness alone, falling or muscle strain, and the guardian "&amp;"can handle it in time when an accident occurs.")</f>
        <v>An air -conditioner auxiliary fitness control method, control device and air conditioner, the control method includes: real -time obtaining image information, the child's body surface temperature in real time in the image information contains the child's body surface temperature in real time. When the temperature of the child's body surface is greater than the first preset temperature value, enter the children's fitness assist mode to generate the first reminder instruction. The first reminder instruction is used to send the first reminder information to the mobile phone bound to the air conditioner. When identifying children's information through images, and when the temperature of children's information, the temperature of the child's information increases, or receives the signal sent by the user, control the air conditioner to enter the children's fitness assist mode; generate reminder instructions, inform The guardian, preventing children from fitness alone, falling or muscle strain, and the guardian can handle it in time when an accident occurs.</v>
      </c>
      <c r="D804" s="6" t="s">
        <v>2354</v>
      </c>
      <c r="E804" s="4" t="str">
        <f ca="1">IFERROR(__xludf.DUMMYFUNCTION("GOOGLETRANSLATE(D804,""auto"",""en"")"),"A air conditioner auxiliary fitness control method, control device and air conditioner")</f>
        <v>A air conditioner auxiliary fitness control method, control device and air conditioner</v>
      </c>
    </row>
    <row r="805" spans="1:5" ht="15" x14ac:dyDescent="0.25">
      <c r="A805" s="5" t="s">
        <v>2355</v>
      </c>
      <c r="B805" s="6" t="s">
        <v>2356</v>
      </c>
      <c r="C805" s="3" t="str">
        <f ca="1">IFERROR(__xludf.DUMMYFUNCTION("GOOGLETRANSLATE(B805,""auto"",""en"")"),"Wearable technology has completely changed medical care by continuously monitoring human physiology. They are used to track the health of patients with daily activities, fitness and chronic diseases. Many R &amp; D work is trying to create novel and reliable "&amp;"wearable devices. This chapter discusses wearable technology for testing, abnormal heart sound, blood pressure monitoring, and diabetic foot monitoring gait analysis. This chapter will also study how to use these prototype signals to train machine learnin"&amp;"g (ML) algorithms to evaluate the status of the wearer. Check hardware design in this chapter (sensor selection, representation, signal collection and transmission to decision subsystems) and ML algorithm design (feature extraction, feature reduction, tra"&amp;"ining and testing). This chapter will show all stages required for wearable biomedical systems with smart insoles to build a wearable biomedical system for diabetes foot monitoring, real -time heart disease detection and intelligent digital hesicidic devi"&amp;"ce.")</f>
        <v>Wearable technology has completely changed medical care by continuously monitoring human physiology. They are used to track the health of patients with daily activities, fitness and chronic diseases. Many R &amp; D work is trying to create novel and reliable wearable devices. This chapter discusses wearable technology for testing, abnormal heart sound, blood pressure monitoring, and diabetic foot monitoring gait analysis. This chapter will also study how to use these prototype signals to train machine learning (ML) algorithms to evaluate the status of the wearer. Check hardware design in this chapter (sensor selection, representation, signal collection and transmission to decision subsystems) and ML algorithm design (feature extraction, feature reduction, training and testing). This chapter will show all stages required for wearable biomedical systems with smart insoles to build a wearable biomedical system for diabetes foot monitoring, real -time heart disease detection and intelligent digital hesicidic device.</v>
      </c>
      <c r="D805" s="6" t="s">
        <v>2357</v>
      </c>
      <c r="E805" s="4" t="str">
        <f ca="1">IFERROR(__xludf.DUMMYFUNCTION("GOOGLETRANSLATE(D805,""auto"",""en"")"),"Machine learning model based on data science, economic application for health monitoring through wearable devices")</f>
        <v>Machine learning model based on data science, economic application for health monitoring through wearable devices</v>
      </c>
    </row>
    <row r="806" spans="1:5" ht="15" x14ac:dyDescent="0.25">
      <c r="A806" s="5" t="s">
        <v>2358</v>
      </c>
      <c r="B806" s="6" t="s">
        <v>2359</v>
      </c>
      <c r="C806" s="3" t="str">
        <f ca="1">IFERROR(__xludf.DUMMYFUNCTION("GOOGLETRANSLATE(B806,""auto"",""en"")"),"The invention provides a stadium cable network structure intelligent construction management method and device. The method includes the digital module corresponding to the structure corresponding to the cable network, which includes the BIM module and the"&amp;" corresponding finite element module. According to the BIM module, the measurement point is determined, according to the safety risk of the construction process of the finite element module simulation cable network structure; the real -time sensor data wi"&amp;"th time series characteristics is obtained from the measurement point, and the real -time sensing data reflects many of the cable network structure construction process. Elements; use artificial intelligence to conduct in -depth investigation and predicti"&amp;"on of real -time sensing data to determine whether the construction security requirements of the cable network structure are met. The present invention is conducive to improving the safety of the construction of the cable network in the stadium, ensuring "&amp;"construction quality, effectively preventing construction accidents, reducing construction costs, and improving construction efficiency.")</f>
        <v>The invention provides a stadium cable network structure intelligent construction management method and device. The method includes the digital module corresponding to the structure corresponding to the cable network, which includes the BIM module and the corresponding finite element module. According to the BIM module, the measurement point is determined, according to the safety risk of the construction process of the finite element module simulation cable network structure; the real -time sensor data with time series characteristics is obtained from the measurement point, and the real -time sensing data reflects many of the cable network structure construction process. Elements; use artificial intelligence to conduct in -depth investigation and prediction of real -time sensing data to determine whether the construction security requirements of the cable network structure are met. The present invention is conducive to improving the safety of the construction of the cable network in the stadium, ensuring construction quality, effectively preventing construction accidents, reducing construction costs, and improving construction efficiency.</v>
      </c>
      <c r="D806" s="6" t="s">
        <v>2360</v>
      </c>
      <c r="E806" s="4" t="str">
        <f ca="1">IFERROR(__xludf.DUMMYFUNCTION("GOOGLETRANSLATE(D806,""auto"",""en"")"),"Intelligent construction management method and device of the stadium cable network structure")</f>
        <v>Intelligent construction management method and device of the stadium cable network structure</v>
      </c>
    </row>
    <row r="807" spans="1:5" ht="15" x14ac:dyDescent="0.25">
      <c r="A807" s="5" t="s">
        <v>2361</v>
      </c>
      <c r="B807" s="6" t="s">
        <v>2362</v>
      </c>
      <c r="C807" s="3" t="str">
        <f ca="1">IFERROR(__xludf.DUMMYFUNCTION("GOOGLETRANSLATE(B807,""auto"",""en"")"),"1. The name of the product in appearance: The display screen panel with an invoice collection management graphic user interface.
 2. The purpose of designing products in this exterior: used to display graphic user interface.
 3. Design of design produ"&amp;"cts in this appearance: lies in the graphic user interface in the screen.
 4. Pictures or photos that can best show design points: Figure 2 of the interface change state.
 5. There is no design point for other views, omitting other views.
 6. The pu"&amp;"rpose of graphical user interface: The interface is used for the use of user invoice collection, gifts, management and display.
 7. Human -computer interaction method of graphical user interface: The graphical user interface displayed by the main view i"&amp;"s to open the new feature guidance of the new feature guidance of the old user of the program; Change status figure 1; interface change state Figure 2: Click the interface change state Figure 1 Below the ""I know"" button to get the interface change state"&amp;" Figure 2; Interface changes status Figure 3; interface change state Figure 4: This interface is the first page interface change state diagram of the first page of this program for the first time (first used); Code ticket ""button to enter the interface c"&amp;"hange state Figure 5; interface change state Figure 6: In the interface change state Figure 5 State uses an external image collection equipment scan/shooting physical invoice to automatically enter the interface changes after recognition. Change Status 7:"&amp;" Click the interface change state Figure 6 The ""click to view details"" button in the central center to obtain the interface change state Figure 7; interface change state Figure 8: in the interface changes. Interface Change State Figure 9: Click the ""Sa"&amp;"ve to the Ticket Folder"" button at the bottom of the interface change state. Interface change state Figure 10; interface change state Figure 11: Click the interface change status Figure 10 The ""XXX mailbox"" button in the central center to enter the int"&amp;"erface change state. 11; Ticket ""button enters the interface change state Figure 12 (this interface is the first time the new user is used and the interface changes that have not been added by any mailbox address); ""Ordinary mailbox"" button enter the i"&amp;"nterface change state Figure 13; interface change status Figure 14: Click the interface change status Figure 13 The ""cannot bind the mailbox?"" Button enter the interface change state Figure 14; Figure 10 The ""I Circle"" graphic button on the right of t"&amp;"he smart mailbox on the right of the Intelligent Mailbox of Figure 10 Enter the interface change state. Figure 15; the interface change state Figure 16: in the interface change state Figure 15 to slide up in the central position to get the interface chang"&amp;"e state. 16; interface change changes; Status Figure 17: Click the ""Friends Voting"" button above the ""Friends Ticket"" button to enter the interface changes above the state 2; Change status Figure 18; interface change state figure 19: Click the interfa"&amp;"ce change state Figure 17 or 18 at the bottom of the ""Creating Like Ticket Mission"" button enters the interface change state. 19; After selecting the necessary information, click the ""Create Voting"" button at the bottom to enter the interface change s"&amp;"tate. 20; the interface change state Figure 21: Click the interface change state. 17 ""Middle"" white card at the arbitrarily enter the interface change state. ; Interface change status Figure 22: Click on the interface change state Figure 17 The ""End"" "&amp;"white card is at any position to enter the interface change state. 22; The button gets the interface change state after sending to a friend through any third -party chat dating software. Status Figure 24; Interface Change Status Figure 25: Click on the in"&amp;"terface change Status Figure 24 The ""Participation Mission"" button in the lower right corner to enter the interface changes. The ""Circle"" figure in front of the invoice and click the ""immediately participation"" button at the bottom to pop up the int"&amp;"erface change state. 26; Interface changes State Figure 28: This interface should be the interface change status. 27 The interface change state diagram of the failure of the failure (that is, the inviter's ticket task has expired); The ""catering"" card b"&amp;"utton under the label pops up the interface change state Figure 29; the interface change state Figure 30: click the interface change state Figure 29 The ""reimbursement"" light green card button under the label on the 12th on the 12th on the interface cha"&amp;"nges in the interface. Status Figure 31: Click on the interface change Status Figure 29 The orange card button under the label above the 12th on the 12th on the interface changes state Figure 31; interface change state Figure 32: In the interface change s"&amp;"tate The ""Reimbursement"" button in the lower right corner of the ""Reimbursement"" button enters the interface changes in the lower right corner. : In the interface change state Figure 29 Checks any ""circle"" figure in front of multiple invoices and cl"&amp;"ick the ""Move to"" button in the lower left corner to pop up the interface change state. 34; Gray ""X"" round graphic button in the upper left corner to enter the interface change state Figure 35; interface change state Figure 36: Click the interface cha"&amp;"nge status Figure 35 to enter the interface change state of the interface. Interface Change Status Figure 36 The bottom ""Add Book"" button to enter the interface change state Figure 37; interface change state Figure 38: In the interface change state Figu"&amp;"re 37 Fill in/select the necessary information after selecting the at the bottom ""immediately add"" button to enter the interface to enter the interface Change status Figure 38; interface change state Figure 39: Click the interface change state Figure 35"&amp;" The ""Opinion Feedback"" button to enter the interface change state Figure 39; interface change state Figure 40: click the ""feedback records"" button below 39 button 39 Enter the interface change state Figure 40; interface change state Figure 41: Click "&amp;"the ""feedback record"" card above the interface change status diagram Enter the interface change status. 41; Guide ticket ""button enter the interface change state Figure 42.
 8. The display screen panel of the product can be applied to computers, lapt"&amp;"ops, tablet computers, head -up display (HUD), multimedia projector, smartphone, smart robot, smart glasses, virtual reality glasses, augmented reality glasses, hybrid reality Glasses, smart watches, fitness monitors, headset headphones, driving recorders"&amp;", vehicle navigation equipment, vehicle CNC computer, automobile smart rearview mirror, smart speaker, smart TV, set -top box, game handheld, game console.
 9. The gray ""X"" coating in the graphic user interface of the product of the product is the con"&amp;"tent picture. The interface requests the appearance design content.")</f>
        <v>1. The name of the product in appearance: The display screen panel with an invoice collection management graphic user interface.
 2. The purpose of designing products in this exterior: used to display graphic user interface.
 3. Design of design products in this appearance: lies in the graphic user interface in the screen.
 4. Pictures or photos that can best show design points: Figure 2 of the interface change state.
 5. There is no design point for other views, omitting other views.
 6. The purpose of graphical user interface: The interface is used for the use of user invoice collection, gifts, management and display.
 7. Human -computer interaction method of graphical user interface: The graphical user interface displayed by the main view is to open the new feature guidance of the new feature guidance of the old user of the program; Change status figure 1; interface change state Figure 2: Click the interface change state Figure 1 Below the "I know" button to get the interface change state Figure 2; Interface changes status Figure 3; interface change state Figure 4: This interface is the first page interface change state diagram of the first page of this program for the first time (first used); Code ticket "button to enter the interface change state Figure 5; interface change state Figure 6: In the interface change state Figure 5 State uses an external image collection equipment scan/shooting physical invoice to automatically enter the interface changes after recognition. Change Status 7: Click the interface change state Figure 6 The "click to view details" button in the central center to obtain the interface change state Figure 7; interface change state Figure 8: in the interface changes. Interface Change State Figure 9: Click the "Save to the Ticket Folder" button at the bottom of the interface change state. Interface change state Figure 10; interface change state Figure 11: Click the interface change status Figure 10 The "XXX mailbox" button in the central center to enter the interface change state. 11; Ticket "button enters the interface change state Figure 12 (this interface is the first time the new user is used and the interface changes that have not been added by any mailbox address); "Ordinary mailbox" button enter the interface change state Figure 13; interface change status Figure 14: Click the interface change status Figure 13 The "cannot bind the mailbox?" Button enter the interface change state Figure 14; Figure 10 The "I Circle" graphic button on the right of the smart mailbox on the right of the Intelligent Mailbox of Figure 10 Enter the interface change state. Figure 15; the interface change state Figure 16: in the interface change state Figure 15 to slide up in the central position to get the interface change state. 16; interface change changes; Status Figure 17: Click the "Friends Voting" button above the "Friends Ticket" button to enter the interface changes above the state 2; Change status Figure 18; interface change state figure 19: Click the interface change state Figure 17 or 18 at the bottom of the "Creating Like Ticket Mission" button enters the interface change state. 19; After selecting the necessary information, click the "Create Voting" button at the bottom to enter the interface change state. 20; the interface change state Figure 21: Click the interface change state. 17 "Middle" white card at the arbitrarily enter the interface change state. ; Interface change status Figure 22: Click on the interface change state Figure 17 The "End" white card is at any position to enter the interface change state. 22; The button gets the interface change state after sending to a friend through any third -party chat dating software. Status Figure 24; Interface Change Status Figure 25: Click on the interface change Status Figure 24 The "Participation Mission" button in the lower right corner to enter the interface changes. The "Circle" figure in front of the invoice and click the "immediately participation" button at the bottom to pop up the interface change state. 26; Interface changes State Figure 28: This interface should be the interface change status. 27 The interface change state diagram of the failure of the failure (that is, the inviter's ticket task has expired); The "catering" card button under the label pops up the interface change state Figure 29; the interface change state Figure 30: click the interface change state Figure 29 The "reimbursement" light green card button under the label on the 12th on the 12th on the interface changes in the interface. Status Figure 31: Click on the interface change Status Figure 29 The orange card button under the label above the 12th on the 12th on the interface changes state Figure 31; interface change state Figure 32: In the interface change state The "Reimbursement" button in the lower right corner of the "Reimbursement" button enters the interface changes in the lower right corner. : In the interface change state Figure 29 Checks any "circle" figure in front of multiple invoices and click the "Move to" button in the lower left corner to pop up the interface change state. 34; Gray "X" round graphic button in the upper left corner to enter the interface change state Figure 35; interface change state Figure 36: Click the interface change status Figure 35 to enter the interface change state of the interface. Interface Change Status Figure 36 The bottom "Add Book" button to enter the interface change state Figure 37; interface change state Figure 38: In the interface change state Figure 37 Fill in/select the necessary information after selecting the at the bottom "immediately add" button to enter the interface to enter the interface Change status Figure 38; interface change state Figure 39: Click the interface change state Figure 35 The "Opinion Feedback" button to enter the interface change state Figure 39; interface change state Figure 40: click the "feedback records" button below 39 button 39 Enter the interface change state Figure 40; interface change state Figure 41: Click the "feedback record" card above the interface change status diagram Enter the interface change status. 41; Guide ticket "button enter the interface change state Figure 42.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 The interface requests the appearance design content.</v>
      </c>
      <c r="D807" s="6" t="s">
        <v>2363</v>
      </c>
      <c r="E807" s="4" t="str">
        <f ca="1">IFERROR(__xludf.DUMMYFUNCTION("GOOGLETRANSLATE(D807,""auto"",""en"")"),"Display screen panel with invoices collecting management graphics user interface")</f>
        <v>Display screen panel with invoices collecting management graphics user interface</v>
      </c>
    </row>
    <row r="808" spans="1:5" ht="15" x14ac:dyDescent="0.25">
      <c r="A808" s="5" t="s">
        <v>2364</v>
      </c>
      <c r="B808" s="6" t="s">
        <v>2365</v>
      </c>
      <c r="C808" s="3" t="str">
        <f ca="1">IFERROR(__xludf.DUMMYFUNCTION("GOOGLETRANSLATE(B808,""auto"",""en"")"),"The system and methods used to provide users with exercise and/or physical therapeutic routines, which can be optionally determined by applying one or more artificial intelligence or machine learning algorithms based on user physiological and/or emotional"&amp;" characteristics. The systems, methods, and equipment described in this article are configured to provide guidance and training. Similar to how coaches or physical therapists pass, diagnose, and guide a person through specific programming, but do not have"&amp;" the cost or inconvenience caused by traditional means.")</f>
        <v>The system and methods used to provide users with exercise and/or physical therapeutic routines, which can be optionally determined by applying one or more artificial intelligence or machine learning algorithms based on user physiological and/or emotional characteristics. The systems, methods, and equipment described in this article are configured to provide guidance and training. Similar to how coaches or physical therapists pass, diagnose, and guide a person through specific programming, but do not have the cost or inconvenience caused by traditional means.</v>
      </c>
      <c r="D808" s="6" t="s">
        <v>2366</v>
      </c>
      <c r="E808" s="4" t="str">
        <f ca="1">IFERROR(__xludf.DUMMYFUNCTION("GOOGLETRANSLATE(D808,""auto"",""en"")"),"Recommended use of machine learning generation")</f>
        <v>Recommended use of machine learning generation</v>
      </c>
    </row>
    <row r="809" spans="1:5" ht="15" x14ac:dyDescent="0.25">
      <c r="A809" s="5" t="s">
        <v>2367</v>
      </c>
      <c r="B809" s="6" t="s">
        <v>2368</v>
      </c>
      <c r="C809" s="3" t="str">
        <f ca="1">IFERROR(__xludf.DUMMYFUNCTION("GOOGLETRANSLATE(B809,""auto"",""en"")"),"One method, including: the impact between the indicator of the indicator and the tennis network has occurred; the button on one of the mobile phones and tablets is pressed to enable the LET detection function. The indication steps are performed only when "&amp;"the detection function is activated. Actively control the offensive clock to help force the time limit for players to perform the players at all stages of the tennis game without pressing the physical or digital button on the mobile phone or tablet. The s"&amp;"teps to actively control the offensive clock include at least one in the use of voice recognition, using voice activation, using facial posture or using gestures. Figure 9 for publication")</f>
        <v>One method, including: the impact between the indicator of the indicator and the tennis network has occurred; the button on one of the mobile phones and tablets is pressed to enable the LET detection function. The indication steps are performed only when the detection function is activated. Actively control the offensive clock to help force the time limit for players to perform the players at all stages of the tennis game without pressing the physical or digital button on the mobile phone or tablet. The steps to actively control the offensive clock include at least one in the use of voice recognition, using voice activation, using facial posture or using gestures. Figure 9 for publication</v>
      </c>
      <c r="D809" s="6" t="s">
        <v>2369</v>
      </c>
      <c r="E809" s="4" t="str">
        <f ca="1">IFERROR(__xludf.DUMMYFUNCTION("GOOGLETRANSLATE(D809,""auto"",""en"")"),"Tennis serving detection system with time -controlled control")</f>
        <v>Tennis serving detection system with time -controlled control</v>
      </c>
    </row>
    <row r="810" spans="1:5" ht="15" x14ac:dyDescent="0.25">
      <c r="A810" s="5" t="s">
        <v>2370</v>
      </c>
      <c r="B810" s="6" t="s">
        <v>2371</v>
      </c>
      <c r="C810" s="3" t="str">
        <f ca="1">IFERROR(__xludf.DUMMYFUNCTION("GOOGLETRANSLATE(B810,""auto"",""en"")"),"The present invention involves a badminton action record method based on computer analysis, including the following steps: S1, establish a standard database through the standard action of badminton players, and establish auxiliary database through common "&amp;"error action of badminton players; The camera collects 5 -angle badminton player images, and converts the badminton player image into 5 groups of image sequences by testing the database; S3, compares the five groups of picture sequences with the standard "&amp;"database and auxiliary database through the MobileNet convolution neural network, and obtain the matching results ; S4. The matching results are analyzed through the MobileNet convolutional neural network to obtain the results of the action analysis.")</f>
        <v>The present invention involves a badminton action record method based on computer analysis, including the following steps: S1, establish a standard database through the standard action of badminton players, and establish auxiliary database through common error action of badminton players; The camera collects 5 -angle badminton player images, and converts the badminton player image into 5 groups of image sequences by testing the database; S3, compares the five groups of picture sequences with the standard database and auxiliary database through the MobileNet convolution neural network, and obtain the matching results ; S4. The matching results are analyzed through the MobileNet convolutional neural network to obtain the results of the action analysis.</v>
      </c>
      <c r="D810" s="6" t="s">
        <v>2372</v>
      </c>
      <c r="E810" s="4" t="str">
        <f ca="1">IFERROR(__xludf.DUMMYFUNCTION("GOOGLETRANSLATE(D810,""auto"",""en"")"),"Badminton action recording method based on computer analysis")</f>
        <v>Badminton action recording method based on computer analysis</v>
      </c>
    </row>
    <row r="811" spans="1:5" ht="15" x14ac:dyDescent="0.25">
      <c r="A811" s="5" t="s">
        <v>2373</v>
      </c>
      <c r="B811" s="6" t="s">
        <v>2374</v>
      </c>
      <c r="C811" s="3" t="str">
        <f ca="1">IFERROR(__xludf.DUMMYFUNCTION("GOOGLETRANSLATE(B811,""auto"",""en"")"),"Examples of this application disclose a method and related devices based on pet nasal lines. The method includes the following steps: based on the user's query request, obtain the first nose image and the first number of the pet to check; find the corresp"&amp;"onding second nose image in the preset database; One nose image compares the second nose image. If the judgment is the nose of the same pet, the inquiry request for voice recognition or text recognition will be obtained. To the content of the inquiry, det"&amp;"ermine the inquiry results in the corresponding game information corresponding to the second nose image, and send the query results to users. Adopting this application to avoid checking the information of the wrong pet competition, which improves the effi"&amp;"ciency of querying the information of pet competition.")</f>
        <v>Examples of this application disclose a method and related devices based on pet nasal lines. The method includes the following steps: based on the user's query request, obtain the first nose image and the first number of the pet to check; find the corresponding second nose image in the preset database; One nose image compares the second nose image. If the judgment is the nose of the same pet, the inquiry request for voice recognition or text recognition will be obtained. To the content of the inquiry, determine the inquiry results in the corresponding game information corresponding to the second nose image, and send the query results to users. Adopting this application to avoid checking the information of the wrong pet competition, which improves the efficiency of querying the information of pet competition.</v>
      </c>
      <c r="D811" s="6" t="s">
        <v>2375</v>
      </c>
      <c r="E811" s="4" t="str">
        <f ca="1">IFERROR(__xludf.DUMMYFUNCTION("GOOGLETRANSLATE(D811,""auto"",""en"")"),"Methods and related devices based on pet nasal lines and related devices")</f>
        <v>Methods and related devices based on pet nasal lines and related devices</v>
      </c>
    </row>
    <row r="812" spans="1:5" ht="15" x14ac:dyDescent="0.25">
      <c r="A812" s="5" t="s">
        <v>2376</v>
      </c>
      <c r="B812" s="6" t="s">
        <v>2377</v>
      </c>
      <c r="C812" s="3" t="str">
        <f ca="1">IFERROR(__xludf.DUMMYFUNCTION("GOOGLETRANSLATE(B812,""auto"",""en"")"),"Methods and computer systems by changing the basic deep neural network in the structure to create updated deep neural networks to improve the basic deep neural network of training, so that the updated deep neural network has no performance reduction in tr"&amp;"aining data relative to the basic deep neural network. Update. Update. The subsequent deep neural network was subsequently trained. In addition, asynchronous agents for machine learning systems include the second machine learning system ML2, which will be"&amp;" trained to perform some machine learning tasks. The asynchronous agent also includes learning coach LC and optional data selectioner machine learning system DS. The purpose of the data selection machine learning system DS is to make the learning efficien"&amp;"cy of the second stage machine learning system ML2 (by selecting a set of small but sufficient training data) and/or more effective Training data for tasks). Learning coach LC is a machine learning system that assisted DS and ML2. Multiple asynchronous ag"&amp;"ents can also communicate with each other. Each agent is under the guidance of their respective coaches asynchronous training and growth to perform different tasks.")</f>
        <v>Methods and computer systems by changing the basic deep neural network in the structure to create updated deep neural networks to improve the basic deep neural network of training, so that the updated deep neural network has no performance reduction in training data relative to the basic deep neural network. Update. Update. The subsequent deep neural network was subsequently trained. In addition, asynchronous agents for machine learning systems include the second machine learning system ML2, which will be trained to perform some machine learning tasks. The asynchronous agent also includes learning coach LC and optional data selectioner machine learning system DS. The purpose of the data selection machine learning system DS is to make the learning efficiency of the second stage machine learning system ML2 (by selecting a set of small but sufficient training data) and/or more effective Training data for tasks). Learning coach LC is a machine learning system that assisted DS and ML2. Multiple asynchronous agents can also communicate with each other. Each agent is under the guidance of their respective coaches asynchronous training and growth to perform different tasks.</v>
      </c>
      <c r="D812" s="6" t="s">
        <v>2378</v>
      </c>
      <c r="E812" s="4" t="str">
        <f ca="1">IFERROR(__xludf.DUMMYFUNCTION("GOOGLETRANSLATE(D812,""auto"",""en"")"),"The asynchronous agent of learning coaches and the structural modification of the deep neural network without lowering performance")</f>
        <v>The asynchronous agent of learning coaches and the structural modification of the deep neural network without lowering performance</v>
      </c>
    </row>
    <row r="813" spans="1:5" ht="15" x14ac:dyDescent="0.25">
      <c r="A813" s="5" t="s">
        <v>2379</v>
      </c>
      <c r="B813" s="6" t="s">
        <v>2380</v>
      </c>
      <c r="C813" s="3" t="str">
        <f ca="1">IFERROR(__xludf.DUMMYFUNCTION("GOOGLETRANSLATE(B813,""auto"",""en"")"),"The present invention disclosed a method and device for athlete detection based on eye movement signal correction. The method includes: 1) The coach wears the eye movement instrument to observe the training video to resume. Coaches conduct computer visual"&amp;" analysis and processing of training videos; 2) Initialized analysis of training videos after visual analysis and processing with deep convolutional neural networks to achieve multi -player testing and determine whether Bounding Box is completely selected"&amp;" in the training video selection. Players you are concerned; if no, execute steps 3); 3) collect eye movements through the eye movement instrument, obtain eye movement mask matrix, and then optimize the CNN network loss function; The player re -test, use "&amp;"the new Bounding Box box to select the player, and use the results of the player test results in subsequent attitude analysis. The device includes: processor and memory.")</f>
        <v>The present invention disclosed a method and device for athlete detection based on eye movement signal correction. The method includes: 1) The coach wears the eye movement instrument to observe the training video to resume. Coaches conduct computer visual analysis and processing of training videos; 2) Initialized analysis of training videos after visual analysis and processing with deep convolutional neural networks to achieve multi -player testing and determine whether Bounding Box is completely selected in the training video selection. Players you are concerned; if no, execute steps 3); 3) collect eye movements through the eye movement instrument, obtain eye movement mask matrix, and then optimize the CNN network loss function; The player re -test, use the new Bounding Box box to select the player, and use the results of the player test results in subsequent attitude analysis. The device includes: processor and memory.</v>
      </c>
      <c r="D813" s="6" t="s">
        <v>2381</v>
      </c>
      <c r="E813" s="4" t="str">
        <f ca="1">IFERROR(__xludf.DUMMYFUNCTION("GOOGLETRANSLATE(D813,""auto"",""en"")"),"Video based on eye movement signal correction method and device for athlete detection")</f>
        <v>Video based on eye movement signal correction method and device for athlete detection</v>
      </c>
    </row>
    <row r="814" spans="1:5" ht="15" x14ac:dyDescent="0.25">
      <c r="A814" s="5" t="s">
        <v>2382</v>
      </c>
      <c r="B814" s="6" t="s">
        <v>2383</v>
      </c>
      <c r="C814" s="3" t="str">
        <f ca="1">IFERROR(__xludf.DUMMYFUNCTION("GOOGLETRANSLATE(B814,""auto"",""en"")"),"This utility model involves an Internet of Things -based physical health testing device. It belongs to the technical field of physical health testing device, including load -bearing bottom plates. The bottom of the load -bearing bottom plate is rotated by"&amp;" a universal wheel near the edges of the quadrice. In this practical new type, the heart rate detection hand ring is worn on the tester's wrist and can be started by detecting the host to control the servo motor. , Height, weight control the rotation spee"&amp;"d of the servo motor to control the runner's running speed. The detection host can detect the real -time heart rate during running in real time through the heart rate, and compare the changes in the real -time heart rate with the changes in healthy people"&amp;" of the same age. The health state of the tester can be judged, so that the Internet of Things is determined according to the actual situation, so as to adjust the dynamic physical health test device of the detection speed to accurately detect people's ph"&amp;"ysical state.")</f>
        <v>This utility model involves an Internet of Things -based physical health testing device. It belongs to the technical field of physical health testing device, including load -bearing bottom plates. The bottom of the load -bearing bottom plate is rotated by a universal wheel near the edges of the quadrice. In this practical new type, the heart rate detection hand ring is worn on the tester's wrist and can be started by detecting the host to control the servo motor. , Height, weight control the rotation speed of the servo motor to control the runner's running speed. The detection host can detect the real -time heart rate during running in real time through the heart rate, and compare the changes in the real -time heart rate with the changes in healthy people of the same age. The health state of the tester can be judged, so that the Internet of Things is determined according to the actual situation, so as to adjust the dynamic physical health test device of the detection speed to accurately detect people's physical state.</v>
      </c>
      <c r="D814" s="6" t="s">
        <v>2384</v>
      </c>
      <c r="E814" s="4" t="str">
        <f ca="1">IFERROR(__xludf.DUMMYFUNCTION("GOOGLETRANSLATE(D814,""auto"",""en"")"),"A physical health test device based on the Internet of Things")</f>
        <v>A physical health test device based on the Internet of Things</v>
      </c>
    </row>
    <row r="815" spans="1:5" ht="15" x14ac:dyDescent="0.25">
      <c r="A815" s="5" t="s">
        <v>2385</v>
      </c>
      <c r="B815" s="6" t="s">
        <v>2386</v>
      </c>
      <c r="C815" s="3" t="str">
        <f ca="1">IFERROR(__xludf.DUMMYFUNCTION("GOOGLETRANSLATE(B815,""auto"",""en"")"),"1. The name of the product of the design of the product: Put the graphic user interface for the voice records used to display the screen panel.
 2. The purpose of designing products in this exterior: The design of the product in this exterior is used fo"&amp;"r running programs, displaying information and human -computer interaction.
 3. Design of design products in this exterior: lies in patterns.
 4. Pictures or photos that can best show design: Design 1 main view.
 5. The screen panel is commonly desi"&amp;"gned, omitting design 1 to design 7 post -view views, upside -down views, pult, left view and right view.
 6. Specify design 1 is the basic design.
 7. The purpose of the graphical user interface: This graphic user interface is used to display the rec"&amp;"ording and playback of audio information.
 In the design 1 main view, when the voice starts to recording, the initial emotional expression is displayed; as the voice recording time is prolonged, the design 1 interface changes state diagram at the end of"&amp;" the recording, the emotional expression changes, the voice strip is extended accordingly, click "" Complete the ""button to post this voice.
 In the design 2 main view, the published voice strips, including the emotional expressions and voice seconds o"&amp;"f the voice strips.
 For the design 3 main view, the voice information will be played after clicking the strip, which is displayed as the design 3 main view. The emotional expression can be displayed with the emotional emotion during the playback proces"&amp;"s. Restore the original length.
 For design 4 main views, press and hold the phonetic strip drag, the sight in the emotional expression in the voice strip will move with the user's fingers, and the position of the user's finger will be displayed. pictur"&amp;"e.
 For the main view of design 5 to design 7, according to the content of the voice, the voice strip will display additional information. For example, when there is a singing in the recognition of the voice, it is displayed as the style of the design 5"&amp;" main view; To design the style of the 6 main view; when identifying the voice on Christmas, it is displayed as the style of the design of the 7 main view; in the design of the 8 main view, display the published voice strips, click the voice bar, display "&amp;"the design 8 interface changes status diagram During the playback process, the emotional expression can be displayed with the emotion of the voice. The length of the voice stripe gradually becomes shorter, and the original length is restored after the pla"&amp;"yback.
 8. The display screen panel is used for mobile phones, laptops, tablets, computers, computers, vehicle central control screens, smart TVs, smart bracelets, smart glasses, smart watches, personal digital assistants, fitness monitor, projector.")</f>
        <v>1. The name of the product of the design of the product: Put the graphic user interface for the voice records used to display the screen panel.
 2. The purpose of designing products in this exterior: The design of the product in this exterior is used for running programs, displaying information and human -computer interaction.
 3. Design of design products in this exterior: lies in patterns.
 4. Pictures or photos that can best show design: Design 1 main view.
 5. The screen panel is commonly designed, omitting design 1 to design 7 post -view views, upside -down views, pult, left view and right view.
 6. Specify design 1 is the basic design.
 7. The purpose of the graphical user interface: This graphic user interface is used to display the recording and playback of audio information.
 In the design 1 main view, when the voice starts to recording, the initial emotional expression is displayed; as the voice recording time is prolonged, the design 1 interface changes state diagram at the end of the recording, the emotional expression changes, the voice strip is extended accordingly, click " Complete the "button to post this voice.
 In the design 2 main view, the published voice strips, including the emotional expressions and voice seconds of the voice strips.
 For the design 3 main view, the voice information will be played after clicking the strip, which is displayed as the design 3 main view. The emotional expression can be displayed with the emotional emotion during the playback process. Restore the original length.
 For design 4 main views, press and hold the phonetic strip drag, the sight in the emotional expression in the voice strip will move with the user's fingers, and the position of the user's finger will be displayed. picture.
 For the main view of design 5 to design 7, according to the content of the voice, the voice strip will display additional information. For example, when there is a singing in the recognition of the voice, it is displayed as the style of the design 5 main view; To design the style of the 6 main view; when identifying the voice on Christmas, it is displayed as the style of the design of the 7 main view; in the design of the 8 main view, display the published voice strips, click the voice bar, display the design 8 interface changes status diagram During the playback process, the emotional expression can be displayed with the emotion of the voice. The length of the voice stripe gradually becomes shorter, and the original length is restored after the playback.
 8. The display screen panel is used for mobile phones, laptops, tablets, computers, computers, vehicle central control screens, smart TVs, smart bracelets, smart glasses, smart watches, personal digital assistants, fitness monitor, projector.</v>
      </c>
      <c r="D815" s="6" t="s">
        <v>2387</v>
      </c>
      <c r="E815" s="4" t="str">
        <f ca="1">IFERROR(__xludf.DUMMYFUNCTION("GOOGLETRANSLATE(D815,""auto"",""en"")"),"Used for the graphic user interface for the voice record of the screen panel")</f>
        <v>Used for the graphic user interface for the voice record of the screen panel</v>
      </c>
    </row>
    <row r="816" spans="1:5" ht="15" x14ac:dyDescent="0.25">
      <c r="A816" s="5" t="s">
        <v>2388</v>
      </c>
      <c r="B816" s="6" t="s">
        <v>2389</v>
      </c>
      <c r="C816" s="3" t="str">
        <f ca="1">IFERROR(__xludf.DUMMYFUNCTION("GOOGLETRANSLATE(B816,""auto"",""en"")"),"The present invention involves the field of fitness technology, which specifically provides a method and system of training information collection based on human -computer interaction. At least three sound wave launch units and a sound wave receiving unit"&amp;" are used. Among them, the sound wave receiving unit is located on the wearable device. The method includes the following steps: the sound wave sending unit sends the sound wave to the sound wave receiving unit, and at the same time send the clock informa"&amp;"tion when the sound wave is sent; The location information of the clock information generation of the clock information during the receiving of the sound waves; the location information of the location of the device during the training time generates the "&amp;"user training action information; It has the advantages of high collection accuracy and high trajectory restoration.")</f>
        <v>The present invention involves the field of fitness technology, which specifically provides a method and system of training information collection based on human -computer interaction. At least three sound wave launch units and a sound wave receiving unit are used. Among them, the sound wave receiving unit is located on the wearable device. The method includes the following steps: the sound wave sending unit sends the sound wave to the sound wave receiving unit, and at the same time send the clock information when the sound wave is sent; The location information of the clock information generation of the clock information during the receiving of the sound waves; the location information of the location of the device during the training time generates the user training action information; It has the advantages of high collection accuracy and high trajectory restoration.</v>
      </c>
      <c r="D816" s="6" t="s">
        <v>2390</v>
      </c>
      <c r="E816" s="4" t="str">
        <f ca="1">IFERROR(__xludf.DUMMYFUNCTION("GOOGLETRANSLATE(D816,""auto"",""en"")"),"A method and system of training information collection based on human -computer interaction")</f>
        <v>A method and system of training information collection based on human -computer interaction</v>
      </c>
    </row>
    <row r="817" spans="1:5" ht="15" x14ac:dyDescent="0.25">
      <c r="A817" s="5" t="s">
        <v>2391</v>
      </c>
      <c r="B817" s="6" t="s">
        <v>2392</v>
      </c>
      <c r="C817" s="3" t="str">
        <f ca="1">IFERROR(__xludf.DUMMYFUNCTION("GOOGLETRANSLATE(B817,""auto"",""en"")"),"The invention will be applied based on the Internet of Things (IoT) in the field of transportation, providing traffic information to vehicles located in general roads or highways, providing traffic information in a smooth communication when congestion occ"&amp;"urs. A traffic monitoring system based on the Internet of Things and its usage method to guide the empty parking space to vehicles located in public parking lots such as major institutions, large shopping malls, event venues, and sports facilities. Togeth"&amp;"er with traffic monitoring facilities, road information display equipment and transportation including general roads and highway driving areas (A), identify and provide a response to providing a response to dangerous substances such as bombs installed in "&amp;"scheduled parking vehicles. At least one of the installation signal flag, street lights, and traffic signal lights; driving vehicles (AV) driving in the driver's area (A); driver terminal 100, owned by the driver (AV) of the driver's vehicle (AV), and equ"&amp;"ipped To inform the vehicle's driving guidance application whether the vehicle is congested during driving; public parking lot (B), including institutions, large shopping centers, activity halls and sports facilities; ; Installed all traffic monitoring fa"&amp;"cilities, road information display devices, traffic signal lights, street lights and traffic signal lights set in the driving area (A), detect driving vehicles, generate vehicle motion information, generate vehicle mobile information and driving vehicle m"&amp;"onitoring and monitoring of vehicle monitoring Physical 200 transmission; based on the vehicle mobile information sent from 200 vehicle monitoring main body, determine whether there is a traffic monitoring server of traffic information with the traffic in"&amp;"formation determined by the transmission instructions, and the driving of the driver's terminal (including 100) The characteristic of the guidance application is that it provides a system that controls the system and uses the system to output the system a"&amp;"nd use the system by the driver's side information output unit 300.")</f>
        <v>The invention will be applied based on the Internet of Things (IoT) in the field of transportation, providing traffic information to vehicles located in general roads or highways, providing traffic information in a smooth communication when congestion occurs. A traffic monitoring system based on the Internet of Things and its usage method to guide the empty parking space to vehicles located in public parking lots such as major institutions, large shopping malls, event venues, and sports facilities. Together with traffic monitoring facilities, road information display equipment and transportation including general roads and highway driving areas (A), identify and provide a response to providing a response to dangerous substances such as bombs installed in scheduled parking vehicles. At least one of the installation signal flag, street lights, and traffic signal lights; driving vehicles (AV) driving in the driver's area (A); driver terminal 100, owned by the driver (AV) of the driver's vehicle (AV), and equipped To inform the vehicle's driving guidance application whether the vehicle is congested during driving; public parking lot (B), including institutions, large shopping centers, activity halls and sports facilities; ; Installed all traffic monitoring facilities, road information display devices, traffic signal lights, street lights and traffic signal lights set in the driving area (A), detect driving vehicles, generate vehicle motion information, generate vehicle mobile information and driving vehicle monitoring and monitoring of vehicle monitoring Physical 200 transmission; based on the vehicle mobile information sent from 200 vehicle monitoring main body, determine whether there is a traffic monitoring server of traffic information with the traffic information determined by the transmission instructions, and the driving of the driver's terminal (including 100) The characteristic of the guidance application is that it provides a system that controls the system and uses the system to output the system and use the system by the driver's side information output unit 300.</v>
      </c>
      <c r="D817" s="6" t="s">
        <v>2393</v>
      </c>
      <c r="E817" s="4" t="str">
        <f ca="1">IFERROR(__xludf.DUMMYFUNCTION("GOOGLETRANSLATE(D817,""auto"",""en"")"),"Traffic monitoring system based on the Internet of Things and the method of using this system")</f>
        <v>Traffic monitoring system based on the Internet of Things and the method of using this system</v>
      </c>
    </row>
    <row r="818" spans="1:5" ht="15" x14ac:dyDescent="0.25">
      <c r="A818" s="5" t="s">
        <v>2394</v>
      </c>
      <c r="B818" s="6" t="s">
        <v>2395</v>
      </c>
      <c r="C818" s="3" t="str">
        <f ca="1">IFERROR(__xludf.DUMMYFUNCTION("GOOGLETRANSLATE(B818,""auto"",""en"")"),"The present invention disclosed a statistical analysis method and system of advertising on the broadcast rights and interests of sports events. Based on image recognition, the problem of huge manual statistical workload and high time cost is to shorten th"&amp;"e time that needed to end over one week after the end of the event. The statistical results can be obtained within 3 hours, so that the TV station can adjust the position and broadcast strategy adjustment of the statistical results of the equity advertise"&amp;"ment based on the previous broadcast to optimize the display effect of equity advertising.")</f>
        <v>The present invention disclosed a statistical analysis method and system of advertising on the broadcast rights and interests of sports events. Based on image recognition, the problem of huge manual statistical workload and high time cost is to shorten the time that needed to end over one week after the end of the event. The statistical results can be obtained within 3 hours, so that the TV station can adjust the position and broadcast strategy adjustment of the statistical results of the equity advertisement based on the previous broadcast to optimize the display effect of equity advertising.</v>
      </c>
      <c r="D818" s="6" t="s">
        <v>2396</v>
      </c>
      <c r="E818" s="4" t="str">
        <f ca="1">IFERROR(__xludf.DUMMYFUNCTION("GOOGLETRANSLATE(D818,""auto"",""en"")"),"A statistical analysis method and system of advertising for broadcast equity of sports events")</f>
        <v>A statistical analysis method and system of advertising for broadcast equity of sports events</v>
      </c>
    </row>
    <row r="819" spans="1:5" ht="15" x14ac:dyDescent="0.25">
      <c r="A819" s="5" t="s">
        <v>2397</v>
      </c>
      <c r="B819" s="6" t="s">
        <v>2398</v>
      </c>
      <c r="C819" s="3" t="str">
        <f ca="1">IFERROR(__xludf.DUMMYFUNCTION("GOOGLETRANSLATE(B819,""auto"",""en"")"),"1. The name of the product of the design of the product: the display screen panel with the research system to manage the graphic user interface.
 2. The purpose of designing products in this exterior: used to display graphic user interface.
 3. Design"&amp;" of design products in this appearance: lies in the graphic user interface in the screen.
 4. Pictures or photos that can most indicate design points: main view.
 5. There is no design point for other views, omitting other views.
 6. The purpose of "&amp;"the graphical user interface: The interface is used for questionnaires to investigate and create, exams, view and manage the purpose of questionnaires.
 7. Human -computer interaction method of graphical user interface: The graphic user interface displa"&amp;"yed by the main view is to open the start interface of the program; click the ""Click to enter"" button to enter the interface changes in the interface change state of the main view of the main view. The main view of the ""Exam"" button in front of the """&amp;"Online Exam"" label enters the interface change state Figure 2.
 8. The display screen panel of the product can be applied to computers, laptops, tablet computers, head -up display (HUD), multimedia projector, smartphone, smart robot, smart glasses, vir"&amp;"tual reality glasses, augmented reality glasses, hybrid reality Glasses, smart watches, fitness monitors, headset headphones, driving recorders, vehicle navigation equipment, vehicle CNC computer, automobile smart rearview mirror, smart speaker, smart TV,"&amp;" set -top box, game handheld, game console.
 9. The dark gray coating part of the graphic user interface of the product of the product belongs to the content screen.")</f>
        <v>1. The name of the product of the design of the product: the display screen panel with the research system to manage the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questionnaires to investigate and create, exams, view and manage the purpose of questionnaires.
 7. Human -computer interaction method of graphical user interface: The graphic user interface displayed by the main view is to open the start interface of the program; click the "Click to enter" button to enter the interface changes in the interface change state of the main view of the main view. The main view of the "Exam" button in front of the "Online Exam" label enters the interface change state Figure 2.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dark gray coating part of the graphic user interface of the product of the product belongs to the content screen.</v>
      </c>
      <c r="D819" s="6" t="s">
        <v>2399</v>
      </c>
      <c r="E819" s="4" t="str">
        <f ca="1">IFERROR(__xludf.DUMMYFUNCTION("GOOGLETRANSLATE(D819,""auto"",""en"")"),"Bring the display screen panel with the research system to manage the graphical user interface")</f>
        <v>Bring the display screen panel with the research system to manage the graphical user interface</v>
      </c>
    </row>
    <row r="820" spans="1:5" ht="15" x14ac:dyDescent="0.25">
      <c r="A820" s="5" t="s">
        <v>2400</v>
      </c>
      <c r="B820" s="6" t="s">
        <v>2401</v>
      </c>
      <c r="C820" s="3" t="str">
        <f ca="1">IFERROR(__xludf.DUMMYFUNCTION("GOOGLETRANSLATE(B820,""auto"",""en"")"),"1. The name of the product of the design of the product: the display screen panel with an application opening display graphical user interface.
 2. The purpose of designing products in this exterior: used to display graphic user interface.
 3. Design "&amp;"of design products in this appearance: lies in the graphic user interface in the screen.
 4. Pictures or photos that can most indicate design points: main view.
 5. There is no design point for other views, omitting other views.
 6. The purpose of t"&amp;"he graphical user interface: The interface is used to open the screen prompts and display the purpose of the application.
 7. Human -computer interaction method of graphical user interface: The graphic user interface displayed by the main view is the ho"&amp;"mepage interface of the opening program; slide to the left in any position of the main view of the map into the interface change state. Sliding Enter the interface change state Figure 2; in the interface change state figure 2 to slide to the left to enter"&amp;" the interface change state Figure 3; in the interface change state graph 3 to the left slide into the interface change state Figure 4; Sliding to the left to enter the interface change state diagram 5.
 8. The display screen panel of the product can be"&amp;" applied to computers, laptops, tablet computers, head -up display (HUD), multimedia projector, smartphone, smart robot, smart glasses, virtual reality glasses, augmented reality glasses, hybrid reality Glasses, smart watches, fitness monitors, headset he"&amp;"adphones, driving recorders, vehicle navigation equipment, vehicle CNC computer, automobile smart rearview mirror, smart speaker, smart TV, set -top box, game handheld, game console.
 9. The dark gray coating part of the graphic user interface of the pr"&amp;"oduct of the product belongs to the content screen.")</f>
        <v>1. The name of the product of the design of the product: the display screen panel with an application opening display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to open the screen prompts and display the purpose of the application.
 7. Human -computer interaction method of graphical user interface: The graphic user interface displayed by the main view is the homepage interface of the opening program; slide to the left in any position of the main view of the map into the interface change state. Sliding Enter the interface change state Figure 2; in the interface change state figure 2 to slide to the left to enter the interface change state Figure 3; in the interface change state graph 3 to the left slide into the interface change state Figure 4; Sliding to the left to enter the interface change state diagram 5.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dark gray coating part of the graphic user interface of the product of the product belongs to the content screen.</v>
      </c>
      <c r="D820" s="6" t="s">
        <v>2402</v>
      </c>
      <c r="E820" s="4" t="str">
        <f ca="1">IFERROR(__xludf.DUMMYFUNCTION("GOOGLETRANSLATE(D820,""auto"",""en"")"),"Display screen panel with an open screen display graphical user interface")</f>
        <v>Display screen panel with an open screen display graphical user interface</v>
      </c>
    </row>
    <row r="821" spans="1:5" ht="15" x14ac:dyDescent="0.25">
      <c r="A821" s="5" t="s">
        <v>2403</v>
      </c>
      <c r="B821" s="6" t="s">
        <v>2404</v>
      </c>
      <c r="C821" s="3" t="str">
        <f ca="1">IFERROR(__xludf.DUMMYFUNCTION("GOOGLETRANSLATE(B821,""auto"",""en"")"),"1. The name of the product of the design of the product: the display screen panel with an application opening display graphical user interface.
 2. The purpose of designing products in this exterior: used to display graphic user interface.
 3. Design "&amp;"of design products in this appearance: lies in the graphic user interface in the screen.
 4. Pictures or photos that can most indicate design points: main view.
 5. There is no design point for other views, omitting other views.
 6. The purpose of t"&amp;"he graphical user interface: The interface is used to open the screen prompts and display the purpose of the application.
 7. Human -computer interaction method of graphical user interface: The graphic user interface displayed by the main view is the ho"&amp;"mepage interface of the opening program; slide to the left in any position of the main view of the map into the interface change state. Sliding Enter the interface change state Figure 2; in the interface change state Figure 2 any position to slide left to"&amp;" the left to enter the interface change state Figure 3.
 8. The display screen panel of the product can be applied to computers, laptops, tablet computers, head -up display (HUD), multimedia projector, smartphone, smart robot, smart glasses, virtual rea"&amp;"lity glasses, augmented reality glasses, hybrid reality Glasses, smart watches, fitness monitors, headset headphones, driving recorders, vehicle navigation equipment, vehicle CNC computer, automobile smart rearview mirror, smart speaker, smart TV, set -to"&amp;"p box, game handheld, game console.
 9. The dark gray coating part of the graphic user interface of the product of the product belongs to the content screen.")</f>
        <v>1. The name of the product of the design of the product: the display screen panel with an application opening display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to open the screen prompts and display the purpose of the application.
 7. Human -computer interaction method of graphical user interface: The graphic user interface displayed by the main view is the homepage interface of the opening program; slide to the left in any position of the main view of the map into the interface change state. Sliding Enter the interface change state Figure 2; in the interface change state Figure 2 any position to slide left to the left to enter the interface change state Figure 3.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dark gray coating part of the graphic user interface of the product of the product belongs to the content screen.</v>
      </c>
      <c r="D821" s="6" t="s">
        <v>2402</v>
      </c>
      <c r="E821" s="4" t="str">
        <f ca="1">IFERROR(__xludf.DUMMYFUNCTION("GOOGLETRANSLATE(D821,""auto"",""en"")"),"Display screen panel with an open screen display graphical user interface")</f>
        <v>Display screen panel with an open screen display graphical user interface</v>
      </c>
    </row>
    <row r="822" spans="1:5" ht="15" x14ac:dyDescent="0.25">
      <c r="A822" s="5" t="s">
        <v>2405</v>
      </c>
      <c r="B822" s="6" t="s">
        <v>2406</v>
      </c>
      <c r="C822" s="3" t="str">
        <f ca="1">IFERROR(__xludf.DUMMYFUNCTION("GOOGLETRANSLATE(B822,""auto"",""en"")"),"1. Design product name: Display screen panel with a questionnaire background management graphical user interface.
 2. The purpose of designing products in this exterior: used to display graphic user interface.
 3. Design of design products in this app"&amp;"earance: lies in the graphic user interface in the screen.
 4. Pictures or photos that can best show design points: Figure 5 of the interface change state.
 5. There is no design point for other views, omitting other views.
 6. The purpose of graphi"&amp;"cal user interface: The interface is used for the use of background collection, display and management of questionnaires.
 7. Human -computer interaction method of graphical user interface: The graphic user interface displayed by the main view is to ope"&amp;"n the start interface of the login of the program; enter any user name and password in the window on the right window of the main screen, and click the ""Login"" button to enter the interface change state diagram. 1. Click the interface changes. Figure 1 "&amp;"The ""Immediate Enter"" button to enter the interface change state of the ""XX China Facilities Auditing Project"" on the right of the ""XX China Facilities Audit Project""; ; Click the ""Result Display"" button at the top of the interface 2 ""results dis"&amp;"play"" button to enter the interface changes. The ""Weak Item Improvement"" button on the top is entering the interface change state Figure 6; click the interface change state Figure 5 The right side of ""Operation"" on the right side of the ""Four Bar Pe"&amp;"ncil"" graphical button to enter the interface change state Figure 7.
 8. The display screen panel of the product can be applied to computers, laptops, tablet computers, head -up display (HUD), multimedia projector, smartphone, smart robot, smart glasse"&amp;"s, virtual reality glasses, augmented reality glasses, hybrid reality Glasses, smart watches, fitness monitors, headset headphones, driving recorders, vehicle navigation equipment, vehicle CNC computer, automobile smart rearview mirror, smart speaker, sma"&amp;"rt TV, set -top box, game handheld, game console.
 9. The gray ""X"" coating in the graphic user interface of the product of the product is the content picture.")</f>
        <v>1. Design product name: Display screen panel with a questionnaire background management graphical user interface.
 2. The purpose of designing products in this exterior: used to display graphic user interface.
 3. Design of design products in this appearance: lies in the graphic user interface in the screen.
 4. Pictures or photos that can best show design points: Figure 5 of the interface change state.
 5. There is no design point for other views, omitting other views.
 6. The purpose of graphical user interface: The interface is used for the use of background collection, display and management of questionnaires.
 7. Human -computer interaction method of graphical user interface: The graphic user interface displayed by the main view is to open the start interface of the login of the program; enter any user name and password in the window on the right window of the main screen, and click the "Login" button to enter the interface change state diagram. 1. Click the interface changes. Figure 1 The "Immediate Enter" button to enter the interface change state of the "XX China Facilities Auditing Project" on the right of the "XX China Facilities Audit Project"; ; Click the "Result Display" button at the top of the interface 2 "results display" button to enter the interface changes. The "Weak Item Improvement" button on the top is entering the interface change state Figure 6; click the interface change state Figure 5 The right side of "Operation" on the right side of the "Four Bar Pencil" graphical button to enter the interface change state Figure 7.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822" s="6" t="s">
        <v>2407</v>
      </c>
      <c r="E822" s="4" t="str">
        <f ca="1">IFERROR(__xludf.DUMMYFUNCTION("GOOGLETRANSLATE(D822,""auto"",""en"")"),"Bring a questionnaire background Manage the display screen panel of the graphic user interface")</f>
        <v>Bring a questionnaire background Manage the display screen panel of the graphic user interface</v>
      </c>
    </row>
    <row r="823" spans="1:5" ht="15" x14ac:dyDescent="0.25">
      <c r="A823" s="5" t="s">
        <v>2408</v>
      </c>
      <c r="B823" s="6" t="s">
        <v>2409</v>
      </c>
      <c r="C823" s="3" t="str">
        <f ca="1">IFERROR(__xludf.DUMMYFUNCTION("GOOGLETRANSLATE(B823,""auto"",""en"")"),"According to the present invention, the gaming -based sports -based sports guidance device includes the shooting unit, which is used to generate sports images through shooting users; the joint motion of the user's joint motion based on the generating imag"&amp;"e generation is generated. Generating user physical information that represents the level of physical strength of the user. Correspondingly, the processor generates the level of fitness guidance information for managing fitness; it may include.")</f>
        <v>According to the present invention, the gaming -based sports -based sports guidance device includes the shooting unit, which is used to generate sports images through shooting users; the joint motion of the user's joint motion based on the generating image generation is generated. Generating user physical information that represents the level of physical strength of the user. Correspondingly, the processor generates the level of fitness guidance information for managing fitness; it may include.</v>
      </c>
      <c r="D823" s="6" t="s">
        <v>2410</v>
      </c>
      <c r="E823" s="4" t="str">
        <f ca="1">IFERROR(__xludf.DUMMYFUNCTION("GOOGLETRANSLATE(D823,""auto"",""en"")"),"Artificial Intelligence Gaming Movement Guidance Device")</f>
        <v>Artificial Intelligence Gaming Movement Guidance Device</v>
      </c>
    </row>
    <row r="824" spans="1:5" ht="15" x14ac:dyDescent="0.25">
      <c r="A824" s="5" t="s">
        <v>2411</v>
      </c>
      <c r="B824" s="6" t="s">
        <v>2412</v>
      </c>
      <c r="C824" s="3" t="str">
        <f ca="1">IFERROR(__xludf.DUMMYFUNCTION("GOOGLETRANSLATE(B824,""auto"",""en"")"),"1. The name of the product design product: a display screen panel with a user interface with the meal delivery graphics.
 2. Design products in appearance: for mobile handling, human -computer interaction, item distribution.
 3. Design of the design o"&amp;"f the product in this exterior: lies in the interface content of the graphic user interface in the screen.
 4. Pictures or photos that can best show design: Design 1 main view.
 5. Specify design 1 is the basic design.
 6. The purpose of the graphic"&amp;"al user interface: The design point of this graphic user interface lies in the delivery of meals. The design 1 and design 2 show the process of single -table delivery. Design 3 and Design 4 show the process of multiple tables for meals.
 Design 1 The ma"&amp;"in view is the interface of the selected desk number. Click the normal delivery button. The robot starts to start delivery. As shown in the design 1 interface changes, after reaching the preset dining table, the interface jumps to the design 1 interface c"&amp;"hange state Figure 2 Figure 2 After taking the meal, click the complete button. The robot will return to the meal mouth, and the interface jumps to the design 1 interface change state Figure 3.
 Design 2 main view is the interface of the selected desk n"&amp;"umber, click NORMAL &amp; Nbsp; Delivery button, and the robot starts to send meals, as shown in the design 2 interface change state. Figure 2 of the interface changes. After taking the meal, click the Complete (complete) button, the robot will return to the "&amp;"meal mouth, and the interface jumps to the design 2 interface change state Figure 3.
 Design 3 main view is the interface of the first desk number. The first desk number selected appears on the right side of the interface, and then continues to select t"&amp;"he second desk number, as shown in the design 3 interface changes. The selected table number appears on the right side of the interface, and then continues to select the third desk number, as shown in the design 3 interface changes. Figure 2, the third se"&amp;"lected desk number appears on the right side of the interface, such as design 3 interface change status diagram diagram 3 Show, after all the desk number is selected, click the normal delivery button, and the robot will go to the first desk number to deli"&amp;"ver meals. 3 Interface Change Status Figure 5. After taking the meal, click the complete button. The robot will go to the second desk number to deliver meals, as shown in the design 3 interface change state. The interface changes status Figure 7. After ta"&amp;"king the meal, click the complete button, the robot will go to the third desk number to deliver meals, as shown in the design 3 interface change state. Change status Figure 9. After taking the meal, click the complete button, the robot begins to return to"&amp;" the meal mouth, and the interface jumps to the design 3 interface change state Figure 10.
 Design 4 The main view is the interface of the first desk number. The first desk number selected appears on the right side of the interface, and then continues t"&amp;"o select the second desk number, as shown in the design 4 interface changes. The selected table number appears on the right side of the interface, and then continues to select the third desk number, as shown in the design 4 interface change state, the thi"&amp;"rd selected table number appears on the right side of the interface, such as design 4 interface change status diagram diagram 3 Show, after all the desk number is selected, click NORMAL &amp; Nbsp; Delivery button. The robot will go to the first desk number t"&amp;"o deliver meals. The interface jump to the design 4 interface change state Figure 5. After taking the meal, click the Complete (complete) button, the robot will go to the second desk number to deliver meals. Later, the interface jump to the design 4 inter"&amp;"face change status. 7. After taking the meal, click the Complete (complete) button, and the robot will go to the third desk number to deliver meals. After a dining table, the interface jumps to the design 4 interface changes. 9. After taking the meal, cli"&amp;"ck the Complete (complete) button, the robot begins to return to the meal mouth, and the interface jumps to the design 4 interface change state Figure 10.
 7. Other instructions: This display screen panel is applied to robots, vehicles, computers, lapto"&amp;"ps, tablets, mobile phones, smart watches, smart bracelets, fitness monitor, headset headphones, personal digital assistant (PDA), smart speakers, smart speakers, smart speakers, smart speakers , TV, set -top box, projector, game console or navigator.")</f>
        <v>1. The name of the product design product: a display screen panel with a user interface with the meal delivery graphics.
 2. Design products in appearance: for mobile handling, human -computer interaction, item distribution.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The design point of this graphic user interface lies in the delivery of meals. The design 1 and design 2 show the process of single -table delivery. Design 3 and Design 4 show the process of multiple tables for meals.
 Design 1 The main view is the interface of the selected desk number. Click the normal delivery button. The robot starts to start delivery. As shown in the design 1 interface changes, after reaching the preset dining table, the interface jumps to the design 1 interface change state Figure 2 Figure 2 After taking the meal, click the complete button. The robot will return to the meal mouth, and the interface jumps to the design 1 interface change state Figure 3.
 Design 2 main view is the interface of the selected desk number, click NORMAL &amp; Nbsp; Delivery button, and the robot starts to send meals, as shown in the design 2 interface change state. Figure 2 of the interface changes. After taking the meal, click the Complete (complete) button, the robot will return to the meal mouth, and the interface jumps to the design 2 interface change state Figure 3.
 Design 3 main view is the interface of the first desk number. The first desk number selected appears on the right side of the interface, and then continues to select the second desk number, as shown in the design 3 interface changes. The selected table number appears on the right side of the interface, and then continues to select the third desk number, as shown in the design 3 interface changes. Figure 2, the third selected desk number appears on the right side of the interface, such as design 3 interface change status diagram diagram 3 Show, after all the desk number is selected, click the normal delivery button, and the robot will go to the first desk number to deliver meals. 3 Interface Change Status Figure 5. After taking the meal, click the complete button. The robot will go to the second desk number to deliver meals, as shown in the design 3 interface change state. The interface changes status Figure 7. After taking the meal, click the complete button, the robot will go to the third desk number to deliver meals, as shown in the design 3 interface change state. Change status Figure 9. After taking the meal, click the complete button, the robot begins to return to the meal mouth, and the interface jumps to the design 3 interface change state Figure 10.
 Design 4 The main view is the interface of the first desk number. The first desk number selected appears on the right side of the interface, and then continues to select the second desk number, as shown in the design 4 interface changes. The selected table number appears on the right side of the interface, and then continues to select the third desk number, as shown in the design 4 interface change state, the third selected table number appears on the right side of the interface, such as design 4 interface change status diagram diagram 3 Show, after all the desk number is selected, click NORMAL &amp; Nbsp; Delivery button. The robot will go to the first desk number to deliver meals. The interface jump to the design 4 interface change state Figure 5. After taking the meal, click the Complete (complete) button, the robot will go to the second desk number to deliver meals. Later, the interface jump to the design 4 interface change status. 7. After taking the meal, click the Complete (complete) button, and the robot will go to the third desk number to deliver meals. After a dining table, the interface jumps to the design 4 interface changes. 9. After taking the meal, click the Complete (complete) button, the robot begins to return to the meal mouth, and the interface jumps to the design 4 interface change state Figure 10.
 7. Other instructions: This display screen panel is applied to robots, vehicles, computers, laptops, tablets, mobile phones, smart watches, smart bracelets, fitness monitor, headset headphones, personal digital assistant (PDA), smart speakers, smart speakers, smart speakers, smart speakers , TV, set -top box, projector, game console or navigator.</v>
      </c>
      <c r="D824" s="6" t="s">
        <v>2413</v>
      </c>
      <c r="E824" s="4" t="str">
        <f ca="1">IFERROR(__xludf.DUMMYFUNCTION("GOOGLETRANSLATE(D824,""auto"",""en"")"),"Display screen panels with meals -delivery graphics user interface")</f>
        <v>Display screen panels with meals -delivery graphics user interface</v>
      </c>
    </row>
    <row r="825" spans="1:5" ht="15" x14ac:dyDescent="0.25">
      <c r="A825" s="5" t="s">
        <v>2414</v>
      </c>
      <c r="B825" s="6" t="s">
        <v>2415</v>
      </c>
      <c r="C825" s="3" t="str">
        <f ca="1">IFERROR(__xludf.DUMMYFUNCTION("GOOGLETRANSLATE(B825,""auto"",""en"")"),"The invention disclosed a wonderful collection method and equipment for multi -machine sports events based on inter -frame testing. It belongs to the production of sports events, including steps: according to the specific scene of sports events, the on -s"&amp;"ite video included by multi -way cameras, and at the same time build athletes to build athletes The personal identity information library, real -time intelligent analysis of the included videos, using inter -frame detection, face acquisition, number plate"&amp;" acquisition and other means for fusion reasoning, and reduce the neural network intelligent editing model pair from the differential value of the screen screen. The calculation amount of ultra -high -definition video, through strip screen segmentation te"&amp;"chnology, specific athlete face, and number plate recognition technology, to determine the exciting picture of sports, to derive the wonderful fragments of sports events; and then generate a wonderful collection of sports. The present invention can quickl"&amp;"y and accurately edit the wonderful collection of sports, and effectively reduce the amount of neural network computing, greatly reduce artificial artificialness, and save a lot of manpower and machine computing power.")</f>
        <v>The invention disclosed a wonderful collection method and equipment for multi -machine sports events based on inter -frame testing. It belongs to the production of sports events, including steps: according to the specific scene of sports events, the on -site video included by multi -way cameras, and at the same time build athletes to build athletes The personal identity information library, real -time intelligent analysis of the included videos, using inter -frame detection, face acquisition, number plate acquisition and other means for fusion reasoning, and reduce the neural network intelligent editing model pair from the differential value of the screen screen. The calculation amount of ultra -high -definition video, through strip screen segmentation technology, specific athlete face, and number plate recognition technology, to determine the exciting picture of sports, to derive the wonderful fragments of sports events; and then generate a wonderful collection of sports. The present invention can quickly and accurately edit the wonderful collection of sports, and effectively reduce the amount of neural network computing, greatly reduce artificial artificialness, and save a lot of manpower and machine computing power.</v>
      </c>
      <c r="D825" s="6" t="s">
        <v>2416</v>
      </c>
      <c r="E825" s="4" t="str">
        <f ca="1">IFERROR(__xludf.DUMMYFUNCTION("GOOGLETRANSLATE(D825,""auto"",""en"")"),"Multi -machine sports event based on inter -frame testing of inter -frame detection methods and equipment")</f>
        <v>Multi -machine sports event based on inter -frame testing of inter -frame detection methods and equipment</v>
      </c>
    </row>
    <row r="826" spans="1:5" ht="15" x14ac:dyDescent="0.25">
      <c r="A826" s="5" t="s">
        <v>2417</v>
      </c>
      <c r="B826" s="6" t="s">
        <v>2418</v>
      </c>
      <c r="C826" s="3" t="str">
        <f ca="1">IFERROR(__xludf.DUMMYFUNCTION("GOOGLETRANSLATE(B826,""auto"",""en"")"),"The present invention belongs to the field of digital inspection technology. It is a method of digital inspection in the exhibition hall. The specific operation steps of the digital inspection method of the exhibition hall are: Step 1: Design a robot with"&amp;" wheels at the bottom, equipped with radar that perceives the distance perception distance. Sensor, infrared temperature measurement sensor, free -mounted arms structure, pickup microphone, speakers, and cameras controlled by multiple motors, adding room "&amp;"map navigation, voice recognition, voice synthesis, and the machine is planned to perform inspection tasks according to a fixed time plan, each time There are records of the second inspection. Detailed logs provide data support for future problems investi"&amp;"gation. Record each problem disposal method, manage the equipment in big data, find out early detection, after problems, process tracking, problem solving after problem solving, and archive after the problem is resolved. Power applies intelligent AI techn"&amp;"ology to the exhibition hall, the robot self -maintains the exhibition hall equipment, and uses technology to improve the efficiency of the equipment use of the exhibition hall and reduce the burden of maintenance personnel.")</f>
        <v>The present invention belongs to the field of digital inspection technology. It is a method of digital inspection in the exhibition hall. The specific operation steps of the digital inspection method of the exhibition hall are: Step 1: Design a robot with wheels at the bottom, equipped with radar that perceives the distance perception distance. Sensor, infrared temperature measurement sensor, free -mounted arms structure, pickup microphone, speakers, and cameras controlled by multiple motors, adding room map navigation, voice recognition, voice synthesis, and the machine is planned to perform inspection tasks according to a fixed time plan, each time There are records of the second inspection. Detailed logs provide data support for future problems investigation. Record each problem disposal method, manage the equipment in big data, find out early detection, after problems, process tracking, problem solving after problem solving, and archive after the problem is resolved. Power applies intelligent AI technology to the exhibition hall, the robot self -maintains the exhibition hall equipment, and uses technology to improve the efficiency of the equipment use of the exhibition hall and reduce the burden of maintenance personnel.</v>
      </c>
      <c r="D826" s="6" t="s">
        <v>2419</v>
      </c>
      <c r="E826" s="4" t="str">
        <f ca="1">IFERROR(__xludf.DUMMYFUNCTION("GOOGLETRANSLATE(D826,""auto"",""en"")"),"A method of digital inspection of exhibition halls")</f>
        <v>A method of digital inspection of exhibition halls</v>
      </c>
    </row>
    <row r="827" spans="1:5" ht="15" x14ac:dyDescent="0.25">
      <c r="A827" s="5" t="s">
        <v>2420</v>
      </c>
      <c r="B827" s="6" t="s">
        <v>2421</v>
      </c>
      <c r="C827" s="3" t="str">
        <f ca="1">IFERROR(__xludf.DUMMYFUNCTION("GOOGLETRANSLATE(B827,""auto"",""en"")"),"The present invention belongs to the field of image processing technology, and the image text erase is made public. The specific operation steps are as follows: S1. Use synthetic data set training image stroke models. The synthetic data is Use the unsmovi"&amp;"ng real scene text text and image pre -training network model. The present invention proposes a method of image scratching method based on self -supervision and learning based on the writing pen. The output of the image stroke model and the original image"&amp;" are merged into the image text removal model. The eradication result; in addition, considering that the text erase and text detection have a strong correlation, design a neural network model that performs text removal and text detection tasks at the same"&amp;" time. The problems of synthetic data, erasing results are unnatural, and cannot completely erase text.")</f>
        <v>The present invention belongs to the field of image processing technology, and the image text erase is made public. The specific operation steps are as follows: S1. Use synthetic data set training image stroke models. The synthetic data is Use the unsmoving real scene text text and image pre -training network model. The present invention proposes a method of image scratching method based on self -supervision and learning based on the writing pen. The output of the image stroke model and the original image are merged into the image text removal model. The eradication result; in addition, considering that the text erase and text detection have a strong correlation, design a neural network model that performs text removal and text detection tasks at the same time. The problems of synthetic data, erasing results are unnatural, and cannot completely erase text.</v>
      </c>
      <c r="D827" s="6" t="s">
        <v>2422</v>
      </c>
      <c r="E827" s="4" t="str">
        <f ca="1">IFERROR(__xludf.DUMMYFUNCTION("GOOGLETRANSLATE(D827,""auto"",""en"")"),"Image text removal method")</f>
        <v>Image text removal method</v>
      </c>
    </row>
    <row r="828" spans="1:5" ht="15" x14ac:dyDescent="0.25">
      <c r="A828" s="5" t="s">
        <v>2423</v>
      </c>
      <c r="B828" s="6" t="s">
        <v>2424</v>
      </c>
      <c r="C828" s="3" t="str">
        <f ca="1">IFERROR(__xludf.DUMMYFUNCTION("GOOGLETRANSLATE(B828,""auto"",""en"")"),"1. Design product name: Preview the graphic user interface for the state of the screen panel.
 2. The purpose of designing products in this exterior: The design of the product in this exterior is used for running programs, displaying information and hum"&amp;"an -computer interaction.
 3. Design of the design of the product in appearance: lies in the graphic user interface.
 4. Pictures or photos that can best show design: Design 1 main view.
 5. The screen panel is commonly designed, omitting design 1 t"&amp;"o design 3 post -view, upir viewing view, downward view, left view and right view.
 6. Specify design 1 is the basic design.
 7. The purpose of the graphical user interface: This graphic user interface is used to display the status preview information"&amp;".
 In the design 1 main view, the card of WeChat status sharing is displayed below the original audio playback interface. Users can slide left and right to select the sharing method, jump to the corresponding sharing page after selecting; click the ""We"&amp;"Chat Status"" button to jump to design 1 The interface changes status Figure 1, share the page for WeChat status, display the default WeChat status preview interface above, the user can slide different templates on the left and right, and select the corre"&amp;"sponding WeChat state preview interface.
 In the design 2 main view, display the cards shared by WeChat status sharing in the middle of the original audio playback interface, users can slide left and right to select the sharing method; click the ""WeCha"&amp;"t Status"" button to jump to the design 2 interface change state. 1 interface change state Figure 1 is the same.
 In the WeChat status sharing page of the design 3 main view, click the ""Song Lyrics"" button to jump to the design 3 interface change stat"&amp;"us. Lyrics, click the ""Confirm"" button to display the WeChat status preview interface after adding the corresponding lyrics.
 8. The display screen panel is used for mobile phones, laptops, tablets, computers, computers, vehicle central control screen"&amp;"s, smart TVs, smart bracelets, smart glasses, smart watches, personal digital assistants, fitness monitor, projector.")</f>
        <v>1. Design product name: Preview the graphic user interface for the state of the screen panel.
 2. The purpose of designing products in this exterior: The design of the product in this exterior is used for running programs, displaying information and human -computer interaction.
 3. Design of the design of the product in appearance: lies in the graphic user interface.
 4. Pictures or photos that can best show design: Design 1 main view.
 5. The screen panel is commonly designed, omitting design 1 to design 3 post -view, upir viewing view, downward view, left view and right view.
 6. Specify design 1 is the basic design.
 7. The purpose of the graphical user interface: This graphic user interface is used to display the status preview information.
 In the design 1 main view, the card of WeChat status sharing is displayed below the original audio playback interface. Users can slide left and right to select the sharing method, jump to the corresponding sharing page after selecting; click the "WeChat Status" button to jump to design 1 The interface changes status Figure 1, share the page for WeChat status, display the default WeChat status preview interface above, the user can slide different templates on the left and right, and select the corresponding WeChat state preview interface.
 In the design 2 main view, display the cards shared by WeChat status sharing in the middle of the original audio playback interface, users can slide left and right to select the sharing method; click the "WeChat Status" button to jump to the design 2 interface change state. 1 interface change state Figure 1 is the same.
 In the WeChat status sharing page of the design 3 main view, click the "Song Lyrics" button to jump to the design 3 interface change status. Lyrics, click the "Confirm" button to display the WeChat status preview interface after adding the corresponding lyrics.
 8. The display screen panel is used for mobile phones, laptops, tablets, computers, computers, vehicle central control screens, smart TVs, smart bracelets, smart glasses, smart watches, personal digital assistants, fitness monitor, projector.</v>
      </c>
      <c r="D828" s="6" t="s">
        <v>2425</v>
      </c>
      <c r="E828" s="4" t="str">
        <f ca="1">IFERROR(__xludf.DUMMYFUNCTION("GOOGLETRANSLATE(D828,""auto"",""en"")"),"Preview of graphic user interface for the state of the display screen panel")</f>
        <v>Preview of graphic user interface for the state of the display screen panel</v>
      </c>
    </row>
    <row r="829" spans="1:5" ht="15" x14ac:dyDescent="0.25">
      <c r="A829" s="5" t="s">
        <v>2426</v>
      </c>
      <c r="B829" s="6" t="s">
        <v>2427</v>
      </c>
      <c r="C829" s="3" t="str">
        <f ca="1">IFERROR(__xludf.DUMMYFUNCTION("GOOGLETRANSLATE(B829,""auto"",""en"")"),"The invention provides a smart robot curling detection method based on YOLOV5, which involves the field of computer vision technology. The method of the present invention includes the following steps: obtaining the on -site image of the curling competitio"&amp;"n; the use of the labeling software to mark the on -site image of the curling competition to get the image after the labeled; enter the image feature diagram to the YOLOV5 forecast network for front background prediction , Output the classification predic"&amp;"tion score and regression positioning coefficient corresponding to different sampling multiples; the predicted scores and border regression values ​​are mapped to the original image and printed on the original image to obtain the detection results diagram"&amp;". For the data characteristics of the curling robot competition, the present invention designed a lightweight target detection network, and overcome difficulties such as the darker data distribution and the darker shooting light. Different data enhancemen"&amp;"t methods were designed to redesign the loss function. The detection speed of high frame rate is achieved while meeting high recognition and positioning accuracy.")</f>
        <v>The invention provides a smart robot curling detection method based on YOLOV5, which involves the field of computer vision technology. The method of the present invention includes the following steps: obtaining the on -site image of the curling competition; the use of the labeling software to mark the on -site image of the curling competition to get the image after the labeled; enter the image feature diagram to the YOLOV5 forecast network for front background prediction , Output the classification prediction score and regression positioning coefficient corresponding to different sampling multiples; the predicted scores and border regression values ​​are mapped to the original image and printed on the original image to obtain the detection results diagram. For the data characteristics of the curling robot competition, the present invention designed a lightweight target detection network, and overcome difficulties such as the darker data distribution and the darker shooting light. Different data enhancement methods were designed to redesign the loss function. The detection speed of high frame rate is achieved while meeting high recognition and positioning accuracy.</v>
      </c>
      <c r="D829" s="6" t="s">
        <v>2428</v>
      </c>
      <c r="E829" s="4" t="str">
        <f ca="1">IFERROR(__xludf.DUMMYFUNCTION("GOOGLETRANSLATE(D829,""auto"",""en"")"),"A smart robot curling detection method based on YOLOV5")</f>
        <v>A smart robot curling detection method based on YOLOV5</v>
      </c>
    </row>
    <row r="830" spans="1:5" ht="15" x14ac:dyDescent="0.25">
      <c r="A830" s="5" t="s">
        <v>2429</v>
      </c>
      <c r="B830" s="6" t="s">
        <v>2430</v>
      </c>
      <c r="C830" s="3" t="str">
        <f ca="1">IFERROR(__xludf.DUMMYFUNCTION("GOOGLETRANSLATE(B830,""auto"",""en"")"),"1. The name of the product designed this product: recorded the graphic user interface for the song of the screen panel.
 2. The purpose of designing products in this exterior: The design of the product in this exterior is used for running programs, disp"&amp;"laying information and human -computer interaction.
 3. Design of the design of the product in appearance: lies in the interface content of the graphic user interface.
 4. Pictures or photos that can most indicate design points: main view.
 5. The s"&amp;"creen panel is commonly designed, omittime view, viewing view, pult, left view and right view.
 6. The purpose of the graphical user interface: This graphic user interface is used to show song recording information.
 In the main view, click the search"&amp;" box of the search song to jump to the interface change state. Towards the search results up and down, and click the song card to jump to the song recording page.
 7. The display screen panel is used for mobile phones, laptops, tablets, computers, compu"&amp;"ters, vehicle central control screens, smart TVs, smart bracelets, smart glasses, smart watches, personal digital assistants, fitness monitor, projector.")</f>
        <v>1. The name of the product designed this product: recorded the graphic user interface for the song of the screen panel.
 2. The purpose of designing products in this exterior: The design of the product in this exterior is used for running programs, displaying information and human -computer interaction.
 3. Design of the design of the product in appearance: lies in the interface content of the graphic user interface.
 4. Pictures or photos that can most indicate design points: main view.
 5. The screen panel is commonly designed, omittime view, viewing view, pult, left view and right view.
 6. The purpose of the graphical user interface: This graphic user interface is used to show song recording information.
 In the main view, click the search box of the search song to jump to the interface change state. Towards the search results up and down, and click the song card to jump to the song recording page.
 7. The display screen panel is used for mobile phones, laptops, tablets, computers, computers, vehicle central control screens, smart TVs, smart bracelets, smart glasses, smart watches, personal digital assistants, fitness monitor, projector.</v>
      </c>
      <c r="D830" s="6" t="s">
        <v>2431</v>
      </c>
      <c r="E830" s="4" t="str">
        <f ca="1">IFERROR(__xludf.DUMMYFUNCTION("GOOGLETRANSLATE(D830,""auto"",""en"")"),"Songs used for display screen panels record graphic user interface")</f>
        <v>Songs used for display screen panels record graphic user interface</v>
      </c>
    </row>
    <row r="831" spans="1:5" ht="15" x14ac:dyDescent="0.25">
      <c r="A831" s="5" t="s">
        <v>2432</v>
      </c>
      <c r="B831" s="6" t="s">
        <v>2433</v>
      </c>
      <c r="C831" s="3" t="str">
        <f ca="1">IFERROR(__xludf.DUMMYFUNCTION("GOOGLETRANSLATE(B831,""auto"",""en"")"),"1. The name of the product designed this product: recorded the graphic user interface for the song of the screen panel. 2. The purpose of designing products in this exterior: The design of the product in this exterior is used for running programs, display"&amp;"ing information and human -computer interaction. 3. Design of design products in this appearance: lies in the interface content and layout of the graphic user interface. 4. Pictures or photos that can most indicate design points: main view. 5. The screen "&amp;"panel is commonly designed, omittime view, viewing view, pult, left view and right view. 6. The purpose of the graphical user interface: This graphic user interface is used to show song recording information. In the main view, display the list of recordin"&amp;"gs, slide the user gesture to view the list of the recorded works, click the recorded card card to jump to the interface change state Figure 1, and play the audio file of the recorded work. , Display interface change state Figure 2, light up the icon to c"&amp;"omplete the likes. 7. The display screen panel is used for mobile phones, laptops, tablets, computers, computers, vehicle central control screens, smart TVs, smart bracelets, smart glasses, smart watches, personal digital assistants, fitness monitor, proj"&amp;"ector.")</f>
        <v>1. The name of the product designed this product: recorded the graphic user interface for the song of the screen panel.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most indicate design points: main view. 5. The screen panel is commonly designed, omittime view, viewing view, pult, left view and right view. 6. The purpose of the graphical user interface: This graphic user interface is used to show song recording information. In the main view, display the list of recordings, slide the user gesture to view the list of the recorded works, click the recorded card card to jump to the interface change state Figure 1, and play the audio file of the recorded work. , Display interface change state Figure 2, light up the icon to complete the likes. 7. The display screen panel is used for mobile phones, laptops, tablets, computers, computers, vehicle central control screens, smart TVs, smart bracelets, smart glasses, smart watches, personal digital assistants, fitness monitor, projector.</v>
      </c>
      <c r="D831" s="6" t="s">
        <v>2431</v>
      </c>
      <c r="E831" s="4" t="str">
        <f ca="1">IFERROR(__xludf.DUMMYFUNCTION("GOOGLETRANSLATE(D831,""auto"",""en"")"),"Songs used for display screen panels record graphic user interface")</f>
        <v>Songs used for display screen panels record graphic user interface</v>
      </c>
    </row>
    <row r="832" spans="1:5" ht="15" x14ac:dyDescent="0.25">
      <c r="A832" s="5" t="s">
        <v>2434</v>
      </c>
      <c r="B832" s="6" t="s">
        <v>2435</v>
      </c>
      <c r="C832" s="3" t="str">
        <f ca="1">IFERROR(__xludf.DUMMYFUNCTION("GOOGLETRANSLATE(B832,""auto"",""en"")"),"1. The name of the product designed this product: recorded the graphic user interface for the song of the screen panel.
 2. The purpose of designing products in this exterior: The design of the product in this exterior is used for running programs, disp"&amp;"laying information and human -computer interaction.
 3. Design of design products in this appearance: lies in the interface content and layout of the graphic user interface.
 4. Pictures or photos that can most indicate design points: main view.
 5."&amp;" The screen panel is commonly designed, omittime view, viewing view, pult, left view and right view.
 6. The purpose of the graphical user interface: This graphic user interface is used to show song recording information.
 In the main view, click the "&amp;"song card to jump to the interface change state. Then jump to the interface change state Figure 2 and record the song.
 7. The display screen panel is used for mobile phones, laptops, tablets, computers, computers, vehicle central control screens, smart"&amp;" TVs, smart bracelets, smart glasses, smart watches, personal digital assistants, fitness monitor, projector.")</f>
        <v>1. The name of the product designed this product: recorded the graphic user interface for the song of the screen panel.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most indicate design points: main view.
 5. The screen panel is commonly designed, omittime view, viewing view, pult, left view and right view.
 6. The purpose of the graphical user interface: This graphic user interface is used to show song recording information.
 In the main view, click the song card to jump to the interface change state. Then jump to the interface change state Figure 2 and record the song.
 7. The display screen panel is used for mobile phones, laptops, tablets, computers, computers, vehicle central control screens, smart TVs, smart bracelets, smart glasses, smart watches, personal digital assistants, fitness monitor, projector.</v>
      </c>
      <c r="D832" s="6" t="s">
        <v>2431</v>
      </c>
      <c r="E832" s="4" t="str">
        <f ca="1">IFERROR(__xludf.DUMMYFUNCTION("GOOGLETRANSLATE(D832,""auto"",""en"")"),"Songs used for display screen panels record graphic user interface")</f>
        <v>Songs used for display screen panels record graphic user interface</v>
      </c>
    </row>
    <row r="833" spans="1:5" ht="15" x14ac:dyDescent="0.25">
      <c r="A833" s="5" t="s">
        <v>2436</v>
      </c>
      <c r="B833" s="6" t="s">
        <v>2437</v>
      </c>
      <c r="C833" s="3" t="str">
        <f ca="1">IFERROR(__xludf.DUMMYFUNCTION("GOOGLETRANSLATE(B833,""auto"",""en"")"),"1. The name of the product designed this product: recorded the graphic user interface for the song of the screen panel.
 2. The purpose of designing products in this exterior: The design of the product in this exterior is used for running programs, disp"&amp;"laying information and human -computer interaction.
 3. Design of design products in this appearance: lies in the interface content and layout of the graphic user interface.
 4. Pictures or photos that can most indicate design points: main view.
 5."&amp;" The screen panel is commonly designed, omittime view, viewing view, pult, left view and right view.
 6. The purpose of the graphical user interface: This graphic user interface is used to show song recording information.
 In the main view, click the "&amp;"song card to jump to the interface change state. To the interface change state Figure 2, video recording and song recording.
 7. The display screen panel is used for mobile phones, laptops, tablets, computers, computers, vehicle central control screens,"&amp;" smart TVs, smart bracelets, smart glasses, smart watches, personal digital assistants, fitness monitor, projector.")</f>
        <v>1. The name of the product designed this product: recorded the graphic user interface for the song of the screen panel.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most indicate design points: main view.
 5. The screen panel is commonly designed, omittime view, viewing view, pult, left view and right view.
 6. The purpose of the graphical user interface: This graphic user interface is used to show song recording information.
 In the main view, click the song card to jump to the interface change state. To the interface change state Figure 2, video recording and song recording.
 7. The display screen panel is used for mobile phones, laptops, tablets, computers, computers, vehicle central control screens, smart TVs, smart bracelets, smart glasses, smart watches, personal digital assistants, fitness monitor, projector.</v>
      </c>
      <c r="D833" s="6" t="s">
        <v>2431</v>
      </c>
      <c r="E833" s="4" t="str">
        <f ca="1">IFERROR(__xludf.DUMMYFUNCTION("GOOGLETRANSLATE(D833,""auto"",""en"")"),"Songs used for display screen panels record graphic user interface")</f>
        <v>Songs used for display screen panels record graphic user interface</v>
      </c>
    </row>
    <row r="834" spans="1:5" ht="15" x14ac:dyDescent="0.25">
      <c r="A834" s="5" t="s">
        <v>2438</v>
      </c>
      <c r="B834" s="6" t="s">
        <v>2439</v>
      </c>
      <c r="C834" s="3" t="str">
        <f ca="1">IFERROR(__xludf.DUMMYFUNCTION("GOOGLETRANSLATE(B834,""auto"",""en"")"),"The present invention provides an online water -based environmental monitoring device that is easy to clean up. The buoyancy device is added. In addition to the probe contacting water, most of the other devices are above the water surface. A energy storag"&amp;"e device is installed under the power supply system to store unused energy to prevent energy waste. The design of the anti -bottom bracket can ensure that the water quality sensor is connected to the water normally. The bottom or dumping, the underwater c"&amp;"amera is secretly sealed in the camera barrel, you can observe the underwater conditions at any time. The underwater driver can more conveniently adjust the position of the device in the water. According to the principle of diffusion The needle will not a"&amp;"ffect the accuracy of the monitoring. The signal collection and transmission control device is merged into the Internet of Things. Users can monitor the status of water quality and device anytime, anywhere.")</f>
        <v>The present invention provides an online water -based environmental monitoring device that is easy to clean up. The buoyancy device is added. In addition to the probe contacting water, most of the other devices are above the water surface. A energy storage device is installed under the power supply system to store unused energy to prevent energy waste. The design of the anti -bottom bracket can ensure that the water quality sensor is connected to the water normally. The bottom or dumping, the underwater camera is secretly sealed in the camera barrel, you can observe the underwater conditions at any time. The underwater driver can more conveniently adjust the position of the device in the water. According to the principle of diffusion The needle will not affect the accuracy of the monitoring. The signal collection and transmission control device is merged into the Internet of Things. Users can monitor the status of water quality and device anytime, anywhere.</v>
      </c>
      <c r="D834" s="6" t="s">
        <v>2440</v>
      </c>
      <c r="E834" s="4" t="str">
        <f ca="1">IFERROR(__xludf.DUMMYFUNCTION("GOOGLETRANSLATE(D834,""auto"",""en"")"),"A kind of online water quality monitoring device that is easy to clean up")</f>
        <v>A kind of online water quality monitoring device that is easy to clean up</v>
      </c>
    </row>
    <row r="835" spans="1:5" ht="15" x14ac:dyDescent="0.25">
      <c r="A835" s="5" t="s">
        <v>2441</v>
      </c>
      <c r="B835" s="6" t="s">
        <v>2442</v>
      </c>
      <c r="C835" s="3" t="str">
        <f ca="1">IFERROR(__xludf.DUMMYFUNCTION("GOOGLETRANSLATE(B835,""auto"",""en"")"),"1. Design product name: Monitor the graphic user interface for the device used to display the screen panel.
 2. Design products in appearance: used for running procedures, information display, and human -computer interaction.
 3. Design of the design "&amp;"of the product in this exterior: lies in the content of the graphic user interface in the screen.
 4. Pictures or photos that can most indicate design points: main view.
 5. The purpose of graphical user interface: This graphic user interface is used "&amp;"to monitor and control the mine equipment.
 Click the operation buttons below the interface to control the device to speed up, start and stop, and lift up.
 6.该显示屏幕面板应用于车辆、计算机、笔记本电脑、平板电脑、手机、智能手表、智能手环、健身监视器、头戴式耳机、个人数字助理（PDA）、智能音箱、电视、机顶盒、 Projector, gam"&amp;"e console or navigator.")</f>
        <v>1. Design product name: Monitor the graphic user interface for the device used to display the screen panel.
 2. Design products in appearance: used for running procedures, information display, and human -computer interaction.
 3. Design of the design of the product in this exterior: lies in the content of the graphic user interface in the screen.
 4. Pictures or photos that can most indicate design points: main view.
 5. The purpose of graphical user interface: This graphic user interface is used to monitor and control the mine equipment.
 Click the operation buttons below the interface to control the device to speed up, start and stop, and lift up.
 6.该显示屏幕面板应用于车辆、计算机、笔记本电脑、平板电脑、手机、智能手表、智能手环、健身监视器、头戴式耳机、个人数字助理（PDA）、智能音箱、电视、机顶盒、 Projector, game console or navigator.</v>
      </c>
      <c r="D835" s="6" t="s">
        <v>2443</v>
      </c>
      <c r="E835" s="4" t="str">
        <f ca="1">IFERROR(__xludf.DUMMYFUNCTION("GOOGLETRANSLATE(D835,""auto"",""en"")"),"Monitoring graphic user interface for device for display screen panels")</f>
        <v>Monitoring graphic user interface for device for display screen panels</v>
      </c>
    </row>
    <row r="836" spans="1:5" ht="15" x14ac:dyDescent="0.25">
      <c r="A836" s="5" t="s">
        <v>2444</v>
      </c>
      <c r="B836" s="6" t="s">
        <v>2445</v>
      </c>
      <c r="C836" s="3" t="str">
        <f ca="1">IFERROR(__xludf.DUMMYFUNCTION("GOOGLETRANSLATE(B836,""auto"",""en"")"),"The present invention provides a intelligent wearable IoT device that is configured as the main body on the main body, and can continuously track and report users' multiple life signs and sports activities, including but not limited to sound and vibration"&amp;" vibration Dynamic, breathing and cough (we can get breathing and cough types and characteristics from it), body temperature, peripheral oxygen saturation (SPO2), heart rate, and migration rate related to fatigue, physical ability, step count, Photopl eth"&amp;"y Smogrim (PPG ), SMOGRAM SMOGRAM (PPG), SMOGRAM (PPG), SMOGRIM (PPG) ECG, heart rate, heart rate variant, etc. In one aspect, wearable systems can measure the distance between different users by transmitting and receiving Bluetooth low -energy signals or"&amp;" wifi to track contact between different wearers. The system will be able to record data on the SD card and upload it on the server.")</f>
        <v>The present invention provides a intelligent wearable IoT device that is configured as the main body on the main body, and can continuously track and report users' multiple life signs and sports activities, including but not limited to sound and vibration vibration Dynamic, breathing and cough (we can get breathing and cough types and characteristics from it), body temperature, peripheral oxygen saturation (SPO2), heart rate, and migration rate related to fatigue, physical ability, step count, Photopl ethy Smogrim (PPG ), SMOGRAM SMOGRAM (PPG), SMOGRAM (PPG), SMOGRIM (PPG) ECG, heart rate, heart rate variant, etc. In one aspect, wearable systems can measure the distance between different users by transmitting and receiving Bluetooth low -energy signals or wifi to track contact between different wearers. The system will be able to record data on the SD card and upload it on the server.</v>
      </c>
      <c r="D836" s="6" t="s">
        <v>2446</v>
      </c>
      <c r="E836" s="4" t="str">
        <f ca="1">IFERROR(__xludf.DUMMYFUNCTION("GOOGLETRANSLATE(D836,""auto"",""en"")"),"Intelligent wearable IoT devices used for health tracking, contact person tracking and healthy worsening prediction")</f>
        <v>Intelligent wearable IoT devices used for health tracking, contact person tracking and healthy worsening prediction</v>
      </c>
    </row>
    <row r="837" spans="1:5" ht="15" x14ac:dyDescent="0.25">
      <c r="A837" s="5" t="s">
        <v>2447</v>
      </c>
      <c r="B837" s="6" t="s">
        <v>2448</v>
      </c>
      <c r="C837" s="3" t="str">
        <f ca="1">IFERROR(__xludf.DUMMYFUNCTION("GOOGLETRANSLATE(B837,""auto"",""en"")"),"A method of disclosed unmanned information terminals, order management servers, and order information provided by artificial intelligence. The order management server of the embodiment of the present invention includes a network communication interface, w"&amp;"hich sends information with external devices including unmanned information terminals and content services and receive information from external devices; big data includes biological characteristics and matching biological characteristics information (Inc"&amp;"luding gender, age, and height) multiple user information, information about multiple unmanned information terminals, at least one big data collection unit in multiple user preference information and content information to collect; the first method is By "&amp;"learning and processing of big data include mode recognition, classification, and associated links according to the preset conditions, at least one in the user's approach, user biological characteristics, user's sight, and user actions. A unit that genera"&amp;"tes an artificial neural network model and a second artificial neural network model to identify the preference content of each user; the controller is used to control the provision of the first artificial neural network model and the second artificial neu"&amp;"ral network model to the unmanned information terminal Overall operation.")</f>
        <v>A method of disclosed unmanned information terminals, order management servers, and order information provided by artificial intelligence. The order management server of the embodiment of the present invention includes a network communication interface, which sends information with external devices including unmanned information terminals and content services and receive information from external devices; big data includes biological characteristics and matching biological characteristics information (Including gender, age, and height) multiple user information, information about multiple unmanned information terminals, at least one big data collection unit in multiple user preference information and content information to collect; the first method is By learning and processing of big data include mode recognition, classification, and associated links according to the preset conditions, at least one in the user's approach, user biological characteristics, user's sight, and user actions. A unit that generates an artificial neural network model and a second artificial neural network model to identify the preference content of each user; the controller is used to control the provision of the first artificial neural network model and the second artificial neural network model to the unmanned information terminal Overall operation.</v>
      </c>
      <c r="D837" s="6" t="s">
        <v>2449</v>
      </c>
      <c r="E837" s="4" t="str">
        <f ca="1">IFERROR(__xludf.DUMMYFUNCTION("GOOGLETRANSLATE(D837,""auto"",""en"")"),"Use artificial intelligence unmanned information terminal, order management server and order information to provide methods")</f>
        <v>Use artificial intelligence unmanned information terminal, order management server and order information to provide methods</v>
      </c>
    </row>
    <row r="838" spans="1:5" ht="15" x14ac:dyDescent="0.25">
      <c r="A838" s="5" t="s">
        <v>2450</v>
      </c>
      <c r="B838" s="6" t="s">
        <v>2451</v>
      </c>
      <c r="C838" s="3" t="str">
        <f ca="1">IFERROR(__xludf.DUMMYFUNCTION("GOOGLETRANSLATE(B838,""auto"",""en"")"),"This public involves the Internet of Things, of which robots use guidance sensors for route navigation, and coupling with remote test equipment to achieve visualization. The device group in the current design is coupled in the IoT environment in the cloud"&amp;", and is connected by a public WIFI that enabled in a specific area. The robot is essentially dynamic, and its arm can stretch horizontally and vertically. Robots are controlled by airborne network browsers and high -speed Internet. The robot can track an"&amp;"d absorb location data, and can map the nearest device in the performer to find its unknown position. The robot mainly uses a two -way radio network to calculate the unknown area, and the known topographic map helps to move. The two -way radio wave system"&amp;" connected to ordinary transistors can emit and receive signals. The position sensor is precise. The combination of the sensor and the gyroscope and the fitness ball unit can help the robot to maintain the direction stability of the horizontal perspective"&amp;". The motherboard of the robot is equipped with a variety of sensors and electrical connections, and there is a TB specific storage unit. The robot is mainly controlled by humans, and the robot -based application control is connected to the robot interfac"&amp;"e. The robot can stop through the remote application in the application or the device connected to the driver in parallel. The robot is equipped with a 360 -degree rotating bionic eye, capture images and sends it to the transmission unit. There are coupli"&amp;"ng storage units on the motherboard of the robot and the user's computer. The device can display specific size limit.")</f>
        <v>This public involves the Internet of Things, of which robots use guidance sensors for route navigation, and coupling with remote test equipment to achieve visualization. The device group in the current design is coupled in the IoT environment in the cloud, and is connected by a public WIFI that enabled in a specific area. The robot is essentially dynamic, and its arm can stretch horizontally and vertically. Robots are controlled by airborne network browsers and high -speed Internet. The robot can track and absorb location data, and can map the nearest device in the performer to find its unknown position. The robot mainly uses a two -way radio network to calculate the unknown area, and the known topographic map helps to move. The two -way radio wave system connected to ordinary transistors can emit and receive signals. The position sensor is precise. The combination of the sensor and the gyroscope and the fitness ball unit can help the robot to maintain the direction stability of the horizontal perspective. The motherboard of the robot is equipped with a variety of sensors and electrical connections, and there is a TB specific storage unit. The robot is mainly controlled by humans, and the robot -based application control is connected to the robot interface. The robot can stop through the remote application in the application or the device connected to the driver in parallel. The robot is equipped with a 360 -degree rotating bionic eye, capture images and sends it to the transmission unit. There are coupling storage units on the motherboard of the robot and the user's computer. The device can display specific size limit.</v>
      </c>
      <c r="D838" s="6" t="s">
        <v>2452</v>
      </c>
      <c r="E838" s="4" t="str">
        <f ca="1">IFERROR(__xludf.DUMMYFUNCTION("GOOGLETRANSLATE(D838,""auto"",""en"")"),"It is used to mappore wireless communication signals to guide the method, system, and equipment of mobile robots through the Internet of Things (IoT)")</f>
        <v>It is used to mappore wireless communication signals to guide the method, system, and equipment of mobile robots through the Internet of Things (IoT)</v>
      </c>
    </row>
    <row r="839" spans="1:5" ht="15" x14ac:dyDescent="0.25">
      <c r="A839" s="5" t="s">
        <v>2453</v>
      </c>
      <c r="B839" s="6" t="s">
        <v>2454</v>
      </c>
      <c r="C839" s="3" t="str">
        <f ca="1">IFERROR(__xludf.DUMMYFUNCTION("GOOGLETRANSLATE(B839,""auto"",""en"")"),"This application disclosed a large -scale sports broadcast signal scheduling method and broadcast production system, which involves the field of image signal communication broadcast technology, first obtains real -time broadcast signals of several lines; "&amp;"Frame label judgment at this time is the state or non -race state at this time, and determine the alternative live script; then build an evaluation applicable matrix and the corresponding label reference set; Obtain the fusion matrix of the evaluation app"&amp;"licable matrix; finally evaluate the degree of applicable to the alternative live script, and select the live broadcast script for live broadcast. This application realizes the multi -dimensional level of the broadcast signal scheduling consideration and "&amp;"the differentiation of different media and audience groups, enhances the objectivity and diversity of the broadcast signal scheduling, enhances real -time interaction to the audience, and expands the live broadcast of sports events. Digital media form.")</f>
        <v>This application disclosed a large -scale sports broadcast signal scheduling method and broadcast production system, which involves the field of image signal communication broadcast technology, first obtains real -time broadcast signals of several lines; Frame label judgment at this time is the state or non -race state at this time, and determine the alternative live script; then build an evaluation applicable matrix and the corresponding label reference set; Obtain the fusion matrix of the evaluation applicable matrix; finally evaluate the degree of applicable to the alternative live script, and select the live broadcast script for live broadcast. This application realizes the multi -dimensional level of the broadcast signal scheduling consideration and the differentiation of different media and audience groups, enhances the objectivity and diversity of the broadcast signal scheduling, enhances real -time interaction to the audience, and expands the live broadcast of sports events. Digital media form.</v>
      </c>
      <c r="D839" s="6" t="s">
        <v>2455</v>
      </c>
      <c r="E839" s="4" t="str">
        <f ca="1">IFERROR(__xludf.DUMMYFUNCTION("GOOGLETRANSLATE(D839,""auto"",""en"")"),"A large -scale sports broadcast signal scheduling method and broadcast production system")</f>
        <v>A large -scale sports broadcast signal scheduling method and broadcast production system</v>
      </c>
    </row>
    <row r="840" spans="1:5" ht="15" x14ac:dyDescent="0.25">
      <c r="A840" s="5" t="s">
        <v>2456</v>
      </c>
      <c r="B840" s="6" t="s">
        <v>2457</v>
      </c>
      <c r="C840" s="3" t="str">
        <f ca="1">IFERROR(__xludf.DUMMYFUNCTION("GOOGLETRANSLATE(B840,""auto"",""en"")"),"It describes the methods and systems for building a user's three -dimensional (3D) model for the application of virtual reality (VR) in a virtual environment. This method includes the image of the user captured using the RGB camera; using the first traine"&amp;"d neural network detection of the body boundary box related to the user associated with the user; determining the user's division of the user based on the body boundary frame; ) Outline; By squeezing 2D contour to form a 3D extrusion model; the 3D model o"&amp;"f users is constructed in a virtual environment by applying geometric transformations to the 3D extrusion model. The application of the whole body VR includes sports training and fitness courses, games, computing equipment control, data processing and dis"&amp;"play, interactive social media with VR.")</f>
        <v>It describes the methods and systems for building a user's three -dimensional (3D) model for the application of virtual reality (VR) in a virtual environment. This method includes the image of the user captured using the RGB camera; using the first trained neural network detection of the body boundary box related to the user associated with the user; determining the user's division of the user based on the body boundary frame; ) Outline; By squeezing 2D contour to form a 3D extrusion model; the 3D model of users is constructed in a virtual environment by applying geometric transformations to the 3D extrusion model. The application of the whole body VR includes sports training and fitness courses, games, computing equipment control, data processing and display, interactive social media with VR.</v>
      </c>
      <c r="D840" s="6" t="s">
        <v>2458</v>
      </c>
      <c r="E840" s="4" t="str">
        <f ca="1">IFERROR(__xludf.DUMMYFUNCTION("GOOGLETRANSLATE(D840,""auto"",""en"")"),"Using the system virtual reality of computer vision and related systems and methods from a single camera")</f>
        <v>Using the system virtual reality of computer vision and related systems and methods from a single camera</v>
      </c>
    </row>
    <row r="841" spans="1:5" ht="15" x14ac:dyDescent="0.25">
      <c r="A841" s="5" t="s">
        <v>2459</v>
      </c>
      <c r="B841" s="6" t="s">
        <v>2460</v>
      </c>
      <c r="C841" s="3" t="str">
        <f ca="1">IFERROR(__xludf.DUMMYFUNCTION("GOOGLETRANSLATE(B841,""auto"",""en"")"),"The invention disclosed the software operating arm based on cross -modular tactile sensors and bubble drives, including cross -modal tactile sensors, software pneumatic fingers, square fixing boards, triangular support plates and bubble drives. The presen"&amp;"t invention has safe human -computer interaction and infinite degrees of freedom, which improves the motion ability of the robotic arm. At the same time, it is equipped with a software pneumatic fingers with cross -membrane tactile perception. Sensor, rea"&amp;"lize multifunctional perception, perceive whether the software robot is exposed to the object; perceive whether the software pneumatic fingers successfully grab the objects, and in the process of executing the items and handling processes, monitor the sta"&amp;"bility of the object capture; The contact force in the process can accurately control the grabbing force of the output, thereby achieving the safety grasp of objects.")</f>
        <v>The invention disclosed the software operating arm based on cross -modular tactile sensors and bubble drives, including cross -modal tactile sensors, software pneumatic fingers, square fixing boards, triangular support plates and bubble drives. The present invention has safe human -computer interaction and infinite degrees of freedom, which improves the motion ability of the robotic arm. At the same time, it is equipped with a software pneumatic fingers with cross -membrane tactile perception. Sensor, realize multifunctional perception, perceive whether the software robot is exposed to the object; perceive whether the software pneumatic fingers successfully grab the objects, and in the process of executing the items and handling processes, monitor the stability of the object capture; The contact force in the process can accurately control the grabbing force of the output, thereby achieving the safety grasp of objects.</v>
      </c>
      <c r="D841" s="6" t="s">
        <v>2461</v>
      </c>
      <c r="E841" s="4" t="str">
        <f ca="1">IFERROR(__xludf.DUMMYFUNCTION("GOOGLETRANSLATE(D841,""auto"",""en"")"),"Software operating arm based on cross -modal tactile sensors and bubble drives")</f>
        <v>Software operating arm based on cross -modal tactile sensors and bubble drives</v>
      </c>
    </row>
    <row r="842" spans="1:5" ht="15" x14ac:dyDescent="0.25">
      <c r="A842" s="5" t="s">
        <v>2462</v>
      </c>
      <c r="B842" s="6" t="s">
        <v>2463</v>
      </c>
      <c r="C842" s="3" t="str">
        <f ca="1">IFERROR(__xludf.DUMMYFUNCTION("GOOGLETRANSLATE(B842,""auto"",""en"")"),"The invention disclosed the radio gymnastic action recognition system and methods based on IMU and linear discrimination analysis, involving the field of artificial intelligence technology; IMU arranged on the human body to capture the acceleration angle "&amp;"change of the designated part of the human action, and use the linear angle speed data to use linearly judging linear discrimination with linearity. Lineardiscripriminantanalysis (LDA) realizes action recognition to ensure the recognition of radio gymnast"&amp;"ics campaigns at low cost in the case of ensuring portability. The system only needs to be worn on the arm, which can realize the recognition of radio gymnastics, which greatly improves portability. The action recognition algorithm of the use of a linear "&amp;"identification algorithm improves the accuracy of identification of radio gymnastics. It has a high accuracy of identification, and it is easy to operate and automate.")</f>
        <v>The invention disclosed the radio gymnastic action recognition system and methods based on IMU and linear discrimination analysis, involving the field of artificial intelligence technology; IMU arranged on the human body to capture the acceleration angle change of the designated part of the human action, and use the linear angle speed data to use linearly judging linear discrimination with linearity. Lineardiscripriminantanalysis (LDA) realizes action recognition to ensure the recognition of radio gymnastics campaigns at low cost in the case of ensuring portability. The system only needs to be worn on the arm, which can realize the recognition of radio gymnastics, which greatly improves portability. The action recognition algorithm of the use of a linear identification algorithm improves the accuracy of identification of radio gymnastics. It has a high accuracy of identification, and it is easy to operate and automate.</v>
      </c>
      <c r="D842" s="6" t="s">
        <v>2464</v>
      </c>
      <c r="E842" s="4" t="str">
        <f ca="1">IFERROR(__xludf.DUMMYFUNCTION("GOOGLETRANSLATE(D842,""auto"",""en"")"),"Radio gymnastic action recognition system and method based on IMU and linear judgment analysis")</f>
        <v>Radio gymnastic action recognition system and method based on IMU and linear judgment analysis</v>
      </c>
    </row>
    <row r="843" spans="1:5" ht="15" x14ac:dyDescent="0.25">
      <c r="A843" s="5" t="s">
        <v>2465</v>
      </c>
      <c r="B843" s="6" t="s">
        <v>2466</v>
      </c>
      <c r="C843" s="3" t="str">
        <f ca="1">IFERROR(__xludf.DUMMYFUNCTION("GOOGLETRANSLATE(B843,""auto"",""en"")"),"The invention disclosed a swimming pool anti -drowning warning device based on image recognition technology, including cruise guide rails, electric slide, cleaning components, monitoring cameras, artificial intelligence anti -drowning warning systems, wat"&amp;"erproof fog components, regulating components, display, display The screen and the mixture component, the central center of the cruising guide is installed with an electric slide, the top and bottom of the two sides of the electric slide are fixed with cl"&amp;"ean components, and the cleaning component is connected to the cruise guide. There is a regulatory component in the center of the slide, and a monitoring camera is installed above the top of the component; the swimming pool anti -drowning warning device h"&amp;"as a simple structure and a small size; in use, it can have a large range of cruise, so as to improve the right right. Monitoring and early warning at different locations of the swimming pool; at the same time, the surface water mist and impurities of the"&amp;" early warning equipment can be cleaned, thereby avoiding the effect of water mist affecting the effect of monitoring and early warning.")</f>
        <v>The invention disclosed a swimming pool anti -drowning warning device based on image recognition technology, including cruise guide rails, electric slide, cleaning components, monitoring cameras, artificial intelligence anti -drowning warning systems, waterproof fog components, regulating components, display, display The screen and the mixture component, the central center of the cruising guide is installed with an electric slide, the top and bottom of the two sides of the electric slide are fixed with clean components, and the cleaning component is connected to the cruise guide. There is a regulatory component in the center of the slide, and a monitoring camera is installed above the top of the component; the swimming pool anti -drowning warning device has a simple structure and a small size; in use, it can have a large range of cruise, so as to improve the right right. Monitoring and early warning at different locations of the swimming pool; at the same time, the surface water mist and impurities of the early warning equipment can be cleaned, thereby avoiding the effect of water mist affecting the effect of monitoring and early warning.</v>
      </c>
      <c r="D843" s="6" t="s">
        <v>2467</v>
      </c>
      <c r="E843" s="4" t="str">
        <f ca="1">IFERROR(__xludf.DUMMYFUNCTION("GOOGLETRANSLATE(D843,""auto"",""en"")"),"A pool anti -drowning warning device based on image recognition technology")</f>
        <v>A pool anti -drowning warning device based on image recognition technology</v>
      </c>
    </row>
    <row r="844" spans="1:5" ht="15" x14ac:dyDescent="0.25">
      <c r="A844" s="5" t="s">
        <v>2468</v>
      </c>
      <c r="B844" s="6" t="s">
        <v>2469</v>
      </c>
      <c r="C844" s="3" t="str">
        <f ca="1">IFERROR(__xludf.DUMMYFUNCTION("GOOGLETRANSLATE(B844,""auto"",""en"")"),"1. Design product name: Answer graphic user interface for display screen panels.
 2. The purpose of designing products in this exterior: The design of the product in this exterior is used for running programs, displaying information and human -computer "&amp;"interaction.
 3. Design of design products in this appearance: lies in the interface content and layout of the graphic user interface.
 4. Pictures or photos that can best show design: Design 1 main view.
 5. The screen panel is commonly designed, o"&amp;"mitting design 1 to design, 6 post -view view, viewing view, downward view, left view and right view.
 6. Specify design 1 is the basic design.
 7. The purpose of graphical user interface: This graphic user interface is used to display answering infor"&amp;"mation and prompt information.
 In the design 1 main view, the graphic user interface includes the answer area and the information prompt area. The answer area is located on the left side of the interface. The user can slide up and down in the answer ar"&amp;"ea. The information prompt area is located on the right side of the interface.
 In the design 2 main view, the answer area is located on the right side of the interface, and the information prompt area is located on the left side of the interface.
 In"&amp;" the design 3 main view, the answer area is located in the middle of the interface, and the information reminder area is located on the left and right sides of the interface.
 In the design 4 main view, the answer area is located on the lower side of th"&amp;"e interface. The user can slide left and right in the answer area. The information prompt area is located on the upper side of the interface.
 In the design 5 main view, the answer area is located on the upper side of the interface, and the information "&amp;"prompt area is located on the lower side of the interface.
 In the design 6 main view, the answer area is located in the middle of the interface, and the information reminder area is located on both sides of the interface.
 8. The display screen panel"&amp;" is used for mobile phones, laptops, tablets, computers, computers, vehicle central control screens, smart TVs, smart bracelets, smart glasses, smart watches, personal digital assistants, fitness monitor, projector.")</f>
        <v>1. Design product name: Answer graphic user interface for display screen panels.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best show design: Design 1 main view.
 5. The screen panel is commonly designed, omitting design 1 to design, 6 post -view view, viewing view, downward view, left view and right view.
 6. Specify design 1 is the basic design.
 7. The purpose of graphical user interface: This graphic user interface is used to display answering information and prompt information.
 In the design 1 main view, the graphic user interface includes the answer area and the information prompt area. The answer area is located on the left side of the interface. The user can slide up and down in the answer area. The information prompt area is located on the right side of the interface.
 In the design 2 main view, the answer area is located on the right side of the interface, and the information prompt area is located on the left side of the interface.
 In the design 3 main view, the answer area is located in the middle of the interface, and the information reminder area is located on the left and right sides of the interface.
 In the design 4 main view, the answer area is located on the lower side of the interface. The user can slide left and right in the answer area. The information prompt area is located on the upper side of the interface.
 In the design 5 main view, the answer area is located on the upper side of the interface, and the information prompt area is located on the lower side of the interface.
 In the design 6 main view, the answer area is located in the middle of the interface, and the information reminder area is located on both sides of the interface.
 8. The display screen panel is used for mobile phones, laptops, tablets, computers, computers, vehicle central control screens, smart TVs, smart bracelets, smart glasses, smart watches, personal digital assistants, fitness monitor, projector.</v>
      </c>
      <c r="D844" s="6" t="s">
        <v>2470</v>
      </c>
      <c r="E844" s="4" t="str">
        <f ca="1">IFERROR(__xludf.DUMMYFUNCTION("GOOGLETRANSLATE(D844,""auto"",""en"")"),"Answer graphic user interface for the display screen panel")</f>
        <v>Answer graphic user interface for the display screen panel</v>
      </c>
    </row>
    <row r="845" spans="1:5" ht="15" x14ac:dyDescent="0.25">
      <c r="A845" s="5" t="s">
        <v>2471</v>
      </c>
      <c r="B845" s="6" t="s">
        <v>2472</v>
      </c>
      <c r="C845" s="3" t="str">
        <f ca="1">IFERROR(__xludf.DUMMYFUNCTION("GOOGLETRANSLATE(B845,""auto"",""en"")"),"Example systems, equipment, media and methods are described as monitors using glasses equipment in augmented reality to present a virtual guidance fitness experience. Guide fitness applications to use the inertial measurement unit (IMU) and video data fro"&amp;"m one or more cameras to achieve and control the capture of sports data frames. This method includes detection and exercise (there is or no equipment), as well as detection and computing repeated times. Retrieve relevant data from the detected exercise or"&amp;" equipment and use it to plan a guiding fitness experience. The current representative count is displayed on the display, and the avatars that are used to play messages, perform animation demonstrations, use voice recognition response commands and query, "&amp;"and present avatars to guide fitness descriptions through text, audio and videos.")</f>
        <v>Example systems, equipment, media and methods are described as monitors using glasses equipment in augmented reality to present a virtual guidance fitness experience. Guide fitness applications to use the inertial measurement unit (IMU) and video data from one or more cameras to achieve and control the capture of sports data frames. This method includes detection and exercise (there is or no equipment), as well as detection and computing repeated times. Retrieve relevant data from the detected exercise or equipment and use it to plan a guiding fitness experience. The current representative count is displayed on the display, and the avatars that are used to play messages, perform animation demonstrations, use voice recognition response commands and query, and present avatars to guide fitness descriptions through text, audio and videos.</v>
      </c>
      <c r="D845" s="6" t="s">
        <v>2473</v>
      </c>
      <c r="E845" s="4" t="str">
        <f ca="1">IFERROR(__xludf.DUMMYFUNCTION("GOOGLETRANSLATE(D845,""auto"",""en"")"),"Virtual guidance fitness procedures used to strengthen reality experience")</f>
        <v>Virtual guidance fitness procedures used to strengthen reality experience</v>
      </c>
    </row>
    <row r="846" spans="1:5" ht="15" x14ac:dyDescent="0.25">
      <c r="A846" s="5" t="s">
        <v>2474</v>
      </c>
      <c r="B846" s="6" t="s">
        <v>2475</v>
      </c>
      <c r="C846" s="3" t="str">
        <f ca="1">IFERROR(__xludf.DUMMYFUNCTION("GOOGLETRANSLATE(B846,""auto"",""en"")"),"This public involves the Internet of Things, of which robots use guidance sensors for route navigation, and coupling with remote test equipment to achieve visualization. The device group in the current design is coupled in the IoT environment in the cloud"&amp;", and is connected by a public WIFI that enabled in a specific area. The robot is essentially dynamic, and its arm can stretch horizontally and vertically. Robots are controlled by airborne network browsers and high -speed Internet. The robot can track an"&amp;"d absorb location data, and can map the nearest device in the performer to find its unknown position. The robot mainly uses a two -way radio network to calculate the unknown area, and the known topographic map helps to move. The two -way radio wave system"&amp;" connected to ordinary transistors can emit and receive signals. The position sensor is precise. The combination of sensors and gyroscopes and fitness balls can help robots maintain direction stability in the horizontal perspective. The motherboard of the"&amp;" robot is equipped with a variety of sensors and electrical connections, and there is a TB specific storage unit. The robot is mainly controlled by humans, and the robot -based application control is connected to the robot interface. The robot can stop th"&amp;"rough the remote application in the application or the device connected to the driver's unit. The robot is equipped with a 360 -degree rotating bionic eye, which captures the image and sends it to the transmission unit. There are coupling storage units on"&amp;" the motherboard of the robot and the user's computer. The device can show up to specific size limit.")</f>
        <v>This public involves the Internet of Things, of which robots use guidance sensors for route navigation, and coupling with remote test equipment to achieve visualization. The device group in the current design is coupled in the IoT environment in the cloud, and is connected by a public WIFI that enabled in a specific area. The robot is essentially dynamic, and its arm can stretch horizontally and vertically. Robots are controlled by airborne network browsers and high -speed Internet. The robot can track and absorb location data, and can map the nearest device in the performer to find its unknown position. The robot mainly uses a two -way radio network to calculate the unknown area, and the known topographic map helps to move. The two -way radio wave system connected to ordinary transistors can emit and receive signals. The position sensor is precise. The combination of sensors and gyroscopes and fitness balls can help robots maintain direction stability in the horizontal perspective. The motherboard of the robot is equipped with a variety of sensors and electrical connections, and there is a TB specific storage unit. The robot is mainly controlled by humans, and the robot -based application control is connected to the robot interface. The robot can stop through the remote application in the application or the device connected to the driver's unit. The robot is equipped with a 360 -degree rotating bionic eye, which captures the image and sends it to the transmission unit. There are coupling storage units on the motherboard of the robot and the user's computer. The device can show up to specific size limit.</v>
      </c>
      <c r="D846" s="6" t="s">
        <v>2476</v>
      </c>
      <c r="E846" s="4" t="str">
        <f ca="1">IFERROR(__xludf.DUMMYFUNCTION("GOOGLETRANSLATE(D846,""auto"",""en"")"),"It is used to mappore wireless communication signals to guide the method, system, and equipment of mobile robots through the Internet of Things (IoT)")</f>
        <v>It is used to mappore wireless communication signals to guide the method, system, and equipment of mobile robots through the Internet of Things (IoT)</v>
      </c>
    </row>
    <row r="847" spans="1:5" ht="15" x14ac:dyDescent="0.25">
      <c r="A847" s="5" t="s">
        <v>2477</v>
      </c>
      <c r="B847" s="6" t="s">
        <v>2478</v>
      </c>
      <c r="C847" s="3" t="str">
        <f ca="1">IFERROR(__xludf.DUMMYFUNCTION("GOOGLETRANSLATE(B847,""auto"",""en"")"),"The distributed machine learning system and other distributed computing systems are improved by embedding computing logic at the network switch level to perform collective operations for gradient or other data processed by the system node, such as intensi"&amp;"ve operations. The switch is configured to identify data units associated with a collective movement that is carried out to be performed by a collective action that is carried out by a distributed system (this article is called ""Calculating Data""), and "&amp;"uses the calculating subsystem in the switch to process the data. The computing subsystem includes the calculation engine, which is configured to perform various operations on the calculation data, such as the ""return"" operation, and forward the results"&amp;" back to the calculation node. The intensive operation can include, for example, for peace, average operation, etc. In this way, the network switch can take over the part or all of the distributed system during the set stage.")</f>
        <v>The distributed machine learning system and other distributed computing systems are improved by embedding computing logic at the network switch level to perform collective operations for gradient or other data processed by the system node, such as intensive operations. The switch is configured to identify data units associated with a collective movement that is carried out to be performed by a collective action that is carried out by a distributed system (this article is called "Calculating Data"), and uses the calculating subsystem in the switch to process the data. The computing subsystem includes the calculation engine, which is configured to perform various operations on the calculation data, such as the "return" operation, and forward the results back to the calculation node. The intensive operation can include, for example, for peace, average operation, etc. In this way, the network switch can take over the part or all of the distributed system during the set stage.</v>
      </c>
      <c r="D847" s="6" t="s">
        <v>2479</v>
      </c>
      <c r="E847" s="4" t="str">
        <f ca="1">IFERROR(__xludf.DUMMYFUNCTION("GOOGLETRANSLATE(D847,""auto"",""en"")"),"Network switches with integrated gradient aggregation, for distributed machine learning")</f>
        <v>Network switches with integrated gradient aggregation, for distributed machine learning</v>
      </c>
    </row>
    <row r="848" spans="1:5" ht="15" x14ac:dyDescent="0.25">
      <c r="A848" s="5" t="s">
        <v>2480</v>
      </c>
      <c r="B848" s="6" t="s">
        <v>2481</v>
      </c>
      <c r="C848" s="3" t="str">
        <f ca="1">IFERROR(__xludf.DUMMYFUNCTION("GOOGLETRANSLATE(B848,""auto"",""en"")"),"The present invention disclosed a comprehensive sports training equipment based on artificial intelligence with running training functions. The specific field of sports training technology, including two groups of vertical boards and horizontal plates wit"&amp;"h vertical settings. There is an angle adjustment mechanism. There is a lifting adjustment mechanism between the two vertical plates. There are running agencies between the two horizontal plates, and the two horizontal plates are far from the end of the c"&amp;"orresponding position of the vertical plate. Components, the running agency is set up with an angle adjustment mechanism from one end of the installation component. The invention is a combination of running institutions that will conduct running training,"&amp;" the lifting adjustment institution of armor training and leg press training, and the grip institutions for grip training. Trainer's physical fitness.")</f>
        <v>The present invention disclosed a comprehensive sports training equipment based on artificial intelligence with running training functions. The specific field of sports training technology, including two groups of vertical boards and horizontal plates with vertical settings. There is an angle adjustment mechanism. There is a lifting adjustment mechanism between the two vertical plates. There are running agencies between the two horizontal plates, and the two horizontal plates are far from the end of the corresponding position of the vertical plate. Components, the running agency is set up with an angle adjustment mechanism from one end of the installation component. The invention is a combination of running institutions that will conduct running training, the lifting adjustment institution of armor training and leg press training, and the grip institutions for grip training. Trainer's physical fitness.</v>
      </c>
      <c r="D848" s="6" t="s">
        <v>2482</v>
      </c>
      <c r="E848" s="4" t="str">
        <f ca="1">IFERROR(__xludf.DUMMYFUNCTION("GOOGLETRANSLATE(D848,""auto"",""en"")"),"Comprehensive sports training equipment based on artificial intelligence with running training functions")</f>
        <v>Comprehensive sports training equipment based on artificial intelligence with running training functions</v>
      </c>
    </row>
    <row r="849" spans="1:5" ht="15" x14ac:dyDescent="0.25">
      <c r="A849" s="5" t="s">
        <v>2483</v>
      </c>
      <c r="B849" s="6" t="s">
        <v>2484</v>
      </c>
      <c r="C849" s="3" t="str">
        <f ca="1">IFERROR(__xludf.DUMMYFUNCTION("GOOGLETRANSLATE(B849,""auto"",""en"")"),"1. Design product name: Take employee files to see the display screen panel of the graphical user interface.
 2. The purpose of designing products in this exterior: used to display graphic user interface.
 3. Design of design products in this appearan"&amp;"ce: lies in the graphic user interface in the screen.
 4. Pictures or photos that can most indicate design points: main view.
 5. There is no design point for other views, omitting other views.
 6. The purpose of graphical user interface: The interf"&amp;"ace is used for the use of employee file information query, viewing and display.
 7. Human -computer interaction method of graphical user interface: The graphic user interface displayed by the main view is to open the start interface of the program; Fig"&amp;"ure 2: In the interface changes, Figure 1 Sliding upward in the central position to obtain the interface change state Figure 2; interface change state Figure 3: In the interface change state Figure 2 The central position of the central government slide up"&amp;" to get the interface changes. : In the interface change state Figure 3 Sliding upwards in the central center to obtain the interface change state Figure 4; interface change state Figure 5: in the interface change state figure 4 to slide up to the central"&amp;" position to get the interface change state diagram 5; Interface changes. Figure 5 The central area is free to slide up to get the interface change state Figure 6.
 8. The display screen panel of the product can be applied to computers, laptops, tablet "&amp;"computers, head -up display (HUD), multimedia projector, smartphone, smart robot, smart glasses, virtual reality glasses, augmented reality glasses, hybrid reality Glasses, smart watches, fitness monitors, headset headphones, driving recorders, vehicle na"&amp;"vigation equipment, vehicle CNC computer, automobile smart rearview mirror, smart speaker, smart TV, set -top box, game handheld, game console.
 9. The gray ""X"" coating in the graphic user interface of the product of the product is the content picture"&amp;".")</f>
        <v>1. Design product name: Take employee files to see the display screen panel of the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the use of employee file information query, viewing and display.
 7. Human -computer interaction method of graphical user interface: The graphic user interface displayed by the main view is to open the start interface of the program; Figure 2: In the interface changes, Figure 1 Sliding upward in the central position to obtain the interface change state Figure 2; interface change state Figure 3: In the interface change state Figure 2 The central position of the central government slide up to get the interface changes. : In the interface change state Figure 3 Sliding upwards in the central center to obtain the interface change state Figure 4; interface change state Figure 5: in the interface change state figure 4 to slide up to the central position to get the interface change state diagram 5; Interface changes. Figure 5 The central area is free to slide up to get the interface change state Figure 6.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849" s="6" t="s">
        <v>2485</v>
      </c>
      <c r="E849" s="4" t="str">
        <f ca="1">IFERROR(__xludf.DUMMYFUNCTION("GOOGLETRANSLATE(D849,""auto"",""en"")"),"Take the employee file to view the display screen panel of the graphical user interface")</f>
        <v>Take the employee file to view the display screen panel of the graphical user interface</v>
      </c>
    </row>
    <row r="850" spans="1:5" ht="15" x14ac:dyDescent="0.25">
      <c r="A850" s="5" t="s">
        <v>2486</v>
      </c>
      <c r="B850" s="6" t="s">
        <v>2487</v>
      </c>
      <c r="C850" s="3" t="str">
        <f ca="1">IFERROR(__xludf.DUMMYFUNCTION("GOOGLETRANSLATE(B850,""auto"",""en"")"),"1. The name of the product of the design of the product: The display screen panel of the graphic user interface with the personnel background.
 2. The purpose of designing products in this exterior: used to display graphic user interface.
 3. Design o"&amp;"f design products in this appearance: lies in the graphic user interface in the screen.
 4. Pictures or photos that can best show design points: Figure 1 of the interface change state.
 5. There is no design point for other views, omitting other views"&amp;".
 6. The purpose of graphical user interface: The interface is used for the use of employee recruitment, management, information records and display of employees in personnel.
 7. Human -computer interaction method of graphical user interface: The gr"&amp;"aphic user interface displayed by the main view is to open the start interface of the program; Change status Figure 2: Click the interface change state Figure 1 The ""candidate"" label button in the central center enters the interface change state Figure "&amp;"2.
 8. The display screen panel of the product can be applied to computers, laptops, tablet computers, head -up display (HUD), multimedia projector, smartphone, smart robot, smart glasses, virtual reality glasses, augmented reality glasses, hybrid reali"&amp;"ty Glasses, smart watches, fitness monitors, headset headphones, driving recorders, vehicle navigation equipment, vehicle CNC computer, automobile smart rearview mirror, smart speaker, smart TV, set -top box, game handheld, game console.
 9. The gray """&amp;"X"" coating in the graphic user interface of the product of the product is the content picture.")</f>
        <v>1. The name of the product of the design of the product: The display screen panel of the graphic user interface with the personnel background.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graphical user interface: The interface is used for the use of employee recruitment, management, information records and display of employees in personnel.
 7. Human -computer interaction method of graphical user interface: The graphic user interface displayed by the main view is to open the start interface of the program; Change status Figure 2: Click the interface change state Figure 1 The "candidate" label button in the central center enters the interface change state Figure 2.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9. The gray "X" coating in the graphic user interface of the product of the product is the content picture.</v>
      </c>
      <c r="D850" s="6" t="s">
        <v>2488</v>
      </c>
      <c r="E850" s="4" t="str">
        <f ca="1">IFERROR(__xludf.DUMMYFUNCTION("GOOGLETRANSLATE(D850,""auto"",""en"")"),"Display screen panel with personnel background management graphic user interface")</f>
        <v>Display screen panel with personnel background management graphic user interface</v>
      </c>
    </row>
    <row r="851" spans="1:5" ht="15" x14ac:dyDescent="0.25">
      <c r="A851" s="5" t="s">
        <v>2489</v>
      </c>
      <c r="B851" s="6" t="s">
        <v>2490</v>
      </c>
      <c r="C851" s="3" t="str">
        <f ca="1">IFERROR(__xludf.DUMMYFUNCTION("GOOGLETRANSLATE(B851,""auto"",""en"")"),"This utility model opens a dynamic scenario treadmill with a vocal emergency stop function, including the seat seat, the left side of the seat on the left side of the machine seat, the top of the rack is connected to the connection with operating panels, "&amp;"racks, racks, racks, racks, racks The top of the right side is fixed with an armrest. The inner cavity of the operation panel is set with circuit boards. The surface of the circuit board is integrated with a processor, voice recognition module, and motor "&amp;"start -stop module.本实用新型通过机座、机架、操作面板、扶手、电路板、处理器、语音识别模块、马达启停模块、麦克风、调节盒、双轴电机、丝杠、滑套、滑轮、竖板、 The combination of mobile boards, oblique blocks, rollers, and springs has the advantages of voice emergency stop function and convenient movement. It can effectively "&amp;"solve the existing sports and fitness treadmills with dynamic scenes. Insufficient, so it is impossible to meet the problems of use needs.")</f>
        <v>This utility model opens a dynamic scenario treadmill with a vocal emergency stop function, including the seat seat, the left side of the seat on the left side of the machine seat, the top of the rack is connected to the connection with operating panels, racks, racks, racks, racks, racks The top of the right side is fixed with an armrest. The inner cavity of the operation panel is set with circuit boards. The surface of the circuit board is integrated with a processor, voice recognition module, and motor start -stop module.本实用新型通过机座、机架、操作面板、扶手、电路板、处理器、语音识别模块、马达启停模块、麦克风、调节盒、双轴电机、丝杠、滑套、滑轮、竖板、 The combination of mobile boards, oblique blocks, rollers, and springs has the advantages of voice emergency stop function and convenient movement. It can effectively solve the existing sports and fitness treadmills with dynamic scenes. Insufficient, so it is impossible to meet the problems of use needs.</v>
      </c>
      <c r="D851" s="6" t="s">
        <v>2491</v>
      </c>
      <c r="E851" s="4" t="str">
        <f ca="1">IFERROR(__xludf.DUMMYFUNCTION("GOOGLETRANSLATE(D851,""auto"",""en"")"),"A dynamic scene -type treadmill with a voice -over -voice emergency stop function")</f>
        <v>A dynamic scene -type treadmill with a voice -over -voice emergency stop function</v>
      </c>
    </row>
    <row r="852" spans="1:5" ht="15" x14ac:dyDescent="0.25">
      <c r="A852" s="5" t="s">
        <v>2492</v>
      </c>
      <c r="B852" s="6" t="s">
        <v>2493</v>
      </c>
      <c r="C852" s="3" t="str">
        <f ca="1">IFERROR(__xludf.DUMMYFUNCTION("GOOGLETRANSLATE(B852,""auto"",""en"")"),"The present invention involves the field of payment system technology, which involves a motion analysis system based on deep learning based on deep learning; including perspective extraction units, positioning units, hitting positioning units, and action "&amp;"recognition units; Based on the badminton game video, based on the extraction of badminton video fragments to make a meta -video dataset, through the positioning unit of the player's action positioning and action recognition research, the hit positioning "&amp;"unit is determined by the way of swinging the arm of the badminton, and the action recognition is identified by action. The unit combines the player's hitting action combined with the badminton action positioning program and identification program, so as "&amp;"to achieve the recognition of the hitting action more practical significance. Enhance the automation of video cutting. The ball movement is positioned in time domain to achieve the extraction of badminton action element videos and enhance the end -to -end"&amp;" performance of badminton action recognition.")</f>
        <v>The present invention involves the field of payment system technology, which involves a motion analysis system based on deep learning based on deep learning; including perspective extraction units, positioning units, hitting positioning units, and action recognition units; Based on the badminton game video, based on the extraction of badminton video fragments to make a meta -video dataset, through the positioning unit of the player's action positioning and action recognition research, the hit positioning unit is determined by the way of swinging the arm of the badminton, and the action recognition is identified by action. The unit combines the player's hitting action combined with the badminton action positioning program and identification program, so as to achieve the recognition of the hitting action more practical significance. Enhance the automation of video cutting. The ball movement is positioned in time domain to achieve the extraction of badminton action element videos and enhance the end -to -end performance of badminton action recognition.</v>
      </c>
      <c r="D852" s="6" t="s">
        <v>2494</v>
      </c>
      <c r="E852" s="4" t="str">
        <f ca="1">IFERROR(__xludf.DUMMYFUNCTION("GOOGLETRANSLATE(D852,""auto"",""en"")"),"A motion analysis system based on deep -learning badminton competitions")</f>
        <v>A motion analysis system based on deep -learning badminton competitions</v>
      </c>
    </row>
    <row r="853" spans="1:5" ht="15" x14ac:dyDescent="0.25">
      <c r="A853" s="5" t="s">
        <v>2495</v>
      </c>
      <c r="B853" s="6" t="s">
        <v>2496</v>
      </c>
      <c r="C853" s="3" t="str">
        <f ca="1">IFERROR(__xludf.DUMMYFUNCTION("GOOGLETRANSLATE(B853,""auto"",""en"")"),"The present invention proposes a tennis action scoring method and system based on machine learning, which is the field of action scoring. Including three parts: smart terminal, server side, and database end. Intelligent terminals are used to collect user "&amp;"tennis action related data and conduct preliminary feature engineering, and then upload the processed data to the database through the network protocol; the database is responsible for storing user -related data and processed data generated by the server;"&amp;" Extract the characteristic data of tennis action, and further clean, screen and aggregate the data based on OpenPOS and information gain, and then use LightGBM to evaluate the user tennis action specifications, and finally give specific scores. After man"&amp;"y experiments, the invention has performed well in scoring accuracy, model reasoning speed, and complex scene adaptability.")</f>
        <v>The present invention proposes a tennis action scoring method and system based on machine learning, which is the field of action scoring. Including three parts: smart terminal, server side, and database end. Intelligent terminals are used to collect user tennis action related data and conduct preliminary feature engineering, and then upload the processed data to the database through the network protocol; the database is responsible for storing user -related data and processed data generated by the server; Extract the characteristic data of tennis action, and further clean, screen and aggregate the data based on OpenPOS and information gain, and then use LightGBM to evaluate the user tennis action specifications, and finally give specific scores. After many experiments, the invention has performed well in scoring accuracy, model reasoning speed, and complex scene adaptability.</v>
      </c>
      <c r="D853" s="6" t="s">
        <v>2497</v>
      </c>
      <c r="E853" s="4" t="str">
        <f ca="1">IFERROR(__xludf.DUMMYFUNCTION("GOOGLETRANSLATE(D853,""auto"",""en"")"),"A method and system of a tennis action scoring method and system based on machine learning")</f>
        <v>A method and system of a tennis action scoring method and system based on machine learning</v>
      </c>
    </row>
    <row r="854" spans="1:5" ht="15" x14ac:dyDescent="0.25">
      <c r="A854" s="5" t="s">
        <v>2498</v>
      </c>
      <c r="B854" s="6" t="s">
        <v>2499</v>
      </c>
      <c r="C854" s="3" t="str">
        <f ca="1">IFERROR(__xludf.DUMMYFUNCTION("GOOGLETRANSLATE(B854,""auto"",""en"")"),"1. The name of the product in appearance: The display screen panel with a license plate keyboard input the graphical user interface.
 2. The purpose of designing products in this exterior: used to display graphic user interface.
 3. Design of design p"&amp;"roducts in this appearance: lies in the graphic user interface in the screen.
 4. Pictures or photos that can best show design points: Figure 1 of the interface change state.
 5. There is no design point for other views, omitting other views.
 6. Th"&amp;"e purpose of the graphical user interface: The interface is used to select the corresponding information for the license plate number according to the custom keyboard, so that users can quickly complete the input of the license plate number.
 7. Human -"&amp;"computer interaction method of graphical user interface: The graphic user interface displayed by the main view is to open the start interface of the program; , This interface is used to enter the interface of the No. 1 information of the fuel vehicle lice"&amp;"nse plate number. The interface car number has a total of 7 digits. In this interface, the corresponding license plate number information can be directly selected according to the custom keyboard. All optional information (that is, the provincial -level C"&amp;"hinese abbreviation information); the interface change status Figure 2: Click the interface change state figure 1 to obtain the interface change state of the interface. The interface of the second place information of the car number number is 7 digits of "&amp;"the car number. The interface can directly select the corresponding license plate number information according to the custom keyboard. Select information (ie English letters information); interface changes status Figure 3: Click the interface change statu"&amp;"s Figure 2 to get the interface change status. The interface of the bit information, the interface has a total of 7 digits, the interface can directly select the corresponding license plate number information according to the custom keyboard, and the cust"&amp;"om keyboard is the all available on the keyboard to meet the 3nd to 6th requirements of the license plate number. Information (that is, English letters and numbers). When entering the interface, the cursor is in the third place. After the selection of the"&amp;" third place information, the cursor will move to the fourth place, so on. Change status Figure 3 click ""m; 0; 5; 5; Hong Kong"" button below, respectively. 7 digits, in this interface, you can directly select the corresponding license plate number infor"&amp;"mation according to the custom keyboard. The custom keyboard is all optional information (ie English letters, numbers and specific Chinese information) on the license plate number 7; the interface is Change status Figure 5: Click the interface change stat"&amp;"us Figure 4 The ""completion"" button in the lower right corner to get the interface change state Figure 5. This interface is the interface of the fuel model license plate number input; The ""Switch to New Energy"" button on the right obtains the interfac"&amp;"e change state Figure 6. This interface is used to enter the interface of the first -digit information of the new energy car license plate number. The interface car number has a total of 8 digits. In this interface, the keyboard can be based on the custom"&amp;" keyboard. Come directly to select the corresponding license plate number information, and customize all optional information on the keyboard to meet the first digit requirements of the license plate number (ie, the provincial -level Chinese abbreviation "&amp;"information); The ""Cantonese"" button gets the interface change state Figure 7. This interface is used to enter the interface of the second -digit information of the new energy vehicle license plate number. The interface car number has a total of 8 digit"&amp;"s. At this interface, the corresponding license plate can be selected directly according to the custom keyboard to directly select the corresponding license plate Number information, custom keyboard to meet all optional information (ie English letters inf"&amp;"ormation) on the second place required by the license plate number; Figure 8. This interface is used to enter the interface of the new energy car license plate number 3rd to 6th. The interface license plate number has a total of 8 digits. In this interfac"&amp;"e, you can directly select the corresponding license plate number information according to the custom keyboard. Define all optional information (ie English letters and digital information) on the keyboard number 3 to 6; when entering this interface, the c"&amp;"ursor is in the third place. After the selection of the third place information, the third place information is selected. The cursor will move to the fourth place, so that the interface changes state Figure 9: In the interface change state figure 8, click"&amp;" ""m; 0; 5; 8; Hong Kong"" button below, respectively. This interface is used to enter the interface of the new energy car license plate number 7 to 8. The interface has a total of 8 bits. In this interface, the corresponding keyboard can be selected dire"&amp;"ctly according to the custom keyboard. The keyboard can customize the keyboard. In order to meet all optional information (ie English letters, numbers, and specific Chinese information) required by the 7th to 8th position of the license plate number; The "&amp;"interface changes state Figure 10, the interface is the interface that enters the license plate number of the new energy model.
 8. The display screen panel of the product can be applied to computers, laptops, tablet computers, head -up display (HUD), m"&amp;"ultimedia projector, smartphone, smart robot, smart glasses, virtual reality glasses, augmented reality glasses, hybrid reality Glasses, smart watches, fitness monitors, headset headphones, driving recorders, vehicle navigation equipment, vehicle CNC comp"&amp;"uter, automobile smart rearview mirror, smart speaker, smart TV, set -top box, game handheld, game console.
 The license plate number in the graphic user interface is a demonstration number input randomly, not a license plate number that organizes or in"&amp;"dividuals by any unit or individual.")</f>
        <v>1. The name of the product in appearance: The display screen panel with a license plate keyboard input the graphical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the graphical user interface: The interface is used to select the corresponding information for the license plate number according to the custom keyboard, so that users can quickly complete the input of the license plate number.
 7. Human -computer interaction method of graphical user interface: The graphic user interface displayed by the main view is to open the start interface of the program; , This interface is used to enter the interface of the No. 1 information of the fuel vehicle license plate number. The interface car number has a total of 7 digits. In this interface, the corresponding license plate number information can be directly selected according to the custom keyboard. All optional information (that is, the provincial -level Chinese abbreviation information); the interface change status Figure 2: Click the interface change state figure 1 to obtain the interface change state of the interface. The interface of the second place information of the car number number is 7 digits of the car number. The interface can directly select the corresponding license plate number information according to the custom keyboard. Select information (ie English letters information); interface changes status Figure 3: Click the interface change status Figure 2 to get the interface change status. The interface of the bit information, the interface has a total of 7 digits, the interface can directly select the corresponding license plate number information according to the custom keyboard, and the custom keyboard is the all available on the keyboard to meet the 3nd to 6th requirements of the license plate number. Information (that is, English letters and numbers). When entering the interface, the cursor is in the third place. After the selection of the third place information, the cursor will move to the fourth place, so on. Change status Figure 3 click "m; 0; 5; 5; Hong Kong" button below, respectively. 7 digits, in this interface, you can directly select the corresponding license plate number information according to the custom keyboard. The custom keyboard is all optional information (ie English letters, numbers and specific Chinese information) on the license plate number 7; the interface is Change status Figure 5: Click the interface change status Figure 4 The "completion" button in the lower right corner to get the interface change state Figure 5. This interface is the interface of the fuel model license plate number input; The "Switch to New Energy" button on the right obtains the interface change state Figure 6. This interface is used to enter the interface of the first -digit information of the new energy car license plate number. The interface car number has a total of 8 digits. In this interface, the keyboard can be based on the custom keyboard. Come directly to select the corresponding license plate number information, and customize all optional information on the keyboard to meet the first digit requirements of the license plate number (ie, the provincial -level Chinese abbreviation information); The "Cantonese" button gets the interface change state Figure 7. This interface is used to enter the interface of the second -digit information of the new energy vehicle license plate number. The interface car number has a total of 8 digits. At this interface, the corresponding license plate can be selected directly according to the custom keyboard to directly select the corresponding license plate Number information, custom keyboard to meet all optional information (ie English letters information) on the second place required by the license plate number; Figure 8. This interface is used to enter the interface of the new energy car license plate number 3rd to 6th. The interface license plate number has a total of 8 digits. In this interface, you can directly select the corresponding license plate number information according to the custom keyboard. Define all optional information (ie English letters and digital information) on the keyboard number 3 to 6; when entering this interface, the cursor is in the third place. After the selection of the third place information, the third place information is selected. The cursor will move to the fourth place, so that the interface changes state Figure 9: In the interface change state figure 8, click "m; 0; 5; 8; Hong Kong" button below, respectively. This interface is used to enter the interface of the new energy car license plate number 7 to 8. The interface has a total of 8 bits. In this interface, the corresponding keyboard can be selected directly according to the custom keyboard. The keyboard can customize the keyboard. In order to meet all optional information (ie English letters, numbers, and specific Chinese information) required by the 7th to 8th position of the license plate number; The interface changes state Figure 10, the interface is the interface that enters the license plate number of the new energy model.
 8. The display screen panel of the product can be applied to computers, laptops, tablet computers, head -up display (HUD), multimedia projector, smartphone, smart robot, smart glasses, virtual reality glasses, augmented reality glasses, hybrid reality Glasses, smart watches, fitness monitors, headset headphones, driving recorders, vehicle navigation equipment, vehicle CNC computer, automobile smart rearview mirror, smart speaker, smart TV, set -top box, game handheld, game console.
 The license plate number in the graphic user interface is a demonstration number input randomly, not a license plate number that organizes or individuals by any unit or individual.</v>
      </c>
      <c r="D854" s="6" t="s">
        <v>2500</v>
      </c>
      <c r="E854" s="4" t="str">
        <f ca="1">IFERROR(__xludf.DUMMYFUNCTION("GOOGLETRANSLATE(D854,""auto"",""en"")"),"Display screen panel with a license plate keyboard input graphical user interface")</f>
        <v>Display screen panel with a license plate keyboard input graphical user interface</v>
      </c>
    </row>
    <row r="855" spans="1:5" ht="15" x14ac:dyDescent="0.25">
      <c r="A855" s="5" t="s">
        <v>2501</v>
      </c>
      <c r="B855" s="6" t="s">
        <v>2502</v>
      </c>
      <c r="C855" s="3" t="str">
        <f ca="1">IFERROR(__xludf.DUMMYFUNCTION("GOOGLETRANSLATE(B855,""auto"",""en"")"),"This utility model discloses a kind of light -controlled wall gymnastic control panel, including the intelligent control panel and the main controller of the light. The main controller is installed inside the intelligent control panel. The outer side of t"&amp;"he intelligent control panel is installed with a wall shell, which is electronically connected to an electronic screen on the main controller of the light main controller. The signal connection has a mode selection module. The signal input end is set with"&amp;" a timing unit. The utility model is installed on the wall. It has intelligent and multifunctionality, and is beautiful and practical. It realizes the integration of the device.")</f>
        <v>This utility model discloses a kind of light -controlled wall gymnastic control panel, including the intelligent control panel and the main controller of the light. The main controller is installed inside the intelligent control panel. The outer side of the intelligent control panel is installed with a wall shell, which is electronically connected to an electronic screen on the main controller of the light main controller. The signal connection has a mode selection module. The signal input end is set with a timing unit. The utility model is installed on the wall. It has intelligent and multifunctionality, and is beautiful and practical. It realizes the integration of the device.</v>
      </c>
      <c r="D855" s="6" t="s">
        <v>2503</v>
      </c>
      <c r="E855" s="4" t="str">
        <f ca="1">IFERROR(__xludf.DUMMYFUNCTION("GOOGLETRANSLATE(D855,""auto"",""en"")"),"A kind of light -controlled wall gymnastic control panel")</f>
        <v>A kind of light -controlled wall gymnastic control panel</v>
      </c>
    </row>
    <row r="856" spans="1:5" ht="15" x14ac:dyDescent="0.25">
      <c r="A856" s="5" t="s">
        <v>2504</v>
      </c>
      <c r="B856" s="6" t="s">
        <v>2505</v>
      </c>
      <c r="C856" s="3" t="str">
        <f ca="1">IFERROR(__xludf.DUMMYFUNCTION("GOOGLETRANSLATE(B856,""auto"",""en"")"),"1. Design product name: Smart sports training machine.
 2. The purpose of designing products in this exterior: The design of the product is used for sports training equipment for human -computer interaction.
 3. Design of the design of the product in "&amp;"this appearance: lies in the shape, pattern and its combination of the product.
 4. Pictures or photos that can most indicate design points: main view.")</f>
        <v>1. Design product name: Smart sports training machine.
 2. The purpose of designing products in this exterior: The design of the product is used for sports training equipment for human -computer interaction.
 3. Design of the design of the product in this appearance: lies in the shape, pattern and its combination of the product.
 4. Pictures or photos that can most indicate design points: main view.</v>
      </c>
      <c r="D856" s="6" t="s">
        <v>2506</v>
      </c>
      <c r="E856" s="4" t="str">
        <f ca="1">IFERROR(__xludf.DUMMYFUNCTION("GOOGLETRANSLATE(D856,""auto"",""en"")"),"Smart Sports Training Machine")</f>
        <v>Smart Sports Training Machine</v>
      </c>
    </row>
    <row r="857" spans="1:5" ht="15" x14ac:dyDescent="0.25">
      <c r="A857" s="5" t="s">
        <v>2507</v>
      </c>
      <c r="B857" s="6" t="s">
        <v>2508</v>
      </c>
      <c r="C857" s="3" t="str">
        <f ca="1">IFERROR(__xludf.DUMMYFUNCTION("GOOGLETRANSLATE(B857,""auto"",""en"")"),"The fitness machine can include sensors to detect objects near the fitness machine and/or move to the fitness machine. For example, the control system that is associated with a treadmill or a treadmill can determine that the object is moving towards or ap"&amp;"proaching the treadmill platform (for example, the front, middle or rear area of ​​the treadmill platform). Treadmills) and respond to the operation of the running shifts in the determined or detected objects or objects. Treadmills can use various detecti"&amp;"on mechanisms when determining that objects are near treadmills, such as flight time (TOF) sensors or cameras, millimeter wave (MMWAVE) sensors, computer vision (CV) technology, etc. to detect the approximation of the object (or Movement of objects).")</f>
        <v>The fitness machine can include sensors to detect objects near the fitness machine and/or move to the fitness machine. For example, the control system that is associated with a treadmill or a treadmill can determine that the object is moving towards or approaching the treadmill platform (for example, the front, middle or rear area of ​​the treadmill platform). Treadmills) and respond to the operation of the running shifts in the determined or detected objects or objects. Treadmills can use various detection mechanisms when determining that objects are near treadmills, such as flight time (TOF) sensors or cameras, millimeter wave (MMWAVE) sensors, computer vision (CV) technology, etc. to detect the approximation of the object (or Movement of objects).</v>
      </c>
      <c r="D857" s="6" t="s">
        <v>2509</v>
      </c>
      <c r="E857" s="4" t="str">
        <f ca="1">IFERROR(__xludf.DUMMYFUNCTION("GOOGLETRANSLATE(D857,""auto"",""en"")"),"Detect objects near the treadmill")</f>
        <v>Detect objects near the treadmill</v>
      </c>
    </row>
    <row r="858" spans="1:5" ht="15" x14ac:dyDescent="0.25">
      <c r="A858" s="5" t="s">
        <v>2510</v>
      </c>
      <c r="B858" s="6" t="s">
        <v>2511</v>
      </c>
      <c r="C858" s="3" t="str">
        <f ca="1">IFERROR(__xludf.DUMMYFUNCTION("GOOGLETRANSLATE(B858,""auto"",""en"")"),"1. The name of the product in appearance: The display screen panel (menu) with sports interactive graphics user interface.
 2. The purpose of designing products in this exterior: This design product is used to display information and run programs. The d"&amp;"isplay screen panel is used for mobile phones, computers, tablets, LED display screens, intelligent interactive tablets or projectors.
 3. Design of the design of the product in this appearance: lies in the content displayed by the graphic user interfac"&amp;"e, the display screen panel is commonly designed.
 4. Pictures or photos that can most indicate design points: main view.
 5. Other views have no design points, omittime views, left view, right view, viewing view, push -view.
 6. The purpose of the "&amp;"graphical user interface: The design of the product is used for sports interactive experience.
 7. Human -computer interaction method of graphics user interface: touch the main position of the main view of the main view to enter the interface change sta"&amp;"te Figure 1, click the interface changes state in the upper right corner of the interface, to enter the interface change state diagram 2 and interface change status diagram accordingly 3.")</f>
        <v>1. The name of the product in appearance: The display screen panel (menu) with sports interactive graphics user interface.
 2. The purpose of designing products in this exterior: This design product is used to display information and run programs. The display screen panel is used for mobile phones, computers, tablets, LED display screens, intelligent interactive tablets or projectors.
 3. Design of the design of the product in this appearance: lies in the content displayed by the graphic user interface, the display screen panel is commonly designed.
 4. Pictures or photos that can most indicate design points: main view.
 5. Other views have no design points, omittime views, left view, right view, viewing view, push -view.
 6. The purpose of the graphical user interface: The design of the product is used for sports interactive experience.
 7. Human -computer interaction method of graphics user interface: touch the main position of the main view of the main view to enter the interface change state Figure 1, click the interface changes state in the upper right corner of the interface, to enter the interface change state diagram 2 and interface change status diagram accordingly 3.</v>
      </c>
      <c r="D858" s="6" t="s">
        <v>2512</v>
      </c>
      <c r="E858" s="4" t="str">
        <f ca="1">IFERROR(__xludf.DUMMYFUNCTION("GOOGLETRANSLATE(D858,""auto"",""en"")"),"Display screen panel (menu) with sports interactive graphical user interface (menu)")</f>
        <v>Display screen panel (menu) with sports interactive graphical user interface (menu)</v>
      </c>
    </row>
    <row r="859" spans="1:5" ht="15" x14ac:dyDescent="0.25">
      <c r="A859" s="5" t="s">
        <v>2513</v>
      </c>
      <c r="B859" s="6" t="s">
        <v>2514</v>
      </c>
      <c r="C859" s="3" t="str">
        <f ca="1">IFERROR(__xludf.DUMMYFUNCTION("GOOGLETRANSLATE(B859,""auto"",""en"")"),"1. The name of the product of the product: The display screen panel with sports interactive graphical user interface (indomitable).
 2. The purpose of designing products in this exterior: This design product is used to display information and run progra"&amp;"ms. The display screen panel is used for mobile phones, computers, tablets, LED display screens, intelligent interactive tablets or projectors.
 3. Design of the design of the product in appearance: lies in the content displayed by the graphic user inte"&amp;"rface, the display screen panel is commonly designed, the ""text content"" and ""number"" in the interface are only used to indicate the content area. Protective content.
 4. Pictures or photos that can most indicate design points: main view.
 5. Othe"&amp;"r views have no design points, omittime, left view, left view, right view, push -view, rear view.
 6. The purpose of the graphical user interface: The design of the product is used for sports interactive experience.
 7. Human -computer interaction met"&amp;"hod of graphic user interface: When the exercise starts, the main view of the main view is changed to correspond to the transformation state of the interface. The direction is to enter the interface changes. Figure 4, indicate that the arrow changes towar"&amp;"ds the direction of the footprint to enter the interface change state 5.")</f>
        <v>1. The name of the product of the product: The display screen panel with sports interactive graphical user interface (indomitable).
 2. The purpose of designing products in this exterior: This design product is used to display information and run programs. The display screen panel is used for mobile phones, computers, tablets, LED display screens, intelligent interactive tablets or projectors.
 3. Design of the design of the product in appearance: lies in the content displayed by the graphic user interface, the display screen panel is commonly designed, the "text content" and "number" in the interface are only used to indicate the content area. Protective content.
 4. Pictures or photos that can most indicate design points: main view.
 5. Other views have no design points, omittime, left view, left view, right view, push -view, rear view.
 6. The purpose of the graphical user interface: The design of the product is used for sports interactive experience.
 7. Human -computer interaction method of graphic user interface: When the exercise starts, the main view of the main view is changed to correspond to the transformation state of the interface. The direction is to enter the interface changes. Figure 4, indicate that the arrow changes towards the direction of the footprint to enter the interface change state 5.</v>
      </c>
      <c r="D859" s="6" t="s">
        <v>2515</v>
      </c>
      <c r="E859" s="4" t="str">
        <f ca="1">IFERROR(__xludf.DUMMYFUNCTION("GOOGLETRANSLATE(D859,""auto"",""en"")"),"Display screen panel with sports interactive graphics user interface (indomitable)")</f>
        <v>Display screen panel with sports interactive graphics user interface (indomitable)</v>
      </c>
    </row>
    <row r="860" spans="1:5" ht="15" x14ac:dyDescent="0.25">
      <c r="A860" s="5" t="s">
        <v>2516</v>
      </c>
      <c r="B860" s="6" t="s">
        <v>2517</v>
      </c>
      <c r="C860" s="3" t="str">
        <f ca="1">IFERROR(__xludf.DUMMYFUNCTION("GOOGLETRANSLATE(B860,""auto"",""en"")"),"1. The name of the product in this exterior: The display screen panel with sports interactive graphical user interface (Jiezu Xianzen).
 2. The purpose of designing products in this exterior: This design product is used to display information and run pr"&amp;"ograms. The display screen panel is a mobile phone, computer, tablet computer, LED display, intelligent interactive tablet or projector.
 3. Design of the design of the product in appearance: lies in the content displayed by the graphic user interface, "&amp;"the display screen panel is commonly designed, the ""text content"" and ""number"" in the interface are only used to indicate the content area. Protective content.
 4. Pictures or photos that can most indicate design points: main view.
 5. Other views"&amp;" have no design requirements, omittime, left view, left view, right view, push -view, back -view view.
 6. The purpose of the graphical user interface: The design of the product is used for sports interactive experience.
 7. Human -computer interactio"&amp;"n method of graphics user interface: Click the main view of the translucent icon to light up the icon to enter the interface change state Figure 1. The dots change to the state of the interface. Figure 3, after the end of the single unit movement, the cha"&amp;"nge of the interface change state Figure 4, after the end of all unit movement, the change to the interface change state Figure 5.")</f>
        <v>1. The name of the product in this exterior: The display screen panel with sports interactive graphical user interface (Jiezu Xianzen).
 2. The purpose of designing products in this exterior: This design product is used to display information and run programs. The display screen panel is a mobile phone, computer, tablet computer, LED display, intelligent interactive tablet or projector.
 3. Design of the design of the product in appearance: lies in the content displayed by the graphic user interface, the display screen panel is commonly designed, the "text content" and "number" in the interface are only used to indicate the content area. Protective content.
 4. Pictures or photos that can most indicate design points: main view.
 5. Other views have no design requirements, omittime, left view, left view, right view, push -view, back -view view.
 6. The purpose of the graphical user interface: The design of the product is used for sports interactive experience.
 7. Human -computer interaction method of graphics user interface: Click the main view of the translucent icon to light up the icon to enter the interface change state Figure 1. The dots change to the state of the interface. Figure 3, after the end of the single unit movement, the change of the interface change state Figure 4, after the end of all unit movement, the change to the interface change state Figure 5.</v>
      </c>
      <c r="D860" s="6" t="s">
        <v>2518</v>
      </c>
      <c r="E860" s="4" t="str">
        <f ca="1">IFERROR(__xludf.DUMMYFUNCTION("GOOGLETRANSLATE(D860,""auto"",""en"")"),"The display screen panel with sports interactive graphics user interface (Jiezu Xian Deng)")</f>
        <v>The display screen panel with sports interactive graphics user interface (Jiezu Xian Deng)</v>
      </c>
    </row>
    <row r="861" spans="1:5" ht="15" x14ac:dyDescent="0.25">
      <c r="A861" s="5" t="s">
        <v>2519</v>
      </c>
      <c r="B861" s="6" t="s">
        <v>2520</v>
      </c>
      <c r="C861" s="3" t="str">
        <f ca="1">IFERROR(__xludf.DUMMYFUNCTION("GOOGLETRANSLATE(B861,""auto"",""en"")"),"1. The name of the product in appearance: The display screen panel (balanced brick home) with sports interactive graphical user interface. 2. The purpose of designing products in this exterior: This design product is used to display information and run pr"&amp;"ograms. The display screen panel is mobile phone, computer, and tablet. 3. Design of the design of the product in this exterior: lies in the content displayed by the graphic user interface. 4. Pictures or photos that can most indicate design points: main "&amp;"view. 5. Other views have no design points, omit left view, right view, posterior view, pult, upper view. 6. The purpose of the graphical user interface: The design of the product is used for sports interactive experience. 7. Human -computer interaction m"&amp;"ethod of graphics user interface: The main view of the prompt box appears, according to the prompt box in the main view to enter the interface change state. 2. Then follow the prompt box to enter the interface change state. Figure 3. The timer disappears,"&amp;" the squat training prompt point appears, and the squat training prompt point is to enter the interface change state Figure 4. Figure 5 of the interface change state. After all training is over, to enter the interface change state Figure 6, the timer appe"&amp;"ars.")</f>
        <v>1. The name of the product in appearance: The display screen panel (balanced brick home) with sports interactive graphical user interface. 2. The purpose of designing products in this exterior: This design product is used to display information and run programs. The display screen panel is mobile phone, computer, and tablet. 3. Design of the design of the product in this exterior: lies in the content displayed by the graphic user interface. 4. Pictures or photos that can most indicate design points: main view. 5. Other views have no design points, omit left view, right view, posterior view, pult, upper view. 6. The purpose of the graphical user interface: The design of the product is used for sports interactive experience. 7. Human -computer interaction method of graphics user interface: The main view of the prompt box appears, according to the prompt box in the main view to enter the interface change state. 2. Then follow the prompt box to enter the interface change state. Figure 3. The timer disappears, the squat training prompt point appears, and the squat training prompt point is to enter the interface change state Figure 4. Figure 5 of the interface change state. After all training is over, to enter the interface change state Figure 6, the timer appears.</v>
      </c>
      <c r="D861" s="6" t="s">
        <v>2521</v>
      </c>
      <c r="E861" s="4" t="str">
        <f ca="1">IFERROR(__xludf.DUMMYFUNCTION("GOOGLETRANSLATE(D861,""auto"",""en"")"),"Display screen panel with sports interactive graphics user interface (balanced brick home)")</f>
        <v>Display screen panel with sports interactive graphics user interface (balanced brick home)</v>
      </c>
    </row>
    <row r="862" spans="1:5" ht="15" x14ac:dyDescent="0.25">
      <c r="A862" s="5" t="s">
        <v>2522</v>
      </c>
      <c r="B862" s="6" t="s">
        <v>2523</v>
      </c>
      <c r="C862" s="3" t="str">
        <f ca="1">IFERROR(__xludf.DUMMYFUNCTION("GOOGLETRANSLATE(B862,""auto"",""en"")"),"The invention reveals a method of virtual auxiliary decision -making from an artificial vision application for professional international chess championships and game video arbitration in the game. In another purpose, the invention revealed a platform for"&amp;" decision -making from the application of virtual auxiliary methods to perform virtual auxiliary methods in the application based on the application of neural network convolution types to perform virtual auxiliary methods in the tournament and professiona"&amp;"l chess competition. The method of the present invention is based on the neural network model and is used to divide the chessboard and its chess pieces through convolutional confrontation. The network has used a data set created by image capture to obtain"&amp;" a data set for training equipment. The network is achieved through two basic processes, that is, ""convolution"" and ""anti -convolution"" coupling by jumping connections. In addition, there is also a differential device in the network, which allows the "&amp;"resulting result of the generator to compare with the expected results, thereby achieving intelligent segmentation of each pixel.")</f>
        <v>The invention reveals a method of virtual auxiliary decision -making from an artificial vision application for professional international chess championships and game video arbitration in the game. In another purpose, the invention revealed a platform for decision -making from the application of virtual auxiliary methods to perform virtual auxiliary methods in the application based on the application of neural network convolution types to perform virtual auxiliary methods in the tournament and professional chess competition. The method of the present invention is based on the neural network model and is used to divide the chessboard and its chess pieces through convolutional confrontation. The network has used a data set created by image capture to obtain a data set for training equipment. The network is achieved through two basic processes, that is, "convolution" and "anti -convolution" coupling by jumping connections. In addition, there is also a differential device in the network, which allows the resulting result of the generator to compare with the expected results, thereby achieving intelligent segmentation of each pixel.</v>
      </c>
      <c r="D862" s="6" t="s">
        <v>2524</v>
      </c>
      <c r="E862" s="4" t="str">
        <f ca="1">IFERROR(__xludf.DUMMYFUNCTION("GOOGLETRANSLATE(D862,""auto"",""en"")"),"Professional international chess game video arbitration virtual auxiliary platform and method")</f>
        <v>Professional international chess game video arbitration virtual auxiliary platform and method</v>
      </c>
    </row>
    <row r="863" spans="1:5" ht="15" x14ac:dyDescent="0.25">
      <c r="A863" s="5" t="s">
        <v>2525</v>
      </c>
      <c r="B863" s="6" t="s">
        <v>2526</v>
      </c>
      <c r="C863" s="3" t="str">
        <f ca="1">IFERROR(__xludf.DUMMYFUNCTION("GOOGLETRANSLATE(B863,""auto"",""en"")"),"A engine, which not only calculates ""basic odds"" (calculated by using historical database), and calculates at least one odds to formulate formulas to calculate at least one result of at least one result in the on -site event. The odds formula creates cr"&amp;"oss -odds. Examples can be associated with the final odds of the cross -curriculum with A1 with the final odds of a similar historical competition, and after knowing the results of the game, the odds generated by each odds are used. The most favorable per"&amp;"manent drama related to the odds. This system can use the mix of basic computer systems and AI capacity computers, and connects to the quantum capability computer to help calculate the chance of the basic computer can determine when and how much AI capabi"&amp;"lities, quantum capabilities and combinations can be called. ability.")</f>
        <v>A engine, which not only calculates "basic odds" (calculated by using historical database), and calculates at least one odds to formulate formulas to calculate at least one result of at least one result in the on -site event. The odds formula creates cross -odds. Examples can be associated with the final odds of the cross -curriculum with A1 with the final odds of a similar historical competition, and after knowing the results of the game, the odds generated by each odds are used. The most favorable permanent drama related to the odds. This system can use the mix of basic computer systems and AI capacity computers, and connects to the quantum capability computer to help calculate the chance of the basic computer can determine when and how much AI capabilities, quantum capabilities and combinations can be called. ability.</v>
      </c>
      <c r="D863" s="6" t="s">
        <v>2527</v>
      </c>
      <c r="E863" s="4" t="str">
        <f ca="1">IFERROR(__xludf.DUMMYFUNCTION("GOOGLETRANSLATE(D863,""auto"",""en"")"),"Quantum sports betting algorithm engine")</f>
        <v>Quantum sports betting algorithm engine</v>
      </c>
    </row>
    <row r="864" spans="1:5" ht="15" x14ac:dyDescent="0.25">
      <c r="A864" s="5" t="s">
        <v>2528</v>
      </c>
      <c r="B864" s="6" t="s">
        <v>2529</v>
      </c>
      <c r="C864" s="3" t="str">
        <f ca="1">IFERROR(__xludf.DUMMYFUNCTION("GOOGLETRANSLATE(B864,""auto"",""en"")"),"1. Design product name: Telephone watch with a swimming function graphical user interface.
 2. The purpose of designing products in this exterior: The design of products in this exterior is used for calling, real -time positioning, micro -chat, sports h"&amp;"ealth and social networking.
 3. Design of the design of the product in this exterior: lies in the content of the graphic user interface in the product screen, the telephone watch is the existing design.
 4. Pictures or photos that can best show desig"&amp;"n: Putting big pictures in the main interface.
 5. The rear view, left view, right view, downward view, and retribution of this appearance design are commonly designed. The rear view, left view, right view, down -view view, upper view.
 6. The purpose"&amp;" of graphical user interface: The graphic user interface of the product is used to guide users to use the swimming function.
 7. Human -computer interaction method of graphics user interface: The main visual interface amplifies the map to emerge from th"&amp;"e initial interface of the swimming, the user clicks the swimming button, starts the swimming function, the interface is switched from the main screen interface to the interface change state. , Click the start button to start swimming. The interface is sw"&amp;"itched from the interface change state to the interface change state. Figure 2, enter the swimming dynamic interface, and display the user's swimming -related parameters in real time in the interface.
 After completing the swimming, the interface is swi"&amp;"tched from the interface change state to the interface change state. Figure 3, enter the swimming end interface, and display the statistical data of the user's swimming.")</f>
        <v>1. Design product name: Telephone watch with a swimming function graphical user interface.
 2. The purpose of designing products in this exterior: The design of products in this exterior is used for calling, real -time positioning, micro -chat, sports health and social networking.
 3. Design of the design of the product in this exterior: lies in the content of the graphic user interface in the product screen, the telephone watch is the existing design.
 4. Pictures or photos that can best show design: Putting big pictures in the main interface.
 5. The rear view, left view, right view, downward view, and retribution of this appearance design are commonly designed. The rear view, left view, right view, down -view view, upper view.
 6. The purpose of graphical user interface: The graphic user interface of the product is used to guide users to use the swimming function.
 7. Human -computer interaction method of graphics user interface: The main visual interface amplifies the map to emerge from the initial interface of the swimming, the user clicks the swimming button, starts the swimming function, the interface is switched from the main screen interface to the interface change state. , Click the start button to start swimming. The interface is switched from the interface change state to the interface change state. Figure 2, enter the swimming dynamic interface, and display the user's swimming -related parameters in real time in the interface.
 After completing the swimming, the interface is switched from the interface change state to the interface change state. Figure 3, enter the swimming end interface, and display the statistical data of the user's swimming.</v>
      </c>
      <c r="D864" s="6" t="s">
        <v>2530</v>
      </c>
      <c r="E864" s="4" t="str">
        <f ca="1">IFERROR(__xludf.DUMMYFUNCTION("GOOGLETRANSLATE(D864,""auto"",""en"")"),"Telephone watch with a swimming function graphical user interface")</f>
        <v>Telephone watch with a swimming function graphical user interface</v>
      </c>
    </row>
    <row r="865" spans="1:5" ht="15" x14ac:dyDescent="0.25">
      <c r="A865" s="5" t="s">
        <v>2531</v>
      </c>
      <c r="B865" s="6" t="s">
        <v>2532</v>
      </c>
      <c r="C865" s="3" t="str">
        <f ca="1">IFERROR(__xludf.DUMMYFUNCTION("GOOGLETRANSLATE(B865,""auto"",""en"")"),"1. The name of the product in appearance: Telephone watch with trajectory creative running graphics user interface.
 2. The purpose of designing products in this exterior: The design of products in this appearance is used for calling, real -time positio"&amp;"ning, micro -chat, shooting, social sports and dating.
 3. Design of the design of the product in this exterior: lies in the content of the graphic user interface in the product screen, the telephone watch is the existing design.
 4. Pictures or photo"&amp;"s that can best show design: Putting big pictures in the main interface.
 5. The rear view, left view, right view, downward view, and retribution of this appearance design are commonly designed. The rear view, left view, right view, down -view view, upp"&amp;"er view.
 6. The purpose of the graphical user interface: The graphic user interface of the product is used to guide users to perform trajectory creative running.
 7. Human -computer interaction method of graphical user interface: The main vision inte"&amp;"rface amplifies the graph drawing interface, and users can draw a personalized running trajectory on this interface.
 After drawing, the interface is switched to the interface change state from the interface of the main vision interface.
 Click the dr"&amp;"awing button that is drawn to complete the interface. The interface is switched from the interface change state to the interface change state. Figure 2, enter the trajectory running for mid -interface, and guide users to run for trajectory.
 Click the r"&amp;"evocation button of the complete interface to return to the trajectory drawing interface, and the user can re -draw the motion trajectory.
 After completing the trajectory run, the interface is switched from the interface change state to the interface c"&amp;"hange state. Figure 3, enter the trajectory to complete the interface, and click different buttons to show or view the report in the social circle.")</f>
        <v>1. The name of the product in appearance: Telephone watch with trajectory creative running graphics user interface.
 2. The purpose of designing products in this exterior: The design of products in this appearance is used for calling, real -time positioning, micro -chat, shooting, social sports and dating.
 3. Design of the design of the product in this exterior: lies in the content of the graphic user interface in the product screen, the telephone watch is the existing design.
 4. Pictures or photos that can best show design: Putting big pictures in the main interface.
 5. The rear view, left view, right view, downward view, and retribution of this appearance design are commonly designed. The rear view, left view, right view, down -view view, upper view.
 6. The purpose of the graphical user interface: The graphic user interface of the product is used to guide users to perform trajectory creative running.
 7. Human -computer interaction method of graphical user interface: The main vision interface amplifies the graph drawing interface, and users can draw a personalized running trajectory on this interface.
 After drawing, the interface is switched to the interface change state from the interface of the main vision interface.
 Click the drawing button that is drawn to complete the interface. The interface is switched from the interface change state to the interface change state. Figure 2, enter the trajectory running for mid -interface, and guide users to run for trajectory.
 Click the revocation button of the complete interface to return to the trajectory drawing interface, and the user can re -draw the motion trajectory.
 After completing the trajectory run, the interface is switched from the interface change state to the interface change state. Figure 3, enter the trajectory to complete the interface, and click different buttons to show or view the report in the social circle.</v>
      </c>
      <c r="D865" s="6" t="s">
        <v>2533</v>
      </c>
      <c r="E865" s="4" t="str">
        <f ca="1">IFERROR(__xludf.DUMMYFUNCTION("GOOGLETRANSLATE(D865,""auto"",""en"")"),"Creative phone watch with trajectory creative running graphics user interface")</f>
        <v>Creative phone watch with trajectory creative running graphics user interface</v>
      </c>
    </row>
    <row r="866" spans="1:5" ht="15" x14ac:dyDescent="0.25">
      <c r="A866" s="5" t="s">
        <v>2534</v>
      </c>
      <c r="B866" s="6" t="s">
        <v>2535</v>
      </c>
      <c r="C866" s="3" t="str">
        <f ca="1">IFERROR(__xludf.DUMMYFUNCTION("GOOGLETRANSLATE(B866,""auto"",""en"")"),"1. The name of the product design product: The vehicle information of the display screen panel display the graphical user interface.
 2. Design products in appearance: used for running procedures, information display, and human -computer interaction.
"&amp;" 3. Design of the design of the product in this exterior: lies in the interface content of the graphic user interface in the screen.
 4. Pictures or photos that can best show design: Design 1 main view.
 5. Specify design 1 is the basic design.
 6. "&amp;"The purpose of graphical user interface: This graphic user interface is used for vehicle information display.
 Design 1 The main view is the interface of the speed and gear of the vehicle.
 Design 2 main views are the interface of the vehicle speed, g"&amp;"ear and current vehicle status.
 Design 3 main views to display the interface of vehicle speed, gear, road conditions and current vehicle status.
 Design 4 main views to display the interface of the current vehicle status.
 Design 5 The main view is"&amp;" the interface where the sensor fails, and the interface does not display any information.
 Design 6 main views are the interface of display speed, gear and steering.
 Design 7 main views are the interface of display gears and current vehicle status.
"&amp;" 
 7.其他说明：本显示屏幕面板应用于车辆、计算机、笔记本电脑、平板电脑、手机、智能手机、智能手表、健身监视器、头戴式耳机、个人数字助理（PDA）、智能音箱、电视、 The set -top box, the game console, the head -up display system, and the vision display system.")</f>
        <v>1. The name of the product design product: The vehicle information of the display screen panel display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vehicle information display.
 Design 1 The main view is the interface of the speed and gear of the vehicle.
 Design 2 main views are the interface of the vehicle speed, gear and current vehicle status.
 Design 3 main views to display the interface of vehicle speed, gear, road conditions and current vehicle status.
 Design 4 main views to display the interface of the current vehicle status.
 Design 5 The main view is the interface where the sensor fails, and the interface does not display any information.
 Design 6 main views are the interface of display speed, gear and steering.
 Design 7 main views are the interface of display gears and current vehicle status.
 7.其他说明：本显示屏幕面板应用于车辆、计算机、笔记本电脑、平板电脑、手机、智能手机、智能手表、健身监视器、头戴式耳机、个人数字助理（PDA）、智能音箱、电视、 The set -top box, the game console, the head -up display system, and the vision display system.</v>
      </c>
      <c r="D866" s="6" t="s">
        <v>2536</v>
      </c>
      <c r="E866" s="4" t="str">
        <f ca="1">IFERROR(__xludf.DUMMYFUNCTION("GOOGLETRANSLATE(D866,""auto"",""en"")"),"Vehicle information on display screen panel display graphics user interface")</f>
        <v>Vehicle information on display screen panel display graphics user interface</v>
      </c>
    </row>
    <row r="867" spans="1:5" ht="15" x14ac:dyDescent="0.25">
      <c r="A867" s="5" t="s">
        <v>2537</v>
      </c>
      <c r="B867" s="6" t="s">
        <v>2538</v>
      </c>
      <c r="C867" s="3" t="str">
        <f ca="1">IFERROR(__xludf.DUMMYFUNCTION("GOOGLETRANSLATE(B867,""auto"",""en"")"),"1. Design product name: The graphic user interface of the vehicle information reminder of the display screen panel.
 2. Design products in appearance: used for running procedures, information display, and human -computer interaction.
 3. Design of the"&amp;" design of the product in this exterior: lies in the interface content of the graphic user interface in the screen.
 4. Pictures or photos that can most indicate design points: main view.
 5. The purpose of the graphical user interface: The main view "&amp;"is the vehicle information reminder interface.
 6.其他说明：本显示屏幕面板应用于车辆、计算机、笔记本电脑、平板电脑、手机、智能手机、智能手表、健身监视器、头戴式耳机、个人数字助理（PDA）、智能音箱、电视、 The set -top box, the game console, the head -up display system, and the vision display system.")</f>
        <v>1. Design product name: The graphic user interface of the vehicle information reminder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vehicle information reminder interface.
 6.其他说明：本显示屏幕面板应用于车辆、计算机、笔记本电脑、平板电脑、手机、智能手机、智能手表、健身监视器、头戴式耳机、个人数字助理（PDA）、智能音箱、电视、 The set -top box, the game console, the head -up display system, and the vision display system.</v>
      </c>
      <c r="D867" s="6" t="s">
        <v>2539</v>
      </c>
      <c r="E867" s="4" t="str">
        <f ca="1">IFERROR(__xludf.DUMMYFUNCTION("GOOGLETRANSLATE(D867,""auto"",""en"")"),"The graphic user interface of the vehicle information reminder of the display screen panel")</f>
        <v>The graphic user interface of the vehicle information reminder of the display screen panel</v>
      </c>
    </row>
    <row r="868" spans="1:5" ht="15" x14ac:dyDescent="0.25">
      <c r="A868" s="5" t="s">
        <v>2540</v>
      </c>
      <c r="B868" s="6" t="s">
        <v>2541</v>
      </c>
      <c r="C868" s="3" t="str">
        <f ca="1">IFERROR(__xludf.DUMMYFUNCTION("GOOGLETRANSLATE(B868,""auto"",""en"")"),"The present invention disclosed a badminton collection and classification and recycling robot, including frameworks, controllers, image recognition agencies, collecting agencies, detection institutions, ball institutions, ball box institutions, and sports"&amp;" institutions. Collect the telecommunications signal connection of the collecting agency, detection agency, ball institution and sports institutions; the image recognition mechanism is set at the front of the frame; the collection mechanism is set in the "&amp;"frame; The ball mechanism is set on one side of the detection mechanism; the ball box mechanism is set on the side of the off -ball mechanism, which is set on the side of the frame to drive the body to move the body for comprehensive movement. The present"&amp;" invention has achieved automatic collection, detection and classification of badminton teams, and the collection process is accurate and efficient, with a wide range of collections, high detection efficiency, reduced people's physical strength and time c"&amp;"onsumption, and reduced the consumption of badminton, reducing the cost of playing. Can be promoted.")</f>
        <v>The present invention disclosed a badminton collection and classification and recycling robot, including frameworks, controllers, image recognition agencies, collecting agencies, detection institutions, ball institutions, ball box institutions, and sports institutions. Collect the telecommunications signal connection of the collecting agency, detection agency, ball institution and sports institutions; the image recognition mechanism is set at the front of the frame; the collection mechanism is set in the frame; The ball mechanism is set on one side of the detection mechanism; the ball box mechanism is set on the side of the off -ball mechanism, which is set on the side of the frame to drive the body to move the body for comprehensive movement. The present invention has achieved automatic collection, detection and classification of badminton teams, and the collection process is accurate and efficient, with a wide range of collections, high detection efficiency, reduced people's physical strength and time consumption, and reduced the consumption of badminton, reducing the cost of playing. Can be promoted.</v>
      </c>
      <c r="D868" s="6" t="s">
        <v>2542</v>
      </c>
      <c r="E868" s="4" t="str">
        <f ca="1">IFERROR(__xludf.DUMMYFUNCTION("GOOGLETRANSLATE(D868,""auto"",""en"")"),"A badminton collection classification and recycling robot")</f>
        <v>A badminton collection classification and recycling robot</v>
      </c>
    </row>
    <row r="869" spans="1:5" ht="15" x14ac:dyDescent="0.25">
      <c r="A869" s="5" t="s">
        <v>2543</v>
      </c>
      <c r="B869" s="6" t="s">
        <v>2544</v>
      </c>
      <c r="C869" s="3" t="str">
        <f ca="1">IFERROR(__xludf.DUMMYFUNCTION("GOOGLETRANSLATE(B869,""auto"",""en"")"),"1. The name of the product design product: The vehicle operation scheduling management graphic user interface of the display screen panel.
 2. Design product use: The display screen panel is used to display graphic user interface and interaction.
 3. "&amp;"Design of the design of the product in this exterior: lies in the interface content of the graphic interface in the screen.
 4. Pictures or photos that can most indicate design points: main view.
 5. The display screen panel is the main point of desig"&amp;"n, and other views are omitted.
 6. The purpose of the graphical user interface: The main view shows the display interface of the GIS line/straight line chart in the second -level menu in the first -level menu in the left -level menu; The interface stat"&amp;"e is shown in the interface change state; the ""detail list"" icon of the departure operation table in the main view of the cursor is displayed as the interface status shown in the interface change state. The icon is displayed as the interface status show"&amp;"n in the interface change state; the clicks of the clicks of the clicks of the clicks of the interface of the interface Figure 3 The ""details"" icon is displayed as the interface state change status 4; The ""Vehicle Alarm Monitoring"" icon in the second "&amp;"-level menu scheduled in real time, displayed as the interface change status. Figure 5 shows the interface status; the ""please select the line"" icon in the option column in the clicks of the clicks of the clicks of the clicks of the clicked interface. S"&amp;"tate Figure 6 The interface status shown in the interface; changing the interface of the cursor of the cursor. 6 The ""amplification"" icon in the interface is displayed as the interface change state. 7 shows the interface status; Management ""icon is dis"&amp;"played as the interface state of the interface change state; the interface status of the cursor -click interface is changed. 8 In the first -level menu in the left -level menu in the left -level menu, the"" planning class ""icon is displayed as the interf"&amp;"ace change state Figure 9 The interface status shown in Figure 9; the ""driver"" icon in the clicks of the clicks of the clicked interface Figure 9, displayed as the interface changes state Figure 10 The interface status shown in the interface; The ""Gant"&amp;" map/plan"" icon in the secondary menu is displayed as the interface state change status showing the interface status; the ""Ganttu"" icon in the interface changes in the clicks of the cursor of the cursor, which is displayed as the interface change state"&amp;" diagram 12 The interface state shown in the interface; the clicks of the clicks of the clicks of the clicks of the interface Figure 8 The ""line running demonstration chart"" icon in the first -level menu in the left -level menu in the left side menu is "&amp;"displayed as the interface state shown in the interface change state; The ""business statement"" icon in the first -level menu on the left side menu is displayed as the interface change state. Figure 14 shown in the interface status; clicks of the ""termi"&amp;"nal operation and maintenance"" icon in the left -level menu in the main view, and the interface automatically switches the interface changes Status Figure 15717; Classes clicks on the interface change State Figure 15 The ""departure screen"" icon in the "&amp;"secondary menu in the left -level menu in the left -level menu in the left side menu shows the interface state shown in the interface change state.
 7. Human -computer interaction method of graphic user interface: Graphic user interface can interact wit"&amp;"h light strike, touch, sliding or pressing graphical user interface or moved the screen panel in any direction or through the electronic device with the display screen panel to interact. Essence
 8. The display screen panel can be applied to computers, "&amp;"laptops, tablets, mobile phones, smartphones, smart mobile phones, smart glasses, watches, smart watches, fitness monitor, headset headphones, personal digital assistants, smart speakers, TVs, TV , Monitor, projector, display for vehicles, navigation equi"&amp;"pment, set -top boxes, game consoles.")</f>
        <v>1. The name of the product design product: The vehicle operation scheduling management graphic user interface of the display screen panel.
 2. Design product use: The display screen panel is used to display graphic user interface and interaction.
 3. Design of the design of the product in this exterior: lies in the interface content of the graphic interface in the screen.
 4. Pictures or photos that can most indicate design points: main view.
 5. The display screen panel is the main point of design, and other views are omitted.
 6. The purpose of the graphical user interface: The main view shows the display interface of the GIS line/straight line chart in the second -level menu in the first -level menu in the left -level menu; The interface state is shown in the interface change state; the "detail list" icon of the departure operation table in the main view of the cursor is displayed as the interface status shown in the interface change state. The icon is displayed as the interface status shown in the interface change state; the clicks of the clicks of the clicks of the clicks of the interface of the interface Figure 3 The "details" icon is displayed as the interface state change status 4; The "Vehicle Alarm Monitoring" icon in the second -level menu scheduled in real time, displayed as the interface change status. Figure 5 shows the interface status; the "please select the line" icon in the option column in the clicks of the clicks of the clicks of the clicks of the clicked interface. State Figure 6 The interface status shown in the interface; changing the interface of the cursor of the cursor. 6 The "amplification" icon in the interface is displayed as the interface change state. 7 shows the interface status; Management "icon is displayed as the interface state of the interface change state; the interface status of the cursor -click interface is changed. 8 In the first -level menu in the left -level menu in the left -level menu, the" planning class "icon is displayed as the interface change state Figure 9 The interface status shown in Figure 9; the "driver" icon in the clicks of the clicks of the clicked interface Figure 9, displayed as the interface changes state Figure 10 The interface status shown in the interface; The "Gant map/plan" icon in the secondary menu is displayed as the interface state change status showing the interface status; the "Ganttu" icon in the interface changes in the clicks of the cursor of the cursor, which is displayed as the interface change state diagram 12 The interface state shown in the interface; the clicks of the clicks of the clicks of the clicks of the interface Figure 8 The "line running demonstration chart" icon in the first -level menu in the left -level menu in the left side menu is displayed as the interface state shown in the interface change state; The "business statement" icon in the first -level menu on the left side menu is displayed as the interface change state. Figure 14 shown in the interface status; clicks of the "terminal operation and maintenance" icon in the left -level menu in the main view, and the interface automatically switches the interface changes Status Figure 15717; Classes clicks on the interface change State Figure 15 The "departure screen" icon in the secondary menu in the left -level menu in the left -level menu in the left side menu shows the interface state shown in the interface change state.
 7. Human -computer interaction method of graphic user interface: Graphic user interface can interact with light strike, touch, sliding or pressing graphical user interface or moved the screen panel in any direction or through the electronic device with the display screen panel to interact. Essence
 8. The display screen panel can be applied to computers, laptops, tablets, mobile phones, smartphones, smart mobile phones, smart glasses, watches, smart watches, fitness monitor, headset headphones, personal digital assistants, smart speakers, TVs, TV , Monitor, projector, display for vehicles, navigation equipment, set -top boxes, game consoles.</v>
      </c>
      <c r="D869" s="6" t="s">
        <v>2545</v>
      </c>
      <c r="E869" s="4" t="str">
        <f ca="1">IFERROR(__xludf.DUMMYFUNCTION("GOOGLETRANSLATE(D869,""auto"",""en"")"),"Vehicle operation scheduling management graphic user interface on display screen panel")</f>
        <v>Vehicle operation scheduling management graphic user interface on display screen panel</v>
      </c>
    </row>
    <row r="870" spans="1:5" ht="15" x14ac:dyDescent="0.25">
      <c r="A870" s="5" t="s">
        <v>2546</v>
      </c>
      <c r="B870" s="6" t="s">
        <v>2547</v>
      </c>
      <c r="C870" s="3" t="str">
        <f ca="1">IFERROR(__xludf.DUMMYFUNCTION("GOOGLETRANSLATE(B870,""auto"",""en"")"),"By capturing the image data of basketball players and using a trained machine learning system to process image data to detect illegal behaviors in basketball or other sports. The trained machine learning system includes a player status machine, which desc"&amp;"ribes the player's allowable status and the player's rules. The information extracted from the image data is applied to the player status machine to determine whether the rules violate whether the state is in activity. When the rules violate the state are"&amp;" determined as activity, the output is output, such as sending an alert to officials. The same technology can be applied to coaches.")</f>
        <v>By capturing the image data of basketball players and using a trained machine learning system to process image data to detect illegal behaviors in basketball or other sports. The trained machine learning system includes a player status machine, which describes the player's allowable status and the player's rules. The information extracted from the image data is applied to the player status machine to determine whether the rules violate whether the state is in activity. When the rules violate the state are determined as activity, the output is output, such as sending an alert to officials. The same technology can be applied to coaches.</v>
      </c>
      <c r="D870" s="6" t="s">
        <v>2548</v>
      </c>
      <c r="E870" s="4" t="str">
        <f ca="1">IFERROR(__xludf.DUMMYFUNCTION("GOOGLETRANSLATE(D870,""auto"",""en"")"),"Machine learning for violations of basketball rules and other behaviors")</f>
        <v>Machine learning for violations of basketball rules and other behaviors</v>
      </c>
    </row>
    <row r="871" spans="1:5" ht="15" x14ac:dyDescent="0.25">
      <c r="A871" s="5" t="s">
        <v>2549</v>
      </c>
      <c r="B871" s="6" t="s">
        <v>2550</v>
      </c>
      <c r="C871" s="3" t="str">
        <f ca="1">IFERROR(__xludf.DUMMYFUNCTION("GOOGLETRANSLATE(B871,""auto"",""en"")"),"This disclosure involves a statistical method and device, electronic equipment, and storage media of the competition. At least one three -dimensional information of the target stadium is determined, including the players of at least one player in the thre"&amp;"e -dimensional stadium coordinate system. According to the position of the player Dianyun in the coordinate system of the three -dimensional stadium in 3D information, the player Dianyun's two -dimensional point in the target stadium. Determine the player"&amp;"'s point map according to at least one two -dimensional point corresponding to the three -dimensional information. The player's point diagram is used to represent the time of the corresponding time of the 3D information, and the player's position on the t"&amp;"arget court. This public embodiment can determine the location of each player in the stadium in real time based on computer vision technology in the process of ball competitions, which is convenient for statistical analysis of the entire game or real -tim"&amp;"e game.")</f>
        <v>This disclosure involves a statistical method and device, electronic equipment, and storage media of the competition. At least one three -dimensional information of the target stadium is determined, including the players of at least one player in the three -dimensional stadium coordinate system. According to the position of the player Dianyun in the coordinate system of the three -dimensional stadium in 3D information, the player Dianyun's two -dimensional point in the target stadium. Determine the player's point map according to at least one two -dimensional point corresponding to the three -dimensional information. The player's point diagram is used to represent the time of the corresponding time of the 3D information, and the player's position on the target court. This public embodiment can determine the location of each player in the stadium in real time based on computer vision technology in the process of ball competitions, which is convenient for statistical analysis of the entire game or real -time game.</v>
      </c>
      <c r="D871" s="6" t="s">
        <v>2551</v>
      </c>
      <c r="E871" s="4" t="str">
        <f ca="1">IFERROR(__xludf.DUMMYFUNCTION("GOOGLETRANSLATE(D871,""auto"",""en"")"),"Competition statistics methods and devices, electronic equipment and storage media")</f>
        <v>Competition statistics methods and devices, electronic equipment and storage media</v>
      </c>
    </row>
    <row r="872" spans="1:5" ht="15" x14ac:dyDescent="0.25">
      <c r="A872" s="5" t="s">
        <v>2552</v>
      </c>
      <c r="B872" s="6" t="s">
        <v>2553</v>
      </c>
      <c r="C872" s="3" t="str">
        <f ca="1">IFERROR(__xludf.DUMMYFUNCTION("GOOGLETRANSLATE(B872,""auto"",""en"")"),"This public involves a player's determination method and installation, electronic equipment, and storage medium. By determining the three -dimensional information sequence of the target stadium, each 3D information includes the target object of the target"&amp;" object in the three -dimensional stadium coordinate system, and at least one player at least one player Players in the 3D stadium coordinate system. According to the position of the object cloud in each 3D information in the three -dimensional stadium co"&amp;"ordinate system, the motion status of the target object corresponding to each 3D information is determined. In the case of a state of shooting in the target object of the 3D information, the three -dimensional information of the 3D information correspondi"&amp;"ng to the shooting state of the shooting failure is determined, and the position of the object cloud in the 3D information after the 3D information of the target is Determine the next target player who changes the state of the target object. This public e"&amp;"mbodiment monitors basketball games through computer vision technology, which improves the efficiency and accuracy of the process of grabbing the rebound player during the competition.")</f>
        <v>This public involves a player's determination method and installation, electronic equipment, and storage medium. By determining the three -dimensional information sequence of the target stadium, each 3D information includes the target object of the target object in the three -dimensional stadium coordinate system, and at least one player at least one player Players in the 3D stadium coordinate system. According to the position of the object cloud in each 3D information in the three -dimensional stadium coordinate system, the motion status of the target object corresponding to each 3D information is determined. In the case of a state of shooting in the target object of the 3D information, the three -dimensional information of the 3D information corresponding to the shooting state of the shooting failure is determined, and the position of the object cloud in the 3D information after the 3D information of the target is Determine the next target player who changes the state of the target object. This public embodiment monitors basketball games through computer vision technology, which improves the efficiency and accuracy of the process of grabbing the rebound player during the competition.</v>
      </c>
      <c r="D872" s="6" t="s">
        <v>2554</v>
      </c>
      <c r="E872" s="4" t="str">
        <f ca="1">IFERROR(__xludf.DUMMYFUNCTION("GOOGLETRANSLATE(D872,""auto"",""en"")"),"Players determine methods and devices, electronic equipment and storage media")</f>
        <v>Players determine methods and devices, electronic equipment and storage media</v>
      </c>
    </row>
    <row r="873" spans="1:5" ht="15" x14ac:dyDescent="0.25">
      <c r="A873" s="5" t="s">
        <v>2555</v>
      </c>
      <c r="B873" s="6" t="s">
        <v>2556</v>
      </c>
      <c r="C873" s="3" t="str">
        <f ca="1">IFERROR(__xludf.DUMMYFUNCTION("GOOGLETRANSLATE(B873,""auto"",""en"")"),"This openness involves a state detection method and device, electronic equipment, and storage medium. The three -dimensional information sequence of the target stadium is determined, including the three -dimensional information of the target target object"&amp;"s arranged in the sequence in the order of time. According to the position of the object of the object in the three -dimensional information, the first motion status of the target object of each three -dimensional information is determined. In the case of"&amp;" the first motion status of the target object of the three -dimensional information at the time of the target object, determine the three -dimensional information as the target three -dimensional information, and determine the second target object of the "&amp;"target object in the target 3D information after the three -dimensional information of the target 3D information. Sports. This public embodiment can detect the second motion status in the ball competition through computer vision technology to improve the "&amp;"accuracy and efficiency of detecting the second motion status in the ball competition.")</f>
        <v>This openness involves a state detection method and device, electronic equipment, and storage medium. The three -dimensional information sequence of the target stadium is determined, including the three -dimensional information of the target target objects arranged in the sequence in the order of time. According to the position of the object of the object in the three -dimensional information, the first motion status of the target object of each three -dimensional information is determined. In the case of the first motion status of the target object of the three -dimensional information at the time of the target object, determine the three -dimensional information as the target three -dimensional information, and determine the second target object of the target object in the target 3D information after the three -dimensional information of the target 3D information. Sports. This public embodiment can detect the second motion status in the ball competition through computer vision technology to improve the accuracy and efficiency of detecting the second motion status in the ball competition.</v>
      </c>
      <c r="D873" s="6" t="s">
        <v>2557</v>
      </c>
      <c r="E873" s="4" t="str">
        <f ca="1">IFERROR(__xludf.DUMMYFUNCTION("GOOGLETRANSLATE(D873,""auto"",""en"")"),"Status detection method and device, electronic equipment and storage media")</f>
        <v>Status detection method and device, electronic equipment and storage media</v>
      </c>
    </row>
    <row r="874" spans="1:5" ht="15" x14ac:dyDescent="0.25">
      <c r="A874" s="5" t="s">
        <v>2558</v>
      </c>
      <c r="B874" s="6" t="s">
        <v>2559</v>
      </c>
      <c r="C874" s="3" t="str">
        <f ca="1">IFERROR(__xludf.DUMMYFUNCTION("GOOGLETRANSLATE(B874,""auto"",""en"")"),"1. The name of the product in this exterior: The configuration graphic user interface used to display the screen panel.
 2. Design products in appearance: used for running procedures, information display, and human -computer interaction.
 3. Design of"&amp;" design products in this appearance: lies in the graphic user interface in the screen.
 4. Pictures or photos that can most indicate design points: main view.
 5. The purpose of the graphical user interface: This graphic user interface is used to conf"&amp;"igure the mining equipment.
 The main view is the configuration interface of the configuration, and the left area of ​​the interface is the navigation area. Click different tags to navigate to the corresponding page. The middle area is a graphical confi"&amp;"guration area. You can drag and stretch the action block.
 6. Other instructions: The display screen panel is used in vehicles, computers, laptops, tablets, mobile phones, smart watches, smart bracelets, fitness monitor, headset headphones, personal dig"&amp;"ital assistant (PDA), smart speakers, TVs, TVs , Skytop box, projector, game console or navigator.")</f>
        <v>1. The name of the product in this exterior: The configuration graphic user interface used to display the screen panel.
 2. Design products in appearance: used for running procedures, information display, and human -computer interaction.
 3. Design of design products in this appearance: lies in the graphic user interface in the screen.
 4. Pictures or photos that can most indicate design points: main view.
 5. The purpose of the graphical user interface: This graphic user interface is used to configure the mining equipment.
 The main view is the configuration interface of the configuration, and the left area of ​​the interface is the navigation area. Click different tags to navigate to the corresponding page. The middle area is a graphical configuration area. You can drag and stretch the action block.
 6. Other instructions: The display screen panel is used in vehicles, computers, laptops, tablets, mobile phones, smart watches, smart bracelets, fitness monitor, headset headphones, personal digital assistant (PDA), smart speakers, TVs, TVs , Skytop box, projector, game console or navigator.</v>
      </c>
      <c r="D874" s="6" t="s">
        <v>2560</v>
      </c>
      <c r="E874" s="4" t="str">
        <f ca="1">IFERROR(__xludf.DUMMYFUNCTION("GOOGLETRANSLATE(D874,""auto"",""en"")"),"Configuration graphic user interface for the display screen panel")</f>
        <v>Configuration graphic user interface for the display screen panel</v>
      </c>
    </row>
    <row r="875" spans="1:5" ht="15" x14ac:dyDescent="0.25">
      <c r="A875" s="5" t="s">
        <v>2561</v>
      </c>
      <c r="B875" s="6" t="s">
        <v>2562</v>
      </c>
      <c r="C875" s="3" t="str">
        <f ca="1">IFERROR(__xludf.DUMMYFUNCTION("GOOGLETRANSLATE(B875,""auto"",""en"")"),"The present invention disclosed a basketball shooting training device with artificial intelligence control muscle exoskeleton, including human bone data collection device, AI control device, and whole body muscle exoskeleton device. Collect the body's ske"&amp;"letal size of the trainer and pass the obtained data to the AI ​​control device; the AI ​​control device controls the body's muscle exoskeleton device in a wired or wireless manner, and deforms according to the body's bone size data of the trainer; the wh"&amp;"ole body muscle exoskeleton device Attach the whole body of the trainer until five fingers, control the motion training of the trainer's whole body, and correct the wrong movement through the muscle exterior telescopic unit to help or resistance. The abov"&amp;"e devices ensure stable action specifications through AI intelligence control, so that trainers can truly perceive the amplitude, speed, and strength of the action to meet the needs of different trainers.")</f>
        <v>The present invention disclosed a basketball shooting training device with artificial intelligence control muscle exoskeleton, including human bone data collection device, AI control device, and whole body muscle exoskeleton device. Collect the body's skeletal size of the trainer and pass the obtained data to the AI ​​control device; the AI ​​control device controls the body's muscle exoskeleton device in a wired or wireless manner, and deforms according to the body's bone size data of the trainer; the whole body muscle exoskeleton device Attach the whole body of the trainer until five fingers, control the motion training of the trainer's whole body, and correct the wrong movement through the muscle exterior telescopic unit to help or resistance. The above devices ensure stable action specifications through AI intelligence control, so that trainers can truly perceive the amplitude, speed, and strength of the action to meet the needs of different trainers.</v>
      </c>
      <c r="D875" s="6" t="s">
        <v>2563</v>
      </c>
      <c r="E875" s="4" t="str">
        <f ca="1">IFERROR(__xludf.DUMMYFUNCTION("GOOGLETRANSLATE(D875,""auto"",""en"")"),"A basketball shooting training device with artificial intelligence control muscle exoskeleton")</f>
        <v>A basketball shooting training device with artificial intelligence control muscle exoskeleton</v>
      </c>
    </row>
    <row r="876" spans="1:5" ht="15" x14ac:dyDescent="0.25">
      <c r="A876" s="5" t="s">
        <v>2564</v>
      </c>
      <c r="B876" s="6" t="s">
        <v>2565</v>
      </c>
      <c r="C876" s="3" t="str">
        <f ca="1">IFERROR(__xludf.DUMMYFUNCTION("GOOGLETRANSLATE(B876,""auto"",""en"")"),"1. The name of the product in this exterior: The configuration graphic user interface used to display the screen panel.
 2. Design products in appearance: used for running procedures, information display, and human -computer interaction.
 3. Design of"&amp;" design products in this appearance: lies in the graphic user interface in the screen.
 4. Pictures or photos that can most indicate design points: Design 2 main views.
 5. Specify design 2 is the basic design.
 6. The purpose of the graphical user "&amp;"interface: This graphic user interface is used to configure the mining equipment.
 Design 1 图 Design 4 The main view is the configuration interface of the configuration, and the left area of ​​the interface is the navigation area. Clicking different tag"&amp;"s to navigate to the corresponding page. The middle area is a graphical configuration area, which can drag and stretch the action block.
 7. The display screen panel is applied to vehicles, computers, laptops, tablets, mobile phones, smart watches, smar"&amp;"t watches, fitness monitor, headset headphones, personal digital assistants (PDA), smart speakers, TV, set -top boxes, projection, projection Instrument, game console or navigator.")</f>
        <v>1. The name of the product in this exterior: The configuration graphic user interface used to display the screen panel.
 2. Design products in appearance: used for running procedures, information display, and human -computer interaction.
 3. Design of design products in this appearance: lies in the graphic user interface in the screen.
 4. Pictures or photos that can most indicate design points: Design 2 main views.
 5. Specify design 2 is the basic design.
 6. The purpose of the graphical user interface: This graphic user interface is used to configure the mining equipment.
 Design 1 图 Design 4 The main view is the configuration interface of the configuration, and the left area of ​​the interface is the navigation area. Clicking different tags to navigate to the corresponding page. The middle area is a graphical configuration area, which can drag and stretch the action block.
 7. The display screen panel is applied to vehicles, computers, laptops, tablets, mobile phones, smart watches, smart watches, fitness monitor, headset headphones, personal digital assistants (PDA), smart speakers, TV, set -top boxes, projection, projection Instrument, game console or navigator.</v>
      </c>
      <c r="D876" s="6" t="s">
        <v>2560</v>
      </c>
      <c r="E876" s="4" t="str">
        <f ca="1">IFERROR(__xludf.DUMMYFUNCTION("GOOGLETRANSLATE(D876,""auto"",""en"")"),"Configuration graphic user interface for the display screen panel")</f>
        <v>Configuration graphic user interface for the display screen panel</v>
      </c>
    </row>
    <row r="877" spans="1:5" ht="15" x14ac:dyDescent="0.25">
      <c r="A877" s="5" t="s">
        <v>2566</v>
      </c>
      <c r="B877" s="6" t="s">
        <v>2567</v>
      </c>
      <c r="C877" s="3" t="str">
        <f ca="1">IFERROR(__xludf.DUMMYFUNCTION("GOOGLETRANSLATE(B877,""auto"",""en"")"),"Methods first process the audio signal by the processor to generate audio calls. The processor generates the score of the agency behavior associated with the audio call person, and determines whether the proxy behavior ranking score is lower than the mini"&amp;"mum threshold. In response to the determination of the agency action ranking score is lower than the minimum threshold, the processor uses the voice to generate the transcript of the call -by of the transcript and generates the call -based call -by -based"&amp;" discouramer to generate identification tasks. Specific task proxy associated with the transcript of the call call and the mission of recognition to guide the neural network, and the processor generates ideal response. The processor generates the feedback"&amp;" result and the feedback result is displayed on the display device of the agent client device. Other embodiments are released in this article.")</f>
        <v>Methods first process the audio signal by the processor to generate audio calls. The processor generates the score of the agency behavior associated with the audio call person, and determines whether the proxy behavior ranking score is lower than the minimum threshold. In response to the determination of the agency action ranking score is lower than the minimum threshold, the processor uses the voice to generate the transcript of the call -by of the transcript and generates the call -based call -by -based discouramer to generate identification tasks. Specific task proxy associated with the transcript of the call call and the mission of recognition to guide the neural network, and the processor generates ideal response. The processor generates the feedback result and the feedback result is displayed on the display device of the agent client device. Other embodiments are released in this article.</v>
      </c>
      <c r="D877" s="6" t="s">
        <v>2568</v>
      </c>
      <c r="E877" s="4" t="str">
        <f ca="1">IFERROR(__xludf.DUMMYFUNCTION("GOOGLETRANSLATE(D877,""auto"",""en"")"),"Agent Coach System")</f>
        <v>Agent Coach System</v>
      </c>
    </row>
    <row r="878" spans="1:5" ht="15" x14ac:dyDescent="0.25">
      <c r="A878" s="5" t="s">
        <v>2569</v>
      </c>
      <c r="B878" s="6" t="s">
        <v>2570</v>
      </c>
      <c r="C878" s="3" t="str">
        <f ca="1">IFERROR(__xludf.DUMMYFUNCTION("GOOGLETRANSLATE(B878,""auto"",""en"")"),"1. Design product name: Display screen panel with fitness training function graphics user interface.
 2. The purpose of designing products in this exterior: display screen panels used to display man -machine interaction and information, display screen p"&amp;"anels are applied to computers, vehicle displays, tablets, mobile phones, smart wages, smart glasses, smart watches, fitness monitor, fitness monitor, , Headset headphones, personal digital assistants, smart speakers, television, monitor, projector, navig"&amp;"ator, set -top box, game console.
 3. Design of the design of the product in this appearance: lies in the interface interaction and content of the graphic user interface in the screen.
 4. Pictures or photos that can most indicate design points: main "&amp;"view.
 5. Because there is no design point, the rear view, left view, right view, downward view and viewing map are omitted.
 6. The purpose of the graphical user interface: The graphic user interface designed herein is used to build a device or proje"&amp;"ction device with screens to display the interface of information and human -computer interaction. The main functions are fitness training, including human action recognition functions; The main view is a design of the fitness training interface. Among th"&amp;"em, the left side of the interface is the curriculum page, which can display the video of fitness training. The right side is the user interface taken by the camera. The bottom has information on video schedule, curriculum name, the name and number of cur"&amp;"rent training movements, the display of information such as AI scores, calories and other information; with the playback of fitness training videos, the video progress bar moves from left to right; when the camera shoots the user, the user does The corres"&amp;"ponding actions of the fitness training video, the corresponding prompt pops up on the right interface, the interface is shown in the interface change state. When retreating fitness training videos, the interface is shown in the interface changes.")</f>
        <v>1. Design product name: Display screen panel with fitness training function graphics user interface.
 2. The purpose of designing products in this exterior: display screen panels used to display man -machine interaction and information, display screen panels are applied to computers, vehicle displays, tablets, mobile phones, smart wages, smart glasses, smart watches, fitness monitor, fitness monitor, , Headset headphones, personal digital assistants, smart speakers, television, monitor, projector, navigator, set -top box, game console.
 3. Design of the design of the product in this appearance: lies in the interface interaction and content of the graphic user interface in the screen.
 4. Pictures or photos that can most indicate design points: main view.
 5. Because there is no design point, the rear view, left view, right view, downward view and viewing map are omitted.
 6. The purpose of the graphical user interface: The graphic user interface designed herein is used to build a device or projection device with screens to display the interface of information and human -computer interaction. The main functions are fitness training, including human action recognition functions; The main view is a design of the fitness training interface. Among them, the left side of the interface is the curriculum page, which can display the video of fitness training. The right side is the user interface taken by the camera. The bottom has information on video schedule, curriculum name, the name and number of current training movements, the display of information such as AI scores, calories and other information; with the playback of fitness training videos, the video progress bar moves from left to right; when the camera shoots the user, the user does The corresponding actions of the fitness training video, the corresponding prompt pops up on the right interface, the interface is shown in the interface change state. When retreating fitness training videos, the interface is shown in the interface changes.</v>
      </c>
      <c r="D878" s="6" t="s">
        <v>2571</v>
      </c>
      <c r="E878" s="4" t="str">
        <f ca="1">IFERROR(__xludf.DUMMYFUNCTION("GOOGLETRANSLATE(D878,""auto"",""en"")"),"Display panel with fitness training function graphics user interface")</f>
        <v>Display panel with fitness training function graphics user interface</v>
      </c>
    </row>
    <row r="879" spans="1:5" ht="15" x14ac:dyDescent="0.25">
      <c r="A879" s="5" t="s">
        <v>2572</v>
      </c>
      <c r="B879" s="6" t="s">
        <v>2573</v>
      </c>
      <c r="C879" s="3" t="str">
        <f ca="1">IFERROR(__xludf.DUMMYFUNCTION("GOOGLETRANSLATE(B879,""auto"",""en"")"),"1. The name of the product of the product: The display screen panel with fitness training preparation function graphics user interface.
 2. The purpose of designing products in this exterior: display screen panels used to display man -machine interactio"&amp;"n and information, display screen panels are applied to computers, vehicle displays, tablets, mobile phones, smart wages, smart glasses, smart watches, fitness monitor, fitness monitor, , Headset headphones, smart speakers, TV, projector, navigator, set -"&amp;"top box, game console.
 3. Design of the design of the product in this appearance: lies in the interface interaction and content of the graphic user interface in the screen.
 4. Pictures or photos that can most indicate design points: main view.
 5."&amp;" Because there is no design point, the rear view, left view, right view, downward view and viewing map are omitted.
 6. The purpose of the graphic user interface: The graphic user interface designed in this exterior is used to build a device or projecti"&amp;"on device with a screen to display the interface of information and human -computer interaction. The main function is the preparation function of fitness training, including human action, including human action Identification function; the main view is a "&amp;"design of the preparation interface of fitness training, for the initial state, when the camera shoots the user to follow the guidance screen to make the corresponding movement, the progress bar of the guide screen is prompted. The strip is completely lit"&amp;", and the preparation is completed. The interface is shown in the interface change state.")</f>
        <v>1. The name of the product of the product: The display screen panel with fitness training preparation function graphics user interface.
 2. The purpose of designing products in this exterior: display screen panels used to display man -machine interaction and information, display screen panels are applied to computers, vehicle displays, tablets, mobile phones, smart wages, smart glasses, smart watches, fitness monitor, fitness monitor, , Headset headphones, smart speakers, TV, projector, navigator, set -top box, game console.
 3. Design of the design of the product in this appearance: lies in the interface interaction and content of the graphic user interface in the screen.
 4. Pictures or photos that can most indicate design points: main view.
 5. Because there is no design point, the rear view, left view, right view, downward view and viewing map are omitted.
 6. The purpose of the graphic user interface: The graphic user interface designed in this exterior is used to build a device or projection device with a screen to display the interface of information and human -computer interaction. The main function is the preparation function of fitness training, including human action, including human action Identification function; the main view is a design of the preparation interface of fitness training, for the initial state, when the camera shoots the user to follow the guidance screen to make the corresponding movement, the progress bar of the guide screen is prompted. The strip is completely lit, and the preparation is completed. The interface is shown in the interface change state.</v>
      </c>
      <c r="D879" s="6" t="s">
        <v>2574</v>
      </c>
      <c r="E879" s="4" t="str">
        <f ca="1">IFERROR(__xludf.DUMMYFUNCTION("GOOGLETRANSLATE(D879,""auto"",""en"")"),"Display screen panel with fitness training preparation function graphics user interface")</f>
        <v>Display screen panel with fitness training preparation function graphics user interface</v>
      </c>
    </row>
    <row r="880" spans="1:5" ht="15" x14ac:dyDescent="0.25">
      <c r="A880" s="5" t="s">
        <v>2575</v>
      </c>
      <c r="B880" s="6" t="s">
        <v>2576</v>
      </c>
      <c r="C880" s="3" t="str">
        <f ca="1">IFERROR(__xludf.DUMMYFUNCTION("GOOGLETRANSLATE(B880,""auto"",""en"")"),"This utility model involves the field of fitness equipment, which is specifically involved in an artificial intelligence automatic speed regulating treadmill, including treadmill body, belt, human -machine interaction module, four -set speed detection mod"&amp;"ule and two groups of guardrails. On both sides of the body, each group of fences include horizontal rods and two supporting frames. The upper end of the two supporting frames are settled. The crossbars are located in the middle of the two supporting fram"&amp;"es. There is a speed detection module in a fastener connection. The belt is located above the treadmill body. The elastic connection between the two sides of the belt and the horizontal rods of the two groups of guardrails are connected. The human -machin"&amp;"e interaction module is fixed on the front of the treadmill body; running During the process, the speed of the sports staff is too fast or too slow, which will be pulled by the belt squeezing to the speed detection module, and then the data detection modu"&amp;"le will feed the collected data to the human -machine interactive module. speed.")</f>
        <v>This utility model involves the field of fitness equipment, which is specifically involved in an artificial intelligence automatic speed regulating treadmill, including treadmill body, belt, human -machine interaction module, four -set speed detection module and two groups of guardrails. On both sides of the body, each group of fences include horizontal rods and two supporting frames. The upper end of the two supporting frames are settled. The crossbars are located in the middle of the two supporting frames. There is a speed detection module in a fastener connection. The belt is located above the treadmill body. The elastic connection between the two sides of the belt and the horizontal rods of the two groups of guardrails are connected. The human -machine interaction module is fixed on the front of the treadmill body; running During the process, the speed of the sports staff is too fast or too slow, which will be pulled by the belt squeezing to the speed detection module, and then the data detection module will feed the collected data to the human -machine interactive module. speed.</v>
      </c>
      <c r="D880" s="6" t="s">
        <v>2577</v>
      </c>
      <c r="E880" s="4" t="str">
        <f ca="1">IFERROR(__xludf.DUMMYFUNCTION("GOOGLETRANSLATE(D880,""auto"",""en"")"),"A kind of artificial intelligence automatic speed adjustment runner")</f>
        <v>A kind of artificial intelligence automatic speed adjustment runner</v>
      </c>
    </row>
    <row r="881" spans="1:5" ht="15" x14ac:dyDescent="0.25">
      <c r="A881" s="5" t="s">
        <v>2578</v>
      </c>
      <c r="B881" s="6" t="s">
        <v>2579</v>
      </c>
      <c r="C881" s="3" t="str">
        <f ca="1">IFERROR(__xludf.DUMMYFUNCTION("GOOGLETRANSLATE(B881,""auto"",""en"")"),"1. The name of the product of the design of the product: The working list of the display screen panel shows the graphic user interface.
 2. Design products in appearance: used for running procedures, information display, and human -computer interaction."&amp;"
 3. Design of design products in this appearance: lies in the shape and color of the icon in the interface.
 4. Pictures or photos that can best show design: Design 1 main view.
 5. Specify design 1 is the basic design.
 6. The purpose of the gra"&amp;"phical user interface: Design 1‑ Design 3 The main view is the display interface of the work list.
 Click on the process 1 in the main view of the main view to dig the cover icon of the instrument board to enter the corresponding working surface board i"&amp;"nterface, as shown in the design 1 interface change state. , Pop up the working table bullet box, click at any worksheet cover module in the bullet box, you can jump to the corresponding working surface board.
 The interface change status of design 2 an"&amp;"d design 3 is the same as the process of design 1.
 7.其他说明：显示屏幕面板应用于车辆、计算机、笔记本电脑、平板电脑、手机、智能手表、智能手环、健身监视器、头戴式耳机、个人数字助理（PDA）、智能音箱、电视、 Top box, projector, game console or navigator.
 8. Design 1 3 Design 3 Requires to protect colors.")</f>
        <v>1. The name of the product of the design of the product: The working list of the display screen panel shows the graphic user interface.
 2. Design products in appearance: used for running procedures, information display, and human -computer interaction.
 3. Design of design products in this appearance: lies in the shape and color of the icon in the interface.
 4. Pictures or photos that can best show design: Design 1 main view.
 5. Specify design 1 is the basic design.
 6. The purpose of the graphical user interface: Design 1‑ Design 3 The main view is the display interface of the work list.
 Click on the process 1 in the main view of the main view to dig the cover icon of the instrument board to enter the corresponding working surface board interface, as shown in the design 1 interface change state. , Pop up the working table bullet box, click at any worksheet cover module in the bullet box, you can jump to the corresponding working surface board.
 The interface change status of design 2 and design 3 is the same as the process of design 1.
 7.其他说明：显示屏幕面板应用于车辆、计算机、笔记本电脑、平板电脑、手机、智能手表、智能手环、健身监视器、头戴式耳机、个人数字助理（PDA）、智能音箱、电视、 Top box, projector, game console or navigator.
 8. Design 1 3 Design 3 Requires to protect colors.</v>
      </c>
      <c r="D881" s="6" t="s">
        <v>2580</v>
      </c>
      <c r="E881" s="4" t="str">
        <f ca="1">IFERROR(__xludf.DUMMYFUNCTION("GOOGLETRANSLATE(D881,""auto"",""en"")"),"The work list of the display screen panel display the graphical user interface")</f>
        <v>The work list of the display screen panel display the graphical user interface</v>
      </c>
    </row>
    <row r="882" spans="1:5" ht="15" x14ac:dyDescent="0.25">
      <c r="A882" s="5" t="s">
        <v>2581</v>
      </c>
      <c r="B882" s="6" t="s">
        <v>2582</v>
      </c>
      <c r="C882" s="3" t="str">
        <f ca="1">IFERROR(__xludf.DUMMYFUNCTION("GOOGLETRANSLATE(B882,""auto"",""en"")"),"1. Design product name: The graphic user interface of the drone monitoring icon of the display screen panel.
 2. Design product use: The display screen panel is used to display the graphical user interface.
 3. Design of the design of the product in a"&amp;"ppearance: lies in the graphic user interface.
 4. Pictures or photos that can best show design: Design 1 Local magnification.
 5. Specify design 1 is the basic design.
 6. The purpose of the graphical user interface: The graphic user interface is u"&amp;"sed for human -computer interaction and the function of product or software client.
 7. Human -machine interaction method of graphical user interface: You can interact with the interface of contact, such as light -blow or touching the icon graphical use"&amp;"r interface to load the subsequent graphical user interface or run the application.
 8. The display screen panel and graphic user interface can be applied to vehicles, communication equipment, multimedia equipment, information terminals, portable commun"&amp;"ication equipment, portable multimedia devices, portable information terminals, computers, laptops, tablet computers, mobile phones, smart watches, smart hands Ring, fitness monitor, headset headphones, personal digital assistants, smart speakers, televis"&amp;"ion, projector, set -top box, game machine or navigator; display screen panels are commonly designed, so other views are omitted.
 9. Design 2 and Design 3 Request protection colors.")</f>
        <v>1. Design product name: The graphic user interface of the drone monitoring icon of the display screen panel.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The graphic user interface is used for human -computer interaction and the function of product or software client.
 7. Human -machine interaction method of graphical user interface: You can interact with the interface of contact, such as light -blow or touching the icon graphical user interface to load the subsequent graphical user interface or run the application.
 8. The display screen panel and graphic user interface can be applied to vehicles, communication equipment, multimedia equipment, information terminals, portable communication equipment, portable multimedia devices, portable information terminals, computers, laptops, tablet computers, mobile phones, smart watches, smart hands Ring, fitness monitor, headset headphones, personal digital assistants, smart speakers, television, projector, set -top box, game machine or navigator; display screen panels are commonly designed, so other views are omitted.
 9. Design 2 and Design 3 Request protection colors.</v>
      </c>
      <c r="D882" s="6" t="s">
        <v>2583</v>
      </c>
      <c r="E882" s="4" t="str">
        <f ca="1">IFERROR(__xludf.DUMMYFUNCTION("GOOGLETRANSLATE(D882,""auto"",""en"")"),"The graphical user interface of the unmanned vehicle monitoring icon of the display screen panel")</f>
        <v>The graphical user interface of the unmanned vehicle monitoring icon of the display screen panel</v>
      </c>
    </row>
    <row r="883" spans="1:5" ht="15" x14ac:dyDescent="0.25">
      <c r="A883" s="5" t="s">
        <v>2584</v>
      </c>
      <c r="B883" s="6" t="s">
        <v>2585</v>
      </c>
      <c r="C883" s="3" t="str">
        <f ca="1">IFERROR(__xludf.DUMMYFUNCTION("GOOGLETRANSLATE(B883,""auto"",""en"")"),"This utility model opens an artificial intelligence and convenient fitness system, including box, robotic arm unit, tensile unit, control unit, interactive unit and wall -mounted unit; ; The robotic arm unit includes two robotic arms. The two robotic arms"&amp;" are located on both sides of the box and one end of the activity are installed on the box. Pulling the hand, the handle is located at the other end of the corresponding robotic arm. One end of the pull rope is connected to the handle, and the other end i"&amp;"s connected to the corresponding robotic arm to the corresponding drive motor; The control unit is connected to the drive motor electrical, and the control unit and the driver motor are installed inside the box; the interactive unit is located on the box "&amp;"between the two robotic arms. This utility model has the advantages of simple overall structure, simple disassembly, small area and high degree of intelligence.")</f>
        <v>This utility model opens an artificial intelligence and convenient fitness system, including box, robotic arm unit, tensile unit, control unit, interactive unit and wall -mounted unit; ; The robotic arm unit includes two robotic arms. The two robotic arms are located on both sides of the box and one end of the activity are installed on the box. Pulling the hand, the handle is located at the other end of the corresponding robotic arm. One end of the pull rope is connected to the handle, and the other end is connected to the corresponding robotic arm to the corresponding drive motor; The control unit is connected to the drive motor electrical, and the control unit and the driver motor are installed inside the box; the interactive unit is located on the box between the two robotic arms. This utility model has the advantages of simple overall structure, simple disassembly, small area and high degree of intelligence.</v>
      </c>
      <c r="D883" s="6" t="s">
        <v>2586</v>
      </c>
      <c r="E883" s="4" t="str">
        <f ca="1">IFERROR(__xludf.DUMMYFUNCTION("GOOGLETRANSLATE(D883,""auto"",""en"")"),"An artificial intelligence and convenient fitness system")</f>
        <v>An artificial intelligence and convenient fitness system</v>
      </c>
    </row>
    <row r="884" spans="1:5" ht="15" x14ac:dyDescent="0.25">
      <c r="A884" s="5" t="s">
        <v>2587</v>
      </c>
      <c r="B884" s="6" t="s">
        <v>2588</v>
      </c>
      <c r="C884" s="3" t="str">
        <f ca="1">IFERROR(__xludf.DUMMYFUNCTION("GOOGLETRANSLATE(B884,""auto"",""en"")"),"The present invention involves a crop disease and pest Q &amp; A model based on knowledge maps and machine learning. The specific operation steps of the construction of this model are as follows: data collection and preparation, crop disease and insect pest k"&amp;"nowledge map construction, machine learning -based question and answer model, evaluation indicators, evaluation indicators, evaluation indicators, evaluation indicators, evaluation indicators, evaluation indicators, evaluation indicators, evaluation indic"&amp;"ators, evaluation indicators, evaluation indicators, evaluation indicators, evaluation indicators, evaluation indicators, evaluation indicators, evaluation indicators, evaluation indicators, evaluation indicators, evaluation indicators, evaluation indicat"&amp;"ors, and evaluation indicators, evaluation indicators, evaluation indicators, and evaluation indicators, evaluation indicators, and evaluation indicators, evaluation indicators, evaluation indicators, and evaluation indicators, and evaluation indicators, "&amp;"evaluation indicators, and evaluation indicators, and evaluation indicators, evaluation indicators, and evaluation indicators, evaluation indicators, and evaluation indicators. The construction of the ontology, the construction of the entity and the relat"&amp;"ionship, the name of the name of the entity identification and Q &amp; A model of the model; based on the knowledge of crop disease and insect pests as the research object, explore the methods and technologies of the knowledge and answer in the field of smart"&amp;" agriculture, through the construction methods and technologies in the field of intelligent agriculture. As a knowledge base for intelligent Q &amp; A, it is based on NBC, BERT and Bert+TextCNN to build a crop disease and insect pest Q &amp; A model model to real"&amp;"ize the classification of problem templates and the matching of question and symbolic questions. Wait for smart agricultural knowledge intelligent services to provide theoretical support and technical reference.")</f>
        <v>The present invention involves a crop disease and pest Q &amp; A model based on knowledge maps and machine learning. The specific operation steps of the construction of this model are as follows: data collection and preparation, crop disease and insect pest knowledge map construction, machine learning -based question and answer model,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evaluation indicators, and evaluation indicators, evaluation indicators, evaluation indicators, and evaluation indicators, evaluation indicators, and evaluation indicators, evaluation indicators, evaluation indicators, and evaluation indicators, and evaluation indicators, evaluation indicators, and evaluation indicators, and evaluation indicators, evaluation indicators, and evaluation indicators, evaluation indicators, and evaluation indicators. The construction of the ontology, the construction of the entity and the relationship, the name of the name of the entity identification and Q &amp; A model of the model; based on the knowledge of crop disease and insect pests as the research object, explore the methods and technologies of the knowledge and answer in the field of smart agriculture, through the construction methods and technologies in the field of intelligent agriculture. As a knowledge base for intelligent Q &amp; A, it is based on NBC, BERT and Bert+TextCNN to build a crop disease and insect pest Q &amp; A model model to realize the classification of problem templates and the matching of question and symbolic questions. Wait for smart agricultural knowledge intelligent services to provide theoretical support and technical reference.</v>
      </c>
      <c r="D884" s="6" t="s">
        <v>2589</v>
      </c>
      <c r="E884" s="4" t="str">
        <f ca="1">IFERROR(__xludf.DUMMYFUNCTION("GOOGLETRANSLATE(D884,""auto"",""en"")"),"A question and answer model of crop disease and insect pests based on knowledge maps and machine learning")</f>
        <v>A question and answer model of crop disease and insect pests based on knowledge maps and machine learning</v>
      </c>
    </row>
    <row r="885" spans="1:5" ht="15" x14ac:dyDescent="0.25">
      <c r="A885" s="5" t="s">
        <v>2590</v>
      </c>
      <c r="B885" s="6" t="s">
        <v>2591</v>
      </c>
      <c r="C885" s="3" t="str">
        <f ca="1">IFERROR(__xludf.DUMMYFUNCTION("GOOGLETRANSLATE(B885,""auto"",""en"")"),"The present invention provides a fine -granularity tennis game recognition method based on the three -dimensional skeleton and ball trajectory, and builds a tennis game skeleton skeleton, racket key point, three -dimensional coordinates, key points types "&amp;"of ball rackets, rackets, and rackets. Fighting the action library, the training data input is based on the graphic curl neural network based on the above semantic encoding and time attention to output the category of hitting the ball. By reducing multipl"&amp;"e similar similarity loss and supervision loss of samples, obtaining fine -grained tennis action recognition recognition The model of ability, the model of the movement data input in the motion data input to output the type of action category with a fine "&amp;"-grained tennis action recognition ability. Through the method of the present invention, effectively hitting the ball -to -ball action recognition with the three -dimensional coordinates of the three -dimensional skeleton and the ball trajectory, realizin"&amp;"g the category of a fine -grained action, and at the same time, the accuracy of the category of hitting is used to improve the accuracy of the classification classification. The action evaluation in sports events has certain application value.")</f>
        <v>The present invention provides a fine -granularity tennis game recognition method based on the three -dimensional skeleton and ball trajectory, and builds a tennis game skeleton skeleton, racket key point, three -dimensional coordinates, key points types of ball rackets, rackets, and rackets. Fighting the action library, the training data input is based on the graphic curl neural network based on the above semantic encoding and time attention to output the category of hitting the ball. By reducing multiple similar similarity loss and supervision loss of samples, obtaining fine -grained tennis action recognition recognition The model of ability, the model of the movement data input in the motion data input to output the type of action category with a fine -grained tennis action recognition ability. Through the method of the present invention, effectively hitting the ball -to -ball action recognition with the three -dimensional coordinates of the three -dimensional skeleton and the ball trajectory, realizing the category of a fine -grained action, and at the same time, the accuracy of the category of hitting is used to improve the accuracy of the classification classification. The action evaluation in sports events has certain application value.</v>
      </c>
      <c r="D885" s="6" t="s">
        <v>2592</v>
      </c>
      <c r="E885" s="4" t="str">
        <f ca="1">IFERROR(__xludf.DUMMYFUNCTION("GOOGLETRANSLATE(D885,""auto"",""en"")"),"A method of hitting the ball -based on three -dimensional skeleton and ball trajectory.")</f>
        <v>A method of hitting the ball -based on three -dimensional skeleton and ball trajectory.</v>
      </c>
    </row>
    <row r="886" spans="1:5" ht="15" x14ac:dyDescent="0.25">
      <c r="A886" s="5" t="s">
        <v>2593</v>
      </c>
      <c r="B886" s="6" t="s">
        <v>2594</v>
      </c>
      <c r="C886" s="3" t="str">
        <f ca="1">IFERROR(__xludf.DUMMYFUNCTION("GOOGLETRANSLATE(B886,""auto"",""en"")"),"The present invention disclosed a dual -mode man -machine interactive intelligent running system, including the event running module, running module, smart terminal, medical service system, and event platform terminal. This dual -mode man -machine interac"&amp;"tive intelligent running system is different from existing technologies. Users to control the module to select the two modes of running or automatically run the field to meet the user's self -selected needs, thereby stimulating their own sports fun Second"&amp;"ly, by entering the competition running module, users can selectively participate in the displayed events, and after choosing the event they participate in, they can apply for the accurate information of the user's identity. The identity information is tr"&amp;"ansmitted to the medical service system, so that the medical service system can screen the accurate information of the user.")</f>
        <v>The present invention disclosed a dual -mode man -machine interactive intelligent running system, including the event running module, running module, smart terminal, medical service system, and event platform terminal. This dual -mode man -machine interactive intelligent running system is different from existing technologies. Users to control the module to select the two modes of running or automatically run the field to meet the user's self -selected needs, thereby stimulating their own sports fun Secondly, by entering the competition running module, users can selectively participate in the displayed events, and after choosing the event they participate in, they can apply for the accurate information of the user's identity. The identity information is transmitted to the medical service system, so that the medical service system can screen the accurate information of the user.</v>
      </c>
      <c r="D886" s="6" t="s">
        <v>2595</v>
      </c>
      <c r="E886" s="4" t="str">
        <f ca="1">IFERROR(__xludf.DUMMYFUNCTION("GOOGLETRANSLATE(D886,""auto"",""en"")"),"A dual -mode man -machine interactive intelligent running system")</f>
        <v>A dual -mode man -machine interactive intelligent running system</v>
      </c>
    </row>
    <row r="887" spans="1:5" ht="15" x14ac:dyDescent="0.25">
      <c r="A887" s="5" t="s">
        <v>2596</v>
      </c>
      <c r="B887" s="6" t="s">
        <v>2597</v>
      </c>
      <c r="C887" s="3" t="str">
        <f ca="1">IFERROR(__xludf.DUMMYFUNCTION("GOOGLETRANSLATE(B887,""auto"",""en"")"),"The main point of the present invention is a method of using neural network generating ranking based on historical data, especially the ranking of players or teams in e -sports games. b) Training neural network based on data based on the results of such g"&amp;"ameplay, b) Based on the current data, especially the parameters of e -sports gameplay and data about the results of such gameplay, players or teams are trained through neural networks. c) Generate ranking, and C) Possible predictions to the future result"&amp;"s of given players or teams through neural networks. The present invention also includes a system for implementing this method and the ranking generated by this method.")</f>
        <v>The main point of the present invention is a method of using neural network generating ranking based on historical data, especially the ranking of players or teams in e -sports games. b) Training neural network based on data based on the results of such gameplay, b) Based on the current data, especially the parameters of e -sports gameplay and data about the results of such gameplay, players or teams are trained through neural networks. c) Generate ranking, and C) Possible predictions to the future results of given players or teams through neural networks. The present invention also includes a system for implementing this method and the ranking generated by this method.</v>
      </c>
      <c r="D887" s="6" t="s">
        <v>2598</v>
      </c>
      <c r="E887" s="4" t="str">
        <f ca="1">IFERROR(__xludf.DUMMYFUNCTION("GOOGLETRANSLATE(D887,""auto"",""en"")"),"Rank generation method, ranking system and ranking")</f>
        <v>Rank generation method, ranking system and ranking</v>
      </c>
    </row>
    <row r="888" spans="1:5" ht="15" x14ac:dyDescent="0.25">
      <c r="A888" s="5" t="s">
        <v>2599</v>
      </c>
      <c r="B888" s="6" t="s">
        <v>2600</v>
      </c>
      <c r="C888" s="3" t="str">
        <f ca="1">IFERROR(__xludf.DUMMYFUNCTION("GOOGLETRANSLATE(B888,""auto"",""en"")"),"As more and more embedded systems are adopted, automatic irrigation and maintenance can be used in the agricultural sector to promote growth. The system can use the threshold of temperature and soil humidity to develop, and these thresholds are programmed"&amp;" to a microcontroller -based gateway to control the amount of water. At the same time, wireless cameras are used to monitor plant growth and use MATLAB software for analysis. The system provides a wireless sensor network, where each sensor node obtains im"&amp;"ages from the field and uses image processing technology inside to detect any abnormal state in the leaves. This symptom may be caused by defects, pests, diseases, or other harmful factors. When it detects it, the sensor node sends messages to the converg"&amp;"ence node through the wireless sensor network to notify farmers that affect the diseases that affect crops and can be used to correct fertilizers from crops. disease. The Internet of Things (IoT) connecting devices has penetrated all aspects of our lives,"&amp;" from health and fitness, family automation, automotive and logistics, to smart cities and industrial Internet of Things. Therefore, the Internet of Things, connection equipment and automation will be logical in agriculture. Therefore, it can greatly impr"&amp;"ove all aspects of agriculture. Over the past few decades, agriculture has experienced many technological changes, becoming more industrialized and technological -driven. By using various intelligent agricultural tools, farmers can better control the proc"&amp;"ess of raising livestock and planting crops, so that they can be more predictable and improve their production efficiency. efficiency. The above parameters can be achieved through MicroController, soil humidity sensor, temperature sensor, ADC, signal cond"&amp;"itioning unit, ZigBee, GSM Module, camera, motor pump and control circuit.")</f>
        <v>As more and more embedded systems are adopted, automatic irrigation and maintenance can be used in the agricultural sector to promote growth. The system can use the threshold of temperature and soil humidity to develop, and these thresholds are programmed to a microcontroller -based gateway to control the amount of water. At the same time, wireless cameras are used to monitor plant growth and use MATLAB software for analysis. The system provides a wireless sensor network, where each sensor node obtains images from the field and uses image processing technology inside to detect any abnormal state in the leaves. This symptom may be caused by defects, pests, diseases, or other harmful factors. When it detects it, the sensor node sends messages to the convergence node through the wireless sensor network to notify farmers that affect the diseases that affect crops and can be used to correct fertilizers from crops. disease. The Internet of Things (IoT) connecting devices has penetrated all aspects of our lives, from health and fitness, family automation, automotive and logistics, to smart cities and industrial Internet of Things. Therefore, the Internet of Things, connection equipment and automation will be logical in agriculture. Therefore, it can greatly improve all aspects of agriculture. Over the past few decades, agriculture has experienced many technological changes, becoming more industrialized and technological -driven. By using various intelligent agricultural tools, farmers can better control the process of raising livestock and planting crops, so that they can be more predictable and improve their production efficiency. efficiency. The above parameters can be achieved through MicroController, soil humidity sensor, temperature sensor, ADC, signal conditioning unit, ZigBee, GSM Module, camera, motor pump and control circuit.</v>
      </c>
      <c r="D888" s="6" t="s">
        <v>2601</v>
      </c>
      <c r="E888" s="4" t="str">
        <f ca="1">IFERROR(__xludf.DUMMYFUNCTION("GOOGLETRANSLATE(D888,""auto"",""en"")"),"Crop Agricultural Program Control Technology")</f>
        <v>Crop Agricultural Program Control Technology</v>
      </c>
    </row>
    <row r="889" spans="1:5" ht="15" x14ac:dyDescent="0.25">
      <c r="A889" s="5" t="s">
        <v>2602</v>
      </c>
      <c r="B889" s="6" t="s">
        <v>2603</v>
      </c>
      <c r="C889" s="3" t="str">
        <f ca="1">IFERROR(__xludf.DUMMYFUNCTION("GOOGLETRANSLATE(B889,""auto"",""en"")"),"The present invention involves punch -in fields, which specifically involves punch -in methods based on AI image recognition technology. The invention provides a punch -in method based on AI image recognition technology. Pickup method based on AI image re"&amp;"cognition technology, including the following steps: S001) Merchant login merchant -side application; S002) Merchants enter the new task page; S003) Merchants edit task title, task profile and basic text information through merchant -side applications. Us"&amp;"er -side applications show the promotional information of tasks; S004) Merchants collect task location information and task images through merchant -side applications. Social activities such as culture, education, sports, competitions, and tourism are com"&amp;"bined with school education into extracurricular practice tasks, and the punch -in method of punching in AI image recognition technology can be achieved invisible supervision and giving extracurricular practice with cultural experience, social communicati"&amp;"on and other forms of education. , So that the punch -in method can get a deeper and longer experience and enhance interest.")</f>
        <v>The present invention involves punch -in fields, which specifically involves punch -in methods based on AI image recognition technology. The invention provides a punch -in method based on AI image recognition technology. Pickup method based on AI image recognition technology, including the following steps: S001) Merchant login merchant -side application; S002) Merchants enter the new task page; S003) Merchants edit task title, task profile and basic text information through merchant -side applications. User -side applications show the promotional information of tasks; S004) Merchants collect task location information and task images through merchant -side applications. Social activities such as culture, education, sports, competitions, and tourism are combined with school education into extracurricular practice tasks, and the punch -in method of punching in AI image recognition technology can be achieved invisible supervision and giving extracurricular practice with cultural experience, social communication and other forms of education. , So that the punch -in method can get a deeper and longer experience and enhance interest.</v>
      </c>
      <c r="D889" s="6" t="s">
        <v>2604</v>
      </c>
      <c r="E889" s="4" t="str">
        <f ca="1">IFERROR(__xludf.DUMMYFUNCTION("GOOGLETRANSLATE(D889,""auto"",""en"")"),"Pickup method based on AI image recognition technology")</f>
        <v>Pickup method based on AI image recognition technology</v>
      </c>
    </row>
    <row r="890" spans="1:5" ht="15" x14ac:dyDescent="0.25">
      <c r="A890" s="5" t="s">
        <v>2605</v>
      </c>
      <c r="B890" s="6" t="s">
        <v>2606</v>
      </c>
      <c r="C890" s="3" t="str">
        <f ca="1">IFERROR(__xludf.DUMMYFUNCTION("GOOGLETRANSLATE(B890,""auto"",""en"")"),"1. Design product name: Display screen panel with corporate archives management graphical user interface.
 2. The purpose of designing products in this exterior: used to display graphic user interface.
 3. Design of design products in this appearance:"&amp;" lies in the graphic user interface in the screen.
 4. Pictures or photos that can best show design points: Figure 1 of the interface change state.
 5. There is no design point for other views, omitting other views.
 6. The purpose of graphical user"&amp;" interface: The interface is used for the use of the physical file of the enterprise, the use of the shelves, management and data display.
 7. Human -computer interaction method of graphical user interface: The graphic user interface displayed by the ma"&amp;"in view is to open the start interface of the program; After the information, and click the ""Mobile Number Login"" button to enter the interface change state Figure 1; interface change state Figure 2: Click the interface change status Figure 1 ""Micking "&amp;"Record"" below any ""physical matching 9 volume"" button enters the interface change state. 2 ; Interface Change State Figure 3: Click the ""Files on the File"" button at the bottom of the interface change state to enter the interface change state. Figure"&amp;" 3; Match 9 ""Books"" button Enter the interface change state Figure 4; interface change state Figure 5: Click the interface change state Figure 1 The bottom ""My"" button to enter the interface change state Figure 5.
 8.一、本外观设计产品的显示屏幕面板可应用于计算机、笔记本电脑、平板"&amp;"电脑、抬头显示器（HUD）、多媒体投影仪、智能手机、智能机器人、智能眼镜、虚拟现实眼镜、增强现实眼镜、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-"&amp;"top box, game handheld, game console.
 Second, the gray ""X"" coating in the graphic user interface of the product is the content picture.")</f>
        <v>1. Design product name: Display screen panel with corporate archives management graphical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graphical user interface: The interface is used for the use of the physical file of the enterprise, the use of the shelves, management and data display.
 7. Human -computer interaction method of graphical user interface: The graphic user interface displayed by the main view is to open the start interface of the program; After the information, and click the "Mobile Number Login" button to enter the interface change state Figure 1; interface change state Figure 2: Click the interface change status Figure 1 "Micking Record" below any "physical matching 9 volume" button enters the interface change state. 2 ; Interface Change State Figure 3: Click the "Files on the File" button at the bottom of the interface change state to enter the interface change state. Figure 3; Match 9 "Books" button Enter the interface change state Figure 4; interface change state Figure 5: Click the interface change state Figure 1 The bottom "My" button to enter the interface change state Figure 5.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890" s="6" t="s">
        <v>2607</v>
      </c>
      <c r="E890" s="4" t="str">
        <f ca="1">IFERROR(__xludf.DUMMYFUNCTION("GOOGLETRANSLATE(D890,""auto"",""en"")"),"Display screen panel with corporate file management graphics user interface")</f>
        <v>Display screen panel with corporate file management graphics user interface</v>
      </c>
    </row>
    <row r="891" spans="1:5" ht="15" x14ac:dyDescent="0.25">
      <c r="A891" s="5" t="s">
        <v>2608</v>
      </c>
      <c r="B891" s="6" t="s">
        <v>2609</v>
      </c>
      <c r="C891" s="3" t="str">
        <f ca="1">IFERROR(__xludf.DUMMYFUNCTION("GOOGLETRANSLATE(B891,""auto"",""en"")"),"1. The name of the product in appearance: Take out the display screen panel of the mall to order the graphic user interface.
 2. The purpose of designing products in this exterior: used to display graphic user interface.
 3. Design of design products "&amp;"in this appearance: lies in the graphic user interface in the screen.
 4. Pictures or photos that can most indicate design points: main view.
 5. There is no design point for other views, omitting other views.
 6. The purpose of graphical user inter"&amp;"face: The interface is used for air tickets, train tickets, hotel booking/ordering and taxi and purchasing products.
 7. Human -computer interaction method of graphical user interface: The graphic user interface displayed by the main view is to open the"&amp;" start interface of the program; State Figure 2: After entering any city name in the ""departure city"" and ""reaching the city"" in the interface change state (here is the city entering Shanghai in the city, entering the city into Guangzhou as an example"&amp;"), and click the query button to enter the interface change state Figure 2; Interface Change State Figure 3: Click the ""I Know"" button at the bottom of the ""I know"" button at the bottom of the interface change state. Figure 4; Interface Change State F"&amp;"igure 5: Click the ""Query"" button below the ""Query"" button below the interface to enter the interface change state Figure 5; Interface change state Figure 6; interface change state Figure 7: Click the ""location area"" button above the interface chang"&amp;"es to the ""location area"" button to pop up the interface change state. 7; The button enter the interface change state Figure 8; the interface changes state Figure 9: Click the interface change state Figure 8 The ""Hotel Details"" button at the top right"&amp;" of the central center to enter the interface change state Figure 9; ""The button enters the interface change state Figure 10; the interface changes state Figure 11: In the"" departure city/station ""and"" arrival city/station ""in the central government "&amp;"in the interface change state. 10 Beijing, enter the city/station in Shanghai as an example) and click the query button to enter the interface change state. Status Figure 13: Click the ""Car"" button at the top of the main view to enter the interface chan"&amp;"ge state. Figure 13; the interface change state Figure 14: at the bottom of the interface change state ""Where do you want to go?"" After the name (the destination here is xxxxxxx as an example), automatically changes to the interface change state Figure "&amp;"14; the interface changes state Figure 15: Click the interface change status. 13 at the bottom of the ""pickupr"" button enter the interface changes. Status Figure 16: Click the ""Enterprise Purchasing"" button above the main view to enter the interface c"&amp;"hange state Figure 16; interface change state Figure 17: Click the interface change status. 16 ""Car Di Le Crocodile ..."" Tag button enters the interface changes. Status Figure 17; Reference Status of the Interface Reference Figure 1: This interface shou"&amp;"ld be the use of the status of the interface change status.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"&amp;"equipment, vehicle CNC computer, automobile smart rearview mirror, smart speaker, smart TV, set -top box, game handheld, game console.
 Second, the gray ""X"" coating in the graphic user interface of the product is the content picture.")</f>
        <v>1. The name of the product in appearance: Take out the display screen panel of the mall to order the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air tickets, train tickets, hotel booking/ordering and taxi and purchasing products.
 7. Human -computer interaction method of graphical user interface: The graphic user interface displayed by the main view is to open the start interface of the program; State Figure 2: After entering any city name in the "departure city" and "reaching the city" in the interface change state (here is the city entering Shanghai in the city, entering the city into Guangzhou as an example), and click the query button to enter the interface change state Figure 2; Interface Change State Figure 3: Click the "I Know" button at the bottom of the "I know" button at the bottom of the interface change state. Figure 4; Interface Change State Figure 5: Click the "Query" button below the "Query" button below the interface to enter the interface change state Figure 5; Interface change state Figure 6; interface change state Figure 7: Click the "location area" button above the interface changes to the "location area" button to pop up the interface change state. 7; The button enter the interface change state Figure 8; the interface changes state Figure 9: Click the interface change state Figure 8 The "Hotel Details" button at the top right of the central center to enter the interface change state Figure 9; "The button enters the interface change state Figure 10; the interface changes state Figure 11: In the" departure city/station "and" arrival city/station "in the central government in the interface change state. 10 Beijing, enter the city/station in Shanghai as an example) and click the query button to enter the interface change state. Status Figure 13: Click the "Car" button at the top of the main view to enter the interface change state. Figure 13; the interface change state Figure 14: at the bottom of the interface change state "Where do you want to go?" After the name (the destination here is xxxxxxx as an example), automatically changes to the interface change state Figure 14; the interface changes state Figure 15: Click the interface change status. 13 at the bottom of the "pickupr" button enter the interface changes. Status Figure 16: Click the "Enterprise Purchasing" button above the main view to enter the interface change state Figure 16; interface change state Figure 17: Click the interface change status. 16 "Car Di Le Crocodile ..." Tag button enters the interface changes. Status Figure 17; Reference Status of the Interface Reference Figure 1: This interface should be the use of the status of the interface change status.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891" s="6" t="s">
        <v>2610</v>
      </c>
      <c r="E891" s="4" t="str">
        <f ca="1">IFERROR(__xludf.DUMMYFUNCTION("GOOGLETRANSLATE(D891,""auto"",""en"")"),"Take out the display screen panel of the mall to order the graphical user interface")</f>
        <v>Take out the display screen panel of the mall to order the graphical user interface</v>
      </c>
    </row>
    <row r="892" spans="1:5" ht="15" x14ac:dyDescent="0.25">
      <c r="A892" s="5" t="s">
        <v>2611</v>
      </c>
      <c r="B892" s="6" t="s">
        <v>2612</v>
      </c>
      <c r="C892" s="3" t="str">
        <f ca="1">IFERROR(__xludf.DUMMYFUNCTION("GOOGLETRANSLATE(B892,""auto"",""en"")"),"1. Design product name: Display screen panel with financial approval management graphic user interface.
 2. The purpose of designing products in this exterior: used to display graphic user interface.
 3. Design of design products in this appearance: l"&amp;"ies in the graphic user interface in the screen.
 4. Pictures or photos that can best show design points: Figure 1 of the interface change state.
 5. There is no design point for other views, omitting other views.
 6. The purpose of graphical user i"&amp;"nterface: The interface is used for financial cost approval, reimbursement, bookkeeping, management and data display.
 7. Human -computer interaction method of graphical user interface: The graphic user interface displayed by the main view is to open th"&amp;"e start interface of the program; 1; interface change state Figure 2: In the interface change state Figure 1 The central center slide up to get the interface change state Figure 2; interface change state Figure 3: in the interface change state Figure 2 to"&amp;" slide up in the center of the central center to get the interface change state diagram diagram 3; Interface Change State Figure 4: Click the interface change state Figure 1 The ""Touring I approval"" button to enter the interface change state Figure 4; i"&amp;"nterface change state Figure 5: click the interface changes to the ""1233"" button at the top of the ""1233"" button enter the interface to enter the interface Change status Figure 5; interface change state Figure 6: Click the interface change status Figu"&amp;"re 5 The ""approval process"" button in the upper right corner of the interface to obtain the interface change state Figure 6; interface change state Figure 7: click the interface change state. Complete the document ""button to enter the interface change "&amp;"state Figure 7; interface change state Figure 8: click the interface change state. 7"" Reim on the meal fee after October at 8 pm ""button enter the interface change state. 8; 9: In the interface change state Figure 8 Sliding upwards in the central center"&amp;" to get the interface change state Figure 9; interface change state Figure 10: Click the interface change state figure 1 to enter the interface change state Figure 10; interface; interface; interface; interface; Change status Figure 11: Click the interfac"&amp;"e change state Figure 10 The ""Add"" button at the bottom left of the central center to enter the interface change state Figure 11; interface change state figure 12: Click the interface change state Figure 11 The ""Add Invoice"" button to pop up the inter"&amp;"face change status diagram 12; Interface change state Figure 13: Click the ""Nuclear Selling Celler"" button below the ""Nuclear Selling Call"" button below the interface change state change state changes. Figure 13; Interface changes status Figure 14; in"&amp;"terface change state Figure 15: Click the interface change state Figure 2 Central ""borrowing statistics"" button enter the interface change state Figure 15; interface change state Figure 16: Click ""casual"" above the interface change status 3 The button"&amp;" enter the interface change state Figure 16; the interface changes state Figure 17: In the interface change state Figure 1‑3 Ren interface of the interface, click the ""+"" graphic button at the bottom center to enter the interface change state Figure 17;"&amp;" Change Status 3 The ""Custom Homepage"" button at the bottom of the interface changes status. ; Interface Change State Figure 20: Click the ""Enterprise Report"" button at the top of the interface to get the interface change state. Slide at the left and "&amp;"click the ""Smart Report 1"" button to get the interface change state. Figure 21; the interface change state Figure 22: In the interface change state Figure 1‑ 3 click the ""My"" button at the bottom of the interface to get the interface change state Figu"&amp;"re 22.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rea"&amp;"rview mirror, smart speaker, smart TV, set -top box, game handheld, game console.
 Second, the gray ""X"" coating in the graphic user interface of the product is the content picture.")</f>
        <v>1. Design product name: Display screen panel with financial approval management graphic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graphical user interface: The interface is used for financial cost approval, reimbursement, bookkeeping, management and data display.
 7. Human -computer interaction method of graphical user interface: The graphic user interface displayed by the main view is to open the start interface of the program; 1; interface change state Figure 2: In the interface change state Figure 1 The central center slide up to get the interface change state Figure 2; interface change state Figure 3: in the interface change state Figure 2 to slide up in the center of the central center to get the interface change state diagram diagram 3; Interface Change State Figure 4: Click the interface change state Figure 1 The "Touring I approval" button to enter the interface change state Figure 4; interface change state Figure 5: click the interface changes to the "1233" button at the top of the "1233" button enter the interface to enter the interface Change status Figure 5; interface change state Figure 6: Click the interface change status Figure 5 The "approval process" button in the upper right corner of the interface to obtain the interface change state Figure 6; interface change state Figure 7: click the interface change state. Complete the document "button to enter the interface change state Figure 7; interface change state Figure 8: click the interface change state. 7" Reim on the meal fee after October at 8 pm "button enter the interface change state. 8; 9: In the interface change state Figure 8 Sliding upwards in the central center to get the interface change state Figure 9; interface change state Figure 10: Click the interface change state figure 1 to enter the interface change state Figure 10; interface; interface; interface; interface; Change status Figure 11: Click the interface change state Figure 10 The "Add" button at the bottom left of the central center to enter the interface change state Figure 11; interface change state figure 12: Click the interface change state Figure 11 The "Add Invoice" button to pop up the interface change status diagram 12; Interface change state Figure 13: Click the "Nuclear Selling Celler" button below the "Nuclear Selling Call" button below the interface change state change state changes. Figure 13; Interface changes status Figure 14; interface change state Figure 15: Click the interface change state Figure 2 Central "borrowing statistics" button enter the interface change state Figure 15; interface change state Figure 16: Click "casual" above the interface change status 3 The button enter the interface change state Figure 16; the interface changes state Figure 17: In the interface change state Figure 1‑3 Ren interface of the interface, click the "+" graphic button at the bottom center to enter the interface change state Figure 17; Change Status 3 The "Custom Homepage" button at the bottom of the interface changes status. ; Interface Change State Figure 20: Click the "Enterprise Report" button at the top of the interface to get the interface change state. Slide at the left and click the "Smart Report 1" button to get the interface change state. Figure 21; the interface change state Figure 22: In the interface change state Figure 1‑ 3 click the "My" button at the bottom of the interface to get the interface change state Figure 22.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892" s="6" t="s">
        <v>2613</v>
      </c>
      <c r="E892" s="4" t="str">
        <f ca="1">IFERROR(__xludf.DUMMYFUNCTION("GOOGLETRANSLATE(D892,""auto"",""en"")"),"Display screen panel with financial approval management graphical user interface")</f>
        <v>Display screen panel with financial approval management graphical user interface</v>
      </c>
    </row>
    <row r="893" spans="1:5" ht="15" x14ac:dyDescent="0.25">
      <c r="A893" s="5" t="s">
        <v>2614</v>
      </c>
      <c r="B893" s="6" t="s">
        <v>2615</v>
      </c>
      <c r="C893" s="3" t="str">
        <f ca="1">IFERROR(__xludf.DUMMYFUNCTION("GOOGLETRANSLATE(B893,""auto"",""en"")"),"Based on deep learning, the behavioral analysis method for rodents. Based on computer vision and deep learning technology, there is no need for special experimental hardware equipment to conduct special chemical reagent labeling on animals. The automation"&amp;" of the experimental process was achieved, and the subjective errors and interference of experimental animals were avoided by artificial counting, which increased the objectivity and reliability of the experimental results; Analysis, supports timing of te"&amp;"rmination and manual termination, and has a wealth of display methods, which can use trajectory diagrams, parameter indicators, curves, and square diagrams on the movement of animals; Analysis of animals in the process of forced swimming.")</f>
        <v>Based on deep learning, the behavioral analysis method for rodents. Based on computer vision and deep learning technology, there is no need for special experimental hardware equipment to conduct special chemical reagent labeling on animals. The automation of the experimental process was achieved, and the subjective errors and interference of experimental animals were avoided by artificial counting, which increased the objectivity and reliability of the experimental results; Analysis, supports timing of termination and manual termination, and has a wealth of display methods, which can use trajectory diagrams, parameter indicators, curves, and square diagrams on the movement of animals; Analysis of animals in the process of forced swimming.</v>
      </c>
      <c r="D893" s="6" t="s">
        <v>2616</v>
      </c>
      <c r="E893" s="4" t="str">
        <f ca="1">IFERROR(__xludf.DUMMYFUNCTION("GOOGLETRANSLATE(D893,""auto"",""en"")"),"Method for behavior analysis based on deep learning suitable for rodents")</f>
        <v>Method for behavior analysis based on deep learning suitable for rodents</v>
      </c>
    </row>
    <row r="894" spans="1:5" ht="15" x14ac:dyDescent="0.25">
      <c r="A894" s="5" t="s">
        <v>2617</v>
      </c>
      <c r="B894" s="6" t="s">
        <v>2618</v>
      </c>
      <c r="C894" s="3" t="str">
        <f ca="1">IFERROR(__xludf.DUMMYFUNCTION("GOOGLETRANSLATE(B894,""auto"",""en"")"),"1. The name of the product of the product: The group information of the display screen panel display the graphical user interface.
 2. Design products in appearance: used for running procedures, information display, and human -computer interaction.
 3"&amp;". Design of the design of the product in this exterior: lies in the interface content of the graphic user interface in the screen.
 4. Pictures or photos that can most indicate design points: main view.
 5. The purpose of the graphical user interface:"&amp;" The main view is the group information display interface. The user can click ""Switch View"" to implement the interface switch.
 6.本显示屏幕面板应用于车辆、计算机、笔记本电脑、平板电脑、手机、智能手表、智能手环、健身监视器、头戴式耳机、个人数字助理（PDA）、智能音箱、电视、机顶盒、 Projector, game console or navigator.")</f>
        <v>1. The name of the product of the product: The group information of the display screen panel display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most indicate design points: main view.
 5. The purpose of the graphical user interface: The main view is the group information display interface. The user can click "Switch View" to implement the interface switch.
 6.本显示屏幕面板应用于车辆、计算机、笔记本电脑、平板电脑、手机、智能手表、智能手环、健身监视器、头戴式耳机、个人数字助理（PDA）、智能音箱、电视、机顶盒、 Projector, game console or navigator.</v>
      </c>
      <c r="D894" s="6" t="s">
        <v>2619</v>
      </c>
      <c r="E894" s="4" t="str">
        <f ca="1">IFERROR(__xludf.DUMMYFUNCTION("GOOGLETRANSLATE(D894,""auto"",""en"")"),"Group information of the display screen panel display graphics user interface")</f>
        <v>Group information of the display screen panel display graphics user interface</v>
      </c>
    </row>
    <row r="895" spans="1:5" ht="15" x14ac:dyDescent="0.25">
      <c r="A895" s="5" t="s">
        <v>2620</v>
      </c>
      <c r="B895" s="6" t="s">
        <v>2621</v>
      </c>
      <c r="C895" s="3" t="s">
        <v>12410</v>
      </c>
      <c r="D895" s="6" t="s">
        <v>2622</v>
      </c>
      <c r="E895" s="4" t="str">
        <f ca="1">IFERROR(__xludf.DUMMYFUNCTION("GOOGLETRANSLATE(D895,""auto"",""en"")"),"Display screen panel with corporate financial management graphic user interface")</f>
        <v>Display screen panel with corporate financial management graphic user interface</v>
      </c>
    </row>
    <row r="896" spans="1:5" ht="15" x14ac:dyDescent="0.25">
      <c r="A896" s="5" t="s">
        <v>2623</v>
      </c>
      <c r="B896" s="6" t="s">
        <v>2624</v>
      </c>
      <c r="C896" s="3" t="str">
        <f ca="1">IFERROR(__xludf.DUMMYFUNCTION("GOOGLETRANSLATE(B896,""auto"",""en"")"),"The present invention involves a motion auxiliary training method based on deep learning, including video data of pre -processing target athletes, training athlete target detection networks, training key points detection networks, training action detectio"&amp;"n networks, etc. The innovative deep learning model of neural network combination conducts target detection, key points recognition and action recognition of athletes. The invention improves the recognition accuracy of the detection model and the applicab"&amp;"ility of different environments, reduces the dependence of the model to the data set parameters, and improves the robustness of the model to a certain extent.")</f>
        <v>The present invention involves a motion auxiliary training method based on deep learning, including video data of pre -processing target athletes, training athlete target detection networks, training key points detection networks, training action detection networks, etc. The innovative deep learning model of neural network combination conducts target detection, key points recognition and action recognition of athletes. The invention improves the recognition accuracy of the detection model and the applicability of different environments, reduces the dependence of the model to the data set parameters, and improves the robustness of the model to a certain extent.</v>
      </c>
      <c r="D896" s="6" t="s">
        <v>2625</v>
      </c>
      <c r="E896" s="4" t="str">
        <f ca="1">IFERROR(__xludf.DUMMYFUNCTION("GOOGLETRANSLATE(D896,""auto"",""en"")"),"Sports auxiliary training methods based on deep learning")</f>
        <v>Sports auxiliary training methods based on deep learning</v>
      </c>
    </row>
    <row r="897" spans="1:5" ht="15" x14ac:dyDescent="0.25">
      <c r="A897" s="5" t="s">
        <v>2626</v>
      </c>
      <c r="B897" s="6" t="s">
        <v>2627</v>
      </c>
      <c r="C897" s="3" t="str">
        <f ca="1">IFERROR(__xludf.DUMMYFUNCTION("GOOGLETRANSLATE(B897,""auto"",""en"")"),"The invention disclosed an AI coaching machine system with automatic error correction function of the rowing movement, which belongs to the field of fitness equipment. The coaching machine system provided by the present invention, including boat rowing ma"&amp;"chines, posture detection devices, and posture error correction reminder device. Avoid the errors and methods in the process of use, avoid injuries caused by improper training postures, reduce the risks in the process of user use, and achieve better fitne"&amp;"ss results. Such coaching machine systems can be automatically corrected by artificial intelligence, so that they can use it without a coach, which greatly reduces the use threshold of the rowing machine and also reduces training costs.")</f>
        <v>The invention disclosed an AI coaching machine system with automatic error correction function of the rowing movement, which belongs to the field of fitness equipment. The coaching machine system provided by the present invention, including boat rowing machines, posture detection devices, and posture error correction reminder device. Avoid the errors and methods in the process of use, avoid injuries caused by improper training postures, reduce the risks in the process of user use, and achieve better fitness results. Such coaching machine systems can be automatically corrected by artificial intelligence, so that they can use it without a coach, which greatly reduces the use threshold of the rowing machine and also reduces training costs.</v>
      </c>
      <c r="D897" s="6" t="s">
        <v>2628</v>
      </c>
      <c r="E897" s="4" t="str">
        <f ca="1">IFERROR(__xludf.DUMMYFUNCTION("GOOGLETRANSLATE(D897,""auto"",""en"")"),"A AI trainer system with automatic error correction function of rowing movement posture")</f>
        <v>A AI trainer system with automatic error correction function of rowing movement posture</v>
      </c>
    </row>
    <row r="898" spans="1:5" ht="15" x14ac:dyDescent="0.25">
      <c r="A898" s="5" t="s">
        <v>2629</v>
      </c>
      <c r="B898" s="6" t="s">
        <v>2630</v>
      </c>
      <c r="C898" s="3" t="str">
        <f ca="1">IFERROR(__xludf.DUMMYFUNCTION("GOOGLETRANSLATE(B898,""auto"",""en"")"),"A photographic museum operation method and system that supports artificial neural network prediction models supporting artificial neural networks. The above -mentioned examples involve the operation method and system of photographic museums, which are spe"&amp;"cifically to control the lighting, music and cameras based on the shooting concept of the user, and control the lighting of the indoor light by analyzing the user's behavior, and a running according to the user's running according to the user's running. T"&amp;"est the method and system of the best camera parameters that users expect.")</f>
        <v>A photographic museum operation method and system that supports artificial neural network prediction models supporting artificial neural networks. The above -mentioned examples involve the operation method and system of photographic museums, which are specifically to control the lighting, music and cameras based on the shooting concept of the user, and control the lighting of the indoor light by analyzing the user's behavior, and a running according to the user's running according to the user's running. Test the method and system of the best camera parameters that users expect.</v>
      </c>
      <c r="D898" s="6" t="s">
        <v>2631</v>
      </c>
      <c r="E898" s="4" t="str">
        <f ca="1">IFERROR(__xludf.DUMMYFUNCTION("GOOGLETRANSLATE(D898,""auto"",""en"")"),"Supporting the camera parameter prediction model based on artificial neural network prediction methods and systems")</f>
        <v>Supporting the camera parameter prediction model based on artificial neural network prediction methods and systems</v>
      </c>
    </row>
    <row r="899" spans="1:5" ht="15" x14ac:dyDescent="0.25">
      <c r="A899" s="5" t="s">
        <v>2632</v>
      </c>
      <c r="B899" s="6" t="s">
        <v>2633</v>
      </c>
      <c r="C899" s="3" t="str">
        <f ca="1">IFERROR(__xludf.DUMMYFUNCTION("GOOGLETRANSLATE(B899,""auto"",""en"")"),"The development of the Internet of Things has enhanced our ability to evaluate, obtain and handle the amount of data that was unimaginable before. It allows scenes to use technical data from different fields, which far exceeds our needs, convenience and e"&amp;"fficiency. The Internet of Things is a concept, which reflects the connection of any group of people, things, services, and networks at any time or at any time. The Internet of Things is the general trend of the next generation of technology. The Internet"&amp;" of Things makes intelligent objects the best part of the mainstream of information physics and intelligent system development in various fields including medical care. Healthcare is a more attractive field for the Internet of Things. The Internet of Thin"&amp;"gs may enhance many medical applications, such as health monitoring, fitness plans, chronic diseases and elderly health care. At home, equipped with treatment, drugs and family health services is also an area where the Internet of Things has huge potentia"&amp;"l. To this end, various medical equipment, sensors, imaging and diagnostic equipment can be connected to a system. It is hoped that the collected information collected in real time will reduce the cost of medical care, improve the quality of life, and enr"&amp;"ich the user experience. Vental disorders or abnormal cardiac beats are one of the main causes of death of patients with cardiovascular disease. Intelligent mobile sensors are considered effective prevention methods in many aspects of medicine. Although t"&amp;"heir clinical utility has been proven, their use in the health care industry is still insufficient. When these devices are integrated into medical care procedures, they can enhance the relationship between doctors and patients, increase the autonomy of pa"&amp;"tients, participate in their healthcare, and provide new remote monitoring technologies, which will completely change medical care management.")</f>
        <v>The development of the Internet of Things has enhanced our ability to evaluate, obtain and handle the amount of data that was unimaginable before. It allows scenes to use technical data from different fields, which far exceeds our needs, convenience and efficiency. The Internet of Things is a concept, which reflects the connection of any group of people, things, services, and networks at any time or at any time. The Internet of Things is the general trend of the next generation of technology. The Internet of Things makes intelligent objects the best part of the mainstream of information physics and intelligent system development in various fields including medical care. Healthcare is a more attractive field for the Internet of Things. The Internet of Things may enhance many medical applications, such as health monitoring, fitness plans, chronic diseases and elderly health care. At home, equipped with treatment, drugs and family health services is also an area where the Internet of Things has huge potential. To this end, various medical equipment, sensors, imaging and diagnostic equipment can be connected to a system. It is hoped that the collected information collected in real time will reduce the cost of medical care, improve the quality of life, and enrich the user experience. Vental disorders or abnormal cardiac beats are one of the main causes of death of patients with cardiovascular disease. Intelligent mobile sensors are considered effective prevention methods in many aspects of medicine. Although their clinical utility has been proven, their use in the health care industry is still insufficient. When these devices are integrated into medical care procedures, they can enhance the relationship between doctors and patients, increase the autonomy of patients, participate in their healthcare, and provide new remote monitoring technologies, which will completely change medical care management.</v>
      </c>
      <c r="D899" s="6" t="s">
        <v>2634</v>
      </c>
      <c r="E899" s="4" t="str">
        <f ca="1">IFERROR(__xludf.DUMMYFUNCTION("GOOGLETRANSLATE(D899,""auto"",""en"")"),"IoT system supports the health of the elderly")</f>
        <v>IoT system supports the health of the elderly</v>
      </c>
    </row>
    <row r="900" spans="1:5" ht="15" x14ac:dyDescent="0.25">
      <c r="A900" s="5" t="s">
        <v>2635</v>
      </c>
      <c r="B900" s="6" t="s">
        <v>2636</v>
      </c>
      <c r="C900" s="3" t="str">
        <f ca="1">IFERROR(__xludf.DUMMYFUNCTION("GOOGLETRANSLATE(B900,""auto"",""en"")"),"The present invention involves a device, method and computer program that is used to collect and process digital information through computer vision and/or tracking, especially during exercise, especially to observe specific events during the exercise per"&amp;"iod of racket exercise, including at least one camera to A processor related to the real image -related information related to sports -related three -dimensional images is used to process a processor related to the actual image -related information from a"&amp;"t least one camera. Storage space virtual balls, cameras, processors, and storage space are connected to each other to store and retrieve digital information. The processor will compare the actual image -related information from at least one camera with t"&amp;"he corresponding storage comparison data from the storage space and classify the works. Image related information.")</f>
        <v>The present invention involves a device, method and computer program that is used to collect and process digital information through computer vision and/or tracking, especially during exercise, especially to observe specific events during the exercise period of racket exercise, including at least one camera to A processor related to the real image -related information related to sports -related three -dimensional images is used to process a processor related to the actual image -related information from at least one camera. Storage space virtual balls, cameras, processors, and storage space are connected to each other to store and retrieve digital information. The processor will compare the actual image -related information from at least one camera with the corresponding storage comparison data from the storage space and classify the works. Image related information.</v>
      </c>
      <c r="D900" s="6" t="s">
        <v>2637</v>
      </c>
      <c r="E900" s="4" t="str">
        <f ca="1">IFERROR(__xludf.DUMMYFUNCTION("GOOGLETRANSLATE(D900,""auto"",""en"")"),"For installations, methods and computer programs for tracking, capture and observing sports -related events")</f>
        <v>For installations, methods and computer programs for tracking, capture and observing sports -related events</v>
      </c>
    </row>
    <row r="901" spans="1:5" ht="15" x14ac:dyDescent="0.25">
      <c r="A901" s="5" t="s">
        <v>2638</v>
      </c>
      <c r="B901" s="6" t="s">
        <v>2639</v>
      </c>
      <c r="C901" s="3" t="str">
        <f ca="1">IFERROR(__xludf.DUMMYFUNCTION("GOOGLETRANSLATE(B901,""auto"",""en"")"),"1. Design product name: Tablet computer with a car driving simulation training graphics user interface.
 2. The purpose of designing products in this exterior: Tablet computers designed here are used to run related software, display information and comm"&amp;"unication.
 3. Design of the design of the product in this exterior: lies in the graphic user interface content in the display screen panel, and the rest are commonly designed.
 4. Pictures or photos that can most indicate design points: main view.
"&amp;" 5. For usual design, omit other views, omit hardware design parts and the rest.
 6. The purpose of the graphical user interface: for the display of the car driving simulation training control platform display.
 7. Human -computer interaction method o"&amp;"f graphical user interface: The corresponding buttons in each interface are clicked and the corresponding interface changes are presented.
 Among them: The main view is the basic teaching function display interface in the car driving simulation training"&amp;". The bottom of the interface includes two sets of buttons, which are based on the basic teaching, venue training, simulation tests, trajectory playback, ending training, and left to the left. The side calls, brakes, settings, and coaches of the side; cli"&amp;"ck the venue training button to enter the interface change state. The venue training function display interface displayed in Figure 1; click the trajectory back button to enter the interface changes. Click to end the training button to enter the interface"&amp;" change state Figure 3 whether to end the training display interface; click the call button to enter the interface change state. Figure 4 The call coach display interface displayed; click the brake button to enter the interface change state. Display inter"&amp;"face; click the setting button to enter the interface change state Figure 6 The user setting display interface displayed; click the coach button to enter the interface change state. The coach selection display interface displayed in Figure 7.")</f>
        <v>1. Design product name: Tablet computer with a car driving simulation training graphics user interface.
 2. The purpose of designing products in this exterior: Tablet computers designed here are used to run related software, display information and communication.
 3. Design of the design of the product in this exterior: lies in the graphic user interface content in the display screen panel, and the rest are commonly designed.
 4. Pictures or photos that can most indicate design points: main view.
 5. For usual design, omit other views, omit hardware design parts and the rest.
 6. The purpose of the graphical user interface: for the display of the car driving simulation training control platform display.
 7. Human -computer interaction method of graphical user interface: The corresponding buttons in each interface are clicked and the corresponding interface changes are presented.
 Among them: The main view is the basic teaching function display interface in the car driving simulation training. The bottom of the interface includes two sets of buttons, which are based on the basic teaching, venue training, simulation tests, trajectory playback, ending training, and left to the left. The side calls, brakes, settings, and coaches of the side; click the venue training button to enter the interface change state. The venue training function display interface displayed in Figure 1; click the trajectory back button to enter the interface changes. Click to end the training button to enter the interface change state Figure 3 whether to end the training display interface; click the call button to enter the interface change state. Figure 4 The call coach display interface displayed; click the brake button to enter the interface change state. Display interface; click the setting button to enter the interface change state Figure 6 The user setting display interface displayed; click the coach button to enter the interface change state. The coach selection display interface displayed in Figure 7.</v>
      </c>
      <c r="D901" s="6" t="s">
        <v>2640</v>
      </c>
      <c r="E901" s="4" t="str">
        <f ca="1">IFERROR(__xludf.DUMMYFUNCTION("GOOGLETRANSLATE(D901,""auto"",""en"")"),"Tablet computer with car driving simulation training graphics user interface")</f>
        <v>Tablet computer with car driving simulation training graphics user interface</v>
      </c>
    </row>
    <row r="902" spans="1:5" ht="15" x14ac:dyDescent="0.25">
      <c r="A902" s="5" t="s">
        <v>2641</v>
      </c>
      <c r="B902" s="6" t="s">
        <v>2642</v>
      </c>
      <c r="C902" s="3" t="str">
        <f ca="1">IFERROR(__xludf.DUMMYFUNCTION("GOOGLETRANSLATE(B902,""auto"",""en"")"),"1. Design product name: Take out the display screen panel of the residence and booking graphic user interface.
 2. The purpose of designing products in this exterior: used to display graphic user interface.
 3. Design of design products in this appear"&amp;"ance: lies in the graphic user interface in the screen.
 4. Pictures or photos that can most indicate design points: main view.
 5. There is no design point for other views, omitting other views.
 6. The purpose of graphical user interface: The inte"&amp;"rface is used for the purpose of hotel booking, train tickets and air ticket booking.
 7. Human -computer interaction method of graphical user interface: The graphic user interface displayed by the main view is to open the start interface of the program"&amp;"; The city departing here is filled in ""Beijing"", arrived in the city to fill in ""Shanghai"" as an example) and click the ""Search"" button on the far right to enter the interface change state. The ""hotel"" button enters the interface change state Fig"&amp;"ure 2; interface change state Figure 3: Click the interface change state Figure 2 Below below to enter the first ""View Details"" button to enter the interface change state Figure 3; interface change state diagram 4: click the interface Change status Figu"&amp;"re 3 The first ""booking"" button from top to bottom to enter the interface change state change state Figure 4; interface change state Figure 5: in the interface change state figure 1‑4 any interface click the top ""Train"" button to enter to enter to ent"&amp;"er Interface change state Figure 5; interface change state Figure 6: Click the interface change status Figure 5 to enter the interface change state from top to bottom to the bottom right from top to bottom. State Figure 1 任6 Any interface to click the ""M"&amp;"all Management"" button in the leftmost menu to enter the interface change state Figure 7.
 8.一、本外观设计产品的显示屏幕面板可应用于计算机、笔记本电脑、平板电脑、抬头显示器（HUD）、多媒体投影仪、智能手机、智能机器人、智能眼镜、虚拟现实眼镜、增强现实眼镜、 Hybrid glasses, smart watches, fitness monitor, headset headphones, driving"&amp;" recorders, vehicle navigation equipment, vehicle CNC computer, automobile smart rearview mirror, smart speaker, smart TV, set -top box, game handheld, game console.
 Second, the gray ""X"" coating in the graphic user interface of the product is the con"&amp;"tent picture.")</f>
        <v>1. Design product name: Take out the display screen panel of the residence and booking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the purpose of hotel booking, train tickets and air ticket booking.
 7. Human -computer interaction method of graphical user interface: The graphic user interface displayed by the main view is to open the start interface of the program; The city departing here is filled in "Beijing", arrived in the city to fill in "Shanghai" as an example) and click the "Search" button on the far right to enter the interface change state. The "hotel" button enters the interface change state Figure 2; interface change state Figure 3: Click the interface change state Figure 2 Below below to enter the first "View Details" button to enter the interface change state Figure 3; interface change state diagram 4: click the interface Change status Figure 3 The first "booking" button from top to bottom to enter the interface change state change state Figure 4; interface change state Figure 5: in the interface change state figure 1‑4 any interface click the top "Train" button to enter to enter to enter Interface change state Figure 5; interface change state Figure 6: Click the interface change status Figure 5 to enter the interface change state from top to bottom to the bottom right from top to bottom. State Figure 1 任6 Any interface to click the "Mall Management" button in the leftmost menu to enter the interface change state Figure 7.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902" s="6" t="s">
        <v>2643</v>
      </c>
      <c r="E902" s="4" t="str">
        <f ca="1">IFERROR(__xludf.DUMMYFUNCTION("GOOGLETRANSLATE(D902,""auto"",""en"")"),"Take out the display screen panel of the accommodation booking graphic user interface")</f>
        <v>Take out the display screen panel of the accommodation booking graphic user interface</v>
      </c>
    </row>
    <row r="903" spans="1:5" ht="15" x14ac:dyDescent="0.25">
      <c r="A903" s="5" t="s">
        <v>2644</v>
      </c>
      <c r="B903" s="6" t="s">
        <v>2645</v>
      </c>
      <c r="C903" s="3" t="str">
        <f ca="1">IFERROR(__xludf.DUMMYFUNCTION("GOOGLETRANSLATE(B903,""auto"",""en"")"),"1. Design product name: Display screen panel with accounting file management graphical user interface.
 2. The purpose of designing products in this exterior: used to display graphic user interface.
 3. Design of design products in this appearance: li"&amp;"es in the graphic user interface in the screen.
 4. Pictures or photos that can most indicate design points: main view.
 5. There is no design point for other views, omitting other views.
 6. The purpose of the graphical user interface: the interfac"&amp;"e is used for accounting financial vouchers, archives management and display purposes.
 7. Human -computer interaction method of graphical user interface: The graphic user interface displayed by the main view is to open the start interface of the progra"&amp;"m; Then click the ""Accounting Voucher"" button to get the interface change state Figure 1; interface change state Figure 2: Click the interface change state Figure 1 The ""Small Gear"" graphical button on the left on the left on the right to pop up the i"&amp;"nterface change state. Change status graph 3: Click the ""Control Zhongtai"" button at the top of the main view to enter the interface change state Figure 3; interface change state Figure 4: click the interface change status Figure 3 The ""manual import"""&amp;" button of the left menu to obtain the interface change state diagram 4; Interface change state Figure 5: Click the interface change state Figure 4 The ""Add template"" button in the upper right corner of the interface pops up the interface change state. "&amp;"5; The button gets the interface change state Figure 6; the interface change state Figure 7: Click the interface change state Figure 6 The first ""View"" button from top to bottom to pop up the interface change state. 7; State Figure 3 The ""Detect Config"&amp;"uration"" button of the left menu to obtain the interface change state Figure 8; interface change state figure 9: Click the ""Management background"" button at the top of the main view to enter the interface changes. 9; interface change state figure 10: C"&amp;"lick the interface change state Figure 9 The ""user"" button of the left menu to obtain the interface change state Figure 10; the interface change state Figure 11: Click the interface change state Figure 10 The ""Import User"" button in the upper right co"&amp;"rner of the interface pops up the interface change state Figure 11.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nav"&amp;"igation equipment, vehicle CNC computer, automobile smart rearview mirror, smart speaker, smart TV, set -top box, game handheld, game console.
 Second, the gray ""X"" coating in the graphic user interface of the product is the content picture.")</f>
        <v>1. Design product name: Display screen panel with accounting file management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accounting financial vouchers, archives management and display purposes.
 7. Human -computer interaction method of graphical user interface: The graphic user interface displayed by the main view is to open the start interface of the program; Then click the "Accounting Voucher" button to get the interface change state Figure 1; interface change state Figure 2: Click the interface change state Figure 1 The "Small Gear" graphical button on the left on the left on the right to pop up the interface change state. Change status graph 3: Click the "Control Zhongtai" button at the top of the main view to enter the interface change state Figure 3; interface change state Figure 4: click the interface change status Figure 3 The "manual import" button of the left menu to obtain the interface change state diagram 4; Interface change state Figure 5: Click the interface change state Figure 4 The "Add template" button in the upper right corner of the interface pops up the interface change state. 5; The button gets the interface change state Figure 6; the interface change state Figure 7: Click the interface change state Figure 6 The first "View" button from top to bottom to pop up the interface change state. 7; State Figure 3 The "Detect Configuration" button of the left menu to obtain the interface change state Figure 8; interface change state figure 9: Click the "Management background" button at the top of the main view to enter the interface changes. 9; interface change state figure 10: Click the interface change state Figure 9 The "user" button of the left menu to obtain the interface change state Figure 10; the interface change state Figure 11: Click the interface change state Figure 10 The "Import User" button in the upper right corner of the interface pops up the interface change state Figure 11.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903" s="6" t="s">
        <v>2646</v>
      </c>
      <c r="E903" s="4" t="str">
        <f ca="1">IFERROR(__xludf.DUMMYFUNCTION("GOOGLETRANSLATE(D903,""auto"",""en"")"),"Display screen panel with accounting file management graphical user interface")</f>
        <v>Display screen panel with accounting file management graphical user interface</v>
      </c>
    </row>
    <row r="904" spans="1:5" ht="15" x14ac:dyDescent="0.25">
      <c r="A904" s="5" t="s">
        <v>2647</v>
      </c>
      <c r="B904" s="6" t="s">
        <v>2648</v>
      </c>
      <c r="C904" s="3" t="str">
        <f ca="1">IFERROR(__xludf.DUMMYFUNCTION("GOOGLETRANSLATE(B904,""auto"",""en"")"),"1. Design product name: Display screen panel with an application management graphical user interface.
 2. The purpose of designing products in this exterior: used to display graphic user interface.
 3. Design of design products in this appearance: lie"&amp;"s in the graphic user interface in the screen.
 4. Pictures or photos that can best show design points: Figure 1 of the interface change state.
 5. There is no design point for other views, omitting other views.
 6. The purpose of the graphical user"&amp;" interface: The interface is used for applications for application viewing, installation, creation and management.
 7. Human -computer interaction method of graphical user interface: The graphic user interface displayed by the main view is to open the s"&amp;"tart interface of the program; Graphical button enter the interface change state Figure 1; interface change state Figure 2: click the interface change state Figure 1 ""Sales Contract Management"" button to enter the interface change state Figure 2; Ren up"&amp;"ward slide up to get the interface change state Figure 3; interface change status Figure 4: click the interface change state Figure 1 to enter the interface change state Figure 4; Figure 1 The ""Self -Construction Application"" button at the top of the in"&amp;"terface changes status 5; interface changes status Figure 6: Click the interface change state Figure 5 The ""Create Application"" button at the top right to pop up the interface change state Figure 6; : Click the ""Application Management"" button in the l"&amp;"eftmost menu of the main view to get the interface change state. 7.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nav"&amp;"igation equipment, vehicle CNC computer, automobile smart rearview mirror, smart speaker, smart TV, set -top box, game handheld, game console.
 Second, the gray ""X"" coating in the graphic user interface of the product is the content picture.")</f>
        <v>1. Design product name: Display screen panel with an application management graphical user interface.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the graphical user interface: The interface is used for applications for application viewing, installation, creation and management.
 7. Human -computer interaction method of graphical user interface: The graphic user interface displayed by the main view is to open the start interface of the program; Graphical button enter the interface change state Figure 1; interface change state Figure 2: click the interface change state Figure 1 "Sales Contract Management" button to enter the interface change state Figure 2; Ren upward slide up to get the interface change state Figure 3; interface change status Figure 4: click the interface change state Figure 1 to enter the interface change state Figure 4; Figure 1 The "Self -Construction Application" button at the top of the interface changes status 5; interface changes status Figure 6: Click the interface change state Figure 5 The "Create Application" button at the top right to pop up the interface change state Figure 6; : Click the "Application Management" button in the leftmost menu of the main view to get the interface change state. 7.
 8.一、本外观设计产品的显示屏幕面板可应用于计算机、笔记本电脑、平板电脑、抬头显示器（HUD）、多媒体投影仪、智能手机、智能机器人、智能眼镜、虚拟现实眼镜、增强现实眼镜、 Hybrid glasses, smart watches, fitness monitor, headset headphones, driving recorders, vehicle navigation equipment, vehicle CNC computer, automobile smart rearview mirror, smart speaker, smart TV, set -top box, game handheld, game console.
 Second, the gray "X" coating in the graphic user interface of the product is the content picture.</v>
      </c>
      <c r="D904" s="6" t="s">
        <v>2649</v>
      </c>
      <c r="E904" s="4" t="str">
        <f ca="1">IFERROR(__xludf.DUMMYFUNCTION("GOOGLETRANSLATE(D904,""auto"",""en"")"),"Bring an application to manage the display screen panel of the graphical user interface")</f>
        <v>Bring an application to manage the display screen panel of the graphical user interface</v>
      </c>
    </row>
    <row r="905" spans="1:5" ht="15" x14ac:dyDescent="0.25">
      <c r="A905" s="5" t="s">
        <v>2650</v>
      </c>
      <c r="B905" s="6" t="s">
        <v>2651</v>
      </c>
      <c r="C905" s="3" t="str">
        <f ca="1">IFERROR(__xludf.DUMMYFUNCTION("GOOGLETRANSLATE(B905,""auto"",""en"")"),"This article describes the methods and systems for automation or assistance to referee baseball or softball games. The position of the hit area is determined according to the video image of the hitter standing next to the home base. The position of the ba"&amp;"ll moved to the hitter and the position of the strike stick held by the hitter is automatically tracked by a computer vision based on the video image captured by at least two cameras with different positions. In addition, whether the position of the ball "&amp;"is intersecting with the hit area and whether the hitter really tries to wave the ball into the ball, there is an autonomous judgment, and at least one in these judgments, there is an independent judgment whether the ""strike"" has occurred. Or ""ball"". "&amp;"In addition, whether to automatically output the instructions of ""hitting"" or ""ball"".")</f>
        <v>This article describes the methods and systems for automation or assistance to referee baseball or softball games. The position of the hit area is determined according to the video image of the hitter standing next to the home base. The position of the ball moved to the hitter and the position of the strike stick held by the hitter is automatically tracked by a computer vision based on the video image captured by at least two cameras with different positions. In addition, whether the position of the ball is intersecting with the hit area and whether the hitter really tries to wave the ball into the ball, there is an autonomous judgment, and at least one in these judgments, there is an independent judgment whether the "strike" has occurred. Or "ball". In addition, whether to automatically output the instructions of "hitting" or "ball".</v>
      </c>
      <c r="D905" s="6" t="s">
        <v>2652</v>
      </c>
      <c r="E905" s="4" t="str">
        <f ca="1">IFERROR(__xludf.DUMMYFUNCTION("GOOGLETRANSLATE(D905,""auto"",""en"")"),"Use a computer vision to automatically or assist the referee on baseball games")</f>
        <v>Use a computer vision to automatically or assist the referee on baseball games</v>
      </c>
    </row>
    <row r="906" spans="1:5" ht="15" x14ac:dyDescent="0.25">
      <c r="A906" s="5" t="s">
        <v>2653</v>
      </c>
      <c r="B906" s="6" t="s">
        <v>2654</v>
      </c>
      <c r="C906" s="3" t="str">
        <f ca="1">IFERROR(__xludf.DUMMYFUNCTION("GOOGLETRANSLATE(B906,""auto"",""en"")"),"1. Design product name: The physical display graphic user interface of the display screen panel.
 2. The purpose of designing products in this exterior: used to display graphic images and human -computer interaction.
 3. Design of the design of the pr"&amp;"oduct in appearance: lies in the graphic user interface.
 4. Pictures or photos that can most indicate design points: main view.
 5. The display screen panel is commonly designed, omit other views.
 6. The purpose of the graphical user interface: Th"&amp;"e graph effect display for the expansion of the entity and the aggregation.
 7. Human -computer interaction method of graphic user interface: In the main view of the main view, the ""Overview Mode"" display changes status Figure 1, in the main view of t"&amp;"he main view, the keyword circle in the middle of the interface display Different sides of the mouse suspended on the map show the occupation display of changes status 3, respectively, the residential city of the change state shows, the professional chara"&amp;"cteristics of the change state Figure 5 show that in the changing state Figure 3 Display the attribute value of the change state Figure 6 View the interface. In the change state Figure 4, click and drag the ""table tennis"" node to display the changing st"&amp;"ate Figure 7, and click the mouse button on the circle of keywords in the changing state. 7 Figure 8. Click the mouse mouse button to display the change state in the mouse button in the change state. Select all graph nodes in the middle frame of the chang"&amp;"e state. 14.
 8. The display screen panel is used in mobile phones, computer displays, tablet.")</f>
        <v>1. Design product name: The physical display graphic user interface of the display screen panel.
 2. The purpose of designing products in this exterior: used to display graphic images and human -computer interaction.
 3. Design of the design of the product in appearance: lies in the graphic user interface.
 4. Pictures or photos that can most indicate design points: main view.
 5. The display screen panel is commonly designed, omit other views.
 6. The purpose of the graphical user interface: The graph effect display for the expansion of the entity and the aggregation.
 7. Human -computer interaction method of graphic user interface: In the main view of the main view, the "Overview Mode" display changes status Figure 1, in the main view of the main view, the keyword circle in the middle of the interface display Different sides of the mouse suspended on the map show the occupation display of changes status 3, respectively, the residential city of the change state shows, the professional characteristics of the change state Figure 5 show that in the changing state Figure 3 Display the attribute value of the change state Figure 6 View the interface. In the change state Figure 4, click and drag the "table tennis" node to display the changing state Figure 7, and click the mouse button on the circle of keywords in the changing state. 7 Figure 8. Click the mouse mouse button to display the change state in the mouse button in the change state. Select all graph nodes in the middle frame of the change state. 14.
 8. The display screen panel is used in mobile phones, computer displays, tablet.</v>
      </c>
      <c r="D906" s="6" t="s">
        <v>2655</v>
      </c>
      <c r="E906" s="4" t="str">
        <f ca="1">IFERROR(__xludf.DUMMYFUNCTION("GOOGLETRANSLATE(D906,""auto"",""en"")"),"The physical display graphic user interface of the display screen panel")</f>
        <v>The physical display graphic user interface of the display screen panel</v>
      </c>
    </row>
    <row r="907" spans="1:5" ht="15" x14ac:dyDescent="0.25">
      <c r="A907" s="5" t="s">
        <v>2656</v>
      </c>
      <c r="B907" s="6" t="s">
        <v>2657</v>
      </c>
      <c r="C907" s="3" t="str">
        <f ca="1">IFERROR(__xludf.DUMMYFUNCTION("GOOGLETRANSLATE(B907,""auto"",""en"")"),"1. Design product name: Audio playback user interface for display screen panels.
 2. The purpose of designing products in this exterior: The design of the product in this exterior is used for running programs, displaying information and human -computer "&amp;"interaction.
 3. Design of design products in this appearance: lies in the interface content and layout of the graphic user interface.
 4. Pictures or photos that can most indicate design points: main view.
 5. The screen panel is commonly designed,"&amp;" omittime view, viewing view, pult, left view and right view.
 6. The purpose of graphical user interface: This graphic user interface is used to display, play audio and video.
 In the main view, click the ""Recommended"" control today, and then jump "&amp;"to the recommended song page today; click the ""Private FM"" control to jump to the user's recommended song page; The song list page; click the ""Song List"" control, then jump to the user's song page; click the ""Digital Special"" control to jump to the "&amp;"digital album page; click ""Listening to the Book"" control ; When running the live broadcast, the ""Division"" replacement is displayed as the ""live broadcast"" control.
 Display large cards corresponding to different audio resources in the page, a au"&amp;"dio resource type corresponds to a large card, each large card displays pictures, title and text information; Corresponding songs; click the big card to jump to the details page of the corresponding card.
 Sliding the page in the main view, the page sli"&amp;"des to the interface change state diagram.
 The main view and interface changes can be configured with different colors, such as reference to the status of Figure 1, 2, 3, and 4.
 7. The display screen panel is used for mobile phones, laptops, tablets"&amp;", computers, computers, vehicle central control screens, smart TVs, smart bracelets, smart glasses, smart watches, personal digital assistants (PERSONAL &amp; NBSP; Digital &amp; Nbsp; Assistant, PDA), fitness Monitor, projector.")</f>
        <v>1. Design product name: Audio playback user interface for display screen panels.
 2. The purpose of designing products in this exterior: The design of the product in this exterior is used for running programs, displaying information and human -computer interaction.
 3. Design of design products in this appearance: lies in the interface content and layout of the graphic user interface.
 4. Pictures or photos that can most indicate design points: main view.
 5. The screen panel is commonly designed, omittime view, viewing view, pult, left view and right view.
 6. The purpose of graphical user interface: This graphic user interface is used to display, play audio and video.
 In the main view, click the "Recommended" control today, and then jump to the recommended song page today; click the "Private FM" control to jump to the user's recommended song page; The song list page; click the "Song List" control, then jump to the user's song page; click the "Digital Special" control to jump to the digital album page; click "Listening to the Book" control ; When running the live broadcast, the "Division" replacement is displayed as the "live broadcast" control.
 Display large cards corresponding to different audio resources in the page, a audio resource type corresponds to a large card, each large card displays pictures, title and text information; Corresponding songs; click the big card to jump to the details page of the corresponding card.
 Sliding the page in the main view, the page slides to the interface change state diagram.
 The main view and interface changes can be configured with different colors, such as reference to the status of Figure 1, 2, 3, and 4.
 7. The display screen panel is used for mobile phones, laptops, tablets, computers, computers, vehicle central control screens, smart TVs, smart bracelets, smart glasses, smart watches, personal digital assistants (PERSONAL &amp; NBSP; Digital &amp; Nbsp; Assistant, PDA), fitness Monitor, projector.</v>
      </c>
      <c r="D907" s="6" t="s">
        <v>2658</v>
      </c>
      <c r="E907" s="4" t="str">
        <f ca="1">IFERROR(__xludf.DUMMYFUNCTION("GOOGLETRANSLATE(D907,""auto"",""en"")"),"Audio played graphics user interface for display screen panels")</f>
        <v>Audio played graphics user interface for display screen panels</v>
      </c>
    </row>
    <row r="908" spans="1:5" ht="15" x14ac:dyDescent="0.25">
      <c r="A908" s="5" t="s">
        <v>2659</v>
      </c>
      <c r="B908" s="6" t="s">
        <v>2660</v>
      </c>
      <c r="C908" s="3" t="str">
        <f ca="1">IFERROR(__xludf.DUMMYFUNCTION("GOOGLETRANSLATE(B908,""auto"",""en"")"),"The present invention discloses a 3D furniture intelligent identification method for wearable devices, including the following specific operation steps: a camera using wearable devices, collecting pictures of boards from the front and four side angles; th"&amp;"rough the picture quality evaluation IQA algorithm , Six pictures with the best effects in step 1; tapping the board with the joints of the fingers, collecting the sound of the board of the board, and converting it into a digital signal; analyze the pictu"&amp;"re selected in the two in step 2, extract the color, texture, texture, texture, texture, texture, texture, texture, texture, texture, and texture of the board. The characteristics of the annual wheel, pixels and other features; send the picture features e"&amp;"xtracted from step 4 to the neural network model for prediction; send the sound signal of step 2 and the prediction results of step 5 to the filter to analyze it to obtain a more accurate plate. type. The advantages of the present invention: It can make u"&amp;"sers wear it directly, which is more convenient and easy to carry. It can judge the good or bad of the photographic board according to the scientific method, which is convenient and fast.")</f>
        <v>The present invention discloses a 3D furniture intelligent identification method for wearable devices, including the following specific operation steps: a camera using wearable devices, collecting pictures of boards from the front and four side angles; through the picture quality evaluation IQA algorithm , Six pictures with the best effects in step 1; tapping the board with the joints of the fingers, collecting the sound of the board of the board, and converting it into a digital signal; analyze the picture selected in the two in step 2, extract the color, texture, texture, texture, texture, texture, texture, texture, texture, texture, and texture of the board. The characteristics of the annual wheel, pixels and other features; send the picture features extracted from step 4 to the neural network model for prediction; send the sound signal of step 2 and the prediction results of step 5 to the filter to analyze it to obtain a more accurate plate. type. The advantages of the present invention: It can make users wear it directly, which is more convenient and easy to carry. It can judge the good or bad of the photographic board according to the scientific method, which is convenient and fast.</v>
      </c>
      <c r="D908" s="6" t="s">
        <v>2661</v>
      </c>
      <c r="E908" s="4" t="str">
        <f ca="1">IFERROR(__xludf.DUMMYFUNCTION("GOOGLETRANSLATE(D908,""auto"",""en"")"),"A 3D furniture intelligent identification method for wearable devices")</f>
        <v>A 3D furniture intelligent identification method for wearable devices</v>
      </c>
    </row>
    <row r="909" spans="1:5" ht="15" x14ac:dyDescent="0.25">
      <c r="A909" s="5" t="s">
        <v>2662</v>
      </c>
      <c r="B909" s="6" t="s">
        <v>2663</v>
      </c>
      <c r="C909" s="3" t="str">
        <f ca="1">IFERROR(__xludf.DUMMYFUNCTION("GOOGLETRANSLATE(B909,""auto"",""en"")"),"A method based on historical data and use neural network creation, especially players or team rankings in e -sports games, including: neural network learning based on historical data, especially parameter data based on historical data. The results of e -s"&amp;"ports games and these games; according to the current data, especially the data of e -sports game parameters and the results of these games, the ranking of players or teams through neural networks; and through neural networks, it may predict that the play"&amp;"ers or teams may be given The results of the future match. Examples also include the system used to implement this method and the ranking created by this method.")</f>
        <v>A method based on historical data and use neural network creation, especially players or team rankings in e -sports games, including: neural network learning based on historical data, especially parameter data based on historical data. The results of e -sports games and these games; according to the current data, especially the data of e -sports game parameters and the results of these games, the ranking of players or teams through neural networks; and through neural networks, it may predict that the players or teams may be given The results of the future match. Examples also include the system used to implement this method and the ranking created by this method.</v>
      </c>
      <c r="D909" s="6" t="s">
        <v>2664</v>
      </c>
      <c r="E909" s="4" t="str">
        <f ca="1">IFERROR(__xludf.DUMMYFUNCTION("GOOGLETRANSLATE(D909,""auto"",""en"")"),"Ranking method, ranking system and ranking")</f>
        <v>Ranking method, ranking system and ranking</v>
      </c>
    </row>
    <row r="910" spans="1:5" ht="15" x14ac:dyDescent="0.25">
      <c r="A910" s="5" t="s">
        <v>2665</v>
      </c>
      <c r="B910" s="6" t="s">
        <v>2666</v>
      </c>
      <c r="C910" s="3" t="str">
        <f ca="1">IFERROR(__xludf.DUMMYFUNCTION("GOOGLETRANSLATE(B910,""auto"",""en"")"),"1. The name of the product design product: The vehicle information of the display screen panel display the graphical user interface. 2. Design products in appearance: used for running procedures, information display, and human -computer interaction. 3. De"&amp;"sign of the design of the product in this exterior: lies in the interface content of the graphic user interface in the screen. 4. Pictures or photos that can best show design: Design 1 main view. 5. Specify design 1 is the basic design. 6. The purpose of "&amp;"graphical user interface: This graphic user interface is used for vehicle information display. Design 1 main view to design 10 main view is the vehicle information display interface, and the interface shows information such as vehicle driving speed, batte"&amp;"ry life, and driving mileage. 7. Display screen panels are applied to vehicles, computers, laptops, tablets, mobile phones, smartphones, smartphones, fitness monitors, headset headphones, personal digital assistants (PDA), smart speakers, TV, set -top box"&amp;"es, game consoles, game consoles Essence")</f>
        <v>1. The name of the product design product: The vehicle information of the display screen panel display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graphical user interface: This graphic user interface is used for vehicle information display. Design 1 main view to design 10 main view is the vehicle information display interface, and the interface shows information such as vehicle driving speed, battery life, and driving mileage. 7. Display screen panels are applied to vehicles, computers, laptops, tablets, mobile phones, smartphones, smartphones, fitness monitors, headset headphones, personal digital assistants (PDA), smart speakers, TV, set -top boxes, game consoles, game consoles Essence</v>
      </c>
      <c r="D910" s="6" t="s">
        <v>2536</v>
      </c>
      <c r="E910" s="4" t="str">
        <f ca="1">IFERROR(__xludf.DUMMYFUNCTION("GOOGLETRANSLATE(D910,""auto"",""en"")"),"Vehicle information on display screen panel display graphics user interface")</f>
        <v>Vehicle information on display screen panel display graphics user interface</v>
      </c>
    </row>
    <row r="911" spans="1:5" ht="15" x14ac:dyDescent="0.25">
      <c r="A911" s="5" t="s">
        <v>2667</v>
      </c>
      <c r="B911" s="6" t="s">
        <v>2668</v>
      </c>
      <c r="C911" s="3" t="str">
        <f ca="1">IFERROR(__xludf.DUMMYFUNCTION("GOOGLETRANSLATE(B911,""auto"",""en"")"),"The invention is a solution that enables users to use live sports gaming lines in the gambling industry, optional use of artificial intelligence functions and a series of alarms, so that betors can manage bets, even if they better monitor the initiative t"&amp;"o monitor And control bets. This is achieved by automatically set target methods. The user settings limit, if the conditions are met within the specified time range, the purchase will be triggered. This automation method is combined with edges. By setting"&amp;" the automatic target conditions, if these conditions are met at any time within the selected time range, the user's bet will be automatically triggered. You can also choose to be alert when you meet the conditions, and automatically trigger the bet. The "&amp;"present invention is a user -friendly software solution that allows users to use their favorite gambling on the real -time line. Using this automatic setting goal method, the software will allow users to use real -time lines before and during the game, th"&amp;"ereby eliminating a very time -consuming task to track real -time lines, until the user's preferred standard match is BET.")</f>
        <v>The invention is a solution that enables users to use live sports gaming lines in the gambling industry, optional use of artificial intelligence functions and a series of alarms, so that betors can manage bets, even if they better monitor the initiative to monitor And control bets. This is achieved by automatically set target methods. The user settings limit, if the conditions are met within the specified time range, the purchase will be triggered. This automation method is combined with edges. By setting the automatic target conditions, if these conditions are met at any time within the selected time range, the user's bet will be automatically triggered. You can also choose to be alert when you meet the conditions, and automatically trigger the bet. The present invention is a user -friendly software solution that allows users to use their favorite gambling on the real -time line. Using this automatic setting goal method, the software will allow users to use real -time lines before and during the game, thereby eliminating a very time -consuming task to track real -time lines, until the user's preferred standard match is BET.</v>
      </c>
      <c r="D911" s="6" t="s">
        <v>2669</v>
      </c>
      <c r="E911" s="4" t="str">
        <f ca="1">IFERROR(__xludf.DUMMYFUNCTION("GOOGLETRANSLATE(D911,""auto"",""en"")"),"Systems and methods for on -site sports betting")</f>
        <v>Systems and methods for on -site sports betting</v>
      </c>
    </row>
    <row r="912" spans="1:5" ht="15" x14ac:dyDescent="0.25">
      <c r="A912" s="5" t="s">
        <v>2670</v>
      </c>
      <c r="B912" s="6" t="s">
        <v>2671</v>
      </c>
      <c r="C912" s="3" t="str">
        <f ca="1">IFERROR(__xludf.DUMMYFUNCTION("GOOGLETRANSLATE(B912,""auto"",""en"")"),"The present invention is a solution for users to use the on -site sports betting line in the gambling industry. It can be optional to use artificial intelligence characteristics and a series of alarms that enable betters to manage betting. bet. This is ac"&amp;"hieved by automatic setting target methods on -site betting. The user settings restrictions, if the conditions are met within the specified time range, the purchase is triggered. This automation method is combined with margin. By setting the automatic tar"&amp;"get conditions, if these conditions are met at any time in the selected time range, the user's betting will be automatically triggered. Another option is to receive alarm when meeting the conditions, rather than automatically trigger the bet. The inventio"&amp;"n is a user -friendly software solution that allows users to use their favorite betting on real -time online. Through this method of automatically setting the goal, the software will allow users to use the real -time line before and during the game to eli"&amp;"minate the very time -consuming task of tracking the real -time line, until the user's preferred standard is matched with the betting.")</f>
        <v>The present invention is a solution for users to use the on -site sports betting line in the gambling industry. It can be optional to use artificial intelligence characteristics and a series of alarms that enable betters to manage betting. bet. This is achieved by automatic setting target methods on -site betting. The user settings restrictions, if the conditions are met within the specified time range, the purchase is triggered. This automation method is combined with margin. By setting the automatic target conditions, if these conditions are met at any time in the selected time range, the user's betting will be automatically triggered. Another option is to receive alarm when meeting the conditions, rather than automatically trigger the bet. The invention is a user -friendly software solution that allows users to use their favorite betting on real -time online. Through this method of automatically setting the goal, the software will allow users to use the real -time line before and during the game to eliminate the very time -consuming task of tracking the real -time line, until the user's preferred standard is matched with the betting.</v>
      </c>
      <c r="D912" s="6" t="s">
        <v>2669</v>
      </c>
      <c r="E912" s="4" t="str">
        <f ca="1">IFERROR(__xludf.DUMMYFUNCTION("GOOGLETRANSLATE(D912,""auto"",""en"")"),"Systems and methods for on -site sports betting")</f>
        <v>Systems and methods for on -site sports betting</v>
      </c>
    </row>
    <row r="913" spans="1:5" ht="15" x14ac:dyDescent="0.25">
      <c r="A913" s="5" t="s">
        <v>2672</v>
      </c>
      <c r="B913" s="6" t="s">
        <v>2673</v>
      </c>
      <c r="C913" s="3" t="str">
        <f ca="1">IFERROR(__xludf.DUMMYFUNCTION("GOOGLETRANSLATE(B913,""auto"",""en"")"),"This article describes the methods of systems and predictions based on machine learning and related training methods related to operation. Examples of training machine learning models include receiving a data set, which includes data related to operation."&amp;" Among them, the data related to operation includes multiple samples with corresponding damage labels related to operation. This method also includes enhanced data sets, where enhanced datasets further include multiple synthetic samples with their own and"&amp;" run -related damage labels. This method also includes the use of enhanced data set training machine learning models. The trained machine learning model is configured to predict the risk of damage related to running.")</f>
        <v>This article describes the methods of systems and predictions based on machine learning and related training methods related to operation. Examples of training machine learning models include receiving a data set, which includes data related to operation. Among them, the data related to operation includes multiple samples with corresponding damage labels related to operation. This method also includes enhanced data sets, where enhanced datasets further include multiple synthetic samples with their own and run -related damage labels. This method also includes the use of enhanced data set training machine learning models. The trained machine learning model is configured to predict the risk of damage related to running.</v>
      </c>
      <c r="D913" s="6" t="s">
        <v>2674</v>
      </c>
      <c r="E913" s="4" t="str">
        <f ca="1">IFERROR(__xludf.DUMMYFUNCTION("GOOGLETRANSLATE(D913,""auto"",""en"")"),"Use machine learning model and related machine learning training methods to predict the risk of running related damage")</f>
        <v>Use machine learning model and related machine learning training methods to predict the risk of running related damage</v>
      </c>
    </row>
    <row r="914" spans="1:5" ht="15" x14ac:dyDescent="0.25">
      <c r="A914" s="5" t="s">
        <v>2675</v>
      </c>
      <c r="B914" s="6" t="s">
        <v>2676</v>
      </c>
      <c r="C914" s="3" t="str">
        <f ca="1">IFERROR(__xludf.DUMMYFUNCTION("GOOGLETRANSLATE(B914,""auto"",""en"")"),"The present invention involves a user -based non -native manual swimming pool system based on the Internet of Things (IoT). More specifically, you can carry out swimming courses remotely without time and place, and automatically create a suitable artifici"&amp;"al waves according to the user's personal health status and user swimming level, and perform customized swimming exercises. -Facery -face -to -face artificial pool system based on the Internet of Things.
  To this end, the present invention provides a K"&amp;"inect device unit for sensing user swimming movements; an artificial swimming equipment unit, including an artificial wave -making module, has a pool for users to swim in the artificial wave module. Control the unit to control artificial waves and waves; "&amp;"equipment control units, connect with artificial swimming equipment units through wireless communication, control artificial swimming equipment to generate artificial waves, flow rate, water spray speed, and water spray height; display unit, receive Kinec"&amp;"t device identification The user action information of the user, the output user real -time motion screen, the real -time game video with other users; the user customized non -surface artificial swimming pool system based on the Internet of Things, includ"&amp;"ing providing an appointment and paid terminal for artificial swimming pools, and personalization Swimming exercise guide.")</f>
        <v>The present invention involves a user -based non -native manual swimming pool system based on the Internet of Things (IoT). More specifically, you can carry out swimming courses remotely without time and place, and automatically create a suitable artificial waves according to the user's personal health status and user swimming level, and perform customized swimming exercises. -Facery -face -to -face artificial pool system based on the Internet of Things.
  To this end, the present invention provides a Kinect device unit for sensing user swimming movements; an artificial swimming equipment unit, including an artificial wave -making module, has a pool for users to swim in the artificial wave module. Control the unit to control artificial waves and waves; equipment control units, connect with artificial swimming equipment units through wireless communication, control artificial swimming equipment to generate artificial waves, flow rate, water spray speed, and water spray height; display unit, receive Kinect device identification The user action information of the user, the output user real -time motion screen, the real -time game video with other users; the user customized non -surface artificial swimming pool system based on the Internet of Things, including providing an appointment and paid terminal for artificial swimming pools, and personalization Swimming exercise guide.</v>
      </c>
      <c r="D914" s="6" t="s">
        <v>2677</v>
      </c>
      <c r="E914" s="4" t="str">
        <f ca="1">IFERROR(__xludf.DUMMYFUNCTION("GOOGLETRANSLATE(D914,""auto"",""en"")"),"User customized non -native manual swimming pool system based on the Internet of Things")</f>
        <v>User customized non -native manual swimming pool system based on the Internet of Things</v>
      </c>
    </row>
    <row r="915" spans="1:5" ht="15" x14ac:dyDescent="0.25">
      <c r="A915" s="5" t="s">
        <v>2678</v>
      </c>
      <c r="B915" s="6" t="s">
        <v>2679</v>
      </c>
      <c r="C915" s="3" t="str">
        <f ca="1">IFERROR(__xludf.DUMMYFUNCTION("GOOGLETRANSLATE(B915,""auto"",""en"")"),"Ayushman provides end -to -end solutions for customers and employees of the gym and health center, providing them with layered solutions, providing them with customized management of daily operations of the gym, and the solution from the proposal to real "&amp;"-time sensor integrated data analysis solutions. Routine suggestions. Based on the real -time video capture analysis based on the existing CCTV infrastructure, it is used to monitor the adequacy of the behavior. Members and employees can be visited 24x7 t"&amp;"hroughout the weather through virtual assistants. Internal deployment or cloud deployment flexibility.")</f>
        <v>Ayushman provides end -to -end solutions for customers and employees of the gym and health center, providing them with layered solutions, providing them with customized management of daily operations of the gym, and the solution from the proposal to real -time sensor integrated data analysis solutions. Routine suggestions. Based on the real -time video capture analysis based on the existing CCTV infrastructure, it is used to monitor the adequacy of the behavior. Members and employees can be visited 24x7 throughout the weather through virtual assistants. Internal deployment or cloud deployment flexibility.</v>
      </c>
      <c r="D915" s="6" t="s">
        <v>2680</v>
      </c>
      <c r="E915" s="4" t="str">
        <f ca="1">IFERROR(__xludf.DUMMYFUNCTION("GOOGLETRANSLATE(D915,""auto"",""en"")"),"Based on artificial intelligence overall health management and gym automated module, with virtual assistant tools")</f>
        <v>Based on artificial intelligence overall health management and gym automated module, with virtual assistant tools</v>
      </c>
    </row>
    <row r="916" spans="1:5" ht="15" x14ac:dyDescent="0.25">
      <c r="A916" s="5" t="s">
        <v>2681</v>
      </c>
      <c r="B916" s="6" t="s">
        <v>2682</v>
      </c>
      <c r="C916" s="3" t="str">
        <f ca="1">IFERROR(__xludf.DUMMYFUNCTION("GOOGLETRANSLATE(B916,""auto"",""en"")"),"The present invention is suitable for the computer field, providing a method and system for the processing method and system of badminton video fragments based on artificial intelligence. Fragments and score anti -ultra -video fragments; capture the video"&amp;" fragment between the two sides from the end of the pause to the next pause in the target video fragment, and mark the different sequence of the video segment in accordance with the time axis; The target body in the fragment, obtain the target body in the"&amp;" sample motion trajectory image in the labeled video sub -fragment to determine whether there is a phenomenon of the shadow trajectory image. Under the circumstances, the visibility of the target body and the easy analysis of the relevant data of the comp"&amp;"etition.")</f>
        <v>The present invention is suitable for the computer field, providing a method and system for the processing method and system of badminton video fragments based on artificial intelligence. Fragments and score anti -ultra -video fragments; capture the video fragment between the two sides from the end of the pause to the next pause in the target video fragment, and mark the different sequence of the video segment in accordance with the time axis; The target body in the fragment, obtain the target body in the sample motion trajectory image in the labeled video sub -fragment to determine whether there is a phenomenon of the shadow trajectory image. Under the circumstances, the visibility of the target body and the easy analysis of the relevant data of the competition.</v>
      </c>
      <c r="D916" s="6" t="s">
        <v>2683</v>
      </c>
      <c r="E916" s="4" t="str">
        <f ca="1">IFERROR(__xludf.DUMMYFUNCTION("GOOGLETRANSLATE(D916,""auto"",""en"")"),"A method and system of a badminton video fragments based on artificial intelligence -based")</f>
        <v>A method and system of a badminton video fragments based on artificial intelligence -based</v>
      </c>
    </row>
    <row r="917" spans="1:5" ht="15" x14ac:dyDescent="0.25">
      <c r="A917" s="5" t="s">
        <v>2684</v>
      </c>
      <c r="B917" s="6" t="s">
        <v>2685</v>
      </c>
      <c r="C917" s="3" t="str">
        <f ca="1">IFERROR(__xludf.DUMMYFUNCTION("GOOGLETRANSLATE(B917,""auto"",""en"")"),"This utility model opens an interconnected interconnection and fitness equipment, including smart fitness mirrors and dynamic bicycles; the smart fitness mirror includes fitness mirrors, fitness mirror controllers installed in fitness mirrors, fitness mir"&amp;"ror display, fitness mirror speaker speakers And fitness mirror voice recognition device; the dynamic bicycle includes a bicycle body, a bicycle controller installed in the bicycle body, a cycling magnetic damchor, a bicycle heart rate sensor, a bicycle s"&amp;"tepping frequency sensor and a bicycle brake detector; the fitness mirror controller Connect with bicycle controller. This practical new type of intelligent fitness mirror and dynamic bicycle interconnection can effectively improve users' fitness interact"&amp;"ion and fitness effects.")</f>
        <v>This utility model opens an interconnected interconnection and fitness equipment, including smart fitness mirrors and dynamic bicycles; the smart fitness mirror includes fitness mirrors, fitness mirror controllers installed in fitness mirrors, fitness mirror display, fitness mirror speaker speakers And fitness mirror voice recognition device; the dynamic bicycle includes a bicycle body, a bicycle controller installed in the bicycle body, a cycling magnetic damchor, a bicycle heart rate sensor, a bicycle stepping frequency sensor and a bicycle brake detector; the fitness mirror controller Connect with bicycle controller. This practical new type of intelligent fitness mirror and dynamic bicycle interconnection can effectively improve users' fitness interaction and fitness effects.</v>
      </c>
      <c r="D917" s="6" t="s">
        <v>2686</v>
      </c>
      <c r="E917" s="4" t="str">
        <f ca="1">IFERROR(__xludf.DUMMYFUNCTION("GOOGLETRANSLATE(D917,""auto"",""en"")"),"A kind of interconnection and fitness equipment")</f>
        <v>A kind of interconnection and fitness equipment</v>
      </c>
    </row>
    <row r="918" spans="1:5" ht="15" x14ac:dyDescent="0.25">
      <c r="A918" s="5" t="s">
        <v>2687</v>
      </c>
      <c r="B918" s="6" t="s">
        <v>2688</v>
      </c>
      <c r="C918" s="3" t="str">
        <f ca="1">IFERROR(__xludf.DUMMYFUNCTION("GOOGLETRANSLATE(B918,""auto"",""en"")"),"The present invention disclosed an IoT -based basketball court LED light, including a platform settings, which is fixed on both sides of the platform with a second fixed board with left and right symmetrical settings. The first fixed board, and the first "&amp;"fixed board is between the two adjacent two second fixed boards, and the two second fixed boards and the first fixing board are jointly set up with two horizontal rods. Inventory of the cooperation between placing blocks, translation blocks, first fixing "&amp;"boards, second fixed boards, crossbars, mobile blocks, first tooth blocks, second teeth blocks, electric telescopic rods, installation ring and other components The purpose of flipping the light frame, adjust the irradiation range of the LED tube, and the"&amp;" cooperation of the components such as spiny wheels and cards can be adjusted to adjust the irradiation angle of the LED tube.")</f>
        <v>The present invention disclosed an IoT -based basketball court LED light, including a platform settings, which is fixed on both sides of the platform with a second fixed board with left and right symmetrical settings. The first fixed board, and the first fixed board is between the two adjacent two second fixed boards, and the two second fixed boards and the first fixing board are jointly set up with two horizontal rods. Inventory of the cooperation between placing blocks, translation blocks, first fixing boards, second fixed boards, crossbars, mobile blocks, first tooth blocks, second teeth blocks, electric telescopic rods, installation ring and other components The purpose of flipping the light frame, adjust the irradiation range of the LED tube, and the cooperation of the components such as spiny wheels and cards can be adjusted to adjust the irradiation angle of the LED tube.</v>
      </c>
      <c r="D918" s="6" t="s">
        <v>2689</v>
      </c>
      <c r="E918" s="4" t="str">
        <f ca="1">IFERROR(__xludf.DUMMYFUNCTION("GOOGLETRANSLATE(D918,""auto"",""en"")"),"A LED light based on the Internet of Things")</f>
        <v>A LED light based on the Internet of Things</v>
      </c>
    </row>
    <row r="919" spans="1:5" ht="15" x14ac:dyDescent="0.25">
      <c r="A919" s="5" t="s">
        <v>2690</v>
      </c>
      <c r="B919" s="6" t="s">
        <v>2691</v>
      </c>
      <c r="C919" s="3" t="str">
        <f ca="1">IFERROR(__xludf.DUMMYFUNCTION("GOOGLETRANSLATE(B919,""auto"",""en"")"),"This publicly provides action monitoring methods, systems, devices, media and program products, involving computer technology, especially involving artificial intelligence. The specific implementation scheme is: to obtain the key points of the limbs of th"&amp;"e fitness users; obtain the ground force information associated with fitness users, and determine the ground pressure value of the key points of the limb according to the ground force information of the ground; Value to monitor the fitness of fitness user"&amp;"s. The technical solution of this public embodiment can improve the accuracy of fitness monitoring.")</f>
        <v>This publicly provides action monitoring methods, systems, devices, media and program products, involving computer technology, especially involving artificial intelligence. The specific implementation scheme is: to obtain the key points of the limbs of the fitness users; obtain the ground force information associated with fitness users, and determine the ground pressure value of the key points of the limb according to the ground force information of the ground; Value to monitor the fitness of fitness users. The technical solution of this public embodiment can improve the accuracy of fitness monitoring.</v>
      </c>
      <c r="D919" s="6" t="s">
        <v>2692</v>
      </c>
      <c r="E919" s="4" t="str">
        <f ca="1">IFERROR(__xludf.DUMMYFUNCTION("GOOGLETRANSLATE(D919,""auto"",""en"")"),"Action monitoring method, system, device, media and program products")</f>
        <v>Action monitoring method, system, device, media and program products</v>
      </c>
    </row>
    <row r="920" spans="1:5" ht="15" x14ac:dyDescent="0.25">
      <c r="A920" s="5" t="s">
        <v>2693</v>
      </c>
      <c r="B920" s="6" t="s">
        <v>2694</v>
      </c>
      <c r="C920" s="3" t="str">
        <f ca="1">IFERROR(__xludf.DUMMYFUNCTION("GOOGLETRANSLATE(B920,""auto"",""en"")"),"This article includes systems, methods and equipment for power management for computing systems. It uses machine learning to optimize the individual frequency of the component of the component. The computing system can be a tightly set system. It consider"&amp;"s the overall operating budget shared between the components of the computing system, while adjusting the frequency of each component. Examples of the automation method of power management include: (1) the frequency settings of different components using "&amp;"power management (PM) proxy learning computing system during the duplicate application execution, and (2) adjust the frequency to set different components using PM proxy. The adjustment is that the adjustment is Based on repeated applications and one or m"&amp;"ore restrictions, the restrictions correspond to the shared operating budget of the computing system.")</f>
        <v>This article includes systems, methods and equipment for power management for computing systems. It uses machine learning to optimize the individual frequency of the component of the component. The computing system can be a tightly set system. It considers the overall operating budget shared between the components of the computing system, while adjusting the frequency of each component. Examples of the automation method of power management include: (1) the frequency settings of different components using power management (PM) proxy learning computing system during the duplicate application execution, and (2) adjust the frequency to set different components using PM proxy. The adjustment is that the adjustment is Based on repeated applications and one or more restrictions, the restrictions correspond to the shared operating budget of the computing system.</v>
      </c>
      <c r="D920" s="6" t="s">
        <v>2695</v>
      </c>
      <c r="E920" s="4" t="str">
        <f ca="1">IFERROR(__xludf.DUMMYFUNCTION("GOOGLETRANSLATE(D920,""auto"",""en"")"),"The automatic method of the power management adjustment in the computing system")</f>
        <v>The automatic method of the power management adjustment in the computing system</v>
      </c>
    </row>
    <row r="921" spans="1:5" ht="15" x14ac:dyDescent="0.25">
      <c r="A921" s="5" t="s">
        <v>2696</v>
      </c>
      <c r="B921" s="6" t="s">
        <v>2697</v>
      </c>
      <c r="C921" s="3" t="str">
        <f ca="1">IFERROR(__xludf.DUMMYFUNCTION("GOOGLETRANSLATE(B921,""auto"",""en"")"),"A kind of electronic device was disclosed. The electronic device includes communication interfaces, memory and processors, and the processor receives the time related location information of multiple athletes who participates in multiple athletes worn by "&amp;"multiple athletes worn by multiple athletes, and based on location information, obtain and conduct and conduct. Multiple hot map information corresponding to multiple time points of exercise -hot map represents the area occupied by multiple athletes in th"&amp;"e venue of exercise -and obtain information about exercise information to enter multiple thermal diagrams to the first. In a neural network model, the location information of the output object is obtained to obtain the location information of the object u"&amp;"sed in the movement.")</f>
        <v>A kind of electronic device was disclosed. The electronic device includes communication interfaces, memory and processors, and the processor receives the time related location information of multiple athletes who participates in multiple athletes worn by multiple athletes worn by multiple athletes, and based on location information, obtain and conduct and conduct. Multiple hot map information corresponding to multiple time points of exercise -hot map represents the area occupied by multiple athletes in the venue of exercise -and obtain information about exercise information to enter multiple thermal diagrams to the first. In a neural network model, the location information of the output object is obtained to obtain the location information of the object used in the movement.</v>
      </c>
      <c r="D921" s="6" t="s">
        <v>2698</v>
      </c>
      <c r="E921" s="4" t="str">
        <f ca="1">IFERROR(__xludf.DUMMYFUNCTION("GOOGLETRANSLATE(D921,""auto"",""en"")"),"Electronic equipment and their control methods")</f>
        <v>Electronic equipment and their control methods</v>
      </c>
    </row>
    <row r="922" spans="1:5" ht="15" x14ac:dyDescent="0.25">
      <c r="A922" s="5" t="s">
        <v>2699</v>
      </c>
      <c r="B922" s="6" t="s">
        <v>2700</v>
      </c>
      <c r="C922" s="3" t="str">
        <f ca="1">IFERROR(__xludf.DUMMYFUNCTION("GOOGLETRANSLATE(B922,""auto"",""en"")"),"The present invention provides a construction management method and device of the intelligent stadium cable network structure, which includes: generate digital models corresponding to the cable network structure. Among them The BIM model determines the po"&amp;"sition of the measurement point, and simulates the safety risk status of the construction process of the cable network in accordance with the finite element model; Real -time sensor data reflects the various elements in the construction process of the cab"&amp;"le network; use artificial intelligence to deeply min and predict the real -time sensor data to determine whether the construction security requirements of the cable structure are met. The present invention can improve the construction safety of the stadi"&amp;"um network structure, ensure the quality of construction, effectively avoid the occurrence of construction accidents, reduce construction costs, and improve construction efficiency.")</f>
        <v>The present invention provides a construction management method and device of the intelligent stadium cable network structure, which includes: generate digital models corresponding to the cable network structure. Among them The BIM model determines the position of the measurement point, and simulates the safety risk status of the construction process of the cable network in accordance with the finite element model; Real -time sensor data reflects the various elements in the construction process of the cable network; use artificial intelligence to deeply min and predict the real -time sensor data to determine whether the construction security requirements of the cable structure are met. The present invention can improve the construction safety of the stadium network structure, ensure the quality of construction, effectively avoid the occurrence of construction accidents, reduce construction costs, and improve construction efficiency.</v>
      </c>
      <c r="D922" s="6" t="s">
        <v>2701</v>
      </c>
      <c r="E922" s="4" t="str">
        <f ca="1">IFERROR(__xludf.DUMMYFUNCTION("GOOGLETRANSLATE(D922,""auto"",""en"")"),"An intelligent stadium cable network structure construction management method and device")</f>
        <v>An intelligent stadium cable network structure construction management method and device</v>
      </c>
    </row>
    <row r="923" spans="1:5" ht="15" x14ac:dyDescent="0.25">
      <c r="A923" s="5" t="s">
        <v>2702</v>
      </c>
      <c r="B923" s="6" t="s">
        <v>2703</v>
      </c>
      <c r="C923" s="3" t="str">
        <f ca="1">IFERROR(__xludf.DUMMYFUNCTION("GOOGLETRANSLATE(B923,""auto"",""en"")"),"The present invention involves the field of environmental detector technology, and has disclosed an environmental detector of home air detection based on smart Internet of Things, including; detection device ontology. The same accent is used for airflow e"&amp;"xchange, and the upper end is also equipped with a mechanical cavity; the device fixed box, which is installed in the periphery of the detection device body, and connect. The device is set at the section of the indoor and outdoor environment, and the exte"&amp;"rnal environment is detected. When the external environment is clean and suitable for living, the ventilation louver is turned on, which can make the internal and external air communicate normally. When the air of the external environment of the outside e"&amp;"nvironment, when the air of the external environment of the external environment can be In the case of unclean, ventilated shutters are closed. The compressed air pump purifies the external air, and the clean gas is passed from the diversion set into the "&amp;"room to detect the integrated operation of the inspection and purification.")</f>
        <v>The present invention involves the field of environmental detector technology, and has disclosed an environmental detector of home air detection based on smart Internet of Things, including; detection device ontology. The same accent is used for airflow exchange, and the upper end is also equipped with a mechanical cavity; the device fixed box, which is installed in the periphery of the detection device body, and connect. The device is set at the section of the indoor and outdoor environment, and the external environment is detected. When the external environment is clean and suitable for living, the ventilation louver is turned on, which can make the internal and external air communicate normally. When the air of the external environment of the outside environment, when the air of the external environment of the external environment can be In the case of unclean, ventilated shutters are closed. The compressed air pump purifies the external air, and the clean gas is passed from the diversion set into the room to detect the integrated operation of the inspection and purification.</v>
      </c>
      <c r="D923" s="6" t="s">
        <v>2704</v>
      </c>
      <c r="E923" s="4" t="str">
        <f ca="1">IFERROR(__xludf.DUMMYFUNCTION("GOOGLETRANSLATE(D923,""auto"",""en"")"),"A environmental detector based on home air detection based on intelligent Internet of Things")</f>
        <v>A environmental detector based on home air detection based on intelligent Internet of Things</v>
      </c>
    </row>
    <row r="924" spans="1:5" ht="15" x14ac:dyDescent="0.25">
      <c r="A924" s="5" t="s">
        <v>2705</v>
      </c>
      <c r="B924" s="6" t="s">
        <v>2706</v>
      </c>
      <c r="C924" s="3" t="str">
        <f ca="1">IFERROR(__xludf.DUMMYFUNCTION("GOOGLETRANSLATE(B924,""auto"",""en"")"),"1. Design product name: Display the user interface for the data display of the screen panel.
 2. The purpose of designing products in appearance: for human -computer interaction and display.
 3. Design of the design of the product in this exterior: li"&amp;"es in the interface content of the graphical user interface of the display information.
 4. Pictures or photos that can most indicate design points: main view.
 5. Because it does not have design points, omitting push -up views, viewing views, left vi"&amp;"ew, right view, rear view.
 6. The purpose of the graphical user interface: This graphic user interface is used to display the marathon -related data.
 The main view shows the marathon data display interface. The user can click on the icon below the m"&amp;"arathon trajectory in the main view to view the corresponding information corresponding to the icon. The main view has the corresponding reference diagram.
 The display screen panel is used for mobile phones, desktop computers, laptops, and tablets.")</f>
        <v>1. Design product name: Display the user interface for the data display of the screen panel.
 2. The purpose of designing products in appearance: for human -computer interaction and display.
 3. Design of the design of the product in this exterior: lies in the interface content of the graphical user interface of the display information.
 4. Pictures or photos that can most indicate design points: main view.
 5. Because it does not have design points, omitting push -up views, viewing views, left view, right view, rear view.
 6. The purpose of the graphical user interface: This graphic user interface is used to display the marathon -related data.
 The main view shows the marathon data display interface. The user can click on the icon below the marathon trajectory in the main view to view the corresponding information corresponding to the icon. The main view has the corresponding reference diagram.
 The display screen panel is used for mobile phones, desktop computers, laptops, and tablets.</v>
      </c>
      <c r="D924" s="6" t="s">
        <v>2707</v>
      </c>
      <c r="E924" s="4" t="str">
        <f ca="1">IFERROR(__xludf.DUMMYFUNCTION("GOOGLETRANSLATE(D924,""auto"",""en"")"),"Data display user interface used for display screen panels")</f>
        <v>Data display user interface used for display screen panels</v>
      </c>
    </row>
    <row r="925" spans="1:5" ht="15" x14ac:dyDescent="0.25">
      <c r="A925" s="5" t="s">
        <v>2708</v>
      </c>
      <c r="B925" s="6" t="s">
        <v>2709</v>
      </c>
      <c r="C925" s="3" t="str">
        <f ca="1">IFERROR(__xludf.DUMMYFUNCTION("GOOGLETRANSLATE(B925,""auto"",""en"")"),"The invention involves a training device embedded system based on micro computers and IoT (IoT). The main purpose of the present invention is to be a learning medium for embedded systems, especially the learning Internet of Things technology, which will p"&amp;"rovide students and the public with theoretical and practical understanding of IoT technology. The present invention uses a lid/box as the protector of the coaching module. Electronic components are divided into several component blocks: 1. Power block, t"&amp;"hat is, DC input socket, Stepdowm LM35, on/off switch and input/output voltage measurement point 2. Micro micro The controller module, that is, Rasbery Pi 3B, ESP 32, and measurement point/output 3. Input module is the basic sensor in embedded system lear"&amp;"ning, that is Display blocks are used as output, displaying in the form of 20x4 LCD in the measurement circuit, OLED LCD, seven segments, I2C LCDs, display timers, LED and LED matrix 5. The output interface block is relay and DC motor, that is, 8 -channel"&amp;" relay, 180 180 Sales servo motor, 12V DC motor and MINI L298N. In the Internet of Things using the Android smartphone media, the media used to control and monitor the system (factory). This system (factory) is a training module using a miniature computer"&amp;" (Raspberry Pi 3B) and a programming and a WIFI module. ESP32 microcontroller, the module has turned on the training module. The invention is equipped with applications, learning embedded systems and the Internet of Things tutorial books.")</f>
        <v>The invention involves a training device embedded system based on micro computers and IoT (IoT). The main purpose of the present invention is to be a learning medium for embedded systems, especially the learning Internet of Things technology, which will provide students and the public with theoretical and practical understanding of IoT technology. The present invention uses a lid/box as the protector of the coaching module. Electronic components are divided into several component blocks: 1. Power block, that is, DC input socket, Stepdowm LM35, on/off switch and input/output voltage measurement point 2. Micro micro The controller module, that is, Rasbery Pi 3B, ESP 32, and measurement point/output 3. Input module is the basic sensor in embedded system learning, that is Display blocks are used as output, displaying in the form of 20x4 LCD in the measurement circuit, OLED LCD, seven segments, I2C LCDs, display timers, LED and LED matrix 5. The output interface block is relay and DC motor, that is, 8 -channel relay, 180 180 Sales servo motor, 12V DC motor and MINI L298N. In the Internet of Things using the Android smartphone media, the media used to control and monitor the system (factory). This system (factory) is a training module using a miniature computer (Raspberry Pi 3B) and a programming and a WIFI module. ESP32 microcontroller, the module has turned on the training module. The invention is equipped with applications, learning embedded systems and the Internet of Things tutorial books.</v>
      </c>
      <c r="D925" s="6" t="s">
        <v>2710</v>
      </c>
      <c r="E925" s="4" t="str">
        <f ca="1">IFERROR(__xludf.DUMMYFUNCTION("GOOGLETRANSLATE(D925,""auto"",""en"")"),"Trainer -based embedded system based on microcomputer and IoT")</f>
        <v>Trainer -based embedded system based on microcomputer and IoT</v>
      </c>
    </row>
    <row r="926" spans="1:5" ht="15" x14ac:dyDescent="0.25">
      <c r="A926" s="5" t="s">
        <v>2711</v>
      </c>
      <c r="B926" s="6" t="s">
        <v>2712</v>
      </c>
      <c r="C926" s="3" t="str">
        <f ca="1">IFERROR(__xludf.DUMMYFUNCTION("GOOGLETRANSLATE(B926,""auto"",""en"")"),"The theme of the present invention is to use neural networks to create rankings based on historical data, especially the players or team rankings in e -sports games, including the following steps: A. neural network learning based on historical data, espec"&amp;"ially about e -sports gameplay parameters and parameters and Data of these gameplay results. Bay. On the basis of the current data, the ranking of players or teams through neural networks, especially data about e -sports game parameters and the results of"&amp;" these games. C. The neural network may predict the results of the future match between players or teams. The invention also includes a system for implementing this method and the ranking created by this method.")</f>
        <v>The theme of the present invention is to use neural networks to create rankings based on historical data, especially the players or team rankings in e -sports games, including the following steps: A. neural network learning based on historical data, especially about e -sports gameplay parameters and parameters and Data of these gameplay results. Bay. On the basis of the current data, the ranking of players or teams through neural networks, especially data about e -sports game parameters and the results of these games. C. The neural network may predict the results of the future match between players or teams. The invention also includes a system for implementing this method and the ranking created by this method.</v>
      </c>
      <c r="D926" s="6" t="s">
        <v>2713</v>
      </c>
      <c r="E926" s="4" t="str">
        <f ca="1">IFERROR(__xludf.DUMMYFUNCTION("GOOGLETRANSLATE(D926,""auto"",""en"")"),"A method for creating rankings, a system of creation ranking, and a ranking")</f>
        <v>A method for creating rankings, a system of creation ranking, and a ranking</v>
      </c>
    </row>
    <row r="927" spans="1:5" ht="15" x14ac:dyDescent="0.25">
      <c r="A927" s="5" t="s">
        <v>2714</v>
      </c>
      <c r="B927" s="6" t="s">
        <v>2715</v>
      </c>
      <c r="C927" s="3" t="str">
        <f ca="1">IFERROR(__xludf.DUMMYFUNCTION("GOOGLETRANSLATE(B927,""auto"",""en"")"),"Provides a computer visual system that is used to estimate any part of the scene -type machine learning model that is used to estimate the video of sports competitions. It is unlikely that the machine learning model is unlikely to cause gradient disappear"&amp;"ance during the learning period. Computer vision system (10) has continuous image data acquisition unit and machine learning model (m), machine learning model (M) to obtain multiple upper half image feature quantity (F1) and lower half image feature amoun"&amp;"t acquisition unit (412), use Get multiple rear half of the image feature volume (F2); and the first half of the characteristics obtained and sequential information, which is used to obtain multiple front half of the image characteristics and sequential i"&amp;"nformation (F3). 422) It is used to obtain a number of secondary parts with sequential information (F4); the first half of the feature amount of the information with information, the number of feature amount acquisition unit (432) with related information"&amp;" with related information is more acquisition. The second half of the features (F6) with relevant information and the estimation result of the first half of the first half of the relevant information obtain unit (50), which is used to obtain (F5) and mult"&amp;"iple parts of the estimation results. The feature amount of information (F6).")</f>
        <v>Provides a computer visual system that is used to estimate any part of the scene -type machine learning model that is used to estimate the video of sports competitions. It is unlikely that the machine learning model is unlikely to cause gradient disappearance during the learning period. Computer vision system (10) has continuous image data acquisition unit and machine learning model (m), machine learning model (M) to obtain multiple upper half image feature quantity (F1) and lower half image feature amount acquisition unit (412), use Get multiple rear half of the image feature volume (F2); and the first half of the characteristics obtained and sequential information, which is used to obtain multiple front half of the image characteristics and sequential information (F3). 422) It is used to obtain a number of secondary parts with sequential information (F4); the first half of the feature amount of the information with information, the number of feature amount acquisition unit (432) with related information with related information is more acquisition. The second half of the features (F6) with relevant information and the estimation result of the first half of the first half of the relevant information obtain unit (50), which is used to obtain (F5) and multiple parts of the estimation results. The feature amount of information (F6).</v>
      </c>
      <c r="D927" s="6" t="s">
        <v>2716</v>
      </c>
      <c r="E927" s="4" t="str">
        <f ca="1">IFERROR(__xludf.DUMMYFUNCTION("GOOGLETRANSLATE(D927,""auto"",""en"")"),"Computer vision system, computer vision method, computer vision program and learning method")</f>
        <v>Computer vision system, computer vision method, computer vision program and learning method</v>
      </c>
    </row>
    <row r="928" spans="1:5" ht="15" x14ac:dyDescent="0.25">
      <c r="A928" s="5" t="s">
        <v>2717</v>
      </c>
      <c r="B928" s="6" t="s">
        <v>2718</v>
      </c>
      <c r="C928" s="3" t="str">
        <f ca="1">IFERROR(__xludf.DUMMYFUNCTION("GOOGLETRANSLATE(B928,""auto"",""en"")"),"A computer vision system provides a machine learning model related to any part of the scenario -type machine that estimates the video of the sports game. The machine learning model is unlikely to cause the gradient to disappear during learning. Computer v"&amp;"ision system (10) includes continuous image data acquisition units and machine learning models (M), and machine learning model (M) converts multiple front half image features (F1) into multiple front half of the image feature (F1). The first half of the i"&amp;"mage feature acquisition unit (411) is obtained from the data (CD1), and the significant weighted the first half of the acquisition unit obtains multiple significant first half features (F2) from multiple front half. Image features F1. (421) and estimated"&amp;" results acquisition unit (50), which obtained the estimated results based on multiple significant weighted front half features (F2).")</f>
        <v>A computer vision system provides a machine learning model related to any part of the scenario -type machine that estimates the video of the sports game. The machine learning model is unlikely to cause the gradient to disappear during learning. Computer vision system (10) includes continuous image data acquisition units and machine learning models (M), and machine learning model (M) converts multiple front half image features (F1) into multiple front half of the image feature (F1). The first half of the image feature acquisition unit (411) is obtained from the data (CD1), and the significant weighted the first half of the acquisition unit obtains multiple significant first half features (F2) from multiple front half. Image features F1. (421) and estimated results acquisition unit (50), which obtained the estimated results based on multiple significant weighted front half features (F2).</v>
      </c>
      <c r="D928" s="6" t="s">
        <v>2716</v>
      </c>
      <c r="E928" s="4" t="str">
        <f ca="1">IFERROR(__xludf.DUMMYFUNCTION("GOOGLETRANSLATE(D928,""auto"",""en"")"),"Computer vision system, computer vision method, computer vision program and learning method")</f>
        <v>Computer vision system, computer vision method, computer vision program and learning method</v>
      </c>
    </row>
    <row r="929" spans="1:5" ht="15" x14ac:dyDescent="0.25">
      <c r="A929" s="5" t="s">
        <v>2719</v>
      </c>
      <c r="B929" s="6" t="s">
        <v>2720</v>
      </c>
      <c r="C929" s="3" t="str">
        <f ca="1">IFERROR(__xludf.DUMMYFUNCTION("GOOGLETRANSLATE(B929,""auto"",""en"")"),"The present invention involves a volleyball training device, including a platform that is configured with an artificial intelligence image capture module 2 and connects to the microcontroller to determine the user level and generates the command. 1. The b"&amp;"ody is connected through the elastic rope 5, multiple guide 6 is equipped with a pitching device. It is installed on the platform 1 through the vertical bracket 7. Intermediate levels are discontinued at the same time. The holographic projection unit 9 is"&amp;" installed on the platform 1 to help users hit the ball in a way suitable for beginners. Touch interactive display panel 10 is inserted on the platform 1 monitor and improves the user level.")</f>
        <v>The present invention involves a volleyball training device, including a platform that is configured with an artificial intelligence image capture module 2 and connects to the microcontroller to determine the user level and generates the command. 1. The body is connected through the elastic rope 5, multiple guide 6 is equipped with a pitching device. It is installed on the platform 1 through the vertical bracket 7. Intermediate levels are discontinued at the same time. The holographic projection unit 9 is installed on the platform 1 to help users hit the ball in a way suitable for beginners. Touch interactive display panel 10 is inserted on the platform 1 monitor and improves the user level.</v>
      </c>
      <c r="D929" s="6" t="s">
        <v>2721</v>
      </c>
      <c r="E929" s="4" t="str">
        <f ca="1">IFERROR(__xludf.DUMMYFUNCTION("GOOGLETRANSLATE(D929,""auto"",""en"")"),"Volleyball trainer")</f>
        <v>Volleyball trainer</v>
      </c>
    </row>
    <row r="930" spans="1:5" ht="15" x14ac:dyDescent="0.25">
      <c r="A930" s="5" t="s">
        <v>2722</v>
      </c>
      <c r="B930" s="6" t="s">
        <v>2723</v>
      </c>
      <c r="C930" s="3" t="str">
        <f ca="1">IFERROR(__xludf.DUMMYFUNCTION("GOOGLETRANSLATE(B930,""auto"",""en"")"),"The present invention involves a golf training device, including adjustable wearable body 1, which is developed in the way wearing on the user's arm. Focusing on golf training, artificial intelligence image collection module 2 is installed on the body 1 t"&amp;"o determine the user to determine the user The length and width of the arm are guided by the body 1 correctly equipped with the arm, the holographic projection unit 3 attached to the body 1, projected the posture/posture of the user of the golf ball, the "&amp;"mobile hinge joint 4 is manufactured between the main body 1 and the club 5 5 According to the level of the competition, it rotates to the required angle to help the correct swing. The touch interactive display panel 7 is installed on the main body 1 to d"&amp;"isplay the error training level that the user is made when obtaining.")</f>
        <v>The present invention involves a golf training device, including adjustable wearable body 1, which is developed in the way wearing on the user's arm. Focusing on golf training, artificial intelligence image collection module 2 is installed on the body 1 to determine the user to determine the user The length and width of the arm are guided by the body 1 correctly equipped with the arm, the holographic projection unit 3 attached to the body 1, projected the posture/posture of the user of the golf ball, the mobile hinge joint 4 is manufactured between the main body 1 and the club 5 5 According to the level of the competition, it rotates to the required angle to help the correct swing. The touch interactive display panel 7 is installed on the main body 1 to display the error training level that the user is made when obtaining.</v>
      </c>
      <c r="D930" s="6" t="s">
        <v>2724</v>
      </c>
      <c r="E930" s="4" t="str">
        <f ca="1">IFERROR(__xludf.DUMMYFUNCTION("GOOGLETRANSLATE(D930,""auto"",""en"")"),"Golf trainer")</f>
        <v>Golf trainer</v>
      </c>
    </row>
    <row r="931" spans="1:5" ht="15" x14ac:dyDescent="0.25">
      <c r="A931" s="5" t="s">
        <v>2725</v>
      </c>
      <c r="B931" s="6" t="s">
        <v>2726</v>
      </c>
      <c r="C931" s="3" t="str">
        <f ca="1">IFERROR(__xludf.DUMMYFUNCTION("GOOGLETRANSLATE(B931,""auto"",""en"")"),"The present invention involves a badminton trainer, including: set up a badminton court with nets; ontology 1, the first and second ends on the side of the net, the first end is manufactured with multiple wheels 2, wheel 2 is used to manipulate the ontolo"&amp;"gy body 1 in the stadium in multiple directions, the second end is multiple slot 3, each slot 3 is used to store badminton, the ejection unit 4 assigns badminton from the cavity room, artificial intelligence image collection module 5 is used to detect and"&amp;" capture users. Multiple images, circles are used to provide rotating bracket devices 6 for slot 3 during the distribution of badminton, used to project light on the user's standing point to inform users of the holographic projection unit 7, which is used"&amp;" to evaluate user performance and display The display panel 8 on the panel 8.")</f>
        <v>The present invention involves a badminton trainer, including: set up a badminton court with nets; ontology 1, the first and second ends on the side of the net, the first end is manufactured with multiple wheels 2, wheel 2 is used to manipulate the ontology body 1 in the stadium in multiple directions, the second end is multiple slot 3, each slot 3 is used to store badminton, the ejection unit 4 assigns badminton from the cavity room, artificial intelligence image collection module 5 is used to detect and capture users. Multiple images, circles are used to provide rotating bracket devices 6 for slot 3 during the distribution of badminton, used to project light on the user's standing point to inform users of the holographic projection unit 7, which is used to evaluate user performance and display The display panel 8 on the panel 8.</v>
      </c>
      <c r="D931" s="6" t="s">
        <v>2727</v>
      </c>
      <c r="E931" s="4" t="str">
        <f ca="1">IFERROR(__xludf.DUMMYFUNCTION("GOOGLETRANSLATE(D931,""auto"",""en"")"),"Badminton training device")</f>
        <v>Badminton training device</v>
      </c>
    </row>
    <row r="932" spans="1:5" ht="15" x14ac:dyDescent="0.25">
      <c r="A932" s="5" t="s">
        <v>2728</v>
      </c>
      <c r="B932" s="6" t="s">
        <v>2729</v>
      </c>
      <c r="C932" s="3" t="str">
        <f ca="1">IFERROR(__xludf.DUMMYFUNCTION("GOOGLETRANSLATE(B932,""auto"",""en"")"),"A adjustable seat device for the indoor swimming pool, including the main body 1 with the first part 2, including the platform 3 occupied by the user, and partly immersed in the swimming pool, used to detect the user's physical/platform 3 and the bottom o"&amp;"f the swimming pool, and the bottom of the swimming pool The distance between the distance of the distance between the artificial intelligence camera 4, the telescopic rod 5 is used to increase the platform 3 to a specific height multiple suction cup 6 to"&amp;" attach the second part 7 to generate suction subject 1 and pool bottom and suction cup 6 pressure intensity Based on the wave/wave pattern detected by the microcontroller according to the intensity change, a pair of pedal 8 is installed on the main body "&amp;"1 through the slider 9 to help users sit on the platform 3 to rest. 9 Use the user's height to change the position/ sitting position of the pedal 8 to provide users in the swimming pool with comfortable seat space.")</f>
        <v>A adjustable seat device for the indoor swimming pool, including the main body 1 with the first part 2, including the platform 3 occupied by the user, and partly immersed in the swimming pool, used to detect the user's physical/platform 3 and the bottom of the swimming pool, and the bottom of the swimming pool The distance between the distance of the distance between the artificial intelligence camera 4, the telescopic rod 5 is used to increase the platform 3 to a specific height multiple suction cup 6 to attach the second part 7 to generate suction subject 1 and pool bottom and suction cup 6 pressure intensity Based on the wave/wave pattern detected by the microcontroller according to the intensity change, a pair of pedal 8 is installed on the main body 1 through the slider 9 to help users sit on the platform 3 to rest. 9 Use the user's height to change the position/ sitting position of the pedal 8 to provide users in the swimming pool with comfortable seat space.</v>
      </c>
      <c r="D932" s="6" t="s">
        <v>2730</v>
      </c>
      <c r="E932" s="4" t="str">
        <f ca="1">IFERROR(__xludf.DUMMYFUNCTION("GOOGLETRANSLATE(D932,""auto"",""en"")"),"A adjustable seat device for indoor swimming pool")</f>
        <v>A adjustable seat device for indoor swimming pool</v>
      </c>
    </row>
    <row r="933" spans="1:5" ht="15" x14ac:dyDescent="0.25">
      <c r="A933" s="5" t="s">
        <v>2731</v>
      </c>
      <c r="B933" s="6" t="s">
        <v>2732</v>
      </c>
      <c r="C933" s="3" t="str">
        <f ca="1">IFERROR(__xludf.DUMMYFUNCTION("GOOGLETRANSLATE(B933,""auto"",""en"")"),"A landing auxiliary system for skydiving athletes, including protective glasses 1 worn by users when performing parachuting. Among them, glasses 1 includes a pressure sensor 3, which can detect atmospheric pressure according to the user's location, integr"&amp;"ate with microcontroller and link with a link with a link with a link with a link with a link with a link. The communication module altitude meter is arranged with the parachute carried by the user. Among them, the level of the height meter is to the user"&amp;"'s position to analyze the best time point for deploying parachutes. AI (artificial intelligence) cameras based on AI (artificial intelligence) , And with your legs, visualization. The posture of the user is a virtual screen 5 arranged on the glasses 1, w"&amp;"hich is used to display the output generated by sensor 3 and the heightmeter and the best position and/or deployment of parachute. Provide you to hear the order to open the parachute at the best time point.")</f>
        <v>A landing auxiliary system for skydiving athletes, including protective glasses 1 worn by users when performing parachuting. Among them, glasses 1 includes a pressure sensor 3, which can detect atmospheric pressure according to the user's location, integrate with microcontroller and link with a link with a link with a link with a link with a link with a link. The communication module altitude meter is arranged with the parachute carried by the user. Among them, the level of the height meter is to the user's position to analyze the best time point for deploying parachutes. AI (artificial intelligence) cameras based on AI (artificial intelligence) , And with your legs, visualization. The posture of the user is a virtual screen 5 arranged on the glasses 1, which is used to display the output generated by sensor 3 and the heightmeter and the best position and/or deployment of parachute. Provide you to hear the order to open the parachute at the best time point.</v>
      </c>
      <c r="D933" s="6" t="s">
        <v>2733</v>
      </c>
      <c r="E933" s="4" t="str">
        <f ca="1">IFERROR(__xludf.DUMMYFUNCTION("GOOGLETRANSLATE(D933,""auto"",""en"")"),"Skydiving and landing assistance system")</f>
        <v>Skydiving and landing assistance system</v>
      </c>
    </row>
    <row r="934" spans="1:5" ht="15" x14ac:dyDescent="0.25">
      <c r="A934" s="5" t="s">
        <v>2734</v>
      </c>
      <c r="B934" s="6" t="s">
        <v>2735</v>
      </c>
      <c r="C934" s="3" t="str">
        <f ca="1">IFERROR(__xludf.DUMMYFUNCTION("GOOGLETRANSLATE(B934,""auto"",""en"")"),"A method and system used to indicate the ball in the tennis game, including pressing the button on the mobile phone or tablet to enable the ball detection function, and control the offensive time clock without pressing the physical buttons or touch screen"&amp;" button Essence The LET detection function is only activated during armed and the collision between the ball and the net. The offensive clock is preferably controlled by voice control, voice recognition, or gesture control, and can detect referee 90 annou"&amp;"nced the score through microphone 96.")</f>
        <v>A method and system used to indicate the ball in the tennis game, including pressing the button on the mobile phone or tablet to enable the ball detection function, and control the offensive time clock without pressing the physical buttons or touch screen button Essence The LET detection function is only activated during armed and the collision between the ball and the net. The offensive clock is preferably controlled by voice control, voice recognition, or gesture control, and can detect referee 90 announced the score through microphone 96.</v>
      </c>
      <c r="D934" s="6" t="s">
        <v>2736</v>
      </c>
      <c r="E934" s="4" t="str">
        <f ca="1">IFERROR(__xludf.DUMMYFUNCTION("GOOGLETRANSLATE(D934,""auto"",""en"")"),"The RET detection system has the function of shooting clock, BMI, and network tension function")</f>
        <v>The RET detection system has the function of shooting clock, BMI, and network tension function</v>
      </c>
    </row>
    <row r="935" spans="1:5" ht="15" x14ac:dyDescent="0.25">
      <c r="A935" s="5" t="s">
        <v>2737</v>
      </c>
      <c r="B935" s="6" t="s">
        <v>2738</v>
      </c>
      <c r="C935" s="3" t="str">
        <f ca="1">IFERROR(__xludf.DUMMYFUNCTION("GOOGLETRANSLATE(B935,""auto"",""en"")"),"The present invention proposes a method and system for running posture recognition. Including: from multiple data collection devices in different locations, collect multiple sets of video data containing runners' running posture as the data to be identifi"&amp;"ed; pre -process the data to be identified to from the data to be identified. Obtain the keyframe data of ingredomalization; use the convolutional neural network to determine the joint characteristics of the runner from the backbone key frame data. The lo"&amp;"cation information of the joints of the runner in the key frame data; according to the location information of the joints, the joints are connected in an orderly manner to determine the effective angle from the orderly connected joint line diagram; By cal"&amp;"culating the difference between the valid angle and the standard attitude angle, determine the similarity between the runner's running posture and standard running posture Essence")</f>
        <v>The present invention proposes a method and system for running posture recognition. Including: from multiple data collection devices in different locations, collect multiple sets of video data containing runners' running posture as the data to be identified; pre -process the data to be identified to from the data to be identified. Obtain the keyframe data of ingredomalization; use the convolutional neural network to determine the joint characteristics of the runner from the backbone key frame data. The location information of the joints of the runner in the key frame data; according to the location information of the joints, the joints are connected in an orderly manner to determine the effective angle from the orderly connected joint line diagram; By calculating the difference between the valid angle and the standard attitude angle, determine the similarity between the runner's running posture and standard running posture Essence</v>
      </c>
      <c r="D935" s="6" t="s">
        <v>2739</v>
      </c>
      <c r="E935" s="4" t="str">
        <f ca="1">IFERROR(__xludf.DUMMYFUNCTION("GOOGLETRANSLATE(D935,""auto"",""en"")"),"A method and system for running posture recognition")</f>
        <v>A method and system for running posture recognition</v>
      </c>
    </row>
    <row r="936" spans="1:5" ht="15" x14ac:dyDescent="0.25">
      <c r="A936" s="5" t="s">
        <v>2740</v>
      </c>
      <c r="B936" s="6" t="s">
        <v>2741</v>
      </c>
      <c r="C936" s="3" t="str">
        <f ca="1">IFERROR(__xludf.DUMMYFUNCTION("GOOGLETRANSLATE(B936,""auto"",""en"")"),"The invention proposes a method and system for swimming attitude recognition. The method includes: from multiple data collection devices in different positions, collecting multiple sets of video data containing swimming posture of swimming as a to be iden"&amp;"tified; pre -processing the data waiting to be identified in order Obtict the data of the ingredomized key frame data in the identification data; use the convolutional neural network to determine the joint characteristics of the swimmer from the ingredomi"&amp;"zed key frame data. The normalization of the joint information of the swimmers in the normalized key frame data; according to the location information of each joint, the various joints are connected in an orderly manner to obtain the skeleton map of the s"&amp;"wimmer; based on the based In European distance, the similarity between the swimmer's skeleton map and the swimming posture standard skeleton map, which is used to correct the swimmer's swimming posture.")</f>
        <v>The invention proposes a method and system for swimming attitude recognition. The method includes: from multiple data collection devices in different positions, collecting multiple sets of video data containing swimming posture of swimming as a to be identified; pre -processing the data waiting to be identified in order Obtict the data of the ingredomized key frame data in the identification data; use the convolutional neural network to determine the joint characteristics of the swimmer from the ingredomized key frame data. The normalization of the joint information of the swimmers in the normalized key frame data; according to the location information of each joint, the various joints are connected in an orderly manner to obtain the skeleton map of the swimmer; based on the based In European distance, the similarity between the swimmer's skeleton map and the swimming posture standard skeleton map, which is used to correct the swimmer's swimming posture.</v>
      </c>
      <c r="D936" s="6" t="s">
        <v>2742</v>
      </c>
      <c r="E936" s="4" t="str">
        <f ca="1">IFERROR(__xludf.DUMMYFUNCTION("GOOGLETRANSLATE(D936,""auto"",""en"")"),"A method and system for swimming attitude recognition")</f>
        <v>A method and system for swimming attitude recognition</v>
      </c>
    </row>
    <row r="937" spans="1:5" ht="15" x14ac:dyDescent="0.25">
      <c r="A937" s="5" t="s">
        <v>2743</v>
      </c>
      <c r="B937" s="6" t="s">
        <v>2744</v>
      </c>
      <c r="C937" s="3" t="str">
        <f ca="1">IFERROR(__xludf.DUMMYFUNCTION("GOOGLETRANSLATE(B937,""auto"",""en"")"),"[0001] The present invention involves a system that can predict the final win -oriented system in the predetermined League of Legends games and the implementation of the system. More specifically, it is a win -win forecast system for League of Legends gam"&amp;"es, which refers to the League of Legends games that have been determined to win or losses. From big data, collect status information and final win -win information in the form of (xn, yn). Big Data Collection Department; use the status information of eac"&amp;"h time point and the final winning information as a learning data set. The correlation between the status information of the time point and the final winning or losing through deep learning, thereby creating a winning forecast model. Model creation part; "&amp;"use the predetermined time interval or whenever the current game client is currently being collected from the current game client. Surgery information collection department; and input the collected competition status information input and win -win forecas"&amp;"t model to obtain prediction results. Calculator; This is an League of Legends game winning forecast system that uses artificial intelligence deep learning, including.")</f>
        <v>[0001] The present invention involves a system that can predict the final win -oriented system in the predetermined League of Legends games and the implementation of the system. More specifically, it is a win -win forecast system for League of Legends games, which refers to the League of Legends games that have been determined to win or losses. From big data, collect status information and final win -win information in the form of (xn, yn). Big Data Collection Department; use the status information of each time point and the final winning information as a learning data set. The correlation between the status information of the time point and the final winning or losing through deep learning, thereby creating a winning forecast model. Model creation part; use the predetermined time interval or whenever the current game client is currently being collected from the current game client. Surgery information collection department; and input the collected competition status information input and win -win forecast model to obtain prediction results. Calculator; This is an League of Legends game winning forecast system that uses artificial intelligence deep learning, including.</v>
      </c>
      <c r="D937" s="6" t="s">
        <v>2745</v>
      </c>
      <c r="E937" s="4" t="str">
        <f ca="1">IFERROR(__xludf.DUMMYFUNCTION("GOOGLETRANSLATE(D937,""auto"",""en"")"),"League of Legends competition winning forecast system")</f>
        <v>League of Legends competition winning forecast system</v>
      </c>
    </row>
    <row r="938" spans="1:5" ht="15" x14ac:dyDescent="0.25">
      <c r="A938" s="5" t="s">
        <v>2746</v>
      </c>
      <c r="B938" s="6" t="s">
        <v>2747</v>
      </c>
      <c r="C938" s="3" t="str">
        <f ca="1">IFERROR(__xludf.DUMMYFUNCTION("GOOGLETRANSLATE(B938,""auto"",""en"")"),"1. The name of the product designed this product: display the graphic user interface for the information display of the screen panel.
 2. The purpose of designing products in this exterior: This design product is used for display information and running"&amp;" programs. The display screen panel is used for computers, laptops, tablets, mobile phones, smart phones, smart glasses, virtual reality glasses, augmented reality glasses glasses, enhanced reality glasses glasses , Mixed reality glasses, watches, smart w"&amp;"atches, fitness monitor, headset headphones, smart speakers, TV, set -top boxes.
 3. Design of the design of the product in this exterior: lies in the content of the graphic user interface in the screen, the display screen panel is designed with the exi"&amp;"sting. The text content in the interface is only used to indicate the content area. The text itself is not the protection content of this design.
 4. Pictures or photos that can best show design: Design 1 main view.
 5. Design 1 to Design 3 product ha"&amp;"rdware part is conventional design, omitting design 1 to design 3 rear view, left view, right view, push -view, and upir view.
 6. Specify design 1 is the basic design.
 7. The purpose of graphics user interface: The design of the product is used for "&amp;"video query, search and related information display.
 8. Human -computer interaction method of graphics user interface: Design 1 to Design 2 interface Module in the main view of the main view of the main view can be clicked on the operation to enter the"&amp;" corresponding next -level interface for operation. In design 1 Sliding up in turn, you can enter the design 1 interface change state Figure 1. Design 1 interface change state figure 2, design 1 interface change state Figure 3 &amp; nbsp; design 2 and design "&amp;"3 human -machine interaction process are consistent with design 1.")</f>
        <v>1. The name of the product designed this product: display the graphic user interface for the information display of the screen panel.
 2. The purpose of designing products in this exterior: This design product is used for display information and running programs. The display screen panel is used for computers, laptops, tablets, mobile phones, smart phones, smart glasses, virtual reality glasses, augmented reality glasses glasses, enhanced reality glasses glasses , Mixed reality glasses, watches, smart watches, fitness monitor, headset headphones, smart speakers, TV, set -top boxes.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best show design: Design 1 main view.
 5. Design 1 to Design 3 product hardware part is conventional design, omitting design 1 to design 3 rear view, left view, right view, push -view, and upir view.
 6. Specify design 1 is the basic design.
 7. The purpose of graphics user interface: The design of the product is used for video query, search and related information display.
 8. Human -computer interaction method of graphics user interface: Design 1 to Design 2 interface Module in the main view of the main view of the main view can be clicked on the operation to enter the corresponding next -level interface for operation. In design 1 Sliding up in turn, you can enter the design 1 interface change state Figure 1. Design 1 interface change state figure 2, design 1 interface change state Figure 3 &amp; nbsp; design 2 and design 3 human -machine interaction process are consistent with design 1.</v>
      </c>
      <c r="D938" s="6" t="s">
        <v>2748</v>
      </c>
      <c r="E938" s="4" t="str">
        <f ca="1">IFERROR(__xludf.DUMMYFUNCTION("GOOGLETRANSLATE(D938,""auto"",""en"")"),"Information display graphic user interface for the display screen panel")</f>
        <v>Information display graphic user interface for the display screen panel</v>
      </c>
    </row>
    <row r="939" spans="1:5" ht="15" x14ac:dyDescent="0.25">
      <c r="A939" s="5" t="s">
        <v>2749</v>
      </c>
      <c r="B939" s="6" t="s">
        <v>2750</v>
      </c>
      <c r="C939" s="3" t="str">
        <f ca="1">IFERROR(__xludf.DUMMYFUNCTION("GOOGLETRANSLATE(B939,""auto"",""en"")"),"The invention involves a cloud -based ID card printing system. The system uses cloud applications on the Internet of Things terminal to print a large ID card for security access for various exhibitions and sports events, and print it to a long -range iden"&amp;"tity Printer.")</f>
        <v>The invention involves a cloud -based ID card printing system. The system uses cloud applications on the Internet of Things terminal to print a large ID card for security access for various exhibitions and sports events, and print it to a long -range identity Printer.</v>
      </c>
      <c r="D939" s="6" t="s">
        <v>2751</v>
      </c>
      <c r="E939" s="4" t="str">
        <f ca="1">IFERROR(__xludf.DUMMYFUNCTION("GOOGLETRANSLATE(D939,""auto"",""en"")"),"Cloud -based ID card printing system")</f>
        <v>Cloud -based ID card printing system</v>
      </c>
    </row>
    <row r="940" spans="1:5" ht="15" x14ac:dyDescent="0.25">
      <c r="A940" s="5" t="s">
        <v>2752</v>
      </c>
      <c r="B940" s="6" t="s">
        <v>2753</v>
      </c>
      <c r="C940" s="3" t="str">
        <f ca="1">IFERROR(__xludf.DUMMYFUNCTION("GOOGLETRANSLATE(B940,""auto"",""en"")"),"The invention involves a system that uses IoT to provide shared exercise services, a method for providing shared exercise services, and its computer program. According to a system that uses the Internet of Things to provide shared exercise services, inclu"&amp;"ding: at least one user terminal, which is used to receive user information and booking information for reservation facilities; at least one place is installed with operating fitness equipment or setting up a fitness environment Fitness facilities for IoT"&amp;" devices; they are characterized by the exercise service providing server, which generates control signals corresponding to the reservation information input from the user terminal input and sends it to IoT device. Therefore, by using the IoT (IoT) device"&amp;" to automatically activate the exercise space and exercise facilities reserved by users, it can improve the convenience of using exercise facilities, and users can use exercise facilities in each exercise space in the exercise facilities. By allowing user"&amp;"s to perform necessary exercise plans to protect privacy, continuously store users' exercise records, health and physical records based on the results of the exercise, and provide users with more advanced exercise plans and feedback.")</f>
        <v>The invention involves a system that uses IoT to provide shared exercise services, a method for providing shared exercise services, and its computer program. According to a system that uses the Internet of Things to provide shared exercise services, including: at least one user terminal, which is used to receive user information and booking information for reservation facilities; at least one place is installed with operating fitness equipment or setting up a fitness environment Fitness facilities for IoT devices; they are characterized by the exercise service providing server, which generates control signals corresponding to the reservation information input from the user terminal input and sends it to IoT device. Therefore, by using the IoT (IoT) device to automatically activate the exercise space and exercise facilities reserved by users, it can improve the convenience of using exercise facilities, and users can use exercise facilities in each exercise space in the exercise facilities. By allowing users to perform necessary exercise plans to protect privacy, continuously store users' exercise records, health and physical records based on the results of the exercise, and provide users with more advanced exercise plans and feedback.</v>
      </c>
      <c r="D940" s="6" t="s">
        <v>2754</v>
      </c>
      <c r="E940" s="4" t="str">
        <f ca="1">IFERROR(__xludf.DUMMYFUNCTION("GOOGLETRANSLATE(D940,""auto"",""en"")"),"Use the Internet of Things sharing exercise service to provide a system, provide a method of sharing exercise services and its computer program")</f>
        <v>Use the Internet of Things sharing exercise service to provide a system, provide a method of sharing exercise services and its computer program</v>
      </c>
    </row>
    <row r="941" spans="1:5" ht="15" x14ac:dyDescent="0.25">
      <c r="A941" s="5" t="s">
        <v>2755</v>
      </c>
      <c r="B941" s="6" t="s">
        <v>2756</v>
      </c>
      <c r="C941" s="3" t="str">
        <f ca="1">IFERROR(__xludf.DUMMYFUNCTION("GOOGLETRANSLATE(B941,""auto"",""en"")"),"The present invention involves the field of sports testing technology, which specifically involves a health test system and method of sitting in the Internet of Things, including: identity identification module to obtain the relevant identity information "&amp;"of the tester; The angle data when you sit up. The beneficial effect of the present invention is: the tester's hands hold the two grip separately, so that the pressure contact can always be in contact with the tester's back of the head. When lying flat, t"&amp;"he tilt angle is 0 degrees, the tester's upper body and test pad are vertical of 90 degrees. When the value detected by the angle sensor is between 0 ‑10 degrees? The end is the end. Only the two sets of data were detected, and the controller was determin"&amp;"ed that it was completed as a sit -ups, which conforms to an effective count, and realizes the intelligentization of supine test tests and improves test efficiency and accuracy.")</f>
        <v>The present invention involves the field of sports testing technology, which specifically involves a health test system and method of sitting in the Internet of Things, including: identity identification module to obtain the relevant identity information of the tester; The angle data when you sit up. The beneficial effect of the present invention is: the tester's hands hold the two grip separately, so that the pressure contact can always be in contact with the tester's back of the head. When lying flat, the tilt angle is 0 degrees, the tester's upper body and test pad are vertical of 90 degrees. When the value detected by the angle sensor is between 0 ‑10 degrees? The end is the end. Only the two sets of data were detected, and the controller was determined that it was completed as a sit -ups, which conforms to an effective count, and realizes the intelligentization of supine test tests and improves test efficiency and accuracy.</v>
      </c>
      <c r="D941" s="6" t="s">
        <v>2757</v>
      </c>
      <c r="E941" s="4" t="str">
        <f ca="1">IFERROR(__xludf.DUMMYFUNCTION("GOOGLETRANSLATE(D941,""auto"",""en"")"),"A Health test system and method of sitting on the Internet of Things sitting up")</f>
        <v>A Health test system and method of sitting on the Internet of Things sitting up</v>
      </c>
    </row>
    <row r="942" spans="1:5" ht="15" x14ac:dyDescent="0.25">
      <c r="A942" s="5" t="s">
        <v>2758</v>
      </c>
      <c r="B942" s="6" t="s">
        <v>2759</v>
      </c>
      <c r="C942" s="3" t="str">
        <f ca="1">IFERROR(__xludf.DUMMYFUNCTION("GOOGLETRANSLATE(B942,""auto"",""en"")"),"The present invention involves the field of artificial intelligence technology, which is used in the field of smart medical care. It provides an identification method, device, equipment, and storage medium for fitness action images to improve the accuracy"&amp;" of the identification of fitness action in images. The identification method of fitness action images includes: the target fitness action image sequence of the direction gradient gradient diagram feature extraction and feature processing, obtain the char"&amp;"acteristic vector of the target direction gradient diagram corresponding to the target direction gradient diagram corresponding to each fitness action image; The target direction gradient characteristics and feature vectors corresponding to the target dir"&amp;"ection of fitness action images perform feature combination and feature selection to obtain the target characteristics corresponding to each fitness action image; based on the target characteristics of the target fitness action image sequence classificati"&amp;"on and recognition and the image similar to image -based similarities A degree of human posture statistical classification is obtained by the target classification results. In addition, the present invention also involves blockchain technology, and target"&amp;" fitness action image sequences can be stored in the blockchain.")</f>
        <v>The present invention involves the field of artificial intelligence technology, which is used in the field of smart medical care. It provides an identification method, device, equipment, and storage medium for fitness action images to improve the accuracy of the identification of fitness action in images. The identification method of fitness action images includes: the target fitness action image sequence of the direction gradient gradient diagram feature extraction and feature processing, obtain the characteristic vector of the target direction gradient diagram corresponding to the target direction gradient diagram corresponding to each fitness action image; The target direction gradient characteristics and feature vectors corresponding to the target direction of fitness action images perform feature combination and feature selection to obtain the target characteristics corresponding to each fitness action image; based on the target characteristics of the target fitness action image sequence classification and recognition and the image similar to image -based similarities A degree of human posture statistical classification is obtained by the target classification results. In addition, the present invention also involves blockchain technology, and target fitness action image sequences can be stored in the blockchain.</v>
      </c>
      <c r="D942" s="6" t="s">
        <v>2760</v>
      </c>
      <c r="E942" s="4" t="str">
        <f ca="1">IFERROR(__xludf.DUMMYFUNCTION("GOOGLETRANSLATE(D942,""auto"",""en"")"),"The identification methods, devices, equipment and storage media of fitness action images")</f>
        <v>The identification methods, devices, equipment and storage media of fitness action images</v>
      </c>
    </row>
    <row r="943" spans="1:5" ht="15" x14ac:dyDescent="0.25">
      <c r="A943" s="5" t="s">
        <v>2761</v>
      </c>
      <c r="B943" s="6" t="s">
        <v>2762</v>
      </c>
      <c r="C943" s="3" t="str">
        <f ca="1">IFERROR(__xludf.DUMMYFUNCTION("GOOGLETRANSLATE(B943,""auto"",""en"")"),"The system captured by human movement includes a sensor node for coupled to the various parts of human subjects. Each sensor node generates inertial sensor data, because human subjects participated in sports activities, and processed inertial sensor data "&amp;"based on the first machine learning model to generate a set of local motion determination. One or more computing devices receive a set of local determination and processed it according to the second machine learning model to generate the body movement cur"&amp;"ve. The computing device provides animation display animation display based on human sports configuration files, and generates training data based on the input from the animation display received from the viewer. The computing device has modified at least"&amp;" one of the first machine learning models or the second machine learning model, at least part of the training data.")</f>
        <v>The system captured by human movement includes a sensor node for coupled to the various parts of human subjects. Each sensor node generates inertial sensor data, because human subjects participated in sports activities, and processed inertial sensor data based on the first machine learning model to generate a set of local motion determination. One or more computing devices receive a set of local determination and processed it according to the second machine learning model to generate the body movement curve. The computing device provides animation display animation display based on human sports configuration files, and generates training data based on the input from the animation display received from the viewer. The computing device has modified at least one of the first machine learning models or the second machine learning model, at least part of the training data.</v>
      </c>
      <c r="D943" s="6" t="s">
        <v>2763</v>
      </c>
      <c r="E943" s="4" t="str">
        <f ca="1">IFERROR(__xludf.DUMMYFUNCTION("GOOGLETRANSLATE(D943,""auto"",""en"")"),"Human sports dynamic animation using wearable sensors and machine learning")</f>
        <v>Human sports dynamic animation using wearable sensors and machine learning</v>
      </c>
    </row>
    <row r="944" spans="1:5" ht="15" x14ac:dyDescent="0.25">
      <c r="A944" s="5" t="s">
        <v>2764</v>
      </c>
      <c r="B944" s="6" t="s">
        <v>2765</v>
      </c>
      <c r="C944" s="3" t="str">
        <f ca="1">IFERROR(__xludf.DUMMYFUNCTION("GOOGLETRANSLATE(B944,""auto"",""en"")"),"A motion running training system, including a unified platform set on the ground for running 1. Installed on the platform 1 to detect an AI (artificial intelligence) -based image capture module used to detect the user's physical posture 2. The display uni"&amp;"t mapped above 3. Platform 1 shows different training options to select options corresponding to beginners, intermediate or expert levels according to the pre -obtained running skills. In the running posture, multiple telescopic bar racks 6 are incorporat"&amp;"ed along the edge of the platform 1 through the slider. Users can cross the column frame 6 when running, so as to adjust the difficulty level according to the options, and integrate the speaker 7 on the platform 1 on the platform 1 For the running posture"&amp;" of improvisation users.")</f>
        <v>A motion running training system, including a unified platform set on the ground for running 1. Installed on the platform 1 to detect an AI (artificial intelligence) -based image capture module used to detect the user's physical posture 2. The display unit mapped above 3. Platform 1 shows different training options to select options corresponding to beginners, intermediate or expert levels according to the pre -obtained running skills. In the running posture, multiple telescopic bar racks 6 are incorporated along the edge of the platform 1 through the slider. Users can cross the column frame 6 when running, so as to adjust the difficulty level according to the options, and integrate the speaker 7 on the platform 1 on the platform 1 For the running posture of improvisation users.</v>
      </c>
      <c r="D944" s="6" t="s">
        <v>2766</v>
      </c>
      <c r="E944" s="4" t="str">
        <f ca="1">IFERROR(__xludf.DUMMYFUNCTION("GOOGLETRANSLATE(D944,""auto"",""en"")"),"Sports running training system")</f>
        <v>Sports running training system</v>
      </c>
    </row>
    <row r="945" spans="1:5" ht="15" x14ac:dyDescent="0.25">
      <c r="A945" s="5" t="s">
        <v>2767</v>
      </c>
      <c r="B945" s="6" t="s">
        <v>2768</v>
      </c>
      <c r="C945" s="3" t="str">
        <f ca="1">IFERROR(__xludf.DUMMYFUNCTION("GOOGLETRANSLATE(B945,""auto"",""en"")"),"A auxiliary object transportation equipment, including a large scissors -shaped component 1, installed the proximal part 2 in it, install the first 4 and the second hand 5, and the remote part is installed with a pair of clamping components 6 to grasp it "&amp;"to grasp A object, a touch sensor 7, for touch sensor 7 to determine the handle of the user holding the handle 4, 5 and the unattended handle 4, 5, a pair of hydraulic pusher 8 athletes press the unattended handle 4. 5 Apply pressure, a pair of suction cu"&amp;"ps 9 Cartate UCTION UCTION UCTION UCTION UCTION CUPS SUCCTION CUPS9 In order to ensure the additional grip effect, a pair of electric wheel 10 is used to start ROD 11. Person On the side of the duty, and a AI -based imaging unit 12 is related to pressure "&amp;"sensor 13 to determine the pressure of the object and the pressure applied at the handle 4 or 5.")</f>
        <v>A auxiliary object transportation equipment, including a large scissors -shaped component 1, installed the proximal part 2 in it, install the first 4 and the second hand 5, and the remote part is installed with a pair of clamping components 6 to grasp it to grasp A object, a touch sensor 7, for touch sensor 7 to determine the handle of the user holding the handle 4, 5 and the unattended handle 4, 5, a pair of hydraulic pusher 8 athletes press the unattended handle 4. 5 Apply pressure, a pair of suction cups 9 Cartate UCTION UCTION UCTION UCTION UCTION CUPS SUCCTION CUPS9 In order to ensure the additional grip effect, a pair of electric wheel 10 is used to start ROD 11. Person On the side of the duty, and a AI -based imaging unit 12 is related to pressure sensor 13 to determine the pressure of the object and the pressure applied at the handle 4 or 5.</v>
      </c>
      <c r="D945" s="6" t="s">
        <v>2769</v>
      </c>
      <c r="E945" s="4" t="str">
        <f ca="1">IFERROR(__xludf.DUMMYFUNCTION("GOOGLETRANSLATE(D945,""auto"",""en"")"),"Auxiliary object transportation device")</f>
        <v>Auxiliary object transportation device</v>
      </c>
    </row>
    <row r="946" spans="1:5" ht="15" x14ac:dyDescent="0.25">
      <c r="A946" s="5" t="s">
        <v>2770</v>
      </c>
      <c r="B946" s="6" t="s">
        <v>2771</v>
      </c>
      <c r="C946" s="3" t="str">
        <f ca="1">IFERROR(__xludf.DUMMYFUNCTION("GOOGLETRANSLATE(B946,""auto"",""en"")"),"班车公鸡维护设备,包括一个圆柱形外壳1,带有第一个2部分,以接收班车4进行修理,而第二部分3安装了一个基本平台,一个基本平台带有两个夹紧单元5, Used to clamp the bus Rooster 4, AI (artificial intelligence)) based on imaging unit 8 for capture and processing the surrounding images to determine the number and location of the f"&amp;"eathers. 11 Store a number of primitive feathers 12, and integrate with hydraulic integrated guns 13 Place and punching feathers. A major sliding rail 14 merges with telescopic rod 15. This rod 15 is installed with electronic nozzle 16 for allocating glue"&amp;" and glue and The secondary slide is 17, and the cock 4 around the roller wrapped in a tape is installed.")</f>
        <v>班车公鸡维护设备,包括一个圆柱形外壳1,带有第一个2部分,以接收班车4进行修理,而第二部分3安装了一个基本平台,一个基本平台带有两个夹紧单元5, Used to clamp the bus Rooster 4, AI (artificial intelligence)) based on imaging unit 8 for capture and processing the surrounding images to determine the number and location of the feathers. 11 Store a number of primitive feathers 12, and integrate with hydraulic integrated guns 13 Place and punching feathers. A major sliding rail 14 merges with telescopic rod 15. This rod 15 is installed with electronic nozzle 16 for allocating glue and glue and The secondary slide is 17, and the cock 4 around the roller wrapped in a tape is installed.</v>
      </c>
      <c r="D946" s="6" t="s">
        <v>2772</v>
      </c>
      <c r="E946" s="4" t="str">
        <f ca="1">IFERROR(__xludf.DUMMYFUNCTION("GOOGLETRANSLATE(D946,""auto"",""en"")"),"Badminton maintenance device")</f>
        <v>Badminton maintenance device</v>
      </c>
    </row>
    <row r="947" spans="1:5" ht="15" x14ac:dyDescent="0.25">
      <c r="A947" s="5" t="s">
        <v>2773</v>
      </c>
      <c r="B947" s="6" t="s">
        <v>2774</v>
      </c>
      <c r="C947" s="3" t="str">
        <f ca="1">IFERROR(__xludf.DUMMYFUNCTION("GOOGLETRANSLATE(B947,""auto"",""en"")"),"A platform auxiliary vehicle used by people with obstacles, including hand carts with multiple carriages 2, carriage 2 has a mobile cover 3 for storage of luggage 3, a pair of three -wheeled components for manipulating hand carts 1, scanning scanning sche"&amp;"duled trains Scanning unit 7 votes, the microphone used to enter the command to the compartment 2 to be used, to help users reach the compartment 2 to place/extract luggage, to create and create a platform for decoding user coaches The server of the posit"&amp;"ion is used to find the GPS (Global Positioning System) module that reaches the shortest path to the position, which is used to provide users with real -time audio navigation. The existence of the upcoming surface type and obstacles.")</f>
        <v>A platform auxiliary vehicle used by people with obstacles, including hand carts with multiple carriages 2, carriage 2 has a mobile cover 3 for storage of luggage 3, a pair of three -wheeled components for manipulating hand carts 1, scanning scanning scheduled trains Scanning unit 7 votes, the microphone used to enter the command to the compartment 2 to be used, to help users reach the compartment 2 to place/extract luggage, to create and create a platform for decoding user coaches The server of the position is used to find the GPS (Global Positioning System) module that reaches the shortest path to the position, which is used to provide users with real -time audio navigation. The existence of the upcoming surface type and obstacles.</v>
      </c>
      <c r="D947" s="6" t="s">
        <v>2775</v>
      </c>
      <c r="E947" s="4" t="str">
        <f ca="1">IFERROR(__xludf.DUMMYFUNCTION("GOOGLETRANSLATE(D947,""auto"",""en"")"),"Auxiliary car of the visually impaired person platform")</f>
        <v>Auxiliary car of the visually impaired person platform</v>
      </c>
    </row>
    <row r="948" spans="1:5" ht="15" x14ac:dyDescent="0.25">
      <c r="A948" s="5" t="s">
        <v>2776</v>
      </c>
      <c r="B948" s="6" t="s">
        <v>2777</v>
      </c>
      <c r="C948" s="3" t="str">
        <f ca="1">IFERROR(__xludf.DUMMYFUNCTION("GOOGLETRANSLATE(B948,""auto"",""en"")"),"The new type of utility type involves the technical field of biological equipment, which is specifically for the smart biological reactor laboratory, including the countertop of the first laboratory, the countertop of the second laboratory, the countertop"&amp;" of the third laboratory, and the countertop of the fourth laboratory. There are multiple manual desk scale installed on the top of the countertop and the bottom of the countertop of the second laboratory and the bottom of the third laboratory. Room aisle"&amp;", one side of the laboratory aisle is set up with a detection equipment host, which is located on the right side of the first transport robotic arm is located on the laboratory aisle. There is a liquid operating unit. , Function such as automatic liquid o"&amp;"peration and automatic sample detection, simplify human -machine interaction complexity, optimize production costs, and significantly improve the effective allocation and stability of resources during automated operations.")</f>
        <v>The new type of utility type involves the technical field of biological equipment, which is specifically for the smart biological reactor laboratory, including the countertop of the first laboratory, the countertop of the second laboratory, the countertop of the third laboratory, and the countertop of the fourth laboratory. There are multiple manual desk scale installed on the top of the countertop and the bottom of the countertop of the second laboratory and the bottom of the third laboratory. Room aisle, one side of the laboratory aisle is set up with a detection equipment host, which is located on the right side of the first transport robotic arm is located on the laboratory aisle. There is a liquid operating unit. , Function such as automatic liquid operation and automatic sample detection, simplify human -machine interaction complexity, optimize production costs, and significantly improve the effective allocation and stability of resources during automated operations.</v>
      </c>
      <c r="D948" s="6" t="s">
        <v>2778</v>
      </c>
      <c r="E948" s="4" t="str">
        <f ca="1">IFERROR(__xludf.DUMMYFUNCTION("GOOGLETRANSLATE(D948,""auto"",""en"")"),"Intelligent biological reactor laboratory")</f>
        <v>Intelligent biological reactor laboratory</v>
      </c>
    </row>
    <row r="949" spans="1:5" ht="15" x14ac:dyDescent="0.25">
      <c r="A949" s="5" t="s">
        <v>2779</v>
      </c>
      <c r="B949" s="6" t="s">
        <v>2780</v>
      </c>
      <c r="C949" s="3" t="str">
        <f ca="1">IFERROR(__xludf.DUMMYFUNCTION("GOOGLETRANSLATE(B949,""auto"",""en"")"),"The present invention provides a fitness effect assessment and solution customization system based on multi -mode deep learning, including database, collection module, wearable interaction module, and evaluation module. The user's muscle signal is used to"&amp;" generate the user's exercise movement data; the evaluation module is based on the data of the collection module and the wearing interactive module to evaluate the user's fitness action and fitness status; Module connection. The invention uses the synchro"&amp;"nization unit to match the collection module and the wearable unit to synchronize the image data of the same user and the synchronous collection of muscle signal data, which prompts the data of the training movement to synchronize with the collected image"&amp;" data, and improve the fitness action of users to user fitness. Precision assessment.")</f>
        <v>The present invention provides a fitness effect assessment and solution customization system based on multi -mode deep learning, including database, collection module, wearable interaction module, and evaluation module. The user's muscle signal is used to generate the user's exercise movement data; the evaluation module is based on the data of the collection module and the wearing interactive module to evaluate the user's fitness action and fitness status; Module connection. The invention uses the synchronization unit to match the collection module and the wearable unit to synchronize the image data of the same user and the synchronous collection of muscle signal data, which prompts the data of the training movement to synchronize with the collected image data, and improve the fitness action of users to user fitness. Precision assessment.</v>
      </c>
      <c r="D949" s="6" t="s">
        <v>2781</v>
      </c>
      <c r="E949" s="4" t="str">
        <f ca="1">IFERROR(__xludf.DUMMYFUNCTION("GOOGLETRANSLATE(D949,""auto"",""en"")"),"A fitness effect assessment and solution customization system based on multi -mode deep learning")</f>
        <v>A fitness effect assessment and solution customization system based on multi -mode deep learning</v>
      </c>
    </row>
    <row r="950" spans="1:5" ht="15" x14ac:dyDescent="0.25">
      <c r="A950" s="5" t="s">
        <v>2782</v>
      </c>
      <c r="B950" s="6" t="s">
        <v>2783</v>
      </c>
      <c r="C950" s="3" t="str">
        <f ca="1">IFERROR(__xludf.DUMMYFUNCTION("GOOGLETRANSLATE(B950,""auto"",""en"")"),"1. The name of the product of the design of the product: The firmware vulnerability of the display screen panel is graphic user interface.
 2. The purpose of designing products in this exterior: for running program, display information, and human -compu"&amp;"ter interaction; the display screen panel can be applied to computers, laptops, displays for vehicles, tablets, mobile phones, smartphones, smart bracelets, smart bracelets, smart bracelets , Smart glasses, watches, smart watches, fitness monitors, headph"&amp;"ones, personal digital assistants, smart speakers, television, monitor, projector, navigation equipment, set -top box, game machine.
 3. Design of the design of the product in this exterior: lies in the graphic user interface content of the display scre"&amp;"en panel.
 4. Pictures or photos that can best show design: Design 3 main views.
 5. The display screen panel is commonly designed, omitting the rear view, left view, right view, downward view, and upper view of each design.
 6. Specifying design 3 "&amp;"is the basic design.
 7. The purpose of the graphic user interface: used to view the status and results of the firmware vulnerability scanning and detection; design 1. Design 2 main views as preparing the fugitive vulnerability scan interface, the syste"&amp;"m automatically recognizes whether the hardware is connected to the wireless network, if there is no connection display design 1 The main view, if the design 2 is connected to the design 2 main view; the hardware connection wireless network, the detection"&amp;" is connected to the detection equipment; if the detection equipment is not connected to the detection equipment, the design 2 main view is displayed, if the detection equipment is connected to the detection equipment, the detection equipment is connected"&amp;" to the detection equipment , Display the design 3 main view; under the premise of the detection equipment that has been connected to the detection equipment, the scanning status is displayed. As shown in the design 4 main view, you can check the scanning"&amp;" progress according to the progress bar below; After the device and the detection device are connected to disconnect, the design 5 main view is displayed, and the detection task is restarted after connecting.")</f>
        <v>1. The name of the product of the design of the product: The firmware vulnerability of the display screen panel is graphic user interface.
 2. The purpose of designing products in this exterior: for running program, display information, and human -computer interaction; the display screen panel can be applied to computers, laptops, displays for vehicles, tablets, mobile phones, smartphones, smart bracelets, smart bracelets, smart bracelets , Smart glasses, watches, smart watches, fitness monitors, headphones, personal digital assistants, smart speakers, television, monitor, projector, navigation equipment, set -top box, game machine.
 3. Design of the design of the product in this exterior: lies in the graphic user interface content of the display screen panel.
 4. Pictures or photos that can best show design: Design 3 main views.
 5. The display screen panel is commonly designed, omitting the rear view, left view, right view, downward view, and upper view of each design.
 6. Specifying design 3 is the basic design.
 7. The purpose of the graphic user interface: used to view the status and results of the firmware vulnerability scanning and detection; design 1. Design 2 main views as preparing the fugitive vulnerability scan interface, the system automatically recognizes whether the hardware is connected to the wireless network, if there is no connection display design 1 The main view, if the design 2 is connected to the design 2 main view; the hardware connection wireless network, the detection is connected to the detection equipment; if the detection equipment is not connected to the detection equipment, the design 2 main view is displayed, if the detection equipment is connected to the detection equipment, the detection equipment is connected to the detection equipment , Display the design 3 main view; under the premise of the detection equipment that has been connected to the detection equipment, the scanning status is displayed. As shown in the design 4 main view, you can check the scanning progress according to the progress bar below; After the device and the detection device are connected to disconnect, the design 5 main view is displayed, and the detection task is restarted after connecting.</v>
      </c>
      <c r="D950" s="6" t="s">
        <v>2784</v>
      </c>
      <c r="E950" s="4" t="str">
        <f ca="1">IFERROR(__xludf.DUMMYFUNCTION("GOOGLETRANSLATE(D950,""auto"",""en"")"),"The firmware vulnerabilities of the display screen panel are graphical graphic user interface")</f>
        <v>The firmware vulnerabilities of the display screen panel are graphical graphic user interface</v>
      </c>
    </row>
    <row r="951" spans="1:5" ht="15" x14ac:dyDescent="0.25">
      <c r="A951" s="5" t="s">
        <v>2785</v>
      </c>
      <c r="B951" s="6" t="s">
        <v>2786</v>
      </c>
      <c r="C951" s="3" t="str">
        <f ca="1">IFERROR(__xludf.DUMMYFUNCTION("GOOGLETRANSLATE(B951,""auto"",""en"")"),"The present invention is a wireless perception technology field, involving a type of human behavior data labeling and recognition system and method based on cross -modular migration. This system uses common commercial cameras and WIFI signal acquisition e"&amp;"quipment Learning algorithms conduct feature extraction and model training on video fragments and WiFi signals. Using knowledge distillation will provide unsupervised guidance for WIFI models to be learned from the video, thereby achieving data labeling a"&amp;"nd behavioral recognition. The present invention can be realized in different assessment environments, and even verifying the effectiveness of the labeling of the data labeling under different perception data sets, filling the data marking and generating "&amp;"gaps generated by the wireless perception field, and creating an example of the descent perception and identification based on deep learning. Essence This system can be widely used in the fields of fitness testing, dietary monitoring and intrusion testing"&amp;".")</f>
        <v>The present invention is a wireless perception technology field, involving a type of human behavior data labeling and recognition system and method based on cross -modular migration. This system uses common commercial cameras and WIFI signal acquisition equipment Learning algorithms conduct feature extraction and model training on video fragments and WiFi signals. Using knowledge distillation will provide unsupervised guidance for WIFI models to be learned from the video, thereby achieving data labeling and behavioral recognition. The present invention can be realized in different assessment environments, and even verifying the effectiveness of the labeling of the data labeling under different perception data sets, filling the data marking and generating gaps generated by the wireless perception field, and creating an example of the descent perception and identification based on deep learning. Essence This system can be widely used in the fields of fitness testing, dietary monitoring and intrusion testing.</v>
      </c>
      <c r="D951" s="6" t="s">
        <v>2787</v>
      </c>
      <c r="E951" s="4" t="str">
        <f ca="1">IFERROR(__xludf.DUMMYFUNCTION("GOOGLETRANSLATE(D951,""auto"",""en"")"),"Human behavior data labeling and recognition system and methods based on cross -modular migration")</f>
        <v>Human behavior data labeling and recognition system and methods based on cross -modular migration</v>
      </c>
    </row>
    <row r="952" spans="1:5" ht="15" x14ac:dyDescent="0.25">
      <c r="A952" s="5" t="s">
        <v>2788</v>
      </c>
      <c r="B952" s="6" t="s">
        <v>2789</v>
      </c>
      <c r="C952" s="3" t="str">
        <f ca="1">IFERROR(__xludf.DUMMYFUNCTION("GOOGLETRANSLATE(B952,""auto"",""en"")"),"The present invention belongs to the field of outdoor sports safety monitoring technology. Specifically for a visual outdoor fitness running scene, the decline of behavior recognition and alarm, including step 1: collecting the human body RGB image inform"&amp;"ation through a single -eye camera set on outdoor public fitness trails Step 2: For the human body detection, obtain the detection box of everyone in the picture X, Y, W, H, where (x, y) indicates the upper left corner of the detection box, W represents t"&amp;"he width of the detection box, H means the detection box represents the detection box. High; Step 3: Make human posture for each detection box, and obtain the 24 key points of each person {X1, Y1, ..., X24, Y24}. Application scenarios, based on single -ey"&amp;"e photography, establish a visual image recognition runner of a single -eyed camera of the fall model database, the runner accidentally falls or accidentally falls to the ground, and implements a system alarm.")</f>
        <v>The present invention belongs to the field of outdoor sports safety monitoring technology. Specifically for a visual outdoor fitness running scene, the decline of behavior recognition and alarm, including step 1: collecting the human body RGB image information through a single -eye camera set on outdoor public fitness trails Step 2: For the human body detection, obtain the detection box of everyone in the picture X, Y, W, H, where (x, y) indicates the upper left corner of the detection box, W represents the width of the detection box, H means the detection box represents the detection box. High; Step 3: Make human posture for each detection box, and obtain the 24 key points of each person {X1, Y1, ..., X24, Y24}. Application scenarios, based on single -eye photography, establish a visual image recognition runner of a single -eyed camera of the fall model database, the runner accidentally falls or accidentally falls to the ground, and implements a system alarm.</v>
      </c>
      <c r="D952" s="6" t="s">
        <v>2790</v>
      </c>
      <c r="E952" s="4" t="str">
        <f ca="1">IFERROR(__xludf.DUMMYFUNCTION("GOOGLETRANSLATE(D952,""auto"",""en"")"),"A visual outdoor fitness running scene declines and alarm method")</f>
        <v>A visual outdoor fitness running scene declines and alarm method</v>
      </c>
    </row>
    <row r="953" spans="1:5" ht="15" x14ac:dyDescent="0.25">
      <c r="A953" s="5" t="s">
        <v>2791</v>
      </c>
      <c r="B953" s="6" t="s">
        <v>2792</v>
      </c>
      <c r="C953" s="3" t="str">
        <f ca="1">IFERROR(__xludf.DUMMYFUNCTION("GOOGLETRANSLATE(B953,""auto"",""en"")"),"1. The name of the product of the design of the product: The display screen panel with the graphic user interface with the activity answer system.
 2. The purpose of designing products in this exterior: used to display graphic user interface.
 3. Desi"&amp;"gn of design products in this appearance: lies in the graphic user interface in the screen.
 4. Pictures or photos that can best show design points: Figure 3 of the interface change state.
 5. There is no design point for other views, omitting other v"&amp;"iews.
 6. The purpose of graphical user interface: The interface is used to participate in answering competitions, viewing activities, rankings and display purposes.
 7. Human -computer interaction method of graphical user interface: The graphic user "&amp;"interface displayed by the main view is to open the start interface of the program; Status Figure 2: Click the ""Confirmation"" button at the bottom of the ""Confirmation"" button at the bottom of Figure 1 to obtain the interface change state. Interface C"&amp;"hange State Figure 4: Click the interface change status Figure 3 Below ""XXXXXX Event No. X"" card button in the activity list below enter the interface change status Figure 4; Rules ""button enter the interface change state Figure 5; interface change sta"&amp;"te Figure 6: click the interface change state Figure 4 The"" rank list ""button at the top right enters the interface change status Figure 6; interface change state figure 7: click the interface changes status Figure 3 to the upper right of the right uppe"&amp;"r right. Fang's ""Personal Homepage"" button enters the interface change state Figure 7.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reali"&amp;"ty glasses, hybrid glasses, watches, smart watches, fitness monitor, headset headphones, personal digital assistants, driving recorders, vehicle navigation equipment, vehicle CNC terminal, smart Speakers, television, set -top boxes, game system handheld, "&amp;"game system host.
 The gray ""X"" coating content in the graphic user interface of the product is the content picture.")</f>
        <v>1. The name of the product of the design of the product: The display screen panel with the graphic user interface with the activity answer system.
 2. The purpose of designing products in this exterior: used to display graphic user interface.
 3. Design of design products in this appearance: lies in the graphic user interface in the screen.
 4. Pictures or photos that can best show design points: Figure 3 of the interface change state.
 5. There is no design point for other views, omitting other views.
 6. The purpose of graphical user interface: The interface is used to participate in answering competitions, viewing activities, rankings and display purposes.
 7. Human -computer interaction method of graphical user interface: The graphic user interface displayed by the main view is to open the start interface of the program; Status Figure 2: Click the "Confirmation" button at the bottom of the "Confirmation" button at the bottom of Figure 1 to obtain the interface change state. Interface Change State Figure 4: Click the interface change status Figure 3 Below "XXXXXX Event No. X" card button in the activity list below enter the interface change status Figure 4; Rules "button enter the interface change state Figure 5; interface change state Figure 6: click the interface change state Figure 4 The" rank list "button at the top right enters the interface change status Figure 6; interface change state figure 7: click the interface changes status Figure 3 to the upper right of the right upper right. Fang's "Personal Homepage" button enters the interface change state Figure 7.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fitness monitor, headset headphones, personal digital assistants, driving recorders, vehicle navigation equipment, vehicle CNC terminal, smart Speakers, television, set -top boxes, game system handheld, game system host.
 The gray "X" coating content in the graphic user interface of the product is the content picture.</v>
      </c>
      <c r="D953" s="6" t="s">
        <v>2793</v>
      </c>
      <c r="E953" s="4" t="str">
        <f ca="1">IFERROR(__xludf.DUMMYFUNCTION("GOOGLETRANSLATE(D953,""auto"",""en"")"),"Display screen panel with activity answering system graphical user interface")</f>
        <v>Display screen panel with activity answering system graphical user interface</v>
      </c>
    </row>
    <row r="954" spans="1:5" ht="15" x14ac:dyDescent="0.25">
      <c r="A954" s="5" t="s">
        <v>2794</v>
      </c>
      <c r="B954" s="6" t="s">
        <v>2795</v>
      </c>
      <c r="C954" s="3" t="str">
        <f ca="1">IFERROR(__xludf.DUMMYFUNCTION("GOOGLETRANSLATE(B954,""auto"",""en"")"),"1. The name of the product of the design of the product: the display screen panel with an application opening display graphical user interface.
 2. The purpose of designing products in this exterior: used to display graphic user interface.
 3. Design "&amp;"of design products in this appearance: lies in the graphic user interface in the screen.
 4. Pictures or photos that can most indicate design points: main view.
 5. There is no design point for other views, omitting other views.
 6. The purpose of t"&amp;"he graphical user interface: The interface is used to open the screen prompts and display the purpose of the application.
 7. Human -computer interaction method of graphical user interface: The graphic user interface displayed by the main view is the ho"&amp;"mepage interface of the program; 2: In the interface change state Figure 1 Sliding to the left to enter the interface change state. Figure 2; the interface change state Figure 3: In the interface change state Figure 2 to slide left to the left to enter th"&amp;"e interface change state Figure 3.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fi"&amp;"tness monitor, headset headphones, personal digital assistants, driving recorders, vehicle navigation equipment, vehicle CNC terminal, smart Speakers, television, set -top boxes, game system handheld, game system host.")</f>
        <v>1. The name of the product of the design of the product: the display screen panel with an application opening display graphical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to open the screen prompts and display the purpose of the application.
 7. Human -computer interaction method of graphical user interface: The graphic user interface displayed by the main view is the homepage interface of the program; 2: In the interface change state Figure 1 Sliding to the left to enter the interface change state. Figure 2; the interface change state Figure 3: In the interface change state Figure 2 to slide left to the left to enter the interface change state Figure 3.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fitness monitor, headset headphones, personal digital assistants, driving recorders, vehicle navigation equipment, vehicle CNC terminal, smart Speakers, television, set -top boxes, game system handheld, game system host.</v>
      </c>
      <c r="D954" s="6" t="s">
        <v>2402</v>
      </c>
      <c r="E954" s="4" t="str">
        <f ca="1">IFERROR(__xludf.DUMMYFUNCTION("GOOGLETRANSLATE(D954,""auto"",""en"")"),"Display screen panel with an open screen display graphical user interface")</f>
        <v>Display screen panel with an open screen display graphical user interface</v>
      </c>
    </row>
    <row r="955" spans="1:5" ht="15" x14ac:dyDescent="0.25">
      <c r="A955" s="5" t="s">
        <v>2796</v>
      </c>
      <c r="B955" s="6" t="s">
        <v>2797</v>
      </c>
      <c r="C955" s="3" t="str">
        <f ca="1">IFERROR(__xludf.DUMMYFUNCTION("GOOGLETRANSLATE(B955,""auto"",""en"")"),"1. Design product name: Display screen panel with research project management graphic user interface.
 2. The purpose of designing products in this exterior: used to display graphic user interface.
 3. Design of design products in this appearance: lie"&amp;"s in the graphic user interface in the screen.
 4. Pictures or photos that can most indicate design points: main view.
 5. There is no design point for other views, omitting other views.
 6. The purpose of graphical user interface: The interface is "&amp;"used to investigate the purpose of project management, creation, setting and display.
 7. Human -computer interaction method of graphical user interface: The graphic user interface displayed by the main view is to open the start interface of the program"&amp;"; 1; Interface change state Figure 2: In the interface change state Figure 1 The central center of the central government slide up to get the interface change state Figure 2; the interface change state Figure 3: in the interface change state Figure 2 to s"&amp;"lide up in the central position to get the interface change state Figure 3; Interface Change State Figure 4: Click the ""All Service Content"" button in the upper right corner of the interface in the upper right corner of the interface. The button pops up"&amp;" the interface change state Figure 5; the interface changes status Figure 6: Click any blue ""editing"" button on the right side of the main view (here as an example of clicking the first one at the top) into the interface changes. 6 Status Figure 7: Clic"&amp;"k any blue ""Annex Management"" button on the right side of the main view (taking the first one at the top as an example) to enter the interface change state. 7; A blue ""questionnaire management"" button (here the first one as an example) into the interf"&amp;"ace changes state change state. 8.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fi"&amp;"tness monitor, headset headphones, personal digital assistants, driving recorders, vehicle navigation equipment, vehicle CNC terminal, smart Speakers, television, set -top boxes, game system handheld, game system host.")</f>
        <v>1. Design product name: Display screen panel with research project management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to investigate the purpose of project management, creation, setting and display.
 7. Human -computer interaction method of graphical user interface: The graphic user interface displayed by the main view is to open the start interface of the program; 1; Interface change state Figure 2: In the interface change state Figure 1 The central center of the central government slide up to get the interface change state Figure 2; the interface change state Figure 3: in the interface change state Figure 2 to slide up in the central position to get the interface change state Figure 3; Interface Change State Figure 4: Click the "All Service Content" button in the upper right corner of the interface in the upper right corner of the interface. The button pops up the interface change state Figure 5; the interface changes status Figure 6: Click any blue "editing" button on the right side of the main view (here as an example of clicking the first one at the top) into the interface changes. 6 Status Figure 7: Click any blue "Annex Management" button on the right side of the main view (taking the first one at the top as an example) to enter the interface change state. 7; A blue "questionnaire management" button (here the first one as an example) into the interface changes state change state. 8.
 8.本外观设计产品的显示屏幕面板可应用于计算机、笔记本电脑、显示装置、通讯设备、多媒体设备、信息终端、便携式通讯设备、便携式多媒体设备、便携式信息终端、平板电脑、手机、智能手机、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fitness monitor, headset headphones, personal digital assistants, driving recorders, vehicle navigation equipment, vehicle CNC terminal, smart Speakers, television, set -top boxes, game system handheld, game system host.</v>
      </c>
      <c r="D955" s="6" t="s">
        <v>2798</v>
      </c>
      <c r="E955" s="4" t="str">
        <f ca="1">IFERROR(__xludf.DUMMYFUNCTION("GOOGLETRANSLATE(D955,""auto"",""en"")"),"Display screen panels with research project management graphical user interface")</f>
        <v>Display screen panels with research project management graphical user interface</v>
      </c>
    </row>
    <row r="956" spans="1:5" ht="15" x14ac:dyDescent="0.25">
      <c r="A956" s="5" t="s">
        <v>2799</v>
      </c>
      <c r="B956" s="6" t="s">
        <v>2800</v>
      </c>
      <c r="C956" s="3" t="str">
        <f ca="1">IFERROR(__xludf.DUMMYFUNCTION("GOOGLETRANSLATE(B956,""auto"",""en"")"),"1. The name of the product of the product: The display screen panel with satisfaction survey the graphic user interface.
 2. The purpose of designing products in this exterior: used to display graphic user interface.
 3. Design of design products in t"&amp;"his appearance: lies in the graphic user interface in the screen.
 4. Pictures or photos that can most indicate design points: main view.
 5. There is no design point for other views, omitting other views.
 6. The purpose of the graphical user inter"&amp;"face: The interface is used for the use of the company's product satisfaction survey and the purpose of scoring.
 7. Human -computer interaction method of graphical user interface: The graphic user interface displayed by the main view is to open the sta"&amp;"rt interface of the program; Interface Change State Figure 2: Click the ""Computer/Internet/Communication/Electronics"" button below to select the interface change state. Automatically enter the interface change state Figure 3 after seconds; interface cha"&amp;"nge state Figure 4: click Select the interface change state Figure 3 to get the interface change state Figure 4; After the display state is waiting for 1 second, automatically enter the interface change state Figure 5; interface change status Figure 6: in"&amp;" the central position of the interface change status. Change status Figure 6 The second and fifth ""xx &amp; nbsp; xxxxx &amp; nbsp; xxx"" buttons from the top to bottom from top to bottom and enter ""xxxxxxxxx"" in the input box below ""other, please indicate ()"&amp;" to get the interface change status diagram 7; Interface change state Figure 8: Click the ""OK"" button at the bottom of the ""OK"" button at the bottom of the interface changes to the interface changes. 8; Get interface change state figure 9; interface c"&amp;"hange state Figure 10: click the interface change status. 9 The bottom ""OK"" button enters the interface change state. Explain that ""xxxxx"" in the input box to get the interface change state Figure 11; the interface change state Figure 12: Click the in"&amp;"terface change status. 11 The bottom ""OK"" button enters the interface change state. 12; Interface change state Figure 12 The ""Wireless screen function"" button below to obtain the interface change state Figure 13; interface change state Figure 14: Clic"&amp;"k the interface changes status Figure 13 to enter the interface change state change status Figure 14; interface changes status Figure 15: Click Select Interface Change Status. Figure 14 Below the second line of the second line below the second line and th"&amp;"e first and second ""xxxx"" buttons of the second line to get the interface change state Figure 15; The interface change state Figure 15 Slides upward in the central position to obtain the interface change state Figure 16; interface change state Figure 17"&amp;": Click the interface change state. 16 The bottom ""OK"" button enters the interface changes. Click to select the ""ultra -thin body"" and the ""beautiful picture"" button below 17 to get the interface change state of the interface. Figure 19; Interface C"&amp;"hange State Figure 20: Click the ""OK"" button at the bottom of the ""OK"" button at the bottom of the interface to enter the interface change state. 20; Welcome to the ""5"" points and the ""7"" points of the ""5"" and the ""7"" points of the ""5"" and t"&amp;"he ""7"" points of the interface change state. 21; Automatically enter the interface change state after 1 second. Figure 22.
 8. 1. The display screen panel of the product can be applied to computers, laptops, display devices, communication equipment, m"&amp;"ultimedia equipment, information terminals, portable communication equipment, portable multimedia devices, portable information terminals, tablet computers, mobile phones, intelligence, intelligence Mobile phones, wearable devices, smart glasses, virtual "&amp;"reality glasses, augmented reality glasses, hybrid glasses, watches, smart watches, fitness monitor, headset headphones, personal digital assistants, driving recorders, vehicle navigation equipment, vehicle CNC terminals , Smart speakers, television, set "&amp;"-top boxes, game system handheld, game system host.
 Second, the gray ""X"" coating in the graphic user interface of the product is the content picture.")</f>
        <v>1. The name of the product of the product: The display screen panel with satisfaction survey the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the company's product satisfaction survey and the purpose of scoring.
 7. Human -computer interaction method of graphical user interface: The graphic user interface displayed by the main view is to open the start interface of the program; Interface Change State Figure 2: Click the "Computer/Internet/Communication/Electronics" button below to select the interface change state. Automatically enter the interface change state Figure 3 after seconds; interface change state Figure 4: click Select the interface change state Figure 3 to get the interface change state Figure 4; After the display state is waiting for 1 second, automatically enter the interface change state Figure 5; interface change status Figure 6: in the central position of the interface change status. Change status Figure 6 The second and fifth "xx &amp; nbsp; xxxxx &amp; nbsp; xxx" buttons from the top to bottom from top to bottom and enter "xxxxxxxxx" in the input box below "other, please indicate () to get the interface change status diagram 7; Interface change state Figure 8: Click the "OK" button at the bottom of the "OK" button at the bottom of the interface changes to the interface changes. 8; Get interface change state figure 9; interface change state Figure 10: click the interface change status. 9 The bottom "OK" button enters the interface change state. Explain that "xxxxx" in the input box to get the interface change state Figure 11; the interface change state Figure 12: Click the interface change status. 11 The bottom "OK" button enters the interface change state. 12; Interface change state Figure 12 The "Wireless screen function" button below to obtain the interface change state Figure 13; interface change state Figure 14: Click the interface changes status Figure 13 to enter the interface change state change status Figure 14; interface changes status Figure 15: Click Select Interface Change Status. Figure 14 Below the second line of the second line below the second line and the first and second "xxxx" buttons of the second line to get the interface change state Figure 15; The interface change state Figure 15 Slides upward in the central position to obtain the interface change state Figure 16; interface change state Figure 17: Click the interface change state. 16 The bottom "OK" button enters the interface changes. Click to select the "ultra -thin body" and the "beautiful picture" button below 17 to get the interface change state of the interface. Figure 19; Interface Change State Figure 20: Click the "OK" button at the bottom of the "OK" button at the bottom of the interface to enter the interface change state. 20; Welcome to the "5" points and the "7" points of the "5" and the "7" points of the "5" and the "7" points of the interface change state. 21; Automatically enter the interface change state after 1 second. Figure 22.
 8. 1. The display screen panel of the product can be applied to computers, laptops, display devices, communication equipment, multimedia equipment, information terminals, portable communication equipment, portable multimedia devices, portable information terminals, tablet computers, mobile phones, intelligence, intelligence Mobile phones, wearable devices, smart glasses, virtual reality glasses, augmented reality glasses, hybrid glasses, watches, smart watches, fitness monitor, headset headphones, personal digital assistants, driving recorders, vehicle navigation equipment, vehicle CNC terminals , Smart speakers, television, set -top boxes, game system handheld, game system host.
 Second, the gray "X" coating in the graphic user interface of the product is the content picture.</v>
      </c>
      <c r="D956" s="6" t="s">
        <v>2801</v>
      </c>
      <c r="E956" s="4" t="str">
        <f ca="1">IFERROR(__xludf.DUMMYFUNCTION("GOOGLETRANSLATE(D956,""auto"",""en"")"),"Display screen panel with satisfaction research graphical user interface")</f>
        <v>Display screen panel with satisfaction research graphical user interface</v>
      </c>
    </row>
    <row r="957" spans="1:5" ht="15" x14ac:dyDescent="0.25">
      <c r="A957" s="5" t="s">
        <v>2802</v>
      </c>
      <c r="B957" s="6" t="s">
        <v>2803</v>
      </c>
      <c r="C957" s="3" t="str">
        <f ca="1">IFERROR(__xludf.DUMMYFUNCTION("GOOGLETRANSLATE(B957,""auto"",""en"")"),"In some examples, the server determines the measurement associated with employees based on the aggregate data. The aggregation data includes activities for employees to use computing equipment. The server determines the unified measures associated with em"&amp;"ployees based on measurement. The server determines the distribution curve based on the unified measurement of the employee and the additional unified measures associated with the additional employee, and determines the position of the employee on the dis"&amp;"tribution curve. The server uses multiple artificial intelligence engines to predict the next best action to improve the future performance of employees. The predetermined time interval of the server after specific data is determined to be associated with"&amp;" the employee's second unified measure. If the second unified measurement is greater than the first unified measure, the server determines that the tutoring session is successful and increases the effectiveness of counseling associated with counseling.")</f>
        <v>In some examples, the server determines the measurement associated with employees based on the aggregate data. The aggregation data includes activities for employees to use computing equipment. The server determines the unified measures associated with employees based on measurement. The server determines the distribution curve based on the unified measurement of the employee and the additional unified measures associated with the additional employee, and determines the position of the employee on the distribution curve. The server uses multiple artificial intelligence engines to predict the next best action to improve the future performance of employees. The predetermined time interval of the server after specific data is determined to be associated with the employee's second unified measure. If the second unified measurement is greater than the first unified measure, the server determines that the tutoring session is successful and increases the effectiveness of counseling associated with counseling.</v>
      </c>
      <c r="D957" s="6" t="s">
        <v>2804</v>
      </c>
      <c r="E957" s="4" t="str">
        <f ca="1">IFERROR(__xludf.DUMMYFUNCTION("GOOGLETRANSLATE(D957,""auto"",""en"")"),"Determine the effectiveness of the coach of the coach who is training employees")</f>
        <v>Determine the effectiveness of the coach of the coach who is training employees</v>
      </c>
    </row>
    <row r="958" spans="1:5" ht="15" x14ac:dyDescent="0.25">
      <c r="A958" s="5" t="s">
        <v>2805</v>
      </c>
      <c r="B958" s="6" t="s">
        <v>2806</v>
      </c>
      <c r="C958" s="3" t="str">
        <f ca="1">IFERROR(__xludf.DUMMYFUNCTION("GOOGLETRANSLATE(B958,""auto"",""en"")"),"Electronic content related to the almost index and score of the golf player, including the content obtained by the software application performed on the client device, is automatically obtained by the golf club and other courts. Real -time electronic moni"&amp;"toring and analysis can be performed in real time according to the expected scoring quality and guidelines in exercise. In particular, one or more algorithms can be performed in a routine way to find various data point indicators that may mean that the pl"&amp;"ayer is manipulating him or her almost index. The system and method can objectively generate the total score for each player based on the deduction of data based on the expected quality. If the player's total score reaches the predetermined mark level, th"&amp;"e system and method will automatically adjust the player's almost to promote fair competition. Machine learning mode can help complete tasks such as scoring analysis and automatic obstacle adjustment.")</f>
        <v>Electronic content related to the almost index and score of the golf player, including the content obtained by the software application performed on the client device, is automatically obtained by the golf club and other courts. Real -time electronic monitoring and analysis can be performed in real time according to the expected scoring quality and guidelines in exercise. In particular, one or more algorithms can be performed in a routine way to find various data point indicators that may mean that the player is manipulating him or her almost index. The system and method can objectively generate the total score for each player based on the deduction of data based on the expected quality. If the player's total score reaches the predetermined mark level, the system and method will automatically adjust the player's almost to promote fair competition. Machine learning mode can help complete tasks such as scoring analysis and automatic obstacle adjustment.</v>
      </c>
      <c r="D958" s="6" t="s">
        <v>2807</v>
      </c>
      <c r="E958" s="4" t="str">
        <f ca="1">IFERROR(__xludf.DUMMYFUNCTION("GOOGLETRANSLATE(D958,""auto"",""en"")"),"Systems and methods used to automatically evaluate and update the golf score index")</f>
        <v>Systems and methods used to automatically evaluate and update the golf score index</v>
      </c>
    </row>
    <row r="959" spans="1:5" ht="15" x14ac:dyDescent="0.25">
      <c r="A959" s="5" t="s">
        <v>2808</v>
      </c>
      <c r="B959" s="6" t="s">
        <v>2809</v>
      </c>
      <c r="C959" s="3" t="str">
        <f ca="1">IFERROR(__xludf.DUMMYFUNCTION("GOOGLETRANSLATE(B959,""auto"",""en"")"),"Golf Club and other stadiums automatically obtain electronic content related to golf players and scores, including content obtained by software applications performed on client devices. Real -time electronic monitoring and analysis can be performed in rea"&amp;"l time according to the expected scoring quality and guidelines in exercise. Specifically, one or more algorithms can be executed to find a variety of data point indicators that may mean that the player is manipulating him or her almost index. The system "&amp;"and method can objectively generate the total score of each player based on at least a deduction of data based on the expected quality determination of the unusual data. If the player's total score reaches the predetermined mark level, the system and meth"&amp;"od will automatically adjust the player's almost to promote fair competition. The machine learning mode can help complete tasks such as scoring analysis and automatic adjustment.")</f>
        <v>Golf Club and other stadiums automatically obtain electronic content related to golf players and scores, including content obtained by software applications performed on client devices. Real -time electronic monitoring and analysis can be performed in real time according to the expected scoring quality and guidelines in exercise. Specifically, one or more algorithms can be executed to find a variety of data point indicators that may mean that the player is manipulating him or her almost index. The system and method can objectively generate the total score of each player based on at least a deduction of data based on the expected quality determination of the unusual data. If the player's total score reaches the predetermined mark level, the system and method will automatically adjust the player's almost to promote fair competition. The machine learning mode can help complete tasks such as scoring analysis and automatic adjustment.</v>
      </c>
      <c r="D959" s="6" t="s">
        <v>2810</v>
      </c>
      <c r="E959" s="4" t="str">
        <f ca="1">IFERROR(__xludf.DUMMYFUNCTION("GOOGLETRANSLATE(D959,""auto"",""en"")"),"Systems and methods used to automatically evaluate and update the golf score index")</f>
        <v>Systems and methods used to automatically evaluate and update the golf score index</v>
      </c>
    </row>
    <row r="960" spans="1:5" ht="15" x14ac:dyDescent="0.25">
      <c r="A960" s="5" t="s">
        <v>2811</v>
      </c>
      <c r="B960" s="6" t="s">
        <v>2806</v>
      </c>
      <c r="C960" s="3" t="str">
        <f ca="1">IFERROR(__xludf.DUMMYFUNCTION("GOOGLETRANSLATE(B960,""auto"",""en"")"),"Electronic content related to the almost index and score of the golf player, including the content obtained by the software application performed on the client device, is automatically obtained by the golf club and other courts. Real -time electronic moni"&amp;"toring and analysis can be performed in real time according to the expected scoring quality and guidelines in exercise. In particular, one or more algorithms can be performed in a routine way to find various data point indicators that may mean that the pl"&amp;"ayer is manipulating him or her almost index. The system and method can objectively generate the total score for each player based on the deduction of data based on the expected quality. If the player's total score reaches the predetermined mark level, th"&amp;"e system and method will automatically adjust the player's almost to promote fair competition. Machine learning mode can help complete tasks such as scoring analysis and automatic obstacle adjustment.")</f>
        <v>Electronic content related to the almost index and score of the golf player, including the content obtained by the software application performed on the client device, is automatically obtained by the golf club and other courts. Real -time electronic monitoring and analysis can be performed in real time according to the expected scoring quality and guidelines in exercise. In particular, one or more algorithms can be performed in a routine way to find various data point indicators that may mean that the player is manipulating him or her almost index. The system and method can objectively generate the total score for each player based on the deduction of data based on the expected quality. If the player's total score reaches the predetermined mark level, the system and method will automatically adjust the player's almost to promote fair competition. Machine learning mode can help complete tasks such as scoring analysis and automatic obstacle adjustment.</v>
      </c>
      <c r="D960" s="6" t="s">
        <v>2807</v>
      </c>
      <c r="E960" s="4" t="str">
        <f ca="1">IFERROR(__xludf.DUMMYFUNCTION("GOOGLETRANSLATE(D960,""auto"",""en"")"),"Systems and methods used to automatically evaluate and update the golf score index")</f>
        <v>Systems and methods used to automatically evaluate and update the golf score index</v>
      </c>
    </row>
    <row r="961" spans="1:5" ht="15" x14ac:dyDescent="0.25">
      <c r="A961" s="5" t="s">
        <v>2812</v>
      </c>
      <c r="B961" s="6" t="s">
        <v>2813</v>
      </c>
      <c r="C961" s="3" t="str">
        <f ca="1">IFERROR(__xludf.DUMMYFUNCTION("GOOGLETRANSLATE(B961,""auto"",""en"")"),"The present invention involves a monitoring system that prevents drowning accidents in a swimming pool. It tracks the captured objects that the first image in the swimming pool is compared with the current image to determine whether there is a movement sp"&amp;"eed and determine whether there is a movement speed. There is no movement speed. Use human ratio information to determine the arms. Use human movements or surrounding colors to confirm whether people are in danger, and set the dangerous area to the minimu"&amp;"m large size data to deep learning image processing algorithm. The dangerous emergencies in the learning category are processed. When the judgment is dangerous, the operator generates video and alert to remind the operator to characterize the manager and "&amp;"the manager. Send to the designated user's smartphone to quickly cope with the danger.")</f>
        <v>The present invention involves a monitoring system that prevents drowning accidents in a swimming pool. It tracks the captured objects that the first image in the swimming pool is compared with the current image to determine whether there is a movement speed and determine whether there is a movement speed. There is no movement speed. Use human ratio information to determine the arms. Use human movements or surrounding colors to confirm whether people are in danger, and set the dangerous area to the minimum large size data to deep learning image processing algorithm. The dangerous emergencies in the learning category are processed. When the judgment is dangerous, the operator generates video and alert to remind the operator to characterize the manager and the manager. Send to the designated user's smartphone to quickly cope with the danger.</v>
      </c>
      <c r="D961" s="6" t="s">
        <v>2814</v>
      </c>
      <c r="E961" s="4" t="str">
        <f ca="1">IFERROR(__xludf.DUMMYFUNCTION("GOOGLETRANSLATE(D961,""auto"",""en"")"),"Use CCTV image to monitor the safety warning system of the abnormal signs and drowning accidents of the swimming pool user")</f>
        <v>Use CCTV image to monitor the safety warning system of the abnormal signs and drowning accidents of the swimming pool user</v>
      </c>
    </row>
    <row r="962" spans="1:5" ht="15" x14ac:dyDescent="0.25">
      <c r="A962" s="5" t="s">
        <v>2815</v>
      </c>
      <c r="B962" s="6" t="s">
        <v>2816</v>
      </c>
      <c r="C962" s="3" t="str">
        <f ca="1">IFERROR(__xludf.DUMMYFUNCTION("GOOGLETRANSLATE(B962,""auto"",""en"")"),"[0001] The present invention involves a monitoring system using CCTV (CCTV) to prevent users from jumping around in the swimming pool and causing accidents. Condition. Show on the CCTV control image, set the threshold through deep learning image processin"&amp;"g algorithm, determine the risk level, judge more complicated risk images by repeating learning, and generate alarm to remind managers in it. You can also use the communication network to send the image and alarm to the smartphone of the designated user t"&amp;"o quickly respond to the danger.")</f>
        <v>[0001] The present invention involves a monitoring system using CCTV (CCTV) to prevent users from jumping around in the swimming pool and causing accidents. Condition. Show on the CCTV control image, set the threshold through deep learning image processing algorithm, determine the risk level, judge more complicated risk images by repeating learning, and generate alarm to remind managers in it. You can also use the communication network to send the image and alarm to the smartphone of the designated user to quickly respond to the danger.</v>
      </c>
      <c r="D962" s="6" t="s">
        <v>2817</v>
      </c>
      <c r="E962" s="4" t="str">
        <f ca="1">IFERROR(__xludf.DUMMYFUNCTION("GOOGLETRANSLATE(D962,""auto"",""en"")"),"Monitoring and security alarm system, use closed -circuit TV video surveillance people who run in the swimming pool")</f>
        <v>Monitoring and security alarm system, use closed -circuit TV video surveillance people who run in the swimming pool</v>
      </c>
    </row>
    <row r="963" spans="1:5" ht="15" x14ac:dyDescent="0.25">
      <c r="A963" s="5" t="s">
        <v>2818</v>
      </c>
      <c r="B963" s="6" t="s">
        <v>2819</v>
      </c>
      <c r="C963" s="3" t="str">
        <f ca="1">IFERROR(__xludf.DUMMYFUNCTION("GOOGLETRANSLATE(B963,""auto"",""en"")"),"By using football pitcher, computer vision technology, and some physical intelligence -based computer applications, users can; regional selection, player selection, speed selection, height selection, range selection and shooting times. Standard pitching. "&amp;"The invention allows football players to develop their skills in various areas, speeds, and heights with repeated quality, and practice shooting separately without any help.")</f>
        <v>By using football pitcher, computer vision technology, and some physical intelligence -based computer applications, users can; regional selection, player selection, speed selection, height selection, range selection and shooting times. Standard pitching. The invention allows football players to develop their skills in various areas, speeds, and heights with repeated quality, and practice shooting separately without any help.</v>
      </c>
      <c r="D963" s="6" t="s">
        <v>2820</v>
      </c>
      <c r="E963" s="4" t="str">
        <f ca="1">IFERROR(__xludf.DUMMYFUNCTION("GOOGLETRANSLATE(D963,""auto"",""en"")"),"Football throw machine")</f>
        <v>Football throw machine</v>
      </c>
    </row>
    <row r="964" spans="1:5" ht="15" x14ac:dyDescent="0.25">
      <c r="A964" s="5" t="s">
        <v>2821</v>
      </c>
      <c r="B964" s="6" t="s">
        <v>2822</v>
      </c>
      <c r="C964" s="3" t="str">
        <f ca="1">IFERROR(__xludf.DUMMYFUNCTION("GOOGLETRANSLATE(B964,""auto"",""en"")"),"The present invention disclosed a non -invasive cyclic -breeding fish active feeding method and system. The system can include deep cameras, servers, feeders, etc. This system mainly uses machine vision and deep learning algorithms to analyze circulating "&amp;"water breeding fish community levels, and then coupled with the characteristics of the corporate community level and individual swimming strategies to realize the real -time characteristics of fish groups. Feeding. The system structure of the present inve"&amp;"ntion is simple and simple and effective. It can realize the real -time quantification of the desire of farming fish under non -invasion conditions, which makes up for the lack of traditional regular -time feeding (passive feeding) methods. Objects' feedi"&amp;"ng benefits have improved feed efficiency, which is conducive to maximizing breeding benefits.")</f>
        <v>The present invention disclosed a non -invasive cyclic -breeding fish active feeding method and system. The system can include deep cameras, servers, feeders, etc. This system mainly uses machine vision and deep learning algorithms to analyze circulating water breeding fish community levels, and then coupled with the characteristics of the corporate community level and individual swimming strategies to realize the real -time characteristics of fish groups. Feeding. The system structure of the present invention is simple and simple and effective. It can realize the real -time quantification of the desire of farming fish under non -invasion conditions, which makes up for the lack of traditional regular -time feeding (passive feeding) methods. Objects' feeding benefits have improved feed efficiency, which is conducive to maximizing breeding benefits.</v>
      </c>
      <c r="D964" s="6" t="s">
        <v>2823</v>
      </c>
      <c r="E964" s="4" t="str">
        <f ca="1">IFERROR(__xludf.DUMMYFUNCTION("GOOGLETRANSLATE(D964,""auto"",""en"")"),"A non -invasive circular water breeding fish active feeding method and system")</f>
        <v>A non -invasive circular water breeding fish active feeding method and system</v>
      </c>
    </row>
    <row r="965" spans="1:5" ht="15" x14ac:dyDescent="0.25">
      <c r="A965" s="5" t="s">
        <v>2824</v>
      </c>
      <c r="B965" s="6" t="s">
        <v>2825</v>
      </c>
      <c r="C965" s="3" t="str">
        <f ca="1">IFERROR(__xludf.DUMMYFUNCTION("GOOGLETRANSLATE(B965,""auto"",""en"")"),"Based on deep reinforcement learning, the present invention uses the improved Monte Carlo tree search algorithm to achieve a decision -making generation in the continuous action space. The following three innovations of the algorithm: the action selection"&amp;" function of the improvement of nuclear regression and nuclear density function improvement, using the nuclear regression allows sharing information between all the movements in the action set. Slowly grow discrete sampling action sets to handle continuou"&amp;"s action space. In addition, the decision -making network and value assessment network of convolutional neural network training strategies are also used to improve the selection and value assessment of the action selection and value assessment in the Mont"&amp;"e Carlo search algorithm. The invention effectively improves the effect of the existing curling auxiliary decision -making model.")</f>
        <v>Based on deep reinforcement learning, the present invention uses the improved Monte Carlo tree search algorithm to achieve a decision -making generation in the continuous action space. The following three innovations of the algorithm: the action selection function of the improvement of nuclear regression and nuclear density function improvement, using the nuclear regression allows sharing information between all the movements in the action set. Slowly grow discrete sampling action sets to handle continuous action space. In addition, the decision -making network and value assessment network of convolutional neural network training strategies are also used to improve the selection and value assessment of the action selection and value assessment in the Monte Carlo search algorithm. The invention effectively improves the effect of the existing curling auxiliary decision -making model.</v>
      </c>
      <c r="D965" s="6" t="s">
        <v>2826</v>
      </c>
      <c r="E965" s="4" t="str">
        <f ca="1">IFERROR(__xludf.DUMMYFUNCTION("GOOGLETRANSLATE(D965,""auto"",""en"")"),"The curling decision -making method based on the deep reinforcement learning based on Monte Carlo Tree Search")</f>
        <v>The curling decision -making method based on the deep reinforcement learning based on Monte Carlo Tree Search</v>
      </c>
    </row>
    <row r="966" spans="1:5" ht="15" x14ac:dyDescent="0.25">
      <c r="A966" s="5" t="s">
        <v>2827</v>
      </c>
      <c r="B966" s="6" t="s">
        <v>2828</v>
      </c>
      <c r="C966" s="3" t="str">
        <f ca="1">IFERROR(__xludf.DUMMYFUNCTION("GOOGLETRANSLATE(B966,""auto"",""en"")"),"The present invention disclosed a method of digital curling strategy extraction method based on polar coordinates. It belongs to the visual direction of artificial intelligence and computer vision in the field of deep learning. The problem of definition d"&amp;"iscrete caused by position feature extraction, thereby optimizing the strategy value network extraction. The algorithm mainly includes three parts. The data processing part, feature extraction part, and strategic value top part: The data processing sectio"&amp;"n converts the traditional digital curling data set into a curling dataset expressed by the polar coordinate. The new network structure fully extracts the position information of the curling. The head part of the strategic value is used to extract the pro"&amp;"bability of a certain action and the possible value of a certain action, so that the reinforcement learning of the decision -making of the digital curling competition is followed in the future. This method of digital curling strategy for polar coordinates"&amp;" is based on the supervision feature extraction of digital curling competition data, with small errors, high efficiency, strong scalability, and can effectively improve the speed of digital curling decision -making Breeding accuracy.")</f>
        <v>The present invention disclosed a method of digital curling strategy extraction method based on polar coordinates. It belongs to the visual direction of artificial intelligence and computer vision in the field of deep learning. The problem of definition discrete caused by position feature extraction, thereby optimizing the strategy value network extraction. The algorithm mainly includes three parts. The data processing part, feature extraction part, and strategic value top part: The data processing section converts the traditional digital curling data set into a curling dataset expressed by the polar coordinate. The new network structure fully extracts the position information of the curling. The head part of the strategic value is used to extract the probability of a certain action and the possible value of a certain action, so that the reinforcement learning of the decision -making of the digital curling competition is followed in the future. This method of digital curling strategy for polar coordinates is based on the supervision feature extraction of digital curling competition data, with small errors, high efficiency, strong scalability, and can effectively improve the speed of digital curling decision -making Breeding accuracy.</v>
      </c>
      <c r="D966" s="6" t="s">
        <v>2829</v>
      </c>
      <c r="E966" s="4" t="str">
        <f ca="1">IFERROR(__xludf.DUMMYFUNCTION("GOOGLETRANSLATE(D966,""auto"",""en"")"),"A method of digital curling strategic value extraction based on polar coordinates")</f>
        <v>A method of digital curling strategic value extraction based on polar coordinates</v>
      </c>
    </row>
    <row r="967" spans="1:5" ht="15" x14ac:dyDescent="0.25">
      <c r="A967" s="5" t="s">
        <v>2830</v>
      </c>
      <c r="B967" s="6" t="s">
        <v>2831</v>
      </c>
      <c r="C967" s="3" t="str">
        <f ca="1">IFERROR(__xludf.DUMMYFUNCTION("GOOGLETRANSLATE(B967,""auto"",""en"")"),"The present invention disclosed a method of curling simulation image of learning perception to real image conversion. It belongs to artificial intelligence and computer visual directions in the field of deep learning. Solving the curling strategy in the a"&amp;"nalog environment may not match the problem of reality. The algorithm mainly includes: image style conversion module, strengthening learning constraint module: Provide adaptation to pixel -level fields for simulated images, and use strengthening learning "&amp;"constraints to retain the important attributes required for enhanced learning during the conversion process. Essence This method of strengthening learning perceived curved simulation competition images to real images can effectively improve the effect of "&amp;"the existing curling auxiliary decision -making model, achieve low cost and wide range of application.")</f>
        <v>The present invention disclosed a method of curling simulation image of learning perception to real image conversion. It belongs to artificial intelligence and computer visual directions in the field of deep learning. Solving the curling strategy in the analog environment may not match the problem of reality. The algorithm mainly includes: image style conversion module, strengthening learning constraint module: Provide adaptation to pixel -level fields for simulated images, and use strengthening learning constraints to retain the important attributes required for enhanced learning during the conversion process. Essence This method of strengthening learning perceived curved simulation competition images to real images can effectively improve the effect of the existing curling auxiliary decision -making model, achieve low cost and wide range of application.</v>
      </c>
      <c r="D967" s="6" t="s">
        <v>2832</v>
      </c>
      <c r="E967" s="4" t="str">
        <f ca="1">IFERROR(__xludf.DUMMYFUNCTION("GOOGLETRANSLATE(D967,""auto"",""en"")"),"A method of strengthening the knowledge of curling simulation images that enhance learning perception")</f>
        <v>A method of strengthening the knowledge of curling simulation images that enhance learning perception</v>
      </c>
    </row>
    <row r="968" spans="1:5" ht="15" x14ac:dyDescent="0.25">
      <c r="A968" s="5" t="s">
        <v>2833</v>
      </c>
      <c r="B968" s="6" t="s">
        <v>2834</v>
      </c>
      <c r="C968" s="3" t="str">
        <f ca="1">IFERROR(__xludf.DUMMYFUNCTION("GOOGLETRANSLATE(B968,""auto"",""en"")"),"The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flowing to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flowing to the student learning system.</v>
      </c>
      <c r="D968" s="6" t="s">
        <v>2835</v>
      </c>
      <c r="E968" s="4" t="str">
        <f ca="1">IFERROR(__xludf.DUMMYFUNCTION("GOOGLETRANSLATE(D968,""auto"",""en"")"),"Knowledge sharing of machine learning system")</f>
        <v>Knowledge sharing of machine learning system</v>
      </c>
    </row>
    <row r="969" spans="1:5" ht="15" x14ac:dyDescent="0.25">
      <c r="A969" s="5" t="s">
        <v>2836</v>
      </c>
      <c r="B969" s="6" t="s">
        <v>2834</v>
      </c>
      <c r="C969" s="3" t="str">
        <f ca="1">IFERROR(__xludf.DUMMYFUNCTION("GOOGLETRANSLATE(B969,""auto"",""en"")"),"The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flowing to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flowing to the student learning system.</v>
      </c>
      <c r="D969" s="6" t="s">
        <v>504</v>
      </c>
      <c r="E969" s="4" t="str">
        <f ca="1">IFERROR(__xludf.DUMMYFUNCTION("GOOGLETRANSLATE(D969,""auto"",""en"")"),"Control the distribution of training data to integrated members")</f>
        <v>Control the distribution of training data to integrated members</v>
      </c>
    </row>
    <row r="970" spans="1:5" ht="15" x14ac:dyDescent="0.25">
      <c r="A970" s="5" t="s">
        <v>2837</v>
      </c>
      <c r="B970" s="6" t="s">
        <v>2838</v>
      </c>
      <c r="C970" s="3" t="str">
        <f ca="1">IFERROR(__xludf.DUMMYFUNCTION("GOOGLETRANSLATE(B970,""auto"",""en"")"),"The invention involves a system and method of using artificial intelligence to detect hazardous substances. The present invention uses the characteristics of output X -rays from X -ray equipment to the inspection material, and shows the color of the atom "&amp;"of the maximum atomic order in the atom table that constituted the inspection material. Through deep learning, the X -ray color of dangerous substances can be detected in the airport, port, military bases, activity halls, stadiums, exhibition halls, conce"&amp;"rt halls, government buildings and other inspection objects. VIP guards. feature is")</f>
        <v>The invention involves a system and method of using artificial intelligence to detect hazardous substances. The present invention uses the characteristics of output X -rays from X -ray equipment to the inspection material, and shows the color of the atom of the maximum atomic order in the atom table that constituted the inspection material. Through deep learning, the X -ray color of dangerous substances can be detected in the airport, port, military bases, activity halls, stadiums, exhibition halls, concert halls, government buildings and other inspection objects. VIP guards. feature is</v>
      </c>
      <c r="D970" s="6" t="s">
        <v>2839</v>
      </c>
      <c r="E970" s="4" t="str">
        <f ca="1">IFERROR(__xludf.DUMMYFUNCTION("GOOGLETRANSLATE(D970,""auto"",""en"")"),"Use artificial intelligence dangerous goods detection system and method")</f>
        <v>Use artificial intelligence dangerous goods detection system and method</v>
      </c>
    </row>
    <row r="971" spans="1:5" ht="15" x14ac:dyDescent="0.25">
      <c r="A971" s="5" t="s">
        <v>2840</v>
      </c>
      <c r="B971" s="6" t="s">
        <v>2841</v>
      </c>
      <c r="C971" s="3" t="str">
        <f ca="1">IFERROR(__xludf.DUMMYFUNCTION("GOOGLETRANSLATE(B971,""auto"",""en"")"),"It describes the method, equipment and non -temporary storage media of radio services. Radio services can provide radio resource control with at least three radio resources of at least three different time standards. Radio services can include machine lea"&amp;"rning or artificial intelligence devices, including at least three radio network information of different time standards.")</f>
        <v>It describes the method, equipment and non -temporary storage media of radio services. Radio services can provide radio resource control with at least three radio resources of at least three different time standards. Radio services can include machine learning or artificial intelligence devices, including at least three radio network information of different time standards.</v>
      </c>
      <c r="D971" s="6" t="s">
        <v>2842</v>
      </c>
      <c r="E971" s="4" t="str">
        <f ca="1">IFERROR(__xludf.DUMMYFUNCTION("GOOGLETRANSLATE(D971,""auto"",""en"")"),"The method and system of a running intelligent controller")</f>
        <v>The method and system of a running intelligent controller</v>
      </c>
    </row>
    <row r="972" spans="1:5" ht="15" x14ac:dyDescent="0.25">
      <c r="A972" s="5" t="s">
        <v>2843</v>
      </c>
      <c r="B972" s="6" t="s">
        <v>2844</v>
      </c>
      <c r="C972" s="3" t="str">
        <f ca="1">IFERROR(__xludf.DUMMYFUNCTION("GOOGLETRANSLATE(B972,""auto"",""en"")"),"A system of betting on the results of sports events. The system includes an artificial intelligence -based process that will notify users when users are interested in betting available. These notifications can be used to lead the user's betting on unbalan"&amp;"ced betting to reduce the risk of betting providers.")</f>
        <v>A system of betting on the results of sports events. The system includes an artificial intelligence -based process that will notify users when users are interested in betting available. These notifications can be used to lead the user's betting on unbalanced betting to reduce the risk of betting providers.</v>
      </c>
      <c r="D972" s="6" t="s">
        <v>2845</v>
      </c>
      <c r="E972" s="4" t="str">
        <f ca="1">IFERROR(__xludf.DUMMYFUNCTION("GOOGLETRANSLATE(D972,""auto"",""en"")"),"Use of artificial intelligence display that may affect normal betting is from notifications from betting applications")</f>
        <v>Use of artificial intelligence display that may affect normal betting is from notifications from betting applications</v>
      </c>
    </row>
    <row r="973" spans="1:5" ht="15" x14ac:dyDescent="0.25">
      <c r="A973" s="5" t="s">
        <v>2846</v>
      </c>
      <c r="B973" s="6" t="s">
        <v>2847</v>
      </c>
      <c r="C973" s="3" t="str">
        <f ca="1">IFERROR(__xludf.DUMMYFUNCTION("GOOGLETRANSLATE(B973,""auto"",""en"")"),"This utility model opens up a smart treadmill based on the Internet of Things, including the main bracket, with display screens, players, atmosphere lights and wireless charging modules on the main bracket. The module power connection has wireless communi"&amp;"cation modules, motor drive modules, display modules, indicator modules, voice playback modules and work power modules. The wireless charging module has a working power module through the battery power connection; the wireless charging module includes wir"&amp;"eless charging circuits, which is based on the Internet of Things. In the smart treadmill, the wireless charging function of the treadmill can be achieved through the wireless charging module, which improves its scope of use. The wireless communication mo"&amp;"dule, display, player and atmosphere lights are added to achieve the voice playback and display indications of the wireless communication module, display instructions And atmosphere adjustment function, which improves the intelligence and practicality of "&amp;"the treadmill.")</f>
        <v>This utility model opens up a smart treadmill based on the Internet of Things, including the main bracket, with display screens, players, atmosphere lights and wireless charging modules on the main bracket. The module power connection has wireless communication modules, motor drive modules, display modules, indicator modules, voice playback modules and work power modules. The wireless charging module has a working power module through the battery power connection; the wireless charging module includes wireless charging circuits, which is based on the Internet of Things. In the smart treadmill, the wireless charging function of the treadmill can be achieved through the wireless charging module, which improves its scope of use. The wireless communication module, display, player and atmosphere lights are added to achieve the voice playback and display indications of the wireless communication module, display instructions And atmosphere adjustment function, which improves the intelligence and practicality of the treadmill.</v>
      </c>
      <c r="D973" s="6" t="s">
        <v>2848</v>
      </c>
      <c r="E973" s="4" t="str">
        <f ca="1">IFERROR(__xludf.DUMMYFUNCTION("GOOGLETRANSLATE(D973,""auto"",""en"")"),"Smart treadmill based on the Internet of Things")</f>
        <v>Smart treadmill based on the Internet of Things</v>
      </c>
    </row>
    <row r="974" spans="1:5" ht="15" x14ac:dyDescent="0.25">
      <c r="A974" s="5" t="s">
        <v>2849</v>
      </c>
      <c r="B974" s="6" t="s">
        <v>2850</v>
      </c>
      <c r="C974" s="3" t="str">
        <f ca="1">IFERROR(__xludf.DUMMYFUNCTION("GOOGLETRANSLATE(B974,""auto"",""en"")"),"This utility model discloses a new type of smart pine ink Tianshi lure, including the main body of the holder and the flight device. The lower end of the holder is fixed with the main body of the flight device. Multiple motors, the upper end of the output"&amp;" shaft of the motor has a propeller, a solar plate is installed on the left and right sides of the main body of the flight device. The left end and below of the drug box are processed with the drug controller and nozzle, respectively. This new type of wis"&amp;"dom pine ink Tianniu lure, scientific and reasonable structure, safe and convenient to use. It is equipped with a multi -spectrum five -channel camera through a 360 ° camera recognition device, the main body of the flight device and the signal reflection "&amp;"and the receiving module. The most density of the Songmo Tiandan population density, as well as the best spraying area for preventing and controlling the best spraying area of ​​the Songko Tiansiu drug, avoiding the unable to intelligently calculate the u"&amp;"se of artificial intelligence technology to assist the user's specific operating problems.")</f>
        <v>This utility model discloses a new type of smart pine ink Tianshi lure, including the main body of the holder and the flight device. The lower end of the holder is fixed with the main body of the flight device. Multiple motors, the upper end of the output shaft of the motor has a propeller, a solar plate is installed on the left and right sides of the main body of the flight device. The left end and below of the drug box are processed with the drug controller and nozzle, respectively. This new type of wisdom pine ink Tianniu lure, scientific and reasonable structure, safe and convenient to use. It is equipped with a multi -spectrum five -channel camera through a 360 ° camera recognition device, the main body of the flight device and the signal reflection and the receiving module. The most density of the Songmo Tiandan population density, as well as the best spraying area for preventing and controlling the best spraying area of ​​the Songko Tiansiu drug, avoiding the unable to intelligently calculate the use of artificial intelligence technology to assist the user's specific operating problems.</v>
      </c>
      <c r="D974" s="6" t="s">
        <v>2851</v>
      </c>
      <c r="E974" s="4" t="str">
        <f ca="1">IFERROR(__xludf.DUMMYFUNCTION("GOOGLETRANSLATE(D974,""auto"",""en"")"),"A new type")</f>
        <v>A new type</v>
      </c>
    </row>
    <row r="975" spans="1:5" ht="15" x14ac:dyDescent="0.25">
      <c r="A975" s="5" t="s">
        <v>2852</v>
      </c>
      <c r="B975" s="6" t="s">
        <v>2853</v>
      </c>
      <c r="C975" s="3" t="str">
        <f ca="1">IFERROR(__xludf.DUMMYFUNCTION("GOOGLETRANSLATE(B975,""auto"",""en"")"),"The present invention involves a device and method that uses CGAM to identify activities in sports videos. Video that can be analyzed by frame by frame by using CGAM to identify the activity in sports videos based on the present invention, and pay attenti"&amp;"on to the importance of scores in the time module (TAM). Among them The extraction unit, the first feature value of the focusing module (CBAM) and the first feature value of each space between each convolutional block and the different object information "&amp;"of the output of the focusing module from the different objects output from each space feature. The second feature value of the CGAM output is multiplied with the generated CGAM to extract the object feature value; the activity feature extraction unit, th"&amp;"e extraction object feature value enters the cyclic neural network (RNN) and the full connection (FC) layer in turn, and according to the layer of the connection (FC) layer, and according to The probability value of each activity estimated by using the Si"&amp;"gmoid function is classified to the final activity. Including")</f>
        <v>The present invention involves a device and method that uses CGAM to identify activities in sports videos. Video that can be analyzed by frame by frame by using CGAM to identify the activity in sports videos based on the present invention, and pay attention to the importance of scores in the time module (TAM). Among them The extraction unit, the first feature value of the focusing module (CBAM) and the first feature value of each space between each convolutional block and the different object information of the output of the focusing module from the different objects output from each space feature. The second feature value of the CGAM output is multiplied with the generated CGAM to extract the object feature value; the activity feature extraction unit, the extraction object feature value enters the cyclic neural network (RNN) and the full connection (FC) layer in turn, and according to the layer of the connection (FC) layer, and according to The probability value of each activity estimated by using the Sigmoid function is classified to the final activity. Including</v>
      </c>
      <c r="D975" s="6" t="s">
        <v>2854</v>
      </c>
      <c r="E975" s="4" t="str">
        <f ca="1">IFERROR(__xludf.DUMMYFUNCTION("GOOGLETRANSLATE(D975,""auto"",""en"")"),"Use CGAM to identify the installation and method of activities in sports videos")</f>
        <v>Use CGAM to identify the installation and method of activities in sports videos</v>
      </c>
    </row>
    <row r="976" spans="1:5" ht="15" x14ac:dyDescent="0.25">
      <c r="A976" s="5" t="s">
        <v>2855</v>
      </c>
      <c r="B976" s="6" t="s">
        <v>2856</v>
      </c>
      <c r="C976" s="3" t="str">
        <f ca="1">IFERROR(__xludf.DUMMYFUNCTION("GOOGLETRANSLATE(B976,""auto"",""en"")"),"The present invention disclosed a simulation fitness device based on the Internet of Things, which belongs to the field of fitness equipment, and solves the problem of lack of real interaction feelings in fitness equipment, including the base, a guide rai"&amp;"l on the base, a sliding seat on the guide rail. Located on the water tank left and right on the left and right sides of the sliding seat, the upper part of the water tank is also opened with a guide slot connected to the inner cavity of the water tank. T"&amp;"he guidance is installed with slider in the tank. There are chain, the upper surface of the slider is fixed with a baffle, there is a connection mechanism between the chain and the baffle, and there is a resistance to regulating mechanism in the water tan"&amp;"k; The resistance control agency controls the water flow rate of the water pump in the regulatory agency to control the water flow rate, and to regulate the flow of water flow through the control of the pumps in the control. As a result, the simulation of"&amp;" the real environment is achieved.")</f>
        <v>The present invention disclosed a simulation fitness device based on the Internet of Things, which belongs to the field of fitness equipment, and solves the problem of lack of real interaction feelings in fitness equipment, including the base, a guide rail on the base, a sliding seat on the guide rail. Located on the water tank left and right on the left and right sides of the sliding seat, the upper part of the water tank is also opened with a guide slot connected to the inner cavity of the water tank. The guidance is installed with slider in the tank. There are chain, the upper surface of the slider is fixed with a baffle, there is a connection mechanism between the chain and the baffle, and there is a resistance to regulating mechanism in the water tank; The resistance control agency controls the water flow rate of the water pump in the regulatory agency to control the water flow rate, and to regulate the flow of water flow through the control of the pumps in the control. As a result, the simulation of the real environment is achieved.</v>
      </c>
      <c r="D976" s="6" t="s">
        <v>2857</v>
      </c>
      <c r="E976" s="4" t="str">
        <f ca="1">IFERROR(__xludf.DUMMYFUNCTION("GOOGLETRANSLATE(D976,""auto"",""en"")"),"A simulation fitness device based on the Internet of Things")</f>
        <v>A simulation fitness device based on the Internet of Things</v>
      </c>
    </row>
    <row r="977" spans="1:5" ht="15" x14ac:dyDescent="0.25">
      <c r="A977" s="5" t="s">
        <v>2858</v>
      </c>
      <c r="B977" s="6" t="s">
        <v>2859</v>
      </c>
      <c r="C977" s="3" t="str">
        <f ca="1">IFERROR(__xludf.DUMMYFUNCTION("GOOGLETRANSLATE(B977,""auto"",""en"")"),"The present invention disclosed a multi -functional fitness device based on the Internet of Things, which belongs to the field of fitness equipment, including upper limb muscle exercise agencies, chest muscles exercise agencies, aerobic exercise and leg m"&amp;"uscle exercise institutions, and resistance devices providing exercise resistance. Resistant devices. Including resistance control agencies and resistance generated agencies, resistance control agencies control the resistance generated by the resistance m"&amp;"echanism, and also include control terminals, servers, collect modules, collect communication modules, collect communication modules, control terminals connect to server communication, collect modules to collect human body Blood pressure data and heartbea"&amp;"t data, collect communication modules to transmit data collected by the collection module to the server, control terminals to connect with the resistance control mechanism, the server generates resistance parameters according to the received data, and sen"&amp;"ds resistance parameters to the control terminal to resist the resistance device. The engine is adjusted, each exercise institution adopts the same resistance device and regulates the resistance through the collected data.")</f>
        <v>The present invention disclosed a multi -functional fitness device based on the Internet of Things, which belongs to the field of fitness equipment, including upper limb muscle exercise agencies, chest muscles exercise agencies, aerobic exercise and leg muscle exercise institutions, and resistance devices providing exercise resistance. Resistant devices. Including resistance control agencies and resistance generated agencies, resistance control agencies control the resistance generated by the resistance mechanism, and also include control terminals, servers, collect modules, collect communication modules, collect communication modules, control terminals connect to server communication, collect modules to collect human body Blood pressure data and heartbeat data, collect communication modules to transmit data collected by the collection module to the server, control terminals to connect with the resistance control mechanism, the server generates resistance parameters according to the received data, and sends resistance parameters to the control terminal to resist the resistance device. The engine is adjusted, each exercise institution adopts the same resistance device and regulates the resistance through the collected data.</v>
      </c>
      <c r="D977" s="6" t="s">
        <v>2860</v>
      </c>
      <c r="E977" s="4" t="str">
        <f ca="1">IFERROR(__xludf.DUMMYFUNCTION("GOOGLETRANSLATE(D977,""auto"",""en"")"),"A multi -functional fitness device based on the Internet of Things")</f>
        <v>A multi -functional fitness device based on the Internet of Things</v>
      </c>
    </row>
    <row r="978" spans="1:5" ht="15" x14ac:dyDescent="0.25">
      <c r="A978" s="5" t="s">
        <v>2861</v>
      </c>
      <c r="B978" s="6" t="s">
        <v>2862</v>
      </c>
      <c r="C978" s="3" t="str">
        <f ca="1">IFERROR(__xludf.DUMMYFUNCTION("GOOGLETRANSLATE(B978,""auto"",""en"")"),"A swimming -based hand action training device, including platforms installed on the ground 1, fixed telescopic rod 2 and four handle 3, 4, 4, 4 pairs, one pair of pairs, one pair of pairs, one pair Holded by the user, another pair is installed on the user"&amp;"'s arm, and the camera 6 based on AI (artificial intelligence) attached to the pole 2 to analyze the user's movement. Integrated guide rail with magnetic coil 16 to generate electromagnetic paths, multiple iron magnetic wheel 9 moves along the path, assoc"&amp;"iated with the guide rail 7 with an electromagnetic module 10, attached between the wheel 9 and the belt 5 of the wheel 9 and the belt 5 It is used to control the roller with 5 tension 11. It is arranged on the slider 13 to prevent multiple pneumatic sale"&amp;"s 12 of the wheel 9 and the spring between the handle 3 and 4 for effective swimming movements.")</f>
        <v>A swimming -based hand action training device, including platforms installed on the ground 1, fixed telescopic rod 2 and four handle 3, 4, 4, 4 pairs, one pair of pairs, one pair of pairs, one pair Holded by the user, another pair is installed on the user's arm, and the camera 6 based on AI (artificial intelligence) attached to the pole 2 to analyze the user's movement. Integrated guide rail with magnetic coil 16 to generate electromagnetic paths, multiple iron magnetic wheel 9 moves along the path, associated with the guide rail 7 with an electromagnetic module 10, attached between the wheel 9 and the belt 5 of the wheel 9 and the belt 5 It is used to control the roller with 5 tension 11. It is arranged on the slider 13 to prevent multiple pneumatic sales 12 of the wheel 9 and the spring between the handle 3 and 4 for effective swimming movements.</v>
      </c>
      <c r="D978" s="6" t="s">
        <v>2863</v>
      </c>
      <c r="E978" s="4" t="str">
        <f ca="1">IFERROR(__xludf.DUMMYFUNCTION("GOOGLETRANSLATE(D978,""auto"",""en"")"),"Hand -action training device based on swimming posture")</f>
        <v>Hand -action training device based on swimming posture</v>
      </c>
    </row>
    <row r="979" spans="1:5" ht="15" x14ac:dyDescent="0.25">
      <c r="A979" s="5" t="s">
        <v>2864</v>
      </c>
      <c r="B979" s="6" t="s">
        <v>2865</v>
      </c>
      <c r="C979" s="3" t="str">
        <f ca="1">IFERROR(__xludf.DUMMYFUNCTION("GOOGLETRANSLATE(B979,""auto"",""en"")"),"The present invention involves a method and system of tactical decision -making training effect on human -computer interaction. Receive the target training video selected from the training video set, and play the target training video to the trainees, and"&amp;" based on human -computer interaction devices, obtain the first tactic selected in each tactical scenario in the target training video Decisions, and based on all the first tactical decisions, obtained the tactical decision data of the trainer; the tactic"&amp;"al decision data and initial training plan of the trainer are included in the preset training effect assessment model to generate the initial evaluation results of the trainee. The invention used human -machine interaction to improve the trainer's observa"&amp;"tion and instantaneous tactical decision -making ability, and also tested the training effect of the trainers' tactical decision -making.")</f>
        <v>The present invention involves a method and system of tactical decision -making training effect on human -computer interaction. Receive the target training video selected from the training video set, and play the target training video to the trainees, and based on human -computer interaction devices, obtain the first tactic selected in each tactical scenario in the target training video Decisions, and based on all the first tactical decisions, obtained the tactical decision data of the trainer; the tactical decision data and initial training plan of the trainer are included in the preset training effect assessment model to generate the initial evaluation results of the trainee. The invention used human -machine interaction to improve the trainer's observation and instantaneous tactical decision -making ability, and also tested the training effect of the trainers' tactical decision -making.</v>
      </c>
      <c r="D979" s="6" t="s">
        <v>2866</v>
      </c>
      <c r="E979" s="4" t="str">
        <f ca="1">IFERROR(__xludf.DUMMYFUNCTION("GOOGLETRANSLATE(D979,""auto"",""en"")"),"An evaluation method and system based on human -computer interaction training effect training effects")</f>
        <v>An evaluation method and system based on human -computer interaction training effect training effects</v>
      </c>
    </row>
    <row r="980" spans="1:5" ht="15" x14ac:dyDescent="0.25">
      <c r="A980" s="5" t="s">
        <v>2867</v>
      </c>
      <c r="B980" s="6" t="s">
        <v>2868</v>
      </c>
      <c r="C980" s="3" t="str">
        <f ca="1">IFERROR(__xludf.DUMMYFUNCTION("GOOGLETRANSLATE(B980,""auto"",""en"")"),"The present invention belongs to the field of image recognition technology. It is publicly calculated by the number of classrooms in a multi -phase aircraft scene based on the graph structure matching, including the following steps: based on multiple came"&amp;"ras in the venue The density distribution map of the seat; according to the density distribution diagram of the seat density of each image, obtain the seat distribution information of each image; through the structure of the seat diagram structure, obtain"&amp;" the mapping relationship of the seat distribution information of each camera and the mapping information of the seat space distribution information in the venue. ; By calculating the overlapping area, obtain the seat position of each person in the image,"&amp;" and map the position of each person in the image to the corresponding two -dimensional array; the number of positions greater than 0 in the accumulated array is the number of people. The method of the present invention can accurately realize the crowd co"&amp;"unts in multi -phase airport scenes. For some scenes, such as sports events and competitive performances, participants or density are important information about event planning and space design.")</f>
        <v>The present invention belongs to the field of image recognition technology. It is publicly calculated by the number of classrooms in a multi -phase aircraft scene based on the graph structure matching, including the following steps: based on multiple cameras in the venue The density distribution map of the seat; according to the density distribution diagram of the seat density of each image, obtain the seat distribution information of each image; through the structure of the seat diagram structure, obtain the mapping relationship of the seat distribution information of each camera and the mapping information of the seat space distribution information in the venue. ; By calculating the overlapping area, obtain the seat position of each person in the image, and map the position of each person in the image to the corresponding two -dimensional array; the number of positions greater than 0 in the accumulated array is the number of people. The method of the present invention can accurately realize the crowd counts in multi -phase airport scenes. For some scenes, such as sports events and competitive performances, participants or density are important information about event planning and space design.</v>
      </c>
      <c r="D980" s="6" t="s">
        <v>2869</v>
      </c>
      <c r="E980" s="4" t="str">
        <f ca="1">IFERROR(__xludf.DUMMYFUNCTION("GOOGLETRANSLATE(D980,""auto"",""en"")"),"A method of calculation method of the number of people in a multi -phase airport based on the graph structure matching")</f>
        <v>A method of calculation method of the number of people in a multi -phase airport based on the graph structure matching</v>
      </c>
    </row>
    <row r="981" spans="1:5" ht="15" x14ac:dyDescent="0.25">
      <c r="A981" s="5" t="s">
        <v>2870</v>
      </c>
      <c r="B981" s="6" t="s">
        <v>2871</v>
      </c>
      <c r="C981" s="3" t="str">
        <f ca="1">IFERROR(__xludf.DUMMYFUNCTION("GOOGLETRANSLATE(B981,""auto"",""en"")"),"A system and method for automatic managing athletes are disclosed. This method (600) includes a request to receive managers' performance in one or more sports from one or more user devices (102), and to detect the request based on the request One or more "&amp;"KPIs associated with the performance. Requires the request by using performance management -based artificial intelligence models. In addition, the method (600) generates one or more scores corresponding to one or more attributes of one or more sports, and"&amp;" determines one or more of the required improvements performed by athletes. In addition, the method (600) includes one or more required improvements to generate one or more required improvements, and output one or more scores, one or more determined on th"&amp;"e user interface screen output The required improvement and one or many recommendations for generated. One or more user devices (102).")</f>
        <v>A system and method for automatic managing athletes are disclosed. This method (600) includes a request to receive managers' performance in one or more sports from one or more user devices (102), and to detect the request based on the request One or more KPIs associated with the performance. Requires the request by using performance management -based artificial intelligence models. In addition, the method (600) generates one or more scores corresponding to one or more attributes of one or more sports, and determines one or more of the required improvements performed by athletes. In addition, the method (600) includes one or more required improvements to generate one or more required improvements, and output one or more scores, one or more determined on the user interface screen output The required improvement and one or many recommendations for generated. One or more user devices (102).</v>
      </c>
      <c r="D981" s="6" t="s">
        <v>2872</v>
      </c>
      <c r="E981" s="4" t="str">
        <f ca="1">IFERROR(__xludf.DUMMYFUNCTION("GOOGLETRANSLATE(D981,""auto"",""en"")"),"Systems and methods based on artificial intelligence automatically managed athletes")</f>
        <v>Systems and methods based on artificial intelligence automatically managed athletes</v>
      </c>
    </row>
    <row r="982" spans="1:5" ht="15" x14ac:dyDescent="0.25">
      <c r="A982" s="5" t="s">
        <v>2873</v>
      </c>
      <c r="B982" s="6" t="s">
        <v>2874</v>
      </c>
      <c r="C982" s="3" t="str">
        <f ca="1">IFERROR(__xludf.DUMMYFUNCTION("GOOGLETRANSLATE(B982,""auto"",""en"")"),"The present invention involves an artificial intelligence model for national fitness. This intelligent model includes the following logic segment: step 1: through long -term observation to determine the flow of people with fitness facilities and other fit"&amp;"ness places; step 2: According to the local population registration and The face recognition of the camera determines the data of the local permanent population estimation; step 3: classify the data in the current parameter sequence, get the number of cat"&amp;"egories corresponding to the current parameter sequence and the number of discrete points; To get the data stability indicator of the current parameter sequence, calculate the fitness participation rate through the model and big data information; it can h"&amp;"elp the device increase the fitness participation rate, which can effectively reduce social medical expenditure and increase the living standards and life expectancy of residents.")</f>
        <v>The present invention involves an artificial intelligence model for national fitness. This intelligent model includes the following logic segment: step 1: through long -term observation to determine the flow of people with fitness facilities and other fitness places; step 2: According to the local population registration and The face recognition of the camera determines the data of the local permanent population estimation; step 3: classify the data in the current parameter sequence, get the number of categories corresponding to the current parameter sequence and the number of discrete points; To get the data stability indicator of the current parameter sequence, calculate the fitness participation rate through the model and big data information; it can help the device increase the fitness participation rate, which can effectively reduce social medical expenditure and increase the living standards and life expectancy of residents.</v>
      </c>
      <c r="D982" s="6" t="s">
        <v>2875</v>
      </c>
      <c r="E982" s="4" t="str">
        <f ca="1">IFERROR(__xludf.DUMMYFUNCTION("GOOGLETRANSLATE(D982,""auto"",""en"")"),"An artificial intelligence model for national fitness")</f>
        <v>An artificial intelligence model for national fitness</v>
      </c>
    </row>
    <row r="983" spans="1:5" ht="15" x14ac:dyDescent="0.25">
      <c r="A983" s="5" t="s">
        <v>2876</v>
      </c>
      <c r="B983" s="6" t="s">
        <v>2877</v>
      </c>
      <c r="C983" s="3" t="str">
        <f ca="1">IFERROR(__xludf.DUMMYFUNCTION("GOOGLETRANSLATE(B983,""auto"",""en"")"),"The computing system receives the event data that includes the events of the event. The computing system visits the database related to the knowledge diagram related to the event. The knowledge map includes multiple nodes and multiple edges. Each node in "&amp;"multiple nodes represents players or teams participating in the incident. Connect multiple nodes in multiple nodes. The computing system updates the knowledge map based on the playback information. The computing system generates one or more insights based"&amp;" on the updated knowledge map through the first machine learning model. The computing system scores each or more insight through the second machine learning model. The computing system presented one or more insight into one or more end users.")</f>
        <v>The computing system receives the event data that includes the events of the event. The computing system visits the database related to the knowledge diagram related to the event. The knowledge map includes multiple nodes and multiple edges. Each node in multiple nodes represents players or teams participating in the incident. Connect multiple nodes in multiple nodes. The computing system updates the knowledge map based on the playback information. The computing system generates one or more insights based on the updated knowledge map through the first machine learning model. The computing system scores each or more insight through the second machine learning model. The computing system presented one or more insight into one or more end users.</v>
      </c>
      <c r="D983" s="6" t="s">
        <v>2878</v>
      </c>
      <c r="E983" s="4" t="str">
        <f ca="1">IFERROR(__xludf.DUMMYFUNCTION("GOOGLETRANSLATE(D983,""auto"",""en"")"),"Methods and systems for generating insights in the game")</f>
        <v>Methods and systems for generating insights in the game</v>
      </c>
    </row>
    <row r="984" spans="1:5" ht="15" x14ac:dyDescent="0.25">
      <c r="A984" s="5" t="s">
        <v>2879</v>
      </c>
      <c r="B984" s="6" t="s">
        <v>2877</v>
      </c>
      <c r="C984" s="3" t="str">
        <f ca="1">IFERROR(__xludf.DUMMYFUNCTION("GOOGLETRANSLATE(B984,""auto"",""en"")"),"The computing system receives the event data that includes the events of the event. The computing system visits the database related to the knowledge diagram related to the event. The knowledge map includes multiple nodes and multiple edges. Each node in "&amp;"multiple nodes represents players or teams participating in the incident. Connect multiple nodes in multiple nodes. The computing system updates the knowledge map based on the playback information. The computing system generates one or more insights based"&amp;" on the updated knowledge map through the first machine learning model. The computing system scores each or more insight through the second machine learning model. The computing system presented one or more insight into one or more end users.")</f>
        <v>The computing system receives the event data that includes the events of the event. The computing system visits the database related to the knowledge diagram related to the event. The knowledge map includes multiple nodes and multiple edges. Each node in multiple nodes represents players or teams participating in the incident. Connect multiple nodes in multiple nodes. The computing system updates the knowledge map based on the playback information. The computing system generates one or more insights based on the updated knowledge map through the first machine learning model. The computing system scores each or more insight through the second machine learning model. The computing system presented one or more insight into one or more end users.</v>
      </c>
      <c r="D984" s="6" t="s">
        <v>2878</v>
      </c>
      <c r="E984" s="4" t="str">
        <f ca="1">IFERROR(__xludf.DUMMYFUNCTION("GOOGLETRANSLATE(D984,""auto"",""en"")"),"Methods and systems for generating insights in the game")</f>
        <v>Methods and systems for generating insights in the game</v>
      </c>
    </row>
    <row r="985" spans="1:5" ht="15" x14ac:dyDescent="0.25">
      <c r="A985" s="5" t="s">
        <v>2880</v>
      </c>
      <c r="B985" s="6" t="s">
        <v>2881</v>
      </c>
      <c r="C985" s="3" t="str">
        <f ca="1">IFERROR(__xludf.DUMMYFUNCTION("GOOGLETRANSLATE(B985,""auto"",""en"")"),"Provides a system and method for matching personnel. Data processing is performed by artificial intelligence technology. The monitoring machine learning engine is trained from experience data about existing relationships, and these data have been evaluate"&amp;"d to the quality of the relationship. When providing the attribute input data of the two candidates, the quality of the candidate relationship is calculated as the output of the monitoring machine learning engine. By comparing the calculation quality of t"&amp;"he candidate relationship with the threshold, the possibility of the successful relationship between the two candidates can be predicted. The prediction of this learning task can be made by a neural network. Notifying users may become a candidate competit"&amp;"ion for successful relationships.")</f>
        <v>Provides a system and method for matching personnel. Data processing is performed by artificial intelligence technology. The monitoring machine learning engine is trained from experience data about existing relationships, and these data have been evaluated to the quality of the relationship. When providing the attribute input data of the two candidates, the quality of the candidate relationship is calculated as the output of the monitoring machine learning engine. By comparing the calculation quality of the candidate relationship with the threshold, the possibility of the successful relationship between the two candidates can be predicted. The prediction of this learning task can be made by a neural network. Notifying users may become a candidate competition for successful relationships.</v>
      </c>
      <c r="D985" s="6" t="s">
        <v>2882</v>
      </c>
      <c r="E985" s="4" t="str">
        <f ca="1">IFERROR(__xludf.DUMMYFUNCTION("GOOGLETRANSLATE(D985,""auto"",""en"")"),"Recommended matching with machine learning")</f>
        <v>Recommended matching with machine learning</v>
      </c>
    </row>
    <row r="986" spans="1:5" ht="15" x14ac:dyDescent="0.25">
      <c r="A986" s="5" t="s">
        <v>2883</v>
      </c>
      <c r="B986" s="6" t="s">
        <v>2884</v>
      </c>
      <c r="C986" s="3" t="str">
        <f ca="1">IFERROR(__xludf.DUMMYFUNCTION("GOOGLETRANSLATE(B986,""auto"",""en"")"),"This utility model involves a core computing device for artificial intelligence models for national fitness, including core power supply brackets (1), data call logic processor (2), artificial intelligence model storage (3) and artificial intelligence mod"&amp;"el network connector (4), the core power supply stent (1) Install more than two data call logic processors (2), and an artificial intelligence model storage (3) and an artificial intelligence model network connector (4), 4) The power supply device of the "&amp;"core power supply stent (1) through electrical connection artificial intelligence model storage (3), artificial intelligence model storage (3) calls logic processor through electrical connection data (2) and artificial intelligence model network connector"&amp;" (4) It can help the community to increase the participation rate of national fitness, which can effectively reduce social medical expenditure and increase the living standards and life expectancy of residents.")</f>
        <v>This utility model involves a core computing device for artificial intelligence models for national fitness, including core power supply brackets (1), data call logic processor (2), artificial intelligence model storage (3) and artificial intelligence model network connector (4), the core power supply stent (1) Install more than two data call logic processors (2), and an artificial intelligence model storage (3) and an artificial intelligence model network connector (4), 4) The power supply device of the core power supply stent (1) through electrical connection artificial intelligence model storage (3), artificial intelligence model storage (3) calls logic processor through electrical connection data (2) and artificial intelligence model network connector (4) It can help the community to increase the participation rate of national fitness, which can effectively reduce social medical expenditure and increase the living standards and life expectancy of residents.</v>
      </c>
      <c r="D986" s="6" t="s">
        <v>2885</v>
      </c>
      <c r="E986" s="4" t="str">
        <f ca="1">IFERROR(__xludf.DUMMYFUNCTION("GOOGLETRANSLATE(D986,""auto"",""en"")"),"A core computing device for artificial intelligence models for national fitness")</f>
        <v>A core computing device for artificial intelligence models for national fitness</v>
      </c>
    </row>
    <row r="987" spans="1:5" ht="15" x14ac:dyDescent="0.25">
      <c r="A987" s="5" t="s">
        <v>2886</v>
      </c>
      <c r="B987" s="6" t="s">
        <v>2887</v>
      </c>
      <c r="C987" s="3" t="str">
        <f ca="1">IFERROR(__xludf.DUMMYFUNCTION("GOOGLETRANSLATE(B987,""auto"",""en"")"),"When determining that the mobile object is approaching the ice layer above the water, get the ice -layer hot image. Thermal image and ambient temperature data are input to the neural network. The neural network outputs multiple areas of ice layers and the"&amp;" intensive thickness of these areas. The classification of each area is determined based on its estimation thickness and mobile objects. Classification is one of the preferred or non -preferred. Classification in the output area.")</f>
        <v>When determining that the mobile object is approaching the ice layer above the water, get the ice -layer hot image. Thermal image and ambient temperature data are input to the neural network. The neural network outputs multiple areas of ice layers and the intensive thickness of these areas. The classification of each area is determined based on its estimation thickness and mobile objects. Classification is one of the preferred or non -preferred. Classification in the output area.</v>
      </c>
      <c r="D987" s="6" t="s">
        <v>2888</v>
      </c>
      <c r="E987" s="4" t="str">
        <f ca="1">IFERROR(__xludf.DUMMYFUNCTION("GOOGLETRANSLATE(D987,""auto"",""en"")"),"The ice thickness estimation of mobile objective operation")</f>
        <v>The ice thickness estimation of mobile objective operation</v>
      </c>
    </row>
    <row r="988" spans="1:5" ht="15" x14ac:dyDescent="0.25">
      <c r="A988" s="5" t="s">
        <v>2889</v>
      </c>
      <c r="B988" s="6" t="s">
        <v>2890</v>
      </c>
      <c r="C988" s="3" t="str">
        <f ca="1">IFERROR(__xludf.DUMMYFUNCTION("GOOGLETRANSLATE(B988,""auto"",""en"")"),"The computing system receives the data of the on -site report information including the event. The computing system visits the database related to the knowledge map related to the event. The knowledge map includes multiple nodes and multiple edges. Each n"&amp;"ode in multiple nodes represents athletes or teams participating in the event. Connect multiple nodes in multiple nodes. The computing system updates the knowledge map based on on -site reporting information. The computing system generates one or more ins"&amp;"ights based on the first machine learning model based on the updated knowledge map. The computing system has scored scores for each view of one or more insights through the second machine learning model. The computing system presented the highest percepti"&amp;"on of one or more end users in one or more insights.")</f>
        <v>The computing system receives the data of the on -site report information including the event. The computing system visits the database related to the knowledge map related to the event. The knowledge map includes multiple nodes and multiple edges. Each node in multiple nodes represents athletes or teams participating in the event. Connect multiple nodes in multiple nodes. The computing system updates the knowledge map based on on -site reporting information. The computing system generates one or more insights based on the first machine learning model based on the updated knowledge map. The computing system has scored scores for each view of one or more insights through the second machine learning model. The computing system presented the highest perception of one or more end users in one or more insights.</v>
      </c>
      <c r="D988" s="6" t="s">
        <v>2891</v>
      </c>
      <c r="E988" s="4" t="str">
        <f ca="1">IFERROR(__xludf.DUMMYFUNCTION("GOOGLETRANSLATE(D988,""auto"",""en"")"),"Methods and systems used to generate insights in the game")</f>
        <v>Methods and systems used to generate insights in the game</v>
      </c>
    </row>
    <row r="989" spans="1:5" ht="15" x14ac:dyDescent="0.25">
      <c r="A989" s="5" t="s">
        <v>2892</v>
      </c>
      <c r="B989" s="6" t="s">
        <v>2893</v>
      </c>
      <c r="C989" s="3" t="str">
        <f ca="1">IFERROR(__xludf.DUMMYFUNCTION("GOOGLETRANSLATE(B989,""auto"",""en"")"),"The present invention involves a visual -based artificial intelligence fitness guidance system and its device, including mobile observation camera brackets (1), human observation camera (2), display screen (3), display screen lifting brackets (4) and avai"&amp;"lable Mobile observation camera stent curved orbit (5), the display screen lifting bracket (4) on one side of the table fixed connection to the mobile observation camera radius curved orbital (5) Screen lift stent (4) surface, mobile observation camera br"&amp;"acket (1) Moving observation camera brackets on the surface of the mobile observation camera stent (5) through the roller card card (1) Camera (2) can capture the movement status of fitness personnel in real time and correct irregular actions, which can e"&amp;"ffectively improve fitness safety and ensure health and safety strong body fitness.")</f>
        <v>The present invention involves a visual -based artificial intelligence fitness guidance system and its device, including mobile observation camera brackets (1), human observation camera (2), display screen (3), display screen lifting brackets (4) and available Mobile observation camera stent curved orbit (5), the display screen lifting bracket (4) on one side of the table fixed connection to the mobile observation camera radius curved orbital (5) Screen lift stent (4) surface, mobile observation camera bracket (1) Moving observation camera brackets on the surface of the mobile observation camera stent (5) through the roller card card (1) Camera (2) can capture the movement status of fitness personnel in real time and correct irregular actions, which can effectively improve fitness safety and ensure health and safety strong body fitness.</v>
      </c>
      <c r="D989" s="6" t="s">
        <v>2894</v>
      </c>
      <c r="E989" s="4" t="str">
        <f ca="1">IFERROR(__xludf.DUMMYFUNCTION("GOOGLETRANSLATE(D989,""auto"",""en"")"),"An artificial intelligence fitness guidance system and device based on visual communication")</f>
        <v>An artificial intelligence fitness guidance system and device based on visual communication</v>
      </c>
    </row>
    <row r="990" spans="1:5" ht="15" x14ac:dyDescent="0.25">
      <c r="A990" s="5" t="s">
        <v>2895</v>
      </c>
      <c r="B990" s="6" t="s">
        <v>2896</v>
      </c>
      <c r="C990" s="3" t="str">
        <f ca="1">IFERROR(__xludf.DUMMYFUNCTION("GOOGLETRANSLATE(B990,""auto"",""en"")"),"Methods and computer systems by changing the basic deep neural network in the structure to create updated deep neural networks to improve the basic deep neural network of training, so that the updated deep neural network has no performance reduction in th"&amp;"e training data compared to the basic deep neural network. Update update. Deep neural networks are subsequently trained. In addition, the asynchronous agent used in the machine learning system includes the second machine learning system ML2, which will be"&amp;" trained to perform some machine learning tasks. The asynchronous agent also includes learning coach LC and optional data selectioner machine learning system DS. The purpose of the data selection machine learning system DS is to make the second -stage mac"&amp;"hine learning system ML2 more effective in their learning (by selecting a set of smaller but sufficient training data) and/or more effective Training data for important tasks). Learning coach LC is a machine learning system that assists DS and ML2. Multip"&amp;"le asynchronous agents can also communicate with each other. Each agent is asynchronous training and growth under the guidance of their respective learning coaches to perform different tasks.")</f>
        <v>Methods and computer systems by changing the basic deep neural network in the structure to create updated deep neural networks to improve the basic deep neural network of training, so that the updated deep neural network has no performance reduction in the training data compared to the basic deep neural network. Update update. Deep neural networks are subsequently trained. In addition, the asynchronous agent used in the machine learning system includes the second machine learning system ML2, which will be trained to perform some machine learning tasks. The asynchronous agent also includes learning coach LC and optional data selectioner machine learning system DS. The purpose of the data selection machine learning system DS is to make the second -stage machine learning system ML2 more effective in their learning (by selecting a set of smaller but sufficient training data) and/or more effective Training data for important tasks). Learning coach LC is a machine learning system that assists DS and ML2. Multiple asynchronous agents can also communicate with each other. Each agent is asynchronous training and growth under the guidance of their respective learning coaches to perform different tasks.</v>
      </c>
      <c r="D990" s="6" t="s">
        <v>2897</v>
      </c>
      <c r="E990" s="4" t="str">
        <f ca="1">IFERROR(__xludf.DUMMYFUNCTION("GOOGLETRANSLATE(D990,""auto"",""en"")"),"With asynchronous agents who have learned coach and structural modification deep neural network, it will not reduce performance")</f>
        <v>With asynchronous agents who have learned coach and structural modification deep neural network, it will not reduce performance</v>
      </c>
    </row>
    <row r="991" spans="1:5" ht="15" x14ac:dyDescent="0.25">
      <c r="A991" s="5" t="s">
        <v>2898</v>
      </c>
      <c r="B991" s="6" t="s">
        <v>2899</v>
      </c>
      <c r="C991" s="3" t="str">
        <f ca="1">IFERROR(__xludf.DUMMYFUNCTION("GOOGLETRANSLATE(B991,""auto"",""en"")"),"The present invention discloses a method similar to the similarity of human continuity action based on CNN and LSTM. The standard action videos and video to be tested are aligned to obtain the corresponding action sequence frame collection. Each frame of "&amp;"the standard action sequence frame collection and to be tested using the convolutional neural network in the sequence frame collection of the sequence frames to detect the key points of the human body, which will be converted to the key point of the human"&amp;" body to the key angle information of the human body. Send the key angle sequence obtained by each video into the circular neural network, and the human continuity feature vector of the human body will be obtained. The distance calculation is calculated a"&amp;"nd converted into action similarity scores on the human continuous action feature vector of standard action videos and to be tested. The present invention can give the game results for the competition related to the standard of action. The referees that c"&amp;"an be replaced or auxiliary action -related competitions can be scored.")</f>
        <v>The present invention discloses a method similar to the similarity of human continuity action based on CNN and LSTM. The standard action videos and video to be tested are aligned to obtain the corresponding action sequence frame collection. Each frame of the standard action sequence frame collection and to be tested using the convolutional neural network in the sequence frame collection of the sequence frames to detect the key points of the human body, which will be converted to the key point of the human body to the key angle information of the human body. Send the key angle sequence obtained by each video into the circular neural network, and the human continuity feature vector of the human body will be obtained. The distance calculation is calculated and converted into action similarity scores on the human continuous action feature vector of standard action videos and to be tested. The present invention can give the game results for the competition related to the standard of action. The referees that can be replaced or auxiliary action -related competitions can be scored.</v>
      </c>
      <c r="D991" s="6" t="s">
        <v>2900</v>
      </c>
      <c r="E991" s="4" t="str">
        <f ca="1">IFERROR(__xludf.DUMMYFUNCTION("GOOGLETRANSLATE(D991,""auto"",""en"")"),"A method based")</f>
        <v>A method based</v>
      </c>
    </row>
    <row r="992" spans="1:5" ht="15" x14ac:dyDescent="0.25">
      <c r="A992" s="5" t="s">
        <v>2901</v>
      </c>
      <c r="B992" s="6" t="s">
        <v>2902</v>
      </c>
      <c r="C992" s="3" t="str">
        <f ca="1">IFERROR(__xludf.DUMMYFUNCTION("GOOGLETRANSLATE(B992,""auto"",""en"")"),"The present invention involves a swimming auxiliary device, including the wearable body worn on the user during swimming. The wearable body has multiple openings that are suitable for the finger 1 and the artificial intelligence image capture module conne"&amp;"cted to the microcontroller 5 configuration 5 configuration 5 configuration 5 configuration On the wearable body. Operation 1 is used to collect images to determine the body posture. The body is installed with a temperature sensor 7 to monitor the tempera"&amp;"ture of the surrounding environment. The body is installed on the body. 2 The roller 4 shown in the opening 1 is used to increase or reduce the speed of the user. A pair of roller 4 with a pair of anti -cutting slices 9 is assembled on the subject to prot"&amp;"ect the subject from the surrounding sharp objects. s damage.")</f>
        <v>The present invention involves a swimming auxiliary device, including the wearable body worn on the user during swimming. The wearable body has multiple openings that are suitable for the finger 1 and the artificial intelligence image capture module connected to the microcontroller 5 configuration 5 configuration 5 configuration 5 configuration On the wearable body. Operation 1 is used to collect images to determine the body posture. The body is installed with a temperature sensor 7 to monitor the temperature of the surrounding environment. The body is installed on the body. 2 The roller 4 shown in the opening 1 is used to increase or reduce the speed of the user. A pair of roller 4 with a pair of anti -cutting slices 9 is assembled on the subject to protect the subject from the surrounding sharp objects. s damage.</v>
      </c>
      <c r="D992" s="6" t="s">
        <v>2903</v>
      </c>
      <c r="E992" s="4" t="str">
        <f ca="1">IFERROR(__xludf.DUMMYFUNCTION("GOOGLETRANSLATE(D992,""auto"",""en"")"),"Swimming auxiliary appliance")</f>
        <v>Swimming auxiliary appliance</v>
      </c>
    </row>
    <row r="993" spans="1:5" ht="15" x14ac:dyDescent="0.25">
      <c r="A993" s="5" t="s">
        <v>2904</v>
      </c>
      <c r="B993" s="6" t="s">
        <v>2905</v>
      </c>
      <c r="C993" s="3" t="str">
        <f ca="1">IFERROR(__xludf.DUMMYFUNCTION("GOOGLETRANSLATE(B993,""auto"",""en"")"),"Provide real -time partner dog behavior training platform that uses IoT technology. The real -time partner dog behavior education platform of the Internet of Things technology is the client linkage unit. The information of the dog training service applica"&amp;"tion from the guardian terminal receiving the guardian, and the information of the professional coach terminal linkage unit, from the professional coach from professionals to receive professional coaches. Instructor terminals and guardians are connected w"&amp;"ith terminal linkage units and professional instructor terminal linkage units, including matching units. By analyzing the guardian's dog training service application information and professional information, the guardian and professional coaches are match"&amp;"ed. In real time, mentor, mentor.")</f>
        <v>Provide real -time partner dog behavior training platform that uses IoT technology. The real -time partner dog behavior education platform of the Internet of Things technology is the client linkage unit. The information of the dog training service application from the guardian terminal receiving the guardian, and the information of the professional coach terminal linkage unit, from the professional coach from professionals to receive professional coaches. Instructor terminals and guardians are connected with terminal linkage units and professional instructor terminal linkage units, including matching units. By analyzing the guardian's dog training service application information and professional information, the guardian and professional coaches are matched. In real time, mentor, mentor.</v>
      </c>
      <c r="D993" s="6" t="s">
        <v>2906</v>
      </c>
      <c r="E993" s="4" t="str">
        <f ca="1">IFERROR(__xludf.DUMMYFUNCTION("GOOGLETRANSLATE(D993,""auto"",""en"")"),"Real -time dog behavior education platform using IoT technology")</f>
        <v>Real -time dog behavior education platform using IoT technology</v>
      </c>
    </row>
    <row r="994" spans="1:5" ht="15" x14ac:dyDescent="0.25">
      <c r="A994" s="5" t="s">
        <v>2907</v>
      </c>
      <c r="B994" s="6" t="s">
        <v>2908</v>
      </c>
      <c r="C994" s="3" t="str">
        <f ca="1">IFERROR(__xludf.DUMMYFUNCTION("GOOGLETRANSLATE(B994,""auto"",""en"")"),"[0001] The present invention involves a kind of cricket automation training device, including a motor wheel 2 to increase portability. Module 5. Ultrasonic sensor 9 is used to detect the direction and distance of the body 1, and the electric roller 6 is c"&amp;"onnected to the ball 10 through the cable located in the periphery of the body 1, which is used to force the ball 10 to start moving users to the ball. There is a pair of electric disc 11, which is assembled on the main body 1 to give the cut force on the"&amp;" ball 10 to give the force and the acceleration meter sensor in high -speed and manufacturing in the ball 10 to determine the result of the hit.")</f>
        <v>[0001] The present invention involves a kind of cricket automation training device, including a motor wheel 2 to increase portability. Module 5. Ultrasonic sensor 9 is used to detect the direction and distance of the body 1, and the electric roller 6 is connected to the ball 10 through the cable located in the periphery of the body 1, which is used to force the ball 10 to start moving users to the ball. There is a pair of electric disc 11, which is assembled on the main body 1 to give the cut force on the ball 10 to give the force and the acceleration meter sensor in high -speed and manufacturing in the ball 10 to determine the result of the hit.</v>
      </c>
      <c r="D994" s="6" t="s">
        <v>2909</v>
      </c>
      <c r="E994" s="4" t="str">
        <f ca="1">IFERROR(__xludf.DUMMYFUNCTION("GOOGLETRANSLATE(D994,""auto"",""en"")"),"Automatic training device")</f>
        <v>Automatic training device</v>
      </c>
    </row>
    <row r="995" spans="1:5" ht="15" x14ac:dyDescent="0.25">
      <c r="A995" s="5" t="s">
        <v>2910</v>
      </c>
      <c r="B995" s="6" t="s">
        <v>2911</v>
      </c>
      <c r="C995" s="3" t="str">
        <f ca="1">IFERROR(__xludf.DUMMYFUNCTION("GOOGLETRANSLATE(B995,""auto"",""en"")"),"The present invention involves the field of action correction, especially a athletes' high movement correction method. To solve the problem of whether the athlete's actions are not accurate enough. Methods include: Step 1, collecting athletes with high ju"&amp;"mping athletes; step 2, videos that athletes jump high, collect the instantaneous speed and sprint speed of athletes; step 3. Video that athlete jumps high; Higher videos, generate the corresponding matchmaker sports video; step 5. According to the videos"&amp;" of the athlete jumping and the matchmaker sports video, collect the athlete's angle at the time of the jump, the time of the club, and the time to the landing. , Using neural network training to obtain a high -jump motion correction model; step 7, test a"&amp;"nd correction. By looking for the cause of the error movement and correcting it, it is of great significance to promote the formation of the correct skills, improve the performance of sports, and train qualified talents.")</f>
        <v>The present invention involves the field of action correction, especially a athletes' high movement correction method. To solve the problem of whether the athlete's actions are not accurate enough. Methods include: Step 1, collecting athletes with high jumping athletes; step 2, videos that athletes jump high, collect the instantaneous speed and sprint speed of athletes; step 3. Video that athlete jumps high; Higher videos, generate the corresponding matchmaker sports video; step 5. According to the videos of the athlete jumping and the matchmaker sports video, collect the athlete's angle at the time of the jump, the time of the club, and the time to the landing. , Using neural network training to obtain a high -jump motion correction model; step 7, test and correction. By looking for the cause of the error movement and correcting it, it is of great significance to promote the formation of the correct skills, improve the performance of sports, and train qualified talents.</v>
      </c>
      <c r="D995" s="6" t="s">
        <v>2912</v>
      </c>
      <c r="E995" s="4" t="str">
        <f ca="1">IFERROR(__xludf.DUMMYFUNCTION("GOOGLETRANSLATE(D995,""auto"",""en"")"),"A athlete high -jump action correction method")</f>
        <v>A athlete high -jump action correction method</v>
      </c>
    </row>
    <row r="996" spans="1:5" ht="15" x14ac:dyDescent="0.25">
      <c r="A996" s="5" t="s">
        <v>2913</v>
      </c>
      <c r="B996" s="6" t="s">
        <v>2914</v>
      </c>
      <c r="C996" s="3" t="str">
        <f ca="1">IFERROR(__xludf.DUMMYFUNCTION("GOOGLETRANSLATE(B996,""auto"",""en"")"),"1. Design product name: Display screen panel with product experience display graphics user interface.
 2. The purpose of designing products in this exterior: used to display graphic user interface.
 3. Design of design products in this appearance: lie"&amp;"s in the graphic user interface in the screen.
 4. Pictures or photos that can most indicate design points: main view.
 5. There is no design point for other views, omitting other views.
 6. The purpose of graphical user interface: The interface is "&amp;"used for product activity browsing display and filling in the use of information experience.
 7. Human -computer interaction method of graphical user interface: The graphic user interface displayed by the main view is the starting interface of the homep"&amp;"age of the program; Agree with the ""button to enter the interface change state Figure 1; interface change state Figure 2: in the interface change state Figure 1 to slide up in the central position to get the interface change state Figure 2; Position to s"&amp;"lide up to get the interface change state Figure 3; interface change state Figure 4: in the interface change state Figure 3 central position to slide up to get the interface changes. 4; Sliding to get the interface change state Figure 5; interface change "&amp;"state Figure 6: In the interface change state Figure 5 to slide up in any position in the central government to get the interface change status. 6; Interface change state Figure 7; interface changes status Figure 8: In the interface change state Figure 7 "&amp;"Sliding upwards in the central government to get the interface change state figure 8; interface change state figure 9: in the interface changes Take the first product in the upper left corner as an example) and click the ""Confirm"" button at the bottom t"&amp;"o enter the interface change state. 9; The ID card, age, telephone, and address are filled in arbitrarily in turn and click the ""Submitting Application"" button at the bottom to enter the interface change state. 10.
 8.本外观设计产品的显示屏幕面板可应用于计算机、笔记本电脑、平板电脑、"&amp;"手机、智能手机、智能眼镜、虚拟现实眼镜、增强现实眼镜、混合现实眼镜、手表、智能手表、健身监视器、 Head headset, smart speakers, TV, set -top box.")</f>
        <v>1. Design product name: Display screen panel with product experience display graphics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product activity browsing display and filling in the use of information experience.
 7. Human -computer interaction method of graphical user interface: The graphic user interface displayed by the main view is the starting interface of the homepage of the program; Agree with the "button to enter the interface change state Figure 1; interface change state Figure 2: in the interface change state Figure 1 to slide up in the central position to get the interface change state Figure 2; Position to slide up to get the interface change state Figure 3; interface change state Figure 4: in the interface change state Figure 3 central position to slide up to get the interface changes. 4; Sliding to get the interface change state Figure 5; interface change state Figure 6: In the interface change state Figure 5 to slide up in any position in the central government to get the interface change status. 6; Interface change state Figure 7; interface changes status Figure 8: In the interface change state Figure 7 Sliding upwards in the central government to get the interface change state figure 8; interface change state figure 9: in the interface changes Take the first product in the upper left corner as an example) and click the "Confirm" button at the bottom to enter the interface change state. 9; The ID card, age, telephone, and address are filled in arbitrarily in turn and click the "Submitting Application" button at the bottom to enter the interface change state. 10.
 8.本外观设计产品的显示屏幕面板可应用于计算机、笔记本电脑、平板电脑、手机、智能手机、智能眼镜、虚拟现实眼镜、增强现实眼镜、混合现实眼镜、手表、智能手表、健身监视器、 Head headset, smart speakers, TV, set -top box.</v>
      </c>
      <c r="D996" s="6" t="s">
        <v>2915</v>
      </c>
      <c r="E996" s="4" t="str">
        <f ca="1">IFERROR(__xludf.DUMMYFUNCTION("GOOGLETRANSLATE(D996,""auto"",""en"")"),"Display screen panel with product experience display graphics user interface")</f>
        <v>Display screen panel with product experience display graphics user interface</v>
      </c>
    </row>
    <row r="997" spans="1:5" ht="15" x14ac:dyDescent="0.25">
      <c r="A997" s="5" t="s">
        <v>2916</v>
      </c>
      <c r="B997" s="6" t="s">
        <v>2917</v>
      </c>
      <c r="C997" s="3" t="str">
        <f ca="1">IFERROR(__xludf.DUMMYFUNCTION("GOOGLETRANSLATE(B997,""auto"",""en"")"),"Provides a system that uses a distributed server network to detect multi -dimensional links and layers of resource transmission. Specifically, the system can include multiple distributed server nodes, and each node hosting a copy of the distributed regist"&amp;"er, where each node can be operated by the entity. Each distributed server node can submit data records to distributed registers, which can contain data about potential unauthorized users, accounts and/or resource transmission data. Based on the informati"&amp;"on in the distributed registers and various other data input, the system can use a multi -dimensional link between deep learning -based graphic processing algorithms to identify users, accounts and/or resource transfer Activity.")</f>
        <v>Provides a system that uses a distributed server network to detect multi -dimensional links and layers of resource transmission. Specifically, the system can include multiple distributed server nodes, and each node hosting a copy of the distributed register, where each node can be operated by the entity. Each distributed server node can submit data records to distributed registers, which can contain data about potential unauthorized users, accounts and/or resource transmission data. Based on the information in the distributed registers and various other data input, the system can use a multi -dimensional link between deep learning -based graphic processing algorithms to identify users, accounts and/or resource transfer Activity.</v>
      </c>
      <c r="D997" s="6" t="s">
        <v>2918</v>
      </c>
      <c r="E997" s="4" t="str">
        <f ca="1">IFERROR(__xludf.DUMMYFUNCTION("GOOGLETRANSLATE(D997,""auto"",""en"")"),"Use a distributed server network to detect multi -dimensional links and layered system transmission of resources")</f>
        <v>Use a distributed server network to detect multi -dimensional links and layered system transmission of resources</v>
      </c>
    </row>
    <row r="998" spans="1:5" ht="15" x14ac:dyDescent="0.25">
      <c r="A998" s="5" t="s">
        <v>2919</v>
      </c>
      <c r="B998" s="6" t="s">
        <v>2920</v>
      </c>
      <c r="C998" s="3" t="str">
        <f ca="1">IFERROR(__xludf.DUMMYFUNCTION("GOOGLETRANSLATE(B998,""auto"",""en"")"),"Human activity monitoring is essential for environmental auxiliary life, monitoring safety, exercise and fitness, and elderly care. The event monitoring process includes collecting body signals and classified it. This study provides a low -cost wearable w"&amp;"ireless device for monitoring exercise and fitness activities and human activities during medical care. We provide a unique template matching technology to identify human behavior in the video sequence. We use a basic statistical model to simulate the bac"&amp;"kground of the scene and extract foreground elements. Using sports historical images (MHI) and space outlines matching video series to identify walking, standing, bending, sleeping, and running. The recommended technology can correctly identify these oper"&amp;"ations in KTH and our databases.")</f>
        <v>Human activity monitoring is essential for environmental auxiliary life, monitoring safety, exercise and fitness, and elderly care. The event monitoring process includes collecting body signals and classified it. This study provides a low -cost wearable wireless device for monitoring exercise and fitness activities and human activities during medical care. We provide a unique template matching technology to identify human behavior in the video sequence. We use a basic statistical model to simulate the background of the scene and extract foreground elements. Using sports historical images (MHI) and space outlines matching video series to identify walking, standing, bending, sleeping, and running. The recommended technology can correctly identify these operations in KTH and our databases.</v>
      </c>
      <c r="D998" s="6" t="s">
        <v>2921</v>
      </c>
      <c r="E998" s="4" t="str">
        <f ca="1">IFERROR(__xludf.DUMMYFUNCTION("GOOGLETRANSLATE(D998,""auto"",""en"")"),"Human activity tracking and monitoring of human activities based on the Internet of Things")</f>
        <v>Human activity tracking and monitoring of human activities based on the Internet of Things</v>
      </c>
    </row>
    <row r="999" spans="1:5" ht="15" x14ac:dyDescent="0.25">
      <c r="A999" s="5" t="s">
        <v>2922</v>
      </c>
      <c r="B999" s="6" t="s">
        <v>2923</v>
      </c>
      <c r="C999" s="3" t="str">
        <f ca="1">IFERROR(__xludf.DUMMYFUNCTION("GOOGLETRANSLATE(B999,""auto"",""en"")"),"1. Design product name: Display screen panel with a user interface with the user interface with resource monitoring.
 2. The purpose of designing products in this exterior: used to display graphic user interface.
 3. Design of design products in this "&amp;"appearance: lies in the graphic user interface in the screen.
 4. Pictures or photos that can best show design points: Figure 1 of the interface change state.
 5. There is no design point for other views, omitting other views.
 6. The purpose of the"&amp;" graphical user interface: The interface is used for the use of the server computer hardware operation resource monitoring, fault detection and display.
 7. Human -computer interaction method of graphical user interface: The graphic user interface displ"&amp;"ayed by the main view is to open the login interface of the program; ""Later, click the blue"" login ""button to enter the interface change state Figure 1; interface change status Figure 2: click the interface change state Figure 1 The"" cluster node ""bu"&amp;"tton on the left main menu to get the interface changes. 3: Click the interface change state Figure 2 ""Name/IP"" in the above left ""21V‑TC‑Sunyyy‑team‑19"" button into the following "" Sliding up at any position to get the interface change state Figure "&amp;"4; interface change state Figure 5: Click the interface change state Figure 2 ""21v‑tc‑zhangsh‑team‑10"" button in the following ""Name/IP"" button at the top left 5; Interface change state Figure 6: In the interface change state Figure 5 The central gove"&amp;"rnment is moving up to get the interface change state Figure 6; interface change state Figure 7: in the interface change state Figure 6 The central position of the central position to obtain the interface change state Figure 7; 7; Interface change state F"&amp;"igure 8: In the interface change state Figure 7 The central government slides upward to get the interface change state Figure 8; interface change state figure 9: Click the interface change state Figure 5 ""GPU indicator"" tag button on the left of the cen"&amp;"tral center Figure 9; Interface Change Status Figure 10: In the interface change state Figure 9 The central center slide up to get the interface change state. ; Interface Change State Figure 12: Click the interface change state Figure 1 The ""node label"""&amp;" button on the left main menu to obtain the interface change state Figure 12; interface changes status Figure 13: in the interface changes Storage ""button to expand the sub -menu and then click the"" Storage Class ""button to get the interface change sta"&amp;"te Figure 13; the interface change state Figure 14: Click the interface change state. 13 ; Interface change state Figure 15: Click the interface change state Figure 13 The ""lasting volume"" button under the ""cluster storage"" sub -menu of the left main "&amp;"menu to get the interface change state Figure 15; The ""Storage"" button under the ""cluster storage"" sub -menu of the side menu obtains the interface change state Figure 16; the interface change state Figure 17: Click the interface change state Figure 1"&amp;"6 The ""Ceph1"" button below the ""Ceph1"" button at the top of the left at the top of the left enters the interface change state Figure 17; Interface change state Figure 18: Click the interface change state Figure 1 The ""network exit"" button on the lef"&amp;"t main menu to obtain the interface change status Figure 18; interface change status figure 19: Click the interface change state Figure 1 "" The network solution ""button to get the interface change state figure 19; interface change state Figure 20: Click"&amp;" the interface change state Figure 1 The"" cluster plug -in ""button on the left main menu to obtain the interface change state Figure 20; Figure 1 The ""System Service Management"" button on the left main menu obtains the interface change state Figure 21"&amp;".
 8.本外观设计产品的显示屏幕面板可应用于计算机、笔记本电脑、平板电脑、手机、智能手机、智能眼镜、虚拟现实眼镜、增强现实眼镜、混合现实眼镜、手表、智能手表、健身监视器、 Head headset, smart speakers, TV, set -top box.")</f>
        <v>1. Design product name: Display screen panel with a user interface with the user interface with resource monitoring.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the graphical user interface: The interface is used for the use of the server computer hardware operation resource monitoring, fault detection and display.
 7. Human -computer interaction method of graphical user interface: The graphic user interface displayed by the main view is to open the login interface of the program; "Later, click the blue" login "button to enter the interface change state Figure 1; interface change status Figure 2: click the interface change state Figure 1 The" cluster node "button on the left main menu to get the interface changes. 3: Click the interface change state Figure 2 "Name/IP" in the above left "21V‑TC‑Sunyyy‑team‑19" button into the following " Sliding up at any position to get the interface change state Figure 4; interface change state Figure 5: Click the interface change state Figure 2 "21v‑tc‑zhangsh‑team‑10" button in the following "Name/IP" button at the top left 5; Interface change state Figure 6: In the interface change state Figure 5 The central government is moving up to get the interface change state Figure 6; interface change state Figure 7: in the interface change state Figure 6 The central position of the central position to obtain the interface change state Figure 7; 7; Interface change state Figure 8: In the interface change state Figure 7 The central government slides upward to get the interface change state Figure 8; interface change state figure 9: Click the interface change state Figure 5 "GPU indicator" tag button on the left of the central center Figure 9; Interface Change Status Figure 10: In the interface change state Figure 9 The central center slide up to get the interface change state. ; Interface Change State Figure 12: Click the interface change state Figure 1 The "node label" button on the left main menu to obtain the interface change state Figure 12; interface changes status Figure 13: in the interface changes Storage "button to expand the sub -menu and then click the" Storage Class "button to get the interface change state Figure 13; the interface change state Figure 14: Click the interface change state. 13 ; Interface change state Figure 15: Click the interface change state Figure 13 The "lasting volume" button under the "cluster storage" sub -menu of the left main menu to get the interface change state Figure 15; The "Storage" button under the "cluster storage" sub -menu of the side menu obtains the interface change state Figure 16; the interface change state Figure 17: Click the interface change state Figure 16 The "Ceph1" button below the "Ceph1" button at the top of the left at the top of the left enters the interface change state Figure 17; Interface change state Figure 18: Click the interface change state Figure 1 The "network exit" button on the left main menu to obtain the interface change status Figure 18; interface change status figure 19: Click the interface change state Figure 1 " The network solution "button to get the interface change state figure 19; interface change state Figure 20: Click the interface change state Figure 1 The" cluster plug -in "button on the left main menu to obtain the interface change state Figure 20; Figure 1 The "System Service Management" button on the left main menu obtains the interface change state Figure 21.
 8.本外观设计产品的显示屏幕面板可应用于计算机、笔记本电脑、平板电脑、手机、智能手机、智能眼镜、虚拟现实眼镜、增强现实眼镜、混合现实眼镜、手表、智能手表、健身监视器、 Head headset, smart speakers, TV, set -top box.</v>
      </c>
      <c r="D999" s="6" t="s">
        <v>2924</v>
      </c>
      <c r="E999" s="4" t="str">
        <f ca="1">IFERROR(__xludf.DUMMYFUNCTION("GOOGLETRANSLATE(D999,""auto"",""en"")"),"Display screen panels with operating resource monitoring graphics user interface")</f>
        <v>Display screen panels with operating resource monitoring graphics user interface</v>
      </c>
    </row>
    <row r="1000" spans="1:5" ht="15" x14ac:dyDescent="0.25">
      <c r="A1000" s="5" t="s">
        <v>2925</v>
      </c>
      <c r="B1000" s="6" t="s">
        <v>2926</v>
      </c>
      <c r="C1000" s="3" t="str">
        <f ca="1">IFERROR(__xludf.DUMMYFUNCTION("GOOGLETRANSLATE(B1000,""auto"",""en"")"),"1. The name of the product in appearance: The display screen panel with a host creates a browsing graphic user interface.
 2. The purpose of designing products in this exterior: used to display graphic user interface.
 3. Design of design products in "&amp;"this appearance: lies in the graphic user interface in the screen.
 4. Pictures or photos that can most indicate design points: main view.
 5. There is no design point for other views, omitting other views.
 6. The purpose of the graphical user inte"&amp;"rface: The interface is used for the use of the server cloud host installation, safety monitoring and display.
 7. Human -computer interaction method of graphical user interface: The graphic user interface displayed by the main view is to open the home "&amp;"page interface of the installation of the program; Interface Change State Figure 2: Click on the interface change state Figure 1 The ""next step"" blue button at the bottom of the central center to get the interface change state Figure 2; interface change"&amp;" status Figure 3: Click the interface changes. The blue button gets the interface change state Figure 3; interface change state Figure 4: click the interface change state Figure 3 The ""start installation"" blue button at the bottom of the central center "&amp;"and wait for the installation to get the interface change state figure 4; : Click on the interface change state Figure 4 The ""click to open the console"" blue button at the bottom central center to enter the interface change state. After the sub -menu is"&amp;" expanded, click the ""Platform Report"" button to get the interface change state Figure 6; the interface change state Figure 7: click the interface change status. 6 The ""Management Studius"" button on the top of the left to enter the interface changes. "&amp;"Figure 8: Click the ""View Details"" button at the top of the ""Operation"" button at the top right of the ""Operation"" button at the top right of the interface. 9; Interface change state Figure 10: Click the interface change state Figure 8 or the ""netw"&amp;"ork exit"" button of the most menu of the most menu to enter the interface changes. The ""Integrated Center"" button enters the interface change state Figure 11; interface change status Figure 12: Click the interface change state Figure 11 The first ""Vie"&amp;"w Details"" button at the top right of ""Operation"" to enter the interface change state. 12; interface change status diagram 13: Click the interface change state Figure 11 The ""Create Virtual Machine"" blue button in the upper left of the left to enter "&amp;"the interface change state. Figure 13; interface change state Figure 14: In the interface change state Figure 13 to slide up in the central position to get the interface change state Figure 14.
 8.本外观设计产品的显示屏幕面板可应用于计算机、笔记本电脑、平板电脑、手机、智能手机、智能眼镜、虚拟现实眼镜、增强现"&amp;"实眼镜、混合现实眼镜、手表、智能手表、健身监视器、 Head headset, smart speakers, TV, set -top box.")</f>
        <v>1. The name of the product in appearance: The display screen panel with a host creates a browsing graphic user interface.
 2. The purpose of designing products in this exterior: used to display graphic user interface.
 3. Design of design products in this appearance: lies in the graphic user interface in the screen.
 4. Pictures or photos that can most indicate design points: main view.
 5. There is no design point for other views, omitting other views.
 6. The purpose of the graphical user interface: The interface is used for the use of the server cloud host installation, safety monitoring and display.
 7. Human -computer interaction method of graphical user interface: The graphic user interface displayed by the main view is to open the home page interface of the installation of the program; Interface Change State Figure 2: Click on the interface change state Figure 1 The "next step" blue button at the bottom of the central center to get the interface change state Figure 2; interface change status Figure 3: Click the interface changes. The blue button gets the interface change state Figure 3; interface change state Figure 4: click the interface change state Figure 3 The "start installation" blue button at the bottom of the central center and wait for the installation to get the interface change state figure 4; : Click on the interface change state Figure 4 The "click to open the console" blue button at the bottom central center to enter the interface change state. After the sub -menu is expanded, click the "Platform Report" button to get the interface change state Figure 6; the interface change state Figure 7: click the interface change status. 6 The "Management Studius" button on the top of the left to enter the interface changes. Figure 8: Click the "View Details" button at the top of the "Operation" button at the top right of the "Operation" button at the top right of the interface. 9; Interface change state Figure 10: Click the interface change state Figure 8 or the "network exit" button of the most menu of the most menu to enter the interface changes. The "Integrated Center" button enters the interface change state Figure 11; interface change status Figure 12: Click the interface change state Figure 11 The first "View Details" button at the top right of "Operation" to enter the interface change state. 12; interface change status diagram 13: Click the interface change state Figure 11 The "Create Virtual Machine" blue button in the upper left of the left to enter the interface change state. Figure 13; interface change state Figure 14: In the interface change state Figure 13 to slide up in the central position to get the interface change state Figure 14.
 8.本外观设计产品的显示屏幕面板可应用于计算机、笔记本电脑、平板电脑、手机、智能手机、智能眼镜、虚拟现实眼镜、增强现实眼镜、混合现实眼镜、手表、智能手表、健身监视器、 Head headset, smart speakers, TV, set -top box.</v>
      </c>
      <c r="D1000" s="6" t="s">
        <v>2927</v>
      </c>
      <c r="E1000" s="4" t="str">
        <f ca="1">IFERROR(__xludf.DUMMYFUNCTION("GOOGLETRANSLATE(D1000,""auto"",""en"")"),"Bring a host to create a display screen panel with a browsing graphic user interface")</f>
        <v>Bring a host to create a display screen panel with a browsing graphic user interface</v>
      </c>
    </row>
    <row r="1001" spans="1:5" ht="15" x14ac:dyDescent="0.25">
      <c r="A1001" s="5" t="s">
        <v>2928</v>
      </c>
      <c r="B1001" s="6" t="s">
        <v>2929</v>
      </c>
      <c r="C1001" s="3" t="str">
        <f ca="1">IFERROR(__xludf.DUMMYFUNCTION("GOOGLETRANSLATE(B1001,""auto"",""en"")"),"A muscle skeletal sports rehabilitation training system based on interactive AI coaches, including: user status information measurement unit, connect to cloud server through wired or wireless networks and measure status information. Status information is "&amp;"the user's movement posture or physical condition. ; Display panel, measure the status information measured according to the user status information measurement unit, display the necessary information to the user during the exercise; exercise the unit and"&amp;" allow users to perform resistance or balanced exercise; Analyze the status information measured by the user status information measurement unit, and provide users with AI -based interactive coach information to the user through the display panel; the exp"&amp;"ert terminal provides users who use the exercise unit to exercise the exercise unit through the display panel with the coach engine.")</f>
        <v>A muscle skeletal sports rehabilitation training system based on interactive AI coaches, including: user status information measurement unit, connect to cloud server through wired or wireless networks and measure status information. Status information is the user's movement posture or physical condition. ; Display panel, measure the status information measured according to the user status information measurement unit, display the necessary information to the user during the exercise; exercise the unit and allow users to perform resistance or balanced exercise; Analyze the status information measured by the user status information measurement unit, and provide users with AI -based interactive coach information to the user through the display panel; the expert terminal provides users who use the exercise unit to exercise the exercise unit through the display panel with the coach engine.</v>
      </c>
      <c r="D1001" s="6" t="s">
        <v>2930</v>
      </c>
      <c r="E1001" s="4" t="str">
        <f ca="1">IFERROR(__xludf.DUMMYFUNCTION("GOOGLETRANSLATE(D1001,""auto"",""en"")"),"Based on interactive artificial intelligence coaches' muscle skeleton exercise and rehabilitation training systems and methods")</f>
        <v>Based on interactive artificial intelligence coaches' muscle skeleton exercise and rehabilitation training systems and methods</v>
      </c>
    </row>
    <row r="1002" spans="1:5" ht="15" x14ac:dyDescent="0.25">
      <c r="A1002" s="5" t="s">
        <v>2931</v>
      </c>
      <c r="B1002" s="6" t="s">
        <v>2932</v>
      </c>
      <c r="C1002" s="3" t="str">
        <f ca="1">IFERROR(__xludf.DUMMYFUNCTION("GOOGLETRANSLATE(B1002,""auto"",""en"")"),"1. Design product name: Display screen panel with the user interface of the graphic user interface with the resource.
 2. The purpose of designing products in this exterior: used to display graphic user interface.
 3. Design of design products in this"&amp;" appearance: lies in the graphic user interface in the screen.
 4. Pictures or photos that can best show design points: Figure 1 of the interface change state.
 5. There is no design point for other views, omitting other views.
 6. The purpose of gr"&amp;"aphical user interface: The interface is used to arrange, allocate and display the use of resource arrangement, deployment and display of the server computer hardware.
 7. Human -computer interaction method of graphical user interface: The graphic user "&amp;"interface displayed by the main view is to open the login interface of the program; ""Later, click the blue"" login ""button to enter the interface change state Figure 1; interface change status Figure 2: In the interface change state Figure 1 The left ma"&amp;"in menu on the left main menu first click the"" container application ""button to expand the sub -menu, then click the"" application ""button Get the interface change state Figure 2; interface change state Figure 3: Click the interface change state Figure"&amp;" 2 The ""app"" button below the ""application name"" button at the top left to enter the interface change state Figure 3; The ""Create Application"" blue button at the top left enter the interface change state Figure 4; interface change state Figure 5: in"&amp;" the interface change state Figure 4 to slide up in the central position to get the interface change state. State Figure 5 The central area of ​​the central government slide up to get the interface change state Figure 6; interface change state Figure 7: C"&amp;"lick the interface to change the state. 2 The ""service"" button under the ""container application"" sub -menu of the left main menu to obtain the interface change state Figure 7; 7; Interface Change State Figure 8: In the interface change state Figure 1 "&amp;"The left main menu on the left side of the main menu first click the ""Workload"" button to expand the sub -menu before clicking the ""deployment"" button to get the interface change status. 8; Figure 8 The ""ROOK‑ceph‑Operator"" button in the following "&amp;"""Name"" in the above left enters the interface change state Figure 9; Figure 10; interface change state Figure 11: Click the interface change state Figure 8 The ""container group"" button under the ""working load"" sub -menu on the left main menu to obta"&amp;"in the interface change state Figure 11.
 8.本外观设计产品的显示屏幕面板可应用于计算机、笔记本电脑、平板电脑、手机、智能手机、智能眼镜、虚拟现实眼镜、增强现实眼镜、混合现实眼镜、手表、智能手表、健身监视器、 Head headset, smart speakers, TV, set -top box.")</f>
        <v>1. Design product name: Display screen panel with the user interface of the graphic user interface with the resource.
 2. The purpose of designing products in this exterior: used to display graphic user interface.
 3. Design of design products in this appearance: lies in the graphic user interface in the screen.
 4. Pictures or photos that can best show design points: Figure 1 of the interface change state.
 5. There is no design point for other views, omitting other views.
 6. The purpose of graphical user interface: The interface is used to arrange, allocate and display the use of resource arrangement, deployment and display of the server computer hardware.
 7. Human -computer interaction method of graphical user interface: The graphic user interface displayed by the main view is to open the login interface of the program; "Later, click the blue" login "button to enter the interface change state Figure 1; interface change status Figure 2: In the interface change state Figure 1 The left main menu on the left main menu first click the" container application "button to expand the sub -menu, then click the" application "button Get the interface change state Figure 2; interface change state Figure 3: Click the interface change state Figure 2 The "app" button below the "application name" button at the top left to enter the interface change state Figure 3; The "Create Application" blue button at the top left enter the interface change state Figure 4; interface change state Figure 5: in the interface change state Figure 4 to slide up in the central position to get the interface change state. State Figure 5 The central area of ​​the central government slide up to get the interface change state Figure 6; interface change state Figure 7: Click the interface to change the state. 2 The "service" button under the "container application" sub -menu of the left main menu to obtain the interface change state Figure 7; 7; Interface Change State Figure 8: In the interface change state Figure 1 The left main menu on the left side of the main menu first click the "Workload" button to expand the sub -menu before clicking the "deployment" button to get the interface change status. 8; Figure 8 The "ROOK‑ceph‑Operator" button in the following "Name" in the above left enters the interface change state Figure 9; Figure 10; interface change state Figure 11: Click the interface change state Figure 8 The "container group" button under the "working load" sub -menu on the left main menu to obtain the interface change state Figure 11.
 8.本外观设计产品的显示屏幕面板可应用于计算机、笔记本电脑、平板电脑、手机、智能手机、智能眼镜、虚拟现实眼镜、增强现实眼镜、混合现实眼镜、手表、智能手表、健身监视器、 Head headset, smart speakers, TV, set -top box.</v>
      </c>
      <c r="D1002" s="6" t="s">
        <v>2933</v>
      </c>
      <c r="E1002" s="4" t="str">
        <f ca="1">IFERROR(__xludf.DUMMYFUNCTION("GOOGLETRANSLATE(D1002,""auto"",""en"")"),"Display screen panel with running resource to compile graphics user interface")</f>
        <v>Display screen panel with running resource to compile graphics user interface</v>
      </c>
    </row>
    <row r="1003" spans="1:5" ht="15" x14ac:dyDescent="0.25">
      <c r="A1003" s="5" t="s">
        <v>2934</v>
      </c>
      <c r="B1003" s="6" t="s">
        <v>2935</v>
      </c>
      <c r="C1003" s="3" t="str">
        <f ca="1">IFERROR(__xludf.DUMMYFUNCTION("GOOGLETRANSLATE(B1003,""auto"",""en"")"),"The patent of the present invention provides a method of sports prescription recommendation method based on distributed individual multi -source motion data. Its characteristics are: (1) use a variety of sports acquisition equipment, including sports brac"&amp;"elets, sports watches, treadmills, sports apps, etc., collect all the sports used in the past week of the same person, and collect equipment according to various sports collection equipment. The function of its own function obtains its sports statistics, "&amp;"including the measurement unit of exercise date and time, exercise duration, exercise calorie consumption, and unify the value of each value to processes the data. Statistics with exercise time repetition greater than 80 %, sort the remaining sports stati"&amp;"stics in accordance with time, and enter a long memory model in order in order to generate intermediate characteristics; Generate the final characteristics and use the regression model to generate the coding of the movement prescription.")</f>
        <v>The patent of the present invention provides a method of sports prescription recommendation method based on distributed individual multi -source motion data. Its characteristics are: (1) use a variety of sports acquisition equipment, including sports bracelets, sports watches, treadmills, sports apps, etc., collect all the sports used in the past week of the same person, and collect equipment according to various sports collection equipment. The function of its own function obtains its sports statistics, including the measurement unit of exercise date and time, exercise duration, exercise calorie consumption, and unify the value of each value to processes the data. Statistics with exercise time repetition greater than 80 %, sort the remaining sports statistics in accordance with time, and enter a long memory model in order in order to generate intermediate characteristics; Generate the final characteristics and use the regression model to generate the coding of the movement prescription.</v>
      </c>
      <c r="D1003" s="6" t="s">
        <v>2936</v>
      </c>
      <c r="E1003" s="4" t="str">
        <f ca="1">IFERROR(__xludf.DUMMYFUNCTION("GOOGLETRANSLATE(D1003,""auto"",""en"")"),"A recommendation method for sports prescriptions based on distributed individual poly source motion data")</f>
        <v>A recommendation method for sports prescriptions based on distributed individual poly source motion data</v>
      </c>
    </row>
    <row r="1004" spans="1:5" ht="15" x14ac:dyDescent="0.25">
      <c r="A1004" s="5" t="s">
        <v>2937</v>
      </c>
      <c r="B1004" s="6" t="s">
        <v>2938</v>
      </c>
      <c r="C1004" s="3" t="str">
        <f ca="1">IFERROR(__xludf.DUMMYFUNCTION("GOOGLETRANSLATE(B1004,""auto"",""en"")"),"This utility model opens a wireless power supply and fitness vehicle. Among them, the primary coil is fixed on non -rotating components, and the primary coil is based on the rotating shaft of the rotating part with a fixed coil This non -rotating part. Th"&amp;"e secondary coil is fixed on the rotor part, and the secondary coil is based on the rotating shaft of the rotary component as the fixed center, which is installed on the rotating part. , So that the fixed center of the primary coil and the sub -coil and t"&amp;"he rotating shaft of the rotating part of the rotary component. The secondary coil connection rotor drive device and electronic control device. The fitness vehicle can supply power to the rotating component through the wireless power supply system, and th"&amp;"e rotation parts of the fitness vehicle can also be equipped with an electronic control device to further improve the intelligent, data, and beauty of the fitness car human machine interaction, and then enhance the user's pair of users. A good experience "&amp;"of fitness cars.")</f>
        <v>This utility model opens a wireless power supply and fitness vehicle. Among them, the primary coil is fixed on non -rotating components, and the primary coil is based on the rotating shaft of the rotating part with a fixed coil This non -rotating part. The secondary coil is fixed on the rotor part, and the secondary coil is based on the rotating shaft of the rotary component as the fixed center, which is installed on the rotating part. , So that the fixed center of the primary coil and the sub -coil and the rotating shaft of the rotating part of the rotary component. The secondary coil connection rotor drive device and electronic control device. The fitness vehicle can supply power to the rotating component through the wireless power supply system, and the rotation parts of the fitness vehicle can also be equipped with an electronic control device to further improve the intelligent, data, and beauty of the fitness car human machine interaction, and then enhance the user's pair of users. A good experience of fitness cars.</v>
      </c>
      <c r="D1004" s="6" t="s">
        <v>2939</v>
      </c>
      <c r="E1004" s="4" t="str">
        <f ca="1">IFERROR(__xludf.DUMMYFUNCTION("GOOGLETRANSLATE(D1004,""auto"",""en"")"),"A wireless power supply and fitness car")</f>
        <v>A wireless power supply and fitness car</v>
      </c>
    </row>
    <row r="1005" spans="1:5" ht="15" x14ac:dyDescent="0.25">
      <c r="A1005" s="5" t="s">
        <v>2940</v>
      </c>
      <c r="B1005" s="6" t="s">
        <v>2941</v>
      </c>
      <c r="C1005" s="3" t="str">
        <f ca="1">IFERROR(__xludf.DUMMYFUNCTION("GOOGLETRANSLATE(B1005,""auto"",""en"")"),"The present invention proposes a method of detecting methods that introduce/use artificial intelligence (artificial intelligence detection models) in the vaccine program, and realize specific operational techniques to improve the accuracy/usability of art"&amp;"ificial intelligence detection models. Essence")</f>
        <v>The present invention proposes a method of detecting methods that introduce/use artificial intelligence (artificial intelligence detection models) in the vaccine program, and realize specific operational techniques to improve the accuracy/usability of artificial intelligence detection models. Essence</v>
      </c>
      <c r="D1005" s="6" t="s">
        <v>2942</v>
      </c>
      <c r="E1005" s="4" t="str">
        <f ca="1">IFERROR(__xludf.DUMMYFUNCTION("GOOGLETRANSLATE(D1005,""auto"",""en"")"),"Use artificial intelligence malware detection system")</f>
        <v>Use artificial intelligence malware detection system</v>
      </c>
    </row>
    <row r="1006" spans="1:5" ht="15" x14ac:dyDescent="0.25">
      <c r="A1006" s="5" t="s">
        <v>2943</v>
      </c>
      <c r="B1006" s="6" t="s">
        <v>2944</v>
      </c>
      <c r="C1006" s="3" t="str">
        <f ca="1">IFERROR(__xludf.DUMMYFUNCTION("GOOGLETRANSLATE(B1006,""auto"",""en"")"),"According to the present invention, non -face -to -face exercise lectures are performed through voice recognition, including the voice of the coach of the coach of the non -face -to -face exercise service of users who tracked non -face -to -face exercise "&amp;"services. -An real -time face -to -face exercise service, follow up in real time to determine whether to identify the preset words or coach voice in the user's voice. When identifying the preset words, the setting of the set function is performed accordin"&amp;"g to the word. And provide it to the device or instructor device. In this way, the present invention provides more convenient communication between the guiders and students in the real -time practice lectures of non -facetials, avoiding the inconvenience "&amp;"of using equipment and manual chat, thereby increasing the satisfaction of non -faceted user satisfaction. -The facial practice lecture. supply")</f>
        <v>According to the present invention, non -face -to -face exercise lectures are performed through voice recognition, including the voice of the coach of the coach of the non -face -to -face exercise service of users who tracked non -face -to -face exercise services. -An real -time face -to -face exercise service, follow up in real time to determine whether to identify the preset words or coach voice in the user's voice. When identifying the preset words, the setting of the set function is performed according to the word. And provide it to the device or instructor device. In this way, the present invention provides more convenient communication between the guiders and students in the real -time practice lectures of non -facetials, avoiding the inconvenience of using equipment and manual chat, thereby increasing the satisfaction of non -faceted user satisfaction. -The facial practice lecture. supply</v>
      </c>
      <c r="D1006" s="6" t="s">
        <v>2945</v>
      </c>
      <c r="E1006" s="4" t="str">
        <f ca="1">IFERROR(__xludf.DUMMYFUNCTION("GOOGLETRANSLATE(D1006,""auto"",""en"")"),"How to conduct non -face -to -face refining lectures through voice recognition")</f>
        <v>How to conduct non -face -to -face refining lectures through voice recognition</v>
      </c>
    </row>
    <row r="1007" spans="1:5" ht="15" x14ac:dyDescent="0.25">
      <c r="A1007" s="5" t="s">
        <v>2946</v>
      </c>
      <c r="B1007" s="6" t="s">
        <v>2947</v>
      </c>
      <c r="C1007" s="3" t="str">
        <f ca="1">IFERROR(__xludf.DUMMYFUNCTION("GOOGLETRANSLATE(B1007,""auto"",""en"")"),"The present invention provides an action demonstration system suitable for physical education, including artificial intelligence glasses, wearable gloves, leg binders, and data processing modules; artificial intelligence glasses, wearable gloves, and leg "&amp;"binders are worn on the operation on operation On the person; holding basketball on the operator's hands; artificial intelligence glasses, wearable gloves, and leg binders are connected to the data processing module; wearable gloves include controller and"&amp;" resistance bands. This application can obtain the basic characteristics of the trainers in real time by setting up wearable gloves, artificial intelligence glasses, and leg binders, and give standard shot training for the dynamic trajectory of teaching d"&amp;"emonstration dynamic trajectory to avoid the formation and correction of error exercise habits Time and energy costs are greatly improved, which greatly improves the training efficiency; it can also simulate basketball by setting up resistance bands and f"&amp;"urther improve training efficiency. At the same time, the controller can be corrected by the training staff in time to further improve the standardized shooting training effect.")</f>
        <v>The present invention provides an action demonstration system suitable for physical education, including artificial intelligence glasses, wearable gloves, leg binders, and data processing modules; artificial intelligence glasses, wearable gloves, and leg binders are worn on the operation on operation On the person; holding basketball on the operator's hands; artificial intelligence glasses, wearable gloves, and leg binders are connected to the data processing module; wearable gloves include controller and resistance bands. This application can obtain the basic characteristics of the trainers in real time by setting up wearable gloves, artificial intelligence glasses, and leg binders, and give standard shot training for the dynamic trajectory of teaching demonstration dynamic trajectory to avoid the formation and correction of error exercise habits Time and energy costs are greatly improved, which greatly improves the training efficiency; it can also simulate basketball by setting up resistance bands and further improve training efficiency. At the same time, the controller can be corrected by the training staff in time to further improve the standardized shooting training effect.</v>
      </c>
      <c r="D1007" s="6" t="s">
        <v>2948</v>
      </c>
      <c r="E1007" s="4" t="str">
        <f ca="1">IFERROR(__xludf.DUMMYFUNCTION("GOOGLETRANSLATE(D1007,""auto"",""en"")"),"A action demonstration system suitable for physical education teaching")</f>
        <v>A action demonstration system suitable for physical education teaching</v>
      </c>
    </row>
    <row r="1008" spans="1:5" ht="15" x14ac:dyDescent="0.25">
      <c r="A1008" s="5" t="s">
        <v>2949</v>
      </c>
      <c r="B1008" s="6" t="s">
        <v>2950</v>
      </c>
      <c r="C1008" s="3" t="str">
        <f ca="1">IFERROR(__xludf.DUMMYFUNCTION("GOOGLETRANSLATE(B1008,""auto"",""en"")"),"The invention involves the field of sports analysis technology, which is specifically a method for detecting and repairing volleyball trajectories based on deep learning. First collect a large number of volleyball videos and mark the volleyball in the vid"&amp;"eo to train deep neural network models. Then use the trained model to identify volleyball, get volleyball detection data, remove the error check data, repair the missed inspection data, and repair the missed data. Finally, the test results were obtained. "&amp;"The present invention can automatically detect and track the trajectory of volleyball in the volleyball game, use the detected data to fit the curve, and automatically correct the data of the misunderstanding target. sex.")</f>
        <v>The invention involves the field of sports analysis technology, which is specifically a method for detecting and repairing volleyball trajectories based on deep learning. First collect a large number of volleyball videos and mark the volleyball in the video to train deep neural network models. Then use the trained model to identify volleyball, get volleyball detection data, remove the error check data, repair the missed inspection data, and repair the missed data. Finally, the test results were obtained. The present invention can automatically detect and track the trajectory of volleyball in the volleyball game, use the detected data to fit the curve, and automatically correct the data of the misunderstanding target. sex.</v>
      </c>
      <c r="D1008" s="6" t="s">
        <v>2951</v>
      </c>
      <c r="E1008" s="4" t="str">
        <f ca="1">IFERROR(__xludf.DUMMYFUNCTION("GOOGLETRANSLATE(D1008,""auto"",""en"")"),"A method for detecting and repairing volleyball trajectory based on deep learning")</f>
        <v>A method for detecting and repairing volleyball trajectory based on deep learning</v>
      </c>
    </row>
    <row r="1009" spans="1:5" ht="15" x14ac:dyDescent="0.25">
      <c r="A1009" s="5" t="s">
        <v>2952</v>
      </c>
      <c r="B1009" s="6" t="s">
        <v>2953</v>
      </c>
      <c r="C1009" s="3" t="str">
        <f ca="1">IFERROR(__xludf.DUMMYFUNCTION("GOOGLETRANSLATE(B1009,""auto"",""en"")"),"The present invention provides a method for comprehensive monitoring, analyzing and maintaining water and equipment in the swimming pool. The method is implemented by one or more processors. In the non -temporary computer readable storage device, there is"&amp;" a instruction code module. When the instruction code module is executed, one or more processors execute The sensors, actors and circuit breakers around it and around it; accumulate non -sensory data from multiple sources at the local processing unit; spr"&amp;"ead the data to the online remote server, and apply machine learning or rule -based algorithms on the online remote server. Configure all the data acquired, and obtain the best strategy of pool maintenance by providing suggestions, control parameters, and"&amp;" providing online access interfaces for the pool owner, swimming pool service personnel, swimming pool maintenance company, swimming pool supplier and retail pool retail dealer At least one of the recommendations/control parameters in it.")</f>
        <v>The present invention provides a method for comprehensive monitoring, analyzing and maintaining water and equipment in the swimming pool. The method is implemented by one or more processors. In the non -temporary computer readable storage device, there is a instruction code module. When the instruction code module is executed, one or more processors execute The sensors, actors and circuit breakers around it and around it; accumulate non -sensory data from multiple sources at the local processing unit; spread the data to the online remote server, and apply machine learning or rule -based algorithms on the online remote server. Configure all the data acquired, and obtain the best strategy of pool maintenance by providing suggestions, control parameters, and providing online access interfaces for the pool owner, swimming pool service personnel, swimming pool maintenance company, swimming pool supplier and retail pool retail dealer At least one of the recommendations/control parameters in it.</v>
      </c>
      <c r="D1009" s="6" t="s">
        <v>2954</v>
      </c>
      <c r="E1009" s="4" t="str">
        <f ca="1">IFERROR(__xludf.DUMMYFUNCTION("GOOGLETRANSLATE(D1009,""auto"",""en"")"),"A system and method of comprehensive monitoring, analysis and maintenance of swimming pool water and equipment")</f>
        <v>A system and method of comprehensive monitoring, analysis and maintenance of swimming pool water and equipment</v>
      </c>
    </row>
    <row r="1010" spans="1:5" ht="15" x14ac:dyDescent="0.25">
      <c r="A1010" s="5" t="s">
        <v>2955</v>
      </c>
      <c r="B1010" s="6" t="s">
        <v>2956</v>
      </c>
      <c r="C1010" s="3" t="str">
        <f ca="1">IFERROR(__xludf.DUMMYFUNCTION("GOOGLETRANSLATE(B1010,""auto"",""en"")"),"The present invention has disclosed a visual training process management method, including the following steps: First of all, establish a basic management database, use the Internet to classify related data on intermittent training on the Internet, and sc"&amp;"ientifically determine the qualified data of each stage. Use the basic management database to design a set of training processes according to different stages, and make a relative interval division of monitoring data in the training process. The visual tr"&amp;"aining process management method, by setting up the basic management database, using Internet big data to divide scientifically and reasonably at various stages, and then establish a user database according to the user's personal corresponding, the user c"&amp;"an accurately understand the progress, and set the real -time management database. The IoT model will be used to replace the one -to -one model to improve the training effect, reduce excess labor, and increase the accuracy of monitoring data, and enable t"&amp;"he coach to guide users reasonably and improve the guidance effect.")</f>
        <v>The present invention has disclosed a visual training process management method, including the following steps: First of all, establish a basic management database, use the Internet to classify related data on intermittent training on the Internet, and scientifically determine the qualified data of each stage. Use the basic management database to design a set of training processes according to different stages, and make a relative interval division of monitoring data in the training process. The visual training process management method, by setting up the basic management database, using Internet big data to divide scientifically and reasonably at various stages, and then establish a user database according to the user's personal corresponding, the user can accurately understand the progress, and set the real -time management database. The IoT model will be used to replace the one -to -one model to improve the training effect, reduce excess labor, and increase the accuracy of monitoring data, and enable the coach to guide users reasonably and improve the guidance effect.</v>
      </c>
      <c r="D1010" s="6" t="s">
        <v>2957</v>
      </c>
      <c r="E1010" s="4" t="str">
        <f ca="1">IFERROR(__xludf.DUMMYFUNCTION("GOOGLETRANSLATE(D1010,""auto"",""en"")"),"A visual training process management method")</f>
        <v>A visual training process management method</v>
      </c>
    </row>
    <row r="1011" spans="1:5" ht="15" x14ac:dyDescent="0.25">
      <c r="A1011" s="5" t="s">
        <v>2958</v>
      </c>
      <c r="B1011" s="6" t="s">
        <v>2959</v>
      </c>
      <c r="C1011" s="3" t="str">
        <f ca="1">IFERROR(__xludf.DUMMYFUNCTION("GOOGLETRANSLATE(B1011,""auto"",""en"")"),"The invention provides a method and system and system based on the IoT big data. The method and system of warning and warning methods and systems. After video monitoring, automatically identify the movement of the fell to the system to meet the system tri"&amp;"gger bar, the AI ​​robot automatically locates the injured position and go. The injured person goes. Through the input injury type through the guidance system, the AI ​​system automatically matches the database emergency treatment scheme, gives voice guid"&amp;"ance, and provides corresponding equipment and drugs. According to the injury judgment, inform the venue management personnel or emergency center in real time, for each sports, for each sports The enthusiasts provide timely treatment services, reducing th"&amp;"e labor cost of medical staff in the stadium, and improving the efficiency of treatment.")</f>
        <v>The invention provides a method and system and system based on the IoT big data. The method and system of warning and warning methods and systems. After video monitoring, automatically identify the movement of the fell to the system to meet the system trigger bar, the AI ​​robot automatically locates the injured position and go. The injured person goes. Through the input injury type through the guidance system, the AI ​​system automatically matches the database emergency treatment scheme, gives voice guidance, and provides corresponding equipment and drugs. According to the injury judgment, inform the venue management personnel or emergency center in real time, for each sports, for each sports The enthusiasts provide timely treatment services, reducing the labor cost of medical staff in the stadium, and improving the efficiency of treatment.</v>
      </c>
      <c r="D1011" s="6" t="s">
        <v>2960</v>
      </c>
      <c r="E1011" s="4" t="str">
        <f ca="1">IFERROR(__xludf.DUMMYFUNCTION("GOOGLETRANSLATE(D1011,""auto"",""en"")"),"A method and system of sports injuries based on the Internet of Things big data")</f>
        <v>A method and system of sports injuries based on the Internet of Things big data</v>
      </c>
    </row>
    <row r="1012" spans="1:5" ht="15" x14ac:dyDescent="0.25">
      <c r="A1012" s="5" t="s">
        <v>2961</v>
      </c>
      <c r="B1012" s="6" t="s">
        <v>2962</v>
      </c>
      <c r="C1012" s="3" t="str">
        <f ca="1">IFERROR(__xludf.DUMMYFUNCTION("GOOGLETRANSLATE(B1012,""auto"",""en"")"),"This application provides a calibration method, calibration device and storage medium for table tennis tables. The calibration method of table tennis tables includes: obtaining images of the top surface of table tennis table; The feature points in the tab"&amp;"le coordinate system include the four corner points of the table tennis table and the intercourse between the mid -line between the length of the table tennis table and the two short -sides of the table tennis table; use the computer vision algorithm to d"&amp;"etect the feature point line of the coordinate system of the ball table Corresponding to the pixel coordinates of the camera coordinate coordinate system; according to the characteristic point array of the ball table coordinate system, the pixel coordinat"&amp;"e line of the camera coordinate system, and the known camera parameters, calculate the camera coordinate system and the ball table coordinate system Conversion relationship. This application can automatically calibrate the table tennis table without manua"&amp;"l operation, and the calibration efficiency is high, and the calibration results are more accurate.")</f>
        <v>This application provides a calibration method, calibration device and storage medium for table tennis tables. The calibration method of table tennis tables includes: obtaining images of the top surface of table tennis table; The feature points in the table coordinate system include the four corner points of the table tennis table and the intercourse between the mid -line between the length of the table tennis table and the two short -sides of the table tennis table; use the computer vision algorithm to detect the feature point line of the coordinate system of the ball table Corresponding to the pixel coordinates of the camera coordinate coordinate system; according to the characteristic point array of the ball table coordinate system, the pixel coordinate line of the camera coordinate system, and the known camera parameters, calculate the camera coordinate system and the ball table coordinate system Conversion relationship. This application can automatically calibrate the table tennis table without manual operation, and the calibration efficiency is high, and the calibration results are more accurate.</v>
      </c>
      <c r="D1012" s="6" t="s">
        <v>2963</v>
      </c>
      <c r="E1012" s="4" t="str">
        <f ca="1">IFERROR(__xludf.DUMMYFUNCTION("GOOGLETRANSLATE(D1012,""auto"",""en"")"),"The calibration method, calibration device and storage medium of table tennis table")</f>
        <v>The calibration method, calibration device and storage medium of table tennis table</v>
      </c>
    </row>
    <row r="1013" spans="1:5" ht="15" x14ac:dyDescent="0.25">
      <c r="A1013" s="5" t="s">
        <v>2964</v>
      </c>
      <c r="B1013" s="6" t="s">
        <v>2965</v>
      </c>
      <c r="C1013" s="3" t="str">
        <f ca="1">IFERROR(__xludf.DUMMYFUNCTION("GOOGLETRANSLATE(B1013,""auto"",""en"")"),"The systems and methods in this article are used to predict the performance of athletes in specific sports. For example, in fantasy football, users can choose players based on player statistics to form a team. The embodiments of this article can use machi"&amp;"ne learning through training and machine learning modules. Among them, various statistical data (eg, according to location) with individual players can predict the performance of individual players.")</f>
        <v>The systems and methods in this article are used to predict the performance of athletes in specific sports. For example, in fantasy football, users can choose players based on player statistics to form a team. The embodiments of this article can use machine learning through training and machine learning modules. Among them, various statistical data (eg, according to location) with individual players can predict the performance of individual players.</v>
      </c>
      <c r="D1013" s="6" t="s">
        <v>2966</v>
      </c>
      <c r="E1013" s="4" t="str">
        <f ca="1">IFERROR(__xludf.DUMMYFUNCTION("GOOGLETRANSLATE(D1013,""auto"",""en"")"),"Forecast recovery and performance analysis system and method")</f>
        <v>Forecast recovery and performance analysis system and method</v>
      </c>
    </row>
    <row r="1014" spans="1:5" ht="15" x14ac:dyDescent="0.25">
      <c r="A1014" s="5" t="s">
        <v>2967</v>
      </c>
      <c r="B1014" s="6" t="s">
        <v>2968</v>
      </c>
      <c r="C1014" s="3" t="str">
        <f ca="1">IFERROR(__xludf.DUMMYFUNCTION("GOOGLETRANSLATE(B1014,""auto"",""en"")"),"This application involves the field of intelligent movement, which specifically discloses a scientific training guidance system and its working method based on wearable devices. It adopts deep learning technology based on convolutional neural networks. Th"&amp;"e correlation characteristics on the upper and frequency domains are classified by this, and in the process, the use scale changes to integrate the hidden correlation characteristics of time domain information and frequency domain information The result o"&amp;"f the category of the athlete's movement is more accurate. In this way, scientific training and guidance can be conducted by users' sports or running, so as to achieve the purpose of scientific training.")</f>
        <v>This application involves the field of intelligent movement, which specifically discloses a scientific training guidance system and its working method based on wearable devices. It adopts deep learning technology based on convolutional neural networks. The correlation characteristics on the upper and frequency domains are classified by this, and in the process, the use scale changes to integrate the hidden correlation characteristics of time domain information and frequency domain information The result of the category of the athlete's movement is more accurate. In this way, scientific training and guidance can be conducted by users' sports or running, so as to achieve the purpose of scientific training.</v>
      </c>
      <c r="D1014" s="6" t="s">
        <v>2969</v>
      </c>
      <c r="E1014" s="4" t="str">
        <f ca="1">IFERROR(__xludf.DUMMYFUNCTION("GOOGLETRANSLATE(D1014,""auto"",""en"")"),"Scientific training guidance system and working method based on wearable devices")</f>
        <v>Scientific training guidance system and working method based on wearable devices</v>
      </c>
    </row>
    <row r="1015" spans="1:5" ht="15" x14ac:dyDescent="0.25">
      <c r="A1015" s="5" t="s">
        <v>2970</v>
      </c>
      <c r="B1015" s="6" t="s">
        <v>2971</v>
      </c>
      <c r="C1015" s="3" t="str">
        <f ca="1">IFERROR(__xludf.DUMMYFUNCTION("GOOGLETRANSLATE(B1015,""auto"",""en"")"),"1. The name of the product of the design of the product: The display screen panel with barrier -free information guides the user interface.
 2. The purpose of designing products in this exterior: It is used to display information. The display screen pan"&amp;"el can be used for mobile phones and tablets.
 3. Design of the design of the product in this exterior: lies in the content of the graphic user interface.
 4. Pictures or photos that can most indicate design points: main view.
 5. No design features"&amp;", omitting other views other than the main view.
 6. The purpose of the graphical user interface: It is used to display the location and information of the barrier -free facilities in the space, providing convenience for those with demand.
 7. Human -"&amp;"computer interaction method of graphical user interface: The main view is the homepage of the interface, click the ""guide map"" of the main view to enter the interface change state diagram &amp; nbsp; 1 &amp; nbsp; Interface changes status diagram &amp; nbsp; 1 &amp; nb"&amp;"sp; ""Athlete Restaurant"" enters the interface change state diagram &amp; nbsp; 2, click the interface change status diagram &amp; nbsp; The ""medical center"" of the interface change state diagram &amp; nbsp; 1 &amp; nbsp; enter the interface change state diagram &amp; nbs"&amp;"p; 4, click the interface change status diagram &amp; nbsp; 1 &amp; nbsp; &amp; nbsp; 1 &amp; nbsp; ""space"" enter the interface change state diagram &amp; nbsp; 6 &amp; nbsp; default ""public space"", click the interface change status diagram &amp; nbsp; 6 &amp; nbsp; P ; 6 &amp; nbsp; """&amp;"Athlete Apartment"" enters the interface change state diagram &amp; nbsp; 8, the changing status diagram of the hit interface &amp; nbsp; 8 &amp; nbsp; ""Enter the interface change state diagram &amp; nbsp; 10 &amp; nbsp; default"" entry and exit "", click the interface chan"&amp;"ge status diagram &amp; nbsp; 10 &amp; nbsp; enter the interface change state diagram &amp; nbsp; 11, click the interface change status chart &amp; nbsp; 10 &amp; nbsp;"" Sharing Facilities ""Enter the interface change state diagram &amp; nbsp; 12, click the interface change sta"&amp;"tus diagram &amp; nbsp; 12 &amp; nbsp; position button or green wheelchair icon in the map enters the interface change state diagram &amp; nbsp; 13, click the interface change status diagram &amp; nbsp; 1 &amp; nbsp; Parking ""Enter the interface change state diagram &amp; nbsp;"&amp;" 14, click"" My ""entering the interface change status diagram of"" My ""in the main view of the main view, click the"" scheduling application ""of the interface change status diagram &amp; nbsp; 15 &amp; nbsp; , Click the ""parking space reservation"" of the int"&amp;"erface change state diagram &amp; nbsp; 15 &amp; nbsp; enter the interface change state diagram &amp; nbsp; 17.")</f>
        <v>1. The name of the product of the design of the product: The display screen panel with barrier -free information guides the user interface.
 2. The purpose of designing products in this exterior: It is used to display information. The display screen panel can be used for mobile phones and tablets.
 3. Design of the design of the product in this exterior: lies in the content of the graphic user interface.
 4. Pictures or photos that can most indicate design points: main view.
 5. No design features, omitting other views other than the main view.
 6. The purpose of the graphical user interface: It is used to display the location and information of the barrier -free facilities in the space, providing convenience for those with demand.
 7. Human -computer interaction method of graphical user interface: The main view is the homepage of the interface, click the "guide map" of the main view to enter the interface change state diagram &amp; nbsp; 1 &amp; nbsp; Interface changes status diagram &amp; nbsp; 1 &amp; nbsp; "Athlete Restaurant" enters the interface change state diagram &amp; nbsp; 2, click the interface change status diagram &amp; nbsp; The "medical center" of the interface change state diagram &amp; nbsp; 1 &amp; nbsp; enter the interface change state diagram &amp; nbsp; 4, click the interface change status diagram &amp; nbsp; 1 &amp; nbsp; &amp; nbsp; 1 &amp; nbsp; "space" enter the interface change state diagram &amp; nbsp; 6 &amp; nbsp; default "public space", click the interface change status diagram &amp; nbsp; 6 &amp; nbsp; P ; 6 &amp; nbsp; "Athlete Apartment" enters the interface change state diagram &amp; nbsp; 8, the changing status diagram of the hit interface &amp; nbsp; 8 &amp; nbsp; "Enter the interface change state diagram &amp; nbsp; 10 &amp; nbsp; default" entry and exit ", click the interface change status diagram &amp; nbsp; 10 &amp; nbsp; enter the interface change state diagram &amp; nbsp; 11, click the interface change status chart &amp; nbsp; 10 &amp; nbsp;" Sharing Facilities "Enter the interface change state diagram &amp; nbsp; 12, click the interface change status diagram &amp; nbsp; 12 &amp; nbsp; position button or green wheelchair icon in the map enters the interface change state diagram &amp; nbsp; 13, click the interface change status diagram &amp; nbsp; 1 &amp; nbsp; Parking "Enter the interface change state diagram &amp; nbsp; 14, click" My "entering the interface change status diagram of" My "in the main view of the main view, click the" scheduling application "of the interface change status diagram &amp; nbsp; 15 &amp; nbsp; , Click the "parking space reservation" of the interface change state diagram &amp; nbsp; 15 &amp; nbsp; enter the interface change state diagram &amp; nbsp; 17.</v>
      </c>
      <c r="D1015" s="6" t="s">
        <v>2972</v>
      </c>
      <c r="E1015" s="4" t="str">
        <f ca="1">IFERROR(__xludf.DUMMYFUNCTION("GOOGLETRANSLATE(D1015,""auto"",""en"")"),"Display screen panel with barrier -free information guidance user interface")</f>
        <v>Display screen panel with barrier -free information guidance user interface</v>
      </c>
    </row>
    <row r="1016" spans="1:5" ht="15" x14ac:dyDescent="0.25">
      <c r="A1016" s="5" t="s">
        <v>2973</v>
      </c>
      <c r="B1016" s="6" t="s">
        <v>2974</v>
      </c>
      <c r="C1016" s="3" t="str">
        <f ca="1">IFERROR(__xludf.DUMMYFUNCTION("GOOGLETRANSLATE(B1016,""auto"",""en"")"),"The user calculates the entity execution of the application code to display IUI by using the user's user interface to calculate the user interface through the user. IUI includes action list, which includes one or more action items corresponding to one or "&amp;"more team members corresponding to the team. Action projects are automatically sorted according to one or more action priorities. At least one in the action project corresponds to the opportunity for counseling and responding to it. Recommended models of "&amp;"machine learning training based on performance data corresponding to multiple key performance indicators measured by multiple key performance indicators are used automatically. The recommendation of the coaching opportunity is determined by using a recomm"&amp;"endation model and based on performance data. Recommended models use information about previous coaching opportunities and the corresponding results indicators of a group of teams for training.")</f>
        <v>The user calculates the entity execution of the application code to display IUI by using the user's user interface to calculate the user interface through the user. IUI includes action list, which includes one or more action items corresponding to one or more team members corresponding to the team. Action projects are automatically sorted according to one or more action priorities. At least one in the action project corresponds to the opportunity for counseling and responding to it. Recommended models of machine learning training based on performance data corresponding to multiple key performance indicators measured by multiple key performance indicators are used automatically. The recommendation of the coaching opportunity is determined by using a recommendation model and based on performance data. Recommended models use information about previous coaching opportunities and the corresponding results indicators of a group of teams for training.</v>
      </c>
      <c r="D1016" s="6" t="s">
        <v>2975</v>
      </c>
      <c r="E1016" s="4" t="str">
        <f ca="1">IFERROR(__xludf.DUMMYFUNCTION("GOOGLETRANSLATE(D1016,""auto"",""en"")"),"Self -training machine learning system for generating and providing action recommendations")</f>
        <v>Self -training machine learning system for generating and providing action recommendations</v>
      </c>
    </row>
    <row r="1017" spans="1:5" ht="15" x14ac:dyDescent="0.25">
      <c r="A1017" s="5" t="s">
        <v>2976</v>
      </c>
      <c r="B1017" s="6" t="s">
        <v>2977</v>
      </c>
      <c r="C1017" s="3" t="str">
        <f ca="1">IFERROR(__xludf.DUMMYFUNCTION("GOOGLETRANSLATE(B1017,""auto"",""en"")"),"The invention involves a psychological assessment device of a sports athletes. The relationship information between the psychological characteristics of the input from the comments related to sports and the various positions of the sports events is learne"&amp;"d to build an artificial intelligence model. The location of sports athletes in sports events.")</f>
        <v>The invention involves a psychological assessment device of a sports athletes. The relationship information between the psychological characteristics of the input from the comments related to sports and the various positions of the sports events is learned to build an artificial intelligence model. The location of sports athletes in sports events.</v>
      </c>
      <c r="D1017" s="6" t="s">
        <v>2978</v>
      </c>
      <c r="E1017" s="4" t="str">
        <f ca="1">IFERROR(__xludf.DUMMYFUNCTION("GOOGLETRANSLATE(D1017,""auto"",""en"")"),"Sports athlete psychological evaluation device, method and program")</f>
        <v>Sports athlete psychological evaluation device, method and program</v>
      </c>
    </row>
    <row r="1018" spans="1:5" ht="15" x14ac:dyDescent="0.25">
      <c r="A1018" s="5" t="s">
        <v>2979</v>
      </c>
      <c r="B1018" s="6" t="s">
        <v>2980</v>
      </c>
      <c r="C1018" s="3" t="str">
        <f ca="1">IFERROR(__xludf.DUMMYFUNCTION("GOOGLETRANSLATE(B1018,""auto"",""en"")"),"The method of training agents uses a hybrid scene to teach specific skills that are useful in larger areas, such as hybrid racing and very specific tactical racing scenes. The aspect of this method can include the following or more: (1) training agents to"&amp;" perform well by scattered one or more cars on the track; (2) run agents in various racing scenes, Variable opponents start with different configurations on the track; (3) The opponent is 4) Set a specific short scene with the opponent in various competit"&amp;"ions, and have specific success standards; (5) Formulate dynamic courses based on the performance of the smart body in various evaluation scenarios.")</f>
        <v>The method of training agents uses a hybrid scene to teach specific skills that are useful in larger areas, such as hybrid racing and very specific tactical racing scenes. The aspect of this method can include the following or more: (1) training agents to perform well by scattered one or more cars on the track; (2) run agents in various racing scenes, Variable opponents start with different configurations on the track; (3) The opponent is 4) Set a specific short scene with the opponent in various competitions, and have specific success standards; (5) Formulate dynamic courses based on the performance of the smart body in various evaluation scenarios.</v>
      </c>
      <c r="D1018" s="6" t="s">
        <v>1853</v>
      </c>
      <c r="E1018" s="4" t="str">
        <f ca="1">IFERROR(__xludf.DUMMYFUNCTION("GOOGLETRANSLATE(D1018,""auto"",""en"")"),"Use courses and skills to train artificial intelligence agents")</f>
        <v>Use courses and skills to train artificial intelligence agents</v>
      </c>
    </row>
    <row r="1019" spans="1:5" ht="15" x14ac:dyDescent="0.25">
      <c r="A1019" s="5" t="s">
        <v>2981</v>
      </c>
      <c r="B1019" s="6" t="s">
        <v>2982</v>
      </c>
      <c r="C1019" s="3" t="str">
        <f ca="1">IFERROR(__xludf.DUMMYFUNCTION("GOOGLETRANSLATE(B1019,""auto"",""en"")"),"The present invention involves an AI health coaching system that uses teaching machines and cameras;
  Artificial Intelligence Health Coach; including,, including
  AI health coach
  Image input unit, through its input camera image;
  Image proces"&amp;"sing unit, filtering and removing noise from the input image;
  AI model unit for AI processing;
  Transmission unit;
  Receiver;
  Storage unit for storing data;
  It is characterized by the control unit.
  In addition, the control unit disti"&amp;"nguishes the correct posture and the need to correct it through the AI ​​model unit, and when it needs to be corrected, it is characterized by the transfer of corrections to users to help users maintain the correct posture. Through text and voice.
  In "&amp;"addition, the control unit outputs voice guidance to the user through a speaker as an audio output device without increasing the number of times the user maintains the wrong posture through the AI ​​model unit. The camera can be transmitted. When exercisi"&amp;"ng, you can compare the correct motion posture and your own posture in real time. You can also view the recognition range and process. It will reduce the tension and embarrassment of AI, induce children to be proactive, and the effect is significant. And "&amp;"participate in the exercise plan interesting.")</f>
        <v>The present invention involves an AI health coaching system that uses teaching machines and cameras;
  Artificial Intelligence Health Coach; including,, including
  AI health coach
  Image input unit, through its input camera image;
  Image processing unit, filtering and removing noise from the input image;
  AI model unit for AI processing;
  Transmission unit;
  Receiver;
  Storage unit for storing data;
  It is characterized by the control unit.
  In addition, the control unit distinguishes the correct posture and the need to correct it through the AI ​​model unit, and when it needs to be corrected, it is characterized by the transfer of corrections to users to help users maintain the correct posture. Through text and voice.
  In addition, the control unit outputs voice guidance to the user through a speaker as an audio output device without increasing the number of times the user maintains the wrong posture through the AI ​​model unit. The camera can be transmitted. When exercising, you can compare the correct motion posture and your own posture in real time. You can also view the recognition range and process. It will reduce the tension and embarrassment of AI, induce children to be proactive, and the effect is significant. And participate in the exercise plan interesting.</v>
      </c>
      <c r="D1019" s="6" t="s">
        <v>2983</v>
      </c>
      <c r="E1019" s="4" t="str">
        <f ca="1">IFERROR(__xludf.DUMMYFUNCTION("GOOGLETRANSLATE(D1019,""auto"",""en"")"),"Use the artificial intelligence health coaching system with teaching machines")</f>
        <v>Use the artificial intelligence health coaching system with teaching machines</v>
      </c>
    </row>
    <row r="1020" spans="1:5" ht="15" x14ac:dyDescent="0.25">
      <c r="A1020" s="5" t="s">
        <v>2984</v>
      </c>
      <c r="B1020" s="6" t="s">
        <v>2985</v>
      </c>
      <c r="C1020" s="3" t="str">
        <f ca="1">IFERROR(__xludf.DUMMYFUNCTION("GOOGLETRANSLATE(B1020,""auto"",""en"")"),"Games are one of the sports on track and field. It contains more occasions such as walking, running, tossing and swimming. The sports will occupy an important position in sports, and almost every country on the earth is eager to prepare for the competitio"&amp;"n. In order to promote a solid lifestyle and the significance of human attention, various views have been put forward. It includes the expanding pace of healthcare, so that the expected life span exceeds more time. The remaining work comfort and personal "&amp;"satisfaction. The purpose of this review is to check the expansion of the information based on the athlete's preparation and attention to the exercise method. Due to the lack of reasonable preparation and investment, the execution of the contestants canno"&amp;"t be improved. To overcome this, the coach needs to be prepared and invested for the contestants. We propose a new method called the smart sensor network, which handles the criteria for feedback components. Speaking of innovative technologies based on wea"&amp;"rable sensors, the sensor combines human power estimates and biomechanics. The information obtained from the diversity of these related tasks in exercise preparation will display the value of the data obtained on the movement. The creation of innovation i"&amp;"s used to predict the preparation of movement and consider the inspection execution of competitors.")</f>
        <v>Games are one of the sports on track and field. It contains more occasions such as walking, running, tossing and swimming. The sports will occupy an important position in sports, and almost every country on the earth is eager to prepare for the competition. In order to promote a solid lifestyle and the significance of human attention, various views have been put forward. It includes the expanding pace of healthcare, so that the expected life span exceeds more time. The remaining work comfort and personal satisfaction. The purpose of this review is to check the expansion of the information based on the athlete's preparation and attention to the exercise method. Due to the lack of reasonable preparation and investment, the execution of the contestants cannot be improved. To overcome this, the coach needs to be prepared and invested for the contestants. We propose a new method called the smart sensor network, which handles the criteria for feedback components. Speaking of innovative technologies based on wearable sensors, the sensor combines human power estimates and biomechanics. The information obtained from the diversity of these related tasks in exercise preparation will display the value of the data obtained on the movement. The creation of innovation is used to predict the preparation of movement and consider the inspection execution of competitors.</v>
      </c>
      <c r="D1020" s="6" t="s">
        <v>2986</v>
      </c>
      <c r="E1020" s="4" t="str">
        <f ca="1">IFERROR(__xludf.DUMMYFUNCTION("GOOGLETRANSLATE(D1020,""auto"",""en"")"),"Analysis of the athletes based on the Internet of Things by the embedded sensor")</f>
        <v>Analysis of the athletes based on the Internet of Things by the embedded sensor</v>
      </c>
    </row>
    <row r="1021" spans="1:5" ht="15" x14ac:dyDescent="0.25">
      <c r="A1021" s="5" t="s">
        <v>2987</v>
      </c>
      <c r="B1021" s="6" t="s">
        <v>2988</v>
      </c>
      <c r="C1021" s="3" t="str">
        <f ca="1">IFERROR(__xludf.DUMMYFUNCTION("GOOGLETRANSLATE(B1021,""auto"",""en"")"),"A fitness assistance method in the field of artificial intelligence, which is characterized by: this method includes: electronic device acquisition user movement (S601); electronic equipment determines the first limb movement trajectory of the user's move"&amp;"ment from the user's movement to meet the first preset conditions of the first preset condition. Alternative action (S602); Electronic equipment determines the amplitude of the second limbs in the alternative action (S603); the electronic device determine"&amp;"s the output guidance information according to the motion change amplitude amplitude (S604). By determining the replacement action of the limb movement trajectory to meet the first preset conditions, the user can accurately determine the user's fitness ac"&amp;"tion according to the motion changes of the limb during the alternative action. Output guidance information when determining the user's fitness action can improve the accuracy of the guide information output and improve the user experience.")</f>
        <v>A fitness assistance method in the field of artificial intelligence, which is characterized by: this method includes: electronic device acquisition user movement (S601); electronic equipment determines the first limb movement trajectory of the user's movement from the user's movement to meet the first preset conditions of the first preset condition. Alternative action (S602); Electronic equipment determines the amplitude of the second limbs in the alternative action (S603); the electronic device determines the output guidance information according to the motion change amplitude amplitude (S604). By determining the replacement action of the limb movement trajectory to meet the first preset conditions, the user can accurately determine the user's fitness action according to the motion changes of the limb during the alternative action. Output guidance information when determining the user's fitness action can improve the accuracy of the guide information output and improve the user experience.</v>
      </c>
      <c r="D1021" s="6" t="s">
        <v>2989</v>
      </c>
      <c r="E1021" s="4" t="str">
        <f ca="1">IFERROR(__xludf.DUMMYFUNCTION("GOOGLETRANSLATE(D1021,""auto"",""en"")"),"Fitness auxiliary methods and electronic equipment")</f>
        <v>Fitness auxiliary methods and electronic equipment</v>
      </c>
    </row>
    <row r="1022" spans="1:5" ht="15" x14ac:dyDescent="0.25">
      <c r="A1022" s="5" t="s">
        <v>2990</v>
      </c>
      <c r="B1022" s="6" t="s">
        <v>2991</v>
      </c>
      <c r="C1022" s="3" t="str">
        <f ca="1">IFERROR(__xludf.DUMMYFUNCTION("GOOGLETRANSLATE(B1022,""auto"",""en"")"),"The present invention is a kind of water tank, a cleaning machine that can clean the water tank, such as aquariums, swimming pools or bathtubs. Its working principle is a water absorption impeller installed on the second water absorption room. Each water "&amp;"-absorbent in the first water absorption room and the second water absorption room absorbs water from the water tank, and then transmits the torque of the sensor -based rotating device to the wiping device. Through power transmission device.")</f>
        <v>The present invention is a kind of water tank, a cleaning machine that can clean the water tank, such as aquariums, swimming pools or bathtubs. Its working principle is a water absorption impeller installed on the second water absorption room. Each water -absorbent in the first water absorption room and the second water absorption room absorbs water from the water tank, and then transmits the torque of the sensor -based rotating device to the wiping device. Through power transmission device.</v>
      </c>
      <c r="D1022" s="6" t="s">
        <v>2992</v>
      </c>
      <c r="E1022" s="4" t="str">
        <f ca="1">IFERROR(__xludf.DUMMYFUNCTION("GOOGLETRANSLATE(D1022,""auto"",""en"")"),"Automatic water tank cleaning and monitoring equipment with the Internet of Things")</f>
        <v>Automatic water tank cleaning and monitoring equipment with the Internet of Things</v>
      </c>
    </row>
    <row r="1023" spans="1:5" ht="15" x14ac:dyDescent="0.25">
      <c r="A1023" s="5" t="s">
        <v>2993</v>
      </c>
      <c r="B1023" s="6" t="s">
        <v>2994</v>
      </c>
      <c r="C1023" s="3" t="str">
        <f ca="1">IFERROR(__xludf.DUMMYFUNCTION("GOOGLETRANSLATE(B1023,""auto"",""en"")"),"A safety exercise equipment, including treadmill 1, treadmill 2 is used to provide users with platforms to perform running/exercise, characterized by scanning biometric scanners with unregistered user fingerprints 3, junior artificial intelligence enable "&amp;"image capture Module 5 used to perform multi -level certification 5, a pair of pneumatic telescopic rod 6 is equipped with an ultrasonic sensor 8 to determine the distance between the user's leg and pole 7, the second artificially enabled image capture mo"&amp;"dule 9 is used to detect the ankle part of the ankle part Size users' legs, a pair of electromagnetic ankle heavy objects 10, used to clamp the user's ankle according to the detected size, multiple electromagnet 11 layers are stacked on the deck 2, the el"&amp;"ectromagnet 11 is powered by power to generate a magnetic field to attract electromagnetic when running. Herk heavy object 10 /Exercise on a treadmill 1.")</f>
        <v>A safety exercise equipment, including treadmill 1, treadmill 2 is used to provide users with platforms to perform running/exercise, characterized by scanning biometric scanners with unregistered user fingerprints 3, junior artificial intelligence enable image capture Module 5 used to perform multi -level certification 5, a pair of pneumatic telescopic rod 6 is equipped with an ultrasonic sensor 8 to determine the distance between the user's leg and pole 7, the second artificially enabled image capture module 9 is used to detect the ankle part of the ankle part Size users' legs, a pair of electromagnetic ankle heavy objects 10, used to clamp the user's ankle according to the detected size, multiple electromagnet 11 layers are stacked on the deck 2, the electromagnet 11 is powered by power to generate a magnetic field to attract electromagnetic when running. Herk heavy object 10 /Exercise on a treadmill 1.</v>
      </c>
      <c r="D1023" s="6" t="s">
        <v>2995</v>
      </c>
      <c r="E1023" s="4" t="str">
        <f ca="1">IFERROR(__xludf.DUMMYFUNCTION("GOOGLETRANSLATE(D1023,""auto"",""en"")"),"Safety exercise device")</f>
        <v>Safety exercise device</v>
      </c>
    </row>
    <row r="1024" spans="1:5" ht="15" x14ac:dyDescent="0.25">
      <c r="A1024" s="5" t="s">
        <v>2996</v>
      </c>
      <c r="B1024" s="6" t="s">
        <v>2997</v>
      </c>
      <c r="C1024" s="3" t="str">
        <f ca="1">IFERROR(__xludf.DUMMYFUNCTION("GOOGLETRANSLATE(B1024,""auto"",""en"")"),"1. The name of the product in appearance: The display screen panel with punch -in salary settlement graphic user interface.
 2. Design products in appearance: used for running program and display information.
 3. Design of design products in this appe"&amp;"arance: lies in the graphic user interface in the screen.
 4. Pictures or photos that can most indicate design points: main view.
 5. There is no design point for other views, omitting other views.
 6. The purpose of graphical user interface: The in"&amp;"terface is used for employee user work punch card, salary settlement, and viewing the use of income.
 7. Human -computer interaction method of graphics user interface: The graphic user interface displayed by the main view is the homepage interface of th"&amp;"e program; Change status Figure 2: Click the ""Change"" button above the interface to change the ""change of shift"" button to pop up the interface change state. Figure 2; The button enters the interface change state Figure 3; the interface change state F"&amp;"igure 4: click the interface change state Figure 3 The ""camera example"" button in the upper right corner of the right corner pops up the interface change state Figure 4; The face is placed in the center of the external camera and clicks the interface ch"&amp;"ange state. 3 The lower bottom of the center of the central center will automatically jump to the interface change state Figure 5 after the interface. The ""Know"" button in the central government gets the interface change state Figure 6; interface change"&amp;" state Figure 7: in the interface change state Figure 6 Waiting to automatically change to the interface changes after the time of the check -in. Figure 7 Refer to the interface changes. Figure 3 5 operation of the interface change state after check -in. "&amp;"The interface change status Figure 10: Click the ""My"" button in the lower right corner of the main screen to enter the interface change state Figure 10.
 8. The graphic user interface and display screen panel of the product can be applied to various o"&amp;"perating programmable electronic equipment/devices, such as computers, laptops, display devices, communication equipment, multimedia equipment, information terminal, portable communication, portable communication Equipment, portable multimedia device, por"&amp;"table information terminal, tablet computer, mobile phone, smartphone, wearable device, smart glasses, virtual reality glasses, augmented reality glasses, hybrid glasses, watches, smart watches, fitness monitor, headset headset , Personal digital assistan"&amp;"t, smart speakers, television, set -top boxes, game systems.
 The gray ""X"" coating content in the graphic user interface of the product is the content picture.")</f>
        <v>1. The name of the product in appearance: The display screen panel with punch -in salary settlement graphic user interface.
 2. Design products in appearance: used for running program and display information.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employee user work punch card, salary settlement, and viewing the use of income.
 7. Human -computer interaction method of graphics user interface: The graphic user interface displayed by the main view is the homepage interface of the program; Change status Figure 2: Click the "Change" button above the interface to change the "change of shift" button to pop up the interface change state. Figure 2; The button enters the interface change state Figure 3; the interface change state Figure 4: click the interface change state Figure 3 The "camera example" button in the upper right corner of the right corner pops up the interface change state Figure 4; The face is placed in the center of the external camera and clicks the interface change state. 3 The lower bottom of the center of the central center will automatically jump to the interface change state Figure 5 after the interface. The "Know" button in the central government gets the interface change state Figure 6; interface change state Figure 7: in the interface change state Figure 6 Waiting to automatically change to the interface changes after the time of the check -in. Figure 7 Refer to the interface changes. Figure 3 5 operation of the interface change state after check -in. The interface change status Figure 10: Click the "My" button in the lower right corner of the main screen to enter the interface change state Figure 10.
 8. The graphic user interface and display screen panel of the product can be applied to various operating programmable electronic equipment/devices, such as computers, laptops, display devices, communication equipment, multimedia equipment, information terminal, portable communication, portable communication Equipment, portable multimedia device, portable information terminal, tablet computer, mobile phone, smartphone, wearable device, smart glasses, virtual reality glasses, augmented reality glasses, hybrid glasses, watches, smart watches, fitness monitor, headset headset , Personal digital assistant, smart speakers, television, set -top boxes, game systems.
 The gray "X" coating content in the graphic user interface of the product is the content picture.</v>
      </c>
      <c r="D1024" s="6" t="s">
        <v>2998</v>
      </c>
      <c r="E1024" s="4" t="str">
        <f ca="1">IFERROR(__xludf.DUMMYFUNCTION("GOOGLETRANSLATE(D1024,""auto"",""en"")"),"Display screen panel with punch card salary settlement graphic user interface")</f>
        <v>Display screen panel with punch card salary settlement graphic user interface</v>
      </c>
    </row>
    <row r="1025" spans="1:5" ht="15" x14ac:dyDescent="0.25">
      <c r="A1025" s="5" t="s">
        <v>2999</v>
      </c>
      <c r="B1025" s="6" t="s">
        <v>3000</v>
      </c>
      <c r="C1025" s="3" t="str">
        <f ca="1">IFERROR(__xludf.DUMMYFUNCTION("GOOGLETRANSLATE(B1025,""auto"",""en"")"),"1. Design product name: Bring the display screen panel with the background to check the graphic user interface.
 2. Design products in appearance: used for running program and display information.
 3. Design of design products in this appearance: lies"&amp;" in the graphic user interface in the screen.
 4. Pictures or photos that can most indicate design points: main view.
 5. There is no design point for other views, omitting other views.
 6. The purpose of graphics user interface: The interface is us"&amp;"ed for the use of the corporate background review and monitoring employees to check in, verify the risk of punching cards and display information.
 7. Human -computer interaction method of graphical user interface: The graphic user interface displayed b"&amp;"y the main view is the homepage interface of the program; Figure 2: Click the ""You Have an X Risk Personnel Information to Review"" button under the main view ""To the event"" button enter the interface change state. The second ""verification risk"" butt"&amp;"on enters the interface change state Figure 3; interface change state Figure 4: in the interface change state Figure 3 to slide up in the central center to get the interface change state Figure 4; Figure 3 The bottom of the ""Confirmation of Riskless"" bu"&amp;"tton pops up the interface change state Figure 5; the interface change state Figure 6: Click the interface change status. 3 The bottom ""Confirmation of Risk"" button pops up the interface change state. 6; interface change status diagram 7: Click the ""pr"&amp;"ocessed"" button in the upper right corner of the interface in the upper right corner of the interface. The button to enter the interface change state Figure 8; the interface change state figure 9: Click the interface change state Figure 8 The ""Review"" "&amp;"button at the top right to pop up the interface change state. 9; The ""Review"" button pops up the interface change state Figure 10; the interface changes state Figure 11: Click the interface change state Figure 8 The ""review and rejection"" button on th"&amp;"e right side of the central center pops up the interface changes. Status Figure 8 from top to bottom to enter the interface change state changes in the blank space to be reviewed in the blank space of the card; Status Figure 14: Click the ""Reject"" butto"&amp;"n at the bottom of the ""Reject"" button at the bottom of the interface changes. ; Interface change status Figure 16: Click the interface change state Figure 15 from top to bottom 1 has reviewed card blank space into the interface change state. 16; Enter "&amp;"the interface changes in the blank space of the audit card. 18 Right on the right from top to bottom, a ""small arrow"" icon button enters the interface change state diagram 19; interface change state Figure 20: In the interface change state figure 19 to "&amp;"slide up in the center of the center Figure 21: Click the ""Little Arrow"" icon button in the upper right corner of the interface to enter the interface change state in the upper right corner 19. Figure 21.
 8. The graphic user interface and display scr"&amp;"een panel of the product can be applied to various operating programmable electronic equipment/devices, such as computers, laptops, display devices, communication equipment, multimedia equipment, information terminal, portable communication, portable comm"&amp;"unication Equipment, portable multimedia device, portable information terminal, tablet computer, mobile phone, smartphone, wearable device, smart glasses, virtual reality glasses, augmented reality glasses, hybrid glasses, watches, smart watches, fitness "&amp;"monitor, headset headset , Personal digital assistant, smart speakers, television, set -top boxes, game systems.
 The gray ""X"" coating content in the graphic user interface of the product is the content picture.")</f>
        <v>1. Design product name: Bring the display screen panel with the background to check the graphic user interface.
 2. Design products in appearance: used for running program and display information.
 3. Design of design products in this appearance: lies in the graphic user interface in the screen.
 4. Pictures or photos that can most indicate design points: main view.
 5. There is no design point for other views, omitting other views.
 6. The purpose of graphics user interface: The interface is used for the use of the corporate background review and monitoring employees to check in, verify the risk of punching cards and display information.
 7. Human -computer interaction method of graphical user interface: The graphic user interface displayed by the main view is the homepage interface of the program; Figure 2: Click the "You Have an X Risk Personnel Information to Review" button under the main view "To the event" button enter the interface change state. The second "verification risk" button enters the interface change state Figure 3; interface change state Figure 4: in the interface change state Figure 3 to slide up in the central center to get the interface change state Figure 4; Figure 3 The bottom of the "Confirmation of Riskless" button pops up the interface change state Figure 5; the interface change state Figure 6: Click the interface change status. 3 The bottom "Confirmation of Risk" button pops up the interface change state. 6; interface change status diagram 7: Click the "processed" button in the upper right corner of the interface in the upper right corner of the interface. The button to enter the interface change state Figure 8; the interface change state figure 9: Click the interface change state Figure 8 The "Review" button at the top right to pop up the interface change state. 9; The "Review" button pops up the interface change state Figure 10; the interface changes state Figure 11: Click the interface change state Figure 8 The "review and rejection" button on the right side of the central center pops up the interface changes. Status Figure 8 from top to bottom to enter the interface change state changes in the blank space to be reviewed in the blank space of the card; Status Figure 14: Click the "Reject" button at the bottom of the "Reject" button at the bottom of the interface changes. ; Interface change status Figure 16: Click the interface change state Figure 15 from top to bottom 1 has reviewed card blank space into the interface change state. 16; Enter the interface changes in the blank space of the audit card. 18 Right on the right from top to bottom, a "small arrow" icon button enters the interface change state diagram 19; interface change state Figure 20: In the interface change state figure 19 to slide up in the center of the center Figure 21: Click the "Little Arrow" icon button in the upper right corner of the interface to enter the interface change state in the upper right corner 19. Figure 21.
 8. The graphic user interface and display screen panel of the product can be applied to various operating programmable electronic equipment/devices, such as computers, laptops, display devices, communication equipment, multimedia equipment, information terminal, portable communication, portable communication Equipment, portable multimedia device, portable information terminal, tablet computer, mobile phone, smartphone, wearable device, smart glasses, virtual reality glasses, augmented reality glasses, hybrid glasses, watches, smart watches, fitness monitor, headset headset , Personal digital assistant, smart speakers, television, set -top boxes, game systems.
 The gray "X" coating content in the graphic user interface of the product is the content picture.</v>
      </c>
      <c r="D1025" s="6" t="s">
        <v>3001</v>
      </c>
      <c r="E1025" s="4" t="str">
        <f ca="1">IFERROR(__xludf.DUMMYFUNCTION("GOOGLETRANSLATE(D1025,""auto"",""en"")"),"Bring the display screen panel with background punch card to review the graphical user interface")</f>
        <v>Bring the display screen panel with background punch card to review the graphical user interface</v>
      </c>
    </row>
    <row r="1026" spans="1:5" ht="15" x14ac:dyDescent="0.25">
      <c r="A1026" s="5" t="s">
        <v>3002</v>
      </c>
      <c r="B1026" s="6" t="s">
        <v>3003</v>
      </c>
      <c r="C1026" s="3" t="str">
        <f ca="1">IFERROR(__xludf.DUMMYFUNCTION("GOOGLETRANSLATE(B1026,""auto"",""en"")"),"The invention discloses a recycled water breeding fish intelligent grading system. The system may include breeding ponds, underwater cameras, biomass assessment channels, fish pumps, servers, and light lights. This system mainly uses machine vision and ar"&amp;"tificial intelligence algorithms to quantify and analyze circulating water breeding fish community level structure information, and then combine the characteristics of swimming strategies between individuals in different communities of fish groups to coup"&amp;"ling circulating water breeding environment information and solve solving The best community -level structure configuration of the current breeding object, and is based on this configuration to achieve the intelligent grading of fish. The system structure"&amp;" of the present invention is simple and simple and effective. While ensuring that farming fish feeding benefits, it can promote the stability of the level of the fish community and avoid the differentiation of individual community levels inside the fish g"&amp;"roup. benefit.")</f>
        <v>The invention discloses a recycled water breeding fish intelligent grading system. The system may include breeding ponds, underwater cameras, biomass assessment channels, fish pumps, servers, and light lights. This system mainly uses machine vision and artificial intelligence algorithms to quantify and analyze circulating water breeding fish community level structure information, and then combine the characteristics of swimming strategies between individuals in different communities of fish groups to coupling circulating water breeding environment information and solve solving The best community -level structure configuration of the current breeding object, and is based on this configuration to achieve the intelligent grading of fish. The system structure of the present invention is simple and simple and effective. While ensuring that farming fish feeding benefits, it can promote the stability of the level of the fish community and avoid the differentiation of individual community levels inside the fish group. benefit.</v>
      </c>
      <c r="D1026" s="6" t="s">
        <v>3004</v>
      </c>
      <c r="E1026" s="4" t="str">
        <f ca="1">IFERROR(__xludf.DUMMYFUNCTION("GOOGLETRANSLATE(D1026,""auto"",""en"")"),"A intelligent grading system of circulating water breeding fish")</f>
        <v>A intelligent grading system of circulating water breeding fish</v>
      </c>
    </row>
    <row r="1027" spans="1:5" ht="15" x14ac:dyDescent="0.25">
      <c r="A1027" s="5" t="s">
        <v>3005</v>
      </c>
      <c r="B1027" s="6" t="s">
        <v>3006</v>
      </c>
      <c r="C1027" s="3" t="str">
        <f ca="1">IFERROR(__xludf.DUMMYFUNCTION("GOOGLETRANSLATE(B1027,""auto"",""en"")"),"1. Design product name: Graphic user interface for recording sports and fitness information for mobile phones.
 2. The purpose of designing products in this exterior: This design product is used to display information, run programs and communication.
"&amp;" 3. Design of the design of the product in this appearance: lies in the content of the graphic user interface in the screen, the mobile phone is designed for the existing, and the ""text content"" in the interface is only used to indicate the content area"&amp;". The text itself is not the protection content of this design design. Essence
 4. Pictures or photos that can most indicate design points: Design 2 main views.
 5. The product hardware section is conventional design, omitting design 1 ‑ Design 2 view"&amp;"s, left view, right view, push -view, and retry view.
 6. Specify design 2 is the basic design.
 7. The purpose of the graphical user interface: The interface of the product design product is used to record sports data information.
 8. Human -comput"&amp;"er interaction method of graphics user interface: Click Design 1 Master Terrace Interface Small Horn Bagram to enter the design 1 changing status diagram. 2 Change State Figure 1, click Design 2 Change Status Figure 1 Interface Small Terront Make button E"&amp;"nter Design 2 Change State Figure 2, click Design 2 Change Status Figure 1 Interface Symphony button Enter the design 2 change state Figure 3, click design design, click design 3, click design design 3, click design 3, click design design 3, click Design "&amp;"of Design, click Design, click Design, 2 Change Status Figure 1 Interface Small Hand Book button Right Shake into Design 2 Change State Figure 4, click Design 3 Master View interface Small speaker logo button Enter the design 3 change state diagram. Slidi"&amp;"ng the head avatar to the right can enter the design 4 change state Figure 1, click Design 4 to change the state. Figure 1 The interface small speaker logo button enter the design 4 changes. Design 4 Change State Figure 3, click Design 4 Change Status Fig"&amp;"ure 1 Interface Small Hander Mark button Enter the design 4 change state Figure 4.")</f>
        <v>1. Design product name: Graphic user interface for recording sports and fitness information for mobile phones.
 2. The purpose of designing products in this exterior: This design product is used to display information, run programs and communication.
 3. Design of the design of the product in this appearance: lies in the content of the graphic user interface in the screen, the mobile phone is designed for the existing, and the "text content" in the interface is only used to indicate the content area. The text itself is not the protection content of this design design. Essence
 4. Pictures or photos that can most indicate design points: Design 2 main views.
 5. The product hardware section is conventional design, omitting design 1 ‑ Design 2 views, left view, right view, push -view, and retry view.
 6. Specify design 2 is the basic design.
 7. The purpose of the graphical user interface: The interface of the product design product is used to record sports data information.
 8. Human -computer interaction method of graphics user interface: Click Design 1 Master Terrace Interface Small Horn Bagram to enter the design 1 changing status diagram. 2 Change State Figure 1, click Design 2 Change Status Figure 1 Interface Small Terront Make button Enter Design 2 Change State Figure 2, click Design 2 Change Status Figure 1 Interface Symphony button Enter the design 2 change state Figure 3, click design design, click design 3, click design design 3, click design 3, click design design 3, click Design of Design, click Design, click Design, 2 Change Status Figure 1 Interface Small Hand Book button Right Shake into Design 2 Change State Figure 4, click Design 3 Master View interface Small speaker logo button Enter the design 3 change state diagram. Sliding the head avatar to the right can enter the design 4 change state Figure 1, click Design 4 to change the state. Figure 1 The interface small speaker logo button enter the design 4 changes. Design 4 Change State Figure 3, click Design 4 Change Status Figure 1 Interface Small Hander Mark button Enter the design 4 change state Figure 4.</v>
      </c>
      <c r="D1027" s="6" t="s">
        <v>3007</v>
      </c>
      <c r="E1027" s="4" t="str">
        <f ca="1">IFERROR(__xludf.DUMMYFUNCTION("GOOGLETRANSLATE(D1027,""auto"",""en"")"),"The graphical user interface for recording sports and fitness information for mobile phones")</f>
        <v>The graphical user interface for recording sports and fitness information for mobile phones</v>
      </c>
    </row>
    <row r="1028" spans="1:5" ht="15" x14ac:dyDescent="0.25">
      <c r="A1028" s="5" t="s">
        <v>3008</v>
      </c>
      <c r="B1028" s="6" t="s">
        <v>3009</v>
      </c>
      <c r="C1028" s="3" t="str">
        <f ca="1">IFERROR(__xludf.DUMMYFUNCTION("GOOGLETRANSLATE(B1028,""auto"",""en"")"),"The embodiment of this application provides a method and electronic equipment that locks the target user, involving the field of electronic equipment. The method provided by this application can be applied to the fitness scene of artificial intelligence ("&amp;"AI), which can ensure the accuracy of target users. Electronic equipment can identify target users and track the target users through the characteristics of identification user characteristics, reference to the wearable device collected by the user, and t"&amp;"racking the data of wearable devices worn by the user. users.")</f>
        <v>The embodiment of this application provides a method and electronic equipment that locks the target user, involving the field of electronic equipment. The method provided by this application can be applied to the fitness scene of artificial intelligence (AI), which can ensure the accuracy of target users. Electronic equipment can identify target users and track the target users through the characteristics of identification user characteristics, reference to the wearable device collected by the user, and tracking the data of wearable devices worn by the user. users.</v>
      </c>
      <c r="D1028" s="6" t="s">
        <v>3010</v>
      </c>
      <c r="E1028" s="4" t="str">
        <f ca="1">IFERROR(__xludf.DUMMYFUNCTION("GOOGLETRANSLATE(D1028,""auto"",""en"")"),"Target user locking method and electronic equipment")</f>
        <v>Target user locking method and electronic equipment</v>
      </c>
    </row>
    <row r="1029" spans="1:5" ht="15" x14ac:dyDescent="0.25">
      <c r="A1029" s="5" t="s">
        <v>3011</v>
      </c>
      <c r="B1029" s="6" t="s">
        <v>3012</v>
      </c>
      <c r="C1029" s="3" t="str">
        <f ca="1">IFERROR(__xludf.DUMMYFUNCTION("GOOGLETRANSLATE(B1029,""auto"",""en"")"),"1. The name of the product in appearance: The display screen panel with a recommended algorithm creates a graphical user interface.
 2. Design products in appearance: used for running program and display information.
 3. Design of design products in t"&amp;"his appearance: lies in the graphic user interface in the screen.
 4. Pictures or photos that can most indicate design points: main view.
 5. There is no design point for other views, omitting other views.
 6. The purpose of graphical user interface"&amp;": The interface is used for video browsing and display, intelligent recommendation algorithm editing and creation.
 7. Human -computer interaction method of graphical user interface: The graphic user interface displayed by the main view is the homepage "&amp;"interface of the program; Change State Figure 2: Click the interface change state Figure 1 ""Search the content you want to search"" text box pops up the interface change state. 2; The yellow icon button below pops up the interface change state Figure 3; "&amp;"interface change state Figure 4: click the interface change state Figure 1 The ""+"" icon button below the ""custom algorithm"" at the top left of the left to enter the interface change state diagram 4; : In the interface change state Figure 4, slide up a"&amp;"t any position in the central center to obtain the interface change state Figure 5; interface change state Figure 6: click the interface change state Figure 4 The yellow icon button on the right side of the ""template name"" on the top of the ""template n"&amp;"ame"" pops up the interface change state. 6; Interface Change State Figure 7: Click the interface change status Figure 4 The ""Switch"" icon button on the right of the ""Personal Information"" label level to get the interface change state. 7; The ""switch"&amp;""" icon button on the right obtains the interface changes. Figure: This interface corresponds to the reference diagram of the interface changes in the actual state of the main view.
 8.本外观设计产品的显示屏幕面板可应用于计算机、笔记本电脑、平板电脑、手机、智能手机、智能眼镜、虚拟现实眼镜、增强现实眼镜、混合现实眼镜、手"&amp;"表、智能手表、健身监视器、 Head headset, smart speakers, TV, set -top box.
 9. The gray ""X"" coating in the graphic user interface of the product of the product is the content picture.")</f>
        <v>1. The name of the product in appearance: The display screen panel with a recommended algorithm creates a graphical user interface.
 2. Design products in appearance: used for running program and display information.
 3. Design of design products in this appearance: lies in the graphic user interface in the screen.
 4. Pictures or photos that can most indicate design points: main view.
 5. There is no design point for other views, omitting other views.
 6. The purpose of graphical user interface: The interface is used for video browsing and display, intelligent recommendation algorithm editing and creation.
 7. Human -computer interaction method of graphical user interface: The graphic user interface displayed by the main view is the homepage interface of the program; Change State Figure 2: Click the interface change state Figure 1 "Search the content you want to search" text box pops up the interface change state. 2; The yellow icon button below pops up the interface change state Figure 3; interface change state Figure 4: click the interface change state Figure 1 The "+" icon button below the "custom algorithm" at the top left of the left to enter the interface change state diagram 4; : In the interface change state Figure 4, slide up at any position in the central center to obtain the interface change state Figure 5; interface change state Figure 6: click the interface change state Figure 4 The yellow icon button on the right side of the "template name" on the top of the "template name" pops up the interface change state. 6; Interface Change State Figure 7: Click the interface change status Figure 4 The "Switch" icon button on the right of the "Personal Information" label level to get the interface change state. 7; The "switch" icon button on the right obtains the interface changes. Figure: This interface corresponds to the reference diagram of the interface changes in the actual state of the main view.
 8.本外观设计产品的显示屏幕面板可应用于计算机、笔记本电脑、平板电脑、手机、智能手机、智能眼镜、虚拟现实眼镜、增强现实眼镜、混合现实眼镜、手表、智能手表、健身监视器、 Head headset, smart speakers, TV, set -top box.
 9. The gray "X" coating in the graphic user interface of the product of the product is the content picture.</v>
      </c>
      <c r="D1029" s="6" t="s">
        <v>3013</v>
      </c>
      <c r="E1029" s="4" t="str">
        <f ca="1">IFERROR(__xludf.DUMMYFUNCTION("GOOGLETRANSLATE(D1029,""auto"",""en"")"),"Bring the display screen panel with a recommended algorithm creation user interface")</f>
        <v>Bring the display screen panel with a recommended algorithm creation user interface</v>
      </c>
    </row>
    <row r="1030" spans="1:5" ht="15" x14ac:dyDescent="0.25">
      <c r="A1030" s="5" t="s">
        <v>3014</v>
      </c>
      <c r="B1030" s="6" t="s">
        <v>3015</v>
      </c>
      <c r="C1030" s="3" t="str">
        <f ca="1">IFERROR(__xludf.DUMMYFUNCTION("GOOGLETRANSLATE(B1030,""auto"",""en"")"),"A motion sensing platform that uses wireless connections to the main computing device to the main computing device to reliably identify the complex hands and finger movements. This allows users to control the computing device or other devices through intu"&amp;"itive gestures and character input with fingers. It also supports the fitness tracking mode. The sensor platform and the main computing device are combined with traditional signal processing and deep neural networks to process data to determine the presen"&amp;"ce and classification of gesture movement and character input. The preset click mode can change the functions of device recognition gestures, characters, fitness tracking and sleep mode, and not active timers can also enable sleep mode. For character reco"&amp;"gnition, the present invention shows the previous candidate character detected, and allows users to choose the correct candidate character through sliding gestures to better adapt to errors in character detection and help establish a recognition character"&amp;" library to improve future operations to improve future operations Essence")</f>
        <v>A motion sensing platform that uses wireless connections to the main computing device to the main computing device to reliably identify the complex hands and finger movements. This allows users to control the computing device or other devices through intuitive gestures and character input with fingers. It also supports the fitness tracking mode. The sensor platform and the main computing device are combined with traditional signal processing and deep neural networks to process data to determine the presence and classification of gesture movement and character input. The preset click mode can change the functions of device recognition gestures, characters, fitness tracking and sleep mode, and not active timers can also enable sleep mode. For character recognition, the present invention shows the previous candidate character detected, and allows users to choose the correct candidate character through sliding gestures to better adapt to errors in character detection and help establish a recognition character library to improve future operations to improve future operations Essence</v>
      </c>
      <c r="D1030" s="6" t="s">
        <v>3016</v>
      </c>
      <c r="E1030" s="4" t="str">
        <f ca="1">IFERROR(__xludf.DUMMYFUNCTION("GOOGLETRANSLATE(D1030,""auto"",""en"")"),"Natural gesture detection ring system for remote user interface control and text input")</f>
        <v>Natural gesture detection ring system for remote user interface control and text input</v>
      </c>
    </row>
    <row r="1031" spans="1:5" ht="15" x14ac:dyDescent="0.25">
      <c r="A1031" s="5" t="s">
        <v>3017</v>
      </c>
      <c r="B1031" s="6" t="s">
        <v>3018</v>
      </c>
      <c r="C1031" s="3" t="str">
        <f ca="1">IFERROR(__xludf.DUMMYFUNCTION("GOOGLETRANSLATE(B1031,""auto"",""en"")"),"It is used to automatically detect the website errors and methods of the website during an interaction between a device and a website. In one example, the computing device is configured as a series of web navigation sequences between the client device and"&amp;" the website. The computing device can determine the prediction time of the next measurement of the client device that performs the website navigation sequence. You can determine the actual completion time of the next measurement of the client device that"&amp;" executes website navigation sequences. The computing device can determine the abnormal website event based on the actual game time that does not meet the boundaries of the boundary. Based on a second machine learning model trained by multiple previous we"&amp;"bsites that use multiple previous websites to identify from multiple previous website navigation sequences, the abnormal website events are determined as website errors.")</f>
        <v>It is used to automatically detect the website errors and methods of the website during an interaction between a device and a website. In one example, the computing device is configured as a series of web navigation sequences between the client device and the website. The computing device can determine the prediction time of the next measurement of the client device that performs the website navigation sequence. You can determine the actual completion time of the next measurement of the client device that executes website navigation sequences. The computing device can determine the abnormal website event based on the actual game time that does not meet the boundaries of the boundary. Based on a second machine learning model trained by multiple previous websites that use multiple previous websites to identify from multiple previous website navigation sequences, the abnormal website events are determined as website errors.</v>
      </c>
      <c r="D1031" s="6" t="s">
        <v>3019</v>
      </c>
      <c r="E1031" s="4" t="str">
        <f ca="1">IFERROR(__xludf.DUMMYFUNCTION("GOOGLETRANSLATE(D1031,""auto"",""en"")"),"Automatic recognition website error")</f>
        <v>Automatic recognition website error</v>
      </c>
    </row>
    <row r="1032" spans="1:5" ht="15" x14ac:dyDescent="0.25">
      <c r="A1032" s="5" t="s">
        <v>3020</v>
      </c>
      <c r="B1032" s="6" t="s">
        <v>3021</v>
      </c>
      <c r="C1032" s="3" t="str">
        <f ca="1">IFERROR(__xludf.DUMMYFUNCTION("GOOGLETRANSLATE(B1032,""auto"",""en"")"),"The present invention disclosed a gateway system based on the IoT automation dock container field, including the rebound rod, which has multiple control boards in the lower side of the rebound rod. The rod connection settings, the symmetrical fixing conne"&amp;"ction of the lower side of the control board has two fixed boards. The two fixed boards are close to the other side of the other party. There are detectors, and the two fixed boards are equipped with a guide track. The lower side fixing connection of the "&amp;"two fixed boards has multiple thousand -way wheels. The rotating slot, the rotating connection of the two rotating grooves has a rotor rod, which is set on the fixed set on the rotor rod with a rotary board, which is penetrated into the rotary slot settin"&amp;"gs. The invention can better complete the inspection and transportation operation of the container according to the actual work situation. The overall operation is simple and practical.")</f>
        <v>The present invention disclosed a gateway system based on the IoT automation dock container field, including the rebound rod, which has multiple control boards in the lower side of the rebound rod. The rod connection settings, the symmetrical fixing connection of the lower side of the control board has two fixed boards. The two fixed boards are close to the other side of the other party. There are detectors, and the two fixed boards are equipped with a guide track. The lower side fixing connection of the two fixed boards has multiple thousand -way wheels. The rotating slot, the rotating connection of the two rotating grooves has a rotor rod, which is set on the fixed set on the rotor rod with a rotary board, which is penetrated into the rotary slot settings. The invention can better complete the inspection and transportation operation of the container according to the actual work situation. The overall operation is simple and practical.</v>
      </c>
      <c r="D1032" s="6" t="s">
        <v>3022</v>
      </c>
      <c r="E1032" s="4" t="str">
        <f ca="1">IFERROR(__xludf.DUMMYFUNCTION("GOOGLETRANSLATE(D1032,""auto"",""en"")"),"An IoT -based automated wharf container site gate gate system")</f>
        <v>An IoT -based automated wharf container site gate gate system</v>
      </c>
    </row>
    <row r="1033" spans="1:5" ht="15" x14ac:dyDescent="0.25">
      <c r="A1033" s="5" t="s">
        <v>3023</v>
      </c>
      <c r="B1033" s="6" t="s">
        <v>3024</v>
      </c>
      <c r="C1033" s="3" t="str">
        <f ca="1">IFERROR(__xludf.DUMMYFUNCTION("GOOGLETRANSLATE(B1033,""auto"",""en"")"),"This disclosure involves a motion information processing method, device, and computer equipment, which includes: the pressure data of the movement part of the movement subject in real time; obtain the video information of the motion subject in real time; "&amp;"Whether the current action of the movement subject meets the first strength conditions; whether the current action of the motor subject meets the scope condition according to the video information; In the case of meeting the range of the range, the curren"&amp;"t action of the motion subject is recorded as an effective action. This public can comprehensively collect and record the motion information of the subject based on sensors and computer vision, and can analyze the operating behavior of the motion subject "&amp;"in time to determine whether the current action of the motion subject is an effective action, which can greatly improve the efficiency of exercise training. At the same time, the artificial scoring errors in sports competitions were reduced.")</f>
        <v>This disclosure involves a motion information processing method, device, and computer equipment, which includes: the pressure data of the movement part of the movement subject in real time; obtain the video information of the motion subject in real time; Whether the current action of the movement subject meets the first strength conditions; whether the current action of the motor subject meets the scope condition according to the video information; In the case of meeting the range of the range, the current action of the motion subject is recorded as an effective action. This public can comprehensively collect and record the motion information of the subject based on sensors and computer vision, and can analyze the operating behavior of the motion subject in time to determine whether the current action of the motion subject is an effective action, which can greatly improve the efficiency of exercise training. At the same time, the artificial scoring errors in sports competitions were reduced.</v>
      </c>
      <c r="D1033" s="6" t="s">
        <v>3025</v>
      </c>
      <c r="E1033" s="4" t="str">
        <f ca="1">IFERROR(__xludf.DUMMYFUNCTION("GOOGLETRANSLATE(D1033,""auto"",""en"")"),"Sport information processing method, device, computer equipment")</f>
        <v>Sport information processing method, device, computer equipment</v>
      </c>
    </row>
    <row r="1034" spans="1:5" ht="15" x14ac:dyDescent="0.25">
      <c r="A1034" s="5" t="s">
        <v>3026</v>
      </c>
      <c r="B1034" s="6" t="s">
        <v>3027</v>
      </c>
      <c r="C1034" s="3" t="str">
        <f ca="1">IFERROR(__xludf.DUMMYFUNCTION("GOOGLETRANSLATE(B1034,""auto"",""en"")"),"[0001] The present invention involves a washing device using machine learning. More specifically, it involves a machine that uses machine learning to quickly remove pollutants and odors in polluting gas Essence Use running.
  According to the characteri"&amp;"stics of the above purposes, the present invention, the first fill layer 12 is formed on the inner 10 of the main body 10 made of cylindrical shape, and the second fill layer 12 is formed on the top of the first fill layer 12. Layer 12: The main part of t"&amp;"he main body is 102, which forms a fill layer 14, and a virtual transistor 16 is formed on the second fill layer 14. The first storage unit 104 and the second storage unit 105 set up a storage tank 28 on the lower left and right sides of the main body 10 "&amp;"on the main unit 102 for storage and cleaning solution; The first supply pump 40 and the second supply pump 40 and the second supply pump 40 in the internal supply pump of the cleaning solution stored in the first and second storage units are discharged a"&amp;"nd supplied to the internal supply pump of the main unit 102; The cleaning device 109 is used to spray the cleaning solution supplied by the first supply unit 106 and the second supply unit 017 to supply the pollution gases within the main part of 102. Th"&amp;"e first nozzle unit 110 and the second nozzle unit 111 are connected to the first cleaning liquid spraying device 108 and the second cleaning solution spraying device 109, and the place where the first filling layer and the second filling layer are instal"&amp;"led in the direction of a whirlwind. Cleaning fluid. It is characterized by the first filter unit 112 and the second filter unit 113, which is used to filter the cleaning solution sprayed by the first nozzle unit and the second nozzle unit, and the pollut"&amp;"ant gas washed by the cleaning solution.
  The invention uses a machine -learning washing device to achieve the effect of removing odor by introducing pollution gases and making contamination and odor with cleaning solution. It also has a multi -stage c"&amp;"leaning liquid jet device and filtering unit to improve the efficiency filtering process. It has a effect. Can improve.")</f>
        <v>[0001] The present invention involves a washing device using machine learning. More specifically, it involves a machine that uses machine learning to quickly remove pollutants and odors in polluting gas Essence Use running.
  According to the characteristics of the above purposes, the present invention, the first fill layer 12 is formed on the inner 10 of the main body 10 made of cylindrical shape, and the second fill layer 12 is formed on the top of the first fill layer 12. Layer 12: The main part of the main body is 102, which forms a fill layer 14, and a virtual transistor 16 is formed on the second fill layer 14. The first storage unit 104 and the second storage unit 105 set up a storage tank 28 on the lower left and right sides of the main body 10 on the main unit 102 for storage and cleaning solution; The first supply pump 40 and the second supply pump 40 and the second supply pump 40 in the internal supply pump of the cleaning solution stored in the first and second storage units are discharged and supplied to the internal supply pump of the main unit 102; The cleaning device 109 is used to spray the cleaning solution supplied by the first supply unit 106 and the second supply unit 017 to supply the pollution gases within the main part of 102. The first nozzle unit 110 and the second nozzle unit 111 are connected to the first cleaning liquid spraying device 108 and the second cleaning solution spraying device 109, and the place where the first filling layer and the second filling layer are installed in the direction of a whirlwind. Cleaning fluid. It is characterized by the first filter unit 112 and the second filter unit 113, which is used to filter the cleaning solution sprayed by the first nozzle unit and the second nozzle unit, and the pollutant gas washed by the cleaning solution.
  The invention uses a machine -learning washing device to achieve the effect of removing odor by introducing pollution gases and making contamination and odor with cleaning solution. It also has a multi -stage cleaning liquid jet device and filtering unit to improve the efficiency filtering process. It has a effect. Can improve.</v>
      </c>
      <c r="D1034" s="6" t="s">
        <v>3028</v>
      </c>
      <c r="E1034" s="4" t="str">
        <f ca="1">IFERROR(__xludf.DUMMYFUNCTION("GOOGLETRANSLATE(D1034,""auto"",""en"")"),"Washing device using machine learning")</f>
        <v>Washing device using machine learning</v>
      </c>
    </row>
    <row r="1035" spans="1:5" ht="15" x14ac:dyDescent="0.25">
      <c r="A1035" s="5" t="s">
        <v>3029</v>
      </c>
      <c r="B1035" s="6" t="s">
        <v>3030</v>
      </c>
      <c r="C1035" s="3" t="str">
        <f ca="1">IFERROR(__xludf.DUMMYFUNCTION("GOOGLETRANSLATE(B1035,""auto"",""en"")"),"The present invention provides a device for communication and data management in competitive events such as football games. This device includes light signals supply by solar or other sources. Manual signal. The optical signals of these optical signals or"&amp;" projected holographic diagrams are connected to one or more processors. These processors are distributed in one of multiple devices connected through the Internet of Things. These processors connect multiple sensors and converters. These are these. These"&amp;" are The sensors and converters accurately identify the warning players by logical AI programs to avoid errors such as accumulating cards without being expelled, pretending to players, and at referees, clubs, coaches, television, broadcasting or Internet "&amp;"channels, emergency agencies and emergency agencies and emergency agencies. In real -time bidirectional sharing information fans of the team or sports supporters. To minimize the occurrence of fraud, increase the transparency of the competition, and allow"&amp;" all relevant personnel to access the data in the referee decision -making in real time")</f>
        <v>The present invention provides a device for communication and data management in competitive events such as football games. This device includes light signals supply by solar or other sources. Manual signal. The optical signals of these optical signals or projected holographic diagrams are connected to one or more processors. These processors are distributed in one of multiple devices connected through the Internet of Things. These processors connect multiple sensors and converters. These are these. These are The sensors and converters accurately identify the warning players by logical AI programs to avoid errors such as accumulating cards without being expelled, pretending to players, and at referees, clubs, coaches, television, broadcasting or Internet channels, emergency agencies and emergency agencies and emergency agencies. In real -time bidirectional sharing information fans of the team or sports supporters. To minimize the occurrence of fraud, increase the transparency of the competition, and allow all relevant personnel to access the data in the referee decision -making in real time</v>
      </c>
      <c r="D1035" s="6" t="s">
        <v>3031</v>
      </c>
      <c r="E1035" s="4" t="str">
        <f ca="1">IFERROR(__xludf.DUMMYFUNCTION("GOOGLETRANSLATE(D1035,""auto"",""en"")"),"Smart devices used for communication and data management in football games")</f>
        <v>Smart devices used for communication and data management in football games</v>
      </c>
    </row>
    <row r="1036" spans="1:5" ht="15" x14ac:dyDescent="0.25">
      <c r="A1036" s="5" t="s">
        <v>3032</v>
      </c>
      <c r="B1036" s="6" t="s">
        <v>3033</v>
      </c>
      <c r="C1036" s="3" t="str">
        <f ca="1">IFERROR(__xludf.DUMMYFUNCTION("GOOGLETRANSLATE(B1036,""auto"",""en"")"),"This application involves the field of Internet of Things communication equipment technology, especially a fitness trail management method, system, terminal and medium based on a smart scenic spot. It aims to solve the use of existing technology fitness t"&amp;"rails to be used by tourists. The problem of low distinction with conventional roads and poor attractiveness. Its technical solution is a fitness trail management method based on smart scenic spots to obtain tourist images. Mark the first place of visits "&amp;"to tourist images as the starting location; marked the second time to obtain the final appearance of tourist images as the end of the movement, and mark the second place of access to the tourist image as the termination place; based on the start of the ex"&amp;"ercise and the movement of the motion Calculate the exercise data at the end of the terminal, and store the exercise data into the fitness database. This application has the effect of improving the degree of intelligence of the fitness trail and enhancing"&amp;" the attractiveness of the fitness trail to tourists.")</f>
        <v>This application involves the field of Internet of Things communication equipment technology, especially a fitness trail management method, system, terminal and medium based on a smart scenic spot. It aims to solve the use of existing technology fitness trails to be used by tourists. The problem of low distinction with conventional roads and poor attractiveness. Its technical solution is a fitness trail management method based on smart scenic spots to obtain tourist images. Mark the first place of visits to tourist images as the starting location; marked the second time to obtain the final appearance of tourist images as the end of the movement, and mark the second place of access to the tourist image as the termination place; based on the start of the exercise and the movement of the motion Calculate the exercise data at the end of the terminal, and store the exercise data into the fitness database. This application has the effect of improving the degree of intelligence of the fitness trail and enhancing the attractiveness of the fitness trail to tourists.</v>
      </c>
      <c r="D1036" s="6" t="s">
        <v>3034</v>
      </c>
      <c r="E1036" s="4" t="str">
        <f ca="1">IFERROR(__xludf.DUMMYFUNCTION("GOOGLETRANSLATE(D1036,""auto"",""en"")"),"Fitness trail management methods, systems, terminals and media based on smart scenic spots")</f>
        <v>Fitness trail management methods, systems, terminals and media based on smart scenic spots</v>
      </c>
    </row>
    <row r="1037" spans="1:5" ht="15" x14ac:dyDescent="0.25">
      <c r="A1037" s="5" t="s">
        <v>3035</v>
      </c>
      <c r="B1037" s="6" t="s">
        <v>3036</v>
      </c>
      <c r="C1037" s="3" t="str">
        <f ca="1">IFERROR(__xludf.DUMMYFUNCTION("GOOGLETRANSLATE(B1037,""auto"",""en"")"),"The present invention provides a metal -cosmic skiing system that has a ski resort environmental element in real -time links, involving the cross -technology field of mechanical and electronic engineering and sports. The system includes: the environmental"&amp;" elements of the ski resort are responsible for perceiving the changes in environmental elements in the real ski resort, receiving cloud instructions, and uploading the collected data to the cloud; the VR ski module is responsible for uploading and stoppi"&amp;"ng the collection of data instructions to the cloud. Receive data reposted by the cloud and the real -time display and scene rendering of the data of the skiing scene; the real -time link module of the cloud is responsible for the connection and data tran"&amp;"smission between each module, and the data transmission uses the SSL certificate for identification and encryption. The invention integrates ""robot technology+virtual reality technology+Internet of Things technology+artificial intelligence technology"", "&amp;"which is applied to mass sports, establishes the Yuan universe skiing system, breaks through the season and venue. Geographical style, experience high mountain skiing, free skiing, etc.")</f>
        <v>The present invention provides a metal -cosmic skiing system that has a ski resort environmental element in real -time links, involving the cross -technology field of mechanical and electronic engineering and sports. The system includes: the environmental elements of the ski resort are responsible for perceiving the changes in environmental elements in the real ski resort, receiving cloud instructions, and uploading the collected data to the cloud; the VR ski module is responsible for uploading and stopping the collection of data instructions to the cloud. Receive data reposted by the cloud and the real -time display and scene rendering of the data of the skiing scene; the real -time link module of the cloud is responsible for the connection and data transmission between each module, and the data transmission uses the SSL certificate for identification and encryption. The invention integrates "robot technology+virtual reality technology+Internet of Things technology+artificial intelligence technology", which is applied to mass sports, establishes the Yuan universe skiing system, breaks through the season and venue. Geographical style, experience high mountain skiing, free skiing, etc.</v>
      </c>
      <c r="D1037" s="6" t="s">
        <v>3037</v>
      </c>
      <c r="E1037" s="4" t="str">
        <f ca="1">IFERROR(__xludf.DUMMYFUNCTION("GOOGLETRANSLATE(D1037,""auto"",""en"")"),"Ski resort environmental elements of the cloud cosmic skiing system with real -time links in the cloud")</f>
        <v>Ski resort environmental elements of the cloud cosmic skiing system with real -time links in the cloud</v>
      </c>
    </row>
    <row r="1038" spans="1:5" ht="15" x14ac:dyDescent="0.25">
      <c r="A1038" s="5" t="s">
        <v>3038</v>
      </c>
      <c r="B1038" s="6" t="s">
        <v>3039</v>
      </c>
      <c r="C1038" s="3" t="str">
        <f ca="1">IFERROR(__xludf.DUMMYFUNCTION("GOOGLETRANSLATE(B1038,""auto"",""en"")"),"The present invention involves an inflatable life -like swimming device, including inflatable gas 1, inflatable gas 1 installation with weight sensor 2, heavy sensor 2 on the inflatable 1, microcontroller to generate instructions, air pump 3 receiving ins"&amp;"tructions, air pump 3 is being being used Configure on the gas gas 1. Body 1 is used to pump the air into the air in the body 1 in the internal air to inflatable the body. Acceleration meter 5 is synchronized with image capture module 6 with AI (artificia"&amp;"l intelligence) function configured on the body 1, of which the acceleration meter 5 sensor sailing sailing When the speed is limited by the user exceeds the threshold limit, the activation module 6 is to detect the existence of solid objects in the voyag"&amp;"e path, and the spherical canopy 8 is guided to the top of the target 8 around the user's head when detecting the solid object to prevent the user's head and solid body. The object collided.")</f>
        <v>The present invention involves an inflatable life -like swimming device, including inflatable gas 1, inflatable gas 1 installation with weight sensor 2, heavy sensor 2 on the inflatable 1, microcontroller to generate instructions, air pump 3 receiving instructions, air pump 3 is being being used Configure on the gas gas 1. Body 1 is used to pump the air into the air in the body 1 in the internal air to inflatable the body. Acceleration meter 5 is synchronized with image capture module 6 with AI (artificial intelligence) function configured on the body 1, of which the acceleration meter 5 sensor sailing sailing When the speed is limited by the user exceeds the threshold limit, the activation module 6 is to detect the existence of solid objects in the voyage path, and the spherical canopy 8 is guided to the top of the target 8 around the user's head when detecting the solid object to prevent the user's head and solid body. The object collided.</v>
      </c>
      <c r="D1038" s="6" t="s">
        <v>3040</v>
      </c>
      <c r="E1038" s="4" t="str">
        <f ca="1">IFERROR(__xludf.DUMMYFUNCTION("GOOGLETRANSLATE(D1038,""auto"",""en"")"),"Inflatable life swimming device")</f>
        <v>Inflatable life swimming device</v>
      </c>
    </row>
    <row r="1039" spans="1:5" ht="15" x14ac:dyDescent="0.25">
      <c r="A1039" s="5" t="s">
        <v>3041</v>
      </c>
      <c r="B1039" s="6" t="s">
        <v>3042</v>
      </c>
      <c r="C1039" s="3" t="str">
        <f ca="1">IFERROR(__xludf.DUMMYFUNCTION("GOOGLETRANSLATE(B1039,""auto"",""en"")"),"The present invention provides a metal -cosmic skiing system that has a ski resort environmental element in real -time links, involving the cross -technology field of mechanical and electronic engineering and sports. The system includes: the environmental"&amp;" elements of the ski resort are responsible for perceiving the changes in environmental elements in the real ski resort, receiving cloud instructions, and uploading the collected data to the cloud; the VR ski module is responsible for uploading and stoppi"&amp;"ng the collection of data instructions to the cloud. Receive data reposted by the cloud and the real -time display and scene rendering of the data of the skiing scene; the real -time link module of the cloud is responsible for the connection and data tran"&amp;"smission between each module, and the data transmission uses the SSL certificate for identification and encryption. The present invention integrates ""robot technology+virtual reality technology+Internet of Things technology+artificial intelligence techno"&amp;"logy"", which is applied to mass sports, establishes the Yuan universe skiing system, breaks through the season and venue. Geographical style, experience high mountain skiing, free skiing, etc.")</f>
        <v>The present invention provides a metal -cosmic skiing system that has a ski resort environmental element in real -time links, involving the cross -technology field of mechanical and electronic engineering and sports. The system includes: the environmental elements of the ski resort are responsible for perceiving the changes in environmental elements in the real ski resort, receiving cloud instructions, and uploading the collected data to the cloud; the VR ski module is responsible for uploading and stopping the collection of data instructions to the cloud. Receive data reposted by the cloud and the real -time display and scene rendering of the data of the skiing scene; the real -time link module of the cloud is responsible for the connection and data transmission between each module, and the data transmission uses the SSL certificate for identification and encryption. The present invention integrates "robot technology+virtual reality technology+Internet of Things technology+artificial intelligence technology", which is applied to mass sports, establishes the Yuan universe skiing system, breaks through the season and venue. Geographical style, experience high mountain skiing, free skiing, etc.</v>
      </c>
      <c r="D1039" s="6" t="s">
        <v>3037</v>
      </c>
      <c r="E1039" s="4" t="str">
        <f ca="1">IFERROR(__xludf.DUMMYFUNCTION("GOOGLETRANSLATE(D1039,""auto"",""en"")"),"Ski resort environmental elements of the cloud cosmic skiing system with real -time links in the cloud")</f>
        <v>Ski resort environmental elements of the cloud cosmic skiing system with real -time links in the cloud</v>
      </c>
    </row>
    <row r="1040" spans="1:5" ht="15" x14ac:dyDescent="0.25">
      <c r="A1040" s="5" t="s">
        <v>3043</v>
      </c>
      <c r="B1040" s="6" t="s">
        <v>3044</v>
      </c>
      <c r="C1040" s="3" t="str">
        <f ca="1">IFERROR(__xludf.DUMMYFUNCTION("GOOGLETRANSLATE(B1040,""auto"",""en"")"),"1. Design product name: The system interface of the system main interface for display screen panels.
 2. Design products in this exterior: use to switch display mode, display information and running programs.
 3. Design of the design of the product in"&amp;" this exterior: lies in the interface content of the graphic user interface in the display screen panel.
 4. Pictures or photos that can best show design: Design 1 main view.
 5. There is no design point, omitting the view of each design, left view, r"&amp;"ight view, downward view, upper view.
 6. Specify design 1 is the basic design.
 7. The purpose of the graphical user interface: This graphic user interface is used to display the main interface of the system.
 Design 1 main view. Users can switch t"&amp;"he interaction mode between the user and the display screen by selecting the icon in the second line in the second line in the second line in the interface. Switch to 0 freedom mode that has nothing to do with the degree of freedom of the user, 3 types of"&amp;" freedom mode based on the user's three types of rotation freedom, and the user's 3 types of translation freedom and the three types of rotation freedom degree. 6 Freedom mode; Based on the main view of design 2, in addition to designing 1 human -machine "&amp;"interaction mode, users enter the content of the design 2 interface change status diagram by selecting or clicking the content of the first box from the left of the interface. The following shows the list of content related to the content screen.
 The d"&amp;"isplay screen panel and graphical user interface are used in computers, laptops, tablets, mobile phones, virtual reality glasses, reality glasses, mixed reality glasses, smart watches, fitness monitor, headphones, smart speakers, TV, set -top boxes Essenc"&amp;"e")</f>
        <v>1. Design product name: The system interface of the system main interface for display screen panels.
 2. Design products in this exterior: use to switch display mode, display information and running programs.
 3. Design of the design of the product in this exterior: lies in the interface content of the graphic user interface in the display screen panel.
 4. Pictures or photos that can best show design: Design 1 main view.
 5. There is no design point, omitting the view of each design, left view, right view, downward view, upper view.
 6. Specify design 1 is the basic design.
 7. The purpose of the graphical user interface: This graphic user interface is used to display the main interface of the system.
 Design 1 main view. Users can switch the interaction mode between the user and the display screen by selecting the icon in the second line in the second line in the second line in the interface. Switch to 0 freedom mode that has nothing to do with the degree of freedom of the user, 3 types of freedom mode based on the user's three types of rotation freedom, and the user's 3 types of translation freedom and the three types of rotation freedom degree. 6 Freedom mode; Based on the main view of design 2, in addition to designing 1 human -machine interaction mode, users enter the content of the design 2 interface change status diagram by selecting or clicking the content of the first box from the left of the interface. The following shows the list of content related to the content screen.
 The display screen panel and graphical user interface are used in computers, laptops, tablets, mobile phones, virtual reality glasses, reality glasses, mixed reality glasses, smart watches, fitness monitor, headphones, smart speakers, TV, set -top boxes Essence</v>
      </c>
      <c r="D1040" s="6" t="s">
        <v>3045</v>
      </c>
      <c r="E1040" s="4" t="str">
        <f ca="1">IFERROR(__xludf.DUMMYFUNCTION("GOOGLETRANSLATE(D1040,""auto"",""en"")"),"The main interface of the system interface for the system of display screen panel")</f>
        <v>The main interface of the system interface for the system of display screen panel</v>
      </c>
    </row>
    <row r="1041" spans="1:5" ht="15" x14ac:dyDescent="0.25">
      <c r="A1041" s="5" t="s">
        <v>3046</v>
      </c>
      <c r="B1041" s="6" t="s">
        <v>3047</v>
      </c>
      <c r="C1041" s="3" t="str">
        <f ca="1">IFERROR(__xludf.DUMMYFUNCTION("GOOGLETRANSLATE(B1041,""auto"",""en"")"),"This application involves the field of human -computer interaction, which provides display methods and devices, equipment and media of the game settlement interface. This method includes: Display the combat settlement interface of the game competition. Th"&amp;"e combat settlement interface is used to display the game settlement information of at least two user accounts participating in the game competition. At least two user accounts include the first user account and the first Two user account, the model of th"&amp;"e model of the game settlement interface display the first model corresponding to the first user account number, the first model is the virtual character model corresponding to the first user account; The trigger operation of the account; display the seco"&amp;"nd model corresponding to the second user account in the model of the game settlement interface, the second model is the virtual character model corresponding to the second user account.")</f>
        <v>This application involves the field of human -computer interaction, which provides display methods and devices, equipment and media of the game settlement interface. This method includes: Display the combat settlement interface of the game competition. The combat settlement interface is used to display the game settlement information of at least two user accounts participating in the game competition. At least two user accounts include the first user account and the first Two user account, the model of the model of the game settlement interface display the first model corresponding to the first user account number, the first model is the virtual character model corresponding to the first user account; The trigger operation of the account; display the second model corresponding to the second user account in the model of the game settlement interface, the second model is the virtual character model corresponding to the second user account.</v>
      </c>
      <c r="D1041" s="6" t="s">
        <v>3048</v>
      </c>
      <c r="E1041" s="4" t="str">
        <f ca="1">IFERROR(__xludf.DUMMYFUNCTION("GOOGLETRANSLATE(D1041,""auto"",""en"")"),"Game settlement interface display method and device, device and medium")</f>
        <v>Game settlement interface display method and device, device and medium</v>
      </c>
    </row>
    <row r="1042" spans="1:5" ht="15" x14ac:dyDescent="0.25">
      <c r="A1042" s="5" t="s">
        <v>3049</v>
      </c>
      <c r="B1042" s="6" t="s">
        <v>3050</v>
      </c>
      <c r="C1042" s="3" t="str">
        <f ca="1">IFERROR(__xludf.DUMMYFUNCTION("GOOGLETRANSLATE(B1042,""auto"",""en"")"),"Expert dialogue, hierarchical analysis method (AHP) analysis, and fuzzy logic system (FLS) used to check the company's engineering manpower outsourcing (EMO) capabilities throughout the research. The results of this study show that EMO capabilities can be"&amp;" divided into three factors: price, assets and strategies. The overall results of the study show that price factor has the greatest impact on EMO. The overall results of the fuzzy evaluation show that when the company wants to enhance its EMO, the company"&amp;" should give priority to the combination of direct prices and skill sub -variables in resource factors, rather than different price and method sub -variable configuration. In addition, the empirical results show that this internal program variable has a s"&amp;"ignificant impact on technical factors, while internal coaches and foreign alliances, sub -variables have a small impact on the technical factors of EMO.")</f>
        <v>Expert dialogue, hierarchical analysis method (AHP) analysis, and fuzzy logic system (FLS) used to check the company's engineering manpower outsourcing (EMO) capabilities throughout the research. The results of this study show that EMO capabilities can be divided into three factors: price, assets and strategies. The overall results of the study show that price factor has the greatest impact on EMO. The overall results of the fuzzy evaluation show that when the company wants to enhance its EMO, the company should give priority to the combination of direct prices and skill sub -variables in resource factors, rather than different price and method sub -variable configuration. In addition, the empirical results show that this internal program variable has a significant impact on technical factors, while internal coaches and foreign alliances, sub -variables have a small impact on the technical factors of EMO.</v>
      </c>
      <c r="D1042" s="6" t="s">
        <v>3051</v>
      </c>
      <c r="E1042" s="4" t="str">
        <f ca="1">IFERROR(__xludf.DUMMYFUNCTION("GOOGLETRANSLATE(D1042,""auto"",""en"")"),"Vague model of improving human resources capabilities")</f>
        <v>Vague model of improving human resources capabilities</v>
      </c>
    </row>
    <row r="1043" spans="1:5" ht="15" x14ac:dyDescent="0.25">
      <c r="A1043" s="5" t="s">
        <v>3052</v>
      </c>
      <c r="B1043" s="6" t="s">
        <v>3053</v>
      </c>
      <c r="C1043" s="3" t="str">
        <f ca="1">IFERROR(__xludf.DUMMYFUNCTION("GOOGLETRANSLATE(B1043,""auto"",""en"")"),"1. The name of the product in appearance: The display screen panel with a map model graphical user interface (extended training map B).
 2. Design products in appearance: used to display interface.
 3. Design of the design of the product in this exter"&amp;"ior: lies in the interface content of the graphic user interface in the display screen panel.
 4. Pictures or photos that can most indicate design points: main view.
 5. No design points, omit other views.
 6. The purpose of graphical user interface"&amp;": Map for virtual simulation software for Robosim.
 7. The area of ​​the graphical user interface in the product: the main view of the main view.
 8. Change state description of graphical user interface: The main view is the main observation interface"&amp;". It can be dragged and rotated by the human -machine interaction mode to change the observation angle.
 9. Interface change state diagram diagram 1. Interface changes status diagram. 2. Interface change status diagram. 3. Interface change status Figure"&amp;" 4 is a point of the four corners of the main view of the main view and drag the observation interface displayed after different angles; According to the interface change state diagram diagram 1. Interface changes status diagram diagram 2, interface chang"&amp;"es status diagram diagram 3. The interface changes status Figure 4 can be returned to the main view after dragging to the top of the model; Computer, iPad.")</f>
        <v>1. The name of the product in appearance: The display screen panel with a map model graphical user interface (extended training map B).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diagram 1. Interface changes status diagram diagram 2, interface changes status diagram diagram 3. The interface changes status Figure 4 can be returned to the main view after dragging to the top of the model; Computer, iPad.</v>
      </c>
      <c r="D1043" s="6" t="s">
        <v>3054</v>
      </c>
      <c r="E1043" s="4" t="str">
        <f ca="1">IFERROR(__xludf.DUMMYFUNCTION("GOOGLETRANSLATE(D1043,""auto"",""en"")"),"Display screen panel with map model graphics user interface (extended training map B)")</f>
        <v>Display screen panel with map model graphics user interface (extended training map B)</v>
      </c>
    </row>
    <row r="1044" spans="1:5" ht="15" x14ac:dyDescent="0.25">
      <c r="A1044" s="5" t="s">
        <v>3055</v>
      </c>
      <c r="B1044" s="6" t="s">
        <v>3056</v>
      </c>
      <c r="C1044" s="3" t="str">
        <f ca="1">IFERROR(__xludf.DUMMYFUNCTION("GOOGLETRANSLATE(B1044,""auto"",""en"")"),"1. The name of the product in appearance: The display screen panel (robot) with a map model graphical user interface.
 2. Design products in appearance: used to display interface.
 3. Design of the design of the product in this exterior: lies in the i"&amp;"nterface content of the graphic user interface in the display screen panel.
 4. Pictures or photos that can most indicate design points: main view.
 5. No design points, omit other views.
 6. The purpose of graphical user interface: Map for virtual "&amp;"simulation software for Robosim.
 7. The area of ​​the graphical user interface in the product: the main view of the main view.
 8. Change state description of graphical user interface: The main view is the main observation interface. It can be dragge"&amp;"d and rotated by the human -machine interaction mode to change the observation angle.
 9. Interface change state diagram diagram 1. Interface changes status diagram. 2. Interface change status diagram. 3. Interface change status Figure 4 is a point of t"&amp;"he four corners of the main view of the main view and drag the observation interface displayed after different angles; According to the interface change state diagram diagram 1. Interface changes status diagram diagram 2, interface changes status diagram "&amp;"diagram 3. The interface changes status Figure 4 can be returned to the main view after dragging to the top of the model; Computer, iPad.")</f>
        <v>1. The name of the product in appearance: The display screen panel (robot) with a map model graphical user interface.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diagram 1. Interface changes status diagram diagram 2, interface changes status diagram diagram 3. The interface changes status Figure 4 can be returned to the main view after dragging to the top of the model; Computer, iPad.</v>
      </c>
      <c r="D1044" s="6" t="s">
        <v>3057</v>
      </c>
      <c r="E1044" s="4" t="str">
        <f ca="1">IFERROR(__xludf.DUMMYFUNCTION("GOOGLETRANSLATE(D1044,""auto"",""en"")"),"Display screen panel (robot) with a map model graphical user interface")</f>
        <v>Display screen panel (robot) with a map model graphical user interface</v>
      </c>
    </row>
    <row r="1045" spans="1:5" ht="15" x14ac:dyDescent="0.25">
      <c r="A1045" s="5" t="s">
        <v>3058</v>
      </c>
      <c r="B1045" s="6" t="s">
        <v>3059</v>
      </c>
      <c r="C1045" s="3" t="str">
        <f ca="1">IFERROR(__xludf.DUMMYFUNCTION("GOOGLETRANSLATE(B1045,""auto"",""en"")"),"1. The name of the product of the design of the product: The display screen panel with a map model graphical user interface (extended training map D).
 2. Design products in appearance: used to display interface.
 3. Design of the design of the produc"&amp;"t in this exterior: lies in the interface content of the graphic user interface in the display screen panel.
 4. Pictures or photos that can most indicate design points: main view.
 5. No design points, omit other views.
 6. The purpose of graphical"&amp;" user interface: Map for virtual simulation software for Robosim.
 7. The area of ​​the graphical user interface in the product: the main view of the main view.
 8. Change state description of graphical user interface: The main view is the main observ"&amp;"ation interface. It can be dragged and rotated by the human -machine interaction mode to change the observation angle.
 9. Interface change state diagram diagram 1. Interface changes status diagram. 2. Interface change status diagram. 3. Interface chang"&amp;"e status Figure 4 is a point of the four corners of the main view of the main view and drag the observation interface displayed after different angles; According to the interface change state diagram diagram 1. Interface changes status diagram diagram 2, "&amp;"interface changes status diagram diagram 3. The interface changes status Figure 4 can be returned to the main view after dragging to the top of the model; Computer, iPad.")</f>
        <v>1. The name of the product of the design of the product: The display screen panel with a map model graphical user interface (extended training map D).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diagram 1. Interface changes status diagram diagram 2, interface changes status diagram diagram 3. The interface changes status Figure 4 can be returned to the main view after dragging to the top of the model; Computer, iPad.</v>
      </c>
      <c r="D1045" s="6" t="s">
        <v>3060</v>
      </c>
      <c r="E1045" s="4" t="str">
        <f ca="1">IFERROR(__xludf.DUMMYFUNCTION("GOOGLETRANSLATE(D1045,""auto"",""en"")"),"Display screen panel with map model graphics user interface (extended training map D)")</f>
        <v>Display screen panel with map model graphics user interface (extended training map D)</v>
      </c>
    </row>
    <row r="1046" spans="1:5" ht="15" x14ac:dyDescent="0.25">
      <c r="A1046" s="5" t="s">
        <v>3061</v>
      </c>
      <c r="B1046" s="6" t="s">
        <v>3062</v>
      </c>
      <c r="C1046" s="3" t="str">
        <f ca="1">IFERROR(__xludf.DUMMYFUNCTION("GOOGLETRANSLATE(B1046,""auto"",""en"")"),"1. The name of the product of the product: The display screen panel with a map model graphical user interface (extended training map C).
 2. Design products in appearance: used to display interface.
 3. Design of the design of the product in this exte"&amp;"rior: lies in the interface content of the graphic user interface in the display screen panel.
 4. Pictures or photos that can most indicate design points: main view.
 5. No design points, omit other views.
 6. The purpose of graphical user interfac"&amp;"e: Map for virtual simulation software for Robosim.
 7. The area of ​​the graphical user interface in the product: the main view of the main view.
 8. Change state description of graphical user interface: The main view is the main observation interfac"&amp;"e. It can be dragged and rotated by the human -machine interaction mode to change the observation angle.
 9. Interface change state diagram diagram 1. Interface changes status diagram. 2. Interface change status diagram. 3. Interface change status Figur"&amp;"e 4 is a point of the four corners of the main view of the main view and drag the observation interface displayed after different angles; According to the interface change state diagram diagram 1. Interface changes status diagram diagram 2, interface chan"&amp;"ges status diagram diagram 3. The interface changes status Figure 4 can be returned to the main view after dragging to the top of the model; Computer, iPad.")</f>
        <v>1. The name of the product of the product: The display screen panel with a map model graphical user interface (extended training map C).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diagram 1. Interface changes status diagram diagram 2, interface changes status diagram diagram 3. The interface changes status Figure 4 can be returned to the main view after dragging to the top of the model; Computer, iPad.</v>
      </c>
      <c r="D1046" s="6" t="s">
        <v>3063</v>
      </c>
      <c r="E1046" s="4" t="str">
        <f ca="1">IFERROR(__xludf.DUMMYFUNCTION("GOOGLETRANSLATE(D1046,""auto"",""en"")"),"Display screen panel with map model graphics user interface (extended training map C)")</f>
        <v>Display screen panel with map model graphics user interface (extended training map C)</v>
      </c>
    </row>
    <row r="1047" spans="1:5" ht="15" x14ac:dyDescent="0.25">
      <c r="A1047" s="5" t="s">
        <v>3064</v>
      </c>
      <c r="B1047" s="6" t="s">
        <v>3065</v>
      </c>
      <c r="C1047" s="3" t="str">
        <f ca="1">IFERROR(__xludf.DUMMYFUNCTION("GOOGLETRANSLATE(B1047,""auto"",""en"")"),"本发明属于视频监控计算机图像处理技术领域，涉及一种基于视频时序特征分析的泳池溺水行为识别方法，包括：S1、构建数据集；S2、对图像进行预处理；S3、构建神经网络模型，包括: Construct a characteristic extraction part, build a spatial semantic modulation module, build a time semantic modulation module, build a characteristic fusion module, a"&amp;"nd build a behavioral judgment module; Pre -processing, entering the trained neural network model to determine whether the behavior is a drowning behavior; the present invention integrates the space information characteristics and timing information chara"&amp;"cteristics of human behavior, which can realize real -time processing image information. Fast, generalized ability, and strong robustness; this method is clever, and the accuracy of drowning behavior recognition reaches more than 90 %.")</f>
        <v>本发明属于视频监控计算机图像处理技术领域，涉及一种基于视频时序特征分析的泳池溺水行为识别方法，包括：S1、构建数据集；S2、对图像进行预处理；S3、构建神经网络模型，包括: Construct a characteristic extraction part, build a spatial semantic modulation module, build a time semantic modulation module, build a characteristic fusion module, and build a behavioral judgment module; Pre -processing, entering the trained neural network model to determine whether the behavior is a drowning behavior; the present invention integrates the space information characteristics and timing information characteristics of human behavior, which can realize real -time processing image information. Fast, generalized ability, and strong robustness; this method is clever, and the accuracy of drowning behavior recognition reaches more than 90 %.</v>
      </c>
      <c r="D1047" s="6" t="s">
        <v>3066</v>
      </c>
      <c r="E1047" s="4" t="str">
        <f ca="1">IFERROR(__xludf.DUMMYFUNCTION("GOOGLETRANSLATE(D1047,""auto"",""en"")"),"A method of judgment of swimming pool drowning based on video timing characteristics")</f>
        <v>A method of judgment of swimming pool drowning based on video timing characteristics</v>
      </c>
    </row>
    <row r="1048" spans="1:5" ht="15" x14ac:dyDescent="0.25">
      <c r="A1048" s="5" t="s">
        <v>3067</v>
      </c>
      <c r="B1048" s="6" t="s">
        <v>3068</v>
      </c>
      <c r="C1048" s="3" t="str">
        <f ca="1">IFERROR(__xludf.DUMMYFUNCTION("GOOGLETRANSLATE(B1048,""auto"",""en"")"),"1. The name of the product of the design of the product: The display screen panel with a map model graphical user interface (extended training map A).
 2. Design products in appearance: used to display interface.
 3. Design of the design of the produc"&amp;"t in this exterior: lies in the interface content of the graphic user interface in the display screen panel.
 4. Pictures or photos that can most indicate design points: main view.
 5. No design points, omit other views.
 6. The purpose of graphical"&amp;" user interface: Map for virtual simulation software for Robosim.
 7. The area of ​​the graphical user interface in the product: the main view of the main view.
 8. Change state description of graphical user interface: The main view is the main observ"&amp;"ation interface. It can be dragged and rotated by the human -machine interaction mode to change the observation angle.
 9. Interface change state diagram diagram 1. Interface changes status diagram. 2. Interface change status diagram. 3. Interface chang"&amp;"e status Figure 4 is a point of the four corners of the main view of the main view and drag the observation interface displayed after different angles; According to the interface change state diagram diagram 1. Interface changes status diagram diagram 2, "&amp;"interface changes status diagram diagram 3. The interface changes status Figure 4 can be returned to the main view after dragging to the top of the model; Computer, iPad.")</f>
        <v>1. The name of the product of the design of the product: The display screen panel with a map model graphical user interface (extended training map A).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diagram 1. Interface changes status diagram diagram 2, interface changes status diagram diagram 3. The interface changes status Figure 4 can be returned to the main view after dragging to the top of the model; Computer, iPad.</v>
      </c>
      <c r="D1048" s="6" t="s">
        <v>3069</v>
      </c>
      <c r="E1048" s="4" t="str">
        <f ca="1">IFERROR(__xludf.DUMMYFUNCTION("GOOGLETRANSLATE(D1048,""auto"",""en"")"),"Display screen panel with map model graphics user interface (extended training map A)")</f>
        <v>Display screen panel with map model graphics user interface (extended training map A)</v>
      </c>
    </row>
    <row r="1049" spans="1:5" ht="15" x14ac:dyDescent="0.25">
      <c r="A1049" s="5" t="s">
        <v>3070</v>
      </c>
      <c r="B1049" s="6" t="s">
        <v>3071</v>
      </c>
      <c r="C1049" s="3" t="str">
        <f ca="1">IFERROR(__xludf.DUMMYFUNCTION("GOOGLETRANSLATE(B1049,""auto"",""en"")"),"The accident risk prevention system in the swimming pool is characterized by it: -Sterer and/or sound capture device of the swimming pool and/or its surrounding environment (1), -Poujin -based first data processing device (2), applicable The sound or/or t"&amp;"he sound and/or the sound of the sound and/or the sound captured by the detection pool user and/or the image (1) corresponding to the risk of the accident, and the-second and/or third data processing device (second and/or third data processing device ( 3,"&amp;" 6), suitable for receiving information about the risk of accidents detected by the first data processing device (2), and ordering the execution of the risk of the accident.")</f>
        <v>The accident risk prevention system in the swimming pool is characterized by it: -Sterer and/or sound capture device of the swimming pool and/or its surrounding environment (1), -Poujin -based first data processing device (2), applicable The sound or/or the sound and/or the sound of the sound and/or the sound captured by the detection pool user and/or the image (1) corresponding to the risk of the accident, and the-second and/or third data processing device (second and/or third data processing device ( 3, 6), suitable for receiving information about the risk of accidents detected by the first data processing device (2), and ordering the execution of the risk of the accident.</v>
      </c>
      <c r="D1049" s="6" t="s">
        <v>3072</v>
      </c>
      <c r="E1049" s="4" t="str">
        <f ca="1">IFERROR(__xludf.DUMMYFUNCTION("GOOGLETRANSLATE(D1049,""auto"",""en"")"),"Swimming pool accident risk prevention system")</f>
        <v>Swimming pool accident risk prevention system</v>
      </c>
    </row>
    <row r="1050" spans="1:5" ht="15" x14ac:dyDescent="0.25">
      <c r="A1050" s="5" t="s">
        <v>3073</v>
      </c>
      <c r="B1050" s="6" t="s">
        <v>3074</v>
      </c>
      <c r="C1050" s="3" t="str">
        <f ca="1">IFERROR(__xludf.DUMMYFUNCTION("GOOGLETRANSLATE(B1050,""auto"",""en"")"),"The invention disclosed a virtual simulation driving school test simulation system based on the Internet of Things, including the itinerary obtaining module, coach judgment module and vehicle operation module. The route is stipulated to march, and the coa"&amp;"ch's judgment module is used to observe the response speed of the coach in front of the coach. Connect to the coach's discrimination module. The itinerary concludes the module including the map model module, the position implementation module, the shootin"&amp;"g sensing module, and the itinerary planning module. The arrangement of the arrangement of the shooting sensor module is on the front line of the teaching vehicle. The present invention has the characteristics of strong practicality.")</f>
        <v>The invention disclosed a virtual simulation driving school test simulation system based on the Internet of Things, including the itinerary obtaining module, coach judgment module and vehicle operation module. The route is stipulated to march, and the coach's judgment module is used to observe the response speed of the coach in front of the coach. Connect to the coach's discrimination module. The itinerary concludes the module including the map model module, the position implementation module, the shooting sensing module, and the itinerary planning module. The arrangement of the arrangement of the shooting sensor module is on the front line of the teaching vehicle. The present invention has the characteristics of strong practicality.</v>
      </c>
      <c r="D1050" s="6" t="s">
        <v>3075</v>
      </c>
      <c r="E1050" s="4" t="str">
        <f ca="1">IFERROR(__xludf.DUMMYFUNCTION("GOOGLETRANSLATE(D1050,""auto"",""en"")"),"An Examination simulation system based on the Internet of Things virtual simulation driving school")</f>
        <v>An Examination simulation system based on the Internet of Things virtual simulation driving school</v>
      </c>
    </row>
    <row r="1051" spans="1:5" ht="15" x14ac:dyDescent="0.25">
      <c r="A1051" s="5" t="s">
        <v>3076</v>
      </c>
      <c r="B1051" s="6" t="s">
        <v>3077</v>
      </c>
      <c r="C1051" s="3" t="str">
        <f ca="1">IFERROR(__xludf.DUMMYFUNCTION("GOOGLETRANSLATE(B1051,""auto"",""en"")"),"This openness involves the safety of the driver of the driver's vehicle that is a fleet. This may include individual drivers who are determined to receive training or counseling courses. It can evaluate scores that are related to vehicle type, vehicle wei"&amp;"ght level, time of day, stop/starting number and other factors, to identify drivers who may allocate the highest risk factors. When performing analysis, the company's remote information processing data and the public data of the company's remote informati"&amp;"on processing data and the identification of road types, road conditions, experience levels and other factors can be combined with the number of accidents or speeding tickets. The method described in this article can be implemented based on the machine le"&amp;"arning model of the instruction in the memory -based instruction. This may include deep learning or neural network technology.")</f>
        <v>This openness involves the safety of the driver of the driver's vehicle that is a fleet. This may include individual drivers who are determined to receive training or counseling courses. It can evaluate scores that are related to vehicle type, vehicle weight level, time of day, stop/starting number and other factors, to identify drivers who may allocate the highest risk factors. When performing analysis, the company's remote information processing data and the public data of the company's remote information processing data and the identification of road types, road conditions, experience levels and other factors can be combined with the number of accidents or speeding tickets. The method described in this article can be implemented based on the machine learning model of the instruction in the memory -based instruction. This may include deep learning or neural network technology.</v>
      </c>
      <c r="D1051" s="6" t="s">
        <v>3078</v>
      </c>
      <c r="E1051" s="4" t="str">
        <f ca="1">IFERROR(__xludf.DUMMYFUNCTION("GOOGLETRANSLATE(D1051,""auto"",""en"")"),"The generation and use of coach scores")</f>
        <v>The generation and use of coach scores</v>
      </c>
    </row>
    <row r="1052" spans="1:5" ht="15" x14ac:dyDescent="0.25">
      <c r="A1052" s="5" t="s">
        <v>3079</v>
      </c>
      <c r="B1052" s="6" t="s">
        <v>3080</v>
      </c>
      <c r="C1052" s="3" t="str">
        <f ca="1">IFERROR(__xludf.DUMMYFUNCTION("GOOGLETRANSLATE(B1052,""auto"",""en"")"),"According to various embodiments, an electronic device includes a memory, communication module, and at least one processor connected to the memory and communication module. At least one processor receives the image from the camera through a communication "&amp;"module, and first, the first nerve can be used in the first nerve. The network model detects the dangerous situation information in the image, and can send notifications for the first dangerous information.")</f>
        <v>According to various embodiments, an electronic device includes a memory, communication module, and at least one processor connected to the memory and communication module. At least one processor receives the image from the camera through a communication module, and first, the first nerve can be used in the first nerve. The network model detects the dangerous situation information in the image, and can send notifications for the first dangerous information.</v>
      </c>
      <c r="D1052" s="6" t="s">
        <v>3081</v>
      </c>
      <c r="E1052" s="4" t="str">
        <f ca="1">IFERROR(__xludf.DUMMYFUNCTION("GOOGLETRANSLATE(D1052,""auto"",""en"")"),"Methods and devices of the dangerous situation of the fitness center using the neural network model")</f>
        <v>Methods and devices of the dangerous situation of the fitness center using the neural network model</v>
      </c>
    </row>
    <row r="1053" spans="1:5" ht="15" x14ac:dyDescent="0.25">
      <c r="A1053" s="5" t="s">
        <v>3082</v>
      </c>
      <c r="B1053" s="6" t="s">
        <v>3083</v>
      </c>
      <c r="C1053" s="3" t="str">
        <f ca="1">IFERROR(__xludf.DUMMYFUNCTION("GOOGLETRANSLATE(B1053,""auto"",""en"")"),"A fitness device based on the principle of flexible robotic arm, including the robotic arm, support department (4), the mechanical arm and the support department (4) connect to the end of the mechanical arm with mechanical interaction structure; Module, f"&amp;"orce field control module, human -machine interaction module and human motion attitude analysis module. You can use any weight to control force. In a limited environment, fitness training that can only be completed in the professional environment can be p"&amp;"erformed. It can simulate a variety of huge fitness equipment and minimize the large sports equipment in the gym. It is possible to make the power training in the limited space. It can also save a large amount of equipment occupying the gym and greatly im"&amp;"prove the operating efficiency.")</f>
        <v>A fitness device based on the principle of flexible robotic arm, including the robotic arm, support department (4), the mechanical arm and the support department (4) connect to the end of the mechanical arm with mechanical interaction structure; Module, force field control module, human -machine interaction module and human motion attitude analysis module. You can use any weight to control force. In a limited environment, fitness training that can only be completed in the professional environment can be performed. It can simulate a variety of huge fitness equipment and minimize the large sports equipment in the gym. It is possible to make the power training in the limited space. It can also save a large amount of equipment occupying the gym and greatly improve the operating efficiency.</v>
      </c>
      <c r="D1053" s="6" t="s">
        <v>3084</v>
      </c>
      <c r="E1053" s="4" t="str">
        <f ca="1">IFERROR(__xludf.DUMMYFUNCTION("GOOGLETRANSLATE(D1053,""auto"",""en"")"),"Fitness device based on flexible robotic arm principles")</f>
        <v>Fitness device based on flexible robotic arm principles</v>
      </c>
    </row>
    <row r="1054" spans="1:5" ht="15" x14ac:dyDescent="0.25">
      <c r="A1054" s="5" t="s">
        <v>3085</v>
      </c>
      <c r="B1054" s="6" t="s">
        <v>3086</v>
      </c>
      <c r="C1054" s="3" t="str">
        <f ca="1">IFERROR(__xludf.DUMMYFUNCTION("GOOGLETRANSLATE(B1054,""auto"",""en"")"),"The present invention involves the field of artificial intelligence technology, and specifically involves a distribution method based on artificial intelligence -based gym and managers. This method is based on the three -dimensional action sequence of the"&amp;" fitness personnel to obtain the action standard rate of the corresponding fitness equipment; the standard of each type of fitness equipment area is obtained from the standard rate of each type of fitness equipment. The number of allocated people is based"&amp;" on the location relationship of each type of healthy equipment area for regional integration to obtain multiple integrated areas, and the number of new distribution of each integration area is obtained in combination with the integration area and the ini"&amp;"tial distribution number; Corresponding personnel scheduling on coach managers. Through targeted personnel distribution, the rationality of personnel distribution and the utilization rate of personnel have greatly improved, so that the role of coach manag"&amp;"ers can be fully played, and the fitness efficiency and fitness quality of fitness personnel are improved.")</f>
        <v>The present invention involves the field of artificial intelligence technology, and specifically involves a distribution method based on artificial intelligence -based gym and managers. This method is based on the three -dimensional action sequence of the fitness personnel to obtain the action standard rate of the corresponding fitness equipment; the standard of each type of fitness equipment area is obtained from the standard rate of each type of fitness equipment. The number of allocated people is based on the location relationship of each type of healthy equipment area for regional integration to obtain multiple integrated areas, and the number of new distribution of each integration area is obtained in combination with the integration area and the initial distribution number; Corresponding personnel scheduling on coach managers. Through targeted personnel distribution, the rationality of personnel distribution and the utilization rate of personnel have greatly improved, so that the role of coach managers can be fully played, and the fitness efficiency and fitness quality of fitness personnel are improved.</v>
      </c>
      <c r="D1054" s="6" t="s">
        <v>3087</v>
      </c>
      <c r="E1054" s="4" t="str">
        <f ca="1">IFERROR(__xludf.DUMMYFUNCTION("GOOGLETRANSLATE(D1054,""auto"",""en"")"),"Gym -based gym -based gym and managers distribution method")</f>
        <v>Gym -based gym -based gym and managers distribution method</v>
      </c>
    </row>
    <row r="1055" spans="1:5" ht="15" x14ac:dyDescent="0.25">
      <c r="A1055" s="5" t="s">
        <v>3088</v>
      </c>
      <c r="B1055" s="6" t="s">
        <v>3089</v>
      </c>
      <c r="C1055" s="3" t="str">
        <f ca="1">IFERROR(__xludf.DUMMYFUNCTION("GOOGLETRANSLATE(B1055,""auto"",""en"")"),"The present invention discloses a machine visual image recognition system and its processing method, including machine visual image recognition machines and the industrial control host in the machine visual image recognition machine. The industrial contro"&amp;"l host has a machine visual image recognition system for control the machine's visual image There are various identification machines. By using the configuration of machine vision and deep learning neural network system, the invention can realize the iden"&amp;"tification and weighing work of materials. The system will automatically complete the price calculation and transmit the consumption amount to the payment terminal. Consumers enter Corresponding payment, at the same time, deep learning neural network syst"&amp;"ems can perform image compensation and reduce image recognition errors, so that the overall operation of this machine's visual image recognition system is convenient and intelligent, with a wide range of applicability, reducing the error of use cost and i"&amp;"mage recognition, increasing the material image of the material image The efficiency and accuracy of identification.")</f>
        <v>The present invention discloses a machine visual image recognition system and its processing method, including machine visual image recognition machines and the industrial control host in the machine visual image recognition machine. The industrial control host has a machine visual image recognition system for control the machine's visual image There are various identification machines. By using the configuration of machine vision and deep learning neural network system, the invention can realize the identification and weighing work of materials. The system will automatically complete the price calculation and transmit the consumption amount to the payment terminal. Consumers enter Corresponding payment, at the same time, deep learning neural network systems can perform image compensation and reduce image recognition errors, so that the overall operation of this machine's visual image recognition system is convenient and intelligent, with a wide range of applicability, reducing the error of use cost and image recognition, increasing the material image of the material image The efficiency and accuracy of identification.</v>
      </c>
      <c r="D1055" s="6" t="s">
        <v>3090</v>
      </c>
      <c r="E1055" s="4" t="str">
        <f ca="1">IFERROR(__xludf.DUMMYFUNCTION("GOOGLETRANSLATE(D1055,""auto"",""en"")"),"A machine visual image recognition system and its processing method")</f>
        <v>A machine visual image recognition system and its processing method</v>
      </c>
    </row>
    <row r="1056" spans="1:5" ht="15" x14ac:dyDescent="0.25">
      <c r="A1056" s="5" t="s">
        <v>3091</v>
      </c>
      <c r="B1056" s="6" t="s">
        <v>3092</v>
      </c>
      <c r="C1056" s="3" t="str">
        <f ca="1">IFERROR(__xludf.DUMMYFUNCTION("GOOGLETRANSLATE(B1056,""auto"",""en"")"),"1. The name of the product designed this product: display the graphic user interface for the information display of the screen panel.
 2. The purpose of designing products in this exterior: The design of the product is used for display information. The "&amp;"display screen panel is used for mobile phones, tablets, and computers.
 3. Design of the design of the product in this appearance: lies in the graphic user interface content in the screen.
 4. Pictures or photos that can best show design: Design 1 ma"&amp;"in view.
 5. Small view: The product hardware part is conventional design, omittinders, left view, left view, right view, pult view, and retry view.
 6. Specify design 1 is the basic design.
 7. The purpose of the graphical user interface: The desig"&amp;"n of the product is used for sports training and fitness.
 8. The display screen panel is designed with existing. The text content in the interface is only used to indicate the content area. The text itself is not the protection content of the design.
 "&amp;"
 9. Human -computer interaction method of graphical user interface: In design 1, click on any position in design 1 in design 1 to enter the design 1 interface change state diagram. Design 3 and design 4 Module buttons to click on Design 2 The human -comp"&amp;"uter interaction method is the same as design 1.")</f>
        <v>1. The name of the product designed this product: display the graphic user interface for the information display of the screen panel.
 2. The purpose of designing products in this exterior: The design of the product is used for display information. The display screen panel is used for mobile phones, tablets, and computers.
 3. Design of the design of the product in this appearance: lies in the graphic user interface content in the screen.
 4. Pictures or photos that can best show design: Design 1 main view.
 5. Small view: The product hardware part is conventional design, omittinders, left view, left view, right view, pult view, and retry view.
 6. Specify design 1 is the basic design.
 7. The purpose of the graphical user interface: The design of the product is used for sports training and fitness.
 8. The display screen panel is designed with existing. The text content in the interface is only used to indicate the content area. The text itself is not the protection content of the design.
 9. Human -computer interaction method of graphical user interface: In design 1, click on any position in design 1 in design 1 to enter the design 1 interface change state diagram. Design 3 and design 4 Module buttons to click on Design 2 The human -computer interaction method is the same as design 1.</v>
      </c>
      <c r="D1056" s="6" t="s">
        <v>2748</v>
      </c>
      <c r="E1056" s="4" t="str">
        <f ca="1">IFERROR(__xludf.DUMMYFUNCTION("GOOGLETRANSLATE(D1056,""auto"",""en"")"),"Information display graphic user interface for the display screen panel")</f>
        <v>Information display graphic user interface for the display screen panel</v>
      </c>
    </row>
    <row r="1057" spans="1:5" ht="15" x14ac:dyDescent="0.25">
      <c r="A1057" s="5" t="s">
        <v>3093</v>
      </c>
      <c r="B1057" s="6" t="s">
        <v>3094</v>
      </c>
      <c r="C1057" s="3" t="str">
        <f ca="1">IFERROR(__xludf.DUMMYFUNCTION("GOOGLETRANSLATE(B1057,""auto"",""en"")"),"1. Design product name: Sports and fitness graphic user interface for display screen panels.
 2. The purpose of designing products in this exterior: The design of the product is used for display information. The display screen panel is used for mobile p"&amp;"hones, tablets, and computers.
 3. Design of the design of the product in this exterior: lies in the content of the graphic user interface in the screen, the display screen panel is designed with the existing. The text content in the interface is only u"&amp;"sed to indicate the content area. The text itself is not the protection content of this design.
 4. Pictures or photos that can most indicate design points: main view.
 5. Small view: The product hardware part is conventional design, omittinders, left"&amp;" view, left view, right view, pult view, and retry view.
 6. The purpose of graphical user interface: The design of the product is used for sports, fitness, entertainment and information display.
 7. Human -computer interaction method of graphic user "&amp;"interface: slide up the main view up to enter the interface change state Figure 1, click the main view of the lower left corner button or interface change status Figure 1 The lower left corner button can be entered. Change status Figure 1 In the interface"&amp;", any user ""co -produce with the TA"" button to enter the interface change state Figure 3.")</f>
        <v>1. Design product name: Sports and fitness graphic user interface for display screen panels.
 2. The purpose of designing products in this exterior: The design of the product is used for display information. The display screen panel is used for mobile phones, tablets, and computers.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most indicate design points: main view.
 5. Small view: The product hardware part is conventional design, omittinders, left view, left view, right view, pult view, and retry view.
 6. The purpose of graphical user interface: The design of the product is used for sports, fitness, entertainment and information display.
 7. Human -computer interaction method of graphic user interface: slide up the main view up to enter the interface change state Figure 1, click the main view of the lower left corner button or interface change status Figure 1 The lower left corner button can be entered. Change status Figure 1 In the interface, any user "co -produce with the TA" button to enter the interface change state Figure 3.</v>
      </c>
      <c r="D1057" s="6" t="s">
        <v>3095</v>
      </c>
      <c r="E1057" s="4" t="str">
        <f ca="1">IFERROR(__xludf.DUMMYFUNCTION("GOOGLETRANSLATE(D1057,""auto"",""en"")"),"Sports fitness graphics user interface for display screen panels")</f>
        <v>Sports fitness graphics user interface for display screen panels</v>
      </c>
    </row>
    <row r="1058" spans="1:5" ht="15" x14ac:dyDescent="0.25">
      <c r="A1058" s="5" t="s">
        <v>3096</v>
      </c>
      <c r="B1058" s="6" t="s">
        <v>3097</v>
      </c>
      <c r="C1058" s="3" t="str">
        <f ca="1">IFERROR(__xludf.DUMMYFUNCTION("GOOGLETRANSLATE(B1058,""auto"",""en"")"),"The present invention belongs to the field of artificial intelligence defect detection technology. It especially involves an industrial defect intelligent detection and teaching training device, including FPGA intelligent marginal computing equipment, con"&amp;"veyor belt mechanism, visual detection agency, sorting institution, visual display module and operating platform institution;发明具有以下有益效果：本发明系统占用面积小、结构设备简单、易于操作、安装调试方便，成本低，可根据需要进行模块组装和系统组装，为教学提供充足空间，能更好的在教室、 The purpose of laboratory development, teaching a"&amp;"nd training. In terms of teaching, this device supports FPGA teaching, artificial intelligence teaching, and in addition to training teaching, it can also be used as competition equipment.")</f>
        <v>The present invention belongs to the field of artificial intelligence defect detection technology. It especially involves an industrial defect intelligent detection and teaching training device, including FPGA intelligent marginal computing equipment, conveyor belt mechanism, visual detection agency, sorting institution, visual display module and operating platform institution;发明具有以下有益效果：本发明系统占用面积小、结构设备简单、易于操作、安装调试方便，成本低，可根据需要进行模块组装和系统组装，为教学提供充足空间，能更好的在教室、 The purpose of laboratory development, teaching and training. In terms of teaching, this device supports FPGA teaching, artificial intelligence teaching, and in addition to training teaching, it can also be used as competition equipment.</v>
      </c>
      <c r="D1058" s="6" t="s">
        <v>3098</v>
      </c>
      <c r="E1058" s="4" t="str">
        <f ca="1">IFERROR(__xludf.DUMMYFUNCTION("GOOGLETRANSLATE(D1058,""auto"",""en"")"),"An industrial defect intelligent test teaching training device")</f>
        <v>An industrial defect intelligent test teaching training device</v>
      </c>
    </row>
    <row r="1059" spans="1:5" ht="15" x14ac:dyDescent="0.25">
      <c r="A1059" s="5" t="s">
        <v>3099</v>
      </c>
      <c r="B1059" s="6" t="s">
        <v>3100</v>
      </c>
      <c r="C1059" s="3" t="str">
        <f ca="1">IFERROR(__xludf.DUMMYFUNCTION("GOOGLETRANSLATE(B1059,""auto"",""en"")"),"1. The name of the product designed this product: display the graphic user interface for the information display of the screen panel.
 2. The purpose of designing products in this exterior: The design of the product is used for display information. The "&amp;"display screen panel is used for mobile phones, tablets, and computers.
 3. Design of the design of the product in this exterior: lies in the content of the graphic user interface in the screen, the display screen panel is designed with the existing. Th"&amp;"e text content in the interface is only used to indicate the content area. The text itself is not the protection content of this design.
 4. Pictures or photos that can best show design: Design 1 main view.
 5. The product hardware part is conventiona"&amp;"l design. The back view, left view, right view, down -view view, and retry view are omitted.
 6. Specify design 1 is the basic design.
 7. The purpose of graphical user interface: The design of the product is used for sports training, fitness, and inf"&amp;"ormation display.
 8. Human -computer interaction method of graphics user interface: Design 1 interface main view and design 2 interface main view of each module can be click on operation to enter the corresponding next level for operation. In design 1 "&amp;"Enter the next -level interface to view the ranking information. Click the button below the main view interface to enter the next level interface for sharing. Click the main view interface ""#进入 进入"" to enter the next level interface to view the relevant "&amp;"information.
 Design 2 human -machine interaction processes and design 1 are the same.")</f>
        <v>1. The name of the product designed this product: display the graphic user interface for the information display of the screen panel.
 2. The purpose of designing products in this exterior: The design of the product is used for display information. The display screen panel is used for mobile phones, tablets, and computers.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best show design: Design 1 main view.
 5. The product hardware part is conventional design. The back view, left view, right view, down -view view, and retry view are omitted.
 6. Specify design 1 is the basic design.
 7. The purpose of graphical user interface: The design of the product is used for sports training, fitness, and information display.
 8. Human -computer interaction method of graphics user interface: Design 1 interface main view and design 2 interface main view of each module can be click on operation to enter the corresponding next level for operation. In design 1 Enter the next -level interface to view the ranking information. Click the button below the main view interface to enter the next level interface for sharing. Click the main view interface "#进入 进入" to enter the next level interface to view the relevant information.
 Design 2 human -machine interaction processes and design 1 are the same.</v>
      </c>
      <c r="D1059" s="6" t="s">
        <v>2748</v>
      </c>
      <c r="E1059" s="4" t="str">
        <f ca="1">IFERROR(__xludf.DUMMYFUNCTION("GOOGLETRANSLATE(D1059,""auto"",""en"")"),"Information display graphic user interface for the display screen panel")</f>
        <v>Information display graphic user interface for the display screen panel</v>
      </c>
    </row>
    <row r="1060" spans="1:5" ht="15" x14ac:dyDescent="0.25">
      <c r="A1060" s="5" t="s">
        <v>3101</v>
      </c>
      <c r="B1060" s="6" t="s">
        <v>3102</v>
      </c>
      <c r="C1060" s="3" t="str">
        <f ca="1">IFERROR(__xludf.DUMMYFUNCTION("GOOGLETRANSLATE(B1060,""auto"",""en"")"),"A system for identifying and timing athletes in time sports events. The athletes use image recognition technology to timing the athletes. Among them, one or more images (106 A, 106 B, or 106 C) taken by athletes taken by cameras during the sports event ha"&amp;"ve a time stamp to generate the time for the athletes. By comparing one of the images that will be taken during the sports event, the athlete is compared with the athlete's personal data image.")</f>
        <v>A system for identifying and timing athletes in time sports events. The athletes use image recognition technology to timing the athletes. Among them, one or more images (106 A, 106 B, or 106 C) taken by athletes taken by cameras during the sports event have a time stamp to generate the time for the athletes. By comparing one of the images that will be taken during the sports event, the athlete is compared with the athlete's personal data image.</v>
      </c>
      <c r="D1060" s="6" t="s">
        <v>3103</v>
      </c>
      <c r="E1060" s="4" t="str">
        <f ca="1">IFERROR(__xludf.DUMMYFUNCTION("GOOGLETRANSLATE(D1060,""auto"",""en"")"),"Using some of the image recognition of some competition days to perform the time and photography system of the event")</f>
        <v>Using some of the image recognition of some competition days to perform the time and photography system of the event</v>
      </c>
    </row>
    <row r="1061" spans="1:5" ht="15" x14ac:dyDescent="0.25">
      <c r="A1061" s="5" t="s">
        <v>3104</v>
      </c>
      <c r="B1061" s="6" t="s">
        <v>3105</v>
      </c>
      <c r="C1061" s="3" t="str">
        <f ca="1">IFERROR(__xludf.DUMMYFUNCTION("GOOGLETRANSLATE(B1061,""auto"",""en"")"),"The present invention involves a sprint training and monitoring system, including glasses 1. Nose bridge frame 3, temples 4, nasal support 5, and wheel 辋 2. Prague grille sensor 7 is installed on the temple 4 to monitor the user's life parameters. Among t"&amp;"hem, the micro controller sends instructions to the image projector 6 based on the monitored parameter to change the speed of the virtual opponent. Acceleration meter module, for continuous monitoring of users' running speed, artificial intelligence image"&amp;" capture module 10 installed on Bridge 3, used to detect cracks, dust on glasses 1 and wheel 2 Extending wiping unit 12, used to move back and forth to remove dust.")</f>
        <v>The present invention involves a sprint training and monitoring system, including glasses 1. Nose bridge frame 3, temples 4, nasal support 5, and wheel 辋 2. Prague grille sensor 7 is installed on the temple 4 to monitor the user's life parameters. Among them, the micro controller sends instructions to the image projector 6 based on the monitored parameter to change the speed of the virtual opponent. Acceleration meter module, for continuous monitoring of users' running speed, artificial intelligence image capture module 10 installed on Bridge 3, used to detect cracks, dust on glasses 1 and wheel 2 Extending wiping unit 12, used to move back and forth to remove dust.</v>
      </c>
      <c r="D1061" s="6" t="s">
        <v>3106</v>
      </c>
      <c r="E1061" s="4" t="str">
        <f ca="1">IFERROR(__xludf.DUMMYFUNCTION("GOOGLETRANSLATE(D1061,""auto"",""en"")"),"Sprint training and monitoring system")</f>
        <v>Sprint training and monitoring system</v>
      </c>
    </row>
    <row r="1062" spans="1:5" ht="15" x14ac:dyDescent="0.25">
      <c r="A1062" s="5" t="s">
        <v>3107</v>
      </c>
      <c r="B1062" s="6" t="s">
        <v>3108</v>
      </c>
      <c r="C1062" s="3" t="str">
        <f ca="1">IFERROR(__xludf.DUMMYFUNCTION("GOOGLETRANSLATE(B1062,""auto"",""en"")"),"The present invention disclose a method of shooting action parameters based on deep learning. By detecting the model, the coordinates of the joint nodes, basketball and baskets of the athletes by detecting the model, first, the outline of the basketball i"&amp;"s extracted through the Hough round test method to calculate the pixel diameter of the basketball; The key frame is used to calculate the shot height and angle of the shooting action based on the proportional relationship between basketball pixels and rea"&amp;"lity diameter. Finally, judging whether the shooting is hit based on basketball points. This method accurately judges the athlete's shooting timing and estimates the parameters of the athlete's shooting action, providing data support for the athlete train"&amp;"ing and the adjustment of the shooting posture.")</f>
        <v>The present invention disclose a method of shooting action parameters based on deep learning. By detecting the model, the coordinates of the joint nodes, basketball and baskets of the athletes by detecting the model, first, the outline of the basketball is extracted through the Hough round test method to calculate the pixel diameter of the basketball; The key frame is used to calculate the shot height and angle of the shooting action based on the proportional relationship between basketball pixels and reality diameter. Finally, judging whether the shooting is hit based on basketball points. This method accurately judges the athlete's shooting timing and estimates the parameters of the athlete's shooting action, providing data support for the athlete training and the adjustment of the shooting posture.</v>
      </c>
      <c r="D1062" s="6" t="s">
        <v>3109</v>
      </c>
      <c r="E1062" s="4" t="str">
        <f ca="1">IFERROR(__xludf.DUMMYFUNCTION("GOOGLETRANSLATE(D1062,""auto"",""en"")"),"A method of estimating a shot action parameter based on deep learning")</f>
        <v>A method of estimating a shot action parameter based on deep learning</v>
      </c>
    </row>
    <row r="1063" spans="1:5" ht="15" x14ac:dyDescent="0.25">
      <c r="A1063" s="5" t="s">
        <v>3110</v>
      </c>
      <c r="B1063" s="6" t="s">
        <v>2118</v>
      </c>
      <c r="C1063" s="3" t="str">
        <f ca="1">IFERROR(__xludf.DUMMYFUNCTION("GOOGLETRANSLATE(B1063,""auto"",""en"")"),"Combined with the Internet of Things (IoT), these technologies have recently improved the performance of the automatic swimming pool system. A large number of studies have been conducted to determine how to prevent drowning by using a series of tracking p"&amp;"eople to move and videos in the water. The study proposed an effective system that uses a single image to locate and classify the drowning object. The goal is to reduce the number of drowning people. The proposed system adopts the Internet of Things and m"&amp;"igration learning to continuously monitor the security of the swimming pool. Using a special model based on migration learning, you can use complex characteristics to distinguish between humans and others. This model is based on the model trained on the "&amp;"""ImageNet"" image database. The proposed system aims to shorten the time required for people to complete the task. It classifies the data and sends the result to the owner's mobile devices. In the prototype experiment, the sensitivity, accuracy and accur"&amp;"acy of the dedicated model with other deep learning algorithms are compared. This is called the ""control"" group.")</f>
        <v>Combined with the Internet of Things (IoT), these technologies have recently improved the performance of the automatic swimming pool system. A large number of studies have been conducted to determine how to prevent drowning by using a series of tracking people to move and videos in the water. The study proposed an effective system that uses a single image to locate and classify the drowning object. The goal is to reduce the number of drowning people. The proposed system adopts the Internet of Things and migration learning to continuously monitor the security of the swimming pool. Using a special model based on migration learning, you can use complex characteristics to distinguish between humans and others. This model is based on the model trained on the "ImageNet" image database. The proposed system aims to shorten the time required for people to complete the task. It classifies the data and sends the result to the owner's mobile devices. In the prototype experiment, the sensitivity, accuracy and accuracy of the dedicated model with other deep learning algorithms are compared. This is called the "control" group.</v>
      </c>
      <c r="D1063" s="6" t="s">
        <v>3111</v>
      </c>
      <c r="E1063" s="4" t="str">
        <f ca="1">IFERROR(__xludf.DUMMYFUNCTION("GOOGLETRANSLATE(D1063,""auto"",""en"")"),"A system based on the Internet of Things and machine learning, used to identify the drowning incident in the swimming pool")</f>
        <v>A system based on the Internet of Things and machine learning, used to identify the drowning incident in the swimming pool</v>
      </c>
    </row>
    <row r="1064" spans="1:5" ht="15" x14ac:dyDescent="0.25">
      <c r="A1064" s="5" t="s">
        <v>3112</v>
      </c>
      <c r="B1064" s="6" t="s">
        <v>3113</v>
      </c>
      <c r="C1064" s="3" t="str">
        <f ca="1">IFERROR(__xludf.DUMMYFUNCTION("GOOGLETRANSLATE(B1064,""auto"",""en"")"),"The invention provides an improved multi -universe intelligent optimization algorithm, that is, the intelligent optimization algorithm of multiple strategies and diversified universe groups. This method improves the shortcomings of multiple universe intel"&amp;"ligent optimization algorithms update strategies, insufficient global exploration scope, and other shortcomings. In the process of optimization, the mechanism of crossing, mutation, and selection in genetic algorithms to expand the scope of the overall ex"&amp;"ploration; Optimize the update mechanism and strengthen the ability of local detection. The specific operation is: First, initialize the problem to optimize the problem, to be optimized, and the adaptation function; on this basis, use different strategies"&amp;" to update the universe population group E based on different strategies; again, again, for the updated e -cosmic population population group again The U -universe population that is renewed to be optimized is used to use different strategies; in the end,"&amp;" the final optimization results are obtained by continuously iterating the above -mentioned positive and reverse optimization process.")</f>
        <v>The invention provides an improved multi -universe intelligent optimization algorithm, that is, the intelligent optimization algorithm of multiple strategies and diversified universe groups. This method improves the shortcomings of multiple universe intelligent optimization algorithms update strategies, insufficient global exploration scope, and other shortcomings. In the process of optimization, the mechanism of crossing, mutation, and selection in genetic algorithms to expand the scope of the overall exploration; Optimize the update mechanism and strengthen the ability of local detection. The specific operation is: First, initialize the problem to optimize the problem, to be optimized, and the adaptation function; on this basis, use different strategies to update the universe population group E based on different strategies; again, again, for the updated e -cosmic population population group again The U -universe population that is renewed to be optimized is used to use different strategies; in the end, the final optimization results are obtained by continuously iterating the above -mentioned positive and reverse optimization process.</v>
      </c>
      <c r="D1064" s="6" t="s">
        <v>3114</v>
      </c>
      <c r="E1064" s="4" t="str">
        <f ca="1">IFERROR(__xludf.DUMMYFUNCTION("GOOGLETRANSLATE(D1064,""auto"",""en"")"),"A intelligent optimization algorithm of a multi -strategy and multiple universe group")</f>
        <v>A intelligent optimization algorithm of a multi -strategy and multiple universe group</v>
      </c>
    </row>
    <row r="1065" spans="1:5" ht="15" x14ac:dyDescent="0.25">
      <c r="A1065" s="5" t="s">
        <v>3115</v>
      </c>
      <c r="B1065" s="6" t="s">
        <v>3116</v>
      </c>
      <c r="C1065" s="3" t="str">
        <f ca="1">IFERROR(__xludf.DUMMYFUNCTION("GOOGLETRANSLATE(B1065,""auto"",""en"")"),"LOT is widely used in various applications. In the healthcare system, the Internet of Things (IoT) plays a key role in connecting doctors and patients in using health monitoring equipment. This is very cost -effective, which is good for the elderly and th"&amp;"e disabled. There are many ways to monitor the health status of the elderly. In this method, we compare the various data mining methods used in the data obtained from smart meters, appliances and video surveillance, and their prediction accuracy. Based on"&amp;" wearable sensors, body body activity recognition. This further expands to the Internet of Things platform. Based on network -based applications, the platform integrates wearable sensors, smartphones and activity recognition. For this reason, smartphones "&amp;"collect data from wearable sensors and send it to the server for processing and activation recognition. We have collected a set of unique sets of indoor and outdoor sports activity data. Participants are divided into men and women, and the number of parti"&amp;"cipants in each activity is different. In these activities, wearable sensors use acceleration meters, gyroscope, magnetometer, pressure and temperature to measure various physical parameters. These statistical data and measurement values ​​are then repres"&amp;"ented as feature vectors to train and test the supervision machine learning algorithm (classifier) ​​used for activity recognition. Using the Weka machine learning kit, we evaluated several famous classifiers on a given data set, such as random forests, s"&amp;"upport vector machines, and many other classifiers. Calculated ability. Many authors have demonstrated the practical implementation of Somewhat Homorphic Encryption (She) or Fully Homomorphic Encryption (FHE), as well as SHE's addition and multiplication "&amp;"computing solutions. In order to increase the calculation power required by the SHE method, the recent implementation of the FHE method relying on the time that the time it takes to reduce the execution of the encrypted multiplication operation.")</f>
        <v>LOT is widely used in various applications. In the healthcare system, the Internet of Things (IoT) plays a key role in connecting doctors and patients in using health monitoring equipment. This is very cost -effective, which is good for the elderly and the disabled. There are many ways to monitor the health status of the elderly. In this method, we compare the various data mining methods used in the data obtained from smart meters, appliances and video surveillance, and their prediction accuracy. Based on wearable sensors, body body activity recognition. This further expands to the Internet of Things platform. Based on network -based applications, the platform integrates wearable sensors, smartphones and activity recognition. For this reason, smartphones collect data from wearable sensors and send it to the server for processing and activation recognition. We have collected a set of unique sets of indoor and outdoor sports activity data. Participants are divided into men and women, and the number of participants in each activity is different. In these activities, wearable sensors use acceleration meters, gyroscope, magnetometer, pressure and temperature to measure various physical parameters. These statistical data and measurement values ​​are then represented as feature vectors to train and test the supervision machine learning algorithm (classifier) ​​used for activity recognition. Using the Weka machine learning kit, we evaluated several famous classifiers on a given data set, such as random forests, support vector machines, and many other classifiers. Calculated ability. Many authors have demonstrated the practical implementation of Somewhat Homorphic Encryption (She) or Fully Homomorphic Encryption (FHE), as well as SHE's addition and multiplication computing solutions. In order to increase the calculation power required by the SHE method, the recent implementation of the FHE method relying on the time that the time it takes to reduce the execution of the encrypted multiplication operation.</v>
      </c>
      <c r="D1065" s="6" t="s">
        <v>3117</v>
      </c>
      <c r="E1065" s="4" t="str">
        <f ca="1">IFERROR(__xludf.DUMMYFUNCTION("GOOGLETRANSLATE(D1065,""auto"",""en"")"),"Use a faster IoT sensor encryption to track and monitor the medical care system of the healthcare system")</f>
        <v>Use a faster IoT sensor encryption to track and monitor the medical care system of the healthcare system</v>
      </c>
    </row>
    <row r="1066" spans="1:5" ht="15" x14ac:dyDescent="0.25">
      <c r="A1066" s="5" t="s">
        <v>3118</v>
      </c>
      <c r="B1066" s="6" t="s">
        <v>3119</v>
      </c>
      <c r="C1066" s="3" t="str">
        <f ca="1">IFERROR(__xludf.DUMMYFUNCTION("GOOGLETRANSLATE(B1066,""auto"",""en"")"),"The present invention involves a digital intelligent sports system, which is a form of digitalization of indoor gymnasium, including sports facilities, which are installed with sports facilities, displays and cameras; identifying the identity of users ent"&amp;"ering the sports facility area; Measurement unit, measure the user's body identified by the identification unit; artificial intelligence unit can receive and analyze the input information according to the set algorithm, receive and analyze the user's phys"&amp;"ical information measured by the body measurement unit, and the image data taken from the camera , Based on image data analysis and generating analytical body information and exercise information based on analysis, you can supplement the body's body suppl"&amp;"ementary information and exercise supplementary information, and provide physical information, body information, exercise information, and motion supplementary information. The configuration is included in the management server.")</f>
        <v>The present invention involves a digital intelligent sports system, which is a form of digitalization of indoor gymnasium, including sports facilities, which are installed with sports facilities, displays and cameras; identifying the identity of users entering the sports facility area; Measurement unit, measure the user's body identified by the identification unit; artificial intelligence unit can receive and analyze the input information according to the set algorithm, receive and analyze the user's physical information measured by the body measurement unit, and the image data taken from the camera , Based on image data analysis and generating analytical body information and exercise information based on analysis, you can supplement the body's body supplementary information and exercise supplementary information, and provide physical information, body information, exercise information, and motion supplementary information. The configuration is included in the management server.</v>
      </c>
      <c r="D1066" s="6" t="s">
        <v>3120</v>
      </c>
      <c r="E1066" s="4" t="str">
        <f ca="1">IFERROR(__xludf.DUMMYFUNCTION("GOOGLETRANSLATE(D1066,""auto"",""en"")"),"Digital Smart Sports System")</f>
        <v>Digital Smart Sports System</v>
      </c>
    </row>
    <row r="1067" spans="1:5" ht="15" x14ac:dyDescent="0.25">
      <c r="A1067" s="5" t="s">
        <v>3121</v>
      </c>
      <c r="B1067" s="6" t="s">
        <v>3122</v>
      </c>
      <c r="C1067" s="3" t="str">
        <f ca="1">IFERROR(__xludf.DUMMYFUNCTION("GOOGLETRANSLATE(B1067,""auto"",""en"")"),"The invention disclosed a treadmill control system involving the field of control. The invention includes motor drive boards, DC motors, human -machine interaction interfaces, Bluetooth control devices, mobile terminals, and PI search controllers; , Based"&amp;" on the receiving signal, the PI -finding controller uses the ant colony algorithm to find the best parameters, and controls the DC motor and motor drive board; The device transmits signals to the treadmill through the Bluetooth signal. The invention has "&amp;"a good safety performance through the requirements of the excellent controller that can respond to the speed response of the treadmill short response, high stability, and high stability.")</f>
        <v>The invention disclosed a treadmill control system involving the field of control. The invention includes motor drive boards, DC motors, human -machine interaction interfaces, Bluetooth control devices, mobile terminals, and PI search controllers; , Based on the receiving signal, the PI -finding controller uses the ant colony algorithm to find the best parameters, and controls the DC motor and motor drive board; The device transmits signals to the treadmill through the Bluetooth signal. The invention has a good safety performance through the requirements of the excellent controller that can respond to the speed response of the treadmill short response, high stability, and high stability.</v>
      </c>
      <c r="D1067" s="6" t="s">
        <v>3123</v>
      </c>
      <c r="E1067" s="4" t="str">
        <f ca="1">IFERROR(__xludf.DUMMYFUNCTION("GOOGLETRANSLATE(D1067,""auto"",""en"")"),"A treadmill control system")</f>
        <v>A treadmill control system</v>
      </c>
    </row>
    <row r="1068" spans="1:5" ht="15" x14ac:dyDescent="0.25">
      <c r="A1068" s="5" t="s">
        <v>3124</v>
      </c>
      <c r="B1068" s="6" t="s">
        <v>3125</v>
      </c>
      <c r="C1068" s="3" t="str">
        <f ca="1">IFERROR(__xludf.DUMMYFUNCTION("GOOGLETRANSLATE(B1068,""auto"",""en"")"),"1. Design product name: Music dynamic interactive graphic user interface of the display screen panel.
 2. The purpose of designing products in this exterior: This design product is used for computers, laptops, tablet computers, mobile phones, smart watc"&amp;"hes, fitness monitor, headset headphones, smart speakers, TV, set -top boxes, projectors, laser TVs, laser TVs Music program operation and display graphic user interface of the display screen panel.
 3. Design of the design of the product in this exteri"&amp;"or: lies in the content of the graphic user interface in the screen.
 4. Pictures or photos that can most indicate design points: main view.
 5. No design points, omit other views.
 6. The purpose of the graphical user interface: The main content is"&amp;" to select different music dynamic cards and customize the dynamic effect of different music playback interfaces according to the user's preferences to enhance the user experience.
 7. Human -computer interaction method of graphical user interface: The "&amp;"main interface of the main view is the main interface of the sound special effects selection. When the user selects the dynamic Rubik's cube tab of the lower part of the interface, the interface is transformed from the main view to the interface change st"&amp;"ate. 2. Interface change state diagram 3, interface change state diagram diagram 4. Interface change status figure 5, user can slide interface/remote control selection/gesture to enter the next interface; of which, with the playback of music, pictures und"&amp;"er the music dynamic interface are constantly changing changing For form and angle, ""gray tape"" in the interface is represented as variable pictures.")</f>
        <v>1. Design product name: Music dynamic interactive graphic user interface of the display screen panel.
 2. The purpose of designing products in this exterior: This design product is used for computers, laptops, tablet computers, mobile phones, smart watches, fitness monitor, headset headphones, smart speakers, TV, set -top boxes, projectors, laser TVs, laser TVs Music program operation and display graphic user interface of the display screen panel.
 3. Design of the design of the product in this exterior: lies in the content of the graphic user interface in the screen.
 4. Pictures or photos that can most indicate design points: main view.
 5. No design points, omit other views.
 6. The purpose of the graphical user interface: The main content is to select different music dynamic cards and customize the dynamic effect of different music playback interfaces according to the user's preferences to enhance the user experience.
 7. Human -computer interaction method of graphical user interface: The main interface of the main view is the main interface of the sound special effects selection. When the user selects the dynamic Rubik's cube tab of the lower part of the interface, the interface is transformed from the main view to the interface change state. 2. Interface change state diagram 3, interface change state diagram diagram 4. Interface change status figure 5, user can slide interface/remote control selection/gesture to enter the next interface; of which, with the playback of music, pictures under the music dynamic interface are constantly changing changing For form and angle, "gray tape" in the interface is represented as variable pictures.</v>
      </c>
      <c r="D1068" s="6" t="s">
        <v>3126</v>
      </c>
      <c r="E1068" s="4" t="str">
        <f ca="1">IFERROR(__xludf.DUMMYFUNCTION("GOOGLETRANSLATE(D1068,""auto"",""en"")"),"Music dynamic interactive graphic user interface of display screen panel")</f>
        <v>Music dynamic interactive graphic user interface of display screen panel</v>
      </c>
    </row>
    <row r="1069" spans="1:5" ht="15" x14ac:dyDescent="0.25">
      <c r="A1069" s="5" t="s">
        <v>3127</v>
      </c>
      <c r="B1069" s="6" t="s">
        <v>3128</v>
      </c>
      <c r="C1069" s="3" t="str">
        <f ca="1">IFERROR(__xludf.DUMMYFUNCTION("GOOGLETRANSLATE(B1069,""auto"",""en"")"),"This application involves a deep learning -based maintenance and identification method, system, equipment and storage media. This method is based on the video data of the subway vehicle maintenance interfering power delivery operation. It adopts human ske"&amp;"leton recognition and judging the key points of the human body, combined with deep learning target detection, and then comprehensively analyzed the body's posture, location, and target status based on the specific operation process of the passage of power"&amp;". The alarm of the speaker output reminds the staff and preserve the pictures of illegal regulations, so as to standardize the behavior of operators and ensure safety operations. The embodiment establishes a rules of the rules based on the subway inspecti"&amp;"on repair operation safety regulations. It uses multi -road video to jointly identify. According to the actual sequence of the operation and the items of the item according to different periods, different alarm rules are established. result. The real -tim"&amp;"e supervision reminder of the subway inspection and power delivery operation has effectively reduced the hidden safety hazards caused by error operation in actual work.")</f>
        <v>This application involves a deep learning -based maintenance and identification method, system, equipment and storage media. This method is based on the video data of the subway vehicle maintenance interfering power delivery operation. It adopts human skeleton recognition and judging the key points of the human body, combined with deep learning target detection, and then comprehensively analyzed the body's posture, location, and target status based on the specific operation process of the passage of power. The alarm of the speaker output reminds the staff and preserve the pictures of illegal regulations, so as to standardize the behavior of operators and ensure safety operations. The embodiment establishes a rules of the rules based on the subway inspection repair operation safety regulations. It uses multi -road video to jointly identify. According to the actual sequence of the operation and the items of the item according to different periods, different alarm rules are established. result. The real -time supervision reminder of the subway inspection and power delivery operation has effectively reduced the hidden safety hazards caused by error operation in actual work.</v>
      </c>
      <c r="D1069" s="6" t="s">
        <v>3129</v>
      </c>
      <c r="E1069" s="4" t="str">
        <f ca="1">IFERROR(__xludf.DUMMYFUNCTION("GOOGLETRANSLATE(D1069,""auto"",""en"")"),"Deep learning -based maintenance and identification methods, systems, equipment and storage media")</f>
        <v>Deep learning -based maintenance and identification methods, systems, equipment and storage media</v>
      </c>
    </row>
    <row r="1070" spans="1:5" ht="15" x14ac:dyDescent="0.25">
      <c r="A1070" s="5" t="s">
        <v>3130</v>
      </c>
      <c r="B1070" s="6" t="s">
        <v>3131</v>
      </c>
      <c r="C1070" s="3" t="str">
        <f ca="1">IFERROR(__xludf.DUMMYFUNCTION("GOOGLETRANSLATE(B1070,""auto"",""en"")"),"This publicly provides a rig estimation method, device, electronic equipment and storage media, involving the field of artificial intelligence technology. The specific implementation scheme is: determine the characteristics of inertia sensor in the proces"&amp;"s of user movement; obtain the corresponding stride model of the user. Among them, the stride model is trained according to the user's motion record sequence in the historical time period, and the speed information of each speed in the sports record seque"&amp;"nce The difference between the between the between the preset speed is less than the preset speed threshold; according to the characteristics of inertia sensor and the corresponding ring model of the user to determine the user's rod. As a result, through "&amp;"the motor record sequence during the transmission process, the stride model is trained, and then, according to the characteristics of inertia sensor and the corresponding stride model of the user, the tide of the user obtained is more in line with the use"&amp;"r's running habits, which improves the stride. Estimated accuracy.")</f>
        <v>This publicly provides a rig estimation method, device, electronic equipment and storage media, involving the field of artificial intelligence technology. The specific implementation scheme is: determine the characteristics of inertia sensor in the process of user movement; obtain the corresponding stride model of the user. Among them, the stride model is trained according to the user's motion record sequence in the historical time period, and the speed information of each speed in the sports record sequence The difference between the between the between the preset speed is less than the preset speed threshold; according to the characteristics of inertia sensor and the corresponding ring model of the user to determine the user's rod. As a result, through the motor record sequence during the transmission process, the stride model is trained, and then, according to the characteristics of inertia sensor and the corresponding stride model of the user, the tide of the user obtained is more in line with the user's running habits, which improves the stride. Estimated accuracy.</v>
      </c>
      <c r="D1070" s="6" t="s">
        <v>3132</v>
      </c>
      <c r="E1070" s="4" t="str">
        <f ca="1">IFERROR(__xludf.DUMMYFUNCTION("GOOGLETRANSLATE(D1070,""auto"",""en"")"),"Method, device, electronic equipment and storage media")</f>
        <v>Method, device, electronic equipment and storage media</v>
      </c>
    </row>
    <row r="1071" spans="1:5" ht="15" x14ac:dyDescent="0.25">
      <c r="A1071" s="5" t="s">
        <v>3133</v>
      </c>
      <c r="B1071" s="6" t="s">
        <v>3134</v>
      </c>
      <c r="C1071" s="3" t="str">
        <f ca="1">IFERROR(__xludf.DUMMYFUNCTION("GOOGLETRANSLATE(B1071,""auto"",""en"")"),"Action evaluation methods, systems, devices, and media based on fitness teaching training involves fitness fields, obtaining fitness videos, presets in fitness videos, presets of standard gesture; The frame image corresponding to the continuous moment of "&amp;"the video; identify several user posture corresponding to the frame images in the consecutive time in this time; compare the attitude and standard posture of several users, and determine whether the user's posture is the same type as the standard posture."&amp;" When comparing, build a model through convolutional neural networks, and identify through the 16 key points of the human body and its corresponding two -dimensional position coordinates, which are more accurate and can quickly obtain the user posture sta"&amp;"ndard and improve the efficiency of usage.")</f>
        <v>Action evaluation methods, systems, devices, and media based on fitness teaching training involves fitness fields, obtaining fitness videos, presets in fitness videos, presets of standard gesture; The frame image corresponding to the continuous moment of the video; identify several user posture corresponding to the frame images in the consecutive time in this time; compare the attitude and standard posture of several users, and determine whether the user's posture is the same type as the standard posture. When comparing, build a model through convolutional neural networks, and identify through the 16 key points of the human body and its corresponding two -dimensional position coordinates, which are more accurate and can quickly obtain the user posture standard and improve the efficiency of usage.</v>
      </c>
      <c r="D1071" s="6" t="s">
        <v>3135</v>
      </c>
      <c r="E1071" s="4" t="str">
        <f ca="1">IFERROR(__xludf.DUMMYFUNCTION("GOOGLETRANSLATE(D1071,""auto"",""en"")"),"Action evaluation method and system based on fitness teaching training")</f>
        <v>Action evaluation method and system based on fitness teaching training</v>
      </c>
    </row>
    <row r="1072" spans="1:5" ht="15" x14ac:dyDescent="0.25">
      <c r="A1072" s="5" t="s">
        <v>3136</v>
      </c>
      <c r="B1072" s="6" t="s">
        <v>3137</v>
      </c>
      <c r="C1072" s="3" t="str">
        <f ca="1">IFERROR(__xludf.DUMMYFUNCTION("GOOGLETRANSLATE(B1072,""auto"",""en"")"),"The invention uses image processing deep learning to determine the object of interest from the image, compress the interested area including interested objects, and transmit the interest area to the network, thereby reducing the amount of data transmissio"&amp;"n, thereby reducing the network traffic with a use of a use Running image transmission system and method.
  According to the present invention, the image transmission system using deep learning includes: image processing deep learning unit, which uses i"&amp;"mage processing deep learning to determine the object of interest from the image; and the regional coordinates of interest, the coordinates of interesting areas, including: extraction extraction Unit; interested area compression units, generate compressed"&amp;" data by using coordinates compression and interested areas in interest areas; and network transmission units transmit data from the interest area of ​​the compressed interesting area to the network.")</f>
        <v>The invention uses image processing deep learning to determine the object of interest from the image, compress the interested area including interested objects, and transmit the interest area to the network, thereby reducing the amount of data transmission, thereby reducing the network traffic with a use of a use Running image transmission system and method.
  According to the present invention, the image transmission system using deep learning includes: image processing deep learning unit, which uses image processing deep learning to determine the object of interest from the image; and the regional coordinates of interest, the coordinates of interesting areas, including: extraction extraction Unit; interested area compression units, generate compressed data by using coordinates compression and interested areas in interest areas; and network transmission units transmit data from the interest area of ​​the compressed interesting area to the network.</v>
      </c>
      <c r="D1072" s="6" t="s">
        <v>3138</v>
      </c>
      <c r="E1072" s="4" t="str">
        <f ca="1">IFERROR(__xludf.DUMMYFUNCTION("GOOGLETRANSLATE(D1072,""auto"",""en"")"),"Using deep learning image transmission systems and methods")</f>
        <v>Using deep learning image transmission systems and methods</v>
      </c>
    </row>
    <row r="1073" spans="1:5" ht="15" x14ac:dyDescent="0.25">
      <c r="A1073" s="5" t="s">
        <v>3139</v>
      </c>
      <c r="B1073" s="6" t="s">
        <v>3140</v>
      </c>
      <c r="C1073" s="3" t="str">
        <f ca="1">IFERROR(__xludf.DUMMYFUNCTION("GOOGLETRANSLATE(B1073,""auto"",""en"")"),"The invention can provide the personal security of customer information based on the matching platform of members and sports leaders in the process of matching the sports business model based on the matching platform of members and sports leaders, and pro"&amp;"vide life -based sports training video information for each member. Suitable living movement coaches can conduct non -face -to -face tutoring through sports training videos. They can also be used as AI trainers to use the artificial intelligence control m"&amp;"odule to correct the user's body size and sports position. Based on artificial intelligence and blockchain systems, its structure has been improved. By transmitting sports analysis and coach video to blockchain technology to achieve non -face -to -face ar"&amp;"tificial intelligence training counseling, as well as using the system's sports training methods and sports business pairing platform. Essence")</f>
        <v>The invention can provide the personal security of customer information based on the matching platform of members and sports leaders in the process of matching the sports business model based on the matching platform of members and sports leaders, and provide life -based sports training video information for each member. Suitable living movement coaches can conduct non -face -to -face tutoring through sports training videos. They can also be used as AI trainers to use the artificial intelligence control module to correct the user's body size and sports position. Based on artificial intelligence and blockchain systems, its structure has been improved. By transmitting sports analysis and coach video to blockchain technology to achieve non -face -to -face artificial intelligence training counseling, as well as using the system's sports training methods and sports business pairing platform. Essence</v>
      </c>
      <c r="D1073" s="6" t="s">
        <v>3141</v>
      </c>
      <c r="E1073" s="4" t="str">
        <f ca="1">IFERROR(__xludf.DUMMYFUNCTION("GOOGLETRANSLATE(D1073,""auto"",""en"")"),"Sport training system based on artificial intelligence and blockchain, using its sports training methods, and sports business pairing platform methods")</f>
        <v>Sport training system based on artificial intelligence and blockchain, using its sports training methods, and sports business pairing platform methods</v>
      </c>
    </row>
    <row r="1074" spans="1:5" ht="15" x14ac:dyDescent="0.25">
      <c r="A1074" s="5" t="s">
        <v>3142</v>
      </c>
      <c r="B1074" s="6" t="s">
        <v>3143</v>
      </c>
      <c r="C1074" s="3" t="str">
        <f ca="1">IFERROR(__xludf.DUMMYFUNCTION("GOOGLETRANSLATE(B1074,""auto"",""en"")"),"The present invention involves a badminton training system, including: subject 1, set multiple wheels 2, so that subject 1 can move in all directions; artificial intelligence image collection module 3, installed on the subject 1 for collecting users' imag"&amp;"es; and the image of users; and the image of the user; and Module 3 synchronizes and installs audio unit 4 on the main body 1. Training users by generating voice commands, installed on the main body 1 to throw a badminton throw unit 5, and the robot racke"&amp;"t connected to the main body by responding to the user The expansion rod of the badminton and the wearable unit 12 mapping with the wrist sensor 11 wearing the user to measure the wearable unit 12 of the user's hand tilt when hit the badminton.")</f>
        <v>The present invention involves a badminton training system, including: subject 1, set multiple wheels 2, so that subject 1 can move in all directions; artificial intelligence image collection module 3, installed on the subject 1 for collecting users' images; and the image of users; and the image of the user; and Module 3 synchronizes and installs audio unit 4 on the main body 1. Training users by generating voice commands, installed on the main body 1 to throw a badminton throw unit 5, and the robot racket connected to the main body by responding to the user The expansion rod of the badminton and the wearable unit 12 mapping with the wrist sensor 11 wearing the user to measure the wearable unit 12 of the user's hand tilt when hit the badminton.</v>
      </c>
      <c r="D1074" s="6" t="s">
        <v>3144</v>
      </c>
      <c r="E1074" s="4" t="str">
        <f ca="1">IFERROR(__xludf.DUMMYFUNCTION("GOOGLETRANSLATE(D1074,""auto"",""en"")"),"Badminton training system")</f>
        <v>Badminton training system</v>
      </c>
    </row>
    <row r="1075" spans="1:5" ht="15" x14ac:dyDescent="0.25">
      <c r="A1075" s="5" t="s">
        <v>3145</v>
      </c>
      <c r="B1075" s="6" t="s">
        <v>3146</v>
      </c>
      <c r="C1075" s="3" t="str">
        <f ca="1">IFERROR(__xludf.DUMMYFUNCTION("GOOGLETRANSLATE(B1075,""auto"",""en"")"),"In medical diagnosis and treatment, the concepts of the Internet of Things (IoT) and machine learning (ML) are widely used to monitor the condition of patients. The Internet of Things has been used to build a system. By using the function of the wearable "&amp;"sensor system with a sensor, it is informed of the patient's companions when abnormal conditions occur. Any abnormal model in the patient's condition has been taught to help medical diagnosis. The framework aims to track the health of patients with pulse "&amp;"blood oxygen meter, temperature sensor and other sensors. IoT device obtains the required data and save it in the cloud. Medical data analyzes, classified, and exchanges between consumers and healthcare experts through the Internet of Things. The data wil"&amp;"l be stored in the Cloud Internet of Things. The device collects data from various sensors used for patients monitoring, and then transmits to the hospital and uses an artificial intelligence (AI) and machine learning (ML) algorithm Evaluate data, such as"&amp;" technology based on classification methods to classify people into infections or unstectable. In order to classify the user into a infection group or an unborn group, we use fuzzy K's nearest neighboring method and similar coefficients to distinguish acc"&amp;"ording to the patient's symptoms. If there is a problem immediately, patients can obtain personalized care through wearable devices such as fitness bracelets and other wireless connection devices (such as blood pressure and heart rate monitor cuffs, blood"&amp;" glucose meters, etc.). Caliba counting, exercise, dating, blood pressure changes, and many other things can be programmed on these small tools. The Internet of Things has completely changed people's lives, especially the lives of elderly patients. They c"&amp;"an now understand their health in real time. The impact on single parents and their families is huge. If a person's typical behavior is disturbed or changed, the alarm system will pass the information to family members, doctors, nursing staff, and other w"&amp;"orrying healthcare providers.")</f>
        <v>In medical diagnosis and treatment, the concepts of the Internet of Things (IoT) and machine learning (ML) are widely used to monitor the condition of patients. The Internet of Things has been used to build a system. By using the function of the wearable sensor system with a sensor, it is informed of the patient's companions when abnormal conditions occur. Any abnormal model in the patient's condition has been taught to help medical diagnosis. The framework aims to track the health of patients with pulse blood oxygen meter, temperature sensor and other sensors. IoT device obtains the required data and save it in the cloud. Medical data analyzes, classified, and exchanges between consumers and healthcare experts through the Internet of Things. The data will be stored in the Cloud Internet of Things. The device collects data from various sensors used for patients monitoring, and then transmits to the hospital and uses an artificial intelligence (AI) and machine learning (ML) algorithm Evaluate data, such as technology based on classification methods to classify people into infections or unstectable. In order to classify the user into a infection group or an unborn group, we use fuzzy K's nearest neighboring method and similar coefficients to distinguish according to the patient's symptoms. If there is a problem immediately, patients can obtain personalized care through wearable devices such as fitness bracelets and other wireless connection devices (such as blood pressure and heart rate monitor cuffs, blood glucose meters, etc.). Caliba counting, exercise, dating, blood pressure changes, and many other things can be programmed on these small tools. The Internet of Things has completely changed people's lives, especially the lives of elderly patients. They can now understand their health in real time. The impact on single parents and their families is huge. If a person's typical behavior is disturbed or changed, the alarm system will pass the information to family members, doctors, nursing staff, and other worrying healthcare providers.</v>
      </c>
      <c r="D1075" s="6" t="s">
        <v>3147</v>
      </c>
      <c r="E1075" s="4" t="str">
        <f ca="1">IFERROR(__xludf.DUMMYFUNCTION("GOOGLETRANSLATE(D1075,""auto"",""en"")"),"Support the IoT (IoT) medical care management system")</f>
        <v>Support the IoT (IoT) medical care management system</v>
      </c>
    </row>
    <row r="1076" spans="1:5" ht="15" x14ac:dyDescent="0.25">
      <c r="A1076" s="5" t="s">
        <v>3148</v>
      </c>
      <c r="B1076" s="6" t="s">
        <v>3149</v>
      </c>
      <c r="C1076" s="3" t="str">
        <f ca="1">IFERROR(__xludf.DUMMYFUNCTION("GOOGLETRANSLATE(B1076,""auto"",""en"")"),"The invention specifically involves the IoT -based gymnasium lighting control system, including: entry management module to determine whether the user's entry request information sending time is within the time of appointment: if so, it is generated to co"&amp;"ntrol the lighting of the corresponding appointment. Light startup instructions; otherwise, determine whether the corresponding appointment venue is occupied, and if it is not occupied, it will be generated to control the light startup instructions used t"&amp;"o control the lighting of the appointment venue; Get the user's corresponding appointment venue when requesting information, and generate the light turnover instructions used to control the lighting instructions for the lighting of the corresponding appoi"&amp;"ntment. The light management module is used to receive the light startup instruction and the lighting instruction and complete the light control of the corresponding venue. The gymnasium light control system of the present invention can achieve light cont"&amp;"rol based on the actual entry and departure state of the user, so as to improve the accuracy and effect of gymnasium light control.")</f>
        <v>The invention specifically involves the IoT -based gymnasium lighting control system, including: entry management module to determine whether the user's entry request information sending time is within the time of appointment: if so, it is generated to control the lighting of the corresponding appointment. Light startup instructions; otherwise, determine whether the corresponding appointment venue is occupied, and if it is not occupied, it will be generated to control the light startup instructions used to control the lighting of the appointment venue; Get the user's corresponding appointment venue when requesting information, and generate the light turnover instructions used to control the lighting instructions for the lighting of the corresponding appointment. The light management module is used to receive the light startup instruction and the lighting instruction and complete the light control of the corresponding venue. The gymnasium light control system of the present invention can achieve light control based on the actual entry and departure state of the user, so as to improve the accuracy and effect of gymnasium light control.</v>
      </c>
      <c r="D1076" s="6" t="s">
        <v>3150</v>
      </c>
      <c r="E1076" s="4" t="str">
        <f ca="1">IFERROR(__xludf.DUMMYFUNCTION("GOOGLETRANSLATE(D1076,""auto"",""en"")"),"The light control system based on the Internet of Things gymnasium")</f>
        <v>The light control system based on the Internet of Things gymnasium</v>
      </c>
    </row>
    <row r="1077" spans="1:5" ht="15" x14ac:dyDescent="0.25">
      <c r="A1077" s="5" t="s">
        <v>3151</v>
      </c>
      <c r="B1077" s="6" t="s">
        <v>3152</v>
      </c>
      <c r="C1077" s="3" t="str">
        <f ca="1">IFERROR(__xludf.DUMMYFUNCTION("GOOGLETRANSLATE(B1077,""auto"",""en"")"),"The present invention disclosed a fitness action judgment method and smart sandbag based on the twin neural network, including steps: the standard data feature vector based on standard fitness action construction; the user data feature vector based on use"&amp;"r fitness action; The user data feature vector input the twin neural network; based on the twin neural network, determine the classification results and distance results between the standard data feature vector and the user data feature vector; The discri"&amp;"mination result is determined to determine the accuracy of the user fitness action relative to the standard fitness action. The present invention uses the twin neural network to classify and distance the calculation of the twin neural network. Finally, th"&amp;"e results of the two models are combined to achieve the final judgment, thereby helping users not harm their bodies when they achieve the purpose of exercise.")</f>
        <v>The present invention disclosed a fitness action judgment method and smart sandbag based on the twin neural network, including steps: the standard data feature vector based on standard fitness action construction; the user data feature vector based on user fitness action; The user data feature vector input the twin neural network; based on the twin neural network, determine the classification results and distance results between the standard data feature vector and the user data feature vector; The discrimination result is determined to determine the accuracy of the user fitness action relative to the standard fitness action. The present invention uses the twin neural network to classify and distance the calculation of the twin neural network. Finally, the results of the two models are combined to achieve the final judgment, thereby helping users not harm their bodies when they achieve the purpose of exercise.</v>
      </c>
      <c r="D1077" s="6" t="s">
        <v>3153</v>
      </c>
      <c r="E1077" s="4" t="str">
        <f ca="1">IFERROR(__xludf.DUMMYFUNCTION("GOOGLETRANSLATE(D1077,""auto"",""en"")"),"A method of fitness movement based on twin neural networks and smart sandbags")</f>
        <v>A method of fitness movement based on twin neural networks and smart sandbags</v>
      </c>
    </row>
    <row r="1078" spans="1:5" ht="15" x14ac:dyDescent="0.25">
      <c r="A1078" s="5" t="s">
        <v>3154</v>
      </c>
      <c r="B1078" s="6" t="s">
        <v>3155</v>
      </c>
      <c r="C1078" s="3" t="str">
        <f ca="1">IFERROR(__xludf.DUMMYFUNCTION("GOOGLETRANSLATE(B1078,""auto"",""en"")"),"1. Design product name: AI attack and defense graphic user interface of the display screen panel.
 2. Design products in this exterior: used to display information.
 The display screen panel is used for tablet, computer or LED display.
 3. Design of"&amp;" the design of the product in this appearance: lies in the graphic user interface content in the screen, including element layout, pattern and interaction method.
 4. Pictures or photos that can best show design points: Figure 3 of the interface change "&amp;"state.
 5. Do not involve design points, omit the rear view, left view, right view, viewing view, push -view.
 6. The purpose of the graphical user interface: used to participate in AI (artificial intelligence) competitions to conduct operations and i"&amp;"nformation display of offense and defense competitions.
 7. Human -computer interaction method of graphical user interface: The main view is the initial login page, the left side is the login box information box, etc. The right side is a horizontal rota"&amp;"ting earth. See the state change state figure 1).
 After the participating page is successfully logged in, it enters the interface change state Figure 2. The top has the name of the competition, ranking, trend list, countdown, etc. The top of the middle"&amp;" area is the LOGO, team name, ranking, total score, total score, total score, total score, total score, total score, total score, total score, total score, total score, total score, total score, total score, total score, total score, total score, total sc"&amp;"ore, total score, total score, total score, total score, total score, total score, total score, total score, total score, total score, total score, total score Complete the game, as well as the status of the team's AI, the last heartbeat time, the method "&amp;"of remake, and so on.
 The lower part of the middle area is level, team message, and AI heartbeat information.
 The second half shows the level of this competition, which can be reset according to the AI ​​competition situation. The resettlement of th"&amp;"e level shows the reset state. The level is gradually opened from 1‑5, and the unobstructed level shows the unpopular state.
 After the organizer logged in successfully, enter the interface change state Figure 3, showing the situation of all teams.
 I"&amp;"nterface change status Figure 3 contains the competition logo, time, team offensive and defensive situation, current ranking, logs, and so on.
 Each team has 10 seconds to show the current offense and defense topology, team name, ranking, completion, AI"&amp;" status, etc., in 10 seconds as the time unit to display the offensive and defensive situation of all teams in order.
 Click the ""Ranking List"" in Figure 2 in Figure 2 of the interface change to enter the interface change state Figure 4. The interface"&amp;" change status Figure 4 is mainly displayed in the form of irregular lists.")</f>
        <v>1. Design product name: AI attack and defense graphic user interface of the display screen panel.
 2. Design products in this exterior: used to display information.
 The display screen panel is used for tablet, computer or LED display.
 3. Design of the design of the product in this appearance: lies in the graphic user interface content in the screen, including element layout, pattern and interaction method.
 4. Pictures or photos that can best show design points: Figure 3 of the interface change state.
 5. Do not involve design points, omit the rear view, left view, right view, viewing view, push -view.
 6. The purpose of the graphical user interface: used to participate in AI (artificial intelligence) competitions to conduct operations and information display of offense and defense competitions.
 7. Human -computer interaction method of graphical user interface: The main view is the initial login page, the left side is the login box information box, etc. The right side is a horizontal rotating earth. See the state change state figure 1).
 After the participating page is successfully logged in, it enters the interface change state Figure 2. The top has the name of the competition, ranking, trend list, countdown, etc. The top of the middle area is the LOGO, team name, ranking,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total score Complete the game, as well as the status of the team's AI, the last heartbeat time, the method of remake, and so on.
 The lower part of the middle area is level, team message, and AI heartbeat information.
 The second half shows the level of this competition, which can be reset according to the AI ​​competition situation. The resettlement of the level shows the reset state. The level is gradually opened from 1‑5, and the unobstructed level shows the unpopular state.
 After the organizer logged in successfully, enter the interface change state Figure 3, showing the situation of all teams.
 Interface change status Figure 3 contains the competition logo, time, team offensive and defensive situation, current ranking, logs, and so on.
 Each team has 10 seconds to show the current offense and defense topology, team name, ranking, completion, AI status, etc., in 10 seconds as the time unit to display the offensive and defensive situation of all teams in order.
 Click the "Ranking List" in Figure 2 in Figure 2 of the interface change to enter the interface change state Figure 4. The interface change status Figure 4 is mainly displayed in the form of irregular lists.</v>
      </c>
      <c r="D1078" s="6" t="s">
        <v>3156</v>
      </c>
      <c r="E1078" s="4" t="str">
        <f ca="1">IFERROR(__xludf.DUMMYFUNCTION("GOOGLETRANSLATE(D1078,""auto"",""en"")"),"AI attack and defense graphic user interface of display screen panel")</f>
        <v>AI attack and defense graphic user interface of display screen panel</v>
      </c>
    </row>
    <row r="1079" spans="1:5" ht="15" x14ac:dyDescent="0.25">
      <c r="A1079" s="5" t="s">
        <v>3157</v>
      </c>
      <c r="B1079" s="6" t="s">
        <v>3158</v>
      </c>
      <c r="C1079" s="3" t="str">
        <f ca="1">IFERROR(__xludf.DUMMYFUNCTION("GOOGLETRANSLATE(B1079,""auto"",""en"")"),"The present invention involves a training device, including treadmills with running platform 2 1. Combined with the first button on the handrail 3 to start/stop the limit exercise mode 4. In the case of an extreme exercise mode, the expansion is expanded."&amp;" The image capture module of the artificial intelligence installed on the panel 5 is installed on the guide rail 3 to determine the position of the user on the platform 2. The position of the side arm 8 and the elastic zone made with the side arm 8 provid"&amp;"es a reaction force on the user's torso during the extreme exercise mode, and one of the mobilized roller 10 is configured to the length of the regulating band 9.")</f>
        <v>The present invention involves a training device, including treadmills with running platform 2 1. Combined with the first button on the handrail 3 to start/stop the limit exercise mode 4. In the case of an extreme exercise mode, the expansion is expanded. The image capture module of the artificial intelligence installed on the panel 5 is installed on the guide rail 3 to determine the position of the user on the platform 2. The position of the side arm 8 and the elastic zone made with the side arm 8 provides a reaction force on the user's torso during the extreme exercise mode, and one of the mobilized roller 10 is configured to the length of the regulating band 9.</v>
      </c>
      <c r="D1079" s="6" t="s">
        <v>3159</v>
      </c>
      <c r="E1079" s="4" t="str">
        <f ca="1">IFERROR(__xludf.DUMMYFUNCTION("GOOGLETRANSLATE(D1079,""auto"",""en"")"),"Exercise training equipment")</f>
        <v>Exercise training equipment</v>
      </c>
    </row>
    <row r="1080" spans="1:5" ht="15" x14ac:dyDescent="0.25">
      <c r="A1080" s="5" t="s">
        <v>3160</v>
      </c>
      <c r="B1080" s="6" t="s">
        <v>3161</v>
      </c>
      <c r="C1080" s="3" t="str">
        <f ca="1">IFERROR(__xludf.DUMMYFUNCTION("GOOGLETRANSLATE(B1080,""auto"",""en"")"),"1. The name of the product designed this product: mobile phones with a graphical user interface with observation of smart sandy pastoral equipment.
 2. Design products in this exterior: for program operation.
 3. Design of the design of the product he"&amp;"re: lies in the interface content of the graphic user interface in the screen.
 4. Pictures or photos that can most indicate design points: main view.
 5. The mobile phone is a common design, no design points, omitting views: rear views, left view, ri"&amp;"ght view, down -view view, upper view.
 6. The purpose of the graphical user interface: This graphic user interface is mainly used to observe the smart sand gearcles equipment.
 7. Human -computer interaction method of graphical user interface: The ma"&amp;"in view is the homepage of the software; click ""Smart Ranch ‑ More"" in the main view to switch to the interface change state. ""Switch to the interface change state Figure 2; click"" Meteorological Soil ""in the interface change state to switch to the i"&amp;"nterface change state Figure 3, click the"" Has Barnan Ranch Station ""in the interface changes to the interface change State Figure 4, click the ""Bagina Corn Land 2"" in the interface change state in the state 3 switch to the interface change state. ""V"&amp;"ideo Monitoring"" switch to the interface change state Figure 7, click the ""+"" switching to the interface change state in the interface 6 in the interface change state. ""Switching to the interface change state Figure 9, click"" Uncontroller ""in the in"&amp;"terface change state Figure 9 Switch to the interface change state Figure 10, click on the interface change state in the top right in the"" second one in the ""second one Icon ""Switch to the interface change state diagram 11, click the"" third icon ""in "&amp;"the bottom to the bottom right in the interface changes in the interface change state. 8 The next ""fourth icon"" switch to the interface change state Figure 6; click ""IoT Mall"" in the main view to switch to the interface change state Figure 13, click t"&amp;"he ""intelligence"" in the interface change status 13 Figure 14. Click the ""fitness"" in the interface change state. 13 to switch to the interface change state Figure 15, click the interface change state Figure 13 to switch to the interface change state "&amp;"Figure 16, click the interface change state "" Monitoring ""Switch to the interface change state Figure 17; click"" My ""switching to the interface change state in the main view of the main view. The ""Video Monitoring Equipment"" in Status Figure 19 Swit"&amp;"ch to the interface change state Figure 20, click the interface change state ""Opinions Feedback"" in Figure 18 Switch to the interface change state Figure 21, click the ""about us"" in the interface change state Figure 18 Switch to the interface change s"&amp;"tate Figure 22.")</f>
        <v>1. The name of the product designed this product: mobile phones with a graphical user interface with observation of smart sandy pastoral equipment.
 2. Design products in this exterior: for program operation.
 3. Design of the design of the product here: lies in the interface content of the graphic user interface in the screen.
 4. Pictures or photos that can most indicate design points: main view.
 5. The mobile phone is a common design, no design points, omitting views: rear views, left view, right view, down -view view, upper view.
 6. The purpose of the graphical user interface: This graphic user interface is mainly used to observe the smart sand gearcles equipment.
 7. Human -computer interaction method of graphical user interface: The main view is the homepage of the software; click "Smart Ranch ‑ More" in the main view to switch to the interface change state. "Switch to the interface change state Figure 2; click" Meteorological Soil "in the interface change state to switch to the interface change state Figure 3, click the" Has Barnan Ranch Station "in the interface changes to the interface change State Figure 4, click the "Bagina Corn Land 2" in the interface change state in the state 3 switch to the interface change state. "Video Monitoring" switch to the interface change state Figure 7, click the "+" switching to the interface change state in the interface 6 in the interface change state. "Switching to the interface change state Figure 9, click" Uncontroller "in the interface change state Figure 9 Switch to the interface change state Figure 10, click on the interface change state in the top right in the" second one in the "second one Icon "Switch to the interface change state diagram 11, click the" third icon "in the bottom to the bottom right in the interface changes in the interface change state. 8 The next "fourth icon" switch to the interface change state Figure 6; click "IoT Mall" in the main view to switch to the interface change state Figure 13, click the "intelligence" in the interface change status 13 Figure 14. Click the "fitness" in the interface change state. 13 to switch to the interface change state Figure 15, click the interface change state Figure 13 to switch to the interface change state Figure 16, click the interface change state " Monitoring "Switch to the interface change state Figure 17; click" My "switching to the interface change state in the main view of the main view. The "Video Monitoring Equipment" in Status Figure 19 Switch to the interface change state Figure 20, click the interface change state "Opinions Feedback" in Figure 18 Switch to the interface change state Figure 21, click the "about us" in the interface change state Figure 18 Switch to the interface change state Figure 22.</v>
      </c>
      <c r="D1080" s="6" t="s">
        <v>3162</v>
      </c>
      <c r="E1080" s="4" t="str">
        <f ca="1">IFERROR(__xludf.DUMMYFUNCTION("GOOGLETRANSLATE(D1080,""auto"",""en"")"),"Mobile phones with observation smart sandy pastoral equipment graphics user interface")</f>
        <v>Mobile phones with observation smart sandy pastoral equipment graphics user interface</v>
      </c>
    </row>
    <row r="1081" spans="1:5" ht="15" x14ac:dyDescent="0.25">
      <c r="A1081" s="5" t="s">
        <v>3163</v>
      </c>
      <c r="B1081" s="6" t="s">
        <v>3164</v>
      </c>
      <c r="C1081" s="3" t="str">
        <f ca="1">IFERROR(__xludf.DUMMYFUNCTION("GOOGLETRANSLATE(B1081,""auto"",""en"")"),"An IoT intelligent soft board system, including display (100), keys (102), control module (103), power supply (104), control software (105), 5 speakers (106). The digital monitor is the speaker and the presented buttons; the button helps to use the loop o"&amp;"f multiple notification grids in the control module in the model control module in the model. In another embodiment, the system also contains a control software, which is the core of the model, responsible for the overall operation and work of the system."&amp;" In another embodiment, the data is saved and sent by the control software in cloud storage, reflecting the digital display of the model. In another embodiment, in order to provide dynamic features to the monitor, the button can presented the user to see "&amp;"the selection of the specific grid of the bulletin board. The grid is transmitted to the control module existing in the model and processed by it.")</f>
        <v>An IoT intelligent soft board system, including display (100), keys (102), control module (103), power supply (104), control software (105), 5 speakers (106). The digital monitor is the speaker and the presented buttons; the button helps to use the loop of multiple notification grids in the control module in the model control module in the model. In another embodiment, the system also contains a control software, which is the core of the model, responsible for the overall operation and work of the system. In another embodiment, the data is saved and sent by the control software in cloud storage, reflecting the digital display of the model. In another embodiment, in order to provide dynamic features to the monitor, the button can presented the user to see the selection of the specific grid of the bulletin board. The grid is transmitted to the control module existing in the model and processed by it.</v>
      </c>
      <c r="D1081" s="6" t="s">
        <v>3165</v>
      </c>
      <c r="E1081" s="4" t="str">
        <f ca="1">IFERROR(__xludf.DUMMYFUNCTION("GOOGLETRANSLATE(D1081,""auto"",""en"")"),"IoT Smart Soft Board System")</f>
        <v>IoT Smart Soft Board System</v>
      </c>
    </row>
    <row r="1082" spans="1:5" ht="15" x14ac:dyDescent="0.25">
      <c r="A1082" s="5" t="s">
        <v>3166</v>
      </c>
      <c r="B1082" s="6" t="s">
        <v>3167</v>
      </c>
      <c r="C1082" s="3" t="str">
        <f ca="1">IFERROR(__xludf.DUMMYFUNCTION("GOOGLETRANSLATE(B1082,""auto"",""en"")"),"The present invention provides a table tennis detection method and system based on the improved color gamut recognition technology, involving the visual field of computer, the method includes: S1, the effective frame for obtaining a hit video, the effecti"&amp;"ve frame is a mask mask mask mask mask And can output the number of frames of the heart -cord coordinates; S2, use color recognition method to identify and track table tennis trajectories; S3, draw a table tennis trajectory map; S4, judge the table tennis"&amp;" according to the table tennis trajectory diagram. The improved color gamut recognition method adopted by the present invention can greatly reduce the amount of calculation and avoid the interference of various factors, and increase the accuracy of the me"&amp;"thod; and the present invention only uses a single camera to reduce the cost and the accuracy of recognition is higher.")</f>
        <v>The present invention provides a table tennis detection method and system based on the improved color gamut recognition technology, involving the visual field of computer, the method includes: S1, the effective frame for obtaining a hit video, the effective frame is a mask mask mask mask mask And can output the number of frames of the heart -cord coordinates; S2, use color recognition method to identify and track table tennis trajectories; S3, draw a table tennis trajectory map; S4, judge the table tennis according to the table tennis trajectory diagram. The improved color gamut recognition method adopted by the present invention can greatly reduce the amount of calculation and avoid the interference of various factors, and increase the accuracy of the method; and the present invention only uses a single camera to reduce the cost and the accuracy of recognition is higher.</v>
      </c>
      <c r="D1082" s="6" t="s">
        <v>3168</v>
      </c>
      <c r="E1082" s="4" t="str">
        <f ca="1">IFERROR(__xludf.DUMMYFUNCTION("GOOGLETRANSLATE(D1082,""auto"",""en"")"),"A table tennis detection method and system based on the improved color gamut recognition technology")</f>
        <v>A table tennis detection method and system based on the improved color gamut recognition technology</v>
      </c>
    </row>
    <row r="1083" spans="1:5" ht="15" x14ac:dyDescent="0.25">
      <c r="A1083" s="5" t="s">
        <v>3169</v>
      </c>
      <c r="B1083" s="6" t="s">
        <v>3170</v>
      </c>
      <c r="C1083" s="3" t="str">
        <f ca="1">IFERROR(__xludf.DUMMYFUNCTION("GOOGLETRANSLATE(B1083,""auto"",""en"")"),"1. Design product name: Display screen panel with learning information display graphics user interface.
 2. The purpose of designing products in appearance: for human -computer interaction and display.
 3. Design of the design of the product in this e"&amp;"xterior: lies in the interface content of the graphical user interface of the display information.
 4. Photos or photos that can best show design: change status diagram.
 5. Because it does not have design points, omitting push -up views, viewing view"&amp;"s, left view, right view, rear view.
 6. The purpose of the graphical user interface: The graphic user interface of the product is to learn the graphic user interface of the content of different units.
 The main view shows the selected learning unit; "&amp;"select the learning unit in the main view and trigger the ""Select OK"" interactive control to enter the changing status chart; the changing status chart shows two teams of the selected unit to learn the competition.
 The display screen panel is used fo"&amp;"r robots, mobile phones, and computers.")</f>
        <v>1. Design product name: Display screen panel with learning information display graphics user interface.
 2. The purpose of designing products in appearance: for human -computer interaction and display.
 3. Design of the design of the product in this exterior: lies in the interface content of the graphical user interface of the display information.
 4. Photos or photos that can best show design: change status diagram.
 5. Because it does not have design points, omitting push -up views, viewing views, left view, right view, rear view.
 6. The purpose of the graphical user interface: The graphic user interface of the product is to learn the graphic user interface of the content of different units.
 The main view shows the selected learning unit; select the learning unit in the main view and trigger the "Select OK" interactive control to enter the changing status chart; the changing status chart shows two teams of the selected unit to learn the competition.
 The display screen panel is used for robots, mobile phones, and computers.</v>
      </c>
      <c r="D1083" s="6" t="s">
        <v>3171</v>
      </c>
      <c r="E1083" s="4" t="str">
        <f ca="1">IFERROR(__xludf.DUMMYFUNCTION("GOOGLETRANSLATE(D1083,""auto"",""en"")"),"Display screen panel with learning information display graphics user interface")</f>
        <v>Display screen panel with learning information display graphics user interface</v>
      </c>
    </row>
    <row r="1084" spans="1:5" ht="15" x14ac:dyDescent="0.25">
      <c r="A1084" s="5" t="s">
        <v>3172</v>
      </c>
      <c r="B1084" s="6" t="s">
        <v>3173</v>
      </c>
      <c r="C1084" s="3" t="str">
        <f ca="1">IFERROR(__xludf.DUMMYFUNCTION("GOOGLETRANSLATE(B1084,""auto"",""en"")"),"1. Design product name: Display screen panel with learning information display graphics user interface.
 2. The purpose of designing products in appearance: for human -computer interaction and display.
 3. Design of the design of the product in this e"&amp;"xterior: lies in the interface content of the graphical user interface of the display information.
 4. Pictures or photos that can most indicate design points: main view.
 5. Because it does not have design points, omitting push -up views, viewing vie"&amp;"ws, left view, right view, rear view.
 6. The purpose of the graphical user interface: The graphic user interface of the product is the graphic user interface of English words corresponding to Chinese words.
 The main view shows the corresponding lear"&amp;"ning interface of the two users through the left and right sides. Each learning interface shows the English word options corresponding to Chinese words in each learning interface; the user in the main view on the left learning interface or the right learn"&amp;"ing interface on the left side. The English words below can perform learning points, and English words choose the score value (learning accumulation value) corresponding to the correct user; when all Chinese words corresponding to the left learning interf"&amp;"ace and the right learning interface are completed, they enter Changing status diagram; changing status diagram shows their respective learning results of the two users.
 The English words corresponding to Chinese words to be learned.
 Each view has a"&amp;" corresponding reference map.
 The display screen panel is used for robots, mobile phones, and computers.")</f>
        <v>1. Design product name: Display screen panel with learning information display graphics user interface.
 2. The purpose of designing products in appearance: for human -computer interaction and display.
 3. Design of the design of the product in this exterior: lies in the interface content of the graphical user interface of the display information.
 4. Pictures or photos that can most indicate design points: main view.
 5. Because it does not have design points, omitting push -up views, viewing views, left view, right view, rear view.
 6. The purpose of the graphical user interface: The graphic user interface of the product is the graphic user interface of English words corresponding to Chinese words.
 The main view shows the corresponding learning interface of the two users through the left and right sides. Each learning interface shows the English word options corresponding to Chinese words in each learning interface; the user in the main view on the left learning interface or the right learning interface on the left side. The English words below can perform learning points, and English words choose the score value (learning accumulation value) corresponding to the correct user; when all Chinese words corresponding to the left learning interface and the right learning interface are completed, they enter Changing status diagram; changing status diagram shows their respective learning results of the two users.
 The English words corresponding to Chinese words to be learned.
 Each view has a corresponding reference map.
 The display screen panel is used for robots, mobile phones, and computers.</v>
      </c>
      <c r="D1084" s="6" t="s">
        <v>3171</v>
      </c>
      <c r="E1084" s="4" t="str">
        <f ca="1">IFERROR(__xludf.DUMMYFUNCTION("GOOGLETRANSLATE(D1084,""auto"",""en"")"),"Display screen panel with learning information display graphics user interface")</f>
        <v>Display screen panel with learning information display graphics user interface</v>
      </c>
    </row>
    <row r="1085" spans="1:5" ht="15" x14ac:dyDescent="0.25">
      <c r="A1085" s="5" t="s">
        <v>3174</v>
      </c>
      <c r="B1085" s="6" t="s">
        <v>3175</v>
      </c>
      <c r="C1085" s="3" t="str">
        <f ca="1">IFERROR(__xludf.DUMMYFUNCTION("GOOGLETRANSLATE(B1085,""auto"",""en"")"),"1. Design product name: Display screen panel with learning information display graphics user interface.
 2. The purpose of designing products in appearance: for human -computer interaction and display.
 3. Design of the design of the product in this e"&amp;"xterior: lies in the interface content of the graphical user interface of the display information.
 4. Pictures or photos that can most indicate design points: main view.
 5. Because it does not have design points, omitting push -up views, viewing vie"&amp;"ws, left view, right view, rear view.
 6. The purpose of the graphical user interface: The graphic user interface of the product is the graphic user interface of English words corresponding to Chinese words.
 The main view shows the corresponding lear"&amp;"ning interface of the two users through the left and right sides. Each learning interface shows the English word options corresponding to Chinese words in each learning interface; the user in the main view on the left learning interface or the right learn"&amp;"ing interface on the left side. The English words below can perform learning points, and English words choose the score value (learning accumulation value) corresponding to the correct user.
 Each view has a corresponding reference map.
 The display s"&amp;"creen panel is used for robots, mobile phones, and computers.")</f>
        <v>1. Design product name: Display screen panel with learning information display graphics user interface.
 2. The purpose of designing products in appearance: for human -computer interaction and display.
 3. Design of the design of the product in this exterior: lies in the interface content of the graphical user interface of the display information.
 4. Pictures or photos that can most indicate design points: main view.
 5. Because it does not have design points, omitting push -up views, viewing views, left view, right view, rear view.
 6. The purpose of the graphical user interface: The graphic user interface of the product is the graphic user interface of English words corresponding to Chinese words.
 The main view shows the corresponding learning interface of the two users through the left and right sides. Each learning interface shows the English word options corresponding to Chinese words in each learning interface; the user in the main view on the left learning interface or the right learning interface on the left side. The English words below can perform learning points, and English words choose the score value (learning accumulation value) corresponding to the correct user.
 Each view has a corresponding reference map.
 The display screen panel is used for robots, mobile phones, and computers.</v>
      </c>
      <c r="D1085" s="6" t="s">
        <v>3171</v>
      </c>
      <c r="E1085" s="4" t="str">
        <f ca="1">IFERROR(__xludf.DUMMYFUNCTION("GOOGLETRANSLATE(D1085,""auto"",""en"")"),"Display screen panel with learning information display graphics user interface")</f>
        <v>Display screen panel with learning information display graphics user interface</v>
      </c>
    </row>
    <row r="1086" spans="1:5" ht="15" x14ac:dyDescent="0.25">
      <c r="A1086" s="5" t="s">
        <v>3176</v>
      </c>
      <c r="B1086" s="6" t="s">
        <v>3177</v>
      </c>
      <c r="C1086" s="3" t="str">
        <f ca="1">IFERROR(__xludf.DUMMYFUNCTION("GOOGLETRANSLATE(B1086,""auto"",""en"")"),"The present invention provides a sports video collection editing method and device based on the three -dimensional posture of time and space associated by the human body, designing computer technology fields, especially computer vision -related technologi"&amp;"es. Specific implementation steps include: collect multi -angle sports venue videos based on the preset videos of multiple perspectives, determine the athlete's human movement posture from the video to be processed. According to the target action fragment"&amp;", edit the processing video to get high -quality video fragments. The implementation method can effectively improve the efficiency of video processing analysis, provide a powerful analysis tool for scientific analysis of sports training, and have high pra"&amp;"ctical value.")</f>
        <v>The present invention provides a sports video collection editing method and device based on the three -dimensional posture of time and space associated by the human body, designing computer technology fields, especially computer vision -related technologies. Specific implementation steps include: collect multi -angle sports venue videos based on the preset videos of multiple perspectives, determine the athlete's human movement posture from the video to be processed. According to the target action fragment, edit the processing video to get high -quality video fragments. The implementation method can effectively improve the efficiency of video processing analysis, provide a powerful analysis tool for scientific analysis of sports training, and have high practical value.</v>
      </c>
      <c r="D1086" s="6" t="s">
        <v>3178</v>
      </c>
      <c r="E1086" s="4" t="str">
        <f ca="1">IFERROR(__xludf.DUMMYFUNCTION("GOOGLETRANSLATE(D1086,""auto"",""en"")"),"A motion video collection editing method and device based on the three -dimensional posture of the human body")</f>
        <v>A motion video collection editing method and device based on the three -dimensional posture of the human body</v>
      </c>
    </row>
    <row r="1087" spans="1:5" ht="15" x14ac:dyDescent="0.25">
      <c r="A1087" s="5" t="s">
        <v>3179</v>
      </c>
      <c r="B1087" s="6" t="s">
        <v>3180</v>
      </c>
      <c r="C1087" s="3" t="str">
        <f ca="1">IFERROR(__xludf.DUMMYFUNCTION("GOOGLETRANSLATE(B1087,""auto"",""en"")"),"The present invention disclosed a bowling game system. More specifically, the invention involves an IoT -based bowling gaming system that is equipped with multiple sensors in the bowling hall, which is installed with bowling roads to establish the Interne"&amp;"t of Things network environment and operates and operates and uses user terminal applications to manage games. Essence
  According to an embodiment of the present invention, the POS terminal and scoring terminals installed in the bowling in the bowling "&amp;"of the bowling are installed on the bowling track, and the following methods are managed and provided by the following ways to play the bowling game. server. It has the effect of managing their game details and providing various contents of traditional co"&amp;"ntent through users to attract user interest, such as online competitions between other users and clubs, performing personal tasks and providing rewards. Essence")</f>
        <v>The present invention disclosed a bowling game system. More specifically, the invention involves an IoT -based bowling gaming system that is equipped with multiple sensors in the bowling hall, which is installed with bowling roads to establish the Internet of Things network environment and operates and operates and uses user terminal applications to manage games. Essence
  According to an embodiment of the present invention, the POS terminal and scoring terminals installed in the bowling in the bowling of the bowling are installed on the bowling track, and the following methods are managed and provided by the following ways to play the bowling game. server. It has the effect of managing their game details and providing various contents of traditional content through users to attract user interest, such as online competitions between other users and clubs, performing personal tasks and providing rewards. Essence</v>
      </c>
      <c r="D1087" s="6" t="s">
        <v>3181</v>
      </c>
      <c r="E1087" s="4" t="str">
        <f ca="1">IFERROR(__xludf.DUMMYFUNCTION("GOOGLETRANSLATE(D1087,""auto"",""en"")"),"Boatling game system based on the Internet of Things")</f>
        <v>Boatling game system based on the Internet of Things</v>
      </c>
    </row>
    <row r="1088" spans="1:5" ht="15" x14ac:dyDescent="0.25">
      <c r="A1088" s="5" t="s">
        <v>3182</v>
      </c>
      <c r="B1088" s="6" t="s">
        <v>3183</v>
      </c>
      <c r="C1088" s="3" t="str">
        <f ca="1">IFERROR(__xludf.DUMMYFUNCTION("GOOGLETRANSLATE(B1088,""auto"",""en"")"),"The invention discloses a IoT -based global lease device and its control methods based on RFID, which can be widely used in the field of Internet of Things technology. The present invention sets the first electrode in the front of the drawer and sets up t"&amp;"he first electrode in the front of the load -bearing frame. The second electrode is set at the rear of the load box. At the same time, the first contact corresponding to the first electrode in the racket is , The second contact corresponding to the second"&amp;" electrode is installed in the racket header. Set the RFID card corresponding to the RFID identifier on the racket rod and the electromagnetic coil corresponding to the electromagnetic sensor. , RFID card, electromagnetic coil, and second contact connecti"&amp;"on, so that when returning the racket, the controller can identify the recognition signal of the RFID card according to the RFID identification, and the induction signal of the electromagnetic sensor induction of the electromagnetic coil to determine the "&amp;"return status and damage of the racket. Status to effectively reduce the economic losses of the ball racket.")</f>
        <v>The invention discloses a IoT -based global lease device and its control methods based on RFID, which can be widely used in the field of Internet of Things technology. The present invention sets the first electrode in the front of the drawer and sets up the first electrode in the front of the load -bearing frame. The second electrode is set at the rear of the load box. At the same time, the first contact corresponding to the first electrode in the racket is , The second contact corresponding to the second electrode is installed in the racket header. Set the RFID card corresponding to the RFID identifier on the racket rod and the electromagnetic coil corresponding to the electromagnetic sensor. , RFID card, electromagnetic coil, and second contact connection, so that when returning the racket, the controller can identify the recognition signal of the RFID card according to the RFID identification, and the induction signal of the electromagnetic sensor induction of the electromagnetic coil to determine the return status and damage of the racket. Status to effectively reduce the economic losses of the ball racket.</v>
      </c>
      <c r="D1088" s="6" t="s">
        <v>3184</v>
      </c>
      <c r="E1088" s="4" t="str">
        <f ca="1">IFERROR(__xludf.DUMMYFUNCTION("GOOGLETRANSLATE(D1088,""auto"",""en"")"),"RFID -based Internet of Things Global Renting device and its control method")</f>
        <v>RFID -based Internet of Things Global Renting device and its control method</v>
      </c>
    </row>
    <row r="1089" spans="1:5" ht="15" x14ac:dyDescent="0.25">
      <c r="A1089" s="5" t="s">
        <v>3185</v>
      </c>
      <c r="B1089" s="6" t="s">
        <v>3186</v>
      </c>
      <c r="C1089" s="3" t="str">
        <f ca="1">IFERROR(__xludf.DUMMYFUNCTION("GOOGLETRANSLATE(B1089,""auto"",""en"")"),"This application disclosed an external parameter calibration method, three -dimensional reconstruction method, and storage medium of the RGBD camera based on processed calibration; its technical point is: according to the sequence of YAW, Pitch, ROLL, TY,"&amp;" The number of ginsengs, the steps include: calculate yaw first, and then update the rotating matrix; then calculate the Pitch, and then update the rotating matrix; then calculate the roll, and then update the rotating matrix; finally, calculate TY. Adopt"&amp;"ing this application method, you only need to place a white line towards the front of the texture on the ground. You do n’t need to use external forces. The overall operation is simple.")</f>
        <v>This application disclosed an external parameter calibration method, three -dimensional reconstruction method, and storage medium of the RGBD camera based on processed calibration; its technical point is: according to the sequence of YAW, Pitch, ROLL, TY, The number of ginsengs, the steps include: calculate yaw first, and then update the rotating matrix; then calculate the Pitch, and then update the rotating matrix; then calculate the roll, and then update the rotating matrix; finally, calculate TY. Adopting this application method, you only need to place a white line towards the front of the texture on the ground. You do n’t need to use external forces. The overall operation is simple.</v>
      </c>
      <c r="D1089" s="6" t="s">
        <v>3187</v>
      </c>
      <c r="E1089" s="4" t="str">
        <f ca="1">IFERROR(__xludf.DUMMYFUNCTION("GOOGLETRANSLATE(D1089,""auto"",""en"")"),"An external parameter calibration method, three -dimensional reconstruction method, storage medium")</f>
        <v>An external parameter calibration method, three -dimensional reconstruction method, storage medium</v>
      </c>
    </row>
    <row r="1090" spans="1:5" ht="15" x14ac:dyDescent="0.25">
      <c r="A1090" s="5" t="s">
        <v>3188</v>
      </c>
      <c r="B1090" s="6" t="s">
        <v>3189</v>
      </c>
      <c r="C1090" s="3" t="str">
        <f ca="1">IFERROR(__xludf.DUMMYFUNCTION("GOOGLETRANSLATE(B1090,""auto"",""en"")"),"The present invention disclose a movement counting method, system and device and medium, involving the fitness field, obtaining the image data of the action, and the single -frame processing of the image data to obtain a set of single -frame images arrang"&amp;"ed in order; The image is packed in sequentially, and a group of image data is obtained. Each group includes a single -frame image arranged by several frames; the trained classification model is used to classify the data of each set of images and output c"&amp;"lassification results; the counting results are obtained according to the classification results. The present invention classifies the user's movements according to the convolutional neural network, and outputs the classification results. The action is co"&amp;"unted according to the classification results. The accuracy of the type judgment, thereby improving the accuracy of the action count, which is more convenient for long -term use, and higher use efficiency.")</f>
        <v>The present invention disclose a movement counting method, system and device and medium, involving the fitness field, obtaining the image data of the action, and the single -frame processing of the image data to obtain a set of single -frame images arranged in order; The image is packed in sequentially, and a group of image data is obtained. Each group includes a single -frame image arranged by several frames; the trained classification model is used to classify the data of each set of images and output classification results; the counting results are obtained according to the classification results. The present invention classifies the user's movements according to the convolutional neural network, and outputs the classification results. The action is counted according to the classification results. The accuracy of the type judgment, thereby improving the accuracy of the action count, which is more convenient for long -term use, and higher use efficiency.</v>
      </c>
      <c r="D1090" s="6" t="s">
        <v>3190</v>
      </c>
      <c r="E1090" s="4" t="str">
        <f ca="1">IFERROR(__xludf.DUMMYFUNCTION("GOOGLETRANSLATE(D1090,""auto"",""en"")"),"A motion counting method, system and device and medium")</f>
        <v>A motion counting method, system and device and medium</v>
      </c>
    </row>
    <row r="1091" spans="1:5" ht="15" x14ac:dyDescent="0.25">
      <c r="A1091" s="5" t="s">
        <v>3191</v>
      </c>
      <c r="B1091" s="6" t="s">
        <v>3192</v>
      </c>
      <c r="C1091" s="3" t="str">
        <f ca="1">IFERROR(__xludf.DUMMYFUNCTION("GOOGLETRANSLATE(B1091,""auto"",""en"")"),"Use deep learning to extract the method and device of the situation of the situation of sports competition videos, use deep learning models to remove noise images in sports game videos, and use the broadcast board in the video to extract sports game video"&amp;"s. Image frames from sports competition videos, use deep learning models to detect objects from image frames. Based on the results of the object detection, the color changes of the relay board displayed in the image frame are selected to select the main i"&amp;"mage, and the videos of the changing part of the situation are generated by the main image selected by the combination. Come to change some videos.")</f>
        <v>Use deep learning to extract the method and device of the situation of the situation of sports competition videos, use deep learning models to remove noise images in sports game videos, and use the broadcast board in the video to extract sports game videos. Image frames from sports competition videos, use deep learning models to detect objects from image frames. Based on the results of the object detection, the color changes of the relay board displayed in the image frame are selected to select the main image, and the videos of the changing part of the situation are generated by the main image selected by the combination. Come to change some videos.</v>
      </c>
      <c r="D1091" s="6" t="s">
        <v>3193</v>
      </c>
      <c r="E1091" s="4" t="str">
        <f ca="1">IFERROR(__xludf.DUMMYFUNCTION("GOOGLETRANSLATE(D1091,""auto"",""en"")"),"Use deep learning to extract the method and device of changes in the video situation of sports games")</f>
        <v>Use deep learning to extract the method and device of changes in the video situation of sports games</v>
      </c>
    </row>
    <row r="1092" spans="1:5" ht="15" x14ac:dyDescent="0.25">
      <c r="A1092" s="5" t="s">
        <v>3194</v>
      </c>
      <c r="B1092" s="6" t="s">
        <v>3195</v>
      </c>
      <c r="C1092" s="3" t="str">
        <f ca="1">IFERROR(__xludf.DUMMYFUNCTION("GOOGLETRANSLATE(B1092,""auto"",""en"")"),"The present invention disclosed a method and system based on convolutional and circulating neural network athletes. The methods include: S1: Athlete -based heartbeat changes to establish psychological pressure data sets; S2: Based on the psychological pre"&amp;"ssure dataset, build and train training Psychological pressure monitoring model, pressure monitoring model includes convolutional network layers and circular network layers; S3: According to the psychological pressure monitoring model, the psychological p"&amp;"ressure level results are predicted. The present invention uses convolutional neural networks and circulating neural networks to automatically extract ECG signal features, and to a certain extent overcomes the limitations of hand -to -character characteri"&amp;"stics of traditional methods.")</f>
        <v>The present invention disclosed a method and system based on convolutional and circulating neural network athletes. The methods include: S1: Athlete -based heartbeat changes to establish psychological pressure data sets; S2: Based on the psychological pressure dataset, build and train training Psychological pressure monitoring model, pressure monitoring model includes convolutional network layers and circular network layers; S3: According to the psychological pressure monitoring model, the psychological pressure level results are predicted. The present invention uses convolutional neural networks and circulating neural networks to automatically extract ECG signal features, and to a certain extent overcomes the limitations of hand -to -character characteristics of traditional methods.</v>
      </c>
      <c r="D1092" s="6" t="s">
        <v>3196</v>
      </c>
      <c r="E1092" s="4" t="str">
        <f ca="1">IFERROR(__xludf.DUMMYFUNCTION("GOOGLETRANSLATE(D1092,""auto"",""en"")"),"Psychological pressure assessment method and system based on convolutional and circulating neural network athletes")</f>
        <v>Psychological pressure assessment method and system based on convolutional and circulating neural network athletes</v>
      </c>
    </row>
    <row r="1093" spans="1:5" ht="15" x14ac:dyDescent="0.25">
      <c r="A1093" s="5" t="s">
        <v>3197</v>
      </c>
      <c r="B1093" s="6" t="s">
        <v>3198</v>
      </c>
      <c r="C1093" s="3" t="str">
        <f ca="1">IFERROR(__xludf.DUMMYFUNCTION("GOOGLETRANSLATE(B1093,""auto"",""en"")"),"The present invention provides a special positioning system and method for tennis games, including: Getting on multiple cameras to collect on -site images in the field; the camera has the corresponding number to the area, the shooting field covers the ent"&amp;"ire field; Training convolutional neural networks; call the convolutional neural network to detect on -site images and identify pre -processing images; call the training converting matrix to proof the pre -processing image to generate the position paramet"&amp;"ers of tennis Track the video, identify instantaneous image coordinates, calculate the characteristic data through coordinate conversion; detect the ball status to determine the recent robot of the ball; use the three -sided positioning algorithm to obtai"&amp;"n the instantaneous position of the robot; Process, generate path planning, and send them to robots. It aims to achieve timely picking up the ball in time during the game to replace the caddy and reduce the burden on the caddy.")</f>
        <v>The present invention provides a special positioning system and method for tennis games, including: Getting on multiple cameras to collect on -site images in the field; the camera has the corresponding number to the area, the shooting field covers the entire field; Training convolutional neural networks; call the convolutional neural network to detect on -site images and identify pre -processing images; call the training converting matrix to proof the pre -processing image to generate the position parameters of tennis Track the video, identify instantaneous image coordinates, calculate the characteristic data through coordinate conversion; detect the ball status to determine the recent robot of the ball; use the three -sided positioning algorithm to obtain the instantaneous position of the robot; Process, generate path planning, and send them to robots. It aims to achieve timely picking up the ball in time during the game to replace the caddy and reduce the burden on the caddy.</v>
      </c>
      <c r="D1093" s="6" t="s">
        <v>3199</v>
      </c>
      <c r="E1093" s="4" t="str">
        <f ca="1">IFERROR(__xludf.DUMMYFUNCTION("GOOGLETRANSLATE(D1093,""auto"",""en"")"),"A dedicated positioning of a tennis game and its method")</f>
        <v>A dedicated positioning of a tennis game and its method</v>
      </c>
    </row>
    <row r="1094" spans="1:5" ht="15" x14ac:dyDescent="0.25">
      <c r="A1094" s="5" t="s">
        <v>3200</v>
      </c>
      <c r="B1094" s="6" t="s">
        <v>3201</v>
      </c>
      <c r="C1094" s="3" t="str">
        <f ca="1">IFERROR(__xludf.DUMMYFUNCTION("GOOGLETRANSLATE(B1094,""auto"",""en"")"),"1. The name of the product in appearance: The vehicle performance and status information of the vehicle machine display the graphical user interface.
 2. Design products for designing products: for running procedures and providing drivers with functions"&amp;" and services such as vehicle information, navigation, entertainment.
 3. Design of the design of the product in this exterior: lies in the interface content of the graphic user interface in the product screen.
 4. Pictures or photos that can most ind"&amp;"icate design points: main view.
 5. No design points, omit other views.
 6. The purpose of graphical user interface: used to display vehicle performance and status information.
 7. Human -computer interaction method of graphical user interface: The "&amp;"main view is the vehicle performance and status information display of the vehicle mode of the track mode; click the white car mold and rotate in the main screen, which can jump to the interface shown in the change state. In the change state Figure 1, cli"&amp;"ck the white car mold and rotate, then turn off the tail, and open the left front door, the left back door, and jump to the interface shown in the change state. ""One -click recording"" physical buttons will trigger the start recording function. After the"&amp;" recording is turned on, the user enters the game, and will jump to the interface shown in the change state after the game. ""It will jump to the interface shown in Figure 4 of the change state.
 8. Main view, change status diagram 1. The change of the "&amp;"car model in Figure 2 belongs to the content picture.")</f>
        <v>1. The name of the product in appearance: The vehicle performance and status information of the vehicle machine display the graphical user interface.
 2. Design products for designing products: for running procedures and providing drivers with functions and services such as vehicle information, navigation, entertainment.
 3. Design of the design of the product in this exterior: lies in the interface content of the graphic user interface in the product screen.
 4. Pictures or photos that can most indicate design points: main view.
 5. No design points, omit other views.
 6. The purpose of graphical user interface: used to display vehicle performance and status information.
 7. Human -computer interaction method of graphical user interface: The main view is the vehicle performance and status information display of the vehicle mode of the track mode; click the white car mold and rotate in the main screen, which can jump to the interface shown in the change state. In the change state Figure 1, click the white car mold and rotate, then turn off the tail, and open the left front door, the left back door, and jump to the interface shown in the change state. "One -click recording" physical buttons will trigger the start recording function. After the recording is turned on, the user enters the game, and will jump to the interface shown in the change state after the game. "It will jump to the interface shown in Figure 4 of the change state.
 8. Main view, change status diagram 1. The change of the car model in Figure 2 belongs to the content picture.</v>
      </c>
      <c r="D1094" s="6" t="s">
        <v>3202</v>
      </c>
      <c r="E1094" s="4" t="str">
        <f ca="1">IFERROR(__xludf.DUMMYFUNCTION("GOOGLETRANSLATE(D1094,""auto"",""en"")"),"Vehicle performance and status information display graphical user interface")</f>
        <v>Vehicle performance and status information display graphical user interface</v>
      </c>
    </row>
    <row r="1095" spans="1:5" ht="15" x14ac:dyDescent="0.25">
      <c r="A1095" s="5" t="s">
        <v>3203</v>
      </c>
      <c r="B1095" s="6" t="s">
        <v>3204</v>
      </c>
      <c r="C1095" s="3" t="str">
        <f ca="1">IFERROR(__xludf.DUMMYFUNCTION("GOOGLETRANSLATE(B1095,""auto"",""en"")"),"This utility model involves the field of sports training technology, especially a sports training trainer. Its technical solutions include: support pillars, baffles, and boxes. The internal fixed installation of the support pillar is equipped with a motor"&amp;". The internal fixation of the support pillar on both sides of the thread is equipped with a ranging sensor. There are boxes in the fixed installation between the adjustment blocks, the baffle is fixed on both sides of the box on both sides of the box, an"&amp;"d the internal fixation of the baffle is installed with a fan. There are voice recognition modules and wireless transmission modules. This utility model can automatically adjust the device by the combination of various structures through the combination o"&amp;"f various structures, and has good protection performance according to the need. It is convenient for users to control the installation and use it. Work to increase the practicality of the device.")</f>
        <v>This utility model involves the field of sports training technology, especially a sports training trainer. Its technical solutions include: support pillars, baffles, and boxes. The internal fixed installation of the support pillar is equipped with a motor. The internal fixation of the support pillar on both sides of the thread is equipped with a ranging sensor. There are boxes in the fixed installation between the adjustment blocks, the baffle is fixed on both sides of the box on both sides of the box, and the internal fixation of the baffle is installed with a fan. There are voice recognition modules and wireless transmission modules. This utility model can automatically adjust the device by the combination of various structures through the combination of various structures, and has good protection performance according to the need. It is convenient for users to control the installation and use it. Work to increase the practicality of the device.</v>
      </c>
      <c r="D1095" s="6" t="s">
        <v>3205</v>
      </c>
      <c r="E1095" s="4" t="str">
        <f ca="1">IFERROR(__xludf.DUMMYFUNCTION("GOOGLETRANSLATE(D1095,""auto"",""en"")"),"A sports training back muscle trainer")</f>
        <v>A sports training back muscle trainer</v>
      </c>
    </row>
    <row r="1096" spans="1:5" ht="15" x14ac:dyDescent="0.25">
      <c r="A1096" s="5" t="s">
        <v>3206</v>
      </c>
      <c r="B1096" s="6" t="s">
        <v>3207</v>
      </c>
      <c r="C1096" s="3" t="str">
        <f ca="1">IFERROR(__xludf.DUMMYFUNCTION("GOOGLETRANSLATE(B1096,""auto"",""en"")"),"A virtual training system and method were disclosed. The system includes two -dimensional (2D) and 3D (3D) image sensors, biological data sensors, processors and output equipment. The 2D image sensor sensor's 2D image, while the 3D image sensor sensor inc"&amp;"ludes the 3D image of the user's mobile user. Biological statistics data sensor sensor sensor at least one kind of biological statistical characteristics. The processor generates feedback information from standard forms of standard movement compared with "&amp;"the user's movement during the session. Standard form movement can be exercise, dance movement, martial arts movement, or physical therapy movement. The feedback from the output device provides a 2D image sensor and at least one captured user image of the"&amp;" 2D image sensor and 3D image sensor on the guidance body, which illustrates the standard form movement.")</f>
        <v>A virtual training system and method were disclosed. The system includes two -dimensional (2D) and 3D (3D) image sensors, biological data sensors, processors and output equipment. The 2D image sensor sensor's 2D image, while the 3D image sensor sensor includes the 3D image of the user's mobile user. Biological statistics data sensor sensor sensor at least one kind of biological statistical characteristics. The processor generates feedback information from standard forms of standard movement compared with the user's movement during the session. Standard form movement can be exercise, dance movement, martial arts movement, or physical therapy movement. The feedback from the output device provides a 2D image sensor and at least one captured user image of the 2D image sensor and 3D image sensor on the guidance body, which illustrates the standard form movement.</v>
      </c>
      <c r="D1096" s="6" t="s">
        <v>3208</v>
      </c>
      <c r="E1096" s="4" t="str">
        <f ca="1">IFERROR(__xludf.DUMMYFUNCTION("GOOGLETRANSLATE(D1096,""auto"",""en"")"),"Virtual coaches on mobile/IoT devices")</f>
        <v>Virtual coaches on mobile/IoT devices</v>
      </c>
    </row>
    <row r="1097" spans="1:5" ht="15" x14ac:dyDescent="0.25">
      <c r="A1097" s="5" t="s">
        <v>3209</v>
      </c>
      <c r="B1097" s="6" t="s">
        <v>3210</v>
      </c>
      <c r="C1097" s="3" t="str">
        <f ca="1">IFERROR(__xludf.DUMMYFUNCTION("GOOGLETRANSLATE(B1097,""auto"",""en"")"),"The present invention provides an image processing device that can appropriately identify the players' actions even when the field of viewing the court is used in the field of vision.
  According to this public image processing device, the obtaining dev"&amp;"ice is obtained to obtain the image of the sports competition site taken in a certain perspective; the detection device is used to detect multiple objects in the image; and multiple pruning devices. The scope specified in the position of the image based o"&amp;"n the object is trimmed, and the recognition device of the actions of a specific player in multiple objects based on the trimming image is recognized. Here, the trimming device is repaired by the scope of a specific player based on the position of the fir"&amp;"st object used in sports competitions.")</f>
        <v>The present invention provides an image processing device that can appropriately identify the players' actions even when the field of viewing the court is used in the field of vision.
  According to this public image processing device, the obtaining device is obtained to obtain the image of the sports competition site taken in a certain perspective; the detection device is used to detect multiple objects in the image; and multiple pruning devices. The scope specified in the position of the image based on the object is trimmed, and the recognition device of the actions of a specific player in multiple objects based on the trimming image is recognized. Here, the trimming device is repaired by the scope of a specific player based on the position of the first object used in sports competitions.</v>
      </c>
      <c r="D1097" s="6" t="s">
        <v>915</v>
      </c>
      <c r="E1097" s="4" t="str">
        <f ca="1">IFERROR(__xludf.DUMMYFUNCTION("GOOGLETRANSLATE(D1097,""auto"",""en"")"),"Image processing device, image processing method and program")</f>
        <v>Image processing device, image processing method and program</v>
      </c>
    </row>
    <row r="1098" spans="1:5" ht="15" x14ac:dyDescent="0.25">
      <c r="A1098" s="5" t="s">
        <v>3211</v>
      </c>
      <c r="B1098" s="6" t="s">
        <v>3212</v>
      </c>
      <c r="C1098" s="3" t="str">
        <f ca="1">IFERROR(__xludf.DUMMYFUNCTION("GOOGLETRANSLATE(B1098,""auto"",""en"")"),"Examples of this application provide a fitness mirror, image recognition method, equipment and media for assisting users for fitness. Because in this application embodiment, the controller of the fitness mirror can be collected by the receiving target ima"&amp;"ge collection unit and the pre -trained bone key point recognition model, obtain the location information of each preset bone key point in the image, You can determine the target motion parameter according to the location information of the video frame di"&amp;"splayed by the video frame displayed by the display when receiving the image displayed when receiving the image, and each preset location information of the key point of the bone, and the target motion parameters are not located in the display image displ"&amp;"ayed when receiving the image display displayed. When the video frame corresponds to the standard motion parameter range of the video frame, the output preset reminder information is output, so the fitness mirror in the embodiment of this application can "&amp;"achieve assistance to user fitness.")</f>
        <v>Examples of this application provide a fitness mirror, image recognition method, equipment and media for assisting users for fitness. Because in this application embodiment, the controller of the fitness mirror can be collected by the receiving target image collection unit and the pre -trained bone key point recognition model, obtain the location information of each preset bone key point in the image, You can determine the target motion parameter according to the location information of the video frame displayed by the video frame displayed by the display when receiving the image displayed when receiving the image, and each preset location information of the key point of the bone, and the target motion parameters are not located in the display image displayed when receiving the image display displayed. When the video frame corresponds to the standard motion parameter range of the video frame, the output preset reminder information is output, so the fitness mirror in the embodiment of this application can achieve assistance to user fitness.</v>
      </c>
      <c r="D1098" s="6" t="s">
        <v>3213</v>
      </c>
      <c r="E1098" s="4" t="str">
        <f ca="1">IFERROR(__xludf.DUMMYFUNCTION("GOOGLETRANSLATE(D1098,""auto"",""en"")"),"A fitness mirror, image recognition method, equipment and media")</f>
        <v>A fitness mirror, image recognition method, equipment and media</v>
      </c>
    </row>
    <row r="1099" spans="1:5" ht="15" x14ac:dyDescent="0.25">
      <c r="A1099" s="5" t="s">
        <v>3214</v>
      </c>
      <c r="B1099" s="6" t="s">
        <v>3215</v>
      </c>
      <c r="C1099" s="3" t="str">
        <f ca="1">IFERROR(__xludf.DUMMYFUNCTION("GOOGLETRANSLATE(B1099,""auto"",""en"")"),"The present invention involves the field of computer vision technology, especially for a seat -controlled seat -controlled seat belt recognition system based on portable cloth control. The specific operating process is as follows: S1, panoramic capture; S"&amp;"2, target positioning of personnel and climbing of high carrier; S3, carrier and personnel and personnel Judgment of location relationship; S4, control the local diagram of the control ball to obtain the high -level personnel; S5, personnel instance segme"&amp;"ntation; S6, seat belt image enhancement; S7, image quality assessment; S8, seat belt wearing recognition, this system controls the camera movement and zoom control through control and zoom control control , To realize the intelligent capture of the actua"&amp;"l operating scene, it can improve the identification effect of the operator's ascending to high and the seat belt, and solve the problem of low accuracy of target detection algorithms at long distances. This system adds image quality before the seat belt "&amp;"detection algorithm. Filter the module, filter out the low -quality control ball video screen, and improve the detection effect of the seat belt detection algorithm.")</f>
        <v>The present invention involves the field of computer vision technology, especially for a seat -controlled seat -controlled seat belt recognition system based on portable cloth control. The specific operating process is as follows: S1, panoramic capture; S2, target positioning of personnel and climbing of high carrier; S3, carrier and personnel and personnel Judgment of location relationship; S4, control the local diagram of the control ball to obtain the high -level personnel; S5, personnel instance segmentation; S6, seat belt image enhancement; S7, image quality assessment; S8, seat belt wearing recognition, this system controls the camera movement and zoom control through control and zoom control control , To realize the intelligent capture of the actual operating scene, it can improve the identification effect of the operator's ascending to high and the seat belt, and solve the problem of low accuracy of target detection algorithms at long distances. This system adds image quality before the seat belt detection algorithm. Filter the module, filter out the low -quality control ball video screen, and improve the detection effect of the seat belt detection algorithm.</v>
      </c>
      <c r="D1099" s="6" t="s">
        <v>3216</v>
      </c>
      <c r="E1099" s="4" t="str">
        <f ca="1">IFERROR(__xludf.DUMMYFUNCTION("GOOGLETRANSLATE(D1099,""auto"",""en"")"),"A height of the climbing of portable clothing is not the seat belt recognition system")</f>
        <v>A height of the climbing of portable clothing is not the seat belt recognition system</v>
      </c>
    </row>
    <row r="1100" spans="1:5" ht="15" x14ac:dyDescent="0.25">
      <c r="A1100" s="5" t="s">
        <v>3217</v>
      </c>
      <c r="B1100" s="6" t="s">
        <v>3218</v>
      </c>
      <c r="C1100" s="3" t="str">
        <f ca="1">IFERROR(__xludf.DUMMYFUNCTION("GOOGLETRANSLATE(B1100,""auto"",""en"")"),"The present invention involves the field of computer vision technology, especially for a video collection unit anomalous identification system based on portable cloth control. The specific operation process is as follows: S1, network connecting test; S2, "&amp;"lens cover recognition; S3, controlling ball control ball tracking operators ; S4, helmet detection; S5, the seat belt detection box matches the personnel detection box; S6, records abnormal results, generates alarm, this system controls the camera to mov"&amp;"e and zoom, to realize the intelligent capture of the actual operating scene. The identification algorithm can improve the identification effect of the operator's boarding and the seat belt. This system uses the lens cover detection algorithm combined wit"&amp;"h the combination of the fast image dual -value blocking detection algorithm and the video quality assessment algorithm. In the case of the area of ​​the target object, there are fewer memory and computing resources occupied by the algorithm, and it is ea"&amp;"sier to complete the deployment of the algorithm on some edge computing devices.")</f>
        <v>The present invention involves the field of computer vision technology, especially for a video collection unit anomalous identification system based on portable cloth control. The specific operation process is as follows: S1, network connecting test; S2, lens cover recognition; S3, controlling ball control ball tracking operators ; S4, helmet detection; S5, the seat belt detection box matches the personnel detection box; S6, records abnormal results, generates alarm, this system controls the camera to move and zoom, to realize the intelligent capture of the actual operating scene. The identification algorithm can improve the identification effect of the operator's boarding and the seat belt. This system uses the lens cover detection algorithm combined with the combination of the fast image dual -value blocking detection algorithm and the video quality assessment algorithm. In the case of the area of ​​the target object, there are fewer memory and computing resources occupied by the algorithm, and it is easier to complete the deployment of the algorithm on some edge computing devices.</v>
      </c>
      <c r="D1100" s="6" t="s">
        <v>3219</v>
      </c>
      <c r="E1100" s="4" t="str">
        <f ca="1">IFERROR(__xludf.DUMMYFUNCTION("GOOGLETRANSLATE(D1100,""auto"",""en"")"),"An abnormal recognition system based on portable cloth -controlling units")</f>
        <v>An abnormal recognition system based on portable cloth -controlling units</v>
      </c>
    </row>
    <row r="1101" spans="1:5" ht="15" x14ac:dyDescent="0.25">
      <c r="A1101" s="5" t="s">
        <v>3220</v>
      </c>
      <c r="B1101" s="6" t="s">
        <v>3221</v>
      </c>
      <c r="C1101" s="3" t="str">
        <f ca="1">IFERROR(__xludf.DUMMYFUNCTION("GOOGLETRANSLATE(B1101,""auto"",""en"")"),"The present invention involves the field of computer vision technology, especially for a highly escalator identification system based on portable cloth control. The specific operating process is as follows: S1, panoramic capture; S2, personnel and ladder "&amp;"target positioning; S3, position relationship judgment; S4, S4, S4, Local capture; S5, human posture recognition; s6, abnormal personnel exclusion; S7, unmanned escalator alarm triggering, this system controls the camera movement and zoom control to achie"&amp;"ve intelligent capture of the actual work scenario, which can enhance the operators to board high and the escalator as the escalator. The effect of behavior recognition solves the problem of low target detection and behavioral recognition algorithm at lon"&amp;"g distances. This system combines the human posture estimation algorithm and target test algorithm based on the RGB image, replacing the existing action recognition scheme, which can improve the pair of pairs The operators ascended the effect of the peace"&amp;" escalator to reduce the dependence of the equipment of the algorithm.")</f>
        <v>The present invention involves the field of computer vision technology, especially for a highly escalator identification system based on portable cloth control. The specific operating process is as follows: S1, panoramic capture; S2, personnel and ladder target positioning; S3, position relationship judgment; S4, S4, S4, Local capture; S5, human posture recognition; s6, abnormal personnel exclusion; S7, unmanned escalator alarm triggering, this system controls the camera movement and zoom control to achieve intelligent capture of the actual work scenario, which can enhance the operators to board high and the escalator as the escalator. The effect of behavior recognition solves the problem of low target detection and behavioral recognition algorithm at long distances. This system combines the human posture estimation algorithm and target test algorithm based on the RGB image, replacing the existing action recognition scheme, which can improve the pair of pairs The operators ascended the effect of the peace escalator to reduce the dependence of the equipment of the algorithm.</v>
      </c>
      <c r="D1101" s="6" t="s">
        <v>3222</v>
      </c>
      <c r="E1101" s="4" t="str">
        <f ca="1">IFERROR(__xludf.DUMMYFUNCTION("GOOGLETRANSLATE(D1101,""auto"",""en"")"),"An unmanned escalator identification system based on portable cloth control")</f>
        <v>An unmanned escalator identification system based on portable cloth control</v>
      </c>
    </row>
    <row r="1102" spans="1:5" ht="15" x14ac:dyDescent="0.25">
      <c r="A1102" s="5" t="s">
        <v>3223</v>
      </c>
      <c r="B1102" s="6" t="s">
        <v>3224</v>
      </c>
      <c r="C1102" s="3" t="str">
        <f ca="1">IFERROR(__xludf.DUMMYFUNCTION("GOOGLETRANSLATE(B1102,""auto"",""en"")"),"In the field of solid new types involving sports equipment technology, a fun bicycle sports device based on human -computer interaction is released, including track simulation platforms and bicycles. The bicycle power wheels are equipped with a counter to"&amp;" record the rotation of the bicycle's power wheel. Circle, counter connection controller; the track simulation table is equipped with analog car, analog cars and the lower part of the driving vehicle body linkage, the driving car body is equipped with ele"&amp;"ctric carbon brush, electric carbon brushes are inserted into the sliding tank, for it for it for used for the use of the carbon brush. Provide power power to the driver's body and drive the simulation car movement; the useful new type has improved the pa"&amp;"rticipation of many people through the combination of real bicycles or fitness cars with the combination of simulation tracks. , Increase the interest and enthusiasm of exercise; the design of the electric carbon brush with the sliding line, and the power"&amp;" mode of the upper and lower linkage of the electromagnetic upper and lower, make the operation of the simulation car more smooth and smooth.")</f>
        <v>In the field of solid new types involving sports equipment technology, a fun bicycle sports device based on human -computer interaction is released, including track simulation platforms and bicycles. The bicycle power wheels are equipped with a counter to record the rotation of the bicycle's power wheel. Circle, counter connection controller; the track simulation table is equipped with analog car, analog cars and the lower part of the driving vehicle body linkage, the driving car body is equipped with electric carbon brush, electric carbon brushes are inserted into the sliding tank, for it for it for used for the use of the carbon brush. Provide power power to the driver's body and drive the simulation car movement; the useful new type has improved the participation of many people through the combination of real bicycles or fitness cars with the combination of simulation tracks. , Increase the interest and enthusiasm of exercise; the design of the electric carbon brush with the sliding line, and the power mode of the upper and lower linkage of the electromagnetic upper and lower, make the operation of the simulation car more smooth and smooth.</v>
      </c>
      <c r="D1102" s="6" t="s">
        <v>3225</v>
      </c>
      <c r="E1102" s="4" t="str">
        <f ca="1">IFERROR(__xludf.DUMMYFUNCTION("GOOGLETRANSLATE(D1102,""auto"",""en"")"),"A bicycle -based bicycle sports device based on human -computer interaction")</f>
        <v>A bicycle -based bicycle sports device based on human -computer interaction</v>
      </c>
    </row>
    <row r="1103" spans="1:5" ht="15" x14ac:dyDescent="0.25">
      <c r="A1103" s="5" t="s">
        <v>3226</v>
      </c>
      <c r="B1103" s="6" t="s">
        <v>1965</v>
      </c>
      <c r="C1103" s="3" t="str">
        <f ca="1">IFERROR(__xludf.DUMMYFUNCTION("GOOGLETRANSLATE(B1103,""auto"",""en"")"),"One method includes real -time videos of users who use the IoT (IoT) device to capture the exercise associated with the first exercise course. The real -time video of the user shows the same time and the coach's video to provide the visual comparison of u"&amp;"sers and coaches. User real -time video analysis is analyzed to determine the user's performance and show its performance. IoT devices receive biological characteristics related to users from wearable devices at multiple points. By biological characterist"&amp;"ic data recognition heart rate and display heart rate -based scores through display. The recommendation of the second exercise course different from the first exercise course is based on the simplified user of the user and is displayed by a display.")</f>
        <v>One method includes real -time videos of users who use the IoT (IoT) device to capture the exercise associated with the first exercise course. The real -time video of the user shows the same time and the coach's video to provide the visual comparison of users and coaches. User real -time video analysis is analyzed to determine the user's performance and show its performance. IoT devices receive biological characteristics related to users from wearable devices at multiple points. By biological characteristic data recognition heart rate and display heart rate -based scores through display. The recommendation of the second exercise course different from the first exercise course is based on the simplified user of the user and is displayed by a display.</v>
      </c>
      <c r="D1103" s="6" t="s">
        <v>1443</v>
      </c>
      <c r="E1103" s="4" t="str">
        <f ca="1">IFERROR(__xludf.DUMMYFUNCTION("GOOGLETRANSLATE(D1103,""auto"",""en"")"),"Pug -type video display device and how to use interactive training and demonstrations")</f>
        <v>Pug -type video display device and how to use interactive training and demonstrations</v>
      </c>
    </row>
    <row r="1104" spans="1:5" ht="15" x14ac:dyDescent="0.25">
      <c r="A1104" s="5" t="s">
        <v>3227</v>
      </c>
      <c r="B1104" s="6" t="s">
        <v>1965</v>
      </c>
      <c r="C1104" s="3" t="str">
        <f ca="1">IFERROR(__xludf.DUMMYFUNCTION("GOOGLETRANSLATE(B1104,""auto"",""en"")"),"One method includes real -time videos of users who use the IoT (IoT) device to capture the exercise associated with the first exercise course. The real -time video of the user shows the same time and the coach's video to provide the visual comparison of u"&amp;"sers and coaches. User real -time video analysis is analyzed to determine the user's performance and show its performance. IoT devices receive biological characteristics related to users from wearable devices at multiple points. By biological characterist"&amp;"ic data recognition heart rate and display heart rate -based scores through display. The recommendation of the second exercise course different from the first exercise course is based on the simplified user of the user and is displayed by a display.")</f>
        <v>One method includes real -time videos of users who use the IoT (IoT) device to capture the exercise associated with the first exercise course. The real -time video of the user shows the same time and the coach's video to provide the visual comparison of users and coaches. User real -time video analysis is analyzed to determine the user's performance and show its performance. IoT devices receive biological characteristics related to users from wearable devices at multiple points. By biological characteristic data recognition heart rate and display heart rate -based scores through display. The recommendation of the second exercise course different from the first exercise course is based on the simplified user of the user and is displayed by a display.</v>
      </c>
      <c r="D1104" s="6" t="s">
        <v>1443</v>
      </c>
      <c r="E1104" s="4" t="str">
        <f ca="1">IFERROR(__xludf.DUMMYFUNCTION("GOOGLETRANSLATE(D1104,""auto"",""en"")"),"Pug -type video display device and how to use interactive training and demonstrations")</f>
        <v>Pug -type video display device and how to use interactive training and demonstrations</v>
      </c>
    </row>
    <row r="1105" spans="1:5" ht="15" x14ac:dyDescent="0.25">
      <c r="A1105" s="5" t="s">
        <v>3228</v>
      </c>
      <c r="B1105" s="6" t="s">
        <v>3229</v>
      </c>
      <c r="C1105" s="3" t="str">
        <f ca="1">IFERROR(__xludf.DUMMYFUNCTION("GOOGLETRANSLATE(B1105,""auto"",""en"")"),"One method includes real -time videos of users who use the IoT (IoT) device to capture the users who participate in the first sports class. Real -time videos displayed at the same time by communicating with the display of the Internet of Things equipment "&amp;"and the coach to provide the visual comparison of users and coaches. This method also includes analysis of real -time video to determine the user's performance and respond to the display of the user's performance and the display of the monitor. IoT device"&amp;"s have received multiple biological characteristics related to users from wearable devices. By biological characteristics of data recognition users' heart rate, and identify and display heart rate -based scores. The recommendation of the second exercise c"&amp;"ourse is based on the simplified confirmation of the user and is displayed through the display.")</f>
        <v>One method includes real -time videos of users who use the IoT (IoT) device to capture the users who participate in the first sports class. Real -time videos displayed at the same time by communicating with the display of the Internet of Things equipment and the coach to provide the visual comparison of users and coaches. This method also includes analysis of real -time video to determine the user's performance and respond to the display of the user's performance and the display of the monitor. IoT devices have received multiple biological characteristics related to users from wearable devices. By biological characteristics of data recognition users' heart rate, and identify and display heart rate -based scores. The recommendation of the second exercise course is based on the simplified confirmation of the user and is displayed through the display.</v>
      </c>
      <c r="D1105" s="6" t="s">
        <v>1443</v>
      </c>
      <c r="E1105" s="4" t="str">
        <f ca="1">IFERROR(__xludf.DUMMYFUNCTION("GOOGLETRANSLATE(D1105,""auto"",""en"")"),"Pug -type video display device and how to use interactive training and demonstrations")</f>
        <v>Pug -type video display device and how to use interactive training and demonstrations</v>
      </c>
    </row>
    <row r="1106" spans="1:5" ht="15" x14ac:dyDescent="0.25">
      <c r="A1106" s="5" t="s">
        <v>3230</v>
      </c>
      <c r="B1106" s="6" t="s">
        <v>3229</v>
      </c>
      <c r="C1106" s="3" t="str">
        <f ca="1">IFERROR(__xludf.DUMMYFUNCTION("GOOGLETRANSLATE(B1106,""auto"",""en"")"),"One method includes real -time videos of users who use the IoT (IoT) device to capture the users who participate in the first sports class. Real -time videos displayed at the same time by communicating with the display of the Internet of Things equipment "&amp;"and the coach to provide the visual comparison of users and coaches. This method also includes analysis of real -time video to determine the user's performance and respond to the display of the user's performance and the display of the monitor. IoT device"&amp;"s have received multiple biological characteristics related to users from wearable devices. By biological characteristics of data recognition users' heart rate, and identify and display heart rate -based scores. The recommendation of the second exercise c"&amp;"ourse is based on the simplified confirmation of the user and is displayed through the display.")</f>
        <v>One method includes real -time videos of users who use the IoT (IoT) device to capture the users who participate in the first sports class. Real -time videos displayed at the same time by communicating with the display of the Internet of Things equipment and the coach to provide the visual comparison of users and coaches. This method also includes analysis of real -time video to determine the user's performance and respond to the display of the user's performance and the display of the monitor. IoT devices have received multiple biological characteristics related to users from wearable devices. By biological characteristics of data recognition users' heart rate, and identify and display heart rate -based scores. The recommendation of the second exercise course is based on the simplified confirmation of the user and is displayed through the display.</v>
      </c>
      <c r="D1106" s="6" t="s">
        <v>1443</v>
      </c>
      <c r="E1106" s="4" t="str">
        <f ca="1">IFERROR(__xludf.DUMMYFUNCTION("GOOGLETRANSLATE(D1106,""auto"",""en"")"),"Pug -type video display device and how to use interactive training and demonstrations")</f>
        <v>Pug -type video display device and how to use interactive training and demonstrations</v>
      </c>
    </row>
    <row r="1107" spans="1:5" ht="15" x14ac:dyDescent="0.25">
      <c r="A1107" s="5" t="s">
        <v>3231</v>
      </c>
      <c r="B1107" s="6" t="s">
        <v>3232</v>
      </c>
      <c r="C1107" s="3" t="str">
        <f ca="1">IFERROR(__xludf.DUMMYFUNCTION("GOOGLETRANSLATE(B1107,""auto"",""en"")"),"This utility model involves the field of lamps technology, and an atmosphere light for swimming pools is disclosed, including connecting boards set in the connection box. The one -end is penetrated into the connection box, which runs through the connectin"&amp;"g pillar in the connection board, which is installed with a protective board at the top of the insertion column. The atmosphere of the pool at the pool, through the operator's voice instructions, so that the voice recognition module recognition operator's"&amp;" instructions and pass through the electrical signal to the controller. The light atmosphere can prevent the operator from the touch switch during swimming. It is easier for the operator to adjust the lights with voice, improve the safety of the operator "&amp;"during the swimming process, and further enhance the components in the device in the working process of the work process. The effect of use.")</f>
        <v>This utility model involves the field of lamps technology, and an atmosphere light for swimming pools is disclosed, including connecting boards set in the connection box. The one -end is penetrated into the connection box, which runs through the connecting pillar in the connection board, which is installed with a protective board at the top of the insertion column. The atmosphere of the pool at the pool, through the operator's voice instructions, so that the voice recognition module recognition operator's instructions and pass through the electrical signal to the controller. The light atmosphere can prevent the operator from the touch switch during swimming. It is easier for the operator to adjust the lights with voice, improve the safety of the operator during the swimming process, and further enhance the components in the device in the working process of the work process. The effect of use.</v>
      </c>
      <c r="D1107" s="6" t="s">
        <v>3233</v>
      </c>
      <c r="E1107" s="4" t="str">
        <f ca="1">IFERROR(__xludf.DUMMYFUNCTION("GOOGLETRANSLATE(D1107,""auto"",""en"")"),"An atmosphere light for the pool")</f>
        <v>An atmosphere light for the pool</v>
      </c>
    </row>
    <row r="1108" spans="1:5" ht="15" x14ac:dyDescent="0.25">
      <c r="A1108" s="5" t="s">
        <v>3234</v>
      </c>
      <c r="B1108" s="6" t="s">
        <v>3235</v>
      </c>
      <c r="C1108" s="3" t="str">
        <f ca="1">IFERROR(__xludf.DUMMYFUNCTION("GOOGLETRANSLATE(B1108,""auto"",""en"")"),"1. Design product name: Display screen panel for graphic user interface controlled by four -foot robots.
 2. The purpose of designing products in this exterior: The design of the product is used to display the relevant information of the four -foot robo"&amp;"t and the long -distance control of the four -foot robot; the display screen panel is used for tablet, mobile phone, and computer.
 3. Design of the design of the product in this exterior: lies in the graphic user interface in the product screen.
 4. "&amp;"Pictures or photos that can most indicate design points: main view.
 5. Other views have no design points, omittime, left view, left view, right view, push -view, upper view.
 6. The purpose of the graphical user interface: for information display and"&amp;" body operation for four -foot robotic information.
 7. Human -computer interaction method of graphic user interface: The main vision interface is the robot's antectomy interface, the interface shows the basic status information of the robot, the diagra"&amp;"m of the front camera, the virtual joystick, and the gait switch; The first ""Deeprobotics"" button in the upper left corner enters the change state of change; presses the second hexagon button in the upper left corner to enter the change state of the cha"&amp;"nge in the second left corner. The decline enters the changing state Figure 2, the change status Figure 2 can view the information of the robot; press the third quadrilateral button in the upper left corner of the main view to enter the change state of th"&amp;"e change of the front camera, control the front camera; The second book button of the corner enters the change state of the change, and the operating guidance is performed; the change state Figure 5 Press the ""Maintenance Support"" button to enter the ch"&amp;"ange state. 8 Press the ""Anomalial Alarm, click to view"" prompt to enter the changing status of the change status 4 interface in the picture 4; Change status Figure 9 interface; change status Figure 9 Press the ""OK"" button to enter the change state of"&amp;" the change state; the change state Figure 10 After the automatic building is successful, enter the change state. ""Point"" button, enter the state of change. Figure 13.")</f>
        <v>1. Design product name: Display screen panel for graphic user interface controlled by four -foot robots.
 2. The purpose of designing products in this exterior: The design of the product is used to display the relevant information of the four -foot robot and the long -distance control of the four -foot robot; the display screen panel is used for tablet, mobile phone, and computer.
 3. Design of the design of the product in this exterior: lies in the graphic user interface in the product screen.
 4. Pictures or photos that can most indicate design points: main view.
 5. Other views have no design points, omittime, left view, left view, right view, push -view, upper view.
 6. The purpose of the graphical user interface: for information display and body operation for four -foot robotic information.
 7. Human -computer interaction method of graphic user interface: The main vision interface is the robot's antectomy interface, the interface shows the basic status information of the robot, the diagram of the front camera, the virtual joystick, and the gait switch; The first "Deeprobotics" button in the upper left corner enters the change state of change; presses the second hexagon button in the upper left corner to enter the change state of the change in the second left corner. The decline enters the changing state Figure 2, the change status Figure 2 can view the information of the robot; press the third quadrilateral button in the upper left corner of the main view to enter the change state of the change of the front camera, control the front camera; The second book button of the corner enters the change state of the change, and the operating guidance is performed; the change state Figure 5 Press the "Maintenance Support" button to enter the change state. 8 Press the "Anomalial Alarm, click to view" prompt to enter the changing status of the change status 4 interface in the picture 4; Change status Figure 9 interface; change status Figure 9 Press the "OK" button to enter the change state of the change state; the change state Figure 10 After the automatic building is successful, enter the change state. "Point" button, enter the state of change. Figure 13.</v>
      </c>
      <c r="D1108" s="6" t="s">
        <v>3236</v>
      </c>
      <c r="E1108" s="4" t="str">
        <f ca="1">IFERROR(__xludf.DUMMYFUNCTION("GOOGLETRANSLATE(D1108,""auto"",""en"")"),"Display screen panel for graphic user interface controlled by four -foot robots")</f>
        <v>Display screen panel for graphic user interface controlled by four -foot robots</v>
      </c>
    </row>
    <row r="1109" spans="1:5" ht="15" x14ac:dyDescent="0.25">
      <c r="A1109" s="5" t="s">
        <v>3237</v>
      </c>
      <c r="B1109" s="6" t="s">
        <v>3238</v>
      </c>
      <c r="C1109" s="3" t="str">
        <f ca="1">IFERROR(__xludf.DUMMYFUNCTION("GOOGLETRANSLATE(B1109,""auto"",""en"")"),"The computing system retrieves tracking data from the data storage. Tracking data includes multiple data frames of multiple events across multiple seasons. The computing system converts the tracking data into multiple graph -based representations. Figure "&amp;"neural network learning to generate action predictions for each athletes in each frame of tracking data. The computing system is based on the trained neural network. Calculate the target tracking data of the target event. The target tracking data includes"&amp;" multiple target frames. The computing system converts the target tracking data into multiple target charts. Each graph -based representation corresponds to a target frame in multiple target frames. The computing system generates the action prediction of "&amp;"each athlete in each target frame through the trained neural network.")</f>
        <v>The computing system retrieves tracking data from the data storage. Tracking data includes multiple data frames of multiple events across multiple seasons. The computing system converts the tracking data into multiple graph -based representations. Figure neural network learning to generate action predictions for each athletes in each frame of tracking data. The computing system is based on the trained neural network. Calculate the target tracking data of the target event. The target tracking data includes multiple target frames. The computing system converts the target tracking data into multiple target charts. Each graph -based representation corresponds to a target frame in multiple target frames. The computing system generates the action prediction of each athlete in each target frame through the trained neural network.</v>
      </c>
      <c r="D1109" s="6" t="s">
        <v>3239</v>
      </c>
      <c r="E1109" s="4" t="str">
        <f ca="1">IFERROR(__xludf.DUMMYFUNCTION("GOOGLETRANSLATE(D1109,""auto"",""en"")"),"Use diagram neural network to track data according to time and space-actor detection")</f>
        <v>Use diagram neural network to track data according to time and space-actor detection</v>
      </c>
    </row>
    <row r="1110" spans="1:5" ht="15" x14ac:dyDescent="0.25">
      <c r="A1110" s="5" t="s">
        <v>3240</v>
      </c>
      <c r="B1110" s="6" t="s">
        <v>3241</v>
      </c>
      <c r="C1110" s="3" t="str">
        <f ca="1">IFERROR(__xludf.DUMMYFUNCTION("GOOGLETRANSLATE(B1110,""auto"",""en"")"),"India is a fanatic sports culture. I like to watch sports games collectively. Whether it is cricket or football, the entire community gathers the game to watch the game. However, one of the problems we encounter is that the scoring cards at the bottom of "&amp;"the TV screen have become very small, so it is difficult to see, and the cost of viewing scores in some OTT applications is even higher. Therefore, today we will use the Nodemcu and P10 display modules to create a scoring card based on IoT and Arduino. Th"&amp;"e score is large enough to display the real -time score and make it very simple to make. Here we use the Speaker module to read the music score in real time. This system will be very useful for blind people who have a special status in his heart. In this "&amp;"case, the API service is used to obtain real -time scores, and then decoded and transmitted to the control displayed Arduino by ESP8266 Nodemcu. Arduino then transmits the necessary information to the P10 display and generates a speaker to remind the goal"&amp;"s of each team.")</f>
        <v>India is a fanatic sports culture. I like to watch sports games collectively. Whether it is cricket or football, the entire community gathers the game to watch the game. However, one of the problems we encounter is that the scoring cards at the bottom of the TV screen have become very small, so it is difficult to see, and the cost of viewing scores in some OTT applications is even higher. Therefore, today we will use the Nodemcu and P10 display modules to create a scoring card based on IoT and Arduino. The score is large enough to display the real -time score and make it very simple to make. Here we use the Speaker module to read the music score in real time. This system will be very useful for blind people who have a special status in his heart. In this case, the API service is used to obtain real -time scores, and then decoded and transmitted to the control displayed Arduino by ESP8266 Nodemcu. Arduino then transmits the necessary information to the P10 display and generates a speaker to remind the goals of each team.</v>
      </c>
      <c r="D1110" s="6" t="s">
        <v>3242</v>
      </c>
      <c r="E1110" s="4" t="str">
        <f ca="1">IFERROR(__xludf.DUMMYFUNCTION("GOOGLETRANSLATE(D1110,""auto"",""en"")"),"Use real -time score API and the Internet of Things technology to design and achieve real -time display scores")</f>
        <v>Use real -time score API and the Internet of Things technology to design and achieve real -time display scores</v>
      </c>
    </row>
    <row r="1111" spans="1:5" ht="15" x14ac:dyDescent="0.25">
      <c r="A1111" s="5" t="s">
        <v>3243</v>
      </c>
      <c r="B1111" s="6" t="s">
        <v>3244</v>
      </c>
      <c r="C1111" s="3" t="str">
        <f ca="1">IFERROR(__xludf.DUMMYFUNCTION("GOOGLETRANSLATE(B1111,""auto"",""en"")"),"1. The name of the product in appearance: The display screen panel with the graphical user interface with a live broadcast settings.
 2. The purpose of designing products in this exterior: It is used for running programs, displaying graphics and images;"&amp;" display screen panels for live equipment, computers, mobile phones, tablets, televisions, and vehicle display screens that are integrated and displayed.
 3. Design of the design of the product in this exterior: lies in the content of the graphic user i"&amp;"nterface.
 4. Pictures or photos that can most indicate design points: main view.
 5. The purpose of graphical user interface: This graphic user interface is used for live broadcasts and live broadcasts on layers, push flow, audio, scoring cards, revi"&amp;"ews and other functions.
 6. Human -computer interaction method of graphics user interface: The main view is the full -screen live broadcast page. The user clicks the circular button on the middle of the right side of the interface to start the live bro"&amp;"adcast. Click the button at the bottom of the interface to set the live broadcast function; The layer setting interface presented by the interface layer graphics button; the interface change state Figure 2 is the click stream of the main view interface pu"&amp;"sh graphical button to push the live video signal to the setting interface of multiple optional third -party live platform; the interface interface Change status Figure 3 is the control interface of the audio signal sources presented by clicking the audio"&amp;" graphic button presented by the main visual diagram interface; , Add the control interface of the dividend card to the competition; the interface change state Figure 5 is the interface of the comments of the comments of the main view interface interface."&amp;" Figure 1 is the reference diagram of the main view; reference status in Figure 2 is the reference diagram of the interface change state.")</f>
        <v>1. The name of the product in appearance: The display screen panel with the graphical user interface with a live broadcast settings.
 2. The purpose of designing products in this exterior: It is used for running programs, displaying graphics and images; display screen panels for live equipment, computers, mobile phones, tablets, televisions, and vehicle display screens that are integrated and displayed.
 3. Design of the design of the product in this exterior: lies in the content of the graphic user interface.
 4. Pictures or photos that can most indicate design points: main view.
 5. The purpose of graphical user interface: This graphic user interface is used for live broadcasts and live broadcasts on layers, push flow, audio, scoring cards, reviews and other functions.
 6. Human -computer interaction method of graphics user interface: The main view is the full -screen live broadcast page. The user clicks the circular button on the middle of the right side of the interface to start the live broadcast. Click the button at the bottom of the interface to set the live broadcast function; The layer setting interface presented by the interface layer graphics button; the interface change state Figure 2 is the click stream of the main view interface push graphical button to push the live video signal to the setting interface of multiple optional third -party live platform; the interface interface Change status Figure 3 is the control interface of the audio signal sources presented by clicking the audio graphic button presented by the main visual diagram interface; , Add the control interface of the dividend card to the competition; the interface change state Figure 5 is the interface of the comments of the comments of the main view interface interface. Figure 1 is the reference diagram of the main view; reference status in Figure 2 is the reference diagram of the interface change state.</v>
      </c>
      <c r="D1111" s="6" t="s">
        <v>3245</v>
      </c>
      <c r="E1111" s="4" t="str">
        <f ca="1">IFERROR(__xludf.DUMMYFUNCTION("GOOGLETRANSLATE(D1111,""auto"",""en"")"),"Bring a display screen panel with a live broadcast settings user interface")</f>
        <v>Bring a display screen panel with a live broadcast settings user interface</v>
      </c>
    </row>
    <row r="1112" spans="1:5" ht="15" x14ac:dyDescent="0.25">
      <c r="A1112" s="5" t="s">
        <v>3246</v>
      </c>
      <c r="B1112" s="6" t="s">
        <v>3247</v>
      </c>
      <c r="C1112" s="3" t="str">
        <f ca="1">IFERROR(__xludf.DUMMYFUNCTION("GOOGLETRANSLATE(B1112,""auto"",""en"")"),"This application involves the field of table tennis technology, which is specifically for a smart table tennis picker based on image recognition. This application includes the chassis, which is connected to the lower surface of the chassis with two drive "&amp;"motors, which is connected to the output of the drive motor with gears. The structure, the recycling structure includes the transfer unit, the recycling unit, and the conveyor unit. The transfer unit is installed on the upper end of the chassis. It is con"&amp;"venient to quickly and quickly recover the table tennis on the ground, and then use the transfer unit to transfer the table tennis to the conveyor unit, and finally uniformly recover the effect. It solves the need to move along the venue. The work efficie"&amp;"ncy is low, the time and energy it takes, and there is no problem of promoting the value of the application value.")</f>
        <v>This application involves the field of table tennis technology, which is specifically for a smart table tennis picker based on image recognition. This application includes the chassis, which is connected to the lower surface of the chassis with two drive motors, which is connected to the output of the drive motor with gears. The structure, the recycling structure includes the transfer unit, the recycling unit, and the conveyor unit. The transfer unit is installed on the upper end of the chassis. It is convenient to quickly and quickly recover the table tennis on the ground, and then use the transfer unit to transfer the table tennis to the conveyor unit, and finally uniformly recover the effect. It solves the need to move along the venue. The work efficiency is low, the time and energy it takes, and there is no problem of promoting the value of the application value.</v>
      </c>
      <c r="D1112" s="6" t="s">
        <v>3248</v>
      </c>
      <c r="E1112" s="4" t="str">
        <f ca="1">IFERROR(__xludf.DUMMYFUNCTION("GOOGLETRANSLATE(D1112,""auto"",""en"")"),"A smart table tennis based on image recognition")</f>
        <v>A smart table tennis based on image recognition</v>
      </c>
    </row>
    <row r="1113" spans="1:5" ht="15" x14ac:dyDescent="0.25">
      <c r="A1113" s="5" t="s">
        <v>3249</v>
      </c>
      <c r="B1113" s="6" t="s">
        <v>3250</v>
      </c>
      <c r="C1113" s="3" t="str">
        <f ca="1">IFERROR(__xludf.DUMMYFUNCTION("GOOGLETRANSLATE(B1113,""auto"",""en"")"),"In medical diagnosis and treatment, IoT and machine learning technology are usually used to monitor patients' status. The Internet of Things has been used to build a system. By using the function of the wearable sensor system installed with a sensor, it w"&amp;"arns to the patient's companion when abnormal conditions occur. Machine Learning-RNN has used training models to help medical diagnosis to detect any abnormalities in the patient's condition. In this frame, the pulse blood oxygen meter and temperature sen"&amp;"sor are used to monitor the health status of patients. Cloud IoT is used to evaluate, classify, and exchange medical data between consumers and medical care professionals. The IoT sensor is used to collect necessary data. The data will be stored in the Cl"&amp;"oud Internet of Things. The ZWAVE device collects data from various sensors used in patient monitoring, transmits it to the hospital and uses AI and ML -based technologies in the hospital database to analyze the data in real time, such as as a real -time "&amp;"data, for example, as a as a regard, as a as a regard, as a as a regard, as a as a as a regard, it is used as a as a as a. Based on the classification method of blurring rough C average clustering class, it is used to classify the user as a category of in"&amp;"fection or infection. We use Fuzzy Rough C-Means Clustering to divide the user into a infection group and an unborn group, and use the similar coefficient to distinguish according to the patient's symptoms. If any error occurs, patients can use wearable d"&amp;"evices (such as fitness belts) and other wireless connection devices (such as blood pressure and heart rate monitoring cuffs, blood glucose meters, and other equipment) to receive tailor -made treatment. You can set up calories, exercise, dating, blood pr"&amp;"essure changes and several other items on these devices. The Internet of Things has completely changed people's lives, especially the lives of elderly patients, and they can now track their health in real time. The impact on single parents and their famil"&amp;"ies is huge. If a person's regular habits are disturbed or changed, the alarm mechanism will pass the message to family members, doctors, nursing staff and other related health providers.")</f>
        <v>In medical diagnosis and treatment, IoT and machine learning technology are usually used to monitor patients' status. The Internet of Things has been used to build a system. By using the function of the wearable sensor system installed with a sensor, it warns to the patient's companion when abnormal conditions occur. Machine Learning-RNN has used training models to help medical diagnosis to detect any abnormalities in the patient's condition. In this frame, the pulse blood oxygen meter and temperature sensor are used to monitor the health status of patients. Cloud IoT is used to evaluate, classify, and exchange medical data between consumers and medical care professionals. The IoT sensor is used to collect necessary data. The data will be stored in the Cloud Internet of Things. The ZWAVE device collects data from various sensors used in patient monitoring, transmits it to the hospital and uses AI and ML -based technologies in the hospital database to analyze the data in real time, such as as a real -time data, for example, as a as a regard, as a as a regard, as a as a regard, as a as a as a regard, it is used as a as a as a. Based on the classification method of blurring rough C average clustering class, it is used to classify the user as a category of infection or infection. We use Fuzzy Rough C-Means Clustering to divide the user into a infection group and an unborn group, and use the similar coefficient to distinguish according to the patient's symptoms. If any error occurs, patients can use wearable devices (such as fitness belts) and other wireless connection devices (such as blood pressure and heart rate monitoring cuffs, blood glucose meters, and other equipment) to receive tailor -made treatment. You can set up calories, exercise, dating, blood pressure changes and several other items on these devices. The Internet of Things has completely changed people's lives, especially the lives of elderly patients, and they can now track their health in real time. The impact on single parents and their families is huge. If a person's regular habits are disturbed or changed, the alarm mechanism will pass the message to family members, doctors, nursing staff and other related health providers.</v>
      </c>
      <c r="D1113" s="6" t="s">
        <v>3251</v>
      </c>
      <c r="E1113" s="4" t="str">
        <f ca="1">IFERROR(__xludf.DUMMYFUNCTION("GOOGLETRANSLATE(D1113,""auto"",""en"")"),"The IoT model design system based on intelligent medical cloud is used to use deep learning testing and prevent medical diagnosis")</f>
        <v>The IoT model design system based on intelligent medical cloud is used to use deep learning testing and prevent medical diagnosis</v>
      </c>
    </row>
    <row r="1114" spans="1:5" ht="15" x14ac:dyDescent="0.25">
      <c r="A1114" s="5" t="s">
        <v>3252</v>
      </c>
      <c r="B1114" s="6" t="s">
        <v>3253</v>
      </c>
      <c r="C1114" s="3" t="str">
        <f ca="1">IFERROR(__xludf.DUMMYFUNCTION("GOOGLETRANSLATE(B1114,""auto"",""en"")"),"The present invention involves a gym robot system that assisted and recovered, including: recovery scheme setting unit, front desk terminal, robot scheduling unit, health care terminals, historical databases, physiotherapy tables, and intelligent fitness "&amp;"equipment. The recovery scheme setting unit is used to automatically generate recovery schemes; the front desk terminal is used to associate member ID to the RFID card; the robot scheduling unit is used for the scheduling of intelligent robots; To confirm"&amp;" and adjust the recovery scheme; the historical database is used to store the historical data of users. The invention will be restored to the restoration plan set, front desk terminal, robot scheduling unit, health care terminals, historical databases, ph"&amp;"ysical therapy tables, and smart fitness equipment. Data generates recovery scheme and recovers the body after fitness according to the recovery scheme.")</f>
        <v>The present invention involves a gym robot system that assisted and recovered, including: recovery scheme setting unit, front desk terminal, robot scheduling unit, health care terminals, historical databases, physiotherapy tables, and intelligent fitness equipment. The recovery scheme setting unit is used to automatically generate recovery schemes; the front desk terminal is used to associate member ID to the RFID card; the robot scheduling unit is used for the scheduling of intelligent robots; To confirm and adjust the recovery scheme; the historical database is used to store the historical data of users. The invention will be restored to the restoration plan set, front desk terminal, robot scheduling unit, health care terminals, historical databases, physical therapy tables, and smart fitness equipment. Data generates recovery scheme and recovers the body after fitness according to the recovery scheme.</v>
      </c>
      <c r="D1114" s="6" t="s">
        <v>3254</v>
      </c>
      <c r="E1114" s="4" t="str">
        <f ca="1">IFERROR(__xludf.DUMMYFUNCTION("GOOGLETRANSLATE(D1114,""auto"",""en"")"),"Auxiliary exercise gym robot system and their control methods")</f>
        <v>Auxiliary exercise gym robot system and their control methods</v>
      </c>
    </row>
    <row r="1115" spans="1:5" ht="15" x14ac:dyDescent="0.25">
      <c r="A1115" s="5" t="s">
        <v>3255</v>
      </c>
      <c r="B1115" s="6" t="s">
        <v>3256</v>
      </c>
      <c r="C1115" s="3" t="str">
        <f ca="1">IFERROR(__xludf.DUMMYFUNCTION("GOOGLETRANSLATE(B1115,""auto"",""en"")"),"This utility model involves the technical field of fitness equipment, which is specifically a artificial intelligence device for the collection of healthy fitness data, including the substrate, the top of the substrate is fixed with the case, the detectio"&amp;"n shell, and the supporting frame. Installed an infrared sensor, the detection shell is located on the front side of the case. The top of the detection shell is opened with a groove, and the block groove has a weighing sensor and support block. The back o"&amp;"f the case is set with facial recognition devices and touch display screens. The internal fixed partition of the case is set. The utility type is set on the fitness equipment through the fitness equipment. During the exercise, the data of the exercise wil"&amp;"l be recorded, so that the fitness person can accurately know the data of their sports, so as to cooperate with reasonable planning training to achieve scientific and efficient fitness fitness fitness fitness. Effect.")</f>
        <v>This utility model involves the technical field of fitness equipment, which is specifically a artificial intelligence device for the collection of healthy fitness data, including the substrate, the top of the substrate is fixed with the case, the detection shell, and the supporting frame. Installed an infrared sensor, the detection shell is located on the front side of the case. The top of the detection shell is opened with a groove, and the block groove has a weighing sensor and support block. The back of the case is set with facial recognition devices and touch display screens. The internal fixed partition of the case is set. The utility type is set on the fitness equipment through the fitness equipment. During the exercise, the data of the exercise will be recorded, so that the fitness person can accurately know the data of their sports, so as to cooperate with reasonable planning training to achieve scientific and efficient fitness fitness fitness fitness. Effect.</v>
      </c>
      <c r="D1115" s="6" t="s">
        <v>3257</v>
      </c>
      <c r="E1115" s="4" t="str">
        <f ca="1">IFERROR(__xludf.DUMMYFUNCTION("GOOGLETRANSLATE(D1115,""auto"",""en"")"),"An artificial intelligence device for collection of health and fitness data")</f>
        <v>An artificial intelligence device for collection of health and fitness data</v>
      </c>
    </row>
    <row r="1116" spans="1:5" ht="15" x14ac:dyDescent="0.25">
      <c r="A1116" s="5" t="s">
        <v>3258</v>
      </c>
      <c r="B1116" s="6" t="s">
        <v>3259</v>
      </c>
      <c r="C1116" s="3" t="str">
        <f ca="1">IFERROR(__xludf.DUMMYFUNCTION("GOOGLETRANSLATE(B1116,""auto"",""en"")"),"The present invention studies the analysis and measurement of biomechanical movement of human movement, as well as sports gait analysis and it in medical care and health care, auxiliary technology, prosthetic limb and orthopedic device, any sports activit"&amp;"y, industrial human engineering, automotive, national defense application, and applicable applications, and applications. Cyber ​​security in indoor and all -weather outdoor environment (no matter how space). The present invention has disclosed the method"&amp;"s and devices of biomechanical motion that measures sports analysis in any anatomical plane. More specifically, the motion capture system of the edge node of the wearable 3D motion sensor is used to monitor and identify individual activities. The inventio"&amp;"n provides a marginal computing biomechanical data calculation (system on the film) device that can perform local and remote medical care in the analysis of 4G/5G telecommunications network and connected medical Internet of Things (IoT), cloud computing a"&amp;"nd biomechanical data analysis Work. Compared with the available device. The public invention is wearable and portable marginal nodes and edge calculations. It does not require any restricted and special reliable systems, as well as limited laboratories o"&amp;"r specific conditions (indoor or outdoor harsh environment settings). figure 2")</f>
        <v>The present invention studies the analysis and measurement of biomechanical movement of human movement, as well as sports gait analysis and it in medical care and health care, auxiliary technology, prosthetic limb and orthopedic device, any sports activity, industrial human engineering, automotive, national defense application, and applicable applications, and applications. Cyber ​​security in indoor and all -weather outdoor environment (no matter how space). The present invention has disclosed the methods and devices of biomechanical motion that measures sports analysis in any anatomical plane. More specifically, the motion capture system of the edge node of the wearable 3D motion sensor is used to monitor and identify individual activities. The invention provides a marginal computing biomechanical data calculation (system on the film) device that can perform local and remote medical care in the analysis of 4G/5G telecommunications network and connected medical Internet of Things (IoT), cloud computing and biomechanical data analysis Work. Compared with the available device. The public invention is wearable and portable marginal nodes and edge calculations. It does not require any restricted and special reliable systems, as well as limited laboratories or specific conditions (indoor or outdoor harsh environment settings). figure 2</v>
      </c>
      <c r="D1116" s="6" t="s">
        <v>3260</v>
      </c>
      <c r="E1116" s="4" t="str">
        <f ca="1">IFERROR(__xludf.DUMMYFUNCTION("GOOGLETRANSLATE(D1116,""auto"",""en"")"),"""Device and Methods of Biomechanical Movement Analysis, Measurement and Monitoring""")</f>
        <v>"Device and Methods of Biomechanical Movement Analysis, Measurement and Monitoring"</v>
      </c>
    </row>
    <row r="1117" spans="1:5" ht="15" x14ac:dyDescent="0.25">
      <c r="A1117" s="5" t="s">
        <v>3261</v>
      </c>
      <c r="B1117" s="6" t="s">
        <v>3262</v>
      </c>
      <c r="C1117" s="3" t="str">
        <f ca="1">IFERROR(__xludf.DUMMYFUNCTION("GOOGLETRANSLATE(B1117,""auto"",""en"")"),"The present invention involves the field of fitness equipment technology. It is specifically a method and device for artificial intelligence methods for health and fitness data collection, including the substrate, which is fixed with the case, detection s"&amp;"hell, and supporting frame at the top of the substrate. The top is installed with infrared sensors. The detection shell is located on the front side of the case. There is a slot on the top of the detection shell, and the block groove has a weighing sensor"&amp;" and support block. The board, the back of the case is set with a facial recognition device and a touch display screen. The internal fixed partition of the case is set. The present invention has a sports detection device through the fitness equipment. Dur"&amp;"ing the exercise, the data of the exercise will be recorded, so that the fitness person can accurately know the data of their sports, so as to cooperate with reasonable planning training to achieve scientific and efficient fitness fitness fitness fitness."&amp;" Effect.")</f>
        <v>The present invention involves the field of fitness equipment technology. It is specifically a method and device for artificial intelligence methods for health and fitness data collection, including the substrate, which is fixed with the case, detection shell, and supporting frame at the top of the substrate. The top is installed with infrared sensors. The detection shell is located on the front side of the case. There is a slot on the top of the detection shell, and the block groove has a weighing sensor and support block. The board, the back of the case is set with a facial recognition device and a touch display screen. The internal fixed partition of the case is set. The present invention has a sports detection device through the fitness equipment. During the exercise, the data of the exercise will be recorded, so that the fitness person can accurately know the data of their sports, so as to cooperate with reasonable planning training to achieve scientific and efficient fitness fitness fitness fitness. Effect.</v>
      </c>
      <c r="D1117" s="6" t="s">
        <v>3263</v>
      </c>
      <c r="E1117" s="4" t="str">
        <f ca="1">IFERROR(__xludf.DUMMYFUNCTION("GOOGLETRANSLATE(D1117,""auto"",""en"")"),"An artificial intelligence method and device for the collection of health and fitness data")</f>
        <v>An artificial intelligence method and device for the collection of health and fitness data</v>
      </c>
    </row>
    <row r="1118" spans="1:5" ht="15" x14ac:dyDescent="0.25">
      <c r="A1118" s="5" t="s">
        <v>3264</v>
      </c>
      <c r="B1118" s="6" t="s">
        <v>3265</v>
      </c>
      <c r="C1118" s="3" t="str">
        <f ca="1">IFERROR(__xludf.DUMMYFUNCTION("GOOGLETRANSLATE(B1118,""auto"",""en"")"),"The present invention disclosed a method of multi -purpose rotation and calculation based on deep learning, which is a special sports analysis technology field. A multi -eye rotation inertia measurement and calculation method based on deep learning, using"&amp;" multiple high -speed sports cameras to capture the human sports trajectory of the human body, to maximize the integrity of the capture trajectory and real -time, effectively avoid other methods that cannot Ensure the integrity of the motion trajectory, i"&amp;"dentify the key point coordinates of the human body by deep learning -based methods, accurate multi -camera intercourse, and efficiently solve the motion trajectory of all parts of the human body, and calculate the rotation inertia in the process of human"&amp;" movement.")</f>
        <v>The present invention disclosed a method of multi -purpose rotation and calculation based on deep learning, which is a special sports analysis technology field. A multi -eye rotation inertia measurement and calculation method based on deep learning, using multiple high -speed sports cameras to capture the human sports trajectory of the human body, to maximize the integrity of the capture trajectory and real -time, effectively avoid other methods that cannot Ensure the integrity of the motion trajectory, identify the key point coordinates of the human body by deep learning -based methods, accurate multi -camera intercourse, and efficiently solve the motion trajectory of all parts of the human body, and calculate the rotation inertia in the process of human movement.</v>
      </c>
      <c r="D1118" s="6" t="s">
        <v>3266</v>
      </c>
      <c r="E1118" s="4" t="str">
        <f ca="1">IFERROR(__xludf.DUMMYFUNCTION("GOOGLETRANSLATE(D1118,""auto"",""en"")"),"A method of multi -purpose rotation and calculation method based on deep learning")</f>
        <v>A method of multi -purpose rotation and calculation method based on deep learning</v>
      </c>
    </row>
    <row r="1119" spans="1:5" ht="15" x14ac:dyDescent="0.25">
      <c r="A1119" s="5" t="s">
        <v>3267</v>
      </c>
      <c r="B1119" s="6" t="s">
        <v>3268</v>
      </c>
      <c r="C1119" s="3" t="str">
        <f ca="1">IFERROR(__xludf.DUMMYFUNCTION("GOOGLETRANSLATE(B1119,""auto"",""en"")"),"23 Abstract revealed the system of equipment, architecture and methods to promote supporting sustainable global digital economy on multiple distributed devices in different jurisdictions, and use different platforms through the following ways Different pu"&amp;"blic users provide reliable, secure, secure, and sustainable digital companies, including private enterprises, and purchase and sell access packages, digital economy and social resources with other digital economic platform systems when necessary. Assume "&amp;"that security data can be obtained on the device or in the device or in some intermediate gateway devices on the device or the standardization of the country or the international Internet of Things standardized. Suppose relevant state and regional regulat"&amp;"ory agencies are inspected and authorized to import and install the Internet of Things and gateway equipment. These equipment provides access rights according to their own laws, which may be combined with access control equipment, and these institutions o"&amp;"nly authorize OEM to provide their IoT products after use. The appropriate standardized firmware/software is operated, and only allows legally authorized access through such methods agreed with regulatory agencies, and controls individual participants, en"&amp;"terprises and/or organizations who own and/or install such safety equipment according to themselves according to themselves according to themselves. Extra security visits to implement, as well as in accordance with the law. The facilities for the generate"&amp;"d records will allow the regulatory chain control for the purpose of auditing. The data model reflects the operation of the system as a purchase tool, tool provider, and bill exchange. It is used to match a variety of currencies and related transaction ba"&amp;"ndwidth. This is what its user needs There must be only a shortage of shortage or excessive demand) and the outside of multiple platforms and jurisdictions of the Flowmake system. It needs to support all functions that provide reliable and stable services"&amp;". Among them, services are both technology (network) and financial (bank authorities, banking services, foreign exchange services), and meet the legal requirements of relevant regulatory systems and institutions. Therefore, the functions will include: the"&amp;" interaction between audit users and the system, and the modeling environment for service users and system operators, predicting rectification and/ or insufficient design pricing packages, as well as seeking, authorizing and providing/ or actively connect"&amp;"ing other judicial connection with other judicial connection New transaction resources provided by monetary platforms in jurisdiction. It will also include A enhanced customer/service search, and use existing configuration files to identify business devel"&amp;"opment opportunities. The platform supplements the regulatory environment of ""Authstack"" and supports the functions of any blockchain usage. Therefore Health, and uses the systemic and audit contract (direct license model of expansion security) to manag"&amp;"e transactions based on the system created by the blockchain. Therefore, when there is a highly reliable identification process and it requires or must maintain a global accessible time -accessible time -available time -accessible time -accessible passing"&amp;" through time, it will play the best role to achieve high -quality timing to achieve flow flow to achieve streaming Coordination and data from global reference integrity participating in blockchain management transmission and evaluation are used for audit"&amp;"ing and evidence -related functions. Such different assets and processes may be controlled or generated by different professional knowledge sources of different roles, and supported by a safe and configured blockchain coordination tools to be used for rig"&amp;"hts protection, auditing tracking and direct coupling blockchain payment payment And resource management and access control. system. If the regulatory system operating in the jurisdiction is clearly allowed, the platform can be set as monopoly enterprises"&amp;". It can be imagined that in this case and the most likely, the government that supports transaction bandwidth transactions will also formulate policies and legislation to prevent, reduce, or at least measure the use of user categories that may face risks"&amp;". Specifically, sometimes it is found that young gamers from lower socio -economic backgrounds have the risk of addiction to games. If government procedures cannot ensure full education of risks, monitoring, protection and/or full and effective incentive "&amp;"measures to ensure that children are particularly effective in ensuring the education and experience required for normal and healthy development. Because the supervisor of the enterprise model centered on people's health as a part of any profit opportunit"&amp;"y is likely to be found to be lacking by the voting members, the specifications of the present invention especially include the connection with the health promotion function. It should not underestimate the further cost of the society in terms of mental h"&amp;"ealth and physical disease burden (obesity).")</f>
        <v>23 Abstract revealed the system of equipment, architecture and methods to promote supporting sustainable global digital economy on multiple distributed devices in different jurisdictions, and use different platforms through the following ways Different public users provide reliable, secure, secure, and sustainable digital companies, including private enterprises, and purchase and sell access packages, digital economy and social resources with other digital economic platform systems when necessary. Assume that security data can be obtained on the device or in the device or in some intermediate gateway devices on the device or the standardization of the country or the international Internet of Things standardized. Suppose relevant state and regional regulatory agencies are inspected and authorized to import and install the Internet of Things and gateway equipment. These equipment provides access rights according to their own laws, which may be combined with access control equipment, and these institutions only authorize OEM to provide their IoT products after use. The appropriate standardized firmware/software is operated, and only allows legally authorized access through such methods agreed with regulatory agencies, and controls individual participants, enterprises and/or organizations who own and/or install such safety equipment according to themselves according to themselves according to themselves. Extra security visits to implement, as well as in accordance with the law. The facilities for the generated records will allow the regulatory chain control for the purpose of auditing. The data model reflects the operation of the system as a purchase tool, tool provider, and bill exchange. It is used to match a variety of currencies and related transaction bandwidth. This is what its user needs There must be only a shortage of shortage or excessive demand) and the outside of multiple platforms and jurisdictions of the Flowmake system. It needs to support all functions that provide reliable and stable services. Among them, services are both technology (network) and financial (bank authorities, banking services, foreign exchange services), and meet the legal requirements of relevant regulatory systems and institutions. Therefore, the functions will include: the interaction between audit users and the system, and the modeling environment for service users and system operators, predicting rectification and/ or insufficient design pricing packages, as well as seeking, authorizing and providing/ or actively connecting other judicial connection with other judicial connection New transaction resources provided by monetary platforms in jurisdiction. It will also include A enhanced customer/service search, and use existing configuration files to identify business development opportunities. The platform supplements the regulatory environment of "Authstack" and supports the functions of any blockchain usage. Therefore Health, and uses the systemic and audit contract (direct license model of expansion security) to manage transactions based on the system created by the blockchain. Therefore, when there is a highly reliable identification process and it requires or must maintain a global accessible time -accessible time -available time -accessible time -accessible passing through time, it will play the best role to achieve high -quality timing to achieve flow flow to achieve streaming Coordination and data from global reference integrity participating in blockchain management transmission and evaluation are used for auditing and evidence -related functions. Such different assets and processes may be controlled or generated by different professional knowledge sources of different roles, and supported by a safe and configured blockchain coordination tools to be used for rights protection, auditing tracking and direct coupling blockchain payment payment And resource management and access control. system. If the regulatory system operating in the jurisdiction is clearly allowed, the platform can be set as monopoly enterprises. It can be imagined that in this case and the most likely, the government that supports transaction bandwidth transactions will also formulate policies and legislation to prevent, reduce, or at least measure the use of user categories that may face risks. Specifically, sometimes it is found that young gamers from lower socio -economic backgrounds have the risk of addiction to games. If government procedures cannot ensure full education of risks, monitoring, protection and/or full and effective incentive measures to ensure that children are particularly effective in ensuring the education and experience required for normal and healthy development. Because the supervisor of the enterprise model centered on people's health as a part of any profit opportunity is likely to be found to be lacking by the voting members, the specifications of the present invention especially include the connection with the health promotion function. It should not underestimate the further cost of the society in terms of mental health and physical disease burden (obesity).</v>
      </c>
      <c r="D1119" s="6" t="s">
        <v>3269</v>
      </c>
      <c r="E1119" s="4" t="str">
        <f ca="1">IFERROR(__xludf.DUMMYFUNCTION("GOOGLETRANSLATE(D1119,""auto"",""en"")"),"Flowmake: Equipment, architecture and method system for marketing transaction bandwidth bags, provides reliable, safe and sustainable digital enterprises, including various public users including private enterprises, and buy and sell with other digital ec"&amp;"onomies when necessary The platform system access package to ensure that platform users continue to provide high -efficiency, reliable and secure signing services. Regulatory agencies can monitor the operation of the platform and ensure the sustainable an"&amp;"d healthy health of infrastructure, digital economy and social resources.")</f>
        <v>Flowmake: Equipment, architecture and method system for marketing transaction bandwidth bags, provides reliable, safe and sustainable digital enterprises, including various public users including private enterprises, and buy and sell with other digital economies when necessary The platform system access package to ensure that platform users continue to provide high -efficiency, reliable and secure signing services. Regulatory agencies can monitor the operation of the platform and ensure the sustainable and healthy health of infrastructure, digital economy and social resources.</v>
      </c>
    </row>
    <row r="1120" spans="1:5" ht="15" x14ac:dyDescent="0.25">
      <c r="A1120" s="5" t="s">
        <v>3270</v>
      </c>
      <c r="B1120" s="6" t="s">
        <v>3271</v>
      </c>
      <c r="C1120" s="3" t="str">
        <f ca="1">IFERROR(__xludf.DUMMYFUNCTION("GOOGLETRANSLATE(B1120,""auto"",""en"")"),"The present invention disclosed a cross -column rack based on athletes based on smart Internet of Things, including the base, which is set on the ground symmetrical. The sliding connection of the channel has the first framework and the second framework, a"&amp;"nd the first framework and the second framework are staggered. When the second framework is dumped, the motor is rotated, and the power of the electromagnet is powered. Move on the motor shaft, so that the protruding block on the side of the rotor and the"&amp;" combined block on the second active gear to connect the card to connect the rotation of the second active gear. During the rotation process, the second tooth will drive the second tooth The chain is carried out, so as to drive the second framework to mov"&amp;"e to the right position on the base, so that when the athlete exercises, you can not worry about the training time of the training because of the dumped column frame, thereby increasing the long mobilization movement movement s efficiency.")</f>
        <v>The present invention disclosed a cross -column rack based on athletes based on smart Internet of Things, including the base, which is set on the ground symmetrical. The sliding connection of the channel has the first framework and the second framework, and the first framework and the second framework are staggered. When the second framework is dumped, the motor is rotated, and the power of the electromagnet is powered. Move on the motor shaft, so that the protruding block on the side of the rotor and the combined block on the second active gear to connect the card to connect the rotation of the second active gear. During the rotation process, the second tooth will drive the second tooth The chain is carried out, so as to drive the second framework to move to the right position on the base, so that when the athlete exercises, you can not worry about the training time of the training because of the dumped column frame, thereby increasing the long mobilization movement movement s efficiency.</v>
      </c>
      <c r="D1120" s="6" t="s">
        <v>3272</v>
      </c>
      <c r="E1120" s="4" t="str">
        <f ca="1">IFERROR(__xludf.DUMMYFUNCTION("GOOGLETRANSLATE(D1120,""auto"",""en"")"),"A cross -rack rack and usage method based on athletes based on smart Internet of Things")</f>
        <v>A cross -rack rack and usage method based on athletes based on smart Internet of Things</v>
      </c>
    </row>
    <row r="1121" spans="1:5" ht="15" x14ac:dyDescent="0.25">
      <c r="A1121" s="5" t="s">
        <v>3273</v>
      </c>
      <c r="B1121" s="6" t="s">
        <v>3274</v>
      </c>
      <c r="C1121" s="3" t="str">
        <f ca="1">IFERROR(__xludf.DUMMYFUNCTION("GOOGLETRANSLATE(B1121,""auto"",""en"")"),"The present invention involves a device and method that uses CGAM to identify activities in sports videos.
  Video that can be analyzed by frame by frame by using CGAM to identify the activity in sports videos based on the present invention, and pay att"&amp;"ention to the importance of scores in the time module (TAM). Among them The extraction unit, the first feature value of the focusing module (CBAM) and the first feature value of each space between each convolutional block and the different object informat"&amp;"ion of the output of the focusing module from the different objects output from each space feature. The second feature value of the CGAM output is multiplied with the generated CGAM to extract the object feature value; the activity feature extraction unit"&amp;", the extraction object feature value enters the cyclic neural network (RNN) and the full connection (FC) layer in turn, and according to the layer of the connection (FC) layer, and according to The probability value of each activity estimated by using th"&amp;"e Sigmoid function is classified to the final activity. Including")</f>
        <v>The present invention involves a device and method that uses CGAM to identify activities in sports videos.
  Video that can be analyzed by frame by frame by using CGAM to identify the activity in sports videos based on the present invention, and pay attention to the importance of scores in the time module (TAM). Among them The extraction unit, the first feature value of the focusing module (CBAM) and the first feature value of each space between each convolutional block and the different object information of the output of the focusing module from the different objects output from each space feature. The second feature value of the CGAM output is multiplied with the generated CGAM to extract the object feature value; the activity feature extraction unit, the extraction object feature value enters the cyclic neural network (RNN) and the full connection (FC) layer in turn, and according to the layer of the connection (FC) layer, and according to The probability value of each activity estimated by using the Sigmoid function is classified to the final activity. Including</v>
      </c>
      <c r="D1121" s="6" t="s">
        <v>2854</v>
      </c>
      <c r="E1121" s="4" t="str">
        <f ca="1">IFERROR(__xludf.DUMMYFUNCTION("GOOGLETRANSLATE(D1121,""auto"",""en"")"),"Use CGAM to identify the installation and method of activities in sports videos")</f>
        <v>Use CGAM to identify the installation and method of activities in sports videos</v>
      </c>
    </row>
    <row r="1122" spans="1:5" ht="15" x14ac:dyDescent="0.25">
      <c r="A1122" s="5" t="s">
        <v>3275</v>
      </c>
      <c r="B1122" s="6" t="s">
        <v>3276</v>
      </c>
      <c r="C1122" s="3" t="str">
        <f ca="1">IFERROR(__xludf.DUMMYFUNCTION("GOOGLETRANSLATE(B1122,""auto"",""en"")"),"1. Design product name: The display screen panel with a process display user interface.
 2. The purpose of designing products in this exterior: The display screen panels designed in this exterior are used for display user interfaces on computers, televi"&amp;"sion, tablets, mobile phones, or smart watches.
 3. Design of the design of the product in appearance: lies in the graphic user interface.
 4. Pictures or photos that can best show design: Design 1 main view.
 5. Specify design 1 is the basic design"&amp;".
 6. The purpose of the graphical user interface: The interface is used to display the time and the ranking of each team during the team game.
 7. Human -computer interaction method of graphical user interface: In each design, the main view is the ma"&amp;"in interface of the display screen panel. The user can slide the time card in the middle of the main interface, which can adjust the displayed time value.
 8. Design 2 Requesting for protection design contains color.")</f>
        <v>1. Design product name: The display screen panel with a process display user interface.
 2. The purpose of designing products in this exterior: The display screen panels designed in this exterior are used for display user interfaces on computers, television, tablets, mobile phones, or smart watches.
 3. Design of the design of the product in appearance: lies in the graphic user interface.
 4. Pictures or photos that can best show design: Design 1 main view.
 5. Specify design 1 is the basic design.
 6. The purpose of the graphical user interface: The interface is used to display the time and the ranking of each team during the team game.
 7. Human -computer interaction method of graphical user interface: In each design, the main view is the main interface of the display screen panel. The user can slide the time card in the middle of the main interface, which can adjust the displayed time value.
 8. Design 2 Requesting for protection design contains color.</v>
      </c>
      <c r="D1122" s="6" t="s">
        <v>3277</v>
      </c>
      <c r="E1122" s="4" t="str">
        <f ca="1">IFERROR(__xludf.DUMMYFUNCTION("GOOGLETRANSLATE(D1122,""auto"",""en"")"),"Display screen panel with a process display graphical user interface")</f>
        <v>Display screen panel with a process display graphical user interface</v>
      </c>
    </row>
    <row r="1123" spans="1:5" ht="15" x14ac:dyDescent="0.25">
      <c r="A1123" s="5" t="s">
        <v>3278</v>
      </c>
      <c r="B1123" s="6" t="s">
        <v>3279</v>
      </c>
      <c r="C1123" s="3" t="str">
        <f ca="1">IFERROR(__xludf.DUMMYFUNCTION("GOOGLETRANSLATE(B1123,""auto"",""en"")"),"The present invention disclosed an artificial intelligence -based shot shot score record system. It is a preparatory area and a score area in the throwing site. There is a throwing starting line in the preparation area. The n athletes in the throwing venu"&amp;"e are wearing different number plates in the order in order in order, and there are industrial control machines, displays and speakers on one side of the throwing site; , Number matching module, chronograph module, personnel location detection module, ill"&amp;"egal detection module, trajectory detection module, landing site detection module and performance output module. The invention uses artificial intelligence to achieve intelligent measurement of throwing distance, thereby improving the accuracy and fairnes"&amp;"s of measurement.")</f>
        <v>The present invention disclosed an artificial intelligence -based shot shot score record system. It is a preparatory area and a score area in the throwing site. There is a throwing starting line in the preparation area. The n athletes in the throwing venue are wearing different number plates in the order in order in order, and there are industrial control machines, displays and speakers on one side of the throwing site; , Number matching module, chronograph module, personnel location detection module, illegal detection module, trajectory detection module, landing site detection module and performance output module. The invention uses artificial intelligence to achieve intelligent measurement of throwing distance, thereby improving the accuracy and fairness of measurement.</v>
      </c>
      <c r="D1123" s="6" t="s">
        <v>3280</v>
      </c>
      <c r="E1123" s="4" t="str">
        <f ca="1">IFERROR(__xludf.DUMMYFUNCTION("GOOGLETRANSLATE(D1123,""auto"",""en"")"),"A record system based on artificial intelligence throwing shot performance records")</f>
        <v>A record system based on artificial intelligence throwing shot performance records</v>
      </c>
    </row>
    <row r="1124" spans="1:5" ht="15" x14ac:dyDescent="0.25">
      <c r="A1124" s="5" t="s">
        <v>3281</v>
      </c>
      <c r="B1124" s="6" t="s">
        <v>3282</v>
      </c>
      <c r="C1124" s="3" t="str">
        <f ca="1">IFERROR(__xludf.DUMMYFUNCTION("GOOGLETRANSLATE(B1124,""auto"",""en"")"),"The present invention disclosed an artificial intelligence -based rope -skipping counting system, including: industrial control machines, cameras, speakers, and displays to count the rope skipper athletes in the designated area; set up data collection mod"&amp;"ules, instruction modules, athletes on the industrial control machine Detection module, pre -processing module, illegal detection module, counting module, alarm module and score output module. The present invention can use artificial intelligence to achie"&amp;"ve intelligent counting of rope skipping counts, thereby reducing human counting errors and ensuring the accuracy and fairness of rope jump counting.")</f>
        <v>The present invention disclosed an artificial intelligence -based rope -skipping counting system, including: industrial control machines, cameras, speakers, and displays to count the rope skipper athletes in the designated area; set up data collection modules, instruction modules, athletes on the industrial control machine Detection module, pre -processing module, illegal detection module, counting module, alarm module and score output module. The present invention can use artificial intelligence to achieve intelligent counting of rope skipping counts, thereby reducing human counting errors and ensuring the accuracy and fairness of rope jump counting.</v>
      </c>
      <c r="D1124" s="6" t="s">
        <v>3283</v>
      </c>
      <c r="E1124" s="4" t="str">
        <f ca="1">IFERROR(__xludf.DUMMYFUNCTION("GOOGLETRANSLATE(D1124,""auto"",""en"")"),"An artificial intelligence -based rope -skipping counting system")</f>
        <v>An artificial intelligence -based rope -skipping counting system</v>
      </c>
    </row>
    <row r="1125" spans="1:5" ht="15" x14ac:dyDescent="0.25">
      <c r="A1125" s="5" t="s">
        <v>3284</v>
      </c>
      <c r="B1125" s="6" t="s">
        <v>3285</v>
      </c>
      <c r="C1125" s="3" t="str">
        <f ca="1">IFERROR(__xludf.DUMMYFUNCTION("GOOGLETRANSLATE(B1125,""auto"",""en"")"),"The automatic memory system can automatically identify and present content items that match the natural language (NL) input with the user. The automatic memory system can calculate the matching scores between each of the NL input and each of the potential"&amp;" memory content items. The automatic memory system can use a variety of algorithms and/or machine learning models to calculate the matching scores, such as the image/NL matching process to obtain the first matching score, the label matching process to obt"&amp;"ain the second match score and/or the first and second games Combat score of the competition score. The automatic memory system can select one or more content items with the highest matching score. The automatic memory system can provide selected content "&amp;"items, such as providing users to recommend them, automatically display or play them, insert them into the dialogue thread, etc.")</f>
        <v>The automatic memory system can automatically identify and present content items that match the natural language (NL) input with the user. The automatic memory system can calculate the matching scores between each of the NL input and each of the potential memory content items. The automatic memory system can use a variety of algorithms and/or machine learning models to calculate the matching scores, such as the image/NL matching process to obtain the first matching score, the label matching process to obtain the second match score and/or the first and second games Combat score of the competition score. The automatic memory system can select one or more content items with the highest matching score. The automatic memory system can provide selected content items, such as providing users to recommend them, automatically display or play them, insert them into the dialogue thread, etc.</v>
      </c>
      <c r="D1125" s="6" t="s">
        <v>3286</v>
      </c>
      <c r="E1125" s="4" t="str">
        <f ca="1">IFERROR(__xludf.DUMMYFUNCTION("GOOGLETRANSLATE(D1125,""auto"",""en"")"),"Automatic memory content item configuration")</f>
        <v>Automatic memory content item configuration</v>
      </c>
    </row>
    <row r="1126" spans="1:5" ht="15" x14ac:dyDescent="0.25">
      <c r="A1126" s="5" t="s">
        <v>3287</v>
      </c>
      <c r="B1126" s="6" t="s">
        <v>3288</v>
      </c>
      <c r="C1126" s="3" t="str">
        <f ca="1">IFERROR(__xludf.DUMMYFUNCTION("GOOGLETRANSLATE(B1126,""auto"",""en"")"),"The present invention disclosed the action evaluation method and system and devices and medium based on fitness teaching training. It involves the field of fitness, obtaining fitness videos, presets in fitness videos with standard gestures; Obtain the fra"&amp;"me images corresponding to the continuous time corresponding to the fitness videos; identify several user attitude corresponding to the frame images in the consecutive time in this time; compare the attitude and standard posture of several users, and dete"&amp;"rmine whether the user's attitude is the same type as the standard posture. When comparing the present invention, the model is constructed through convolutional neural networks, and the 16 key points of the human body and its corresponding two -dimensiona"&amp;"l position coordinates are recognized. Use efficiency.")</f>
        <v>The present invention disclosed the action evaluation method and system and devices and medium based on fitness teaching training. It involves the field of fitness, obtaining fitness videos, presets in fitness videos with standard gestures; Obtain the frame images corresponding to the continuous time corresponding to the fitness videos; identify several user attitude corresponding to the frame images in the consecutive time in this time; compare the attitude and standard posture of several users, and determine whether the user's attitude is the same type as the standard posture. When comparing the present invention, the model is constructed through convolutional neural networks, and the 16 key points of the human body and its corresponding two -dimensional position coordinates are recognized. Use efficiency.</v>
      </c>
      <c r="D1126" s="6" t="s">
        <v>3289</v>
      </c>
      <c r="E1126" s="4" t="str">
        <f ca="1">IFERROR(__xludf.DUMMYFUNCTION("GOOGLETRANSLATE(D1126,""auto"",""en"")"),"Action evaluation methods and systems and media based on fitness teaching training")</f>
        <v>Action evaluation methods and systems and media based on fitness teaching training</v>
      </c>
    </row>
    <row r="1127" spans="1:5" ht="15" x14ac:dyDescent="0.25">
      <c r="A1127" s="5" t="s">
        <v>3290</v>
      </c>
      <c r="B1127" s="6" t="s">
        <v>3291</v>
      </c>
      <c r="C1127" s="3" t="str">
        <f ca="1">IFERROR(__xludf.DUMMYFUNCTION("GOOGLETRANSLATE(B1127,""auto"",""en"")"),"Tennis competition simulation system is equipped with smart rackets in the background of the Internet of Things (IoT). Using this system, real -time competitions can be carried out virtual, unrestrained by location, and can play between players in differe"&amp;"nt countries without going to a place, and using these rackets during training are virtual real environment. The system uses sensors to detect the human body's motion mode, and detect the angle of the joints (such as the angle of the shoulder and elbow jo"&amp;"int) by the inertia sensor and analyze the acceleration. All movements, exercise -related behaviors, and the methods of gripping and hitting the ball in three main directions X, Y and Z have been carefully evaluated.")</f>
        <v>Tennis competition simulation system is equipped with smart rackets in the background of the Internet of Things (IoT). Using this system, real -time competitions can be carried out virtual, unrestrained by location, and can play between players in different countries without going to a place, and using these rackets during training are virtual real environment. The system uses sensors to detect the human body's motion mode, and detect the angle of the joints (such as the angle of the shoulder and elbow joint) by the inertia sensor and analyze the acceleration. All movements, exercise -related behaviors, and the methods of gripping and hitting the ball in three main directions X, Y and Z have been carefully evaluated.</v>
      </c>
      <c r="D1127" s="6" t="s">
        <v>3292</v>
      </c>
      <c r="E1127" s="4" t="str">
        <f ca="1">IFERROR(__xludf.DUMMYFUNCTION("GOOGLETRANSLATE(D1127,""auto"",""en"")"),"Tennis competition simulation system equipped with smart rackets")</f>
        <v>Tennis competition simulation system equipped with smart rackets</v>
      </c>
    </row>
    <row r="1128" spans="1:5" ht="15" x14ac:dyDescent="0.25">
      <c r="A1128" s="5" t="s">
        <v>3293</v>
      </c>
      <c r="B1128" s="6" t="s">
        <v>3294</v>
      </c>
      <c r="C1128" s="3" t="str">
        <f ca="1">IFERROR(__xludf.DUMMYFUNCTION("GOOGLETRANSLATE(B1128,""auto"",""en"")"),"The present invention involves a prediction method for the performance of tennis players based on the improvement of long -term memory neural networks. This method includes the following steps: step 1, collect the relevant characteristic indicators of ten"&amp;"nis players; step 2, set the data of the step 1 with different quantitative outlines and measuring units for amnowned processing; step 3, design improved long and short -term memory nerve nerves Online tennis player performance prediction model; step 4: t"&amp;"raining improved long -term memory neural network tennis players' performance prediction model; step 5: dynamically adjust the weight coefficient according to historical information data during the prediction stage; step 6, the design is completed based o"&amp;"n the improvement of long -term improvement, long -term, short -term Memory neural network tennis players' performance prediction model is practically applied. On the basis of the long -term neural network output door, the invention connects the input doo"&amp;"r to the output door through the characteristics of the sample characteristics, which can make the network model learn long -term historical information, enhance the accuracy and robustness of the network, and achieve tennis Athlete's performance predicti"&amp;"on.")</f>
        <v>The present invention involves a prediction method for the performance of tennis players based on the improvement of long -term memory neural networks. This method includes the following steps: step 1, collect the relevant characteristic indicators of tennis players; step 2, set the data of the step 1 with different quantitative outlines and measuring units for amnowned processing; step 3, design improved long and short -term memory nerve nerves Online tennis player performance prediction model; step 4: training improved long -term memory neural network tennis players' performance prediction model; step 5: dynamically adjust the weight coefficient according to historical information data during the prediction stage; step 6, the design is completed based on the improvement of long -term improvement, long -term, short -term Memory neural network tennis players' performance prediction model is practically applied. On the basis of the long -term neural network output door, the invention connects the input door to the output door through the characteristics of the sample characteristics, which can make the network model learn long -term historical information, enhance the accuracy and robustness of the network, and achieve tennis Athlete's performance prediction.</v>
      </c>
      <c r="D1128" s="6" t="s">
        <v>3295</v>
      </c>
      <c r="E1128" s="4" t="str">
        <f ca="1">IFERROR(__xludf.DUMMYFUNCTION("GOOGLETRANSLATE(D1128,""auto"",""en"")"),"A method of prediction prediction of tennis players based on improving long and short -term memory neural networks")</f>
        <v>A method of prediction prediction of tennis players based on improving long and short -term memory neural networks</v>
      </c>
    </row>
    <row r="1129" spans="1:5" ht="15" x14ac:dyDescent="0.25">
      <c r="A1129" s="5" t="s">
        <v>3296</v>
      </c>
      <c r="B1129" s="6" t="s">
        <v>3297</v>
      </c>
      <c r="C1129" s="3" t="str">
        <f ca="1">IFERROR(__xludf.DUMMYFUNCTION("GOOGLETRANSLATE(B1129,""auto"",""en"")"),"The present invention discloses an outdoor fitness equipment with a record parameter function, including tracking the shooting device, the left base, the right base, the pedal mechanism between the left base and the right base; Including electrical boxes,"&amp;" limited frames, one, thrust measurement mechanism, one and anti -slip mechanism; the right base includes heavy boxes, limit box 2, thrust detection institution two and anti -slip mechanism two. There are measuring rods and measuring rods two within the s"&amp;"econd frame 2; the rear side of the electrical box is set with a controller, the internal setting of the electrical box is a battery and the Internet of Things communication module. Back battery. The invention can record the weight of the user and the dat"&amp;"a of the legs during exercise, the wind direction data of the wind during exercise, the action image information in the process of exercise, and the combination of various parameters of the controller. On the Internet, users can get specific data informat"&amp;"ion at any time.")</f>
        <v>The present invention discloses an outdoor fitness equipment with a record parameter function, including tracking the shooting device, the left base, the right base, the pedal mechanism between the left base and the right base; Including electrical boxes, limited frames, one, thrust measurement mechanism, one and anti -slip mechanism; the right base includes heavy boxes, limit box 2, thrust detection institution two and anti -slip mechanism two. There are measuring rods and measuring rods two within the second frame 2; the rear side of the electrical box is set with a controller, the internal setting of the electrical box is a battery and the Internet of Things communication module. Back battery. The invention can record the weight of the user and the data of the legs during exercise, the wind direction data of the wind during exercise, the action image information in the process of exercise, and the combination of various parameters of the controller. On the Internet, users can get specific data information at any time.</v>
      </c>
      <c r="D1129" s="6" t="s">
        <v>3298</v>
      </c>
      <c r="E1129" s="4" t="str">
        <f ca="1">IFERROR(__xludf.DUMMYFUNCTION("GOOGLETRANSLATE(D1129,""auto"",""en"")"),"An outdoor fitness equipment with record parameter function")</f>
        <v>An outdoor fitness equipment with record parameter function</v>
      </c>
    </row>
    <row r="1130" spans="1:5" ht="15" x14ac:dyDescent="0.25">
      <c r="A1130" s="5" t="s">
        <v>3299</v>
      </c>
      <c r="B1130" s="6" t="s">
        <v>3300</v>
      </c>
      <c r="C1130" s="3" t="str">
        <f ca="1">IFERROR(__xludf.DUMMYFUNCTION("GOOGLETRANSLATE(B1130,""auto"",""en"")"),"1. Design product name: Display screen panel with sports health module graphics user interface.
 2. The purpose of designing products in this exterior: It is used to monitor user health data, control home appliance mode, and display graphic user interfa"&amp;"ce. The display screen panel is used for smart watches.
 3. Design of the design of the product in this appearance: lies in the product's graphics user interface content.
 4. Pictures or photos that can most indicate design points: main view.
 5. Th"&amp;"ere is no design point for other views, omitting other views.
 6. The purpose of graphical user interface: To monitor the user's health data and control home appliance mode through human -computer interaction operations.
 7. Change status of graphics "&amp;"user interface explanation: The main view is the main interface; the interface changes state Figure 1 is to slide up the main view of the upward, enter the interface of the application center; ""Enter the interface of the motion module; the interface chan"&amp;"ge state Figure 3 is the arrow on the right side of"" Outdoor Running ""in the click Interface Change Status 2 to enter the interface of the outdoor running data to start monitoring outdoor running data; The interface of the motion preparation countdown; "&amp;"the interface change state Figure 5 is the interface of the real -time state data of the outdoor running outdoor running after the countdown is over; Interface; interface change state Figure 7 is the changing state changes of the upward interface Figure 6"&amp;", enter the interface of monitoring consumption of calories; In order to click the ""speaker"" icon below in Figure 8, enter the interface of the volume; the interface change status Figure 10 is the changing state change state of the left sliding interfac"&amp;"e. In order to click the ""pause"" icon on the lower left side of the interface change state, enter the interface of whether to choose whether to end the movement; The interface of the report failed; the interface change state Figure 13 is the ""pair"" ic"&amp;"on in the right side of the click interface change status. The interface of the details of the time to enter the exercise; the interface change state Figure 15 is the changing state of the upward sliding interface. Figure 14, enter the interface of the ov"&amp;"erall data of outdoor running; The interface of the status overview; the interface change state Figure 17 is the changing state of the upward sliding interface. Figure 16, enter the interface of the health proposal; 19 To click the first icon after ""heal"&amp;"th"" in the left side of the interface change state to enter the interface of the sleep data; the interface change state Figure 20 is the transformation of the upward interface to the state. State Figure 21 is the second icon after the ""healthy"" on the "&amp;"left side of the ""health"" in the clicks of the interface changes to enter the interface of the heart rate data; ; The interface change state Figure 23 is the ""home appliance"" on the left side of the click interface change state, enter the interface of"&amp;" the sleep mode and the home mode in the Zhijia scene; The interface of the home mode and the wattering mode in the family scene; the interface change state Figure 25 is the changing state of the upward sliding interface. Figure 24, enter the interface of"&amp;" the movie viewing mode in the intellectual scene; ""Sleep mode"", enter the interface that enables the sleep mode; interface change state Figure 27 is the first icon after the ""home appliances"" on the left side of the click interface change state, ente"&amp;"r the interface of the home appliance equipment; Swipe up the interface change state Figure 27, enter the interface of running the washing machine and water purifier; the interface change state Figure 29 is the arrow on the right side of the ""master bedr"&amp;"oom air conditioner operation"" in the click interface change state to enter the interface of the running air conditioner; The interface change state Figure 30 is the blue rings icon in the clicks of the interface change status. 27 to enter the interface "&amp;"of the voice instruction;")</f>
        <v>1. Design product name: Display screen panel with sports health module graphics user interface.
 2. The purpose of designing products in this exterior: It is used to monitor user health data, control home appliance mode, and display graphic user interface. The display screen panel is used for smart watches.
 3. Design of the design of the product in this appearance: lies in the product's graphics user interface content.
 4. Pictures or photos that can most indicate design points: main view.
 5. There is no design point for other views, omitting other views.
 6. The purpose of graphical user interface: To monitor the user's health data and control home appliance mode through human -computer interaction operations.
 7. Change status of graphics user interface explanation: The main view is the main interface; the interface changes state Figure 1 is to slide up the main view of the upward, enter the interface of the application center; "Enter the interface of the motion module; the interface change state Figure 3 is the arrow on the right side of" Outdoor Running "in the click Interface Change Status 2 to enter the interface of the outdoor running data to start monitoring outdoor running data; The interface of the motion preparation countdown; the interface change state Figure 5 is the interface of the real -time state data of the outdoor running outdoor running after the countdown is over; Interface; interface change state Figure 7 is the changing state changes of the upward interface Figure 6, enter the interface of monitoring consumption of calories; In order to click the "speaker" icon below in Figure 8, enter the interface of the volume; the interface change status Figure 10 is the changing state change state of the left sliding interface. In order to click the "pause" icon on the lower left side of the interface change state, enter the interface of whether to choose whether to end the movement; The interface of the report failed; the interface change state Figure 13 is the "pair" icon in the right side of the click interface change status. The interface of the details of the time to enter the exercise; the interface change state Figure 15 is the changing state of the upward sliding interface. Figure 14, enter the interface of the overall data of outdoor running; The interface of the status overview; the interface change state Figure 17 is the changing state of the upward sliding interface. Figure 16, enter the interface of the health proposal; 19 To click the first icon after "health" in the left side of the interface change state to enter the interface of the sleep data; the interface change state Figure 20 is the transformation of the upward interface to the state. State Figure 21 is the second icon after the "healthy" on the left side of the "health" in the clicks of the interface changes to enter the interface of the heart rate data; ; The interface change state Figure 23 is the "home appliance" on the left side of the click interface change state, enter the interface of the sleep mode and the home mode in the Zhijia scene; The interface of the home mode and the wattering mode in the family scene; the interface change state Figure 25 is the changing state of the upward sliding interface. Figure 24, enter the interface of the movie viewing mode in the intellectual scene; "Sleep mode", enter the interface that enables the sleep mode; interface change state Figure 27 is the first icon after the "home appliances" on the left side of the click interface change state, enter the interface of the home appliance equipment; Swipe up the interface change state Figure 27, enter the interface of running the washing machine and water purifier; the interface change state Figure 29 is the arrow on the right side of the "master bedroom air conditioner operation" in the click interface change state to enter the interface of the running air conditioner; The interface change state Figure 30 is the blue rings icon in the clicks of the interface change status. 27 to enter the interface of the voice instruction;</v>
      </c>
      <c r="D1130" s="6" t="s">
        <v>3301</v>
      </c>
      <c r="E1130" s="4" t="str">
        <f ca="1">IFERROR(__xludf.DUMMYFUNCTION("GOOGLETRANSLATE(D1130,""auto"",""en"")"),"Display screen panel with sports health module graphics user interface")</f>
        <v>Display screen panel with sports health module graphics user interface</v>
      </c>
    </row>
    <row r="1131" spans="1:5" ht="15" x14ac:dyDescent="0.25">
      <c r="A1131" s="5" t="s">
        <v>3302</v>
      </c>
      <c r="B1131" s="6" t="s">
        <v>3303</v>
      </c>
      <c r="C1131" s="3" t="str">
        <f ca="1">IFERROR(__xludf.DUMMYFUNCTION("GOOGLETRANSLATE(B1131,""auto"",""en"")"),"Quickly determine the running performance of running.
  [Solution] Information acquisition unit, obtain measurement data measured by test vehicles measured by the evaluation target driving road; and machine learning units, obtain measurement data obtain"&amp;"ed by driving test vehicles on various driving roads, and based on machines based on machines Learn to perform machine learning. Storage unit, storage procedures for driving performance based on the storage unit to determine the driving performance; and c"&amp;"alculate the unit to process the measurement data determined by the determined program based on the storage unit, and determine the driving performance of the driving surface to be evaluated. The measurement data includes testing data includes testing dat"&amp;"a. The vehicle is vertically vibrating data when driving for the evaluation target.")</f>
        <v>Quickly determine the running performance of running.
  [Solution] Information acquisition unit, obtain measurement data measured by test vehicles measured by the evaluation target driving road; and machine learning units, obtain measurement data obtained by driving test vehicles on various driving roads, and based on machines based on machines Learn to perform machine learning. Storage unit, storage procedures for driving performance based on the storage unit to determine the driving performance; and calculate the unit to process the measurement data determined by the determined program based on the storage unit, and determine the driving performance of the driving surface to be evaluated. The measurement data includes testing data includes testing data. The vehicle is vertically vibrating data when driving for the evaluation target.</v>
      </c>
      <c r="D1131" s="6" t="s">
        <v>3304</v>
      </c>
      <c r="E1131" s="4" t="str">
        <f ca="1">IFERROR(__xludf.DUMMYFUNCTION("GOOGLETRANSLATE(D1131,""auto"",""en"")"),"Running performance measurement device and running performance measurement system")</f>
        <v>Running performance measurement device and running performance measurement system</v>
      </c>
    </row>
    <row r="1132" spans="1:5" ht="15" x14ac:dyDescent="0.25">
      <c r="A1132" s="5" t="s">
        <v>3305</v>
      </c>
      <c r="B1132" s="6" t="s">
        <v>3306</v>
      </c>
      <c r="C1132" s="3" t="str">
        <f ca="1">IFERROR(__xludf.DUMMYFUNCTION("GOOGLETRANSLATE(B1132,""auto"",""en"")"),"1. Design product name: Display screen panel with a path operating graphical user interface.
 2. The purpose of designing products in this exterior: It is used to display human -machine interaction interfaces and for users to make touch instructions.
"&amp;" Scope of display screen panels: used for intelligent cleaning robots, smart ground washing machines, smartphones, tablet computers, touch all -in -one machines, laptops, car touch screen computers.
 3. Design of the design of the product in appearance:"&amp;" lies in the graphic user interface displayed.
 4. Pictures or photos that can most indicate design points: main view.
 5. No design points, omit the rear view, left view, right view, downward view and view view of the design product.
 6. The purpos"&amp;"e of the graphical user interface: The graphic user interface is used to view, delete, and record the setting path of the smart cleaning robot.
 The background part of the main interface interface is used to display a map drawn by smart cleaning robots "&amp;"based on the task area to be cleaned.
 The floating panel on the right side of the interface is used to display the cleaning path of multiple robots created by the user. When clicking a certain path, the area involved in the path will be highlighted in "&amp;"the map. At the same time, the user can delete the delete operation of the choice path. Essence
 The lower part of the interface is the graphical button bar for various operations on the map. The left side of the button bar can be moved up and down to s"&amp;"elect the function set name that wants to operate specific. The right side is displayed on the right side.
 The change status diagram is the interface presented after clicking the ""Demonstration Slope"" button in the main view interface. The middle are"&amp;"a of ​​the interface is used to draw the path of robotics in real time. Walking method, click the ""End Recording"" button to stop the recording and save the robot walking path displayed in the middle of the interface.")</f>
        <v>1. Design product name: Display screen panel with a path operating graphical user interface.
 2. The purpose of designing products in this exterior: It is used to display human -machine interaction interfaces and for users to make touch instructions.
 Scope of display screen panels: used for intelligent cleaning robots, smart ground washing machines, smartphones, tablet computers, touch all -in -one machines, laptops, car touch screen computers.
 3. Design of the design of the product in appearance: lies in the graphic user interface displayed.
 4. Pictures or photos that can most indicate design points: main view.
 5. No design points, omit the rear view, left view, right view, downward view and view view of the design product.
 6. The purpose of the graphical user interface: The graphic user interface is used to view, delete, and record the setting path of the smart cleaning robot.
 The background part of the main interface interface is used to display a map drawn by smart cleaning robots based on the task area to be cleaned.
 The floating panel on the right side of the interface is used to display the cleaning path of multiple robots created by the user. When clicking a certain path, the area involved in the path will be highlighted in the map. At the same time, the user can delete the delete operation of the choice path. Essence
 The lower part of the interface is the graphical button bar for various operations on the map. The left side of the button bar can be moved up and down to select the function set name that wants to operate specific. The right side is displayed on the right side.
 The change status diagram is the interface presented after clicking the "Demonstration Slope" button in the main view interface. The middle area of ​​the interface is used to draw the path of robotics in real time. Walking method, click the "End Recording" button to stop the recording and save the robot walking path displayed in the middle of the interface.</v>
      </c>
      <c r="D1132" s="6" t="s">
        <v>3307</v>
      </c>
      <c r="E1132" s="4" t="str">
        <f ca="1">IFERROR(__xludf.DUMMYFUNCTION("GOOGLETRANSLATE(D1132,""auto"",""en"")"),"Display screen panel with path operation graphical user interface")</f>
        <v>Display screen panel with path operation graphical user interface</v>
      </c>
    </row>
    <row r="1133" spans="1:5" ht="15" x14ac:dyDescent="0.25">
      <c r="A1133" s="5" t="s">
        <v>3308</v>
      </c>
      <c r="B1133" s="6" t="s">
        <v>3309</v>
      </c>
      <c r="C1133" s="3" t="str">
        <f ca="1">IFERROR(__xludf.DUMMYFUNCTION("GOOGLETRANSLATE(B1133,""auto"",""en"")"),"1. Design product name: Display screen panel with a path operating graphical user interface.
 2. The purpose of designing products in this exterior: It is used to display human -machine interaction interfaces and for users to make touch instructions.
"&amp;" Scope of display screen panels: used for intelligent cleaning robots, smart ground washing machines, smartphones, tablet computers, touch all -in -one machines, laptops, car touch screen computers.
 3. Design of the design of the product in appearance:"&amp;" lies in the graphic user interface displayed.
 4. Pictures or photos that can most indicate design points: main view.
 5. No design points, omit the rear view, left view, right view, downward view and view view of the design product.
 6. The purpos"&amp;"e of the graphical user interface: The graphical user interface is used to view, delete the setting path of the smart cleaning robot.
 The background part of the main interface interface is used to display a map drawn by smart cleaning robots based on t"&amp;"he task area to be cleaned.
 The floating panel on the right side of the interface is used to display the cleaning path of multiple robots created by the user. When clicking a certain path, the area involved in the path will be highlighted in the map. A"&amp;"t the same time, the user can delete the delete operation of the choice path. Essence
 The lower part of the interface is the graphical button bar for various operations on the map. The left side of the button bar can be moved up and down to select the "&amp;"function set name that wants to operate specific. The right side is displayed on the right side.")</f>
        <v>1. Design product name: Display screen panel with a path operating graphical user interface.
 2. The purpose of designing products in this exterior: It is used to display human -machine interaction interfaces and for users to make touch instructions.
 Scope of display screen panels: used for intelligent cleaning robots, smart ground washing machines, smartphones, tablet computers, touch all -in -one machines, laptops, car touch screen computers.
 3. Design of the design of the product in appearance: lies in the graphic user interface displayed.
 4. Pictures or photos that can most indicate design points: main view.
 5. No design points, omit the rear view, left view, right view, downward view and view view of the design product.
 6. The purpose of the graphical user interface: The graphical user interface is used to view, delete the setting path of the smart cleaning robot.
 The background part of the main interface interface is used to display a map drawn by smart cleaning robots based on the task area to be cleaned.
 The floating panel on the right side of the interface is used to display the cleaning path of multiple robots created by the user. When clicking a certain path, the area involved in the path will be highlighted in the map. At the same time, the user can delete the delete operation of the choice path. Essence
 The lower part of the interface is the graphical button bar for various operations on the map. The left side of the button bar can be moved up and down to select the function set name that wants to operate specific. The right side is displayed on the right side.</v>
      </c>
      <c r="D1133" s="6" t="s">
        <v>3307</v>
      </c>
      <c r="E1133" s="4" t="str">
        <f ca="1">IFERROR(__xludf.DUMMYFUNCTION("GOOGLETRANSLATE(D1133,""auto"",""en"")"),"Display screen panel with path operation graphical user interface")</f>
        <v>Display screen panel with path operation graphical user interface</v>
      </c>
    </row>
    <row r="1134" spans="1:5" ht="15" x14ac:dyDescent="0.25">
      <c r="A1134" s="5" t="s">
        <v>3310</v>
      </c>
      <c r="B1134" s="6" t="s">
        <v>3311</v>
      </c>
      <c r="C1134" s="3" t="str">
        <f ca="1">IFERROR(__xludf.DUMMYFUNCTION("GOOGLETRANSLATE(B1134,""auto"",""en"")"),"1. The name of the product in this exterior: smart fitness mirror with the functional graphical user interface with the training function.
 2. Design products in appearance: run fitness procedures.
 3. Design of the design of the product in this appea"&amp;"rance: lies in the graphic user interface content displayed by the fitness mirror screen.
 4. Pictures or photos that can most indicate design points: main view.
 5. The purpose of the graphical user interface: The software is mainly used for the coac"&amp;"h movement and the training interface display of the fitness program. The main view is the countdown of the coach to perform the countdown of the demonstration scoring in the A stage A. The real -time score of the demonstration reaches the countdown inter"&amp;"face after the preset value is reached. In the figure, the red box is used to show the coach's action screen. The dynamic pattern will appear in the gray box around the action screen to indicate that the flowers are completed. The text above the box promp"&amp;"ts that this and the training stage is about to end. Below zone bands on the left and right sides of the villain below the red box. Change status Figure 1 is the interface switching after the countdown countdown of the main interface. The text prompts abo"&amp;"ve the red box and the gray box disappear. , To show the real -time scoring interface of students and practicing action demonstrations in stages B. The ""XXX+X"" below the villain represents the real -time scores of the students' action demonstration with"&amp;" the trainee coach. Among them, human -computer interaction methods In order to detect the trainees 'actions in real time through the camera, compare the students' movements with the coach movement, and score the results according to the comparison result"&amp;"s. The scoring results are switched from stage A to B stage B.")</f>
        <v>1. The name of the product in this exterior: smart fitness mirror with the functional graphical user interface with the training function.
 2. Design products in appearance: run fitness procedures.
 3. Design of the design of the product in this appearance: lies in the graphic user interface content displayed by the fitness mirror screen.
 4. Pictures or photos that can most indicate design points: main view.
 5. The purpose of the graphical user interface: The software is mainly used for the coach movement and the training interface display of the fitness program. The main view is the countdown of the coach to perform the countdown of the demonstration scoring in the A stage A. The real -time score of the demonstration reaches the countdown interface after the preset value is reached. In the figure, the red box is used to show the coach's action screen. The dynamic pattern will appear in the gray box around the action screen to indicate that the flowers are completed. The text above the box prompts that this and the training stage is about to end. Below zone bands on the left and right sides of the villain below the red box. Change status Figure 1 is the interface switching after the countdown countdown of the main interface. The text prompts above the red box and the gray box disappear. , To show the real -time scoring interface of students and practicing action demonstrations in stages B. The "XXX+X" below the villain represents the real -time scores of the students' action demonstration with the trainee coach. Among them, human -computer interaction methods In order to detect the trainees 'actions in real time through the camera, compare the students' movements with the coach movement, and score the results according to the comparison results. The scoring results are switched from stage A to B stage B.</v>
      </c>
      <c r="D1134" s="6" t="s">
        <v>3312</v>
      </c>
      <c r="E1134" s="4" t="str">
        <f ca="1">IFERROR(__xludf.DUMMYFUNCTION("GOOGLETRANSLATE(D1134,""auto"",""en"")"),"Intelligent fitness mirror with the function of graphics user interface with the training function")</f>
        <v>Intelligent fitness mirror with the function of graphics user interface with the training function</v>
      </c>
    </row>
    <row r="1135" spans="1:5" ht="15" x14ac:dyDescent="0.25">
      <c r="A1135" s="5" t="s">
        <v>3313</v>
      </c>
      <c r="B1135" s="6" t="s">
        <v>3314</v>
      </c>
      <c r="C1135" s="3" t="str">
        <f ca="1">IFERROR(__xludf.DUMMYFUNCTION("GOOGLETRANSLATE(B1135,""auto"",""en"")"),"1. Design product name: The graphic user interface of the interactive disc operation of the display screen panel.
 2. The purpose of designing products in this exterior: This design product is used for mobile phones, desktop computers, laptops, tablets,"&amp;" embedded computers, televisions, refrigerators, refrigerators, water purifiers, water dispensers, washing machines, water heaters, pumping, pumping Range hood, dishwasher, integrated stove, steaming oven, rice cooker, electric pressure cooker, cooking ma"&amp;"chine, wall breaking machine, water heater, water kettle, induction cooker, microwave oven, juicer, disinfection cabinet, humidifier, humidifier, humidifier, humidifier, humidifier, humidifier , Watch, remote control, robot, vehicle navigator, car display"&amp;" device, GPS device, smart bracelet, dressing mirror, smart glasses, personal digital assistants, smart speakers, set -top boxes, game machines, fitness monitors, massagers, rehabilitation care Yis, dryers, lamps, VR glasses, MP4, palm gaming machine, sma"&amp;"rt doorbell, door lock, fan, smart refrigerator sticker, advertising machine, Bluetooth headset charging box display screen panel, select the disc Corresponding to the lower interface and display the graphical user interface.
 3. Design of the design of"&amp;" the product in this exterior: lies in the content of the graphic user interface in the screen.
 4. Pictures or photos that can best show design: Design 1 main view.
 5. The display screen panel is commonly designed, omit other views.
 6. Specify de"&amp;"sign 1 is the basic design.
 7. The purpose of the graphical user interface: The main content is to provide a fast display function interface. The purpose of quickly selecting the interface under the disk function through human -machine interaction.
 "&amp;"8. Human -computer interaction method of graphics user interface: Design 1 to Design 9 Main view is the main interface of displaying function discs. Select design 1 to design 9 of the background picture on the bottom of the disc The interface is transform"&amp;"ed to the next interface; the designed 10 main view is the main interface of the display function disc. Select the button on the leftmost side of the 10 main visual map disc. The interface is transformed to the design 10 interface change state diagram. Th"&amp;"e background picture of any one button or the bottom of the disc, the interface is converted to the next interface; where the ""gray block"" in the interface is represented as variable pictures, the ""gray block plus cross line"" in the interface is repre"&amp;"sented as variable variable valuable valuable valuables. Text or icon.")</f>
        <v>1. Design product name: The graphic user interface of the interactive disc operation of the display screen panel.
 2. The purpose of designing products in this exterior: This design product is used for mobile phones, desktop computers, laptops, tablets, embedded computers, televisions, refrigerators, refrigerators, water purifiers, water dispensers, washing machines, water heaters, pumping, pumping Range hood, dishwasher, integrated stove, steaming oven, rice cooker, electric pressure cooker, cooking machine, wall breaking machine, water heater, water kettle, induction cooker, microwave oven, juicer, disinfection cabinet, humidifier, humidifier, humidifier, humidifier, humidifier, humidifier , Watch, remote control, robot, vehicle navigator, car display device, GPS device, smart bracelet, dressing mirror, smart glasses, personal digital assistants, smart speakers, set -top boxes, game machines, fitness monitors, massagers, rehabilitation care Yis, dryers, lamps, VR glasses, MP4, palm gaming machine, smart doorbell, door lock, fan, smart refrigerator sticker, advertising machine, Bluetooth headset charging box display screen panel, select the disc Corresponding to the lower interface and display the graphical user interface.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graphical user interface: The main content is to provide a fast display function interface. The purpose of quickly selecting the interface under the disk function through human -machine interaction.
 8. Human -computer interaction method of graphics user interface: Design 1 to Design 9 Main view is the main interface of displaying function discs. Select design 1 to design 9 of the background picture on the bottom of the disc The interface is transformed to the next interface; the designed 10 main view is the main interface of the display function disc. Select the button on the leftmost side of the 10 main visual map disc. The interface is transformed to the design 10 interface change state diagram. The background picture of any one button or the bottom of the disc, the interface is converted to the next interface; where the "gray block" in the interface is represented as variable pictures, the "gray block plus cross line" in the interface is represented as variable variable valuable valuable valuables. Text or icon.</v>
      </c>
      <c r="D1135" s="6" t="s">
        <v>3315</v>
      </c>
      <c r="E1135" s="4" t="str">
        <f ca="1">IFERROR(__xludf.DUMMYFUNCTION("GOOGLETRANSLATE(D1135,""auto"",""en"")"),"Graphical user interface of the interactive disc operation of the display screen panel")</f>
        <v>Graphical user interface of the interactive disc operation of the display screen panel</v>
      </c>
    </row>
    <row r="1136" spans="1:5" ht="15" x14ac:dyDescent="0.25">
      <c r="A1136" s="5" t="s">
        <v>3316</v>
      </c>
      <c r="B1136" s="6" t="s">
        <v>3317</v>
      </c>
      <c r="C1136" s="3" t="str">
        <f ca="1">IFERROR(__xludf.DUMMYFUNCTION("GOOGLETRANSLATE(B1136,""auto"",""en"")"),"Inventions, venues, apartments, shopping malls, hotels, stadiums, entertainment centers, housing, housing gardens, etc. (There are many public areas and allowed collective life) to be related to the place used in building management. The characteristics o"&amp;"f the present invention; in addition to the cost tracking in facilities management, the fault in the electronic/electronic/mechanical system of the building is detected through the Internet of Things sensor. The notice is immediately transmitted to the su"&amp;"pplier solution panel, the solution partner is present, and the solution cycle is timed. It is related to facility management and fault notification system.")</f>
        <v>Inventions, venues, apartments, shopping malls, hotels, stadiums, entertainment centers, housing, housing gardens, etc. (There are many public areas and allowed collective life) to be related to the place used in building management. The characteristics of the present invention; in addition to the cost tracking in facilities management, the fault in the electronic/electronic/mechanical system of the building is detected through the Internet of Things sensor. The notice is immediately transmitted to the supplier solution panel, the solution partner is present, and the solution cycle is timed. It is related to facility management and fault notification system.</v>
      </c>
      <c r="D1136" s="6" t="s">
        <v>3318</v>
      </c>
      <c r="E1136" s="4" t="str">
        <f ca="1">IFERROR(__xludf.DUMMYFUNCTION("GOOGLETRANSLATE(D1136,""auto"",""en"")"),"Facilities management and fault notification system")</f>
        <v>Facilities management and fault notification system</v>
      </c>
    </row>
    <row r="1137" spans="1:5" ht="15" x14ac:dyDescent="0.25">
      <c r="A1137" s="5" t="s">
        <v>3319</v>
      </c>
      <c r="B1137" s="6" t="s">
        <v>3320</v>
      </c>
      <c r="C1137" s="3" t="str">
        <f ca="1">IFERROR(__xludf.DUMMYFUNCTION("GOOGLETRANSLATE(B1137,""auto"",""en"")"),"The present invention disclosed a driving guidance method and terminal, including: collecting historical exercises in the training of trainees and the instructor's guidance scheme and pre -processing; use the K‑Means cluster algorithm to be divided into d"&amp;"ifferent students with similar learning abilities. Groups, get clustering results; use the historical practice data after processing as input and train RNN cyclic neural network model to predict the probability of successful students to successfully compl"&amp;"ete the next project exercise; Complete the probability of the next project practice, combine the guidance scheme of this training coach and the real project of this time as the input to train the enhanced learning model, use the enhanced learning model t"&amp;"o select the best coach guidance scheme and recommend it to students. The present invention can make customized guidance for each student's learning stage, which can greatly reduce the workload of coaches and improve intelligent performance.")</f>
        <v>The present invention disclosed a driving guidance method and terminal, including: collecting historical exercises in the training of trainees and the instructor's guidance scheme and pre -processing; use the K‑Means cluster algorithm to be divided into different students with similar learning abilities. Groups, get clustering results; use the historical practice data after processing as input and train RNN cyclic neural network model to predict the probability of successful students to successfully complete the next project exercise; Complete the probability of the next project practice, combine the guidance scheme of this training coach and the real project of this time as the input to train the enhanced learning model, use the enhanced learning model to select the best coach guidance scheme and recommend it to students. The present invention can make customized guidance for each student's learning stage, which can greatly reduce the workload of coaches and improve intelligent performance.</v>
      </c>
      <c r="D1137" s="6" t="s">
        <v>3321</v>
      </c>
      <c r="E1137" s="4" t="str">
        <f ca="1">IFERROR(__xludf.DUMMYFUNCTION("GOOGLETRANSLATE(D1137,""auto"",""en"")"),"A driving guidance method and terminal")</f>
        <v>A driving guidance method and terminal</v>
      </c>
    </row>
    <row r="1138" spans="1:5" ht="15" x14ac:dyDescent="0.25">
      <c r="A1138" s="5" t="s">
        <v>3322</v>
      </c>
      <c r="B1138" s="6" t="s">
        <v>3323</v>
      </c>
      <c r="C1138" s="3" t="str">
        <f ca="1">IFERROR(__xludf.DUMMYFUNCTION("GOOGLETRANSLATE(B1138,""auto"",""en"")"),"The present invention discloses a method and device based on the standard of supporting posture of deep learning. This method includes: to extract regional images corresponding to video frames from the video; The gesture estimation model, obtain the physi"&amp;"cal key points of the person in the target area; based on the key points of the body, if the legs on both sides are stretched, the elbows on both sides are located directly below the same shoulder. At the same time It is not higher than the same shoulders"&amp;", and the supporting posture standard is determined. By judging whether the legs are straight, whether the elbow is located below the shoulder, and whether the hips are not higher than the shoulders, it is determined as a standard when it meets the requir"&amp;"ements. To judge one by one, you can directly correct the students who do not meet the standards, and effectively improve the efficiency of supervision and guidance. You can also determine whether the posture is standard when using it at home.")</f>
        <v>The present invention discloses a method and device based on the standard of supporting posture of deep learning. This method includes: to extract regional images corresponding to video frames from the video; The gesture estimation model, obtain the physical key points of the person in the target area; based on the key points of the body, if the legs on both sides are stretched, the elbows on both sides are located directly below the same shoulder. At the same time It is not higher than the same shoulders, and the supporting posture standard is determined. By judging whether the legs are straight, whether the elbow is located below the shoulder, and whether the hips are not higher than the shoulders, it is determined as a standard when it meets the requirements. To judge one by one, you can directly correct the students who do not meet the standards, and effectively improve the efficiency of supervision and guidance. You can also determine whether the posture is standard when using it at home.</v>
      </c>
      <c r="D1138" s="6" t="s">
        <v>3324</v>
      </c>
      <c r="E1138" s="4" t="str">
        <f ca="1">IFERROR(__xludf.DUMMYFUNCTION("GOOGLETRANSLATE(D1138,""auto"",""en"")"),"The method and device of the tablet support posture based on deep learning supporting posture")</f>
        <v>The method and device of the tablet support posture based on deep learning supporting posture</v>
      </c>
    </row>
    <row r="1139" spans="1:5" ht="15" x14ac:dyDescent="0.25">
      <c r="A1139" s="5" t="s">
        <v>3325</v>
      </c>
      <c r="B1139" s="6" t="s">
        <v>3326</v>
      </c>
      <c r="C1139" s="3" t="str">
        <f ca="1">IFERROR(__xludf.DUMMYFUNCTION("GOOGLETRANSLATE(B1139,""auto"",""en"")"),"The present invention discloses a method and device based on the standard of squat posture based on deep learning. This method includes: to extract the area image corresponding to the video frame from the video; Gesture estimation model to obtain key poin"&amp;"ts of the body; obtain the angle of large and small legs based on the key points of the body; At the same time, the arms on both sides are horizontally straight, and the squat posture standard is determined. By judging the size of the angle of the legs, t"&amp;"he relationship between the knee and the toes, and the status of the arm, it is determined as a standard when it meets the requirements. It is applied to the gym that is fitted with multiple people. Correction directly for students who do not meet the sta"&amp;"ndards to effectively improve the efficiency of supervision and guidance behavior. When used by individual homes, they can also determine whether the posture is standard.")</f>
        <v>The present invention discloses a method and device based on the standard of squat posture based on deep learning. This method includes: to extract the area image corresponding to the video frame from the video; Gesture estimation model to obtain key points of the body; obtain the angle of large and small legs based on the key points of the body; At the same time, the arms on both sides are horizontally straight, and the squat posture standard is determined. By judging the size of the angle of the legs, the relationship between the knee and the toes, and the status of the arm, it is determined as a standard when it meets the requirements. It is applied to the gym that is fitted with multiple people. Correction directly for students who do not meet the standards to effectively improve the efficiency of supervision and guidance behavior. When used by individual homes, they can also determine whether the posture is standard.</v>
      </c>
      <c r="D1139" s="6" t="s">
        <v>3327</v>
      </c>
      <c r="E1139" s="4" t="str">
        <f ca="1">IFERROR(__xludf.DUMMYFUNCTION("GOOGLETRANSLATE(D1139,""auto"",""en"")"),"A method and device based on the standard of squat posture based on deep learning")</f>
        <v>A method and device based on the standard of squat posture based on deep learning</v>
      </c>
    </row>
    <row r="1140" spans="1:5" ht="15" x14ac:dyDescent="0.25">
      <c r="A1140" s="5" t="s">
        <v>3328</v>
      </c>
      <c r="B1140" s="6" t="s">
        <v>3329</v>
      </c>
      <c r="C1140" s="3" t="str">
        <f ca="1">IFERROR(__xludf.DUMMYFUNCTION("GOOGLETRANSLATE(B1140,""auto"",""en"")"),"The present invention facilitates the installation and maintenance of lamps on the ceiling of high -rise buildings (gymnasiums, performing arts halls, exhibition halls, shipyards, large factories, warehouses) ceiling, and video analysis on the scene durin"&amp;"g the installation and maintenance of the lamps. . A invention device (500), which is a light installation guide rail (100), light parts (200), light fastening device (300), rising/down/down device (400), and safety diagnostic device to prevent constructi"&amp;"on site safety accidents (500). It contains the controller (600).")</f>
        <v>The present invention facilitates the installation and maintenance of lamps on the ceiling of high -rise buildings (gymnasiums, performing arts halls, exhibition halls, shipyards, large factories, warehouses) ceiling, and video analysis on the scene during the installation and maintenance of the lamps. . A invention device (500), which is a light installation guide rail (100), light parts (200), light fastening device (300), rising/down/down device (400), and safety diagnostic device to prevent construction site safety accidents (500). It contains the controller (600).</v>
      </c>
      <c r="D1140" s="6" t="s">
        <v>3330</v>
      </c>
      <c r="E1140" s="4" t="str">
        <f ca="1">IFERROR(__xludf.DUMMYFUNCTION("GOOGLETRANSLATE(D1140,""auto"",""en"")"),"Industrial site safety accident prevention system based on artificial intelligence image processing technology")</f>
        <v>Industrial site safety accident prevention system based on artificial intelligence image processing technology</v>
      </c>
    </row>
    <row r="1141" spans="1:5" ht="15" x14ac:dyDescent="0.25">
      <c r="A1141" s="5" t="s">
        <v>3331</v>
      </c>
      <c r="B1141" s="6" t="s">
        <v>3332</v>
      </c>
      <c r="C1141" s="3" t="str">
        <f ca="1">IFERROR(__xludf.DUMMYFUNCTION("GOOGLETRANSLATE(B1141,""auto"",""en"")"),"The present invention disclosed a comprehensive evaluation system for large mass sports events, involving the field of mass sports competition assessment technology, solved the single evaluation of existing technology on mass sports events, and did not ac"&amp;"hieve a comprehensive evaluation of large mass sports events, resulting in one -as -the -way evaluation result of the results of the evaluation results one aspect , Reference to low -value technical issues; the invention collects the evaluation data and s"&amp;"tandard historical data, combined with expert scoring method, intelligent evaluation model and image recognition technology to evaluate the evaluation data of the event; starting from the event itself, environmental status and economic income, A comprehen"&amp;"sive evaluation of the event project is made to ensure the authority of the comprehensive evaluation results and improve the reference value; when the present invention obtains the environmental score, the environmental evaluation factor or concentration "&amp;"difference between the concentration and environmental scores is established when the current scope of the environment score is set. The proportional relationship can ensure that the impact of sports events on the environment is reasonably evaluated, and "&amp;"the data foundation is laid for the comprehensive score of the authoritative competition.")</f>
        <v>The present invention disclosed a comprehensive evaluation system for large mass sports events, involving the field of mass sports competition assessment technology, solved the single evaluation of existing technology on mass sports events, and did not achieve a comprehensive evaluation of large mass sports events, resulting in one -as -the -way evaluation result of the results of the evaluation results one aspect , Reference to low -value technical issues; the invention collects the evaluation data and standard historical data, combined with expert scoring method, intelligent evaluation model and image recognition technology to evaluate the evaluation data of the event; starting from the event itself, environmental status and economic income, A comprehensive evaluation of the event project is made to ensure the authority of the comprehensive evaluation results and improve the reference value; when the present invention obtains the environmental score, the environmental evaluation factor or concentration difference between the concentration and environmental scores is established when the current scope of the environment score is set. The proportional relationship can ensure that the impact of sports events on the environment is reasonably evaluated, and the data foundation is laid for the comprehensive score of the authoritative competition.</v>
      </c>
      <c r="D1141" s="6" t="s">
        <v>3333</v>
      </c>
      <c r="E1141" s="4" t="str">
        <f ca="1">IFERROR(__xludf.DUMMYFUNCTION("GOOGLETRANSLATE(D1141,""auto"",""en"")"),"A comprehensive evaluation system for large mass sports events")</f>
        <v>A comprehensive evaluation system for large mass sports events</v>
      </c>
    </row>
    <row r="1142" spans="1:5" ht="15" x14ac:dyDescent="0.25">
      <c r="A1142" s="5" t="s">
        <v>3334</v>
      </c>
      <c r="B1142" s="6" t="s">
        <v>3335</v>
      </c>
      <c r="C1142" s="3" t="str">
        <f ca="1">IFERROR(__xludf.DUMMYFUNCTION("GOOGLETRANSLATE(B1142,""auto"",""en"")"),"The invention involves a solar multi -purpose vehicle based on the Internet of Things. More specifically, the invention involves the IoT -based solar multi -purpose vehicle for dew in the field venue and dry water. The present invention involves a solar m"&amp;"ulti -purpose car based on the Internet of Things. It can cover the stadium through WPTM (waterproof poly oil cloth pads) to protect 22 yards from rain. The present invention involves a solar multi -purpose car based on the Internet of Things, which has t"&amp;"he advantages of meeting the requirements of dry ground drying and simple structure, low cost, good moisture -proof effect, high cost performance, and simple construction. Its movement and easy operation.")</f>
        <v>The invention involves a solar multi -purpose vehicle based on the Internet of Things. More specifically, the invention involves the IoT -based solar multi -purpose vehicle for dew in the field venue and dry water. The present invention involves a solar multi -purpose car based on the Internet of Things. It can cover the stadium through WPTM (waterproof poly oil cloth pads) to protect 22 yards from rain. The present invention involves a solar multi -purpose car based on the Internet of Things, which has the advantages of meeting the requirements of dry ground drying and simple structure, low cost, good moisture -proof effect, high cost performance, and simple construction. Its movement and easy operation.</v>
      </c>
      <c r="D1142" s="6" t="s">
        <v>3336</v>
      </c>
      <c r="E1142" s="4" t="str">
        <f ca="1">IFERROR(__xludf.DUMMYFUNCTION("GOOGLETRANSLATE(D1142,""auto"",""en"")"),"Dew solarment of the Internet of Things with dew and drying of dew and dry water")</f>
        <v>Dew solarment of the Internet of Things with dew and drying of dew and dry water</v>
      </c>
    </row>
    <row r="1143" spans="1:5" ht="15" x14ac:dyDescent="0.25">
      <c r="A1143" s="5" t="s">
        <v>3337</v>
      </c>
      <c r="B1143" s="6" t="s">
        <v>3338</v>
      </c>
      <c r="C1143" s="3" t="str">
        <f ca="1">IFERROR(__xludf.DUMMYFUNCTION("GOOGLETRANSLATE(B1143,""auto"",""en"")"),"The present invention belongs to the field of intelligent robotics technology, and a tennis automatic ball pick -up robot that specifically discloses a machine vision, including identification unit, walking unit, pickup unit, and control unit. The tennis "&amp;"coordinate signal is transmitted to the control unit; the pick -up unit is set on the walking unit. The control unit plans the walking path by receiving the coordinate signal, and controls the walking unit according to the walking path. Essence Using the "&amp;"plan of the present invention, based on the identification unit, you can accurately identify the tennis in the tennis venue to avoid leakage of the ball. The control unit is based on the location information of the tennis pickup point. It can also accurat"&amp;"ely pick up tennis. The walking unit automatically drives to the tennis pick -up point based on the tennis pickup path, which greatly improves the efficiency of tennis pickup.")</f>
        <v>The present invention belongs to the field of intelligent robotics technology, and a tennis automatic ball pick -up robot that specifically discloses a machine vision, including identification unit, walking unit, pickup unit, and control unit. The tennis coordinate signal is transmitted to the control unit; the pick -up unit is set on the walking unit. The control unit plans the walking path by receiving the coordinate signal, and controls the walking unit according to the walking path. Essence Using the plan of the present invention, based on the identification unit, you can accurately identify the tennis in the tennis venue to avoid leakage of the ball. The control unit is based on the location information of the tennis pickup point. It can also accurately pick up tennis. The walking unit automatically drives to the tennis pick -up point based on the tennis pickup path, which greatly improves the efficiency of tennis pickup.</v>
      </c>
      <c r="D1143" s="6" t="s">
        <v>3339</v>
      </c>
      <c r="E1143" s="4" t="str">
        <f ca="1">IFERROR(__xludf.DUMMYFUNCTION("GOOGLETRANSLATE(D1143,""auto"",""en"")"),"A machine vision tennis automatic ball pick -up robot")</f>
        <v>A machine vision tennis automatic ball pick -up robot</v>
      </c>
    </row>
    <row r="1144" spans="1:5" ht="15" x14ac:dyDescent="0.25">
      <c r="A1144" s="5" t="s">
        <v>3340</v>
      </c>
      <c r="B1144" s="6" t="s">
        <v>3341</v>
      </c>
      <c r="C1144" s="3" t="str">
        <f ca="1">IFERROR(__xludf.DUMMYFUNCTION("GOOGLETRANSLATE(B1144,""auto"",""en"")"),"The present invention disclosed a kind of comprehensive drowning judgment system for underwater computer vision drowning. The underwater camera, as well as the use of visual algorithms to comprehensively processes the drowning device of drowning targets w"&amp;"ith drowning targets with a visual algorithm to identify the drowning target; The unit, abnormal screening unit, image re -processing unit and drowning recognition unit. The present invention can combine the swimmers' action sequences and mobile trajector"&amp;"ies to screen out all the abnormal states of swimming, and then comprehensively comprehensively water ripple characteristics and action characteristics to achieve higher accuracy drowning judgments and effectively reduce the supervision burden of staff.")</f>
        <v>The present invention disclosed a kind of comprehensive drowning judgment system for underwater computer vision drowning. The underwater camera, as well as the use of visual algorithms to comprehensively processes the drowning device of drowning targets with drowning targets with a visual algorithm to identify the drowning target; The unit, abnormal screening unit, image re -processing unit and drowning recognition unit. The present invention can combine the swimmers' action sequences and mobile trajectories to screen out all the abnormal states of swimming, and then comprehensively comprehensively water ripple characteristics and action characteristics to achieve higher accuracy drowning judgments and effectively reduce the supervision burden of staff.</v>
      </c>
      <c r="D1144" s="6" t="s">
        <v>3342</v>
      </c>
      <c r="E1144" s="4" t="str">
        <f ca="1">IFERROR(__xludf.DUMMYFUNCTION("GOOGLETRANSLATE(D1144,""auto"",""en"")"),"A kind of water underwater computer visual comprehensive drowning judgment system")</f>
        <v>A kind of water underwater computer visual comprehensive drowning judgment system</v>
      </c>
    </row>
    <row r="1145" spans="1:5" ht="15" x14ac:dyDescent="0.25">
      <c r="A1145" s="5" t="s">
        <v>3343</v>
      </c>
      <c r="B1145" s="6" t="s">
        <v>3344</v>
      </c>
      <c r="C1145" s="3" t="str">
        <f ca="1">IFERROR(__xludf.DUMMYFUNCTION("GOOGLETRANSLATE(B1145,""auto"",""en"")"),"The present invention involves a AI system. The purpose of the PT project is to perform the PT project at home without going to the gym, which is limited to unnecessary physical contact in the PT project performed in the gym.
  Patent open 10-2021-01549"&amp;"27 Open the patent open 10-2021-0154927, that is, the present invention is a digital screen that provides users in the AI ​​system, and displays the user's use status and display status and status and status of the user in the upper part of the screen. mo"&amp;"ve. Digital screen: Provide a biometric camera for users to receive instructions, and provide microphone in the upper left corner of the digital screen to allow users to send instructions through voice, and provide a speaker interpretation to the user wit"&amp;"h a voice in the upper right corner of the digital screen. The operation provides a power supply, which provides a display for loading and providing PT programs in the digital screen, and a system digital screen that can be used at any time through wirele"&amp;"ss communication. It is characterized by the configured smartphone provided.
  Therefore, the present invention has the effects that can personally perform PT projects at home without having to go to the gym and limit unnecessary physical contact in the"&amp;" PT projects performed in the gym.")</f>
        <v>The present invention involves a AI system. The purpose of the PT project is to perform the PT project at home without going to the gym, which is limited to unnecessary physical contact in the PT project performed in the gym.
  Patent open 10-2021-0154927 Open the patent open 10-2021-0154927, that is, the present invention is a digital screen that provides users in the AI ​​system, and displays the user's use status and display status and status and status of the user in the upper part of the screen. move. Digital screen: Provide a biometric camera for users to receive instructions, and provide microphone in the upper left corner of the digital screen to allow users to send instructions through voice, and provide a speaker interpretation to the user with a voice in the upper right corner of the digital screen. The operation provides a power supply, which provides a display for loading and providing PT programs in the digital screen, and a system digital screen that can be used at any time through wireless communication. It is characterized by the configured smartphone provided.
  Therefore, the present invention has the effects that can personally perform PT projects at home without having to go to the gym and limit unnecessary physical contact in the PT projects performed in the gym.</v>
      </c>
      <c r="D1145" s="6" t="s">
        <v>3345</v>
      </c>
      <c r="E1145" s="4" t="str">
        <f ca="1">IFERROR(__xludf.DUMMYFUNCTION("GOOGLETRANSLATE(D1145,""auto"",""en"")"),"Artificial intelligence system")</f>
        <v>Artificial intelligence system</v>
      </c>
    </row>
    <row r="1146" spans="1:5" ht="15" x14ac:dyDescent="0.25">
      <c r="A1146" s="5" t="s">
        <v>3346</v>
      </c>
      <c r="B1146" s="6" t="s">
        <v>3347</v>
      </c>
      <c r="C1146" s="3" t="str">
        <f ca="1">IFERROR(__xludf.DUMMYFUNCTION("GOOGLETRANSLATE(B1146,""auto"",""en"")"),"The present invention disclosed a long -distance running sports trajectory abnormal detection method, including obtaining historical movement trajectory; establishing a motion trajectory model through historical movement trajectory; obtaining the current "&amp;"motion trajectory through positioning equipment; The trajectory is detected abnormal; the positioning equipment will be reacted. When the prediction results of the output show that the motion trajectory status is abnormal, the equipment will prompt rescue"&amp;"rs according to the abnormal type. The present invention uses the setting rules and deep learning to solve the drift or static data caused by the fault of the equipment's own positioning, and only consider the similarity of trajectory similarities, which "&amp;"is difficult to make the correct decision -making decision on the athletes; It is more accurate and efficient, and can perform abnormal detection and rescue of athletes in time to ensure the safety during the game.")</f>
        <v>The present invention disclosed a long -distance running sports trajectory abnormal detection method, including obtaining historical movement trajectory; establishing a motion trajectory model through historical movement trajectory; obtaining the current motion trajectory through positioning equipment; The trajectory is detected abnormal; the positioning equipment will be reacted. When the prediction results of the output show that the motion trajectory status is abnormal, the equipment will prompt rescuers according to the abnormal type. The present invention uses the setting rules and deep learning to solve the drift or static data caused by the fault of the equipment's own positioning, and only consider the similarity of trajectory similarities, which is difficult to make the correct decision -making decision on the athletes; It is more accurate and efficient, and can perform abnormal detection and rescue of athletes in time to ensure the safety during the game.</v>
      </c>
      <c r="D1146" s="6" t="s">
        <v>3348</v>
      </c>
      <c r="E1146" s="4" t="str">
        <f ca="1">IFERROR(__xludf.DUMMYFUNCTION("GOOGLETRANSLATE(D1146,""auto"",""en"")"),"A long -distance running sports trajectory abnormal detection method")</f>
        <v>A long -distance running sports trajectory abnormal detection method</v>
      </c>
    </row>
    <row r="1147" spans="1:5" ht="15" x14ac:dyDescent="0.25">
      <c r="A1147" s="5" t="s">
        <v>3349</v>
      </c>
      <c r="B1147" s="6" t="s">
        <v>3350</v>
      </c>
      <c r="C1147" s="3" t="str">
        <f ca="1">IFERROR(__xludf.DUMMYFUNCTION("GOOGLETRANSLATE(B1147,""auto"",""en"")"),"The present invention disclosed a large -scale venue explosion terrorist attack risk assessment method, which includes the establishment of explosive terrorist attack risk assessment of the Bayesian network model based on the indicator system; Bayesian ne"&amp;"twork model, fragile Bayes network model, consequences Bayesian network model, and possibility correction Ziyez network model. Adopting the Bayesian network model, analyzing the vulnerability of the security system of the stadium, the possibility of suffe"&amp;"ring from explosion, the consequences of explosion attacks, and the possibility of combining historical data to modify. For the conditional probability distribution in the Bayesian network model, use the qualitative methods (possibilities and vulnerabilit"&amp;"y) based on expert scoring (possibility and vulnerability) based on the quantitative method (consequences and possibilities corrections) based on machine learning. Combined with the stadium explosion terrorist attack risk assessment model.")</f>
        <v>The present invention disclosed a large -scale venue explosion terrorist attack risk assessment method, which includes the establishment of explosive terrorist attack risk assessment of the Bayesian network model based on the indicator system; Bayesian network model, fragile Bayes network model, consequences Bayesian network model, and possibility correction Ziyez network model. Adopting the Bayesian network model, analyzing the vulnerability of the security system of the stadium, the possibility of suffering from explosion, the consequences of explosion attacks, and the possibility of combining historical data to modify. For the conditional probability distribution in the Bayesian network model, use the qualitative methods (possibilities and vulnerability) based on expert scoring (possibility and vulnerability) based on the quantitative method (consequences and possibilities corrections) based on machine learning. Combined with the stadium explosion terrorist attack risk assessment model.</v>
      </c>
      <c r="D1147" s="6" t="s">
        <v>3351</v>
      </c>
      <c r="E1147" s="4" t="str">
        <f ca="1">IFERROR(__xludf.DUMMYFUNCTION("GOOGLETRANSLATE(D1147,""auto"",""en"")"),"A large venue explosion terrorist attack risk assessment method")</f>
        <v>A large venue explosion terrorist attack risk assessment method</v>
      </c>
    </row>
    <row r="1148" spans="1:5" ht="15" x14ac:dyDescent="0.25">
      <c r="A1148" s="5" t="s">
        <v>3352</v>
      </c>
      <c r="B1148" s="6" t="s">
        <v>3353</v>
      </c>
      <c r="C1148" s="3" t="str">
        <f ca="1">IFERROR(__xludf.DUMMYFUNCTION("GOOGLETRANSLATE(B1148,""auto"",""en"")"),"1. The name of the product of the product: mobile phone with a graphical user interface with a football live information software.
 2. The purpose of designing products in this exterior: The design of the product is used to display it with human -comput"&amp;"er interaction.
 3. Design of the design of the product in appearance: lies in the graphic user interface.
 4. Pictures or photos that can most indicate design points: main view.
 5. Interface use: mobile phones with graphics user interface with the"&amp;" main view of football live news, including attention, headlines, newsletters, circles, football, forums, videos; Image user interface; change state Figure 2 is the image user interface displayed by the ""main team"" displayed in the changing state of the"&amp;" clicks; the change state Figure 3 is the image user interface displayed by the ""score"" displayed in the clicks. In order to click the image user interface displayed in the ""Data"" displayed in Figure 3; the change state Figure 5 is the ""data"" in the"&amp;" ""data"" displayed in the ""data"" displayed by the change state; The image user interface displayed in the medium search, including showing the recent popular and popular topics. There are browsing records, circles, players ranking, team rankings, and t"&amp;"he bottom of the bottom will be specified at the bottom. ""The displayed image user interface; picture.")</f>
        <v>1. The name of the product of the product: mobile phone with a graphical user interface with a football live information software.
 2. The purpose of designing products in this exterior: The design of the product is used to display it with human -computer interaction.
 3. Design of the design of the product in appearance: lies in the graphic user interface.
 4. Pictures or photos that can most indicate design points: main view.
 5. Interface use: mobile phones with graphics user interface with the main view of football live news, including attention, headlines, newsletters, circles, football, forums, videos; Image user interface; change state Figure 2 is the image user interface displayed by the "main team" displayed in the changing state of the clicks; the change state Figure 3 is the image user interface displayed by the "score" displayed in the clicks. In order to click the image user interface displayed in the "Data" displayed in Figure 3; the change state Figure 5 is the "data" in the "data" displayed in the "data" displayed by the change state; The image user interface displayed in the medium search, including showing the recent popular and popular topics. There are browsing records, circles, players ranking, team rankings, and the bottom of the bottom will be specified at the bottom. "The displayed image user interface; picture.</v>
      </c>
      <c r="D1148" s="6" t="s">
        <v>3354</v>
      </c>
      <c r="E1148" s="4" t="str">
        <f ca="1">IFERROR(__xludf.DUMMYFUNCTION("GOOGLETRANSLATE(D1148,""auto"",""en"")"),"Mobile phones with graphics user interface with a football live news")</f>
        <v>Mobile phones with graphics user interface with a football live news</v>
      </c>
    </row>
    <row r="1149" spans="1:5" ht="15" x14ac:dyDescent="0.25">
      <c r="A1149" s="5" t="s">
        <v>3355</v>
      </c>
      <c r="B1149" s="6" t="s">
        <v>3356</v>
      </c>
      <c r="C1149" s="3" t="str">
        <f ca="1">IFERROR(__xludf.DUMMYFUNCTION("GOOGLETRANSLATE(B1149,""auto"",""en"")"),"According to the use of various embodiments based on the various embodiments based on the application of a system storage of applications based on the three -party and the network, the information sharing platform of the non -factor -faced health informat"&amp;"ion sharing platform, the information obtained from the fitness application registered by the health information sharing application, and transmitted the information obtained information obtained The information obtained by the guardian's electronic equip"&amp;"ment of the guardian uses the electronic equipment of the disabled person to the electronic equipment and the electronic equipment of the guardian's electronic equipment and the electronic equipment of the guardian. Information sharing applications, and i"&amp;"nformation obtained from the electronic equipment of the disabled use the network to receive the information obtained by the guardian's electronic equipment from the guardian, and transmit it to the electronic equipment of the disabled in the health exper"&amp;"ts prepared by the received information to the health experts received. And the guardian's electronic equipment. It may include professional electronic equipment.")</f>
        <v>According to the use of various embodiments based on the various embodiments based on the application of a system storage of applications based on the three -party and the network, the information sharing platform of the non -factor -faced health information sharing platform, the information obtained from the fitness application registered by the health information sharing application, and transmitted the information obtained information obtained The information obtained by the guardian's electronic equipment of the guardian uses the electronic equipment of the disabled person to the electronic equipment and the electronic equipment of the guardian's electronic equipment and the electronic equipment of the guardian. Information sharing applications, and information obtained from the electronic equipment of the disabled use the network to receive the information obtained by the guardian's electronic equipment from the guardian, and transmit it to the electronic equipment of the disabled in the health experts prepared by the received information to the health experts received. And the guardian's electronic equipment. It may include professional electronic equipment.</v>
      </c>
      <c r="D1149" s="6" t="s">
        <v>3357</v>
      </c>
      <c r="E1149" s="4" t="str">
        <f ca="1">IFERROR(__xludf.DUMMYFUNCTION("GOOGLETRANSLATE(D1149,""auto"",""en"")"),"Based on the Internet of Things three -party health information sharing platform and mobile application/network system, the needs of the disabled, guardians and health professionals")</f>
        <v>Based on the Internet of Things three -party health information sharing platform and mobile application/network system, the needs of the disabled, guardians and health professionals</v>
      </c>
    </row>
    <row r="1150" spans="1:5" ht="15" x14ac:dyDescent="0.25">
      <c r="A1150" s="5" t="s">
        <v>3358</v>
      </c>
      <c r="B1150" s="6" t="s">
        <v>3359</v>
      </c>
      <c r="C1150" s="3" t="str">
        <f ca="1">IFERROR(__xludf.DUMMYFUNCTION("GOOGLETRANSLATE(B1150,""auto"",""en"")"),"Use artificial intelligence leadership counseling to provide systems, to systematically accumulate and manage the level of individual service users and the level of learning level, provide personalized training and feedback, and maximize the effect of lea"&amp;"dership counseling education. In addition, it also provides counseling service models optimized for Korean workers, providing applications, AI, database and notification functions, so that coaches that match customers can conduct convenient and effective "&amp;"counseling.")</f>
        <v>Use artificial intelligence leadership counseling to provide systems, to systematically accumulate and manage the level of individual service users and the level of learning level, provide personalized training and feedback, and maximize the effect of leadership counseling education. In addition, it also provides counseling service models optimized for Korean workers, providing applications, AI, database and notification functions, so that coaches that match customers can conduct convenient and effective counseling.</v>
      </c>
      <c r="D1150" s="6" t="s">
        <v>3360</v>
      </c>
      <c r="E1150" s="4" t="str">
        <f ca="1">IFERROR(__xludf.DUMMYFUNCTION("GOOGLETRANSLATE(D1150,""auto"",""en"")"),"Use artificial intelligence leadership counseling to provide systems and methods")</f>
        <v>Use artificial intelligence leadership counseling to provide systems and methods</v>
      </c>
    </row>
    <row r="1151" spans="1:5" ht="15" x14ac:dyDescent="0.25">
      <c r="A1151" s="5" t="s">
        <v>3361</v>
      </c>
      <c r="B1151" s="6" t="s">
        <v>3362</v>
      </c>
      <c r="C1151" s="3" t="str">
        <f ca="1">IFERROR(__xludf.DUMMYFUNCTION("GOOGLETRANSLATE(B1151,""auto"",""en"")"),"In sports analysis, the main motivation is the performance of analyzing teams or individual athletes. Based on analysis, the concept of analysis will help estimate or predict key opinions. Speaking of the analysis of the team's performance, it mainly depe"&amp;"nds on the team's historical data. The most important thing is to analyze the performance of the team. Here, we use artificial intelligence models and related technologies to build a athlete's personal performance analysis system -Sports Analytic System ("&amp;"SAS). In this system, we analyze the performance of each athlete based on the multi -level score system (MLSS). The MLSS integrates a variety of technologies, such as video analysis, data analysis of inertial sensor -based sensor -based inertial measureme"&amp;"nt units (IMU), and artificial intelligence models for predicting athletes. The key innovation is to use OpenSim software to analyze the performance of each athlete, which is used to analyze the complete biomechanical of athletes. Use OpenSim software to "&amp;"extract sports and dynamic data. According to the data, the model of the model is analyzed and predicted the athlete's performance in biomechanics. The muscle energy level is changing from the beginning of the game to the end of the game? ""All these key "&amp;"performance indicators are analyzed and predicted based on data, and predict the next performance level. This SAS personalized recommendation system can be used to evaluate the performance of individual athletes, which will help understand the health leve"&amp;"l of each athlete and indirectly help them get huge growth potential.")</f>
        <v>In sports analysis, the main motivation is the performance of analyzing teams or individual athletes. Based on analysis, the concept of analysis will help estimate or predict key opinions. Speaking of the analysis of the team's performance, it mainly depends on the team's historical data. The most important thing is to analyze the performance of the team. Here, we use artificial intelligence models and related technologies to build a athlete's personal performance analysis system -Sports Analytic System (SAS). In this system, we analyze the performance of each athlete based on the multi -level score system (MLSS). The MLSS integrates a variety of technologies, such as video analysis, data analysis of inertial sensor -based sensor -based inertial measurement units (IMU), and artificial intelligence models for predicting athletes. The key innovation is to use OpenSim software to analyze the performance of each athlete, which is used to analyze the complete biomechanical of athletes. Use OpenSim software to extract sports and dynamic data. According to the data, the model of the model is analyzed and predicted the athlete's performance in biomechanics. The muscle energy level is changing from the beginning of the game to the end of the game? "All these key performance indicators are analyzed and predicted based on data, and predict the next performance level. This SAS personalized recommendation system can be used to evaluate the performance of individual athletes, which will help understand the health level of each athlete and indirectly help them get huge growth potential.</v>
      </c>
      <c r="D1151" s="6" t="s">
        <v>3363</v>
      </c>
      <c r="E1151" s="4" t="str">
        <f ca="1">IFERROR(__xludf.DUMMYFUNCTION("GOOGLETRANSLATE(D1151,""auto"",""en"")"),"Sports Analysis System (SAS): Use an artificial intelligence model to evaluate and analyze the athlete's ability")</f>
        <v>Sports Analysis System (SAS): Use an artificial intelligence model to evaluate and analyze the athlete's ability</v>
      </c>
    </row>
    <row r="1152" spans="1:5" ht="15" x14ac:dyDescent="0.25">
      <c r="A1152" s="5" t="s">
        <v>3364</v>
      </c>
      <c r="B1152" s="6" t="s">
        <v>3365</v>
      </c>
      <c r="C1152" s="3" t="str">
        <f ca="1">IFERROR(__xludf.DUMMYFUNCTION("GOOGLETRANSLATE(B1152,""auto"",""en"")"),"This utility model involves the field of sporting goods technology, especially the skeleton jumping line detection device, including the control cabinet, which has a control cabinet connecting a compact sensor. The pole, the top of the expansion support r"&amp;"od is fixed with a shading cover, the surface of the sunshade is inlaid with a photovoltaic power generation board, which is fixed with a sound -optical bogrers in the inner surface of the shading cover. The battery connected to the board is a human -mach"&amp;"ine interaction interface inlaid with the upper end of the control cabinet. The beneficial effect is that: simple structure and convenient movement, solar power supply, can be used without relying on municipal electricity outside the outdoor, easy to inst"&amp;"all and use; Instead of manual judgment, the accuracy is high. You do not need to repair the venue after stepping on the line to save time.")</f>
        <v>This utility model involves the field of sporting goods technology, especially the skeleton jumping line detection device, including the control cabinet, which has a control cabinet connecting a compact sensor. The pole, the top of the expansion support rod is fixed with a shading cover, the surface of the sunshade is inlaid with a photovoltaic power generation board, which is fixed with a sound -optical bogrers in the inner surface of the shading cover. The battery connected to the board is a human -machine interaction interface inlaid with the upper end of the control cabinet. The beneficial effect is that: simple structure and convenient movement, solar power supply, can be used without relying on municipal electricity outside the outdoor, easy to install and use; Instead of manual judgment, the accuracy is high. You do not need to repair the venue after stepping on the line to save time.</v>
      </c>
      <c r="D1152" s="6" t="s">
        <v>3366</v>
      </c>
      <c r="E1152" s="4" t="str">
        <f ca="1">IFERROR(__xludf.DUMMYFUNCTION("GOOGLETRANSLATE(D1152,""auto"",""en"")"),"A kind of sand pit jump remote use of a step -by -line detection device")</f>
        <v>A kind of sand pit jump remote use of a step -by -line detection device</v>
      </c>
    </row>
    <row r="1153" spans="1:5" ht="15" x14ac:dyDescent="0.25">
      <c r="A1153" s="5" t="s">
        <v>3367</v>
      </c>
      <c r="B1153" s="6" t="s">
        <v>3368</v>
      </c>
      <c r="C1153" s="3" t="str">
        <f ca="1">IFERROR(__xludf.DUMMYFUNCTION("GOOGLETRANSLATE(B1153,""auto"",""en"")"),"Provides a system and method of predicting game data to generate game data to generate hypothetical or real future games. This method includes receiving at least one input data: I) one or more historical data of previous games, including scoring informati"&amp;"on, or II) one or more previous games. The abstract space, the abstract space provides an abstraction containing the number of players and/or team attributes. This method also includes using at least one machine learning technology to refer to one or more"&amp;" predictions of the game attribute; it provides one or more predicted output data including the game attribute.")</f>
        <v>Provides a system and method of predicting game data to generate game data to generate hypothetical or real future games. This method includes receiving at least one input data: I) one or more historical data of previous games, including scoring information, or II) one or more previous games. The abstract space, the abstract space provides an abstraction containing the number of players and/or team attributes. This method also includes using at least one machine learning technology to refer to one or more predictions of the game attribute; it provides one or more predicted output data including the game attribute.</v>
      </c>
      <c r="D1153" s="6" t="s">
        <v>3369</v>
      </c>
      <c r="E1153" s="4" t="str">
        <f ca="1">IFERROR(__xludf.DUMMYFUNCTION("GOOGLETRANSLATE(D1153,""auto"",""en"")"),"Systems and methods for players and team modeling and predictions in sports and games")</f>
        <v>Systems and methods for players and team modeling and predictions in sports and games</v>
      </c>
    </row>
    <row r="1154" spans="1:5" ht="15" x14ac:dyDescent="0.25">
      <c r="A1154" s="5" t="s">
        <v>3370</v>
      </c>
      <c r="B1154" s="6" t="s">
        <v>3371</v>
      </c>
      <c r="C1154" s="3" t="str">
        <f ca="1">IFERROR(__xludf.DUMMYFUNCTION("GOOGLETRANSLATE(B1154,""auto"",""en"")"),"The present invention disclosed an angle of intelligent visual image transmission methods in the process of basketball projection based on machine learning, including the following steps: the image data for the angle for correction of the basketball proce"&amp;"sses by the server; the server will be used to correct basketball projection The image data of the angle in the process is sent to the base station; the image data in response to the angle that receives the angle in the projection of basketball is receive"&amp;"d. Re -configure the message receiving the RRC connection, the first reference signal sent by the mobile terminal monitoring the second lower link of the secondary link and the second reference signal sent on the third down link carrier; Whether the signa"&amp;"l quality is greater than the signal quality limits, and the mobile terminal determines whether the signal quality of the second reference signal is greater than the signal quality limit.")</f>
        <v>The present invention disclosed an angle of intelligent visual image transmission methods in the process of basketball projection based on machine learning, including the following steps: the image data for the angle for correction of the basketball processes by the server; the server will be used to correct basketball projection The image data of the angle in the process is sent to the base station; the image data in response to the angle that receives the angle in the projection of basketball is received. Re -configure the message receiving the RRC connection, the first reference signal sent by the mobile terminal monitoring the second lower link of the secondary link and the second reference signal sent on the third down link carrier; Whether the signal quality is greater than the signal quality limits, and the mobile terminal determines whether the signal quality of the second reference signal is greater than the signal quality limit.</v>
      </c>
      <c r="D1154" s="6" t="s">
        <v>3372</v>
      </c>
      <c r="E1154" s="4" t="str">
        <f ca="1">IFERROR(__xludf.DUMMYFUNCTION("GOOGLETRANSLATE(D1154,""auto"",""en"")"),"Intelligent visual image transmission methods and systems in the process of basketball based on machine learning")</f>
        <v>Intelligent visual image transmission methods and systems in the process of basketball based on machine learning</v>
      </c>
    </row>
    <row r="1155" spans="1:5" ht="15" x14ac:dyDescent="0.25">
      <c r="A1155" s="5" t="s">
        <v>3373</v>
      </c>
      <c r="B1155" s="6" t="s">
        <v>3374</v>
      </c>
      <c r="C1155" s="3" t="str">
        <f ca="1">IFERROR(__xludf.DUMMYFUNCTION("GOOGLETRANSLATE(B1155,""auto"",""en"")"),"1. Design product name: Graphic user interface of the graphics module of the display screen panel.
 2. Design products in appearance: used for running procedures, information display, and human -computer interaction.
 3. Design of the design of the pr"&amp;"oduct in this exterior: lies in the interface content of the graphic user interface in the screen.
 4. Pictures or photos that can best show design: Design 1 main view.
 5. Specify design 1 is the basic design.
 6. The purpose of the graphic user in"&amp;"terface: Design 1 The main view is the level joint overview interface of the class joint topological module. The interface displays the longitudinal chain node and node details. You can turn on the mouse zoom mode. The user clicks the arrow button of the "&amp;"navigation bar on the left and pops up the window to the right. If the design 1 changing status diagram is shown, click the tree node of the pop -up window to quickly locate to any node.
 Design 2 Main view is the level joint overview interface of the c"&amp;"lass joint topological module. The mouse suspension is suspended on the non -leaf node. The suspension window appears. The suspension window displays the details of the node. Enter the details of the node, as shown in design 2 changes.
 Design 3 main vi"&amp;"ews are the details interface of the node of the class lead topology module. Click the bread crumb navigation in the upper left corner to return to the previous level, as shown in the design 3 change status diagram.
 Design 4 The main view is the detail"&amp;"ed interface of the node of the class lead topological module. Click on any node, and the window pops up on the right. In the window, the resource list of the node is displayed, as shown in the design 4 change status diagram.
 Design 5 main views as a l"&amp;"evel joint overview interface of the class joint topology module. Click the arrow in the upper right corner of the node to the node display method switched to the horizontal chain. If the design 5 changes status diagram, click the arrow in the upper right"&amp;" corner of the node again. Design 5 main view.
 Design 6 Main view is the level joint overview interface of the class lead topology module. The interface displays the longitudinal chain nodes and node details. The view can be dragged, enlarged, can be r"&amp;"educed, ""1: 1"" restores, can open the mouse zoom mode, user users, users Click the arrow button of the navigation bar on the left to pop up the window to the right. If the design 6 changes state diagram shown, click the tree node of the pop -up window t"&amp;"o quickly locate to any node.
 Design 7 main views are the level joint overview interface of the class lead topology module. The mouse suspension is hovering on a non -leaf node. The suspension window appears. The suspension window displays the details "&amp;"of the node. Enter the details of the node, as shown in the design 7 change state. 2.
 Design 8 main views are the details interface of the node of the class lead topological module. Click the bread crumb navigation in the upper left corner to return to"&amp;" the previous level, as shown in the design 8 change status diagram.
 Design 9 main views are the details interface of the node of the class lead topology. Click on any node and the window pops up on the right. The list of the resource list of the node "&amp;"is displayed in the window.
 Design 10 main views as a level joint overview interface of the class lead topology module. Click the arrow in the upper right corner of the node to the node display method switched to the horizontal chain. If the design 10 "&amp;"changes state diagram shown, click the arrow in the upper right corner of the node again. Design 10 main views.
 7. Other instructions: Design 6 to Design 10 Request protection.
 8.该显示屏幕面板应用于车辆、计算机、笔记本电脑、平板电脑、手机、智能手表、智能手环、健身监视器、头戴式耳机、个人数字助理（PDA）、智能音箱、"&amp;"电视、机顶盒、 Projector, game console or navigator.")</f>
        <v>1. Design product name: Graphic user interface of the graphics module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 user interface: Design 1 The main view is the level joint overview interface of the class joint topological module. The interface displays the longitudinal chain node and node details. You can turn on the mouse zoom mode. The user clicks the arrow button of the navigation bar on the left and pops up the window to the right. If the design 1 changing status diagram is shown, click the tree node of the pop -up window to quickly locate to any node.
 Design 2 Main view is the level joint overview interface of the class joint topological module. The mouse suspension is suspended on the non -leaf node. The suspension window appears. The suspension window displays the details of the node. Enter the details of the node, as shown in design 2 changes.
 Design 3 main views are the details interface of the node of the class lead topology module. Click the bread crumb navigation in the upper left corner to return to the previous level, as shown in the design 3 change status diagram.
 Design 4 The main view is the detailed interface of the node of the class lead topological module. Click on any node, and the window pops up on the right. In the window, the resource list of the node is displayed, as shown in the design 4 change status diagram.
 Design 5 main views as a level joint overview interface of the class joint topology module. Click the arrow in the upper right corner of the node to the node display method switched to the horizontal chain. If the design 5 changes status diagram, click the arrow in the upper right corner of the node again. Design 5 main view.
 Design 6 Main view is the level joint overview interface of the class lead topology module. The interface displays the longitudinal chain nodes and node details. The view can be dragged, enlarged, can be reduced, "1: 1" restores, can open the mouse zoom mode, user users, users Click the arrow button of the navigation bar on the left to pop up the window to the right. If the design 6 changes state diagram shown, click the tree node of the pop -up window to quickly locate to any node.
 Design 7 main views are the level joint overview interface of the class lead topology module. The mouse suspension is hovering on a non -leaf node. The suspension window appears. The suspension window displays the details of the node. Enter the details of the node, as shown in the design 7 change state. 2.
 Design 8 main views are the details interface of the node of the class lead topological module. Click the bread crumb navigation in the upper left corner to return to the previous level, as shown in the design 8 change status diagram.
 Design 9 main views are the details interface of the node of the class lead topology. Click on any node and the window pops up on the right. The list of the resource list of the node is displayed in the window.
 Design 10 main views as a level joint overview interface of the class lead topology module. Click the arrow in the upper right corner of the node to the node display method switched to the horizontal chain. If the design 10 changes state diagram shown, click the arrow in the upper right corner of the node again. Design 10 main views.
 7. Other instructions: Design 6 to Design 10 Request protection.
 8.该显示屏幕面板应用于车辆、计算机、笔记本电脑、平板电脑、手机、智能手表、智能手环、健身监视器、头戴式耳机、个人数字助理（PDA）、智能音箱、电视、机顶盒、 Projector, game console or navigator.</v>
      </c>
      <c r="D1155" s="6" t="s">
        <v>3375</v>
      </c>
      <c r="E1155" s="4" t="str">
        <f ca="1">IFERROR(__xludf.DUMMYFUNCTION("GOOGLETRANSLATE(D1155,""auto"",""en"")"),"Display screen panel Grade United topological module graphics user interface")</f>
        <v>Display screen panel Grade United topological module graphics user interface</v>
      </c>
    </row>
    <row r="1156" spans="1:5" ht="15" x14ac:dyDescent="0.25">
      <c r="A1156" s="5" t="s">
        <v>3376</v>
      </c>
      <c r="B1156" s="6" t="s">
        <v>3377</v>
      </c>
      <c r="C1156" s="3" t="str">
        <f ca="1">IFERROR(__xludf.DUMMYFUNCTION("GOOGLETRANSLATE(B1156,""auto"",""en"")"),"The present invention is open to the field of computer visual image recognition technology. It is specifically an abnormal running identification method based on deep sensors and machine learning, including the following operation steps: Step 1: The deep "&amp;"image of running runners runs on the treadmill through deep camera collecting runners And color image, step 2: use OpenPose on color images for human joint node detection. Step 3: Imam on the human joints on the color image to deep images, obtain the coor"&amp;"dinates of the three -dimensional joint node of the human body, and the present invention can automatically identify the real -time real -time identification out Whether the runner's posture is abnormal, and reminds the runner in real time to correct the "&amp;"specific error location and reduce the probability of exercise damage.")</f>
        <v>The present invention is open to the field of computer visual image recognition technology. It is specifically an abnormal running identification method based on deep sensors and machine learning, including the following operation steps: Step 1: The deep image of running runners runs on the treadmill through deep camera collecting runners And color image, step 2: use OpenPose on color images for human joint node detection. Step 3: Imam on the human joints on the color image to deep images, obtain the coordinates of the three -dimensional joint node of the human body, and the present invention can automatically identify the real -time real -time identification out Whether the runner's posture is abnormal, and reminds the runner in real time to correct the specific error location and reduce the probability of exercise damage.</v>
      </c>
      <c r="D1156" s="6" t="s">
        <v>3378</v>
      </c>
      <c r="E1156" s="4" t="str">
        <f ca="1">IFERROR(__xludf.DUMMYFUNCTION("GOOGLETRANSLATE(D1156,""auto"",""en"")"),"An abnormal running identification method based on deep sensor and machine learning")</f>
        <v>An abnormal running identification method based on deep sensor and machine learning</v>
      </c>
    </row>
    <row r="1157" spans="1:5" ht="15" x14ac:dyDescent="0.25">
      <c r="A1157" s="5" t="s">
        <v>3379</v>
      </c>
      <c r="B1157" s="6" t="s">
        <v>3380</v>
      </c>
      <c r="C1157" s="3" t="str">
        <f ca="1">IFERROR(__xludf.DUMMYFUNCTION("GOOGLETRANSLATE(B1157,""auto"",""en"")"),"The invention involves a smart slippers with a healthy monitoring function. The invention consists of a data collection system, data processing system and data transmission system. In the present invention, the pressure sensor is used to collect the press"&amp;"ure data of slippers and shoe soles in different activities such as walking, running, and jogging, and use machine learning algorithms to process the data to calculate the total exercise time. Here, you can use machine learning algorithms to distinguish t"&amp;"he total time of walking, jogging and running.")</f>
        <v>The invention involves a smart slippers with a healthy monitoring function. The invention consists of a data collection system, data processing system and data transmission system. In the present invention, the pressure sensor is used to collect the pressure data of slippers and shoe soles in different activities such as walking, running, and jogging, and use machine learning algorithms to process the data to calculate the total exercise time. Here, you can use machine learning algorithms to distinguish the total time of walking, jogging and running.</v>
      </c>
      <c r="D1157" s="6" t="s">
        <v>3381</v>
      </c>
      <c r="E1157" s="4" t="str">
        <f ca="1">IFERROR(__xludf.DUMMYFUNCTION("GOOGLETRANSLATE(D1157,""auto"",""en"")"),"Smart slippers with health monitoring functions")</f>
        <v>Smart slippers with health monitoring functions</v>
      </c>
    </row>
    <row r="1158" spans="1:5" ht="15" x14ac:dyDescent="0.25">
      <c r="A1158" s="5" t="s">
        <v>3382</v>
      </c>
      <c r="B1158" s="6" t="s">
        <v>3383</v>
      </c>
      <c r="C1158" s="3" t="str">
        <f ca="1">IFERROR(__xludf.DUMMYFUNCTION("GOOGLETRANSLATE(B1158,""auto"",""en"")"),"1. The name of the product in this exterior: The data fusion graphic user interface of the display screen panel.
 2. Design products in appearance: used for running procedures, information display, and human -computer interaction.
 3. Design of the de"&amp;"sign of the product in this exterior: lies in the interface content of the graphic user interface in the screen.
 4. Pictures or photos that can best show design: Design 1 main view.
 5. Specify design 1 is the basic design.
 6. The purpose of the g"&amp;"raphical user interface: This graphic user interface is used in the fusion of various big data in the coal mine field.
 Click on the interface for nearly one week, nearly January, nearly three days, and today to switch to see the data information of dif"&amp;"ferent time periods.
 7. Design 2 Request to protect color.
 8、该显示屏幕面板应用于车辆、计算机、笔记本电脑、平板电脑、手机、智能手表、智能手环、健身监视器、头戴式耳机、个人数字助理（PDA）、智能音箱、电视、机顶盒、 Projector, game console or navigator.")</f>
        <v>1. The name of the product in this exterior: The data fusion graphic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This graphic user interface is used in the fusion of various big data in the coal mine field.
 Click on the interface for nearly one week, nearly January, nearly three days, and today to switch to see the data information of different time periods.
 7. Design 2 Request to protect color.
 8、该显示屏幕面板应用于车辆、计算机、笔记本电脑、平板电脑、手机、智能手表、智能手环、健身监视器、头戴式耳机、个人数字助理（PDA）、智能音箱、电视、机顶盒、 Projector, game console or navigator.</v>
      </c>
      <c r="D1158" s="6" t="s">
        <v>3384</v>
      </c>
      <c r="E1158" s="4" t="str">
        <f ca="1">IFERROR(__xludf.DUMMYFUNCTION("GOOGLETRANSLATE(D1158,""auto"",""en"")"),"Display screen panel data fusion graphic user interface")</f>
        <v>Display screen panel data fusion graphic user interface</v>
      </c>
    </row>
    <row r="1159" spans="1:5" ht="15" x14ac:dyDescent="0.25">
      <c r="A1159" s="5" t="s">
        <v>3385</v>
      </c>
      <c r="B1159" s="6" t="s">
        <v>3386</v>
      </c>
      <c r="C1159" s="3" t="str">
        <f ca="1">IFERROR(__xludf.DUMMYFUNCTION("GOOGLETRANSLATE(B1159,""auto"",""en"")"),"1. The name of the product of the design of the product: The data of the display screen panel is connected to the graphical user interface.
 2. Design products in appearance: used for running procedures, information display, and human -computer interact"&amp;"ion.
 3. Design of the design of the product in this exterior: lies in the interface content of the graphic user interface in the screen.
 4. Pictures or photos that can best show design: Design 1 main view.
 5. Specify design 1 is the basic design."&amp;"
 6. The purpose of the graphical user interface: Design 1 Master View and Design 2 Main Views are data access interfaces for big data fusion sharing platforms.
 7. Design 2 Request to protect color.
 8.该显示屏幕面板应用于车辆、计算机、笔记本电脑、平板电脑、手机、智能手表、智能手环、健身监视器"&amp;"、头戴式耳机、个人数字助理（PDA）、智能音箱、电视、机顶盒、 Projector, game console or navigator.")</f>
        <v>1. The name of the product of the design of the product: The data of the display screen panel is connected to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Master View and Design 2 Main Views are data access interfaces for big data fusion sharing platforms.
 7. Design 2 Request to protect color.
 8.该显示屏幕面板应用于车辆、计算机、笔记本电脑、平板电脑、手机、智能手表、智能手环、健身监视器、头戴式耳机、个人数字助理（PDA）、智能音箱、电视、机顶盒、 Projector, game console or navigator.</v>
      </c>
      <c r="D1159" s="6" t="s">
        <v>3387</v>
      </c>
      <c r="E1159" s="4" t="str">
        <f ca="1">IFERROR(__xludf.DUMMYFUNCTION("GOOGLETRANSLATE(D1159,""auto"",""en"")"),"The data access graphics user interface of the display screen panel")</f>
        <v>The data access graphics user interface of the display screen panel</v>
      </c>
    </row>
    <row r="1160" spans="1:5" ht="15" x14ac:dyDescent="0.25">
      <c r="A1160" s="5" t="s">
        <v>3388</v>
      </c>
      <c r="B1160" s="6" t="s">
        <v>3389</v>
      </c>
      <c r="C1160" s="3" t="str">
        <f ca="1">IFERROR(__xludf.DUMMYFUNCTION("GOOGLETRANSLATE(B1160,""auto"",""en"")"),"The present invention provides a method of holding urban site selection based on major sports events based on deep learning. The trained models described by the present invention can be applied every time when a major sports event requires a major sports "&amp;"event to hold a city site selection, it is determined by machine learning to directly. The maximum economic income is guided into an important degree of the indicators that affect the indicators of the city selection of major sports events, determine the "&amp;"weight K 'matrix, and combine the TOPSIS analysis method, to obtain the closest to the most ideal solution at the same time as the most negative ideal solution distance. The farthest candidate address. The urban site selection method described by the inve"&amp;"ntion based on major sports events described by the present invention efficiently solve the disadvantages of decision -making when the city's choice is too dependent on subjective opinions.")</f>
        <v>The present invention provides a method of holding urban site selection based on major sports events based on deep learning. The trained models described by the present invention can be applied every time when a major sports event requires a major sports event to hold a city site selection, it is determined by machine learning to directly. The maximum economic income is guided into an important degree of the indicators that affect the indicators of the city selection of major sports events, determine the weight K 'matrix, and combine the TOPSIS analysis method, to obtain the closest to the most ideal solution at the same time as the most negative ideal solution distance. The farthest candidate address. The urban site selection method described by the invention based on major sports events described by the present invention efficiently solve the disadvantages of decision -making when the city's choice is too dependent on subjective opinions.</v>
      </c>
      <c r="D1160" s="6" t="s">
        <v>3390</v>
      </c>
      <c r="E1160" s="4" t="str">
        <f ca="1">IFERROR(__xludf.DUMMYFUNCTION("GOOGLETRANSLATE(D1160,""auto"",""en"")"),"Make -based sports competitions based on deep learning to hold urban site selection methods")</f>
        <v>Make -based sports competitions based on deep learning to hold urban site selection methods</v>
      </c>
    </row>
    <row r="1161" spans="1:5" ht="15" x14ac:dyDescent="0.25">
      <c r="A1161" s="5" t="s">
        <v>3391</v>
      </c>
      <c r="B1161" s="6" t="s">
        <v>3392</v>
      </c>
      <c r="C1161" s="3" t="str">
        <f ca="1">IFERROR(__xludf.DUMMYFUNCTION("GOOGLETRANSLATE(B1161,""auto"",""en"")"),"The present invention is a method of evacuation evaluation based on the EM cluster algorithm. The invention uses the most adjacent algorithm of K to reasonably classify the newly discovered factors, so that it can simplify the comprehensive and complicate"&amp;"d data in collecting evacuation factors. The weight of the influence of the stadium evacuation factors is mainly determined by expert predictions. It has certain experience inertia and is not objective enough. The present invention uses the pagerank algor"&amp;"ithm weight weight, making the evaluation results objective. In the face of the current algorithm that handles the stadium evacuation evaluation, the more complicated the more complicated results, the more complicated, and the dilemma of the high time and"&amp;" performance cost of calculation, the present invention proposes to use the EM aggregation algorithm comprehensive processing data to avoid using the neural network to make the algorithm complicated complicated It can also get the results of the best stad"&amp;"ium evacuation evaluation results.")</f>
        <v>The present invention is a method of evacuation evaluation based on the EM cluster algorithm. The invention uses the most adjacent algorithm of K to reasonably classify the newly discovered factors, so that it can simplify the comprehensive and complicated data in collecting evacuation factors. The weight of the influence of the stadium evacuation factors is mainly determined by expert predictions. It has certain experience inertia and is not objective enough. The present invention uses the pagerank algorithm weight weight, making the evaluation results objective. In the face of the current algorithm that handles the stadium evacuation evaluation, the more complicated the more complicated results, the more complicated, and the dilemma of the high time and performance cost of calculation, the present invention proposes to use the EM aggregation algorithm comprehensive processing data to avoid using the neural network to make the algorithm complicated complicated It can also get the results of the best stadium evacuation evaluation results.</v>
      </c>
      <c r="D1161" s="6" t="s">
        <v>3393</v>
      </c>
      <c r="E1161" s="4" t="str">
        <f ca="1">IFERROR(__xludf.DUMMYFUNCTION("GOOGLETRANSLATE(D1161,""auto"",""en"")"),"A method of evacuation evaluation based on the EM cluster algorithm")</f>
        <v>A method of evacuation evaluation based on the EM cluster algorithm</v>
      </c>
    </row>
    <row r="1162" spans="1:5" ht="15" x14ac:dyDescent="0.25">
      <c r="A1162" s="5" t="s">
        <v>3394</v>
      </c>
      <c r="B1162" s="6" t="s">
        <v>3395</v>
      </c>
      <c r="C1162" s="3" t="str">
        <f ca="1">IFERROR(__xludf.DUMMYFUNCTION("GOOGLETRANSLATE(B1162,""auto"",""en"")"),"The present invention discloses a exercise equipment and portable electric fitness equipment. The exercise equipment includes shell components, multiple power components, and fixed components. Exercise provides support, when the exercise equipment is plac"&amp;"ed between two vertical surfaces, and the support body and vertical surface are repaid, which is convenient for fixed exercise equipment. When the operator is used, due to the force of the operator, the adjustment of the operator is adjusting the adjustme"&amp;"nt of the adjustment. The existence of the mind instrument is facilitated to ensure the balance when the first shell is used. When exercising the exercise equipment as a tensile, the operator can control the control of the winding mechanism and guide agen"&amp;"cy by manually operating the control board. Under the restrictions of the rolling mechanism, the rope provides the required resistance to the pull to achieve better exercise effects, and provides human -machine interaction functions to guide the existence"&amp;" of the mechanism, which reduces the wear of ropes during the ropes.")</f>
        <v>The present invention discloses a exercise equipment and portable electric fitness equipment. The exercise equipment includes shell components, multiple power components, and fixed components. Exercise provides support, when the exercise equipment is placed between two vertical surfaces, and the support body and vertical surface are repaid, which is convenient for fixed exercise equipment. When the operator is used, due to the force of the operator, the adjustment of the operator is adjusting the adjustment of the adjustment. The existence of the mind instrument is facilitated to ensure the balance when the first shell is used. When exercising the exercise equipment as a tensile, the operator can control the control of the winding mechanism and guide agency by manually operating the control board. Under the restrictions of the rolling mechanism, the rope provides the required resistance to the pull to achieve better exercise effects, and provides human -machine interaction functions to guide the existence of the mechanism, which reduces the wear of ropes during the ropes.</v>
      </c>
      <c r="D1162" s="6" t="s">
        <v>3396</v>
      </c>
      <c r="E1162" s="4" t="str">
        <f ca="1">IFERROR(__xludf.DUMMYFUNCTION("GOOGLETRANSLATE(D1162,""auto"",""en"")"),"Exercise equipment and portable electric fitness equipment")</f>
        <v>Exercise equipment and portable electric fitness equipment</v>
      </c>
    </row>
    <row r="1163" spans="1:5" ht="15" x14ac:dyDescent="0.25">
      <c r="A1163" s="5" t="s">
        <v>3397</v>
      </c>
      <c r="B1163" s="6" t="s">
        <v>3398</v>
      </c>
      <c r="C1163" s="3" t="str">
        <f ca="1">IFERROR(__xludf.DUMMYFUNCTION("GOOGLETRANSLATE(B1163,""auto"",""en"")"),"The present invention provides a method of automatic switching door test monitoring method, which is characterized by the following steps: the number of switches door; obtaining the number of switches that have been performed; determining whether the numb"&amp;"er of booked switches has been completed; if the scheduled switch has been completed If the number of doors, the key rotation of the homepage is performed; if the scheduled switching door is not completed, the switching door operation is continued; and at"&amp;" the same time, the door condition and the workflow are simultaneously monitored simultaneously. The present invention can achieve high -efficiency, high reliability, and unattended work during the test and switch test of the train switch, which greatly i"&amp;"mproves operational efficiency, avoids inefficient, time -consuming energy and energy caused by artificial value. The human -machine interaction is friendly, the overall operation is simple and easy to maintain, and it is convenient for employees to quick"&amp;"ly and effectively grasp the use of automotive -door testing devices.")</f>
        <v>The present invention provides a method of automatic switching door test monitoring method, which is characterized by the following steps: the number of switches door; obtaining the number of switches that have been performed; determining whether the number of booked switches has been completed; if the scheduled switch has been completed If the number of doors, the key rotation of the homepage is performed; if the scheduled switching door is not completed, the switching door operation is continued; and at the same time, the door condition and the workflow are simultaneously monitored simultaneously. The present invention can achieve high -efficiency, high reliability, and unattended work during the test and switch test of the train switch, which greatly improves operational efficiency, avoids inefficient, time -consuming energy and energy caused by artificial value. The human -machine interaction is friendly, the overall operation is simple and easy to maintain, and it is convenient for employees to quickly and effectively grasp the use of automotive -door testing devices.</v>
      </c>
      <c r="D1163" s="6" t="s">
        <v>3399</v>
      </c>
      <c r="E1163" s="4" t="str">
        <f ca="1">IFERROR(__xludf.DUMMYFUNCTION("GOOGLETRANSLATE(D1163,""auto"",""en"")"),"An automatic switch door test monitoring device and monitoring method")</f>
        <v>An automatic switch door test monitoring device and monitoring method</v>
      </c>
    </row>
    <row r="1164" spans="1:5" ht="15" x14ac:dyDescent="0.25">
      <c r="A1164" s="5" t="s">
        <v>3400</v>
      </c>
      <c r="B1164" s="6" t="s">
        <v>3401</v>
      </c>
      <c r="C1164" s="3" t="str">
        <f ca="1">IFERROR(__xludf.DUMMYFUNCTION("GOOGLETRANSLATE(B1164,""auto"",""en"")"),"1. Design product name: Display screen panel with the urban network shooting range user interface.
 2. Design products in appearance: used for display and interaction.
 3. Design of the design of the product in appearance: lies in the graphic user int"&amp;"erface.
 4. Pictures or photos that can most indicate design points: main view.
 5. Do not involve design points, omit the rear view, left view, right view, down -view view, and upper view of the display screen panel.
 6. The purpose of the graphica"&amp;"l user interface: This graphic user interface is used to simulate the urban shooting range, and the urban -level network -level shooting range is not visible/difficult to understand.
 7. Human -computer interaction method of graphics user interface: The"&amp;" main view is the main interface of the urban -level network shooting range. This interface mainly analyzes and display the city's security scenes, key infrastructure trends, urban risks and emergency disposal. Services, energy, transportation, government"&amp;" media and other modules, the interface includes urban security index, key infrastructure trend, risk index and emergency response activity index. Risk and emergency response are dynamically played; as the change of each scene safety index is converted to"&amp;" the interface displayed in the state of change state, the 3D city display interface will change according to the different safety indexes of each scene. White is safe. Green is low -risk, yellow is the middle danger, orange is high risk, and red is paral"&amp;"yzed; when an important system important system of a key infrastructure is captured to the interface displayed in the changes 2; The interface shown in the change state after the attack is converted.
 8. The display screen panel is used for mobile phone"&amp;"s, tablets, desktop computers and electronic screens.")</f>
        <v>1. Design product name: Display screen panel with the urban network shooting range user interface.
 2. Design products in appearance: used for display and interaction.
 3. Design of the design of the product in appearance: lies in the graphic user interface.
 4. Pictures or photos that can most indicate design points: main view.
 5. Do not involve design points, omit the rear view, left view, right view, down -view view, and upper view of the display screen panel.
 6. The purpose of the graphical user interface: This graphic user interface is used to simulate the urban shooting range, and the urban -level network -level shooting range is not visible/difficult to understand.
 7. Human -computer interaction method of graphics user interface: The main view is the main interface of the urban -level network shooting range. This interface mainly analyzes and display the city's security scenes, key infrastructure trends, urban risks and emergency disposal. Services, energy, transportation, government media and other modules, the interface includes urban security index, key infrastructure trend, risk index and emergency response activity index. Risk and emergency response are dynamically played; as the change of each scene safety index is converted to the interface displayed in the state of change state, the 3D city display interface will change according to the different safety indexes of each scene. White is safe. Green is low -risk, yellow is the middle danger, orange is high risk, and red is paralyzed; when an important system important system of a key infrastructure is captured to the interface displayed in the changes 2; The interface shown in the change state after the attack is converted.
 8. The display screen panel is used for mobile phones, tablets, desktop computers and electronic screens.</v>
      </c>
      <c r="D1164" s="6" t="s">
        <v>3402</v>
      </c>
      <c r="E1164" s="4" t="str">
        <f ca="1">IFERROR(__xludf.DUMMYFUNCTION("GOOGLETRANSLATE(D1164,""auto"",""en"")"),"Display screen panel with urban network shooting range graphics user interface")</f>
        <v>Display screen panel with urban network shooting range graphics user interface</v>
      </c>
    </row>
    <row r="1165" spans="1:5" ht="15" x14ac:dyDescent="0.25">
      <c r="A1165" s="5" t="s">
        <v>3403</v>
      </c>
      <c r="B1165" s="6" t="s">
        <v>3404</v>
      </c>
      <c r="C1165" s="3" t="str">
        <f ca="1">IFERROR(__xludf.DUMMYFUNCTION("GOOGLETRANSLATE(B1165,""auto"",""en"")"),"This utility model opens a kind of exercise equipment and portable electric fitness equipment. The exercise equipment includes shell components, multiple power components, and fixed components. Exercise provides support, when the exercise equipment is pla"&amp;"ced between two vertical surfaces, and the support body and vertical surface are replaced, which is convenient for fixed exercise equipment. When the operator uses it, due to the force of the operator, it is on the force of the operator. The existence of "&amp;"the heartwriter is to ensure the balance of the first shell when the first shell is used. When exercising the exercise equipment as a tensile, the operator can control the control of the rolling mechanism and guide agency by manually operating the control"&amp;" board. Pulling the rope, under the restrictions of the winding mechanism, provide the required resistance to the pull, achieve better exercise effects, and provide human -machine interaction functions, guide the existence of the mechanism, and reduce the"&amp;" wear of the rope during the rope movement.")</f>
        <v>This utility model opens a kind of exercise equipment and portable electric fitness equipment. The exercise equipment includes shell components, multiple power components, and fixed components. Exercise provides support, when the exercise equipment is placed between two vertical surfaces, and the support body and vertical surface are replaced, which is convenient for fixed exercise equipment. When the operator uses it, due to the force of the operator, it is on the force of the operator. The existence of the heartwriter is to ensure the balance of the first shell when the first shell is used. When exercising the exercise equipment as a tensile, the operator can control the control of the rolling mechanism and guide agency by manually operating the control board. Pulling the rope, under the restrictions of the winding mechanism, provide the required resistance to the pull, achieve better exercise effects, and provide human -machine interaction functions, guide the existence of the mechanism, and reduce the wear of the rope during the rope movement.</v>
      </c>
      <c r="D1165" s="6" t="s">
        <v>3396</v>
      </c>
      <c r="E1165" s="4" t="str">
        <f ca="1">IFERROR(__xludf.DUMMYFUNCTION("GOOGLETRANSLATE(D1165,""auto"",""en"")"),"Exercise equipment and portable electric fitness equipment")</f>
        <v>Exercise equipment and portable electric fitness equipment</v>
      </c>
    </row>
    <row r="1166" spans="1:5" ht="15" x14ac:dyDescent="0.25">
      <c r="A1166" s="5" t="s">
        <v>3405</v>
      </c>
      <c r="B1166" s="6" t="s">
        <v>3406</v>
      </c>
      <c r="C1166" s="3" t="str">
        <f ca="1">IFERROR(__xludf.DUMMYFUNCTION("GOOGLETRANSLATE(B1166,""auto"",""en"")"),"An interactive abdominal exercise training device, including the first and second group of cylindrical brackets 4, users align their feet in the second set of brackets and hold the first set of brackets 4, and interore with the display unit 1 to imagine i"&amp;"maging Unit 6 generates the user configuration file input the current weight and fitness target, which contains multiple sensors in the bracket 10 to detect the muscle contraction and health 10 parameters of the arm/leg. 9 and Display Unit 1 The data rece"&amp;"ived among beginners supports the user's arm or intermediate level. When the user reaches the correct posture, the suction module 5 surrounding the device base 5 will generate tension Generate audio commands, calculate the number of groups performed by th"&amp;"e calculation, and receive the time interval between the increase/reduction of the exercise group in the expert -level training.")</f>
        <v>An interactive abdominal exercise training device, including the first and second group of cylindrical brackets 4, users align their feet in the second set of brackets and hold the first set of brackets 4, and interore with the display unit 1 to imagine imaging Unit 6 generates the user configuration file input the current weight and fitness target, which contains multiple sensors in the bracket 10 to detect the muscle contraction and health 10 parameters of the arm/leg. 9 and Display Unit 1 The data received among beginners supports the user's arm or intermediate level. When the user reaches the correct posture, the suction module 5 surrounding the device base 5 will generate tension Generate audio commands, calculate the number of groups performed by the calculation, and receive the time interval between the increase/reduction of the exercise group in the expert -level training.</v>
      </c>
      <c r="D1166" s="6" t="s">
        <v>3407</v>
      </c>
      <c r="E1166" s="4" t="str">
        <f ca="1">IFERROR(__xludf.DUMMYFUNCTION("GOOGLETRANSLATE(D1166,""auto"",""en"")"),"Interactive abdominal exercise training device")</f>
        <v>Interactive abdominal exercise training device</v>
      </c>
    </row>
    <row r="1167" spans="1:5" ht="15" x14ac:dyDescent="0.25">
      <c r="A1167" s="5" t="s">
        <v>3408</v>
      </c>
      <c r="B1167" s="6" t="s">
        <v>3409</v>
      </c>
      <c r="C1167" s="3" t="str">
        <f ca="1">IFERROR(__xludf.DUMMYFUNCTION("GOOGLETRANSLATE(B1167,""auto"",""en"")"),"Artificial intelligence (AI) is a set of computing units that can be realized. Provide human observer with the ability to imitate human thinking process. It uses a set of naturally inspired calculation methods to simulate complex practical problems, of wh"&amp;"ich mathematics or traditional modeling is unsuccessful or unreliable. Artificial intelligence is based on human brain models. This model uses inaccurate and imperfect information, and has a behavioral response based on experience obtained over time. In t"&amp;"he cricket game, the referee will continue to monitor the ballless line, which is a foul. The proposed work implements a laser distance sensor, which can monitor the crease online and use the Bluetooth 5.0 to transmit the signal wirelessly to the referee.")</f>
        <v>Artificial intelligence (AI) is a set of computing units that can be realized. Provide human observer with the ability to imitate human thinking process. It uses a set of naturally inspired calculation methods to simulate complex practical problems, of which mathematics or traditional modeling is unsuccessful or unreliable. Artificial intelligence is based on human brain models. This model uses inaccurate and imperfect information, and has a behavioral response based on experience obtained over time. In the cricket game, the referee will continue to monitor the ballless line, which is a foul. The proposed work implements a laser distance sensor, which can monitor the crease online and use the Bluetooth 5.0 to transmit the signal wirelessly to the referee.</v>
      </c>
      <c r="D1167" s="6" t="s">
        <v>3410</v>
      </c>
      <c r="E1167" s="4" t="str">
        <f ca="1">IFERROR(__xludf.DUMMYFUNCTION("GOOGLETRANSLATE(D1167,""auto"",""en"")"),"Artificial Intelligence Base Stadium No Power Ballless Test")</f>
        <v>Artificial Intelligence Base Stadium No Power Ballless Test</v>
      </c>
    </row>
    <row r="1168" spans="1:5" ht="15" x14ac:dyDescent="0.25">
      <c r="A1168" s="5" t="s">
        <v>3411</v>
      </c>
      <c r="B1168" s="6" t="s">
        <v>3412</v>
      </c>
      <c r="C1168" s="3" t="str">
        <f ca="1">IFERROR(__xludf.DUMMYFUNCTION("GOOGLETRANSLATE(B1168,""auto"",""en"")"),"The present invention provides a intelligent rhythm system and its control method, involving the field of sports equipment technology, which includes: control background, and the rhythmic device and control equipment connected to the background communicat"&amp;"ion connection with the control background. Used to play the guidance action; obtain the fitness movement and control intention of users; generate the user's completion of similarity according to the guidance action and fitness action; according to the co"&amp;"ntrol intention and completion of similarity, generate the control instructions of the rhythmic device; Instructions, and according to the control instruction, perform corresponding actions; control backgrounds to establish communication links with rhythm"&amp;" equipment and control equipment, transmit control instructions, and guide the guidance action stored in the control background. The invention uses IoT technology to realize a split -type rhythmic device, which can realize the functional demonstration and"&amp;" action correction of users, as well as the control equipment control.")</f>
        <v>The present invention provides a intelligent rhythm system and its control method, involving the field of sports equipment technology, which includes: control background, and the rhythmic device and control equipment connected to the background communication connection with the control background. Used to play the guidance action; obtain the fitness movement and control intention of users; generate the user's completion of similarity according to the guidance action and fitness action; according to the control intention and completion of similarity, generate the control instructions of the rhythmic device; Instructions, and according to the control instruction, perform corresponding actions; control backgrounds to establish communication links with rhythm equipment and control equipment, transmit control instructions, and guide the guidance action stored in the control background. The invention uses IoT technology to realize a split -type rhythmic device, which can realize the functional demonstration and action correction of users, as well as the control equipment control.</v>
      </c>
      <c r="D1168" s="6" t="s">
        <v>3413</v>
      </c>
      <c r="E1168" s="4" t="str">
        <f ca="1">IFERROR(__xludf.DUMMYFUNCTION("GOOGLETRANSLATE(D1168,""auto"",""en"")"),"A smart rhythm system and its control method")</f>
        <v>A smart rhythm system and its control method</v>
      </c>
    </row>
    <row r="1169" spans="1:5" ht="15" x14ac:dyDescent="0.25">
      <c r="A1169" s="5" t="s">
        <v>3414</v>
      </c>
      <c r="B1169" s="6" t="s">
        <v>3415</v>
      </c>
      <c r="C1169" s="3" t="str">
        <f ca="1">IFERROR(__xludf.DUMMYFUNCTION("GOOGLETRANSLATE(B1169,""auto"",""en"")"),"This article describes a system and method that generates the prediction of players. Calculate the system to retrieve the broadcast video feedback of sports events. The computing system sends the broadcast video to a unified view. The computing system gen"&amp;"erates multiple data sets based on multiple tracking frames. The computing system is based on the body posture information calibration and the camera associated with each tracking frame. The computing system generates multiple sets of short trajectories b"&amp;"ased on multiple tracking frames and body posture information. The computing system generates a sports field vector for each player in multiple tracking frames to connect each group of short trajectories. The computing system uses a neural network based o"&amp;"n the player's sports field vector to predict the future movement of the player.")</f>
        <v>This article describes a system and method that generates the prediction of players. Calculate the system to retrieve the broadcast video feedback of sports events. The computing system sends the broadcast video to a unified view. The computing system generates multiple data sets based on multiple tracking frames. The computing system is based on the body posture information calibration and the camera associated with each tracking frame. The computing system generates multiple sets of short trajectories based on multiple tracking frames and body posture information. The computing system generates a sports field vector for each player in multiple tracking frames to connect each group of short trajectories. The computing system uses a neural network based on the player's sports field vector to predict the future movement of the player.</v>
      </c>
      <c r="D1169" s="6" t="s">
        <v>3416</v>
      </c>
      <c r="E1169" s="4" t="str">
        <f ca="1">IFERROR(__xludf.DUMMYFUNCTION("GOOGLETRANSLATE(D1169,""auto"",""en"")"),"Used to generate the system and method of tracking the data from the broadcast video")</f>
        <v>Used to generate the system and method of tracking the data from the broadcast video</v>
      </c>
    </row>
    <row r="1170" spans="1:5" ht="15" x14ac:dyDescent="0.25">
      <c r="A1170" s="5" t="s">
        <v>3417</v>
      </c>
      <c r="B1170" s="6" t="s">
        <v>3418</v>
      </c>
      <c r="C1170" s="3" t="str">
        <f ca="1">IFERROR(__xludf.DUMMYFUNCTION("GOOGLETRANSLATE(B1170,""auto"",""en"")"),"The present invention disclosed a recommendation method of ice and snow sports injury hospital, including: pre -build ice and snow sports injury knowledge map framework; pre -building medical resource database; obtaining athlete injury data; Get the prior"&amp;"ity order of the recommendation hospital; according to the recommendation of the recommendation hospital and the medical resource database to obtain the recommended hospital and the experts corresponding to the recommended hospital. Adopting the above met"&amp;"hods, the injury of the athletes that occur on the ice and snow sports field can make corresponding transfer hospitals and experts to recommend it in a timely manner.")</f>
        <v>The present invention disclosed a recommendation method of ice and snow sports injury hospital, including: pre -build ice and snow sports injury knowledge map framework; pre -building medical resource database; obtaining athlete injury data; Get the priority order of the recommendation hospital; according to the recommendation of the recommendation hospital and the medical resource database to obtain the recommended hospital and the experts corresponding to the recommended hospital. Adopting the above methods, the injury of the athletes that occur on the ice and snow sports field can make corresponding transfer hospitals and experts to recommend it in a timely manner.</v>
      </c>
      <c r="D1170" s="6" t="s">
        <v>3419</v>
      </c>
      <c r="E1170" s="4" t="str">
        <f ca="1">IFERROR(__xludf.DUMMYFUNCTION("GOOGLETRANSLATE(D1170,""auto"",""en"")"),"A recommendation method for a ice and snow sports injury hospital")</f>
        <v>A recommendation method for a ice and snow sports injury hospital</v>
      </c>
    </row>
    <row r="1171" spans="1:5" ht="15" x14ac:dyDescent="0.25">
      <c r="A1171" s="5" t="s">
        <v>3420</v>
      </c>
      <c r="B1171" s="6" t="s">
        <v>3421</v>
      </c>
      <c r="C1171" s="3" t="str">
        <f ca="1">IFERROR(__xludf.DUMMYFUNCTION("GOOGLETRANSLATE(B1171,""auto"",""en"")"),"This utility model opens a dedicated multi -functional dehumidification heating pump control system for a swimming pool, which includes a touch screen human machine interface module. The circulating air channel and circulating water channel are also set u"&amp;"p; the circulating air channels and circulating water channels are equipped with heating devices and refrigeration devices. This utility model has the advantages of simple structure, integrated integration of dehumidification, heating and refrigeration, a"&amp;"rtificial intelligence control, and saving artificially.")</f>
        <v>This utility model opens a dedicated multi -functional dehumidification heating pump control system for a swimming pool, which includes a touch screen human machine interface module. The circulating air channel and circulating water channel are also set up; the circulating air channels and circulating water channels are equipped with heating devices and refrigeration devices. This utility model has the advantages of simple structure, integrated integration of dehumidification, heating and refrigeration, artificial intelligence control, and saving artificially.</v>
      </c>
      <c r="D1171" s="6" t="s">
        <v>3422</v>
      </c>
      <c r="E1171" s="4" t="str">
        <f ca="1">IFERROR(__xludf.DUMMYFUNCTION("GOOGLETRANSLATE(D1171,""auto"",""en"")"),"A swimming pool dedicated multi -functional dehumidifying thermal pump control system")</f>
        <v>A swimming pool dedicated multi -functional dehumidifying thermal pump control system</v>
      </c>
    </row>
    <row r="1172" spans="1:5" ht="15" x14ac:dyDescent="0.25">
      <c r="A1172" s="5" t="s">
        <v>3423</v>
      </c>
      <c r="B1172" s="6" t="s">
        <v>3424</v>
      </c>
      <c r="C1172" s="3" t="str">
        <f ca="1">IFERROR(__xludf.DUMMYFUNCTION("GOOGLETRANSLATE(B1172,""auto"",""en"")"),"Swimmer performance analysis system is based on computer vision, including image processing, target detection and gesture estimation. It can capture the image of swimmers, identify the swimming method of swimmers, analyze the posture of swimmers, and calc"&amp;"ulate the speed of the swimmer and the angle of the body. Then, feedback the analysis information to the coach or swimmer.")</f>
        <v>Swimmer performance analysis system is based on computer vision, including image processing, target detection and gesture estimation. It can capture the image of swimmers, identify the swimming method of swimmers, analyze the posture of swimmers, and calculate the speed of the swimmer and the angle of the body. Then, feedback the analysis information to the coach or swimmer.</v>
      </c>
      <c r="D1172" s="6" t="s">
        <v>3425</v>
      </c>
      <c r="E1172" s="4" t="str">
        <f ca="1">IFERROR(__xludf.DUMMYFUNCTION("GOOGLETRANSLATE(D1172,""auto"",""en"")"),"Swimming player performance analysis system")</f>
        <v>Swimming player performance analysis system</v>
      </c>
    </row>
    <row r="1173" spans="1:5" ht="15" x14ac:dyDescent="0.25">
      <c r="A1173" s="5" t="s">
        <v>3426</v>
      </c>
      <c r="B1173" s="6" t="s">
        <v>3427</v>
      </c>
      <c r="C1173" s="3" t="str">
        <f ca="1">IFERROR(__xludf.DUMMYFUNCTION("GOOGLETRANSLATE(B1173,""auto"",""en"")"),"A computer vision analysis system based on computer vision, including image processing, target detection and gesture estimation. It can capture the images of swimmers, identify the swimming method of swimmers, analyze the posture of swimmers, and calculat"&amp;"e the speed of swimmers and the angle of the body. The analysis information is then fed back to the coach or swimmer.")</f>
        <v>A computer vision analysis system based on computer vision, including image processing, target detection and gesture estimation. It can capture the images of swimmers, identify the swimming method of swimmers, analyze the posture of swimmers, and calculate the speed of swimmers and the angle of the body. The analysis information is then fed back to the coach or swimmer.</v>
      </c>
      <c r="D1173" s="6" t="s">
        <v>3428</v>
      </c>
      <c r="E1173" s="4" t="str">
        <f ca="1">IFERROR(__xludf.DUMMYFUNCTION("GOOGLETRANSLATE(D1173,""auto"",""en"")"),"Swimmer performance analysis system")</f>
        <v>Swimmer performance analysis system</v>
      </c>
    </row>
    <row r="1174" spans="1:5" ht="15" x14ac:dyDescent="0.25">
      <c r="A1174" s="5" t="s">
        <v>3429</v>
      </c>
      <c r="B1174" s="6" t="s">
        <v>3424</v>
      </c>
      <c r="C1174" s="3" t="str">
        <f ca="1">IFERROR(__xludf.DUMMYFUNCTION("GOOGLETRANSLATE(B1174,""auto"",""en"")"),"Swimmer performance analysis system is based on computer vision, including image processing, target detection and gesture estimation. It can capture the image of swimmers, identify the swimming method of swimmers, analyze the posture of swimmers, and calc"&amp;"ulate the speed of the swimmer and the angle of the body. Then, feedback the analysis information to the coach or swimmer.")</f>
        <v>Swimmer performance analysis system is based on computer vision, including image processing, target detection and gesture estimation. It can capture the image of swimmers, identify the swimming method of swimmers, analyze the posture of swimmers, and calculate the speed of the swimmer and the angle of the body. Then, feedback the analysis information to the coach or swimmer.</v>
      </c>
      <c r="D1174" s="6" t="s">
        <v>3428</v>
      </c>
      <c r="E1174" s="4" t="str">
        <f ca="1">IFERROR(__xludf.DUMMYFUNCTION("GOOGLETRANSLATE(D1174,""auto"",""en"")"),"Swimmer performance analysis system")</f>
        <v>Swimmer performance analysis system</v>
      </c>
    </row>
    <row r="1175" spans="1:5" ht="15" x14ac:dyDescent="0.25">
      <c r="A1175" s="5" t="s">
        <v>3430</v>
      </c>
      <c r="B1175" s="6" t="s">
        <v>3431</v>
      </c>
      <c r="C1175" s="3" t="str">
        <f ca="1">IFERROR(__xludf.DUMMYFUNCTION("GOOGLETRANSLATE(B1175,""auto"",""en"")"),"The electronic sports competition manual and video annotation system includes a device with a coupling to a processor. The memory storage instruction is executed by the processor, so that the processor generates the sports competition manual based on coor"&amp;"dinates or image data. The processor is configured to detect objects on the surface (for example, athletes, etc.) (eg, stadium images, or competition images such as static competition graphs or video record frames) to detect diagrams related to the object"&amp;". Objects (for example, input devices or use image processing, machine learning or other inspiration technology, etc.), and determine the action (for example, passing, dribble, cutting, cover, switching, etc.) Whether the player has a ball? (Wait) and the"&amp;" detected path related to the object are associated with the object.")</f>
        <v>The electronic sports competition manual and video annotation system includes a device with a coupling to a processor. The memory storage instruction is executed by the processor, so that the processor generates the sports competition manual based on coordinates or image data. The processor is configured to detect objects on the surface (for example, athletes, etc.) (eg, stadium images, or competition images such as static competition graphs or video record frames) to detect diagrams related to the object. Objects (for example, input devices or use image processing, machine learning or other inspiration technology, etc.), and determine the action (for example, passing, dribble, cutting, cover, switching, etc.) Whether the player has a ball? (Wait) and the detected path related to the object are associated with the object.</v>
      </c>
      <c r="D1175" s="6" t="s">
        <v>3432</v>
      </c>
      <c r="E1175" s="4" t="str">
        <f ca="1">IFERROR(__xludf.DUMMYFUNCTION("GOOGLETRANSLATE(D1175,""auto"",""en"")"),"E -sports manual and video annotation system")</f>
        <v>E -sports manual and video annotation system</v>
      </c>
    </row>
    <row r="1176" spans="1:5" ht="15" x14ac:dyDescent="0.25">
      <c r="A1176" s="5" t="s">
        <v>3433</v>
      </c>
      <c r="B1176" s="6" t="s">
        <v>3434</v>
      </c>
      <c r="C1176" s="3" t="str">
        <f ca="1">IFERROR(__xludf.DUMMYFUNCTION("GOOGLETRANSLATE(B1176,""auto"",""en"")"),"The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 of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 of the student learning system.</v>
      </c>
      <c r="D1176" s="6" t="s">
        <v>3435</v>
      </c>
      <c r="E1176" s="4" t="str">
        <f ca="1">IFERROR(__xludf.DUMMYFUNCTION("GOOGLETRANSLATE(D1176,""auto"",""en"")"),"Learning coach of machine learning system")</f>
        <v>Learning coach of machine learning system</v>
      </c>
    </row>
    <row r="1177" spans="1:5" ht="15" x14ac:dyDescent="0.25">
      <c r="A1177" s="5" t="s">
        <v>3436</v>
      </c>
      <c r="B1177" s="6" t="s">
        <v>3437</v>
      </c>
      <c r="C1177" s="3" t="str">
        <f ca="1">IFERROR(__xludf.DUMMYFUNCTION("GOOGLETRANSLATE(B1177,""auto"",""en"")"),"A game retrieval system, including the mapping of the line -defined line and the central line of the stadium and the central line of the stadium 1 formed by the mapping. The infrared reflex pigment was received and returned. Among them, when the player st"&amp;"epped on the pigment, the module 2 evaluated the foul of the player. A pair of pressure sensors 4 were located on the first side and the second side. Chasers, the step direction used by the follower to decoder, and the controller that indicates the output"&amp;" indicated by the foul when the step is different, and the display unit 5 for displaying the data of the foul, and the game.")</f>
        <v>A game retrieval system, including the mapping of the line -defined line and the central line of the stadium and the central line of the stadium 1 formed by the mapping. The infrared reflex pigment was received and returned. Among them, when the player stepped on the pigment, the module 2 evaluated the foul of the player. A pair of pressure sensors 4 were located on the first side and the second side. Chasers, the step direction used by the follower to decoder, and the controller that indicates the output indicated by the foul when the step is different, and the display unit 5 for displaying the data of the foul, and the game.</v>
      </c>
      <c r="D1177" s="6" t="s">
        <v>3438</v>
      </c>
      <c r="E1177" s="4" t="str">
        <f ca="1">IFERROR(__xludf.DUMMYFUNCTION("GOOGLETRANSLATE(D1177,""auto"",""en"")"),"Game review system")</f>
        <v>Game review system</v>
      </c>
    </row>
    <row r="1178" spans="1:5" ht="15" x14ac:dyDescent="0.25">
      <c r="A1178" s="5" t="s">
        <v>3439</v>
      </c>
      <c r="B1178" s="6" t="s">
        <v>3440</v>
      </c>
      <c r="C1178" s="3" t="str">
        <f ca="1">IFERROR(__xludf.DUMMYFUNCTION("GOOGLETRANSLATE(B1178,""auto"",""en"")"),"An intelligent ball -receiving training system, including subject 1, configured with artificial intelligence image capture module 2, which is used to capture real -time images of players near the module; display unit 3, installed on the main body 1, used "&amp;"to display the relevant level, contour, outline And the pitching unit 4 is installed on the main body 1 through the ball nest joint. From different angles, the balls stored in the unit 4 are thrown from different angles to provide various types of ball re"&amp;"ception exercises, creating multiple sensors 5, 6, 6, 6, 6, 6, 6, 6, 6, 6, 6, 6, 6, 6, 6, 6, 6, 6, 6, 6, 6, 6, 6, 6, 6, 6, 6. 7 On the glove 8 worn by athletes, including but not limited to the sensor 6, pressure sensor 5, impact sensor 7, used to monitor"&amp;" various life parameters during the ball practice.")</f>
        <v>An intelligent ball -receiving training system, including subject 1, configured with artificial intelligence image capture module 2, which is used to capture real -time images of players near the module; display unit 3, installed on the main body 1, used to display the relevant level, contour, outline And the pitching unit 4 is installed on the main body 1 through the ball nest joint. From different angles, the balls stored in the unit 4 are thrown from different angles to provide various types of ball reception exercises, creating multiple sensors 5, 6, 6, 6, 6, 6, 6, 6, 6, 6, 6, 6, 6, 6, 6, 6, 6, 6, 6, 6, 6, 6, 6, 6, 6, 6, 6. 7 On the glove 8 worn by athletes, including but not limited to the sensor 6, pressure sensor 5, impact sensor 7, used to monitor various life parameters during the ball practice.</v>
      </c>
      <c r="D1178" s="6" t="s">
        <v>3441</v>
      </c>
      <c r="E1178" s="4" t="str">
        <f ca="1">IFERROR(__xludf.DUMMYFUNCTION("GOOGLETRANSLATE(D1178,""auto"",""en"")"),"Intelligent ball reception training system")</f>
        <v>Intelligent ball reception training system</v>
      </c>
    </row>
    <row r="1179" spans="1:5" ht="15" x14ac:dyDescent="0.25">
      <c r="A1179" s="5" t="s">
        <v>3442</v>
      </c>
      <c r="B1179" s="6" t="s">
        <v>3443</v>
      </c>
      <c r="C1179" s="3" t="str">
        <f ca="1">IFERROR(__xludf.DUMMYFUNCTION("GOOGLETRANSLATE(B1179,""auto"",""en"")"),"The present invention disclosed a pile sports trajectory analysis and the time of time and its analysis methods. It is mainly suitable for test scores for sports competition. Sub -test system, including sound control modules for human -computer interactio"&amp;"n and prompts, I/O modules such as transmission such as transmission such as human -computer interaction and prompts, processing units and laser radar. The ball around the split rod can get the scoring of the tester through the scoring test system. Based "&amp;"on the system, the analysis method described by the present invention includes the construction of the test site Rada radiation zone, the judgment of the motion trajectory and the treatment of obstacles. Further improve the accuracy of scoring.")</f>
        <v>The present invention disclosed a pile sports trajectory analysis and the time of time and its analysis methods. It is mainly suitable for test scores for sports competition. Sub -test system, including sound control modules for human -computer interaction and prompts, I/O modules such as transmission such as transmission such as human -computer interaction and prompts, processing units and laser radar. The ball around the split rod can get the scoring of the tester through the scoring test system. Based on the system, the analysis method described by the present invention includes the construction of the test site Rada radiation zone, the judgment of the motion trajectory and the treatment of obstacles. Further improve the accuracy of scoring.</v>
      </c>
      <c r="D1179" s="6" t="s">
        <v>3444</v>
      </c>
      <c r="E1179" s="4" t="str">
        <f ca="1">IFERROR(__xludf.DUMMYFUNCTION("GOOGLETRANSLATE(D1179,""auto"",""en"")"),"An analysis of the trajectory of the pile movement and the analysis method and its analysis method")</f>
        <v>An analysis of the trajectory of the pile movement and the analysis method and its analysis method</v>
      </c>
    </row>
    <row r="1180" spans="1:5" ht="15" x14ac:dyDescent="0.25">
      <c r="A1180" s="5" t="s">
        <v>3445</v>
      </c>
      <c r="B1180" s="6" t="s">
        <v>3446</v>
      </c>
      <c r="C1180" s="3" t="str">
        <f ca="1">IFERROR(__xludf.DUMMYFUNCTION("GOOGLETRANSLATE(B1180,""auto"",""en"")"),"This utility model discloses a type of pest control management equipment of the Agricultural Industrial Internet of Things, including connectors, enhanced components, open storage boxes, adjustment components, and management equipment on the bottom. The s"&amp;"torage box lock is installed at the bottom of the enhancement component, which is installed in the storage box. This utility model uses the storage box to carry out external storage and protection of the management equipment on the body to avoid being dam"&amp;"aged by the external impact. Pushing the skateboard through the extension of the cylinder to move the inside of the storage box. The activity settings of the ontology position ensure that the management of the management equipment can be protected at the "&amp;"same time, and the management of the management of the management equipment can be protected. With the cooperation of the protective component, the sealing and the linked to the skateboard can be used to achieve the extension of the management equipment b"&amp;"ody. Management equipment ontology and closing the effect of sealing protection are convenient for overall operations.")</f>
        <v>This utility model discloses a type of pest control management equipment of the Agricultural Industrial Internet of Things, including connectors, enhanced components, open storage boxes, adjustment components, and management equipment on the bottom. The storage box lock is installed at the bottom of the enhancement component, which is installed in the storage box. This utility model uses the storage box to carry out external storage and protection of the management equipment on the body to avoid being damaged by the external impact. Pushing the skateboard through the extension of the cylinder to move the inside of the storage box. The activity settings of the ontology position ensure that the management of the management equipment can be protected at the same time, and the management of the management of the management equipment can be protected. With the cooperation of the protective component, the sealing and the linked to the skateboard can be used to achieve the extension of the management equipment body. Management equipment ontology and closing the effect of sealing protection are convenient for overall operations.</v>
      </c>
      <c r="D1180" s="6" t="s">
        <v>3447</v>
      </c>
      <c r="E1180" s="4" t="str">
        <f ca="1">IFERROR(__xludf.DUMMYFUNCTION("GOOGLETRANSLATE(D1180,""auto"",""en"")"),"A kind of agricultural Internet of Things wound prevention and control management equipment")</f>
        <v>A kind of agricultural Internet of Things wound prevention and control management equipment</v>
      </c>
    </row>
    <row r="1181" spans="1:5" ht="15" x14ac:dyDescent="0.25">
      <c r="A1181" s="5" t="s">
        <v>3448</v>
      </c>
      <c r="B1181" s="6" t="s">
        <v>3449</v>
      </c>
      <c r="C1181" s="3" t="str">
        <f ca="1">IFERROR(__xludf.DUMMYFUNCTION("GOOGLETRANSLATE(B1181,""auto"",""en"")"),"1. Design product name: The graphic user interface of the program operation of the display screen panel.
 2. The purpose of designing products in this exterior: This design product is used for computers, laptops, tablets, mobile phones, smartphones, wat"&amp;"ches, smart watches, fitness monitor, wearing headphones, smart speakers, TV, set -top boxes, projection, projection The program operation and graphic user interface display of the display screen panel of instruments and laser TVs.
 3. Design of the des"&amp;"ign of the product in this exterior: lies in the content of the graphic user interface in the screen.
 4. Pictures or photos that can best show design: Design 1 main view.
 5. The display screen panel is commonly designed, omit other views.
 6. Spec"&amp;"ify design 1 is the basic design.
 7. The purpose of graphical user interface: The main content is to select tabs under different functions through interactive operations according to the needs of users, and choose different tabs and intuitive display t"&amp;"o the user interface content according to user preference.
 8. Human -computer interaction method of graphical user interface: Design 1 The main view is the main interface of the program operation. When the user selects the gallery function at the botto"&amp;"m, the interface is converted from design 1 to design 1 interface change state. Card list, select any picture tab in the interface, the interface is transformed to the design 1 interface change state Figure 2, and enter the next interface by selecting the"&amp;" keys/icons/pictures in the interface.
 Design 2 main view is the main interface of the program operation. When the user selects the gallery function at the bottom, the interface is converted from the design 2 main view to the design 2 interface change "&amp;"state. Card, interface transformation to design 2 interface change state Figure 2, enter the next interface by selecting the keys/icons/pictures in the interface.
 Design 3 main views as the main interface of the program operation. When the user selects"&amp;" the special effects function of the bottom, the interface is converted from the design 3 main view to the design 3 interface change state. The interface transform to the design 3 interface change state Figure 2, enter the next interface by selecting the "&amp;"keys/icons/pictures in the interface.
 Design 4 The main view is the main interface of the program operation. When the user selects the sticker function at the bottom, the interface is converted from the design 4 main view to the design 4 interface chan"&amp;"ge state. The interface transformation to the design 4 interface change state Figure 2, enter the next interface by selecting the keys/icons/pictures in the interface.
 Design 5 main views as the main interface of the program operation. When the user se"&amp;"lects the smart pendant function at the bottom, the interface is converted from the design 5 main view to the design 5 interface change state. The tab, the interface is transformed to the design 5 interface change state Figure 2, and enter the next interf"&amp;"ace by selecting the keys/icons/pictures in the interface.
 Among them, the ""gray tape"" in the interface is represented as variable pictures or videos.")</f>
        <v>1. Design product name: The graphic user interface of the program operation of the display screen panel.
 2. The purpose of designing products in this exterior: This design product is used for computers, laptops, tablets, mobile phones, smartphones, watches, smart watches, fitness monitor, wearing headphones, smart speakers, TV, set -top boxes, projection, projection The program operation and graphic user interface display of the display screen panel of instruments and laser TVs.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The main content is to select tabs under different functions through interactive operations according to the needs of users, and choose different tabs and intuitive display to the user interface content according to user preference.
 8. Human -computer interaction method of graphical user interface: Design 1 The main view is the main interface of the program operation. When the user selects the gallery function at the bottom, the interface is converted from design 1 to design 1 interface change state. Card list, select any picture tab in the interface, the interface is transformed to the design 1 interface change state Figure 2, and enter the next interface by selecting the keys/icons/pictures in the interface.
 Design 2 main view is the main interface of the program operation. When the user selects the gallery function at the bottom, the interface is converted from the design 2 main view to the design 2 interface change state. Card, interface transformation to design 2 interface change state Figure 2, enter the next interface by selecting the keys/icons/pictures in the interface.
 Design 3 main views as the main interface of the program operation. When the user selects the special effects function of the bottom, the interface is converted from the design 3 main view to the design 3 interface change state. The interface transform to the design 3 interface change state Figure 2, enter the next interface by selecting the keys/icons/pictures in the interface.
 Design 4 The main view is the main interface of the program operation. When the user selects the sticker function at the bottom, the interface is converted from the design 4 main view to the design 4 interface change state. The interface transformation to the design 4 interface change state Figure 2, enter the next interface by selecting the keys/icons/pictures in the interface.
 Design 5 main views as the main interface of the program operation. When the user selects the smart pendant function at the bottom, the interface is converted from the design 5 main view to the design 5 interface change state. The tab, the interface is transformed to the design 5 interface change state Figure 2, and enter the next interface by selecting the keys/icons/pictures in the interface.
 Among them, the "gray tape" in the interface is represented as variable pictures or videos.</v>
      </c>
      <c r="D1181" s="6" t="s">
        <v>3450</v>
      </c>
      <c r="E1181" s="4" t="str">
        <f ca="1">IFERROR(__xludf.DUMMYFUNCTION("GOOGLETRANSLATE(D1181,""auto"",""en"")"),"The graphic user interface of the program operation of the display screen panel")</f>
        <v>The graphic user interface of the program operation of the display screen panel</v>
      </c>
    </row>
    <row r="1182" spans="1:5" ht="15" x14ac:dyDescent="0.25">
      <c r="A1182" s="5" t="s">
        <v>3451</v>
      </c>
      <c r="B1182" s="6" t="s">
        <v>3452</v>
      </c>
      <c r="C1182" s="3" t="str">
        <f ca="1">IFERROR(__xludf.DUMMYFUNCTION("GOOGLETRANSLATE(B1182,""auto"",""en"")"),"1. Design product name: The layer content adjustment of the layer of the display screen panel is adjusted.
 2. The purpose of designing products in this exterior: This design product is used for computers, laptops, tablets, mobile phones, smartphones, w"&amp;"atches, smart watches, fitness monitor, wearing headphones, smart speakers, TV, set -top boxes, projection, projection The operation of the layer content of the display screen panel of the instrument and laser TV display and the display of graphic user in"&amp;"terface.
 3. Design of the design of the product in this exterior: lies in the content of the graphic user interface in the screen.
 4. Pictures or photos that can best show design: Design 1 main view.
 5. The display screen panel is commonly design"&amp;"ed, omit other views.
 6. Specify design 1 is the basic design.
 7. The purpose of graphical user interface: The main content is to select the editing function under different layers through interactive operations, and edit each layer effect and intui"&amp;"tive display to the user interface content according to the user's preference.
 8. Human -computer interaction method of graphical user interface: Design 1 The main interface of the program is the main interface of the program operation. When the user s"&amp;"elects the interface to be close to the layer button on the left, the interface is converted from design 1 to design 1 interface change state. The horizontal layer list pops up in the middle, slide the horizontal layer list, the interface is transformed t"&amp;"o the design 1 interface change state Figure 2, and enter the next interface by selecting the keys/icons/pictures in the interface.
 Design 2 main view is the main interface of the program operation. When the user selects any small shrinkage button in t"&amp;"he horizontal layer list in the interface, the interface is transformed from the design 2 main view to the design 2 interface change state. 2 Interface Change Status Figure 1 Transforms to design 2 interface change state Figure 2, which can change the fro"&amp;"nt and rear positions corresponding to the layer corresponding to the picture in the interface, and enter the next interface by selecting the keys/icons/pictures in the interface.
 Design 3 main views, design 4 main views, and design 5 main views as the"&amp;" main interface of the program operation. Enter the next interface by selecting the keys/icons/pictures in the interface.
 Among them, the ""gray tape"" in the interface is represented by variable pictures, and the ""gray block plus cross line"" in the "&amp;"interface is represented as variable icons.")</f>
        <v>1. Design product name: The layer content adjustment of the layer of the display screen panel is adjusted.
 2. The purpose of designing products in this exterior: This design product is used for computers, laptops, tablets, mobile phones, smartphones, watches, smart watches, fitness monitor, wearing headphones, smart speakers, TV, set -top boxes, projection, projection The operation of the layer content of the display screen panel of the instrument and laser TV display and the display of graphic user interface.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The main content is to select the editing function under different layers through interactive operations, and edit each layer effect and intuitive display to the user interface content according to the user's preference.
 8. Human -computer interaction method of graphical user interface: Design 1 The main interface of the program is the main interface of the program operation. When the user selects the interface to be close to the layer button on the left, the interface is converted from design 1 to design 1 interface change state. The horizontal layer list pops up in the middle, slide the horizontal layer list, the interface is transformed to the design 1 interface change state Figure 2, and enter the next interface by selecting the keys/icons/pictures in the interface.
 Design 2 main view is the main interface of the program operation. When the user selects any small shrinkage button in the horizontal layer list in the interface, the interface is transformed from the design 2 main view to the design 2 interface change state. 2 Interface Change Status Figure 1 Transforms to design 2 interface change state Figure 2, which can change the front and rear positions corresponding to the layer corresponding to the picture in the interface, and enter the next interface by selecting the keys/icons/pictures in the interface.
 Design 3 main views, design 4 main views, and design 5 main views as the main interface of the program operation. Enter the next interface by selecting the keys/icons/pictures in the interface.
 Among them, the "gray tape" in the interface is represented by variable pictures, and the "gray block plus cross line" in the interface is represented as variable icons.</v>
      </c>
      <c r="D1182" s="6" t="s">
        <v>3453</v>
      </c>
      <c r="E1182" s="4" t="str">
        <f ca="1">IFERROR(__xludf.DUMMYFUNCTION("GOOGLETRANSLATE(D1182,""auto"",""en"")"),"The graphic user interface of layer content adjustment of the display screen panel")</f>
        <v>The graphic user interface of layer content adjustment of the display screen panel</v>
      </c>
    </row>
    <row r="1183" spans="1:5" ht="15" x14ac:dyDescent="0.25">
      <c r="A1183" s="5" t="s">
        <v>3454</v>
      </c>
      <c r="B1183" s="6" t="s">
        <v>3455</v>
      </c>
      <c r="C1183" s="3" t="str">
        <f ca="1">IFERROR(__xludf.DUMMYFUNCTION("GOOGLETRANSLATE(B1183,""auto"",""en"")"),"1. Design product name: The graphic user interface of the text input operation of the display screen panel.
 2. The purpose of designing products in this exterior: This design product is used to display information and interaction. The display screen pa"&amp;"nel is applied to computers, laptops, tablets, mobile phones, smartphones, watches, smart watches, fitness monitor, head wearing, head wearing Formable headset, smart speakers, TV, set -top box, projector, laser TV.
 3. Design of the design of the produ"&amp;"ct in this exterior: lies in the content of the graphic user interface in the screen.
 4. Pictures or photos that can most indicate design points: Design 2 main views.
 5. The display screen panel is commonly designed, omit other views.
 6. Specify "&amp;"design 2 is the basic design.
 7. The purpose of the graphical user interface: The main content is to select different text input operation functions according to the user's needs through interactive operations, and select different text styles and visu"&amp;"ally display to the user interface content according to the user's preference.
 8. Human -computer interaction method of graphical user interface: Design 1 The main view is the main interface of the program operation. When the user selects the style of "&amp;"the lower part of the interface, the interface is converted from the design 1 to the design 1 interface changes from the design 1 Related functions under function.
 Design 2 main view is the main interface of the program operation. When the user selects"&amp;" the style of the lower part of the interface, the interface is converted from the design 2 main view to the design 2 interface change state. In the preset effect of the state Figure 1, any effect button, the interface is transformed to the design 2 inter"&amp;"face change state Figure 2.
 Design 3 main views as the main interface of the program operation. When the user selects the style of the lower part of the interface, the interface is converted from the design 3 main view to the design 3 interface change "&amp;"state. Change state Figure 1 in progress point, the interface is transformed to the design 3 interface change state Figure 2.
 Design 4 The main view is the main interface of the program operation. When the user selects the style of the lower part of th"&amp;"e interface, the interface is converted from the design 4 main view to the design 4 interface change state. The progress point of the transparency of the change state, the interface transforms to the design 4 interface change state Figure 2.")</f>
        <v>1. Design product name: The graphic user interface of the text input operation of the display screen panel.
 2. The purpose of designing products in this exterior: This design product is used to display information and interaction. The display screen panel is applied to computers, laptops, tablets, mobile phones, smartphones, watches, smart watches, fitness monitor, head wearing, head wearing Formable headset, smart speakers, TV, set -top box, projector, laser TV.
 3. Design of the design of the product in this exterior: lies in the content of the graphic user interface in the screen.
 4. Pictures or photos that can most indicate design points: Design 2 main views.
 5. The display screen panel is commonly designed, omit other views.
 6. Specify design 2 is the basic design.
 7. The purpose of the graphical user interface: The main content is to select different text input operation functions according to the user's needs through interactive operations, and select different text styles and visually display to the user interface content according to the user's preference.
 8. Human -computer interaction method of graphical user interface: Design 1 The main view is the main interface of the program operation. When the user selects the style of the lower part of the interface, the interface is converted from the design 1 to the design 1 interface changes from the design 1 Related functions under function.
 Design 2 main view is the main interface of the program operation. When the user selects the style of the lower part of the interface, the interface is converted from the design 2 main view to the design 2 interface change state. In the preset effect of the state Figure 1, any effect button, the interface is transformed to the design 2 interface change state Figure 2.
 Design 3 main views as the main interface of the program operation. When the user selects the style of the lower part of the interface, the interface is converted from the design 3 main view to the design 3 interface change state. Change state Figure 1 in progress point, the interface is transformed to the design 3 interface change state Figure 2.
 Design 4 The main view is the main interface of the program operation. When the user selects the style of the lower part of the interface, the interface is converted from the design 4 main view to the design 4 interface change state. The progress point of the transparency of the change state, the interface transforms to the design 4 interface change state Figure 2.</v>
      </c>
      <c r="D1183" s="6" t="s">
        <v>3456</v>
      </c>
      <c r="E1183" s="4" t="str">
        <f ca="1">IFERROR(__xludf.DUMMYFUNCTION("GOOGLETRANSLATE(D1183,""auto"",""en"")"),"The graphic user interface of the text input operation of the display screen panel")</f>
        <v>The graphic user interface of the text input operation of the display screen panel</v>
      </c>
    </row>
    <row r="1184" spans="1:5" ht="15" x14ac:dyDescent="0.25">
      <c r="A1184" s="5" t="s">
        <v>3457</v>
      </c>
      <c r="B1184" s="6" t="s">
        <v>3458</v>
      </c>
      <c r="C1184" s="3" t="str">
        <f ca="1">IFERROR(__xludf.DUMMYFUNCTION("GOOGLETRANSLATE(B1184,""auto"",""en"")"),"1. Design product name: The graphic user interface of the program operation of the display screen panel.
 2. The purpose of designing products in this exterior: This design product is used for computers, laptops, tablets, mobile phones, smartphones, wat"&amp;"ches, smart watches, fitness monitor, wearing headphones, smart speakers, TV, set -top boxes, projection, projection The program operation and graphic user interface display of the display screen panel of instruments and laser TVs.
 3. Design of the des"&amp;"ign of the product in this exterior: lies in the content of the graphic user interface in the screen.
 4. Pictures or photos that can most indicate design points: main view.
 5. The display screen panel is commonly designed, omit other views.
 6. Th"&amp;"e purpose of the graphical user interface: The main content is to choose different functions through the user's needs through interactive operations, and visually display the content of the user interface.
 7. Human -computer interaction method of graph"&amp;"ical user interface: The main view is the main interface of the program operation. When the user selects the management function of the upper right corner of the main view, the interface is converted from the main view to the interface change state. State"&amp;" Figure 1 Personal wall function, the interface is transformed into the interface change state Figure 2, which presents the tab of the personality wall, selects one of the tabs, the interface is transformed into the interface change state Figure 3, and th"&amp;"e key or pictures in the interface can enter the interface. Next interface.
 Among them, the ""gray tape"" in the interface is represented as variable pictures.")</f>
        <v>1. Design product name: The graphic user interface of the program operation of the display screen panel.
 2. The purpose of designing products in this exterior: This design product is used for computers, laptops, tablets, mobile phones, smartphones, watches, smart watches, fitness monitor, wearing headphones, smart speakers, TV, set -top boxes, projection, projection The program operation and graphic user interface display of the display screen panel of instruments and laser TVs.
 3. Design of the design of the product in this exterior: lies in the content of the graphic user interface in the screen.
 4. Pictures or photos that can most indicate design points: main view.
 5. The display screen panel is commonly designed, omit other views.
 6. The purpose of the graphical user interface: The main content is to choose different functions through the user's needs through interactive operations, and visually display the content of the user interface.
 7. Human -computer interaction method of graphical user interface: The main view is the main interface of the program operation. When the user selects the management function of the upper right corner of the main view, the interface is converted from the main view to the interface change state. State Figure 1 Personal wall function, the interface is transformed into the interface change state Figure 2, which presents the tab of the personality wall, selects one of the tabs, the interface is transformed into the interface change state Figure 3, and the key or pictures in the interface can enter the interface. Next interface.
 Among them, the "gray tape" in the interface is represented as variable pictures.</v>
      </c>
      <c r="D1184" s="6" t="s">
        <v>3450</v>
      </c>
      <c r="E1184" s="4" t="str">
        <f ca="1">IFERROR(__xludf.DUMMYFUNCTION("GOOGLETRANSLATE(D1184,""auto"",""en"")"),"The graphic user interface of the program operation of the display screen panel")</f>
        <v>The graphic user interface of the program operation of the display screen panel</v>
      </c>
    </row>
    <row r="1185" spans="1:5" ht="15" x14ac:dyDescent="0.25">
      <c r="A1185" s="5" t="s">
        <v>3459</v>
      </c>
      <c r="B1185" s="6" t="s">
        <v>3460</v>
      </c>
      <c r="C1185" s="3" t="str">
        <f ca="1">IFERROR(__xludf.DUMMYFUNCTION("GOOGLETRANSLATE(B1185,""auto"",""en"")"),"1. Design product name: Graphic user interface for the background selection of the display screen panel.
 2. The purpose of designing products in this exterior: This design product is used for computers, laptops, tablets, mobile phones, smartphones, wat"&amp;"ches, smart watches, fitness monitor, wearing headphones, smart speakers, TV, set -top boxes, projection, projection The background selection of the display screen panel of the instrument and laser TV display and the display of graphic user interface.
 "&amp;"3. Design of the design of the product in this exterior: lies in the content of the graphic user interface in the screen.
 4. Pictures or photos that can most indicate design points: main view.
 5. The display screen panel is commonly designed, omit o"&amp;"ther views.
 6. The purpose of the graphical user interface: The main content is to choose different interface backgrounds through the user's needs through interactive operations, and to intuitively display the content of the interface through the remot"&amp;"e control operation.
 7. Human -computer interaction method of graphical user interface: The main view is the main interface of the default interface background. When the user prompts the remote control to select the operation according to the interface"&amp;", the remote control is the lower key. Wake up more themes. According to the remote control prompts of the interface change state Figure 1, select the right -click of the remote control. The interface is changed from the interface changes to the interface"&amp;" change state. The key, the interface is transformed from the interface change state to the interface change state Figure 3, presenting the selected theme background.
 Among them, the ""gray tape"" in the interface is represented as variable pictures or"&amp;" videos.")</f>
        <v>1. Design product name: Graphic user interface for the background selection of the display screen panel.
 2. The purpose of designing products in this exterior: This design product is used for computers, laptops, tablets, mobile phones, smartphones, watches, smart watches, fitness monitor, wearing headphones, smart speakers, TV, set -top boxes, projection, projection The background selection of the display screen panel of the instrument and laser TV display and the display of graphic user interface.
 3. Design of the design of the product in this exterior: lies in the content of the graphic user interface in the screen.
 4. Pictures or photos that can most indicate design points: main view.
 5. The display screen panel is commonly designed, omit other views.
 6. The purpose of the graphical user interface: The main content is to choose different interface backgrounds through the user's needs through interactive operations, and to intuitively display the content of the interface through the remote control operation.
 7. Human -computer interaction method of graphical user interface: The main view is the main interface of the default interface background. When the user prompts the remote control to select the operation according to the interface, the remote control is the lower key. Wake up more themes. According to the remote control prompts of the interface change state Figure 1, select the right -click of the remote control. The interface is changed from the interface changes to the interface change state. The key, the interface is transformed from the interface change state to the interface change state Figure 3, presenting the selected theme background.
 Among them, the "gray tape" in the interface is represented as variable pictures or videos.</v>
      </c>
      <c r="D1185" s="6" t="s">
        <v>3461</v>
      </c>
      <c r="E1185" s="4" t="str">
        <f ca="1">IFERROR(__xludf.DUMMYFUNCTION("GOOGLETRANSLATE(D1185,""auto"",""en"")"),"Graphic user interface for the background selection of the display screen panel")</f>
        <v>Graphic user interface for the background selection of the display screen panel</v>
      </c>
    </row>
    <row r="1186" spans="1:5" ht="15" x14ac:dyDescent="0.25">
      <c r="A1186" s="5" t="s">
        <v>3462</v>
      </c>
      <c r="B1186" s="6" t="s">
        <v>3463</v>
      </c>
      <c r="C1186" s="3" t="str">
        <f ca="1">IFERROR(__xludf.DUMMYFUNCTION("GOOGLETRANSLATE(B1186,""auto"",""en"")"),"This application provides an IoT device configuration method, device, configuration terminal and storage medium, involving equipment configuration technology fields. The configuration method of the Internet of Things equipment includes: display the serial"&amp;" port list in the first area in the configuration interface, select the operation in the serial port entered by the serial port list, and determine the serial port indicated by the serial port logo selected in the serial port as the selected serial port, "&amp;"select the selection After the serial port, the communication connection between the target IoT device connected to the selected serial connection is established by the selection serial port. With the establishment of the communication connection, the con"&amp;"figuration area is displayed in the second area, and the configuration information is issued to the target IoT device through the device input through the configuration area, and the configuration instructions are issued to the target IoT device to config"&amp;"ure the target IoT equipment to configure the target IoT device Essence Therefore, the optimization of the configuration interface and guide the overall operation process.")</f>
        <v>This application provides an IoT device configuration method, device, configuration terminal and storage medium, involving equipment configuration technology fields. The configuration method of the Internet of Things equipment includes: display the serial port list in the first area in the configuration interface, select the operation in the serial port entered by the serial port list, and determine the serial port indicated by the serial port logo selected in the serial port as the selected serial port, select the selection After the serial port, the communication connection between the target IoT device connected to the selected serial connection is established by the selection serial port. With the establishment of the communication connection, the configuration area is displayed in the second area, and the configuration information is issued to the target IoT device through the device input through the configuration area, and the configuration instructions are issued to the target IoT device to configure the target IoT equipment to configure the target IoT device Essence Therefore, the optimization of the configuration interface and guide the overall operation process.</v>
      </c>
      <c r="D1186" s="6" t="s">
        <v>3464</v>
      </c>
      <c r="E1186" s="4" t="str">
        <f ca="1">IFERROR(__xludf.DUMMYFUNCTION("GOOGLETRANSLATE(D1186,""auto"",""en"")"),"IoT equipment configuration method, device, configuration terminal and storage medium")</f>
        <v>IoT equipment configuration method, device, configuration terminal and storage medium</v>
      </c>
    </row>
    <row r="1187" spans="1:5" ht="15" x14ac:dyDescent="0.25">
      <c r="A1187" s="5" t="s">
        <v>3465</v>
      </c>
      <c r="B1187" s="6" t="s">
        <v>3466</v>
      </c>
      <c r="C1187" s="3" t="str">
        <f ca="1">IFERROR(__xludf.DUMMYFUNCTION("GOOGLETRANSLATE(B1187,""auto"",""en"")"),"The digital health platform is configured to provide users with access to health, health education and data, and promote the interaction and/or virtual guidance of users' interaction with health and healthy practitioners. The platform may include an artif"&amp;"icial intelligence virtual AI coach, which is configured to provide a suitable statement and/or suggestion to the user in response to the user input (e.g., the user's response to the problem or prompt). In some examples, the platform includes analysis of "&amp;"insights based on user data and/or any other appropriate data. In some examples, the platform provides information and services related to healthy psychology, body, spirit, society, environment, and economic dimension.")</f>
        <v>The digital health platform is configured to provide users with access to health, health education and data, and promote the interaction and/or virtual guidance of users' interaction with health and healthy practitioners. The platform may include an artificial intelligence virtual AI coach, which is configured to provide a suitable statement and/or suggestion to the user in response to the user input (e.g., the user's response to the problem or prompt). In some examples, the platform includes analysis of insights based on user data and/or any other appropriate data. In some examples, the platform provides information and services related to healthy psychology, body, spirit, society, environment, and economic dimension.</v>
      </c>
      <c r="D1187" s="6" t="s">
        <v>3467</v>
      </c>
      <c r="E1187" s="4" t="str">
        <f ca="1">IFERROR(__xludf.DUMMYFUNCTION("GOOGLETRANSLATE(D1187,""auto"",""en"")"),"Comprehensive medical platform")</f>
        <v>Comprehensive medical platform</v>
      </c>
    </row>
    <row r="1188" spans="1:5" ht="15" x14ac:dyDescent="0.25">
      <c r="A1188" s="5" t="s">
        <v>3468</v>
      </c>
      <c r="B1188" s="6" t="s">
        <v>3469</v>
      </c>
      <c r="C1188" s="3" t="str">
        <f ca="1">IFERROR(__xludf.DUMMYFUNCTION("GOOGLETRANSLATE(B1188,""auto"",""en"")"),"The invention involves an artificial intelligence intelligence counseling system and method, which is used to coach users to counsel various useful content.
  To this end, the present invention provides an artificial intelligence intelligence counseling"&amp;" system for users to counsel various useful content. Structural data include student learning data, evaluation data and kaqi data, tutoring data, chat robot data and image data, and image data. And the user terminal transmits non -structured data includin"&amp;"g log data to the smart coach server. The smart coach server provides users with smart coaches based on structured data and non -alternative data.")</f>
        <v>The invention involves an artificial intelligence intelligence counseling system and method, which is used to coach users to counsel various useful content.
  To this end, the present invention provides an artificial intelligence intelligence counseling system for users to counsel various useful content. Structural data include student learning data, evaluation data and kaqi data, tutoring data, chat robot data and image data, and image data. And the user terminal transmits non -structured data including log data to the smart coach server. The smart coach server provides users with smart coaches based on structured data and non -alternative data.</v>
      </c>
      <c r="D1188" s="6" t="s">
        <v>3470</v>
      </c>
      <c r="E1188" s="4" t="str">
        <f ca="1">IFERROR(__xludf.DUMMYFUNCTION("GOOGLETRANSLATE(D1188,""auto"",""en"")"),"Used to guide users with various useful artificial intelligence intelligent guidance systems and methods")</f>
        <v>Used to guide users with various useful artificial intelligence intelligent guidance systems and methods</v>
      </c>
    </row>
    <row r="1189" spans="1:5" ht="15" x14ac:dyDescent="0.25">
      <c r="A1189" s="5" t="s">
        <v>3471</v>
      </c>
      <c r="B1189" s="6" t="s">
        <v>3472</v>
      </c>
      <c r="C1189" s="3" t="str">
        <f ca="1">IFERROR(__xludf.DUMMYFUNCTION("GOOGLETRANSLATE(B1189,""auto"",""en"")"),"This article provides a system and method of re -identifying the player in the broadcast video. A computing system retrieves the broadcast video of sports events. Broadcast videos include multiple video frames. The computing system generates multiple trac"&amp;"ks based on multiple video frames. Each track contains at least one player -related image patch. Each image patch of multiple image stickers is a subset of the corresponding frames of the video frame. For each track, the computing system generate image pa"&amp;"tch. Each player's jersey number can be seen in each image patch of the gallery. The computing system matches the track of the gallery through the convolution automatic encoder. The computing system measures the similarity score of each matching orbit thr"&amp;"ough the neural network, and associates the two orbit according to the similarities of measurement.")</f>
        <v>This article provides a system and method of re -identifying the player in the broadcast video. A computing system retrieves the broadcast video of sports events. Broadcast videos include multiple video frames. The computing system generates multiple tracks based on multiple video frames. Each track contains at least one player -related image patch. Each image patch of multiple image stickers is a subset of the corresponding frames of the video frame. For each track, the computing system generate image patch. Each player's jersey number can be seen in each image patch of the gallery. The computing system matches the track of the gallery through the convolution automatic encoder. The computing system measures the similarity score of each matching orbit through the neural network, and associates the two orbit according to the similarities of measurement.</v>
      </c>
      <c r="D1189" s="6" t="s">
        <v>3473</v>
      </c>
      <c r="E1189" s="4" t="str">
        <f ca="1">IFERROR(__xludf.DUMMYFUNCTION("GOOGLETRANSLATE(D1189,""auto"",""en"")"),"The system and method of re -identifying the player in the broadcast video")</f>
        <v>The system and method of re -identifying the player in the broadcast video</v>
      </c>
    </row>
    <row r="1190" spans="1:5" ht="15" x14ac:dyDescent="0.25">
      <c r="A1190" s="5" t="s">
        <v>3474</v>
      </c>
      <c r="B1190" s="6" t="s">
        <v>3475</v>
      </c>
      <c r="C1190" s="3" t="str">
        <f ca="1">IFERROR(__xludf.DUMMYFUNCTION("GOOGLETRANSLATE(B1190,""auto"",""en"")"),"The more than one parking availability notification we invented the IoT -based intelligent device that uses the Internet of Things is to provide services for government agencies, school schools, coaching campuses, universities, department stores, and hosp"&amp;"itals to solve the problem of insufficient parking spaces. The purpose of the present invention is to use radio frequency recognition and the Internet of Things to develop a 4G and 5G mobile app for smart parking lots. This application can detect availabl"&amp;"e parking spaces to save time and other things. 4-G and 5-G mobile applications are also provided, allowing end users to check the availability of parking spaces and book parking spaces accordingly. The advanced views of system architecture and system wor"&amp;"k are described. sex. For example: The automotive IoT (IoT) device configured in the BICK car includes: Wi-Fi wireless communication interface, which is used to measure signal strength on advanced mobile devices. The signal strength measurement value incl"&amp;"udes signal strength value and signal strength learning analysis and notification unit Analyze the signal strength value from the mobile device to determine when the user leaves his or her mobile device at home or another local location, and generates not"&amp;"ifications to the user accordingly.")</f>
        <v>The more than one parking availability notification we invented the IoT -based intelligent device that uses the Internet of Things is to provide services for government agencies, school schools, coaching campuses, universities, department stores, and hospitals to solve the problem of insufficient parking spaces. The purpose of the present invention is to use radio frequency recognition and the Internet of Things to develop a 4G and 5G mobile app for smart parking lots. This application can detect available parking spaces to save time and other things. 4-G and 5-G mobile applications are also provided, allowing end users to check the availability of parking spaces and book parking spaces accordingly. The advanced views of system architecture and system work are described. sex. For example: The automotive IoT (IoT) device configured in the BICK car includes: Wi-Fi wireless communication interface, which is used to measure signal strength on advanced mobile devices. The signal strength measurement value includes signal strength value and signal strength learning analysis and notification unit Analyze the signal strength value from the mobile device to determine when the user leaves his or her mobile device at home or another local location, and generates notifications to the user accordingly.</v>
      </c>
      <c r="D1190" s="6" t="s">
        <v>3476</v>
      </c>
      <c r="E1190" s="4" t="str">
        <f ca="1">IFERROR(__xludf.DUMMYFUNCTION("GOOGLETRANSLATE(D1190,""auto"",""en"")"),"Multiple parking available notifications using RFID for intelligent devices based on the Internet of Things")</f>
        <v>Multiple parking available notifications using RFID for intelligent devices based on the Internet of Things</v>
      </c>
    </row>
    <row r="1191" spans="1:5" ht="15" x14ac:dyDescent="0.25">
      <c r="A1191" s="5" t="s">
        <v>3477</v>
      </c>
      <c r="B1191" s="6" t="s">
        <v>3478</v>
      </c>
      <c r="C1191" s="3" t="str">
        <f ca="1">IFERROR(__xludf.DUMMYFUNCTION("GOOGLETRANSLATE(B1191,""auto"",""en"")"),"This application involves the field of intelligent bicycles, and a IoT control method, device and system involving cycling involving cycling is disclosed. Give the car, receive and respond to the turning instruction, adjust the movement direction within t"&amp;"he preset range; the speed data information of the bicycle -based speed data, send the speed adjustment instruction to the car, receive and respond to the speed adjustment instruction, adjust the movement within the preset range Speed, this application ha"&amp;"s the effect of improving the interaction between fitness personnel and the car, thereby improving the enthusiasm of fitness.")</f>
        <v>This application involves the field of intelligent bicycles, and a IoT control method, device and system involving cycling involving cycling is disclosed. Give the car, receive and respond to the turning instruction, adjust the movement direction within the preset range; the speed data information of the bicycle -based speed data, send the speed adjustment instruction to the car, receive and respond to the speed adjustment instruction, adjust the movement within the preset range Speed, this application has the effect of improving the interaction between fitness personnel and the car, thereby improving the enthusiasm of fitness.</v>
      </c>
      <c r="D1191" s="6" t="s">
        <v>3479</v>
      </c>
      <c r="E1191" s="4" t="str">
        <f ca="1">IFERROR(__xludf.DUMMYFUNCTION("GOOGLETRANSLATE(D1191,""auto"",""en"")"),"An IoT control method, device and system involving cycling")</f>
        <v>An IoT control method, device and system involving cycling</v>
      </c>
    </row>
    <row r="1192" spans="1:5" ht="15" x14ac:dyDescent="0.25">
      <c r="A1192" s="5" t="s">
        <v>3480</v>
      </c>
      <c r="B1192" s="6" t="s">
        <v>3481</v>
      </c>
      <c r="C1192" s="3" t="str">
        <f ca="1">IFERROR(__xludf.DUMMYFUNCTION("GOOGLETRANSLATE(B1192,""auto"",""en"")"),"A method and system that uses sensors and deep neural networks to control the treadmill according to the user's movement on the treadmill. Collect training data to improve the performance of various typical and atypical treadmill activities to provide dat"&amp;"a for training neural networks to complete the control of treadmill tasks. This method and system include one or more sensors that obtain user motion and location data when users on treadmills. The command unit (CU) stores pre -trained neural networks and"&amp;" receives user movement and location data obtained by one or more sensors. The real -time data of the CU is determined by the real -time data of receiving from the sensor and through the pre -training neural network processing. Movement control processor "&amp;"(MCP) that controls the power of the runner motor to receive the command data sent from the CU, and control the function of the treadmill data based on the motion commands related to the inferred user motion.")</f>
        <v>A method and system that uses sensors and deep neural networks to control the treadmill according to the user's movement on the treadmill. Collect training data to improve the performance of various typical and atypical treadmill activities to provide data for training neural networks to complete the control of treadmill tasks. This method and system include one or more sensors that obtain user motion and location data when users on treadmills. The command unit (CU) stores pre -trained neural networks and receives user movement and location data obtained by one or more sensors. The real -time data of the CU is determined by the real -time data of receiving from the sensor and through the pre -training neural network processing. Movement control processor (MCP) that controls the power of the runner motor to receive the command data sent from the CU, and control the function of the treadmill data based on the motion commands related to the inferred user motion.</v>
      </c>
      <c r="D1192" s="6" t="s">
        <v>3482</v>
      </c>
      <c r="E1192" s="4" t="str">
        <f ca="1">IFERROR(__xludf.DUMMYFUNCTION("GOOGLETRANSLATE(D1192,""auto"",""en"")"),"One -way or multi -directional automatic control of treadmill")</f>
        <v>One -way or multi -directional automatic control of treadmill</v>
      </c>
    </row>
    <row r="1193" spans="1:5" ht="15" x14ac:dyDescent="0.25">
      <c r="A1193" s="5" t="s">
        <v>3483</v>
      </c>
      <c r="B1193" s="6" t="s">
        <v>3484</v>
      </c>
      <c r="C1193" s="3" t="str">
        <f ca="1">IFERROR(__xludf.DUMMYFUNCTION("GOOGLETRANSLATE(B1193,""auto"",""en"")"),"1. Design product name: The device list graphics user interface of the display screen panel. 2. Design products in appearance: used for running procedures, information display, and human -computer interaction. 3. Design of the design of the product in thi"&amp;"s exterior: lies in the interface content of the graphic user interface in the screen. 4. Pictures or photos that can best show design: Design 1 main view. 5. Specify design 1 is the basic design. 6. The purpose of the graphical user interface: Design 1 M"&amp;"ain view to design 3 Main view is the device list interface, and the state of the device is displayed at the same time in the list. Design 4 The main view is the device list interface that displays the search box. 7. Other situations that need to be descr"&amp;"ibed and other descriptions: This display screen panel is applied to mobile phones, computers, laptops, tablets, smart watches, smart bracelets, fitness monitor, headset headphones, personal digital assistants (PDA), smart smart Speakers, television, set "&amp;"-top boxes, projectors, game consoles or navigators, vehicles.")</f>
        <v>1. Design product name: The device list graphics user interface of the display screen panel.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graphical user interface: Design 1 Main view to design 3 Main view is the device list interface, and the state of the device is displayed at the same time in the list. Design 4 The main view is the device list interface that displays the search box. 7. Other situations that need to be described and other descriptions: This display screen panel is applied to mobile phones, computers, laptops, tablets, smart watches, smart bracelets, fitness monitor, headset headphones, personal digital assistants (PDA), smart smart Speakers, television, set -top boxes, projectors, game consoles or navigators, vehicles.</v>
      </c>
      <c r="D1193" s="6" t="s">
        <v>3485</v>
      </c>
      <c r="E1193" s="4" t="str">
        <f ca="1">IFERROR(__xludf.DUMMYFUNCTION("GOOGLETRANSLATE(D1193,""auto"",""en"")"),"Display screen panel device list graphics user interface")</f>
        <v>Display screen panel device list graphics user interface</v>
      </c>
    </row>
    <row r="1194" spans="1:5" ht="15" x14ac:dyDescent="0.25">
      <c r="A1194" s="5" t="s">
        <v>3486</v>
      </c>
      <c r="B1194" s="6" t="s">
        <v>3487</v>
      </c>
      <c r="C1194" s="3" t="str">
        <f ca="1">IFERROR(__xludf.DUMMYFUNCTION("GOOGLETRANSLATE(B1194,""auto"",""en"")"),"1. Design product name: Graphic user interface of the information interactive operation of the display screen panel.
 2. The purpose of designing products in this exterior: This design product is used for computers, laptops, display devices, communicati"&amp;"on equipment, multimedia equipment, information terminals, portable communication equipment, portable multimedia equipment, portable information terminal, tablet computer, mobile phone, intelligence, intelligence Mobile phones, wearable devices, watches, "&amp;"smart watches, fitness monitors, headphones, personal digital assistants, smart speakers, TV, set -top boxes, game systems, laser TV display information interactive operation and display graphic user interface.
 3. Design of the design of the product in"&amp;" this exterior: lies in the content of the graphic user interface in the screen.
 4. Pictures or photos that can best show design: Design 1 main view.
 5. The display screen panel is commonly designed, omit other views.
 6. Specify design 1 is the b"&amp;"asic design.
 7. The purpose of graphical user interface: The main content is to provide personalized information display functions, and to achieve the purpose of information operation through human -machine interaction.
 8. Human -computer interactio"&amp;"n method of graphical user interface: Design 1 Main view to design 9 main views as the main interface of information interaction of the display screen panel, which can present the information of various operating module cards of the family. Users can use "&amp;"voice/remote control/touch. The operation selects the information you want to view, such as ""Little T, Little T"" to wake up the smart voice assistant and explain the card you want to go, select any picture/number/icon in the interface, and jump to the n"&amp;"ext interface; among them,, of which,, of which,, of which,, of which,, of which,, of which,, of which,, of which,, of which,, of which,, of which,, of which,, of which,, of which,, of which,, of which,, of which,, of which,, of which,, of which,, of whic"&amp;"h,, of which,, of which,, of which,, of which,, of which The ""gray block"" in the interface is represented by variable pictures.")</f>
        <v>1. Design product name: Graphic user interface of the information interactive operation of the display screen panel.
 2. The purpose of designing products in this exterior: This design product is used for computers, laptops, display devices, communication equipment, multimedia equipment, information terminals, portable communication equipment, portable multimedia equipment, portable information terminal, tablet computer, mobile phone, intelligence, intelligence Mobile phones, wearable devices, watches, smart watches, fitness monitors, headphones, personal digital assistants, smart speakers, TV, set -top boxes, game systems, laser TV display information interactive operation and display graphic user interface.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The main content is to provide personalized information display functions, and to achieve the purpose of information operation through human -machine interaction.
 8. Human -computer interaction method of graphical user interface: Design 1 Main view to design 9 main views as the main interface of information interaction of the display screen panel, which can present the information of various operating module cards of the family. Users can use voice/remote control/touch. The operation selects the information you want to view, such as "Little T, Little T" to wake up the smart voice assistant and explain the card you want to go, select any picture/number/icon in the interface, and jump to the next interface; among them,, of which,, of which,, of which,, of which,, of which,, of which,, of which,, of which,, of which,, of which,, of which,, of which,, of which,, of which,, of which,, of which,, of which,, of which,, of which,, of which,, of which,, of which,, of which,, of which,, of which,, of which The "gray block" in the interface is represented by variable pictures.</v>
      </c>
      <c r="D1194" s="6" t="s">
        <v>3488</v>
      </c>
      <c r="E1194" s="4" t="str">
        <f ca="1">IFERROR(__xludf.DUMMYFUNCTION("GOOGLETRANSLATE(D1194,""auto"",""en"")"),"The graphical user interface of the information interactive operation of the display screen panel")</f>
        <v>The graphical user interface of the information interactive operation of the display screen panel</v>
      </c>
    </row>
    <row r="1195" spans="1:5" ht="15" x14ac:dyDescent="0.25">
      <c r="A1195" s="5" t="s">
        <v>3489</v>
      </c>
      <c r="B1195" s="6" t="s">
        <v>3490</v>
      </c>
      <c r="C1195" s="3" t="str">
        <f ca="1">IFERROR(__xludf.DUMMYFUNCTION("GOOGLETRANSLATE(B1195,""auto"",""en"")"),"The present invention involves a video -based ski -skiing analysis method, including: to obtain video data for ski jump skiing: build a athletes and ski board detection network models, key node detection network models; train athletes and skiboard detecti"&amp;"on network models and key nodes respectively Detect the network model; predict the key nodes of the athletes and ski board images; conduct the exercise analysis of ski players. The data acquisition of the present invention is relatively simple. By correct"&amp;"ly arranging multiple high -speed photography cameras and calibration at the ski jumping site to capture video data; the present invention can use the method of deep learning to realize the key node of the athletes and skiboards by using deep learning met"&amp;"hods to use deep learning methods Automatic detection, replacing traditional artificial marking methods, saving manpower and material resources; the present invention is used to analyze the posture and sports parameters of the athletes by detecting the ke"&amp;"y points of ski jumping athletes and skilets to assist the training of ski players.")</f>
        <v>The present invention involves a video -based ski -skiing analysis method, including: to obtain video data for ski jump skiing: build a athletes and ski board detection network models, key node detection network models; train athletes and skiboard detection network models and key nodes respectively Detect the network model; predict the key nodes of the athletes and ski board images; conduct the exercise analysis of ski players. The data acquisition of the present invention is relatively simple. By correctly arranging multiple high -speed photography cameras and calibration at the ski jumping site to capture video data; the present invention can use the method of deep learning to realize the key node of the athletes and skiboards by using deep learning methods to use deep learning methods Automatic detection, replacing traditional artificial marking methods, saving manpower and material resources; the present invention is used to analyze the posture and sports parameters of the athletes by detecting the key points of ski jumping athletes and skilets to assist the training of ski players.</v>
      </c>
      <c r="D1195" s="6" t="s">
        <v>3491</v>
      </c>
      <c r="E1195" s="4" t="str">
        <f ca="1">IFERROR(__xludf.DUMMYFUNCTION("GOOGLETRANSLATE(D1195,""auto"",""en"")"),"An analysis method based on video -based skiing sports analysis")</f>
        <v>An analysis method based on video -based skiing sports analysis</v>
      </c>
    </row>
    <row r="1196" spans="1:5" ht="15" x14ac:dyDescent="0.25">
      <c r="A1196" s="5" t="s">
        <v>3492</v>
      </c>
      <c r="B1196" s="6" t="s">
        <v>3493</v>
      </c>
      <c r="C1196" s="3" t="str">
        <f ca="1">IFERROR(__xludf.DUMMYFUNCTION("GOOGLETRANSLATE(B1196,""auto"",""en"")"),"A system of betting on the results of sports events. The system also includes the use of artificial intelligence to balance how much bets will lose, so as to encourage gamers to bet more, eventually win more profits and get greater gamers user groups. Due"&amp;" to the larger market share, this allows systems to reduce instant profit in exchange for long -term profits.")</f>
        <v>A system of betting on the results of sports events. The system also includes the use of artificial intelligence to balance how much bets will lose, so as to encourage gamers to bet more, eventually win more profits and get greater gamers user groups. Due to the larger market share, this allows systems to reduce instant profit in exchange for long -term profits.</v>
      </c>
      <c r="D1196" s="6" t="s">
        <v>3494</v>
      </c>
      <c r="E1196" s="4" t="str">
        <f ca="1">IFERROR(__xludf.DUMMYFUNCTION("GOOGLETRANSLATE(D1196,""auto"",""en"")"),"AI sports betting algorithm engine")</f>
        <v>AI sports betting algorithm engine</v>
      </c>
    </row>
    <row r="1197" spans="1:5" ht="15" x14ac:dyDescent="0.25">
      <c r="A1197" s="5" t="s">
        <v>3495</v>
      </c>
      <c r="B1197" s="6" t="s">
        <v>3496</v>
      </c>
      <c r="C1197" s="3" t="str">
        <f ca="1">IFERROR(__xludf.DUMMYFUNCTION("GOOGLETRANSLATE(B1197,""auto"",""en"")"),"1. Design product name: The parameter of the display screen panel sets the graphical user interface. 2. Design products in appearance: used for running procedures, information display, and human -computer interaction. 3. Design of the design of the produc"&amp;"t in this exterior: lies in the interface content of the graphic user interface in the screen. 4. Pictures or photos that can best show design: Design 1 main view. 5. Specify design 1 is the basic design. 6. The purpose of the graphic user interface: Desi"&amp;"gn 1 main view and design 5 The main view of the main view is the sleeping wind operation interface. The user can view more information on the interface, such as design 1 interface change status diagram and design 5 interface changes. Users can perform re"&amp;"lated operations according to the interface prompts. Design 2 main views and design 6 main views are communication abnormal reminder interfaces. Users can view more information on the interface. operate. Design 3 main views and design 7 main views are the"&amp;" natural wind operation interface. Users to slip on the interface can view more information, such as design 3 interface change status diagram and design 7 interface changes. operate. Design 4 main views and design 8 main views are the shutdown interface. "&amp;"The user can view more information on the interface. For example, the design 4 interface changes and design 8 interface change state diagram shown, the user can perform related operations according to the interface prompt. 7. Other situations that need to"&amp;" be described and other instructions: Design 5 to Design 8 Requirements to protect colors. This display screen panel is applied to mobile phones, computers, laptops, tablets, smart watches, smart watches, smart bracelets, fitness monitors, headsets, perso"&amp;"nal digital assistants (PDA), smart speakers, TV, set -top boxes, projectors, games, games Play or navigator, vehicle.")</f>
        <v>1. Design product name: The parameter of the display screen panel sets the graphical user interface. 2. Design products in appearance: used for running procedures, information display, and human -computer interaction. 3. Design of the design of the product in this exterior: lies in the interface content of the graphic user interface in the screen. 4. Pictures or photos that can best show design: Design 1 main view. 5. Specify design 1 is the basic design. 6. The purpose of the graphic user interface: Design 1 main view and design 5 The main view of the main view is the sleeping wind operation interface. The user can view more information on the interface, such as design 1 interface change status diagram and design 5 interface changes. Users can perform related operations according to the interface prompts. Design 2 main views and design 6 main views are communication abnormal reminder interfaces. Users can view more information on the interface. operate. Design 3 main views and design 7 main views are the natural wind operation interface. Users to slip on the interface can view more information, such as design 3 interface change status diagram and design 7 interface changes. operate. Design 4 main views and design 8 main views are the shutdown interface. The user can view more information on the interface. For example, the design 4 interface changes and design 8 interface change state diagram shown, the user can perform related operations according to the interface prompt. 7. Other situations that need to be described and other instructions: Design 5 to Design 8 Requirements to protect colors. This display screen panel is applied to mobile phones, computers, laptops, tablets, smart watches, smart watches, smart bracelets, fitness monitors, headsets, personal digital assistants (PDA), smart speakers, TV, set -top boxes, projectors, games, games Play or navigator, vehicle.</v>
      </c>
      <c r="D1197" s="6" t="s">
        <v>3497</v>
      </c>
      <c r="E1197" s="4" t="str">
        <f ca="1">IFERROR(__xludf.DUMMYFUNCTION("GOOGLETRANSLATE(D1197,""auto"",""en"")"),"The parameter of the display screen panel sets the graphical user interface")</f>
        <v>The parameter of the display screen panel sets the graphical user interface</v>
      </c>
    </row>
    <row r="1198" spans="1:5" ht="15" x14ac:dyDescent="0.25">
      <c r="A1198" s="5" t="s">
        <v>3498</v>
      </c>
      <c r="B1198" s="6" t="s">
        <v>3499</v>
      </c>
      <c r="C1198" s="3" t="str">
        <f ca="1">IFERROR(__xludf.DUMMYFUNCTION("GOOGLETRANSLATE(B1198,""auto"",""en"")"),"The present invention is a engine that allows any games in the game of ""present"" or single betting games, and calculate ""basic odds"" (calculated by using historical database mining) and at least one more odds. At least one result of a single game in t"&amp;"he scene, at least two different odds, formulating formulas to create cross -odds. Then use artificial intelligence to associate cross -odds with the final odds of calculating odds. Then after knowing the results of the game, use machine learning to make "&amp;"the odds generated by each odds to formulate formulas with the most favorable odds similar to the previous competition calculation.")</f>
        <v>The present invention is a engine that allows any games in the game of "present" or single betting games, and calculate "basic odds" (calculated by using historical database mining) and at least one more odds. At least one result of a single game in the scene, at least two different odds, formulating formulas to create cross -odds. Then use artificial intelligence to associate cross -odds with the final odds of calculating odds. Then after knowing the results of the game, use machine learning to make the odds generated by each odds to formulate formulas with the most favorable odds similar to the previous competition calculation.</v>
      </c>
      <c r="D1198" s="6" t="s">
        <v>3494</v>
      </c>
      <c r="E1198" s="4" t="str">
        <f ca="1">IFERROR(__xludf.DUMMYFUNCTION("GOOGLETRANSLATE(D1198,""auto"",""en"")"),"AI sports betting algorithm engine")</f>
        <v>AI sports betting algorithm engine</v>
      </c>
    </row>
    <row r="1199" spans="1:5" ht="15" x14ac:dyDescent="0.25">
      <c r="A1199" s="5" t="s">
        <v>3500</v>
      </c>
      <c r="B1199" s="6" t="s">
        <v>3501</v>
      </c>
      <c r="C1199" s="3" t="str">
        <f ca="1">IFERROR(__xludf.DUMMYFUNCTION("GOOGLETRANSLATE(B1199,""auto"",""en"")"),"This publicly provides methods and devices for output information, involving the field of artificial intelligence, especially in the field of smart mirrors. The specific implementation scheme is: instructions in response to the instructions to receive the"&amp;" target scenario, the output target scenarios; obtain the user action image; identify the key points of the bone in the user's action image, and determine the user's movement according to the key points of the bones; the action will be the action; the act"&amp;"ion will Matching the operation mapping table of the target scenario, in which, the operation mapping table is used to characterize the corresponding relationship of the user's movement and the operation of the target object; the control target object per"&amp;"forms the successful operation of matching. The implementation method uses the smart mirror to achieve fitness function.")</f>
        <v>This publicly provides methods and devices for output information, involving the field of artificial intelligence, especially in the field of smart mirrors. The specific implementation scheme is: instructions in response to the instructions to receive the target scenario, the output target scenarios; obtain the user action image; identify the key points of the bone in the user's action image, and determine the user's movement according to the key points of the bones; the action will be the action; the action will Matching the operation mapping table of the target scenario, in which, the operation mapping table is used to characterize the corresponding relationship of the user's movement and the operation of the target object; the control target object performs the successful operation of matching. The implementation method uses the smart mirror to achieve fitness function.</v>
      </c>
      <c r="D1199" s="6" t="s">
        <v>3502</v>
      </c>
      <c r="E1199" s="4" t="str">
        <f ca="1">IFERROR(__xludf.DUMMYFUNCTION("GOOGLETRANSLATE(D1199,""auto"",""en"")"),"Methods and devices for output information")</f>
        <v>Methods and devices for output information</v>
      </c>
    </row>
    <row r="1200" spans="1:5" ht="15" x14ac:dyDescent="0.25">
      <c r="A1200" s="5" t="s">
        <v>3503</v>
      </c>
      <c r="B1200" s="6" t="s">
        <v>3504</v>
      </c>
      <c r="C1200" s="3" t="str">
        <f ca="1">IFERROR(__xludf.DUMMYFUNCTION("GOOGLETRANSLATE(B1200,""auto"",""en"")"),"A football training system, including the wearable bracelet 1 with a touch interactive display panel 2, access panel 2 to select primary, intermediate and expert level, holographic projector 7 to teach football virtual holographic projection 4. Teammates "&amp;"and opponents and opponents According to the selected level, the image capture module 6 enabled by artificial intelligence to capture the multiple images used to capture the appropriate posture. If the determined posture is not correct, the panel 2 displa"&amp;"ys a correct posture, multiple sensors 9,10 and 11 It is used to detect parameters of different types of processing by microcontroller. By comparing the parameters with the detected distance. If the parameters are not satisfactory, the projector 7 re -per"&amp;"form holographic projection football 4 and microcontroller indicator panel 2 display Correct parameters.")</f>
        <v>A football training system, including the wearable bracelet 1 with a touch interactive display panel 2, access panel 2 to select primary, intermediate and expert level, holographic projector 7 to teach football virtual holographic projection 4. Teammates and opponents and opponents According to the selected level, the image capture module 6 enabled by artificial intelligence to capture the multiple images used to capture the appropriate posture. If the determined posture is not correct, the panel 2 displays a correct posture, multiple sensors 9,10 and 11 It is used to detect parameters of different types of processing by microcontroller. By comparing the parameters with the detected distance. If the parameters are not satisfactory, the projector 7 re -perform holographic projection football 4 and microcontroller indicator panel 2 display Correct parameters.</v>
      </c>
      <c r="D1200" s="6" t="s">
        <v>3505</v>
      </c>
      <c r="E1200" s="4" t="str">
        <f ca="1">IFERROR(__xludf.DUMMYFUNCTION("GOOGLETRANSLATE(D1200,""auto"",""en"")"),"Football training system")</f>
        <v>Football training system</v>
      </c>
    </row>
    <row r="1201" spans="1:5" ht="15" x14ac:dyDescent="0.25">
      <c r="A1201" s="5" t="s">
        <v>3506</v>
      </c>
      <c r="B1201" s="6" t="s">
        <v>3507</v>
      </c>
      <c r="C1201" s="3" t="str">
        <f ca="1">IFERROR(__xludf.DUMMYFUNCTION("GOOGLETRANSLATE(B1201,""auto"",""en"")"),"The present invention involves a multi -level bowling training device, including: bowling stadium 1, including artificial intelligence -based imaging unit 2 for detecting athletes' physical posture; Portable body 8; FBG sensor 12 is installed on the fusel"&amp;"age 8, the microcontroller is connected to the platform 1 and multiple sensors through communication modules. The length, the magnetic flow variable fluid 6 and the electromagnetic module and multiple nozzles 7 coupled to fill the fluid between the layers"&amp;" and make the fluid in a hard state. The display unit 3 is installed on the platform 1 to prompt the player's correct bowling guidance.")</f>
        <v>The present invention involves a multi -level bowling training device, including: bowling stadium 1, including artificial intelligence -based imaging unit 2 for detecting athletes' physical posture; Portable body 8; FBG sensor 12 is installed on the fuselage 8, the microcontroller is connected to the platform 1 and multiple sensors through communication modules. The length, the magnetic flow variable fluid 6 and the electromagnetic module and multiple nozzles 7 coupled to fill the fluid between the layers and make the fluid in a hard state. The display unit 3 is installed on the platform 1 to prompt the player's correct bowling guidance.</v>
      </c>
      <c r="D1201" s="6" t="s">
        <v>3508</v>
      </c>
      <c r="E1201" s="4" t="str">
        <f ca="1">IFERROR(__xludf.DUMMYFUNCTION("GOOGLETRANSLATE(D1201,""auto"",""en"")"),"Multi -level bowling training device")</f>
        <v>Multi -level bowling training device</v>
      </c>
    </row>
    <row r="1202" spans="1:5" ht="15" x14ac:dyDescent="0.25">
      <c r="A1202" s="5" t="s">
        <v>3509</v>
      </c>
      <c r="B1202" s="6" t="s">
        <v>3510</v>
      </c>
      <c r="C1202" s="3" t="str">
        <f ca="1">IFERROR(__xludf.DUMMYFUNCTION("GOOGLETRANSLATE(B1202,""auto"",""en"")"),"A multi -level gymnastics equipment includes a flat basic platform 1, which is associated with the framework. The frame has two metal ring 2, which is arranged in parallel through multiple horizontal bars 3 to align with users. Imaging unit 4 is connected"&amp;" to the framework of detecting the user's body posture, connect to the first sensor 5 integrated on a metal ring to detect the user's life parameters. In the inductive clamp holding pressure, multiple electromagnetic modules are combined in ring 2 and pla"&amp;"tform 1, connected to the microcontroller to control the speed of the framework on the platform, display the unit 8 installed on the frame, and the microcontroller operation is operated by the microcontroller operation. , Images used to show corrected bod"&amp;"y postures and explanations about clamping pressure.")</f>
        <v>A multi -level gymnastics equipment includes a flat basic platform 1, which is associated with the framework. The frame has two metal ring 2, which is arranged in parallel through multiple horizontal bars 3 to align with users. Imaging unit 4 is connected to the framework of detecting the user's body posture, connect to the first sensor 5 integrated on a metal ring to detect the user's life parameters. In the inductive clamp holding pressure, multiple electromagnetic modules are combined in ring 2 and platform 1, connected to the microcontroller to control the speed of the framework on the platform, display the unit 8 installed on the frame, and the microcontroller operation is operated by the microcontroller operation. , Images used to show corrected body postures and explanations about clamping pressure.</v>
      </c>
      <c r="D1202" s="6" t="s">
        <v>3511</v>
      </c>
      <c r="E1202" s="4" t="str">
        <f ca="1">IFERROR(__xludf.DUMMYFUNCTION("GOOGLETRANSLATE(D1202,""auto"",""en"")"),"Multi -level gymnastics")</f>
        <v>Multi -level gymnastics</v>
      </c>
    </row>
    <row r="1203" spans="1:5" ht="15" x14ac:dyDescent="0.25">
      <c r="A1203" s="5" t="s">
        <v>3512</v>
      </c>
      <c r="B1203" s="6" t="s">
        <v>3513</v>
      </c>
      <c r="C1203" s="3" t="str">
        <f ca="1">IFERROR(__xludf.DUMMYFUNCTION("GOOGLETRANSLATE(B1203,""auto"",""en"")"),"A system of betting on the results of sports events. The system includes an artificial intelligence -based process that will notify users when users are interested in betting available. These notifications can be used to drive users to bet on the absence "&amp;"of unbalanced bets to reduce the risk of betting providers.")</f>
        <v>A system of betting on the results of sports events. The system includes an artificial intelligence -based process that will notify users when users are interested in betting available. These notifications can be used to drive users to bet on the absence of unbalanced bets to reduce the risk of betting providers.</v>
      </c>
      <c r="D1203" s="6" t="s">
        <v>2845</v>
      </c>
      <c r="E1203" s="4" t="str">
        <f ca="1">IFERROR(__xludf.DUMMYFUNCTION("GOOGLETRANSLATE(D1203,""auto"",""en"")"),"Use of artificial intelligence display that may affect normal betting is from notifications from betting applications")</f>
        <v>Use of artificial intelligence display that may affect normal betting is from notifications from betting applications</v>
      </c>
    </row>
    <row r="1204" spans="1:5" ht="15" x14ac:dyDescent="0.25">
      <c r="A1204" s="5" t="s">
        <v>3514</v>
      </c>
      <c r="B1204" s="6" t="s">
        <v>3515</v>
      </c>
      <c r="C1204" s="3" t="str">
        <f ca="1">IFERROR(__xludf.DUMMYFUNCTION("GOOGLETRANSLATE(B1204,""auto"",""en"")"),"This article revealed a method to use the exercise machine to generate exercise sessions for users. This method includes receiving multiple inputs, including multiple inputs including the degree of user pain and the movement range of the user's body part."&amp;" This method also includes the level of exercise of the user based on multiple inputs. The use of machine learning models by selecting one or more exercises based on user -based exercise levels can be used to generate exercise for users. At the beginning,"&amp;" and the virtual coach is executed by the computing equipment associated with the exercise machine to provide instructions related to exercise sessions.")</f>
        <v>This article revealed a method to use the exercise machine to generate exercise sessions for users. This method includes receiving multiple inputs, including multiple inputs including the degree of user pain and the movement range of the user's body part. This method also includes the level of exercise of the user based on multiple inputs. The use of machine learning models by selecting one or more exercises based on user -based exercise levels can be used to generate exercise for users. At the beginning, and the virtual coach is executed by the computing equipment associated with the exercise machine to provide instructions related to exercise sessions.</v>
      </c>
      <c r="D1204" s="6" t="s">
        <v>3516</v>
      </c>
      <c r="E1204" s="4" t="str">
        <f ca="1">IFERROR(__xludf.DUMMYFUNCTION("GOOGLETRANSLATE(D1204,""auto"",""en"")"),"Adjust the motion according to artificial intelligence, sports plan and user feedback")</f>
        <v>Adjust the motion according to artificial intelligence, sports plan and user feedback</v>
      </c>
    </row>
    <row r="1205" spans="1:5" ht="15" x14ac:dyDescent="0.25">
      <c r="A1205" s="5" t="s">
        <v>3517</v>
      </c>
      <c r="B1205" s="6" t="s">
        <v>3518</v>
      </c>
      <c r="C1205" s="3" t="str">
        <f ca="1">IFERROR(__xludf.DUMMYFUNCTION("GOOGLETRANSLATE(B1205,""auto"",""en"")"),"The invention disclosed a data analysis method and system for artificial intelligence identification sports trajectory, including the following steps: the artificial intelligence processing unit obtains sports events information, and the sensor unit obtai"&amp;"ns the three -dimensional information of the venue. Three -dimensional information acquisition object information, obtain the corresponding sports event information according to the object information; the AI ​​processing unit sets up the score of the ven"&amp;"ue according to the event information, and the AI ​​processing unit obtains the scoring rules according to the event information; Output scores to the terminal according to the motion trajectory, scoring rules and score blocks. Compared with the existing "&amp;"technology, the present invention has the following advantages: through the cooperation of AI processing units and sensor units, it can effectively digitize the athlete's movement trajectory during the exercise and use the AI ​​processing unit instead of "&amp;"manual judgment. SCORE, effectively reduce scoring errors, good applicability, easy to promote.")</f>
        <v>The invention disclosed a data analysis method and system for artificial intelligence identification sports trajectory, including the following steps: the artificial intelligence processing unit obtains sports events information, and the sensor unit obtains the three -dimensional information of the venue. Three -dimensional information acquisition object information, obtain the corresponding sports event information according to the object information; the AI ​​processing unit sets up the score of the venue according to the event information, and the AI ​​processing unit obtains the scoring rules according to the event information; Output scores to the terminal according to the motion trajectory, scoring rules and score blocks. Compared with the existing technology, the present invention has the following advantages: through the cooperation of AI processing units and sensor units, it can effectively digitize the athlete's movement trajectory during the exercise and use the AI ​​processing unit instead of manual judgment. SCORE, effectively reduce scoring errors, good applicability, easy to promote.</v>
      </c>
      <c r="D1205" s="6" t="s">
        <v>3519</v>
      </c>
      <c r="E1205" s="4" t="str">
        <f ca="1">IFERROR(__xludf.DUMMYFUNCTION("GOOGLETRANSLATE(D1205,""auto"",""en"")"),"A data analysis method and system of AI recognition motion trajectory")</f>
        <v>A data analysis method and system of AI recognition motion trajectory</v>
      </c>
    </row>
    <row r="1206" spans="1:5" ht="15" x14ac:dyDescent="0.25">
      <c r="A1206" s="5" t="s">
        <v>3520</v>
      </c>
      <c r="B1206" s="6" t="s">
        <v>3521</v>
      </c>
      <c r="C1206" s="3" t="str">
        <f ca="1">IFERROR(__xludf.DUMMYFUNCTION("GOOGLETRANSLATE(B1206,""auto"",""en"")"),"The invention provides a physical education teaching supplies management system based on the Internet of Things, including the borrowing of sporting goods and repayment, and the Internet of Things module and interface display module connected to the contr"&amp;"oller of the sports goods. When borrowing sporting goods, users First of all, you can make an appointment to the remote control platform through the mobile terminal, and then use its mobile terminal to scan the borrowing QR code information on the interfa"&amp;"ce display module. Since then To this remote control platform, the remote control platform sends the corresponding borrowing instruction to the controller through the IoT module after checking the identity information of the user. After receiving the corr"&amp;"esponding borrowing instruction, the controller controls the control instruction, and control the control. Sports supplies borrow the counter to perform the corresponding operation to provide the corresponding number of sporting goods to users. The presen"&amp;"t invention improves the management efficiency of sports goods and the accuracy of recording.")</f>
        <v>The invention provides a physical education teaching supplies management system based on the Internet of Things, including the borrowing of sporting goods and repayment, and the Internet of Things module and interface display module connected to the controller of the sports goods. When borrowing sporting goods, users First of all, you can make an appointment to the remote control platform through the mobile terminal, and then use its mobile terminal to scan the borrowing QR code information on the interface display module. Since then To this remote control platform, the remote control platform sends the corresponding borrowing instruction to the controller through the IoT module after checking the identity information of the user. After receiving the corresponding borrowing instruction, the controller controls the control instruction, and control the control. Sports supplies borrow the counter to perform the corresponding operation to provide the corresponding number of sporting goods to users. The present invention improves the management efficiency of sports goods and the accuracy of recording.</v>
      </c>
      <c r="D1206" s="6" t="s">
        <v>3522</v>
      </c>
      <c r="E1206" s="4" t="str">
        <f ca="1">IFERROR(__xludf.DUMMYFUNCTION("GOOGLETRANSLATE(D1206,""auto"",""en"")"),"A physical education teaching supplies management system based on the Internet of Things")</f>
        <v>A physical education teaching supplies management system based on the Internet of Things</v>
      </c>
    </row>
    <row r="1207" spans="1:5" ht="15" x14ac:dyDescent="0.25">
      <c r="A1207" s="5" t="s">
        <v>3523</v>
      </c>
      <c r="B1207" s="6" t="s">
        <v>3524</v>
      </c>
      <c r="C1207" s="3" t="str">
        <f ca="1">IFERROR(__xludf.DUMMYFUNCTION("GOOGLETRANSLATE(B1207,""auto"",""en"")"),"1. Design product name: Screen panel with a graphical user interface with golf data records.
 2. The purpose of designing products in this appearance: It is used for running programs. The display screen panel is used for mobile phones.
 3. Design of t"&amp;"he design of the product here: lies in the interface content of the graphic user interface in the screen.
 4. Pictures or photos that can most indicate design points: main view.
 5. For usual design, omittime views, left view, right view, pult, viewin"&amp;"g view.
 6. The purpose of the graphical user interface: The interface content of the graphical user interface in the screen is the human -machine interaction interface for the SG score mini -program that records the data recorded by the golf competitio"&amp;"n.
 Human -computer interaction: Click the various buttons of the main view to enter the change state of change separately, respectively, the state of change state, the state of change state, the state of change status, 4, the change of state Change sta"&amp;"te Figure 8 Enter the corresponding interface to achieve human -machine interaction.
 Click the input box of S1, S2, S3, and S4 in the main view sequence bar. You can enter the changing state Figure 1. When clicking the changing state Figure 1, when the"&amp;" key option is pressed in the lower point in the lower point, the corresponding input box will fill in the data according to the GPS positioning data. , Click the GPS positioning to fill in the data input box, enter the change state Figure 2, you can ente"&amp;"r the data by yourself; click the digital box after the main view name input box to enter the change state Figure 3; Frame, jump to the change state Figure 4; click the upper left corner of the main view &amp; nbsp; Hole17 menu bar, you can jump to the change"&amp;" state to Figure 5; 6; Choose the change state of the change state 6 &amp; nbsp; sg &amp; nbsp; the Ranking button and the Hole &amp; Nbsp; by &amp; Nbsp; Hole buttons, which can be jump to the change state of the change state and the change state.
 When clicking the b"&amp;"utton on the screen, you can complete the function of the golf game record data.")</f>
        <v>1. Design product name: Screen panel with a graphical user interface with golf data records.
 2. The purpose of designing products in this appearance: It is used for running programs. The display screen panel is used for mobile phones.
 3. Design of the design of the product here: lies in the interface content of the graphic user interface in the screen.
 4. Pictures or photos that can most indicate design points: main view.
 5. For usual design, omittime views, left view, right view, pult, viewing view.
 6. The purpose of the graphical user interface: The interface content of the graphical user interface in the screen is the human -machine interaction interface for the SG score mini -program that records the data recorded by the golf competition.
 Human -computer interaction: Click the various buttons of the main view to enter the change state of change separately, respectively, the state of change state, the state of change state, the state of change status, 4, the change of state Change state Figure 8 Enter the corresponding interface to achieve human -machine interaction.
 Click the input box of S1, S2, S3, and S4 in the main view sequence bar. You can enter the changing state Figure 1. When clicking the changing state Figure 1, when the key option is pressed in the lower point in the lower point, the corresponding input box will fill in the data according to the GPS positioning data. , Click the GPS positioning to fill in the data input box, enter the change state Figure 2, you can enter the data by yourself; click the digital box after the main view name input box to enter the change state Figure 3; Frame, jump to the change state Figure 4; click the upper left corner of the main view &amp; nbsp; Hole17 menu bar, you can jump to the change state to Figure 5; 6; Choose the change state of the change state 6 &amp; nbsp; sg &amp; nbsp; the Ranking button and the Hole &amp; Nbsp; by &amp; Nbsp; Hole buttons, which can be jump to the change state of the change state and the change state.
 When clicking the button on the screen, you can complete the function of the golf game record data.</v>
      </c>
      <c r="D1207" s="6" t="s">
        <v>3525</v>
      </c>
      <c r="E1207" s="4" t="str">
        <f ca="1">IFERROR(__xludf.DUMMYFUNCTION("GOOGLETRANSLATE(D1207,""auto"",""en"")"),"Screen panel with a graphical user interface with golf data")</f>
        <v>Screen panel with a graphical user interface with golf data</v>
      </c>
    </row>
    <row r="1208" spans="1:5" ht="15" x14ac:dyDescent="0.25">
      <c r="A1208" s="5" t="s">
        <v>3526</v>
      </c>
      <c r="B1208" s="6" t="s">
        <v>3527</v>
      </c>
      <c r="C1208" s="3" t="str">
        <f ca="1">IFERROR(__xludf.DUMMYFUNCTION("GOOGLETRANSLATE(B1208,""auto"",""en"")"),"The present invention disclosed a badminton pickup system, method, and carrier based on OpenMV, which involves the field of sports equipment. The main point of its technical solution is the main control chip module that contacted each module and does data"&amp;" processing. Identification module, motor driver module, display module, the first power module for power conversion, the second power module for power supply to the image recognition module, and the holding module for picking up badminton. The technical "&amp;"effect is the image recognition module. The badminton is identified and transmitted to the main control chip module for data processing. The main control chip module executes the direction and speed of the PWM output wheel through the wireless communicati"&amp;"on control motor drive module. Parameters finally complete the pick -up collection of badminton by controlling the collection module.")</f>
        <v>The present invention disclosed a badminton pickup system, method, and carrier based on OpenMV, which involves the field of sports equipment. The main point of its technical solution is the main control chip module that contacted each module and does data processing. Identification module, motor driver module, display module, the first power module for power conversion, the second power module for power supply to the image recognition module, and the holding module for picking up badminton. The technical effect is the image recognition module. The badminton is identified and transmitted to the main control chip module for data processing. The main control chip module executes the direction and speed of the PWM output wheel through the wireless communication control motor drive module. Parameters finally complete the pick -up collection of badminton by controlling the collection module.</v>
      </c>
      <c r="D1208" s="6" t="s">
        <v>3528</v>
      </c>
      <c r="E1208" s="4" t="str">
        <f ca="1">IFERROR(__xludf.DUMMYFUNCTION("GOOGLETRANSLATE(D1208,""auto"",""en"")"),"A badminton picking system, method, and carrier based on OPENMV")</f>
        <v>A badminton picking system, method, and carrier based on OPENMV</v>
      </c>
    </row>
    <row r="1209" spans="1:5" ht="15" x14ac:dyDescent="0.25">
      <c r="A1209" s="5" t="s">
        <v>3529</v>
      </c>
      <c r="B1209" s="6" t="s">
        <v>3530</v>
      </c>
      <c r="C1209" s="3" t="str">
        <f ca="1">IFERROR(__xludf.DUMMYFUNCTION("GOOGLETRANSLATE(B1209,""auto"",""en"")"),"According to the present invention, the gamified artificial intelligence -based sports guidance device includes the shooting unit, which is used to generate sports images through shooting users; the joint motion data representing the joint motion of the u"&amp;"ser from the exercise image, based on joint motion data Generate user physical information that represents the health level of the user's health. Correspondingly, the processor is used to generate fitness guidance information for managing health levels; i"&amp;"t may include.")</f>
        <v>According to the present invention, the gamified artificial intelligence -based sports guidance device includes the shooting unit, which is used to generate sports images through shooting users; the joint motion data representing the joint motion of the user from the exercise image, based on joint motion data Generate user physical information that represents the health level of the user's health. Correspondingly, the processor is used to generate fitness guidance information for managing health levels; it may include.</v>
      </c>
      <c r="D1209" s="6" t="s">
        <v>2410</v>
      </c>
      <c r="E1209" s="4" t="str">
        <f ca="1">IFERROR(__xludf.DUMMYFUNCTION("GOOGLETRANSLATE(D1209,""auto"",""en"")"),"Artificial Intelligence Gaming Movement Guidance Device")</f>
        <v>Artificial Intelligence Gaming Movement Guidance Device</v>
      </c>
    </row>
    <row r="1210" spans="1:5" ht="15" x14ac:dyDescent="0.25">
      <c r="A1210" s="5" t="s">
        <v>3531</v>
      </c>
      <c r="B1210" s="6" t="s">
        <v>3532</v>
      </c>
      <c r="C1210" s="3" t="str">
        <f ca="1">IFERROR(__xludf.DUMMYFUNCTION("GOOGLETRANSLATE(B1210,""auto"",""en"")"),"Examples of the present invention involve the field of computer vision technology, and a live -broadcasting method, system, device and electronic equipment are disclosed. This method includes: obtain the current sports screen containing the target athlete"&amp;"; determine the position and head rotation angle of the current sports screen; Rotate the corner to determine the location and perspective of the target athlete in the three -dimensional panoramic screen; according to the position and perspective of the t"&amp;"arget athlete in the three -dimensional panoramic screen, generate the live broadcast of the first -person perspective of the target athlete. Through the above methods, the embodiment of the present invention improves the user experience of the live video"&amp;".")</f>
        <v>Examples of the present invention involve the field of computer vision technology, and a live -broadcasting method, system, device and electronic equipment are disclosed. This method includes: obtain the current sports screen containing the target athlete; determine the position and head rotation angle of the current sports screen; Rotate the corner to determine the location and perspective of the target athlete in the three -dimensional panoramic screen; according to the position and perspective of the target athlete in the three -dimensional panoramic screen, generate the live broadcast of the first -person perspective of the target athlete. Through the above methods, the embodiment of the present invention improves the user experience of the live video.</v>
      </c>
      <c r="D1210" s="6" t="s">
        <v>3533</v>
      </c>
      <c r="E1210" s="4" t="str">
        <f ca="1">IFERROR(__xludf.DUMMYFUNCTION("GOOGLETRANSLATE(D1210,""auto"",""en"")"),"Live screen generation method, system, device and electronic equipment")</f>
        <v>Live screen generation method, system, device and electronic equipment</v>
      </c>
    </row>
    <row r="1211" spans="1:5" ht="15" x14ac:dyDescent="0.25">
      <c r="A1211" s="5" t="s">
        <v>3534</v>
      </c>
      <c r="B1211" s="6" t="s">
        <v>3535</v>
      </c>
      <c r="C1211" s="3" t="str">
        <f ca="1">IFERROR(__xludf.DUMMYFUNCTION("GOOGLETRANSLATE(B1211,""auto"",""en"")"),"Examples of the present invention involve the field of computer vision technology, and a live broadcast screen generation method, system, device and electronic equipment of shooting competitions have been disclosed. This method includes: to obtain the sho"&amp;"oting target screen collected from a horizontal perspective; obtain the results of the three -dimensional scanning of the shot of the shooter; according to the results of the three -dimensional scan and the shooting target screen, generate Picture. Throug"&amp;"h the above methods, the embodiment of the present invention improves the viewing experience of the live broadcast of the shooting competition.")</f>
        <v>Examples of the present invention involve the field of computer vision technology, and a live broadcast screen generation method, system, device and electronic equipment of shooting competitions have been disclosed. This method includes: to obtain the shooting target screen collected from a horizontal perspective; obtain the results of the three -dimensional scanning of the shot of the shooter; according to the results of the three -dimensional scan and the shooting target screen, generate Picture. Through the above methods, the embodiment of the present invention improves the viewing experience of the live broadcast of the shooting competition.</v>
      </c>
      <c r="D1211" s="6" t="s">
        <v>3536</v>
      </c>
      <c r="E1211" s="4" t="str">
        <f ca="1">IFERROR(__xludf.DUMMYFUNCTION("GOOGLETRANSLATE(D1211,""auto"",""en"")"),"The live broadcast screen generation method, system, device and electronic equipment of the shooting competition")</f>
        <v>The live broadcast screen generation method, system, device and electronic equipment of the shooting competition</v>
      </c>
    </row>
    <row r="1212" spans="1:5" ht="15" x14ac:dyDescent="0.25">
      <c r="A1212" s="5" t="s">
        <v>3537</v>
      </c>
      <c r="B1212" s="6" t="s">
        <v>3538</v>
      </c>
      <c r="C1212" s="3" t="str">
        <f ca="1">IFERROR(__xludf.DUMMYFUNCTION("GOOGLETRANSLATE(B1212,""auto"",""en"")"),"The present invention provides a snake -shaped running assessment method and system, which includes sending starting instructions and recording the starting time stamp; real -time obtaining image information in the running assessment area; entering the im"&amp;"age information of the running evaluation area to the depth convolution of pre -training Neural network model to identify the turning logo rods and/or running testers included; if the image information of the running assessment area is recognized, the tur"&amp;"ning logo rod and running tester are also included, then obtain the turning logo rod and the running tester Relative location information; if the relative location information of the turning logo rod and the running tester meets the preset turning conditi"&amp;"ons, the number of turns is updated; if the number of turns is equal to the number of preset turns, then calculate based on the start timestamp and sprint timestamp calculation. Getting running results, this method achieves automated testing of snake -sha"&amp;"ped running, with high test efficiency and low error rate.")</f>
        <v>The present invention provides a snake -shaped running assessment method and system, which includes sending starting instructions and recording the starting time stamp; real -time obtaining image information in the running assessment area; entering the image information of the running evaluation area to the depth convolution of pre -training Neural network model to identify the turning logo rods and/or running testers included; if the image information of the running assessment area is recognized, the turning logo rod and running tester are also included, then obtain the turning logo rod and the running tester Relative location information; if the relative location information of the turning logo rod and the running tester meets the preset turning conditions, the number of turns is updated; if the number of turns is equal to the number of preset turns, then calculate based on the start timestamp and sprint timestamp calculation. Getting running results, this method achieves automated testing of snake -shaped running, with high test efficiency and low error rate.</v>
      </c>
      <c r="D1212" s="6" t="s">
        <v>3539</v>
      </c>
      <c r="E1212" s="4" t="str">
        <f ca="1">IFERROR(__xludf.DUMMYFUNCTION("GOOGLETRANSLATE(D1212,""auto"",""en"")"),"Snake -shaped running assessment method, system, electronic equipment and storage media")</f>
        <v>Snake -shaped running assessment method, system, electronic equipment and storage media</v>
      </c>
    </row>
    <row r="1213" spans="1:5" ht="15" x14ac:dyDescent="0.25">
      <c r="A1213" s="5" t="s">
        <v>3540</v>
      </c>
      <c r="B1213" s="6" t="s">
        <v>3541</v>
      </c>
      <c r="C1213" s="3" t="str">
        <f ca="1">IFERROR(__xludf.DUMMYFUNCTION("GOOGLETRANSLATE(B1213,""auto"",""en"")"),"A swimming protective gear protection system for detecting dangerous personnel in the water body, including one or more sensors against water bodies, configured to make sound alarm systems when detecting people in danger, and computing equipment and one o"&amp;"r more sensors and more sensors and more sensors and more. System power communication. The computing device is configured to perform deep learning algorithms, which detects incidents of dangerous people in the water body. Typical, the computing device is "&amp;"also configured to send a trigger to the alarm system to provide audio alarm when detecting such an event.")</f>
        <v>A swimming protective gear protection system for detecting dangerous personnel in the water body, including one or more sensors against water bodies, configured to make sound alarm systems when detecting people in danger, and computing equipment and one or more sensors and more sensors and more sensors and more. System power communication. The computing device is configured to perform deep learning algorithms, which detects incidents of dangerous people in the water body. Typical, the computing device is also configured to send a trigger to the alarm system to provide audio alarm when detecting such an event.</v>
      </c>
      <c r="D1213" s="6" t="s">
        <v>3542</v>
      </c>
      <c r="E1213" s="4" t="str">
        <f ca="1">IFERROR(__xludf.DUMMYFUNCTION("GOOGLETRANSLATE(D1213,""auto"",""en"")"),"Swimming Guard Protection System")</f>
        <v>Swimming Guard Protection System</v>
      </c>
    </row>
    <row r="1214" spans="1:5" ht="15" x14ac:dyDescent="0.25">
      <c r="A1214" s="5" t="s">
        <v>3543</v>
      </c>
      <c r="B1214" s="6" t="s">
        <v>3544</v>
      </c>
      <c r="C1214" s="3" t="str">
        <f ca="1">IFERROR(__xludf.DUMMYFUNCTION("GOOGLETRANSLATE(B1214,""auto"",""en"")"),"1. Design product name: The graphical user interface for display motion monitoring parameters for display screen panels.
 2. Design the purpose of designing products in this exterior: Display the content of the graphical user interface to achieve human "&amp;"-machine interaction.
 3. Design of the design of the product in appearance: lies in the graphic user interface.
 4. Pictures or photos that can best show design: Design 1 main view.
 5. Specify design 1 is the basic design.
 6. The purpose of the"&amp;" graphical user interface: The graphic user interface designed herein is used to display the user interface by using tools, graphics, and/or buttons to monitor the motion through display screen panels used on sports devices.
 7. Human -computer interact"&amp;"ion method of graphical user interface: (1) Click the control/button on the lower side/left part of the interface of ""Design 1 Main View"" to achieve the function of the monitoring distance. Unit; (2) Click the control/button on the lower side/left part "&amp;"of the interface of ""Design 1 Reference Figure 1"" to achieve the function of the monitoring distance. The control/button of the lower side/left side of the interface of Figure 2 to achieve the function of the monitoring distance. The distance is based o"&amp;"n miles; The control/button to achieve the function of the monitoring distance, the distance is united by kilometers or miles; (5) click the control/button on the up/left part of the interface of the ""Design 2 Reference Figure 1"" to achieve monitoring m"&amp;"onitoring to monitor the monitoring The function of the distance is units of the distance; (6) click the control/button on the up/left part of the interface of ""Design 2 Reference Figure 2"" to achieve the function of the monitoring distance. ; (7) Click"&amp;" the control/button on the lower side/left part of the interface of the ""Design 3 Main View"" to achieve the function of the monitoring distance. The control/button on the lower side/left part of the interface to achieve the function of the monitoring di"&amp;"stance. The distance is unit of kilometer; (9) click on the lower side/left part of the interface of ""Design 1 Reference Figure 3"". Control/button to achieve the function of monitoring distance. The distance is unit of kilometer; (10) click the control/"&amp;"button on the lower side/left part of the interface of ""Design 1 Reference Figure 4"" to achieve the function of the monitoring distance The distance is unit.
 8. The display screen panel with this appearance can be applied to sports equipment, such as"&amp;" indoor sports bicycles, treadmills or rowing machines.")</f>
        <v>1. Design product name: The graphical user interface for display motion monitoring parameters for display screen panels.
 2. Design the purpose of designing products in this exterior: Display the content of the graphical user interface to achieve human -machine interaction.
 3. Design of the design of the product in appearance: lies in the graphic user interface.
 4. Pictures or photos that can best show design: Design 1 main view.
 5. Specify design 1 is the basic design.
 6. The purpose of the graphical user interface: The graphic user interface designed herein is used to display the user interface by using tools, graphics, and/or buttons to monitor the motion through display screen panels used on sports devices.
 7. Human -computer interaction method of graphical user interface: (1) Click the control/button on the lower side/left part of the interface of "Design 1 Main View" to achieve the function of the monitoring distance. Unit; (2) Click the control/button on the lower side/left part of the interface of "Design 1 Reference Figure 1" to achieve the function of the monitoring distance. The control/button of the lower side/left side of the interface of Figure 2 to achieve the function of the monitoring distance. The distance is based on miles; The control/button to achieve the function of the monitoring distance, the distance is united by kilometers or miles; (5) click the control/button on the up/left part of the interface of the "Design 2 Reference Figure 1" to achieve monitoring monitoring to monitor the monitoring The function of the distance is units of the distance; (6) click the control/button on the up/left part of the interface of "Design 2 Reference Figure 2" to achieve the function of the monitoring distance. ; (7) Click the control/button on the lower side/left part of the interface of the "Design 3 Main View" to achieve the function of the monitoring distance. The control/button on the lower side/left part of the interface to achieve the function of the monitoring distance. The distance is unit of kilometer; (9) click on the lower side/left part of the interface of "Design 1 Reference Figure 3". Control/button to achieve the function of monitoring distance. The distance is unit of kilometer; (10) click the control/button on the lower side/left part of the interface of "Design 1 Reference Figure 4" to achieve the function of the monitoring distance The distance is unit.
 8. The display screen panel with this appearance can be applied to sports equipment, such as indoor sports bicycles, treadmills or rowing machines.</v>
      </c>
      <c r="D1214" s="6" t="s">
        <v>3545</v>
      </c>
      <c r="E1214" s="4" t="str">
        <f ca="1">IFERROR(__xludf.DUMMYFUNCTION("GOOGLETRANSLATE(D1214,""auto"",""en"")"),"The graphical user interface for display motion monitoring parameters for display screen panels")</f>
        <v>The graphical user interface for display motion monitoring parameters for display screen panels</v>
      </c>
    </row>
    <row r="1215" spans="1:5" ht="15" x14ac:dyDescent="0.25">
      <c r="A1215" s="5" t="s">
        <v>3546</v>
      </c>
      <c r="B1215" s="6" t="s">
        <v>3547</v>
      </c>
      <c r="C1215" s="3" t="str">
        <f ca="1">IFERROR(__xludf.DUMMYFUNCTION("GOOGLETRANSLATE(B1215,""auto"",""en"")"),"The invention discloses a viral automatic monitoring equipment for sports testing, which involves the field of automatic testing technology, including the main control module, camera, limb movement detection module, performance determination module and ma"&amp;"terial solidification module; the camera is used for shooting for shooting Candidates' traction process is upward, and the entire video is passed to the limb movement detection module in real time; the limb movement detection module uses image recognition"&amp;" technology to view the video frame image uploaded by the camera, identify the joint of the candidates, and press the joint position of each frame image according to the position of the frame images. Time is recorded to form a joint motion trajectory; the"&amp;" score determination module is used to determine whether the candidate's actions are compliant and the number completed within the unit time through the rules of joint motion trajectory and traction. The present invention guarantees the performance data t"&amp;"hrough the blockchain, and ensures that the data of sports videos and the joint trajectory of candidates is not tampered with, and it also provides a reliable basis for later review.")</f>
        <v>The invention discloses a viral automatic monitoring equipment for sports testing, which involves the field of automatic testing technology, including the main control module, camera, limb movement detection module, performance determination module and material solidification module; the camera is used for shooting for shooting Candidates' traction process is upward, and the entire video is passed to the limb movement detection module in real time; the limb movement detection module uses image recognition technology to view the video frame image uploaded by the camera, identify the joint of the candidates, and press the joint position of each frame image according to the position of the frame images. Time is recorded to form a joint motion trajectory; the score determination module is used to determine whether the candidate's actions are compliant and the number completed within the unit time through the rules of joint motion trajectory and traction. The present invention guarantees the performance data through the blockchain, and ensures that the data of sports videos and the joint trajectory of candidates is not tampered with, and it also provides a reliable basis for later review.</v>
      </c>
      <c r="D1215" s="6" t="s">
        <v>3548</v>
      </c>
      <c r="E1215" s="4" t="str">
        <f ca="1">IFERROR(__xludf.DUMMYFUNCTION("GOOGLETRANSLATE(D1215,""auto"",""en"")"),"An automatic monitoring device for the upward monitoring equipment for sports testing")</f>
        <v>An automatic monitoring device for the upward monitoring equipment for sports testing</v>
      </c>
    </row>
    <row r="1216" spans="1:5" ht="15" x14ac:dyDescent="0.25">
      <c r="A1216" s="5" t="s">
        <v>3549</v>
      </c>
      <c r="B1216" s="6" t="s">
        <v>3550</v>
      </c>
      <c r="C1216" s="3" t="str">
        <f ca="1">IFERROR(__xludf.DUMMYFUNCTION("GOOGLETRANSLATE(B1216,""auto"",""en"")"),"The invention opens the transformation of the transformation of the substation based on the mobile interconnection application, including the manager to display the management of the business page and the physical ID micro -application framework; the serv"&amp;"ice interaction layer is used to provide the service interface to provide the service interface Support, including the communication client in the browser and the service access point of the service side of the server; the business logic layer is used to "&amp;"provide business logic services and unified objective management. The business logic service includes standard logic components, business logic components and Public service agent; data storage layer to provide data storage and data access. By using the I"&amp;"nternet+Internet of Things technology, the invention effectively reduces the occurrence of security accidents, and analyzes the quantitative analysis of the overall operation of team members through intelligent analysis modules, the statistical management"&amp;" of the substation inspection, and the operation of the door.")</f>
        <v>The invention opens the transformation of the transformation of the substation based on the mobile interconnection application, including the manager to display the management of the business page and the physical ID micro -application framework; the service interaction layer is used to provide the service interface to provide the service interface Support, including the communication client in the browser and the service access point of the service side of the server; the business logic layer is used to provide business logic services and unified objective management. The business logic service includes standard logic components, business logic components and Public service agent; data storage layer to provide data storage and data access. By using the Internet+Internet of Things technology, the invention effectively reduces the occurrence of security accidents, and analyzes the quantitative analysis of the overall operation of team members through intelligent analysis modules, the statistical management of the substation inspection, and the operation of the door.</v>
      </c>
      <c r="D1216" s="6" t="s">
        <v>3551</v>
      </c>
      <c r="E1216" s="4" t="str">
        <f ca="1">IFERROR(__xludf.DUMMYFUNCTION("GOOGLETRANSLATE(D1216,""auto"",""en"")"),"Transformer intelligent inverted operating ticket management system based on mobile interconnect applications")</f>
        <v>Transformer intelligent inverted operating ticket management system based on mobile interconnect applications</v>
      </c>
    </row>
    <row r="1217" spans="1:5" ht="15" x14ac:dyDescent="0.25">
      <c r="A1217" s="5" t="s">
        <v>3552</v>
      </c>
      <c r="B1217" s="6" t="s">
        <v>3553</v>
      </c>
      <c r="C1217" s="3" t="str">
        <f ca="1">IFERROR(__xludf.DUMMYFUNCTION("GOOGLETRANSLATE(B1217,""auto"",""en"")"),"The present invention involves the field of intelligent fitness technology, and specifically involves a fitness solution generation method and system based on artificial intelligence and big data. Methods include: according to the first training data corr"&amp;"esponding to the fitness personnel and the label data corresponding to the first training data, train the first neural network; enter the second training data corresponding to the fitness personnel to get the second neural network to obtain the second tra"&amp;"ining data The corresponding second category label and the visual sensitivity of the fitness action of various actions, so as to use the second training data and the visual sensitivity of fitness action to train the fitness angle of the fitness action. Th"&amp;"e degenerative measurement network obtains the data corresponding to different fitness purposes, so as to obtain a fitness solution corresponding to each fitness purpose. According to the fitness plan of fitness personnel who have the same fitness personn"&amp;"el as users in big data, the present invention generates a fitness solution for users to generate a fitness solution for users, which can improve the fitness effect of users.")</f>
        <v>The present invention involves the field of intelligent fitness technology, and specifically involves a fitness solution generation method and system based on artificial intelligence and big data. Methods include: according to the first training data corresponding to the fitness personnel and the label data corresponding to the first training data, train the first neural network; enter the second training data corresponding to the fitness personnel to get the second neural network to obtain the second training data The corresponding second category label and the visual sensitivity of the fitness action of various actions, so as to use the second training data and the visual sensitivity of fitness action to train the fitness angle of the fitness action. The degenerative measurement network obtains the data corresponding to different fitness purposes, so as to obtain a fitness solution corresponding to each fitness purpose. According to the fitness plan of fitness personnel who have the same fitness personnel as users in big data, the present invention generates a fitness solution for users to generate a fitness solution for users, which can improve the fitness effect of users.</v>
      </c>
      <c r="D1217" s="6" t="s">
        <v>3554</v>
      </c>
      <c r="E1217" s="4" t="str">
        <f ca="1">IFERROR(__xludf.DUMMYFUNCTION("GOOGLETRANSLATE(D1217,""auto"",""en"")"),"Fitness solution generation method and system based on artificial intelligence and big data")</f>
        <v>Fitness solution generation method and system based on artificial intelligence and big data</v>
      </c>
    </row>
    <row r="1218" spans="1:5" ht="15" x14ac:dyDescent="0.25">
      <c r="A1218" s="5" t="s">
        <v>3555</v>
      </c>
      <c r="B1218" s="6" t="s">
        <v>3556</v>
      </c>
      <c r="C1218" s="3" t="str">
        <f ca="1">IFERROR(__xludf.DUMMYFUNCTION("GOOGLETRANSLATE(B1218,""auto"",""en"")"),"This utility model opens up a power distribution cabinet based on the Internet of Things, including the power distribution cabinet body and lower support. There is a standing frame installed on one side of the lower side of the lower branch. , The screw o"&amp;"n the screw is installed with a slide, the power distribution cabinet is fixed on both sides of the slide, and the lower end of the screw is connected to the transmission rod through the gear set. The transmission rod is installed with a regulatory handle"&amp;" at one end. With the foot, the lower side of the feet is installed with a pulley through the shock absorption mechanism. The practical new type is fixed on both sides of the slide by fixing the distribution cabinet body, and the skate thread is installed"&amp;" on the screw of the upper part of the lower support. The transmission connection has a transmission rod and a regulatory handle, so that the rotating adjustment handle can be adjusted to adjust the screw rotation, so that the height of the power distribu"&amp;"tion cabinet body can be adjusted, and the power of the power distribution cabinet of the power distribution cabinet can be used. Maintenance and protection.")</f>
        <v>This utility model opens up a power distribution cabinet based on the Internet of Things, including the power distribution cabinet body and lower support. There is a standing frame installed on one side of the lower side of the lower branch. , The screw on the screw is installed with a slide, the power distribution cabinet is fixed on both sides of the slide, and the lower end of the screw is connected to the transmission rod through the gear set. The transmission rod is installed with a regulatory handle at one end. With the foot, the lower side of the feet is installed with a pulley through the shock absorption mechanism. The practical new type is fixed on both sides of the slide by fixing the distribution cabinet body, and the skate thread is installed on the screw of the upper part of the lower support. The transmission connection has a transmission rod and a regulatory handle, so that the rotating adjustment handle can be adjusted to adjust the screw rotation, so that the height of the power distribution cabinet body can be adjusted, and the power of the power distribution cabinet of the power distribution cabinet can be used. Maintenance and protection.</v>
      </c>
      <c r="D1218" s="6" t="s">
        <v>3557</v>
      </c>
      <c r="E1218" s="4" t="str">
        <f ca="1">IFERROR(__xludf.DUMMYFUNCTION("GOOGLETRANSLATE(D1218,""auto"",""en"")"),"A power distribution cabinet based on the Internet of Things")</f>
        <v>A power distribution cabinet based on the Internet of Things</v>
      </c>
    </row>
    <row r="1219" spans="1:5" ht="15" x14ac:dyDescent="0.25">
      <c r="A1219" s="5" t="s">
        <v>3558</v>
      </c>
      <c r="B1219" s="6" t="s">
        <v>3559</v>
      </c>
      <c r="C1219" s="3" t="str">
        <f ca="1">IFERROR(__xludf.DUMMYFUNCTION("GOOGLETRANSLATE(B1219,""auto"",""en"")"),"The invention provides a ski training method, device, electronic equipment and storage media. In this application, when the user conducts skiing training on the skiing machine, the terminal controls the first image of the position where the camera collect"&amp;"s the skiing machine. The first image includes skiing machines and users on skiing machines on skiing machines. The terminal recognizes the current position of the user on the skiing carpet based on the first image. Getting users need to slide to the targ"&amp;"et position on the skiing carpet. The first image is displayed on the display, and the target location is marked on the first image, and the sliding prompt information is displayed on the display, and the sliding prompt information is prompt to prompt use"&amp;"rs to slide from the current position to the target position. Through this application, in the process of skiing training on the skiing machine, you can automatically guide users to complete the training task according to the established position. During "&amp;"the training process, no coach can participate, which can reduce labor costs.")</f>
        <v>The invention provides a ski training method, device, electronic equipment and storage media. In this application, when the user conducts skiing training on the skiing machine, the terminal controls the first image of the position where the camera collects the skiing machine. The first image includes skiing machines and users on skiing machines on skiing machines. The terminal recognizes the current position of the user on the skiing carpet based on the first image. Getting users need to slide to the target position on the skiing carpet. The first image is displayed on the display, and the target location is marked on the first image, and the sliding prompt information is displayed on the display, and the sliding prompt information is prompt to prompt users to slide from the current position to the target position. Through this application, in the process of skiing training on the skiing machine, you can automatically guide users to complete the training task according to the established position. During the training process, no coach can participate, which can reduce labor costs.</v>
      </c>
      <c r="D1219" s="6" t="s">
        <v>3560</v>
      </c>
      <c r="E1219" s="4" t="str">
        <f ca="1">IFERROR(__xludf.DUMMYFUNCTION("GOOGLETRANSLATE(D1219,""auto"",""en"")"),"A ski training method, device, electronic equipment and storage medium")</f>
        <v>A ski training method, device, electronic equipment and storage medium</v>
      </c>
    </row>
    <row r="1220" spans="1:5" ht="15" x14ac:dyDescent="0.25">
      <c r="A1220" s="5" t="s">
        <v>3561</v>
      </c>
      <c r="B1220" s="6" t="s">
        <v>3562</v>
      </c>
      <c r="C1220" s="3" t="str">
        <f ca="1">IFERROR(__xludf.DUMMYFUNCTION("GOOGLETRANSLATE(B1220,""auto"",""en"")"),"The J-SLEEVE system provides a system to collect and analyze the performance of athletes to provide feedback and suggestions on preferred actions, thereby improving the accuracy and efficiency of athletes' performance, and increasing their understanding o"&amp;"f the competitive pattern. Users will wear J -type on the arm during exercise, games, and backyard skills. These data need to be analyzed using JSS to improve the efficiency and performance of users. JSS uses data and artificial intelligence to improve th"&amp;"e athlete's efficiency and sports performance. JSS functions include sports forms of repeatedness, accuracy of exercise, tracking position tracking, fatigue tracking, social sharing and competition, as well as virtual clipboards used to develop games and "&amp;"positioning, as well as video game integration. Virtual clipboards allow users to use data to determine the best competition to determine the most likely successful users.")</f>
        <v>The J-SLEEVE system provides a system to collect and analyze the performance of athletes to provide feedback and suggestions on preferred actions, thereby improving the accuracy and efficiency of athletes' performance, and increasing their understanding of the competitive pattern. Users will wear J -type on the arm during exercise, games, and backyard skills. These data need to be analyzed using JSS to improve the efficiency and performance of users. JSS uses data and artificial intelligence to improve the athlete's efficiency and sports performance. JSS functions include sports forms of repeatedness, accuracy of exercise, tracking position tracking, fatigue tracking, social sharing and competition, as well as virtual clipboards used to develop games and positioning, as well as video game integration. Virtual clipboards allow users to use data to determine the best competition to determine the most likely successful users.</v>
      </c>
      <c r="D1220" s="6" t="s">
        <v>3563</v>
      </c>
      <c r="E1220" s="4" t="str">
        <f ca="1">IFERROR(__xludf.DUMMYFUNCTION("GOOGLETRANSLATE(D1220,""auto"",""en"")"),"J-sleeve system")</f>
        <v>J-sleeve system</v>
      </c>
    </row>
    <row r="1221" spans="1:5" ht="15" x14ac:dyDescent="0.25">
      <c r="A1221" s="5" t="s">
        <v>3564</v>
      </c>
      <c r="B1221" s="6" t="s">
        <v>3565</v>
      </c>
      <c r="C1221" s="3" t="str">
        <f ca="1">IFERROR(__xludf.DUMMYFUNCTION("GOOGLETRANSLATE(B1221,""auto"",""en"")"),"The methods of learning information provided in the learning management system of the present invention include student data, including age, learning habits, understanding levels, weaknesses and parental communication, as well as class data, including sub"&amp;"jects, classes, progress, class content, assignments, and achievements. The experience data that includes the effects of student tendencies, coach tendencies, events, problems, solutions, and solutions in the database; use natural language processing mode"&amp;"l pre -processing of student data, including structured or non -structured text, Class data and experience data; associate the pre -processing student data with the class data, generate a learning tutoring model according to the input student data, output"&amp;" customized learning information; associate the pre -processing student data and experience data to form formation to form formed Personality counseling model, customized personality information based on the input student data output; store the learning c"&amp;"ounseling model and personality counseling model in memory.")</f>
        <v>The methods of learning information provided in the learning management system of the present invention include student data, including age, learning habits, understanding levels, weaknesses and parental communication, as well as class data, including subjects, classes, progress, class content, assignments, and achievements. The experience data that includes the effects of student tendencies, coach tendencies, events, problems, solutions, and solutions in the database; use natural language processing model pre -processing of student data, including structured or non -structured text, Class data and experience data; associate the pre -processing student data with the class data, generate a learning tutoring model according to the input student data, output customized learning information; associate the pre -processing student data and experience data to form formation to form formed Personality counseling model, customized personality information based on the input student data output; store the learning counseling model and personality counseling model in memory.</v>
      </c>
      <c r="D1221" s="6" t="s">
        <v>3566</v>
      </c>
      <c r="E1221" s="4" t="str">
        <f ca="1">IFERROR(__xludf.DUMMYFUNCTION("GOOGLETRANSLATE(D1221,""auto"",""en"")"),"Learning management system and how they provide learning information")</f>
        <v>Learning management system and how they provide learning information</v>
      </c>
    </row>
    <row r="1222" spans="1:5" ht="15" x14ac:dyDescent="0.25">
      <c r="A1222" s="5" t="s">
        <v>3567</v>
      </c>
      <c r="B1222" s="6" t="s">
        <v>518</v>
      </c>
      <c r="C1222" s="3" t="str">
        <f ca="1">IFERROR(__xludf.DUMMYFUNCTION("GOOGLETRANSLATE(B1222,""auto"",""en"")"),"-")</f>
        <v>-</v>
      </c>
      <c r="D1222" s="6" t="s">
        <v>3568</v>
      </c>
      <c r="E1222" s="4" t="str">
        <f ca="1">IFERROR(__xludf.DUMMYFUNCTION("GOOGLETRANSLATE(D1222,""auto"",""en"")"),"Soft tactile upper body robot used for large fogical manipulation and physical human -machine interaction")</f>
        <v>Soft tactile upper body robot used for large fogical manipulation and physical human -machine interaction</v>
      </c>
    </row>
    <row r="1223" spans="1:5" ht="15" x14ac:dyDescent="0.25">
      <c r="A1223" s="5" t="s">
        <v>3569</v>
      </c>
      <c r="B1223" s="6" t="s">
        <v>3570</v>
      </c>
      <c r="C1223" s="3" t="str">
        <f ca="1">IFERROR(__xludf.DUMMYFUNCTION("GOOGLETRANSLATE(B1223,""auto"",""en"")"),"The present invention involves an adaptive control method based on artificial intelligence -based gym temperature, including: installing multiple cameras in the gym, collecting image data of the gym in the house, and obtaining panoramic images in the gym "&amp;"area through image processing methods; obtaining the required required required After the panoramic image data, the gym is divided into the area of ​​each sub -area; the types of fitness types of the gym are analyzed through the fitness action database, a"&amp;"nd the fitness types of the fitness of the fitness in the various areas are obtained. Analyze the effects after temperature regulation and set up optimization models to enable the environmental environment of each sub -region to meet the fitness environme"&amp;"nt of the fitness. Save energy, convenient adjustment, and meet the needs of fitness people's demand for cooling and cooling during fitness.")</f>
        <v>The present invention involves an adaptive control method based on artificial intelligence -based gym temperature, including: installing multiple cameras in the gym, collecting image data of the gym in the house, and obtaining panoramic images in the gym area through image processing methods; obtaining the required required required After the panoramic image data, the gym is divided into the area of ​​each sub -area; the types of fitness types of the gym are analyzed through the fitness action database, and the fitness types of the fitness of the fitness in the various areas are obtained. Analyze the effects after temperature regulation and set up optimization models to enable the environmental environment of each sub -region to meet the fitness environment of the fitness. Save energy, convenient adjustment, and meet the needs of fitness people's demand for cooling and cooling during fitness.</v>
      </c>
      <c r="D1223" s="6" t="s">
        <v>3571</v>
      </c>
      <c r="E1223" s="4" t="str">
        <f ca="1">IFERROR(__xludf.DUMMYFUNCTION("GOOGLETRANSLATE(D1223,""auto"",""en"")"),"Adaptive control method based on artificial intelligence gym temperature adaptive control methods")</f>
        <v>Adaptive control method based on artificial intelligence gym temperature adaptive control methods</v>
      </c>
    </row>
    <row r="1224" spans="1:5" ht="15" x14ac:dyDescent="0.25">
      <c r="A1224" s="5" t="s">
        <v>3572</v>
      </c>
      <c r="B1224" s="6" t="s">
        <v>3573</v>
      </c>
      <c r="C1224" s="3" t="str">
        <f ca="1">IFERROR(__xludf.DUMMYFUNCTION("GOOGLETRANSLATE(B1224,""auto"",""en"")"),"The present invention disclosed a smart course selection recommendation system for university sports ball courses, which belongs to the field recommendation technology field, including interest screening modules, databases, curriculum selection rules scre"&amp;"ening modules, curriculum scoring modules and servers; Preliminary screening of the ball courses that students need to choose. The specific methods include: obtaining student information recommended for ball courses, and marking as recommended students. W"&amp;"ith reference to students, build a similar degree function of Yu Xian, according to the number of access of ball courses, the time of the access time of the ball course, the frequency of the ball movement, determine the recommended student's interest func"&amp;"tion; It will be recommended to be more accurate and fully consider the students' curriculum habits.")</f>
        <v>The present invention disclosed a smart course selection recommendation system for university sports ball courses, which belongs to the field recommendation technology field, including interest screening modules, databases, curriculum selection rules screening modules, curriculum scoring modules and servers; Preliminary screening of the ball courses that students need to choose. The specific methods include: obtaining student information recommended for ball courses, and marking as recommended students. With reference to students, build a similar degree function of Yu Xian, according to the number of access of ball courses, the time of the access time of the ball course, the frequency of the ball movement, determine the recommended student's interest function; It will be recommended to be more accurate and fully consider the students' curriculum habits.</v>
      </c>
      <c r="D1224" s="6" t="s">
        <v>3574</v>
      </c>
      <c r="E1224" s="4" t="str">
        <f ca="1">IFERROR(__xludf.DUMMYFUNCTION("GOOGLETRANSLATE(D1224,""auto"",""en"")"),"A smart course selection recommendation system for college sports ball courses")</f>
        <v>A smart course selection recommendation system for college sports ball courses</v>
      </c>
    </row>
    <row r="1225" spans="1:5" ht="15" x14ac:dyDescent="0.25">
      <c r="A1225" s="5" t="s">
        <v>3575</v>
      </c>
      <c r="B1225" s="6" t="s">
        <v>3576</v>
      </c>
      <c r="C1225" s="3" t="str">
        <f ca="1">IFERROR(__xludf.DUMMYFUNCTION("GOOGLETRANSLATE(B1225,""auto"",""en"")"),"The present invention involves the field of artificial intelligence technology, and specifically involves an optimization method and system for gym facilities based on image processing. This method includes: equipment images of all fitness equipment in th"&amp;"e gym, obtaining local optimized images of small equipment according to the second target neural network; of which, the second target neural network loss function includes the first loss function, the second loss function, and the first of the second loss"&amp;" function, the first loss function, and the first loss function Three loss functions; the first loss function is the similarity loss function; the second loss function is the area loss function; the third loss function is the weight loss function; After t"&amp;"he network is stable and convergence, the overall optimized image is adjusted to adjust the gym, so as to make a reasonable planning for fitness equipment. Potential guides the fitness path of fitness personnel during fitness exercises, effectively solvin"&amp;"g the problem of low labor efficiency and idle fitness equipment.")</f>
        <v>The present invention involves the field of artificial intelligence technology, and specifically involves an optimization method and system for gym facilities based on image processing. This method includes: equipment images of all fitness equipment in the gym, obtaining local optimized images of small equipment according to the second target neural network; of which, the second target neural network loss function includes the first loss function, the second loss function, and the first of the second loss function, the first loss function, and the first loss function Three loss functions; the first loss function is the similarity loss function; the second loss function is the area loss function; the third loss function is the weight loss function; After the network is stable and convergence, the overall optimized image is adjusted to adjust the gym, so as to make a reasonable planning for fitness equipment. Potential guides the fitness path of fitness personnel during fitness exercises, effectively solving the problem of low labor efficiency and idle fitness equipment.</v>
      </c>
      <c r="D1225" s="6" t="s">
        <v>3577</v>
      </c>
      <c r="E1225" s="4" t="str">
        <f ca="1">IFERROR(__xludf.DUMMYFUNCTION("GOOGLETRANSLATE(D1225,""auto"",""en"")"),"Gym layout optimization methods and systems based on image processing")</f>
        <v>Gym layout optimization methods and systems based on image processing</v>
      </c>
    </row>
    <row r="1226" spans="1:5" ht="15" x14ac:dyDescent="0.25">
      <c r="A1226" s="5" t="s">
        <v>3578</v>
      </c>
      <c r="B1226" s="6" t="s">
        <v>3579</v>
      </c>
      <c r="C1226" s="3" t="str">
        <f ca="1">IFERROR(__xludf.DUMMYFUNCTION("GOOGLETRANSLATE(B1226,""auto"",""en"")"),"The present invention involves an artificial intelligence -based fitness facilities abnormal detection method and system, which belongs to the field of fitness facilities abnormal detection technology. Methods include the following steps: obtain the curre"&amp;"nt parameter sequence and standard parameter sequence corresponding to the target fitness facilities; classify the data in the current parameter sequence to obtain the number of categories and discrete points corresponding to the current parameter sequenc"&amp;"e; Get the data stability index of the current parameter sequence; use the window sliding window to analyze the changes in the data in the current parameter sequence to obtain the data change index of the current parameter sequence; calculate the similari"&amp;"ty between the current parameter sequence and the standard parameter sequence, to obtain the current parameter sequence sequence Similarity indicators; according to the degree of data stability, the degree of data change, and similarity indicators, the de"&amp;"gree of abnormal level corresponding to the target fitness facilities. The present invention can improve the efficiency of abnormal detection.")</f>
        <v>The present invention involves an artificial intelligence -based fitness facilities abnormal detection method and system, which belongs to the field of fitness facilities abnormal detection technology. Methods include the following steps: obtain the current parameter sequence and standard parameter sequence corresponding to the target fitness facilities; classify the data in the current parameter sequence to obtain the number of categories and discrete points corresponding to the current parameter sequence; Get the data stability index of the current parameter sequence; use the window sliding window to analyze the changes in the data in the current parameter sequence to obtain the data change index of the current parameter sequence; calculate the similarity between the current parameter sequence and the standard parameter sequence, to obtain the current parameter sequence sequence Similarity indicators; according to the degree of data stability, the degree of data change, and similarity indicators, the degree of abnormal level corresponding to the target fitness facilities. The present invention can improve the efficiency of abnormal detection.</v>
      </c>
      <c r="D1226" s="6" t="s">
        <v>3580</v>
      </c>
      <c r="E1226" s="4" t="str">
        <f ca="1">IFERROR(__xludf.DUMMYFUNCTION("GOOGLETRANSLATE(D1226,""auto"",""en"")"),"An an artificial intelligence -based fitness facility abnormal detection method and system")</f>
        <v>An an artificial intelligence -based fitness facility abnormal detection method and system</v>
      </c>
    </row>
    <row r="1227" spans="1:5" ht="15" x14ac:dyDescent="0.25">
      <c r="A1227" s="5" t="s">
        <v>3581</v>
      </c>
      <c r="B1227" s="6" t="s">
        <v>3582</v>
      </c>
      <c r="C1227" s="3" t="str">
        <f ca="1">IFERROR(__xludf.DUMMYFUNCTION("GOOGLETRANSLATE(B1227,""auto"",""en"")"),"The invention provides an air -conditioner auxiliary fitness control method, control device and air conditioner. It involves the field of air -conditioning equipment control technology. The control method includes: real -time obtaining image information. "&amp;"When receiving the child fitness assist mode to open the signal or determine the temperature value of the child's body surface is greater than the first preset temperature value, enter the children's fitness assist mode and generate the first reminder ins"&amp;"tructions. The binding mobile phone sends the first reminder information. The present invention identifies children's information through images, and when the temperature of children's information is increased, or receives the signal sent by the user to c"&amp;"ontrol the air conditioner to enter the children's fitness assist mode; generate reminder instructions, depend on the binding of the air conditioner and the mobile phone. The relationship notifys the guardian to prevent children from getting fit alone or "&amp;"falling or muscle strain, and the guardian can deal with it in time when an accident occurs.")</f>
        <v>The invention provides an air -conditioner auxiliary fitness control method, control device and air conditioner. It involves the field of air -conditioning equipment control technology. The control method includes: real -time obtaining image information. When receiving the child fitness assist mode to open the signal or determine the temperature value of the child's body surface is greater than the first preset temperature value, enter the children's fitness assist mode and generate the first reminder instructions. The binding mobile phone sends the first reminder information. The present invention identifies children's information through images, and when the temperature of children's information is increased, or receives the signal sent by the user to control the air conditioner to enter the children's fitness assist mode; generate reminder instructions, depend on the binding of the air conditioner and the mobile phone. The relationship notifys the guardian to prevent children from getting fit alone or falling or muscle strain, and the guardian can deal with it in time when an accident occurs.</v>
      </c>
      <c r="D1227" s="6" t="s">
        <v>2354</v>
      </c>
      <c r="E1227" s="4" t="str">
        <f ca="1">IFERROR(__xludf.DUMMYFUNCTION("GOOGLETRANSLATE(D1227,""auto"",""en"")"),"A air conditioner auxiliary fitness control method, control device and air conditioner")</f>
        <v>A air conditioner auxiliary fitness control method, control device and air conditioner</v>
      </c>
    </row>
    <row r="1228" spans="1:5" ht="15" x14ac:dyDescent="0.25">
      <c r="A1228" s="5" t="s">
        <v>3583</v>
      </c>
      <c r="B1228" s="6" t="s">
        <v>3584</v>
      </c>
      <c r="C1228" s="3" t="str">
        <f ca="1">IFERROR(__xludf.DUMMYFUNCTION("GOOGLETRANSLATE(B1228,""auto"",""en"")"),"The present invention is based on a method of virtual coach estimated by the human posture with a multi -Gaussian hot map (200) and system (100). This method includes the steps of the comment image, which makes the interested body parts commented to indic"&amp;"ate the location and position and The angle of the body part is exported from the position and angle of the annotation to export the diverse Gauss or method hot map of each body. Training the neural network to predict the diverse hot picture corresponding"&amp;" to the body part of the given image/video frame. Predict the heat diagram and provide the position and angle of the corresponding body parts in order to start the action according to the predicted body posture.")</f>
        <v>The present invention is based on a method of virtual coach estimated by the human posture with a multi -Gaussian hot map (200) and system (100). This method includes the steps of the comment image, which makes the interested body parts commented to indicate the location and position and The angle of the body part is exported from the position and angle of the annotation to export the diverse Gauss or method hot map of each body. Training the neural network to predict the diverse hot picture corresponding to the body part of the given image/video frame. Predict the heat diagram and provide the position and angle of the corresponding body parts in order to start the action according to the predicted body posture.</v>
      </c>
      <c r="D1228" s="6" t="s">
        <v>3585</v>
      </c>
      <c r="E1228" s="4" t="str">
        <f ca="1">IFERROR(__xludf.DUMMYFUNCTION("GOOGLETRANSLATE(D1228,""auto"",""en"")"),"Methods and systems of virtual lecturers")</f>
        <v>Methods and systems of virtual lecturers</v>
      </c>
    </row>
    <row r="1229" spans="1:5" ht="15" x14ac:dyDescent="0.25">
      <c r="A1229" s="5" t="s">
        <v>3586</v>
      </c>
      <c r="B1229" s="6" t="s">
        <v>3587</v>
      </c>
      <c r="C1229" s="3" t="str">
        <f ca="1">IFERROR(__xludf.DUMMYFUNCTION("GOOGLETRANSLATE(B1229,""auto"",""en"")"),"The present invention involves the field of video image recognition technology, especially a table tennis detection method based on improving the YOLov4 algorithm, including the following steps: S1: image collection, S2: data pre -processing, S3: improvem"&amp;"ent of YOLO V4 network, S4, training, training The network model, the influence of light and dynamic environment of the invention is low, which effectively enhances the accuracy of identification.")</f>
        <v>The present invention involves the field of video image recognition technology, especially a table tennis detection method based on improving the YOLov4 algorithm, including the following steps: S1: image collection, S2: data pre -processing, S3: improvement of YOLO V4 network, S4, training, training The network model, the influence of light and dynamic environment of the invention is low, which effectively enhances the accuracy of identification.</v>
      </c>
      <c r="D1229" s="6" t="s">
        <v>3588</v>
      </c>
      <c r="E1229" s="4" t="str">
        <f ca="1">IFERROR(__xludf.DUMMYFUNCTION("GOOGLETRANSLATE(D1229,""auto"",""en"")"),"A table tennis detection method based on improving the YOLO V4 algorithm")</f>
        <v>A table tennis detection method based on improving the YOLO V4 algorithm</v>
      </c>
    </row>
    <row r="1230" spans="1:5" ht="15" x14ac:dyDescent="0.25">
      <c r="A1230" s="5" t="s">
        <v>3589</v>
      </c>
      <c r="B1230" s="6" t="s">
        <v>3590</v>
      </c>
      <c r="C1230" s="3" t="str">
        <f ca="1">IFERROR(__xludf.DUMMYFUNCTION("GOOGLETRANSLATE(B1230,""auto"",""en"")"),"The present invention is a technical field of security early warning methods. It is specific to disclose a computer -based stadium monitoring and security warning method based on computer vision, including the following steps, step 1, obtain audience imag"&amp;"es, extract the action characteristics of the audience image, and make data sets; Extract the actions of the audience; step 3 to determine whether a warning is issued according to the characteristics of the action.")</f>
        <v>The present invention is a technical field of security early warning methods. It is specific to disclose a computer -based stadium monitoring and security warning method based on computer vision, including the following steps, step 1, obtain audience images, extract the action characteristics of the audience image, and make data sets; Extract the actions of the audience; step 3 to determine whether a warning is issued according to the characteristics of the action.</v>
      </c>
      <c r="D1230" s="6" t="s">
        <v>3591</v>
      </c>
      <c r="E1230" s="4" t="str">
        <f ca="1">IFERROR(__xludf.DUMMYFUNCTION("GOOGLETRANSLATE(D1230,""auto"",""en"")"),"A method based on computer vision monitoring and security warning methods")</f>
        <v>A method based on computer vision monitoring and security warning methods</v>
      </c>
    </row>
    <row r="1231" spans="1:5" ht="15" x14ac:dyDescent="0.25">
      <c r="A1231" s="5" t="s">
        <v>3592</v>
      </c>
      <c r="B1231" s="6" t="s">
        <v>3593</v>
      </c>
      <c r="C1231" s="3" t="str">
        <f ca="1">IFERROR(__xludf.DUMMYFUNCTION("GOOGLETRANSLATE(B1231,""auto"",""en"")"),"A system of betting on the results of on -site sports events in a certain time window. The system estimates the duration of the time window according to historical data. Then at the end of the estimated duration or at the end of the betting theme, or when"&amp;" the betting theme has occurred or is about to occur, the user cannot bet on the results that have occurred. The estimate of the time window can be determined based on the statistical average of similar playback or an artificial intelligence -based algori"&amp;"thm or module.")</f>
        <v>A system of betting on the results of on -site sports events in a certain time window. The system estimates the duration of the time window according to historical data. Then at the end of the estimated duration or at the end of the betting theme, or when the betting theme has occurred or is about to occur, the user cannot bet on the results that have occurred. The estimate of the time window can be determined based on the statistical average of similar playback or an artificial intelligence -based algorithm or module.</v>
      </c>
      <c r="D1231" s="6" t="s">
        <v>3594</v>
      </c>
      <c r="E1231" s="4" t="str">
        <f ca="1">IFERROR(__xludf.DUMMYFUNCTION("GOOGLETRANSLATE(D1231,""auto"",""en"")"),"Countdown to fixed betting window")</f>
        <v>Countdown to fixed betting window</v>
      </c>
    </row>
    <row r="1232" spans="1:5" ht="15" x14ac:dyDescent="0.25">
      <c r="A1232" s="5" t="s">
        <v>3595</v>
      </c>
      <c r="B1232" s="6" t="s">
        <v>3596</v>
      </c>
      <c r="C1232" s="3" t="str">
        <f ca="1">IFERROR(__xludf.DUMMYFUNCTION("GOOGLETRANSLATE(B1232,""auto"",""en"")"),"The present invention combines deep learning algorithms and UWB positioning technology, which specifically discloses a skating tracking method based on deep learning and UWB auxiliary positioning. This method includes the following steps: S1, obtaining ic"&amp;"e skating venue data, and manually calibrating the site of the site key points; s2. According to venue data, arrange the UWB (Ultrawideband) device to arrange the signal receiver; S3, design target detection network, learn the characteristics of athletes,"&amp;" detect the positions of athletes, and predict the follow -up position; S4, design multi -target tracking network, achieve preliminary preliminary matching algorithm to achieve preliminary preliminary algorithm algorithm, to achieve preliminary preliminar"&amp;"y matching algorithms to achieve preliminary preliminary algorithms Tracking; S5, acquisition of the tracking information of UWB device collection to complete the interpolation of the tracking information; S6, the UWB tracking information after completion"&amp;" assisted the preliminary tracking results to match the preliminary tracking results to obtain the final tracking result. The method of this invention improves the IDSWITCH problem caused by the use of deep learning algorithms and UWB complement informati"&amp;"on to improve the problem of multi -target tracking due to blocking or similar features.")</f>
        <v>The present invention combines deep learning algorithms and UWB positioning technology, which specifically discloses a skating tracking method based on deep learning and UWB auxiliary positioning. This method includes the following steps: S1, obtaining ice skating venue data, and manually calibrating the site of the site key points; s2. According to venue data, arrange the UWB (Ultrawideband) device to arrange the signal receiver; S3, design target detection network, learn the characteristics of athletes, detect the positions of athletes, and predict the follow -up position; S4, design multi -target tracking network, achieve preliminary preliminary matching algorithm to achieve preliminary preliminary algorithm algorithm, to achieve preliminary preliminary matching algorithms to achieve preliminary preliminary algorithms Tracking; S5, acquisition of the tracking information of UWB device collection to complete the interpolation of the tracking information; S6, the UWB tracking information after completion assisted the preliminary tracking results to match the preliminary tracking results to obtain the final tracking result. The method of this invention improves the IDSWITCH problem caused by the use of deep learning algorithms and UWB complement information to improve the problem of multi -target tracking due to blocking or similar features.</v>
      </c>
      <c r="D1232" s="6" t="s">
        <v>3597</v>
      </c>
      <c r="E1232" s="4" t="str">
        <f ca="1">IFERROR(__xludf.DUMMYFUNCTION("GOOGLETRANSLATE(D1232,""auto"",""en"")"),"A skating tracking method based on deep learning and UWB auxiliary positioning")</f>
        <v>A skating tracking method based on deep learning and UWB auxiliary positioning</v>
      </c>
    </row>
    <row r="1233" spans="1:5" ht="15" x14ac:dyDescent="0.25">
      <c r="A1233" s="5" t="s">
        <v>3598</v>
      </c>
      <c r="B1233" s="6" t="s">
        <v>3599</v>
      </c>
      <c r="C1233" s="3" t="str">
        <f ca="1">IFERROR(__xludf.DUMMYFUNCTION("GOOGLETRANSLATE(B1233,""auto"",""en"")"),"1. Design product name: Fitness interactive graphic user interface for display screen panels.
 2. The purpose of designing products in this exterior: This design product is used to display information and run programs. The display screen panel is used f"&amp;"or mobile phones, computers, and tablets.
 3. Design of the design of the product in this exterior: lies in the content of the graphic user interface in the screen, the display screen panel is designed with the existing. The text content in the interfac"&amp;"e is only used to indicate the content area. The text itself is not the protection content of this design.
 4. Pictures or photos that can best show design: Design 1 main view.
 5. Design 1 and design 2 product hardware parts are conventional design. "&amp;"The rear view, left view, right view, down -view view, and retry view of design 1 and design 2 are omitted.
 6. Specify design 1 is the basic design.
 7. The purpose of the graphical user interface: The design of the product is used for entertainment "&amp;"interaction and fitness.
 8. Human -computer interaction method of graphical user interface: Specifically, design 1 main view and design 2 Module in the main vision interface can be performed to enter the corresponding next level. In design 1, slide up "&amp;"the design 1 to design 1 master The view is to enter the design 1 change status diagram. In design 2, slide up the main view of the design 2 to enter the design 2 change status diagram.")</f>
        <v>1. Design product name: Fitness interactive graphic user interface for display screen panels.
 2. The purpose of designing products in this exterior: This design product is used to display information and run programs. The display screen panel is used for mobile phones, computers, and tablets.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best show design: Design 1 main view.
 5. Design 1 and design 2 product hardware parts are conventional design. The rear view, left view, right view, down -view view, and retry view of design 1 and design 2 are omitted.
 6. Specify design 1 is the basic design.
 7. The purpose of the graphical user interface: The design of the product is used for entertainment interaction and fitness.
 8. Human -computer interaction method of graphical user interface: Specifically, design 1 main view and design 2 Module in the main vision interface can be performed to enter the corresponding next level. In design 1, slide up the design 1 to design 1 master The view is to enter the design 1 change status diagram. In design 2, slide up the main view of the design 2 to enter the design 2 change status diagram.</v>
      </c>
      <c r="D1233" s="6" t="s">
        <v>3600</v>
      </c>
      <c r="E1233" s="4" t="str">
        <f ca="1">IFERROR(__xludf.DUMMYFUNCTION("GOOGLETRANSLATE(D1233,""auto"",""en"")"),"Fitness interactive graphic user interface for display screen panels")</f>
        <v>Fitness interactive graphic user interface for display screen panels</v>
      </c>
    </row>
    <row r="1234" spans="1:5" ht="15" x14ac:dyDescent="0.25">
      <c r="A1234" s="5" t="s">
        <v>3601</v>
      </c>
      <c r="B1234" s="6" t="s">
        <v>518</v>
      </c>
      <c r="C1234" s="3" t="str">
        <f ca="1">IFERROR(__xludf.DUMMYFUNCTION("GOOGLETRANSLATE(B1234,""auto"",""en"")"),"-")</f>
        <v>-</v>
      </c>
      <c r="D1234" s="6" t="s">
        <v>3208</v>
      </c>
      <c r="E1234" s="4" t="str">
        <f ca="1">IFERROR(__xludf.DUMMYFUNCTION("GOOGLETRANSLATE(D1234,""auto"",""en"")"),"Virtual coaches on mobile/IoT devices")</f>
        <v>Virtual coaches on mobile/IoT devices</v>
      </c>
    </row>
    <row r="1235" spans="1:5" ht="15" x14ac:dyDescent="0.25">
      <c r="A1235" s="5" t="s">
        <v>3602</v>
      </c>
      <c r="B1235" s="6" t="s">
        <v>3603</v>
      </c>
      <c r="C1235" s="3" t="str">
        <f ca="1">IFERROR(__xludf.DUMMYFUNCTION("GOOGLETRANSLATE(B1235,""auto"",""en"")"),"In the current environment, the introduction of new technologies and the improvement of existing methods have led to growth in everything. One of the most important goals of each country is to provide equal opportunities for their people to succeed in the"&amp;"ir choices. It also needs all necessary convenience facilities, such as education and high -quality medical services. In order to improve their performance, the continuous monitoring of physiological indicators, exercise indicators, and providing feedback"&amp;" to athletes have become increasingly important. The javelin is one of the track and field movement projects and the focus of this survey. The athletes in the gimba perform poorly at the Olympic Games because they lack appropriate training and lack of top"&amp;" coaches that meet international standards. When throwing a javelin, the athletes must be balanced between the physiological and movement factors to achieve the distance as far as possible. An important goal of this proposed job is to develop an automated"&amp;" system that uses small sensors. The system will save time for administrators throughout the analysis, while continuously detecting online activities without manual intervention. After the action recognition, it can be presented in a short period of time "&amp;"or immediately feedback. Large -scale storage systems that need to be analyzed at low costs, which requires using SQL databases and cloud storage through the Internet of Things (IoT).")</f>
        <v>In the current environment, the introduction of new technologies and the improvement of existing methods have led to growth in everything. One of the most important goals of each country is to provide equal opportunities for their people to succeed in their choices. It also needs all necessary convenience facilities, such as education and high -quality medical services. In order to improve their performance, the continuous monitoring of physiological indicators, exercise indicators, and providing feedback to athletes have become increasingly important. The javelin is one of the track and field movement projects and the focus of this survey. The athletes in the gimba perform poorly at the Olympic Games because they lack appropriate training and lack of top coaches that meet international standards. When throwing a javelin, the athletes must be balanced between the physiological and movement factors to achieve the distance as far as possible. An important goal of this proposed job is to develop an automated system that uses small sensors. The system will save time for administrators throughout the analysis, while continuously detecting online activities without manual intervention. After the action recognition, it can be presented in a short period of time or immediately feedback. Large -scale storage systems that need to be analyzed at low costs, which requires using SQL databases and cloud storage through the Internet of Things (IoT).</v>
      </c>
      <c r="D1235" s="6" t="s">
        <v>3604</v>
      </c>
      <c r="E1235" s="4" t="str">
        <f ca="1">IFERROR(__xludf.DUMMYFUNCTION("GOOGLETRANSLATE(D1235,""auto"",""en"")"),"Using wireless sensor network analysis horizontally distance from the medical care and mobile characteristics of event javelin")</f>
        <v>Using wireless sensor network analysis horizontally distance from the medical care and mobile characteristics of event javelin</v>
      </c>
    </row>
    <row r="1236" spans="1:5" ht="15" x14ac:dyDescent="0.25">
      <c r="A1236" s="5" t="s">
        <v>3605</v>
      </c>
      <c r="B1236" s="6" t="s">
        <v>3606</v>
      </c>
      <c r="C1236" s="3" t="str">
        <f ca="1">IFERROR(__xludf.DUMMYFUNCTION("GOOGLETRANSLATE(B1236,""auto"",""en"")"),"The present invention belongs to the field of drawing analysis technology, and a method of dynamic discharge of smoke detectors in the CAD drawing is released, including dynamic discharge methods and component analysis modules. The steps are as follows: S"&amp;"1. Get the bottom chart DWG file for the building to be drawn; S2, through the CAD parsing service, obtain the most basic graphic information of the floor information and the most basic graphics of the component. The invention uses deep neural network mod"&amp;"el to solve the problem of precise identification of components and space in the CAD architectural design drawings, reducing the excessive dependence of component recognition to the layer; The problem of component placement ranks; relying on the accurate "&amp;"calculation of the computer, it can ensure that the placement of the components fully meets the design specifications. Compared with artificial design and manual drawing, the cost and time cost of the labor cost and time cost are saved to the greatest ext"&amp;"ent.")</f>
        <v>The present invention belongs to the field of drawing analysis technology, and a method of dynamic discharge of smoke detectors in the CAD drawing is released, including dynamic discharge methods and component analysis modules. The steps are as follows: S1. Get the bottom chart DWG file for the building to be drawn; S2, through the CAD parsing service, obtain the most basic graphic information of the floor information and the most basic graphics of the component. The invention uses deep neural network model to solve the problem of precise identification of components and space in the CAD architectural design drawings, reducing the excessive dependence of component recognition to the layer; The problem of component placement ranks; relying on the accurate calculation of the computer, it can ensure that the placement of the components fully meets the design specifications. Compared with artificial design and manual drawing, the cost and time cost of the labor cost and time cost are saved to the greatest extent.</v>
      </c>
      <c r="D1236" s="6" t="s">
        <v>3607</v>
      </c>
      <c r="E1236" s="4" t="str">
        <f ca="1">IFERROR(__xludf.DUMMYFUNCTION("GOOGLETRANSLATE(D1236,""auto"",""en"")"),"A method of dynamic discharge of cigarette detectors in CAD drawings")</f>
        <v>A method of dynamic discharge of cigarette detectors in CAD drawings</v>
      </c>
    </row>
    <row r="1237" spans="1:5" ht="15" x14ac:dyDescent="0.25">
      <c r="A1237" s="5" t="s">
        <v>3608</v>
      </c>
      <c r="B1237" s="6" t="s">
        <v>3609</v>
      </c>
      <c r="C1237" s="3" t="str">
        <f ca="1">IFERROR(__xludf.DUMMYFUNCTION("GOOGLETRANSLATE(B1237,""auto"",""en"")"),"The invention combined with deep learning and computer vision algorithms, a specifically disclosed a method of detecting a speed skating athlete target detection method based on gesture -based guidance. The tracking method includes the following steps: th"&amp;"e input image is selected through the deep learning backbone network; S2. Extract the posture characteristics in the feature diagram according to the characteristic diagram of the S1; S3, detect the character posture node information of the character in t"&amp;"he picture according to the posture characteristics; S4, the character detection characteristics of the character diagram according to the guidance of the posture characteristics; S5, according to the characters according to the characters Detect the clas"&amp;"sification, location, and boundary frame information in the picture. The method of this invention conducts the detection results of the detection results of the speed skating athletes, and the detection results are guided by the attitude information to al"&amp;"leviate the missed inspection and misunderstanding of the speed skating capacity.")</f>
        <v>The invention combined with deep learning and computer vision algorithms, a specifically disclosed a method of detecting a speed skating athlete target detection method based on gesture -based guidance. The tracking method includes the following steps: the input image is selected through the deep learning backbone network; S2. Extract the posture characteristics in the feature diagram according to the characteristic diagram of the S1; S3, detect the character posture node information of the character in the picture according to the posture characteristics; S4, the character detection characteristics of the character diagram according to the guidance of the posture characteristics; S5, according to the characters according to the characters Detect the classification, location, and boundary frame information in the picture. The method of this invention conducts the detection results of the detection results of the speed skating athletes, and the detection results are guided by the attitude information to alleviate the missed inspection and misunderstanding of the speed skating capacity.</v>
      </c>
      <c r="D1237" s="6" t="s">
        <v>3610</v>
      </c>
      <c r="E1237" s="4" t="str">
        <f ca="1">IFERROR(__xludf.DUMMYFUNCTION("GOOGLETRANSLATE(D1237,""auto"",""en"")"),"A method of speed skating athletes based on gesture -based guidance")</f>
        <v>A method of speed skating athletes based on gesture -based guidance</v>
      </c>
    </row>
    <row r="1238" spans="1:5" ht="15" x14ac:dyDescent="0.25">
      <c r="A1238" s="5" t="s">
        <v>3611</v>
      </c>
      <c r="B1238" s="6" t="s">
        <v>3612</v>
      </c>
      <c r="C1238" s="3" t="str">
        <f ca="1">IFERROR(__xludf.DUMMYFUNCTION("GOOGLETRANSLATE(B1238,""auto"",""en"")"),"Combining deep learning and computer vision algorithms, the present invention specifically discloses a regional multi -specific matching slide sliding fighter and multi -target tracking method. The tracking method includes the following steps: S1, dividin"&amp;"g the current area according to the speed skating venue; S2, S2, S2. According to the target detection algorithm detection of the speed skating athlete information in the picture; S3, according to the division area in S1, regional division of the speed sk"&amp;"ating athlete information obtained by S2 detection; S4. Matching; S5. According to the tracking results of the speed skating athletes in each area, the final tracking results are formed between regional matching. The method of the present invention is bas"&amp;"ed on the long -target tracking of the speed skating athletes through regional segmentation, multi -characteristic matching and other methods for the long -term segmentation and multi -characteristic matching.")</f>
        <v>Combining deep learning and computer vision algorithms, the present invention specifically discloses a regional multi -specific matching slide sliding fighter and multi -target tracking method. The tracking method includes the following steps: S1, dividing the current area according to the speed skating venue; S2, S2, S2. According to the target detection algorithm detection of the speed skating athlete information in the picture; S3, according to the division area in S1, regional division of the speed skating athlete information obtained by S2 detection; S4. Matching; S5. According to the tracking results of the speed skating athletes in each area, the final tracking results are formed between regional matching. The method of the present invention is based on the long -target tracking of the speed skating athletes through regional segmentation, multi -characteristic matching and other methods for the long -term segmentation and multi -characteristic matching.</v>
      </c>
      <c r="D1238" s="6" t="s">
        <v>3613</v>
      </c>
      <c r="E1238" s="4" t="str">
        <f ca="1">IFERROR(__xludf.DUMMYFUNCTION("GOOGLETRANSLATE(D1238,""auto"",""en"")"),"A regional -based multi -symbol matching sliding movement multi -target tracking method")</f>
        <v>A regional -based multi -symbol matching sliding movement multi -target tracking method</v>
      </c>
    </row>
    <row r="1239" spans="1:5" ht="15" x14ac:dyDescent="0.25">
      <c r="A1239" s="5" t="s">
        <v>3614</v>
      </c>
      <c r="B1239" s="6" t="s">
        <v>3615</v>
      </c>
      <c r="C1239" s="3" t="str">
        <f ca="1">IFERROR(__xludf.DUMMYFUNCTION("GOOGLETRANSLATE(B1239,""auto"",""en"")"),"A virtual character selection method, device, device, storage medium and program products involved the field of human -computer interaction technology. This method includes the following steps: in response to the preference setting operation, set the firs"&amp;"t position preference information for the first user account (202); display position (204); display multiple candidate virtual characters (206); OK (208) here in this one As a master role in the rotation game. This method can simplify the team matching pr"&amp;"ocess and improve the efficiency of team matching.")</f>
        <v>A virtual character selection method, device, device, storage medium and program products involved the field of human -computer interaction technology. This method includes the following steps: in response to the preference setting operation, set the first position preference information for the first user account (202); display position (204); display multiple candidate virtual characters (206); OK (208) here in this one As a master role in the rotation game. This method can simplify the team matching process and improve the efficiency of team matching.</v>
      </c>
      <c r="D1239" s="6" t="s">
        <v>3616</v>
      </c>
      <c r="E1239" s="4" t="str">
        <f ca="1">IFERROR(__xludf.DUMMYFUNCTION("GOOGLETRANSLATE(D1239,""auto"",""en"")"),"Virtual role selection method, device, equipment and procedures")</f>
        <v>Virtual role selection method, device, equipment and procedures</v>
      </c>
    </row>
    <row r="1240" spans="1:5" ht="15" x14ac:dyDescent="0.25">
      <c r="A1240" s="5" t="s">
        <v>3617</v>
      </c>
      <c r="B1240" s="6" t="s">
        <v>3618</v>
      </c>
      <c r="C1240" s="3" t="str">
        <f ca="1">IFERROR(__xludf.DUMMYFUNCTION("GOOGLETRANSLATE(B1240,""auto"",""en"")"),"1. Design product name: The installation guidance graphic user interface for display screen panels.
 2. The purpose of designing products in this exterior: The design of the design of this appearance is used to display the installation or use step indic"&amp;"ator interface of the shooting device.
 3. Design of the design of the product here: lies in the interface content of the graphic user interface in the screen.
 4. Pictures or photos that can most indicate design points: main view.
 5. Other views a"&amp;"re commonly designed or existing design, omitting the rear views, left view, right view, down -view, and upper view of each view.
 6. The purpose of the graphical user interface: used to display the installation step indicator interface between each sho"&amp;"oting device module.
 The main view is the initial guidance interface, and users can click ""Start"" (start) to start teaching.
 The interface changes are in Figure 1, the top displays specific operating content, and the central display of the static "&amp;"or dynamic reference diagram corresponding to the operation content, such as connecting the two device modules to the together by magnetic phase.
 The interface change state Figure 2, the top display the specific operating content, and the central displ"&amp;"ay of the static or dynamic reference diagram corresponding to the operation content, such as displaying the key position and guidance of each device module.
 In the interface change state Figure 3, the top displays specific operation content, and the c"&amp;"entral display of the static or dynamic reference diagram corresponding to the operation content, such as clicking or sliding the screen guidance.
 In the interface change state Figure 4, the top shows the specific operation content, and the central dis"&amp;"play of the static or dynamic reference diagram corresponding to the operation content, such as inserting the storage card into the guidance in the module.
 The interface change state Figure 5 shows the prompt after the teaching operation is successful."&amp;"
 The graphic user interface can be changed according to the user's operation. For example, from the main view of the main view to the interface change state Figure 1, then from the interface changes to the changes to the interface change state Figure 2"&amp;", and then from the interface state change state change to the interface change change Status Figure 3, so that the state changes in the interface. Figure 5.
 7. Human -computer interaction method of graphical user interface: Graphic user interface can "&amp;"dynamically load the subsequent graphical user interface or running applications by rolling graphical user interface or lightning at the graphical user interface.
 8. The display screen panel of this product can be applied to computers, laptops, tablet "&amp;"computers, remote controls, mobile phones and personal digital assistants.")</f>
        <v>1. Design product name: The installation guidance graphic user interface for display screen panels.
 2. The purpose of designing products in this exterior: The design of the design of this appearance is used to display the installation or use step indicator interface of the shooting device.
 3. Design of the design of the product here: lies in the interface content of the graphic user interface in the screen.
 4. Pictures or photos that can most indicate design points: main view.
 5. Other views are commonly designed or existing design, omitting the rear views, left view, right view, down -view, and upper view of each view.
 6. The purpose of the graphical user interface: used to display the installation step indicator interface between each shooting device module.
 The main view is the initial guidance interface, and users can click "Start" (start) to start teaching.
 The interface changes are in Figure 1, the top displays specific operating content, and the central display of the static or dynamic reference diagram corresponding to the operation content, such as connecting the two device modules to the together by magnetic phase.
 The interface change state Figure 2, the top display the specific operating content, and the central display of the static or dynamic reference diagram corresponding to the operation content, such as displaying the key position and guidance of each device module.
 In the interface change state Figure 3, the top displays specific operation content, and the central display of the static or dynamic reference diagram corresponding to the operation content, such as clicking or sliding the screen guidance.
 In the interface change state Figure 4, the top shows the specific operation content, and the central display of the static or dynamic reference diagram corresponding to the operation content, such as inserting the storage card into the guidance in the module.
 The interface change state Figure 5 shows the prompt after the teaching operation is successful.
 The graphic user interface can be changed according to the user's operation. For example, from the main view of the main view to the interface change state Figure 1, then from the interface changes to the changes to the interface change state Figure 2, and then from the interface state change state change to the interface change change Status Figure 3, so that the state changes in the interface. Figure 5.
 7. Human -computer interaction method of graphical user interface: Graphic user interface can dynamically load the subsequent graphical user interface or running applications by rolling graphical user interface or lightning at the graphical user interface.
 8. The display screen panel of this product can be applied to computers, laptops, tablet computers, remote controls, mobile phones and personal digital assistants.</v>
      </c>
      <c r="D1240" s="6" t="s">
        <v>3619</v>
      </c>
      <c r="E1240" s="4" t="str">
        <f ca="1">IFERROR(__xludf.DUMMYFUNCTION("GOOGLETRANSLATE(D1240,""auto"",""en"")"),"User interface for installation guidelines for display screen panels")</f>
        <v>User interface for installation guidelines for display screen panels</v>
      </c>
    </row>
    <row r="1241" spans="1:5" ht="15" x14ac:dyDescent="0.25">
      <c r="A1241" s="5" t="s">
        <v>3620</v>
      </c>
      <c r="B1241" s="6" t="s">
        <v>3621</v>
      </c>
      <c r="C1241" s="3" t="str">
        <f ca="1">IFERROR(__xludf.DUMMYFUNCTION("GOOGLETRANSLATE(B1241,""auto"",""en"")"),"An operating method of an electronic device, including a program that receives a machine learning model. This machine learning model is used to perform machine learning by multiple bones associated with multiple bones associated with a specific motion of "&amp;"experts and/or professional athletes for training data. generate. Information about multiple angle speed associated with specific sports, and multiple evaluation information associated with specific sports associated with specific sports. This information"&amp;" is accumulated in the server, from the server, and executes the program and receives the information -based execution based on program execution. , The second angle speed of the electronic device user from the swing practice device.")</f>
        <v>An operating method of an electronic device, including a program that receives a machine learning model. This machine learning model is used to perform machine learning by multiple bones associated with multiple bones associated with a specific motion of experts and/or professional athletes for training data. generate. Information about multiple angle speed associated with specific sports, and multiple evaluation information associated with specific sports associated with specific sports. This information is accumulated in the server, from the server, and executes the program and receives the information -based execution based on program execution. , The second angle speed of the electronic device user from the swing practice device.</v>
      </c>
      <c r="D1241" s="6" t="s">
        <v>3622</v>
      </c>
      <c r="E1241" s="4" t="str">
        <f ca="1">IFERROR(__xludf.DUMMYFUNCTION("GOOGLETRANSLATE(D1241,""auto"",""en"")"),"Use the machine learning model to provide feedback to the electronic equipment and its operation method for specific sports.")</f>
        <v>Use the machine learning model to provide feedback to the electronic equipment and its operation method for specific sports.</v>
      </c>
    </row>
    <row r="1242" spans="1:5" ht="15" x14ac:dyDescent="0.25">
      <c r="A1242" s="5" t="s">
        <v>3623</v>
      </c>
      <c r="B1242" s="6" t="s">
        <v>3624</v>
      </c>
      <c r="C1242" s="3" t="str">
        <f ca="1">IFERROR(__xludf.DUMMYFUNCTION("GOOGLETRANSLATE(B1242,""auto"",""en"")"),"1. The name of the product of the design of the product: The target of the display screen panel moves the interactive graphic user interface.
 2. The purpose of designing products in this appearance: This design product is used for computers, laptops, t"&amp;"ablets, mobile phones, smartphones, watches, smart watches, fitness monitor, headset headphones, smart speakers, TV, set -top boxes, laser laser The display screen panel of the TV is used to control the mobile device with the camera to move and view the c"&amp;"amera screen and display the graphical user interface in real time.
 3. Design of the design of the product in this exterior: lies in the content of the graphic user interface in the screen.
 4. Pictures or photos that can best show design: Design 1 m"&amp;"ain view.
 5. The display screen panel is commonly designed, omit other views.
 6. Specify design 1 is the basic design.
 7. The purpose of the graphical user interface: The main content is to use the mobile device to control the real -time situatio"&amp;"n of the family remotely through the wireless WLAN network control the camera.
 8. Human -computer interaction method of graphical user interface: Design 1 Main View to Design 4 Main view is the main interface of remote control mobile devices and real -"&amp;"time viewing mobile devices. When the user clicks the picture/map/icon in the interface /Text, the interface jumps to the next interface; the design 5 main view is the main interface of the camera screen of remote control mobile devices and real -time vie"&amp;"wing mobile devices. When the user clicks the map color block in the main screen of the main screen, judge the current color When the actual space represented by the block is not placed in an object, the interface is transformed to the design 5 interface "&amp;"state change diagram 1, the user clicks ""movement"" in the design 5 interface state change diagram 1, the interface transform is transformed to the design 5 interface state change diagram 2, the display system is displayed, and the system is displayed. T"&amp;"he automatic planning device mobile path; the design 6 main view is the main interface of the camera screen of remote control mobile device mobile and real -time viewing mobile devices. When the user clicks the map color block in the design 6 main screen "&amp;"map, judge the current color block represented by the current color block When there is an object in the actual space, the interface is transformed to the design 6 interface state changes, which shows that it cannot be moved to the area. After the preset "&amp;"time, the interface automatically changes from the design 6 interface to ""Gray Ma"" is a variable picture.")</f>
        <v>1. The name of the product of the design of the product: The target of the display screen panel moves the interactive graphic user interface.
 2. The purpose of designing products in this appearance: This design product is used for computers, laptops, tablets, mobile phones, smartphones, watches, smart watches, fitness monitor, headset headphones, smart speakers, TV, set -top boxes, laser laser The display screen panel of the TV is used to control the mobile device with the camera to move and view the camera screen and display the graphical user interface in real time.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graphical user interface: The main content is to use the mobile device to control the real -time situation of the family remotely through the wireless WLAN network control the camera.
 8. Human -computer interaction method of graphical user interface: Design 1 Main View to Design 4 Main view is the main interface of remote control mobile devices and real -time viewing mobile devices. When the user clicks the picture/map/icon in the interface /Text, the interface jumps to the next interface; the design 5 main view is the main interface of the camera screen of remote control mobile devices and real -time viewing mobile devices. When the user clicks the map color block in the main screen of the main screen, judge the current color When the actual space represented by the block is not placed in an object, the interface is transformed to the design 5 interface state change diagram 1, the user clicks "movement" in the design 5 interface state change diagram 1, the interface transform is transformed to the design 5 interface state change diagram 2, the display system is displayed, and the system is displayed. The automatic planning device mobile path; the design 6 main view is the main interface of the camera screen of remote control mobile device mobile and real -time viewing mobile devices. When the user clicks the map color block in the design 6 main screen map, judge the current color block represented by the current color block When there is an object in the actual space, the interface is transformed to the design 6 interface state changes, which shows that it cannot be moved to the area. After the preset time, the interface automatically changes from the design 6 interface to "Gray Ma" is a variable picture.</v>
      </c>
      <c r="D1242" s="6" t="s">
        <v>3625</v>
      </c>
      <c r="E1242" s="4" t="str">
        <f ca="1">IFERROR(__xludf.DUMMYFUNCTION("GOOGLETRANSLATE(D1242,""auto"",""en"")"),"Display screen panel target mobile interactive graph user interface")</f>
        <v>Display screen panel target mobile interactive graph user interface</v>
      </c>
    </row>
    <row r="1243" spans="1:5" ht="15" x14ac:dyDescent="0.25">
      <c r="A1243" s="5" t="s">
        <v>3626</v>
      </c>
      <c r="B1243" s="6" t="s">
        <v>3627</v>
      </c>
      <c r="C1243" s="3" t="str">
        <f ca="1">IFERROR(__xludf.DUMMYFUNCTION("GOOGLETRANSLATE(B1243,""auto"",""en"")"),"1. Design product name: Graphic user interface of the information interactive operation of the display screen panel.
 2. The purpose of designing products in this appearance: This design product is used for computers, laptops, tablets, mobile phones, sm"&amp;"artphones, watches, smart watches, fitness monitor, headset headphones, smart speakers, TV, set -top boxes, laser laser The information interactive operation of the display screen panel of the TV and display graphic user interface.
 3. Design of the des"&amp;"ign of the product in this exterior: lies in the content of the graphic user interface in the screen.
 4. Pictures or photos that can best show design: Design 1 main view.
 5. The display screen panel is commonly designed, omit other views.
 6. Spec"&amp;"ify design 1 is the basic design.
 7. The purpose of graphical user interface: The main content is to provide personalized information display functions, and to achieve the purpose of information operation through human -machine interaction.
 8. Human"&amp;" -computer interaction method of graphical user interface: Design 1 main view to the main interface of the information interaction of the display screen panel with the main view of the main view to the design of the 10 main view, which can present all mem"&amp;"bers of the user family in this period. Voice/remote control/touch operations Select the information you want to view, such as ""Little T, Little T"" to wake up smart voice assistants and explain the family member page you want to go to switch to the pers"&amp;"onalized information screen page of family members; Select design 1 The main view of the left round picture, the interface is transformed to the design 1 interface change status diagram, the surroundings of circular pictures are lit, select a picture/numb"&amp;"er/icon in the interface, jump to the interface to the next interface; select to select Design 2 Main Ship Figure Right on the right side of the stock selection, the interface is transformed to the design 2 interface change status diagram, the tab is ampl"&amp;"ified and the surroundings are lit. Select any picture/number/icon in the interface, jump to the lower interface to the bottom One interface; choose any option card in the news of the lower part of the main view of the main view. The interface is transfor"&amp;"med to the design 3 interface change status diagram. Go to the next interface; select the map tab of the lower part of the main view of the 4 main view, the interface is transformed to the design 4 interface change status diagram, the tab is amplified and"&amp;" the surroundings are lit. Select any picture/number/icon in the interface, jump the interface jump Go to the next interface; select the fund of the lower part of the main view of the 5 main view to select any option card, and the interface is transformed"&amp;" to the design 5 interface change status diagram. The icon, the interface jumps to the next interface; select the 10,000 -year calendar tab of the lower part of the main view of the 6 main view, and the interface is transformed to the design 6 interface c"&amp;"hange status diagram. The icon jumps to the next interface; select the health tab of the bottom right corner of the 7 master diagram, and the interface is transformed to the design 7 interface change state diagram. /Icon, the interface jumps to the next i"&amp;"nterface; select any option card in the schedule of the lower part of the main view of the 8 main view, and the interface is transformed to the design 8 interface change status diagram. The tab is amplified and the surroundings are lit. Image/number/icon,"&amp;" the interface jumps to the next interface; select any optional card in the map of the lower part of the main view of the 9 main view, and the interface is transformed to the design 9 interface change status diagram. In the middle of the picture/number/ic"&amp;"on, the interface jumps to the next interface; choose to design the weather tab in the lower left corner of the main view of the main picture, and the interface is transformed to the design 10 interface change status diagram. In the interface, any picture"&amp;"/number/icon, the interface jumps to the next interface; where the ""gray block"" in the interface is represented by variable pictures.")</f>
        <v>1. Design product name: Graphic user interface of the information interactive operation of the display screen panel.
 2. The purpose of designing products in this appearance: This design product is used for computers, laptops, tablets, mobile phones, smartphones, watches, smart watches, fitness monitor, headset headphones, smart speakers, TV, set -top boxes, laser laser The information interactive operation of the display screen panel of the TV and display graphic user interface.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The main content is to provide personalized information display functions, and to achieve the purpose of information operation through human -machine interaction.
 8. Human -computer interaction method of graphical user interface: Design 1 main view to the main interface of the information interaction of the display screen panel with the main view of the main view to the design of the 10 main view, which can present all members of the user family in this period. Voice/remote control/touch operations Select the information you want to view, such as "Little T, Little T" to wake up smart voice assistants and explain the family member page you want to go to switch to the personalized information screen page of family members; Select design 1 The main view of the left round picture, the interface is transformed to the design 1 interface change status diagram, the surroundings of circular pictures are lit, select a picture/number/icon in the interface, jump to the interface to the next interface; select to select Design 2 Main Ship Figure Right on the right side of the stock selection, the interface is transformed to the design 2 interface change status diagram, the tab is amplified and the surroundings are lit. Select any picture/number/icon in the interface, jump to the lower interface to the bottom One interface; choose any option card in the news of the lower part of the main view of the main view. The interface is transformed to the design 3 interface change status diagram. Go to the next interface; select the map tab of the lower part of the main view of the 4 main view, the interface is transformed to the design 4 interface change status diagram, the tab is amplified and the surroundings are lit. Select any picture/number/icon in the interface, jump the interface jump Go to the next interface; select the fund of the lower part of the main view of the 5 main view to select any option card, and the interface is transformed to the design 5 interface change status diagram. The icon, the interface jumps to the next interface; select the 10,000 -year calendar tab of the lower part of the main view of the 6 main view, and the interface is transformed to the design 6 interface change status diagram. The icon jumps to the next interface; select the health tab of the bottom right corner of the 7 master diagram, and the interface is transformed to the design 7 interface change state diagram. /Icon, the interface jumps to the next interface; select any option card in the schedule of the lower part of the main view of the 8 main view, and the interface is transformed to the design 8 interface change status diagram. The tab is amplified and the surroundings are lit. Image/number/icon, the interface jumps to the next interface; select any optional card in the map of the lower part of the main view of the 9 main view, and the interface is transformed to the design 9 interface change status diagram. In the middle of the picture/number/icon, the interface jumps to the next interface; choose to design the weather tab in the lower left corner of the main view of the main picture, and the interface is transformed to the design 10 interface change status diagram. In the interface, any picture/number/icon, the interface jumps to the next interface; where the "gray block" in the interface is represented by variable pictures.</v>
      </c>
      <c r="D1243" s="6" t="s">
        <v>3488</v>
      </c>
      <c r="E1243" s="4" t="str">
        <f ca="1">IFERROR(__xludf.DUMMYFUNCTION("GOOGLETRANSLATE(D1243,""auto"",""en"")"),"The graphical user interface of the information interactive operation of the display screen panel")</f>
        <v>The graphical user interface of the information interactive operation of the display screen panel</v>
      </c>
    </row>
    <row r="1244" spans="1:5" ht="15" x14ac:dyDescent="0.25">
      <c r="A1244" s="5" t="s">
        <v>3628</v>
      </c>
      <c r="B1244" s="6" t="s">
        <v>3629</v>
      </c>
      <c r="C1244" s="3" t="str">
        <f ca="1">IFERROR(__xludf.DUMMYFUNCTION("GOOGLETRANSLATE(B1244,""auto"",""en"")"),"A appointment to purchase product display methods, devices, equipment and media, which is applied to the field of human -computer interaction. This method includes the following steps: Show (201) the process of performing activities in the virtual environ"&amp;"ment in the virtual environment; and the virtual resource held by the virtual character after the execution of the virtual role is completed after completing the execution of the activity. ) And in response to meet the conditions for pre -order reminder, "&amp;"to enter the controller as the reference location to display all or part or part of pre -order items on the virtual environment screen. Among them, at least one pre -order item virtual environment screen is displayed. The virtual resource held into the co"&amp;"ntroller is the controller of the virtual character to buy virtual items, and the appointment is to buy items as competition items. It is a virtual item to be exchanged before or during the game (203). The above methods, devices, equipment and media can e"&amp;"ffectively reduce the operation process and improve the efficiency of query.")</f>
        <v>A appointment to purchase product display methods, devices, equipment and media, which is applied to the field of human -computer interaction. This method includes the following steps: Show (201) the process of performing activities in the virtual environment in the virtual environment; and the virtual resource held by the virtual character after the execution of the virtual role is completed after completing the execution of the activity. ) And in response to meet the conditions for pre -order reminder, to enter the controller as the reference location to display all or part or part of pre -order items on the virtual environment screen. Among them, at least one pre -order item virtual environment screen is displayed. The virtual resource held into the controller is the controller of the virtual character to buy virtual items, and the appointment is to buy items as competition items. It is a virtual item to be exchanged before or during the game (203). The above methods, devices, equipment and media can effectively reduce the operation process and improve the efficiency of query.</v>
      </c>
      <c r="D1244" s="6" t="s">
        <v>3630</v>
      </c>
      <c r="E1244" s="4" t="str">
        <f ca="1">IFERROR(__xludf.DUMMYFUNCTION("GOOGLETRANSLATE(D1244,""auto"",""en"")"),"Methods to display booking items, devices, devices, media and computer programs")</f>
        <v>Methods to display booking items, devices, devices, media and computer programs</v>
      </c>
    </row>
    <row r="1245" spans="1:5" ht="15" x14ac:dyDescent="0.25">
      <c r="A1245" s="5" t="s">
        <v>3631</v>
      </c>
      <c r="B1245" s="6" t="s">
        <v>3632</v>
      </c>
      <c r="C1245" s="3" t="str">
        <f ca="1">IFERROR(__xludf.DUMMYFUNCTION("GOOGLETRANSLATE(B1245,""auto"",""en"")"),"The present invention involves a athlete excavation service device. Among them, the device includes the input unit of the sports items for the athlete terminal receiving sports. It determines the physical fitness test query list according to the sports it"&amp;"ems and performs physical fitness testing in training. The physical fitness test query unit provides the athlete terminal with a project, receives the answer to the physical fitness test project sent by the athlete terminal, generates the physical test an"&amp;"swer list, and generates the physical intelligence test list of the physical intelligence test through the following method. Essence The physical fitness test processing unit analyzes the test answer list, analyzes the possibility of errors in the body en"&amp;"ergy test answer list, and provides the physical test answer list and the possibility of errors. According to the request of the scout company terminal, the fugitive company terminal requested athletes for physical fitness verification. The physical fitne"&amp;"ss test response is used to receive the athlete's physical fitness verification request processing unit, and check whether the physical fitness meets the requirements to the athlete terminal query. You can verify the body. If possible, offline athlete phy"&amp;"sical fitness verification is performed through the physical fitness test answer in the physical test answer list, including the verification unit.")</f>
        <v>The present invention involves a athlete excavation service device. Among them, the device includes the input unit of the sports items for the athlete terminal receiving sports. It determines the physical fitness test query list according to the sports items and performs physical fitness testing in training. The physical fitness test query unit provides the athlete terminal with a project, receives the answer to the physical fitness test project sent by the athlete terminal, generates the physical test answer list, and generates the physical intelligence test list of the physical intelligence test through the following method. Essence The physical fitness test processing unit analyzes the test answer list, analyzes the possibility of errors in the body energy test answer list, and provides the physical test answer list and the possibility of errors. According to the request of the scout company terminal, the fugitive company terminal requested athletes for physical fitness verification. The physical fitness test response is used to receive the athlete's physical fitness verification request processing unit, and check whether the physical fitness meets the requirements to the athlete terminal query. You can verify the body. If possible, offline athlete physical fitness verification is performed through the physical fitness test answer in the physical test answer list, including the verification unit.</v>
      </c>
      <c r="D1245" s="6" t="s">
        <v>3633</v>
      </c>
      <c r="E1245" s="4" t="str">
        <f ca="1">IFERROR(__xludf.DUMMYFUNCTION("GOOGLETRANSLATE(D1245,""auto"",""en"")"),"Athlete reconnaissance service equipment")</f>
        <v>Athlete reconnaissance service equipment</v>
      </c>
    </row>
    <row r="1246" spans="1:5" ht="15" x14ac:dyDescent="0.25">
      <c r="A1246" s="5" t="s">
        <v>3634</v>
      </c>
      <c r="B1246" s="6" t="s">
        <v>3635</v>
      </c>
      <c r="C1246" s="3" t="str">
        <f ca="1">IFERROR(__xludf.DUMMYFUNCTION("GOOGLETRANSLATE(B1246,""auto"",""en"")"),"The invention provides a smart fitness bicycle based on the Internet of Things, involving the field of fitness equipment. The intelligent fitness bicycle based on the Internet of Things, including the frame, is connected to the bottom of the bathtub at th"&amp;"e bottom of the bathtub. The left side of the frame is set with the first ware. The sensor, the fixed connection on the top of the right end of the partition has a regulatory valve. The rotation of the top of the activity rack has a running wheel. The out"&amp;"er side of the spiny wheel is evenly set with a hole, which has four second gear meshing connections on the outer meshing connection of the first gear. The inner side of the second gear is fixed with a shaft. The cross on one side of the two rounds is con"&amp;"nected to the cross. Fitness bicycle riding exercises can be adjusted. At the same time of cycling, you can enjoy half -body baths, improve the sense of cycling experience, and deserve vigorous promotion.")</f>
        <v>The invention provides a smart fitness bicycle based on the Internet of Things, involving the field of fitness equipment. The intelligent fitness bicycle based on the Internet of Things, including the frame, is connected to the bottom of the bathtub at the bottom of the bathtub. The left side of the frame is set with the first ware. The sensor, the fixed connection on the top of the right end of the partition has a regulatory valve. The rotation of the top of the activity rack has a running wheel. The outer side of the spiny wheel is evenly set with a hole, which has four second gear meshing connections on the outer meshing connection of the first gear. The inner side of the second gear is fixed with a shaft. The cross on one side of the two rounds is connected to the cross. Fitness bicycle riding exercises can be adjusted. At the same time of cycling, you can enjoy half -body baths, improve the sense of cycling experience, and deserve vigorous promotion.</v>
      </c>
      <c r="D1246" s="6" t="s">
        <v>3636</v>
      </c>
      <c r="E1246" s="4" t="str">
        <f ca="1">IFERROR(__xludf.DUMMYFUNCTION("GOOGLETRANSLATE(D1246,""auto"",""en"")"),"A smart fitness bike based on the Internet of Things")</f>
        <v>A smart fitness bike based on the Internet of Things</v>
      </c>
    </row>
    <row r="1247" spans="1:5" ht="15" x14ac:dyDescent="0.25">
      <c r="A1247" s="5" t="s">
        <v>3637</v>
      </c>
      <c r="B1247" s="6" t="s">
        <v>3638</v>
      </c>
      <c r="C1247" s="3" t="str">
        <f ca="1">IFERROR(__xludf.DUMMYFUNCTION("GOOGLETRANSLATE(B1247,""auto"",""en"")"),"The present invention disclosed an analysis and auxiliary decision -making method based on strengthening learning. It is an artificial intelligence and computer visual direction in the field of deep learning. The digital model of the scene and situation o"&amp;"f curling competitions is established. Analysis and auxiliary decision -making systems mainly solve the problems of on -site analysis and auxiliary decision -making in the actual sports scenario. The algorithm mainly includes: Icemount competition, the de"&amp;"sign of the situation, the digital extraction method of curling venue, and the decision -making analysis of the curling competition: The actual movement position and speed of the curling in the curling competition situation perceive the module, and obtain"&amp;" the static state, the digital extraction extraction extraction of the curling venue The module, through the location mapping between the actual venue and the shooting data, obtain the accurate location and category of the curling at a critical moment. Th"&amp;"e decision -making analysis of the curling competition decision -making analysis The module is based on its category and location information to strengthen the learning algorithm and calculate it. In the next step, the proposal to hit the position to assi"&amp;"st the curling tactical decision. This method of analysis and auxiliary decision -making methods based on enhanced learning is based on the training effect, high use value, and strong scalability during practical curling competition training.")</f>
        <v>The present invention disclosed an analysis and auxiliary decision -making method based on strengthening learning. It is an artificial intelligence and computer visual direction in the field of deep learning. The digital model of the scene and situation of curling competitions is established. Analysis and auxiliary decision -making systems mainly solve the problems of on -site analysis and auxiliary decision -making in the actual sports scenario. The algorithm mainly includes: Icemount competition, the design of the situation, the digital extraction method of curling venue, and the decision -making analysis of the curling competition: The actual movement position and speed of the curling in the curling competition situation perceive the module, and obtain the static state, the digital extraction extraction extraction of the curling venue The module, through the location mapping between the actual venue and the shooting data, obtain the accurate location and category of the curling at a critical moment. The decision -making analysis of the curling competition decision -making analysis The module is based on its category and location information to strengthen the learning algorithm and calculate it. In the next step, the proposal to hit the position to assist the curling tactical decision. This method of analysis and auxiliary decision -making methods based on enhanced learning is based on the training effect, high use value, and strong scalability during practical curling competition training.</v>
      </c>
      <c r="D1247" s="6" t="s">
        <v>3639</v>
      </c>
      <c r="E1247" s="4" t="str">
        <f ca="1">IFERROR(__xludf.DUMMYFUNCTION("GOOGLETRANSLATE(D1247,""auto"",""en"")"),"An analysis and auxiliary decision -making method based on enhanced learning")</f>
        <v>An analysis and auxiliary decision -making method based on enhanced learning</v>
      </c>
    </row>
    <row r="1248" spans="1:5" ht="15" x14ac:dyDescent="0.25">
      <c r="A1248" s="5" t="s">
        <v>3640</v>
      </c>
      <c r="B1248" s="6" t="s">
        <v>3641</v>
      </c>
      <c r="C1248" s="3" t="str">
        <f ca="1">IFERROR(__xludf.DUMMYFUNCTION("GOOGLETRANSLATE(B1248,""auto"",""en"")"),"The invention discloses the snake -shaped running track judgment method based on computer vision. It involves the field of sports testing. The present invention uses a camera to capture sports venues and athletes. Simple, low cost, high accuracy, anti -ch"&amp;"eating and other advantages can effectively solve the problems brought by the original equipment. Only human objects in the present invention will be detected in the venue. Clock 100 frames. Compared with infrared rays, it is equivalent to placing a set o"&amp;"f infrared detection equipment to detect athletes every 20 cm. It can more accurately restore the movement of the athlete's footsteps. You can know whether the athletes move in accordance with the prescribed routes through basic geometric calculations.")</f>
        <v>The invention discloses the snake -shaped running track judgment method based on computer vision. It involves the field of sports testing. The present invention uses a camera to capture sports venues and athletes. Simple, low cost, high accuracy, anti -cheating and other advantages can effectively solve the problems brought by the original equipment. Only human objects in the present invention will be detected in the venue. Clock 100 frames. Compared with infrared rays, it is equivalent to placing a set of infrared detection equipment to detect athletes every 20 cm. It can more accurately restore the movement of the athlete's footsteps. You can know whether the athletes move in accordance with the prescribed routes through basic geometric calculations.</v>
      </c>
      <c r="D1248" s="6" t="s">
        <v>3642</v>
      </c>
      <c r="E1248" s="4" t="str">
        <f ca="1">IFERROR(__xludf.DUMMYFUNCTION("GOOGLETRANSLATE(D1248,""auto"",""en"")"),"Snake -shaped running track judgment method based on computer vision")</f>
        <v>Snake -shaped running track judgment method based on computer vision</v>
      </c>
    </row>
    <row r="1249" spans="1:5" ht="15" x14ac:dyDescent="0.25">
      <c r="A1249" s="5" t="s">
        <v>3643</v>
      </c>
      <c r="B1249" s="6" t="s">
        <v>3644</v>
      </c>
      <c r="C1249" s="3" t="str">
        <f ca="1">IFERROR(__xludf.DUMMYFUNCTION("GOOGLETRANSLATE(B1249,""auto"",""en"")"),"Provides an operating method for electronic equipment and the electronic device to remove the advertising retraction diagram from the display screen that provides the sports list. The electronic device can retrieve the image shrinkage diagram extracted fr"&amp;"om the game video that is being broadcast live to determine the image of the image Whether the zoom diagram is a glimpse or advertising tap diagram of the game with a pre -training deep learning model. When the image shrinkage diagram is the gaming tap ma"&amp;"p, the game shrinkage map is displayed on the display. Reproduction diagram is removed on the display.")</f>
        <v>Provides an operating method for electronic equipment and the electronic device to remove the advertising retraction diagram from the display screen that provides the sports list. The electronic device can retrieve the image shrinkage diagram extracted from the game video that is being broadcast live to determine the image of the image Whether the zoom diagram is a glimpse or advertising tap diagram of the game with a pre -training deep learning model. When the image shrinkage diagram is the gaming tap map, the game shrinkage map is displayed on the display. Reproduction diagram is removed on the display.</v>
      </c>
      <c r="D1249" s="6" t="s">
        <v>3645</v>
      </c>
      <c r="E1249" s="4" t="str">
        <f ca="1">IFERROR(__xludf.DUMMYFUNCTION("GOOGLETRANSLATE(D1249,""auto"",""en"")"),"Electronic devices and operation methods used to provide a live broadcast list of sports events from the display to remove the advertisement zoom diagram")</f>
        <v>Electronic devices and operation methods used to provide a live broadcast list of sports events from the display to remove the advertisement zoom diagram</v>
      </c>
    </row>
    <row r="1250" spans="1:5" ht="15" x14ac:dyDescent="0.25">
      <c r="A1250" s="5" t="s">
        <v>3646</v>
      </c>
      <c r="B1250" s="6" t="s">
        <v>3647</v>
      </c>
      <c r="C1250" s="3" t="str">
        <f ca="1">IFERROR(__xludf.DUMMYFUNCTION("GOOGLETRANSLATE(B1250,""auto"",""en"")"),"This utility model belongs to the field of sports protection devices. Specifically, it is an integrated sports protection device based on artificial intelligence, including the cover circle, which is fixed at the bottom of the circle. The buffer mechanism"&amp;", the outer wall of the sleeve body is fixed with a tightening circle. The outer wall of the tightening circle has a supporting rod with a supporting rod. The air cushion and the fixed plate are connected through hot -melt; by using the athletes to wear t"&amp;"he sleeve on the arm, the buffer mechanism should be pointed to the elbow part, and through the buffer mechanism You can better prevent bumps at the elbow joint during exercise. The air cushion can be buffered. The fixed board is made of silicone material"&amp;" for skin -friendly and fit. When the injured fracture occurs in the small arm, the support rod is fixed to the small arm area. Temporary fixed work.")</f>
        <v>This utility model belongs to the field of sports protection devices. Specifically, it is an integrated sports protection device based on artificial intelligence, including the cover circle, which is fixed at the bottom of the circle. The buffer mechanism, the outer wall of the sleeve body is fixed with a tightening circle. The outer wall of the tightening circle has a supporting rod with a supporting rod. The air cushion and the fixed plate are connected through hot -melt; by using the athletes to wear the sleeve on the arm, the buffer mechanism should be pointed to the elbow part, and through the buffer mechanism You can better prevent bumps at the elbow joint during exercise. The air cushion can be buffered. The fixed board is made of silicone material for skin -friendly and fit. When the injured fracture occurs in the small arm, the support rod is fixed to the small arm area. Temporary fixed work.</v>
      </c>
      <c r="D1250" s="6" t="s">
        <v>3648</v>
      </c>
      <c r="E1250" s="4" t="str">
        <f ca="1">IFERROR(__xludf.DUMMYFUNCTION("GOOGLETRANSLATE(D1250,""auto"",""en"")"),"A integrated sports protection device based on artificial intelligence")</f>
        <v>A integrated sports protection device based on artificial intelligence</v>
      </c>
    </row>
    <row r="1251" spans="1:5" ht="15" x14ac:dyDescent="0.25">
      <c r="A1251" s="5" t="s">
        <v>3649</v>
      </c>
      <c r="B1251" s="6" t="s">
        <v>3650</v>
      </c>
      <c r="C1251" s="3" t="str">
        <f ca="1">IFERROR(__xludf.DUMMYFUNCTION("GOOGLETRANSLATE(B1251,""auto"",""en"")"),"The present invention disclosed a fitness behavior monitoring system based on Beidou positioning and narrow belt Internet of Things, including: wearable devices and background servers; wearable devices are embedded in Beidou positioning modules, physiolog"&amp;"ical data acquisition modules, and narrow belt IoT modules; Beidou positioning positioning; Beidou positioning positioning; The module enhances the system communication connection with the Beidou foundation through the narrow belt IoT module; the Beidou f"&amp;"oundation enhancement system is used to correct the personnel location information collected by the Beidou positioning module; the physiological data collection module is used to collect the physiological parameters of the corresponding personnel in real "&amp;"time; The IoT module is synchronized to obtain the location information and corresponding physiological parameters of all personnel in the monitoring place, and determines whether the physiological parameters are abnormal. The present invention can improv"&amp;"e the positioning accuracy of fitness personnel, achieve the collection and monitoring of user physiological data, and ensure that the location information is reported in a timely manner when abnormal conditions occur in order to receive treatment as soon"&amp;" as possible.")</f>
        <v>The present invention disclosed a fitness behavior monitoring system based on Beidou positioning and narrow belt Internet of Things, including: wearable devices and background servers; wearable devices are embedded in Beidou positioning modules, physiological data acquisition modules, and narrow belt IoT modules; Beidou positioning positioning; Beidou positioning positioning; The module enhances the system communication connection with the Beidou foundation through the narrow belt IoT module; the Beidou foundation enhancement system is used to correct the personnel location information collected by the Beidou positioning module; the physiological data collection module is used to collect the physiological parameters of the corresponding personnel in real time; The IoT module is synchronized to obtain the location information and corresponding physiological parameters of all personnel in the monitoring place, and determines whether the physiological parameters are abnormal. The present invention can improve the positioning accuracy of fitness personnel, achieve the collection and monitoring of user physiological data, and ensure that the location information is reported in a timely manner when abnormal conditions occur in order to receive treatment as soon as possible.</v>
      </c>
      <c r="D1251" s="6" t="s">
        <v>3651</v>
      </c>
      <c r="E1251" s="4" t="str">
        <f ca="1">IFERROR(__xludf.DUMMYFUNCTION("GOOGLETRANSLATE(D1251,""auto"",""en"")"),"A fitness behavior monitoring system based on Beidou positioning and narrow belt Internet of Things")</f>
        <v>A fitness behavior monitoring system based on Beidou positioning and narrow belt Internet of Things</v>
      </c>
    </row>
    <row r="1252" spans="1:5" ht="15" x14ac:dyDescent="0.25">
      <c r="A1252" s="5" t="s">
        <v>3652</v>
      </c>
      <c r="B1252" s="6" t="s">
        <v>3653</v>
      </c>
      <c r="C1252" s="3" t="str">
        <f ca="1">IFERROR(__xludf.DUMMYFUNCTION("GOOGLETRANSLATE(B1252,""auto"",""en"")"),"The present invention involves a kind of athlete -based athlete behavior quality assessment method. The based evaluation system includes the human tracking unit, the human posture estimation unit, the action sequence feature extraction and enhanced unit, "&amp;"the score prediction unit and the display unit; the video input to the human trace unit , Target detection of each frame of the video, obtain the detection box of each frame as the tracking result, visualize the tracking result in the display unit; As a p"&amp;"ose estimation result, information can be visualized in the display unit estimation results; the action sequence feature extraction and enhancement unit uses video, tracking results, and posture estimation results as input. The predictive unit is input wi"&amp;"th video features, and the quality assessment of the full -action process and the quality evaluation of phased behavior is performed.")</f>
        <v>The present invention involves a kind of athlete -based athlete behavior quality assessment method. The based evaluation system includes the human tracking unit, the human posture estimation unit, the action sequence feature extraction and enhanced unit, the score prediction unit and the display unit; the video input to the human trace unit , Target detection of each frame of the video, obtain the detection box of each frame as the tracking result, visualize the tracking result in the display unit; As a pose estimation result, information can be visualized in the display unit estimation results; the action sequence feature extraction and enhancement unit uses video, tracking results, and posture estimation results as input. The predictive unit is input with video features, and the quality assessment of the full -action process and the quality evaluation of phased behavior is performed.</v>
      </c>
      <c r="D1252" s="6" t="s">
        <v>3654</v>
      </c>
      <c r="E1252" s="4" t="str">
        <f ca="1">IFERROR(__xludf.DUMMYFUNCTION("GOOGLETRANSLATE(D1252,""auto"",""en"")"),"A method of quality evaluation of athletes based on deep learning")</f>
        <v>A method of quality evaluation of athletes based on deep learning</v>
      </c>
    </row>
    <row r="1253" spans="1:5" ht="15" x14ac:dyDescent="0.25">
      <c r="A1253" s="5" t="s">
        <v>3655</v>
      </c>
      <c r="B1253" s="6" t="s">
        <v>3656</v>
      </c>
      <c r="C1253" s="3" t="str">
        <f ca="1">IFERROR(__xludf.DUMMYFUNCTION("GOOGLETRANSLATE(B1253,""auto"",""en"")"),"1. Design product name: Display screen panel with driving control graphical user interface.
 2. The purpose of designing products in appearance: used for information display and human -computer interaction, and applied to automobiles, mobile phones, com"&amp;"puters, tablets.
 3. Design of the design of the product in appearance: lies in the graphic user interface and interactive process of the product shown.
 4. Pictures or photos that can most indicate design points: main view.
 5. The purpose of the g"&amp;"raphic user interface: The main view is the homepage of the driver's control application; click the historical record button in the upper right corner of the main view of the map to enter the interface change state. ; Click the trophy button in the upper "&amp;"right corner of the main screen to enter the interface changes. Figure 2, which mainly displays the ranking ranking; click the setting button in the upper right corner of the main screen to enter the interface change state. Click the start challenge butto"&amp;"n above the main view to enter the interface change state. 4, which mainly displays the game information and other optional content; the use status reference map is the reference map of the main view of the main view.")</f>
        <v>1. Design product name: Display screen panel with driving control graphical user interface.
 2. The purpose of designing products in appearance: used for information display and human -computer interaction, and applied to automobiles, mobile phones, computers, tablets.
 3. Design of the design of the product in appearance: lies in the graphic user interface and interactive process of the product shown.
 4. Pictures or photos that can most indicate design points: main view.
 5. The purpose of the graphic user interface: The main view is the homepage of the driver's control application; click the historical record button in the upper right corner of the main view of the map to enter the interface change state. ; Click the trophy button in the upper right corner of the main screen to enter the interface changes. Figure 2, which mainly displays the ranking ranking; click the setting button in the upper right corner of the main screen to enter the interface change state. Click the start challenge button above the main view to enter the interface change state. 4, which mainly displays the game information and other optional content; the use status reference map is the reference map of the main view of the main view.</v>
      </c>
      <c r="D1253" s="6" t="s">
        <v>3657</v>
      </c>
      <c r="E1253" s="4" t="str">
        <f ca="1">IFERROR(__xludf.DUMMYFUNCTION("GOOGLETRANSLATE(D1253,""auto"",""en"")"),"Display screen panel with driving control graphical user interface")</f>
        <v>Display screen panel with driving control graphical user interface</v>
      </c>
    </row>
    <row r="1254" spans="1:5" ht="15" x14ac:dyDescent="0.25">
      <c r="A1254" s="5" t="s">
        <v>3658</v>
      </c>
      <c r="B1254" s="6" t="s">
        <v>3659</v>
      </c>
      <c r="C1254" s="3" t="str">
        <f ca="1">IFERROR(__xludf.DUMMYFUNCTION("GOOGLETRANSLATE(B1254,""auto"",""en"")"),"This publicly proposed improved treadmill control system and methods. One of this method includes video sequences that start to record the subject's walking exercise on the treadmill equipment; use the video time to use the video time with the neural netw"&amp;"ork to extract the inner phase of the object in the video sequence of the record; A series of treadmill belt control settings, these settings correspond to each stage of the subject's gait mode; and the motor controller of a series of treadmill belt contr"&amp;"ol setting a signal notification of the treadmill equipment. Other methods and systems are also provided.")</f>
        <v>This publicly proposed improved treadmill control system and methods. One of this method includes video sequences that start to record the subject's walking exercise on the treadmill equipment; use the video time to use the video time with the neural network to extract the inner phase of the object in the video sequence of the record; A series of treadmill belt control settings, these settings correspond to each stage of the subject's gait mode; and the motor controller of a series of treadmill belt control setting a signal notification of the treadmill equipment. Other methods and systems are also provided.</v>
      </c>
      <c r="D1254" s="6" t="s">
        <v>3660</v>
      </c>
      <c r="E1254" s="4" t="str">
        <f ca="1">IFERROR(__xludf.DUMMYFUNCTION("GOOGLETRANSLATE(D1254,""auto"",""en"")"),"Use a single treadmill to simulate a split treadmill")</f>
        <v>Use a single treadmill to simulate a split treadmill</v>
      </c>
    </row>
    <row r="1255" spans="1:5" ht="15" x14ac:dyDescent="0.25">
      <c r="A1255" s="5" t="s">
        <v>3661</v>
      </c>
      <c r="B1255" s="6" t="s">
        <v>3662</v>
      </c>
      <c r="C1255" s="3" t="str">
        <f ca="1">IFERROR(__xludf.DUMMYFUNCTION("GOOGLETRANSLATE(B1255,""auto"",""en"")"),"This publicly proposed improved treadmill control system and methods. One of this method includes video sequences that start to record the subject's walking exercise on the treadmill equipment; use the video time to use the video time with the neural netw"&amp;"ork to extract the inner phase of the object in the video sequence of the record; A series of treadmill belt control settings corresponding to each stage of the subject's gait mode; and a series of treadmill belt control setting a signal to notify the mot"&amp;"or controller of the treadmill equipment. Other methods and systems are also provided.")</f>
        <v>This publicly proposed improved treadmill control system and methods. One of this method includes video sequences that start to record the subject's walking exercise on the treadmill equipment; use the video time to use the video time with the neural network to extract the inner phase of the object in the video sequence of the record; A series of treadmill belt control settings corresponding to each stage of the subject's gait mode; and a series of treadmill belt control setting a signal to notify the motor controller of the treadmill equipment. Other methods and systems are also provided.</v>
      </c>
      <c r="D1255" s="6" t="s">
        <v>3660</v>
      </c>
      <c r="E1255" s="4" t="str">
        <f ca="1">IFERROR(__xludf.DUMMYFUNCTION("GOOGLETRANSLATE(D1255,""auto"",""en"")"),"Use a single treadmill to simulate a split treadmill")</f>
        <v>Use a single treadmill to simulate a split treadmill</v>
      </c>
    </row>
    <row r="1256" spans="1:5" ht="15" x14ac:dyDescent="0.25">
      <c r="A1256" s="5" t="s">
        <v>3663</v>
      </c>
      <c r="B1256" s="6" t="s">
        <v>3664</v>
      </c>
      <c r="C1256" s="3" t="str">
        <f ca="1">IFERROR(__xludf.DUMMYFUNCTION("GOOGLETRANSLATE(B1256,""auto"",""en"")"),"The present invention involves a multi -functional exercise device, including a portable body divided into the first part of the first part 2, the second and the third part of the third part. The unit and the belt 6 or 4 are connected to the microcontroll"&amp;"er, which is convenient for walking, jogging or running exercises and power generation. Multiple sensors include speed sensors and weight sensors. With a pair of adjustable guide 9 with a handrail 7 for users to manually stretch, a pair of V -shaped metal"&amp;" rods connected to the handrail 7 with hinge connect to the hinge for muscle exercise. It is convenient for users to emit audio commands and generate audio related to the user's weight and speed.")</f>
        <v>The present invention involves a multi -functional exercise device, including a portable body divided into the first part of the first part 2, the second and the third part of the third part. The unit and the belt 6 or 4 are connected to the microcontroller, which is convenient for walking, jogging or running exercises and power generation. Multiple sensors include speed sensors and weight sensors. With a pair of adjustable guide 9 with a handrail 7 for users to manually stretch, a pair of V -shaped metal rods connected to the handrail 7 with hinge connect to the hinge for muscle exercise. It is convenient for users to emit audio commands and generate audio related to the user's weight and speed.</v>
      </c>
      <c r="D1256" s="6" t="s">
        <v>3665</v>
      </c>
      <c r="E1256" s="4" t="str">
        <f ca="1">IFERROR(__xludf.DUMMYFUNCTION("GOOGLETRANSLATE(D1256,""auto"",""en"")"),"Multifunctional fitness")</f>
        <v>Multifunctional fitness</v>
      </c>
    </row>
    <row r="1257" spans="1:5" ht="15" x14ac:dyDescent="0.25">
      <c r="A1257" s="5" t="s">
        <v>3666</v>
      </c>
      <c r="B1257" s="6" t="s">
        <v>3667</v>
      </c>
      <c r="C1257" s="3" t="str">
        <f ca="1">IFERROR(__xludf.DUMMYFUNCTION("GOOGLETRANSLATE(B1257,""auto"",""en"")"),"The deep learning subbirth of machine learning is becoming a scientific computing technology in today's artificial world. Therefore, mode recognition is applied to deep learning technology, and predicts the performance of players in each field game throug"&amp;"h the statistics collected by previous collected statistics. These collected data can be input through deep learning algorithms to analyze and predict the performance of the payer in the game. Deep learning algorithms can use different types of neural net"&amp;"works to play a vital role in failure to eliminate and solve major complex tasks, which is equivalent to the classification ability and effective decision -making ability of the human brain. In this proposal method, we use the movement sensor to track the"&amp;" characteristics of hitting and swing, and use the Kalman filter to track and identify the objects used in the ball, and provide through deep learning algorithm circulating neural network (RNN) and LSTM provided These data to detect the mode of player per"&amp;"formance in the individual game.")</f>
        <v>The deep learning subbirth of machine learning is becoming a scientific computing technology in today's artificial world. Therefore, mode recognition is applied to deep learning technology, and predicts the performance of players in each field game through the statistics collected by previous collected statistics. These collected data can be input through deep learning algorithms to analyze and predict the performance of the payer in the game. Deep learning algorithms can use different types of neural networks to play a vital role in failure to eliminate and solve major complex tasks, which is equivalent to the classification ability and effective decision -making ability of the human brain. In this proposal method, we use the movement sensor to track the characteristics of hitting and swing, and use the Kalman filter to track and identify the objects used in the ball, and provide through deep learning algorithm circulating neural network (RNN) and LSTM provided These data to detect the mode of player performance in the individual game.</v>
      </c>
      <c r="D1257" s="6" t="s">
        <v>3668</v>
      </c>
      <c r="E1257" s="4" t="str">
        <f ca="1">IFERROR(__xludf.DUMMYFUNCTION("GOOGLETRANSLATE(D1257,""auto"",""en"")"),"Player performance mode detection of personal live games with deep learning")</f>
        <v>Player performance mode detection of personal live games with deep learning</v>
      </c>
    </row>
    <row r="1258" spans="1:5" ht="15" x14ac:dyDescent="0.25">
      <c r="A1258" s="5" t="s">
        <v>3669</v>
      </c>
      <c r="B1258" s="6" t="s">
        <v>3670</v>
      </c>
      <c r="C1258" s="3" t="str">
        <f ca="1">IFERROR(__xludf.DUMMYFUNCTION("GOOGLETRANSLATE(B1258,""auto"",""en"")"),"The present invention requests to protect a basketball player dribbling training system and methods based on holographic technology. The control device is used to control each electronic screen to move on the orbit. Each electronic screen is used to displ"&amp;"ay the training movement. All electronic screens are set on the basket. Several electronic screens can be arranged in a ring to form a fence. The holographic projector is used for direction for direction. The virtual artificial intelligence coach training"&amp;" guidance image is projected in the wall, and the ground is sensing on the training venue laid in the wall to induced the data of athletes and basketball in sports. Several electronic screens can be surrounded by a closed training venue on the orbit to pr"&amp;"ovide athletes for dribbling training, so that athletes can be interfered without external interference during training. Various electronic screens can display a variety of different exercises for athletes for reference training.")</f>
        <v>The present invention requests to protect a basketball player dribbling training system and methods based on holographic technology. The control device is used to control each electronic screen to move on the orbit. Each electronic screen is used to display the training movement. All electronic screens are set on the basket. Several electronic screens can be arranged in a ring to form a fence. The holographic projector is used for direction for direction. The virtual artificial intelligence coach training guidance image is projected in the wall, and the ground is sensing on the training venue laid in the wall to induced the data of athletes and basketball in sports. Several electronic screens can be surrounded by a closed training venue on the orbit to provide athletes for dribbling training, so that athletes can be interfered without external interference during training. Various electronic screens can display a variety of different exercises for athletes for reference training.</v>
      </c>
      <c r="D1258" s="6" t="s">
        <v>3671</v>
      </c>
      <c r="E1258" s="4" t="str">
        <f ca="1">IFERROR(__xludf.DUMMYFUNCTION("GOOGLETRANSLATE(D1258,""auto"",""en"")"),"A holographic technology -based basketball player dribbling training system and method")</f>
        <v>A holographic technology -based basketball player dribbling training system and method</v>
      </c>
    </row>
    <row r="1259" spans="1:5" ht="15" x14ac:dyDescent="0.25">
      <c r="A1259" s="5" t="s">
        <v>3672</v>
      </c>
      <c r="B1259" s="6" t="s">
        <v>3673</v>
      </c>
      <c r="C1259" s="3" t="str">
        <f ca="1">IFERROR(__xludf.DUMMYFUNCTION("GOOGLETRANSLATE(B1259,""auto"",""en"")"),"The invention uses the data collected by the Lidar sensor installed in the actual baseball field to generate the ability value of the player. At the same time, the ability value of the player to generate the player is based on the baseball simulation inst"&amp;"alled in the experience baseball exercise field. The movement of objects detected by Lidar sensors can increase the fun, authenticity and participation of experiential baseball games by increasing authenticity and providing players' pitching or hitting co"&amp;"mments. It involves an experiential baseball -It using lidar sensors and artificial intelligence simulation service systems can maximize the efficiency and effect of players baseball exercises.")</f>
        <v>The invention uses the data collected by the Lidar sensor installed in the actual baseball field to generate the ability value of the player. At the same time, the ability value of the player to generate the player is based on the baseball simulation installed in the experience baseball exercise field. The movement of objects detected by Lidar sensors can increase the fun, authenticity and participation of experiential baseball games by increasing authenticity and providing players' pitching or hitting comments. It involves an experiential baseball -It using lidar sensors and artificial intelligence simulation service systems can maximize the efficiency and effect of players baseball exercises.</v>
      </c>
      <c r="D1259" s="6" t="s">
        <v>3674</v>
      </c>
      <c r="E1259" s="4" t="str">
        <f ca="1">IFERROR(__xludf.DUMMYFUNCTION("GOOGLETRANSLATE(D1259,""auto"",""en"")"),"Experience baseball simulation service system using lidar sensors and artificial intelligence")</f>
        <v>Experience baseball simulation service system using lidar sensors and artificial intelligence</v>
      </c>
    </row>
    <row r="1260" spans="1:5" ht="15" x14ac:dyDescent="0.25">
      <c r="A1260" s="5" t="s">
        <v>3675</v>
      </c>
      <c r="B1260" s="6" t="s">
        <v>3676</v>
      </c>
      <c r="C1260" s="3" t="str">
        <f ca="1">IFERROR(__xludf.DUMMYFUNCTION("GOOGLETRANSLATE(B1260,""auto"",""en"")"),"Based on the embodiment -based second -hand dew trading system and method based on artificial intelligence, the answer and answer of the question registered by artificial intelligence analyzes user registration is based on the analysis results and selecti"&amp;"on issues. At this time, in this embodiment, information on user preference information about the detailed specifications of camping cars, such as price, design, kitchen existence, area, toilet existence or no existence, to extract second -hand camping ca"&amp;"rs that can match the user. Water storage capacity, power storage capacity, and whether the extracted used camping vehicles are used in the competition. According to the method, select a second -hand camping car that is most suitable for users.")</f>
        <v>Based on the embodiment -based second -hand dew trading system and method based on artificial intelligence, the answer and answer of the question registered by artificial intelligence analyzes user registration is based on the analysis results and selection issues. At this time, in this embodiment, information on user preference information about the detailed specifications of camping cars, such as price, design, kitchen existence, area, toilet existence or no existence, to extract second -hand camping cars that can match the user. Water storage capacity, power storage capacity, and whether the extracted used camping vehicles are used in the competition. According to the method, select a second -hand camping car that is most suitable for users.</v>
      </c>
      <c r="D1260" s="6" t="s">
        <v>3677</v>
      </c>
      <c r="E1260" s="4" t="str">
        <f ca="1">IFERROR(__xludf.DUMMYFUNCTION("GOOGLETRANSLATE(D1260,""auto"",""en"")"),"Second -hand RV trading system and methods based on artificial intelligence")</f>
        <v>Second -hand RV trading system and methods based on artificial intelligence</v>
      </c>
    </row>
    <row r="1261" spans="1:5" ht="15" x14ac:dyDescent="0.25">
      <c r="A1261" s="5" t="s">
        <v>3678</v>
      </c>
      <c r="B1261" s="6" t="s">
        <v>3679</v>
      </c>
      <c r="C1261" s="3" t="str">
        <f ca="1">IFERROR(__xludf.DUMMYFUNCTION("GOOGLETRANSLATE(B1261,""auto"",""en"")"),"The present invention involves a method that is used to determine whether a part of the current query should be merged or replaced with a part of the previous query. This method includes a neural network, and the neural network provides previous queries a"&amp;"nd current queries as the result of the input and output indicator merger or replacement operation. This method also includes receiving the first inquiries and the second query, where the first query was received before receiving the second query. In addi"&amp;"tion, Method 10 includes previous queries and current query inputs that map the first inquiries and the second query to the neural network. Using a neural network, this method determines whether the first query and the second query are associated with the"&amp;" results of the instructions or replacement operations. Responsible for the results of determining the first query and the second query and the merger 15 operation of the merger 15, this method involves merging the first query and the second query. In res"&amp;"ponse to the results of determining the results of the first query and the second query and the instruction replacement operation, this method includes: select the first part of the first and second queries of the first query corresponding to each other; "&amp;"and the second query in the second query. Part 2 and 20 replace the first part of the first query. Figure 1 100 PM 2:07 Media Provider Return to TV) K-Query: Tom Cruise Movie 102 Search) News 106 16-response: November Sports 108 Queen Kids) F as a map 1")</f>
        <v>The present invention involves a method that is used to determine whether a part of the current query should be merged or replaced with a part of the previous query. This method includes a neural network, and the neural network provides previous queries and current queries as the result of the input and output indicator merger or replacement operation. This method also includes receiving the first inquiries and the second query, where the first query was received before receiving the second query. In addition, Method 10 includes previous queries and current query inputs that map the first inquiries and the second query to the neural network. Using a neural network, this method determines whether the first query and the second query are associated with the results of the instructions or replacement operations. Responsible for the results of determining the first query and the second query and the merger 15 operation of the merger 15, this method involves merging the first query and the second query. In response to the results of determining the results of the first query and the second query and the instruction replacement operation, this method includes: select the first part of the first and second queries of the first query corresponding to each other; and the second query in the second query. Part 2 and 20 replace the first part of the first query. Figure 1 100 PM 2:07 Media Provider Return to TV) K-Query: Tom Cruise Movie 102 Search) News 106 16-response: November Sports 108 Queen Kids) F as a map 1</v>
      </c>
      <c r="D1261" s="6" t="s">
        <v>3680</v>
      </c>
      <c r="E1261" s="4" t="str">
        <f ca="1">IFERROR(__xludf.DUMMYFUNCTION("GOOGLETRANSLATE(D1261,""auto"",""en"")"),"Used to determine the system and method of context switching in the dialogue")</f>
        <v>Used to determine the system and method of context switching in the dialogue</v>
      </c>
    </row>
    <row r="1262" spans="1:5" ht="15" x14ac:dyDescent="0.25">
      <c r="A1262" s="5" t="s">
        <v>3681</v>
      </c>
      <c r="B1262" s="6" t="s">
        <v>3682</v>
      </c>
      <c r="C1262" s="3" t="str">
        <f ca="1">IFERROR(__xludf.DUMMYFUNCTION("GOOGLETRANSLATE(B1262,""auto"",""en"")"),"The present invention includes a number of exercise devices used to train patients; first mobile devices, cable or wireless connecting each sports equipment for patients' motion information; the server receives collected from the first mobile device and t"&amp;"hrough storage and analysis through storage and analysis Information generate health data; the second mobile device receives the patient's information and health data from the server, provides feedback through real -time communication with the first mobil"&amp;"e device, and controls the exercise equipment according to the input control of the rehabilitation therapist; Management system.")</f>
        <v>The present invention includes a number of exercise devices used to train patients; first mobile devices, cable or wireless connecting each sports equipment for patients' motion information; the server receives collected from the first mobile device and through storage and analysis through storage and analysis Information generate health data; the second mobile device receives the patient's information and health data from the server, provides feedback through real -time communication with the first mobile device, and controls the exercise equipment according to the input control of the rehabilitation therapist; Management system.</v>
      </c>
      <c r="D1262" s="6" t="s">
        <v>3683</v>
      </c>
      <c r="E1262" s="4" t="str">
        <f ca="1">IFERROR(__xludf.DUMMYFUNCTION("GOOGLETRANSLATE(D1262,""auto"",""en"")"),"Remote management system and driving method based on the IoT -based fitness equipment")</f>
        <v>Remote management system and driving method based on the IoT -based fitness equipment</v>
      </c>
    </row>
    <row r="1263" spans="1:5" ht="15" x14ac:dyDescent="0.25">
      <c r="A1263" s="5" t="s">
        <v>3684</v>
      </c>
      <c r="B1263" s="6" t="s">
        <v>3685</v>
      </c>
      <c r="C1263" s="3" t="str">
        <f ca="1">IFERROR(__xludf.DUMMYFUNCTION("GOOGLETRANSLATE(B1263,""auto"",""en"")"),"A system for artificial intelligence and fitness professional support for vibrant physical guidance, including computing devices. The computing device is configured to obtain biological extract from users, receive user requests, and determine fitness solu"&amp;"tions. Among them Including the output of the function of at least one biological extraction, and determine the fitness solution according to the user's request and diagnosis output, and output the fitness scheme.")</f>
        <v>A system for artificial intelligence and fitness professional support for vibrant physical guidance, including computing devices. The computing device is configured to obtain biological extract from users, receive user requests, and determine fitness solutions. Among them Including the output of the function of at least one biological extraction, and determine the fitness solution according to the user's request and diagnosis output, and output the fitness scheme.</v>
      </c>
      <c r="D1263" s="6" t="s">
        <v>3686</v>
      </c>
      <c r="E1263" s="4" t="str">
        <f ca="1">IFERROR(__xludf.DUMMYFUNCTION("GOOGLETRANSLATE(D1263,""auto"",""en"")"),"Methods and systems for artificial intelligence and fitness professional supported by vibrant constitutional guidance")</f>
        <v>Methods and systems for artificial intelligence and fitness professional supported by vibrant constitutional guidance</v>
      </c>
    </row>
    <row r="1264" spans="1:5" ht="15" x14ac:dyDescent="0.25">
      <c r="A1264" s="5" t="s">
        <v>3687</v>
      </c>
      <c r="B1264" s="6" t="s">
        <v>518</v>
      </c>
      <c r="C1264" s="3" t="str">
        <f ca="1">IFERROR(__xludf.DUMMYFUNCTION("GOOGLETRANSLATE(B1264,""auto"",""en"")"),"-")</f>
        <v>-</v>
      </c>
      <c r="D1264" s="6" t="s">
        <v>1318</v>
      </c>
      <c r="E1264" s="4" t="str">
        <f ca="1">IFERROR(__xludf.DUMMYFUNCTION("GOOGLETRANSLATE(D1264,""auto"",""en"")"),"Sports content images and graphics recommendation engines based on artificial intelligence -based game indicators")</f>
        <v>Sports content images and graphics recommendation engines based on artificial intelligence -based game indicators</v>
      </c>
    </row>
    <row r="1265" spans="1:5" ht="15" x14ac:dyDescent="0.25">
      <c r="A1265" s="5" t="s">
        <v>3688</v>
      </c>
      <c r="B1265" s="6" t="s">
        <v>3689</v>
      </c>
      <c r="C1265" s="3" t="str">
        <f ca="1">IFERROR(__xludf.DUMMYFUNCTION("GOOGLETRANSLATE(B1265,""auto"",""en"")"),"Calculate the broadcast video data of the system. The computing system uses computer vision technology to generate tracking data from the broadcast video data. The tracking data includes the coordinates of players during the game. The computing system use"&amp;"s one or more optical character recognition technology to each frame in multiple frames to generate the optical character recognition data from the broadcast video data generation competition to the score board displayed from each frame Extract score and "&amp;"time information. The computing system uses one or more machine learning technology to track multiple events in the game. The actual report data of the computing system receives the game. The computing system generates rich tracking data. The generation i"&amp;"ncludes the combination of the live report data with the tracking data, the optical character recognition data, and one or more of the multiple events.")</f>
        <v>Calculate the broadcast video data of the system. The computing system uses computer vision technology to generate tracking data from the broadcast video data. The tracking data includes the coordinates of players during the game. The computing system uses one or more optical character recognition technology to each frame in multiple frames to generate the optical character recognition data from the broadcast video data generation competition to the score board displayed from each frame Extract score and time information. The computing system uses one or more machine learning technology to track multiple events in the game. The actual report data of the computing system receives the game. The computing system generates rich tracking data. The generation includes the combination of the live report data with the tracking data, the optical character recognition data, and one or more of the multiple events.</v>
      </c>
      <c r="D1265" s="6" t="s">
        <v>3690</v>
      </c>
      <c r="E1265" s="4" t="str">
        <f ca="1">IFERROR(__xludf.DUMMYFUNCTION("GOOGLETRANSLATE(D1265,""auto"",""en"")"),"Systems and methods for merging asynchronous data source")</f>
        <v>Systems and methods for merging asynchronous data source</v>
      </c>
    </row>
    <row r="1266" spans="1:5" ht="15" x14ac:dyDescent="0.25">
      <c r="A1266" s="5" t="s">
        <v>3691</v>
      </c>
      <c r="B1266" s="6" t="s">
        <v>3692</v>
      </c>
      <c r="C1266" s="3" t="str">
        <f ca="1">IFERROR(__xludf.DUMMYFUNCTION("GOOGLETRANSLATE(B1266,""auto"",""en"")"),"The invention involves a athlete training method and system. The method includes: to obtain the exercise parameters before the training of the athletes to be trained, and input the trail -based neural network before the training parameters before training"&amp;" to get the training parameters. The present invention can get appropriate training parameters for different athletes to improve the training effect.")</f>
        <v>The invention involves a athlete training method and system. The method includes: to obtain the exercise parameters before the training of the athletes to be trained, and input the trail -based neural network before the training parameters before training to get the training parameters. The present invention can get appropriate training parameters for different athletes to improve the training effect.</v>
      </c>
      <c r="D1266" s="6" t="s">
        <v>3693</v>
      </c>
      <c r="E1266" s="4" t="str">
        <f ca="1">IFERROR(__xludf.DUMMYFUNCTION("GOOGLETRANSLATE(D1266,""auto"",""en"")"),"A athlete training method and system")</f>
        <v>A athlete training method and system</v>
      </c>
    </row>
    <row r="1267" spans="1:5" ht="15" x14ac:dyDescent="0.25">
      <c r="A1267" s="5" t="s">
        <v>3694</v>
      </c>
      <c r="B1267" s="6" t="s">
        <v>3695</v>
      </c>
      <c r="C1267" s="3" t="str">
        <f ca="1">IFERROR(__xludf.DUMMYFUNCTION("GOOGLETRANSLATE(B1267,""auto"",""en"")"),"The present invention disclosed a group map generation method based on hierarchical convolution networks. It uses pre -training convolutional neural network to extract all individuals and enclosures in all individuals in sports videos. Team relationship m"&amp;"ap and group relationship chart, enter the team relationship map into the team diagram of the convolution network to extract the team relationship characteristics, extract the group relationship of group relationship diagram input group diagrams, extract "&amp;"the characteristics of group relationships, and generate group scene charts according to the characteristics of the team relationship and group relationship characteristics. The above method can effectively capture the relationship between groups in sport"&amp;"s videos, and generate group scene maps for sports video understanding. In the group confrontation sports project, the relationship between the individual athletes is weakened, and the relationship between the team is highlighted. Therefore, it can simpli"&amp;"fy the application scenario of the scene map generation method. Perform sports video understanding.")</f>
        <v>The present invention disclosed a group map generation method based on hierarchical convolution networks. It uses pre -training convolutional neural network to extract all individuals and enclosures in all individuals in sports videos. Team relationship map and group relationship chart, enter the team relationship map into the team diagram of the convolution network to extract the team relationship characteristics, extract the group relationship of group relationship diagram input group diagrams, extract the characteristics of group relationships, and generate group scene charts according to the characteristics of the team relationship and group relationship characteristics. The above method can effectively capture the relationship between groups in sports videos, and generate group scene maps for sports video understanding. In the group confrontation sports project, the relationship between the individual athletes is weakened, and the relationship between the team is highlighted. Therefore, it can simplify the application scenario of the scene map generation method. Perform sports video understanding.</v>
      </c>
      <c r="D1267" s="6" t="s">
        <v>3696</v>
      </c>
      <c r="E1267" s="4" t="str">
        <f ca="1">IFERROR(__xludf.DUMMYFUNCTION("GOOGLETRANSLATE(D1267,""auto"",""en"")"),"A group map generation method based on hierarchical diagram convolutional network")</f>
        <v>A group map generation method based on hierarchical diagram convolutional network</v>
      </c>
    </row>
    <row r="1268" spans="1:5" ht="15" x14ac:dyDescent="0.25">
      <c r="A1268" s="5" t="s">
        <v>3697</v>
      </c>
      <c r="B1268" s="6" t="s">
        <v>3698</v>
      </c>
      <c r="C1268" s="3" t="str">
        <f ca="1">IFERROR(__xludf.DUMMYFUNCTION("GOOGLETRANSLATE(B1268,""auto"",""en"")"),"1. The name of the product of the design of the product: The graphic user interface of the iterative overview of the display screen panel.
 2. The purpose of designing products in this appearance: This design product is used for computers, laptops, tabl"&amp;"ets, mobile phones, smartphones, watches, smart watches, fitness monitor, headset headphones, smart speakers, TV, set -top boxes, laser laser The concentrated display of the display of the TV panel of the TV and the display of the graphical user interface"&amp;".
 3. Design of the design of the product in this exterior: lies in the content of the graphic user interface in the screen.
 4. Pictures or photos that can most indicate design points: main view.
 5. The display screen panel is commonly designed, o"&amp;"mit other views.
 6. The purpose of the graphical user interface: The main content is to provide an overview information display function with iteration as a dimension to achieve the purpose of quickly viewing the iterative information through human -ma"&amp;"chine interaction.
 7. Human -computer interaction method of graphical user interface: The main view is the main interface of the iterative overview information. Click the left -handed left arrow button on the left side of the main view of the left side"&amp;" of the main view. Put away, click on the main view of the ""Overdue System Requirements"", ""Untone Risk Items"", ""Unexpicious System Demand"", ""Unvopeable Version Dead Count"" and ""Unprecedented R &amp; D Task"" Change to the interface change state Figur"&amp;"e 2; click on the interface change state Figure 2 The ""title"" field in the ""Title"" field to the vertical line of text, the interface is transformed to the interface change state Figure 3; where the ""xx"" in the interface is expressed as variable text"&amp;" or numbers , ""Gray Ties and Dipping Line"" in the interface is represented as variable icons.")</f>
        <v>1. The name of the product of the design of the product: The graphic user interface of the iterative overview of the display screen panel.
 2. The purpose of designing products in this appearance: This design product is used for computers, laptops, tablets, mobile phones, smartphones, watches, smart watches, fitness monitor, headset headphones, smart speakers, TV, set -top boxes, laser laser The concentrated display of the display of the TV panel of the TV and the display of the graphical user interface.
 3. Design of the design of the product in this exterior: lies in the content of the graphic user interface in the screen.
 4. Pictures or photos that can most indicate design points: main view.
 5. The display screen panel is commonly designed, omit other views.
 6. The purpose of the graphical user interface: The main content is to provide an overview information display function with iteration as a dimension to achieve the purpose of quickly viewing the iterative information through human -machine interaction.
 7. Human -computer interaction method of graphical user interface: The main view is the main interface of the iterative overview information. Click the left -handed left arrow button on the left side of the main view of the left side of the main view. Put away, click on the main view of the "Overdue System Requirements", "Untone Risk Items", "Unexpicious System Demand", "Unvopeable Version Dead Count" and "Unprecedented R &amp; D Task" Change to the interface change state Figure 2; click on the interface change state Figure 2 The "title" field in the "Title" field to the vertical line of text, the interface is transformed to the interface change state Figure 3; where the "xx" in the interface is expressed as variable text or numbers , "Gray Ties and Dipping Line" in the interface is represented as variable icons.</v>
      </c>
      <c r="D1268" s="6" t="s">
        <v>3699</v>
      </c>
      <c r="E1268" s="4" t="str">
        <f ca="1">IFERROR(__xludf.DUMMYFUNCTION("GOOGLETRANSLATE(D1268,""auto"",""en"")"),"Ieralized Overview Interaction of the Display screen panel")</f>
        <v>Ieralized Overview Interaction of the Display screen panel</v>
      </c>
    </row>
    <row r="1269" spans="1:5" ht="15" x14ac:dyDescent="0.25">
      <c r="A1269" s="5" t="s">
        <v>3700</v>
      </c>
      <c r="B1269" s="6" t="s">
        <v>3701</v>
      </c>
      <c r="C1269" s="3" t="str">
        <f ca="1">IFERROR(__xludf.DUMMYFUNCTION("GOOGLETRANSLATE(B1269,""auto"",""en"")"),"The present invention disclosed a sports teaching device that adopts a multi -view -angle high -speed camera and human posture recognition. First, use a high -speed camera to shoot multi -angle from demonstration actions of physical education teachers, an"&amp;"d save the video shot into the computer. Then use deep learning -based human posture recognition algorithms to identify the human key points of different angles of pictures and mark the key points of the human body into the picture. Then use a video slow "&amp;"playback to play pictures with key points with human body, so that students can understand the details of the movement of the movement more intuitively, and deepen the students' understanding and experience of the action process. Teachers also combine the"&amp;" key points of the human body to explain the essentials of action, and serve as reference technical indicators to measure the quality of action. The present invention will be concretely and intuitive for abstract sports, which greatly facilitates physical"&amp;" education teachers and students. It is of great significance to improve the national level of sports teaching and technology in the country.")</f>
        <v>The present invention disclosed a sports teaching device that adopts a multi -view -angle high -speed camera and human posture recognition. First, use a high -speed camera to shoot multi -angle from demonstration actions of physical education teachers, and save the video shot into the computer. Then use deep learning -based human posture recognition algorithms to identify the human key points of different angles of pictures and mark the key points of the human body into the picture. Then use a video slow playback to play pictures with key points with human body, so that students can understand the details of the movement of the movement more intuitively, and deepen the students' understanding and experience of the action process. Teachers also combine the key points of the human body to explain the essentials of action, and serve as reference technical indicators to measure the quality of action. The present invention will be concretely and intuitive for abstract sports, which greatly facilitates physical education teachers and students. It is of great significance to improve the national level of sports teaching and technology in the country.</v>
      </c>
      <c r="D1269" s="6" t="s">
        <v>3702</v>
      </c>
      <c r="E1269" s="4" t="str">
        <f ca="1">IFERROR(__xludf.DUMMYFUNCTION("GOOGLETRANSLATE(D1269,""auto"",""en"")"),"A sports teaching device that adopts a multi -view -angle high -speed camera and human posture recognition")</f>
        <v>A sports teaching device that adopts a multi -view -angle high -speed camera and human posture recognition</v>
      </c>
    </row>
    <row r="1270" spans="1:5" ht="15" x14ac:dyDescent="0.25">
      <c r="A1270" s="5" t="s">
        <v>3703</v>
      </c>
      <c r="B1270" s="6" t="s">
        <v>3704</v>
      </c>
      <c r="C1270" s="3" t="str">
        <f ca="1">IFERROR(__xludf.DUMMYFUNCTION("GOOGLETRANSLATE(B1270,""auto"",""en"")"),"The present invention disclosed a systematic motion evaluation system based on AI artificial intelligence, including athlete capture modules, AI artificial intelligence and monitoring platforms. Data records of muscle expansion and muscle power movement g"&amp;"enerated by vibration and muscle force. At the same time, the movement trajectory of the athletes' continuous behavior is recorded by capturing the system. Through AI artificial intelligence, the physical data of the athletes is recorded and analyzed, and"&amp;" the whole body movement is evaluated. Through AI artificial intelligence, the athlete's whole body exercise database and the existing body exercise data of the athletes are evaluated. The exercise muscle groups perform specific display and exercise volum"&amp;"e assessment, and at the same time, the athlete's muscle state can be effectively evaluated.")</f>
        <v>The present invention disclosed a systematic motion evaluation system based on AI artificial intelligence, including athlete capture modules, AI artificial intelligence and monitoring platforms. Data records of muscle expansion and muscle power movement generated by vibration and muscle force. At the same time, the movement trajectory of the athletes' continuous behavior is recorded by capturing the system. Through AI artificial intelligence, the physical data of the athletes is recorded and analyzed, and the whole body movement is evaluated. Through AI artificial intelligence, the athlete's whole body exercise database and the existing body exercise data of the athletes are evaluated. The exercise muscle groups perform specific display and exercise volume assessment, and at the same time, the athlete's muscle state can be effectively evaluated.</v>
      </c>
      <c r="D1270" s="6" t="s">
        <v>3705</v>
      </c>
      <c r="E1270" s="4" t="str">
        <f ca="1">IFERROR(__xludf.DUMMYFUNCTION("GOOGLETRANSLATE(D1270,""auto"",""en"")"),"A systematic sports evaluation system based on AI artificial intelligence")</f>
        <v>A systematic sports evaluation system based on AI artificial intelligence</v>
      </c>
    </row>
    <row r="1271" spans="1:5" ht="15" x14ac:dyDescent="0.25">
      <c r="A1271" s="5" t="s">
        <v>3706</v>
      </c>
      <c r="B1271" s="6" t="s">
        <v>3707</v>
      </c>
      <c r="C1271" s="3" t="str">
        <f ca="1">IFERROR(__xludf.DUMMYFUNCTION("GOOGLETRANSLATE(B1271,""auto"",""en"")"),"The present invention involves a sports coaching device based on artificial intelligence. According to the motion -guiding equipment of the exercise guidance equipment of the invention, the extraction unit can generate posture data by extracting the motio"&amp;"n objects captured from the motion image capture unit captured from the image capture unit. In addition, the motion posture analysis unit can receive artificial intelligence -based posture data and infer whether the movement posture is the correct posture"&amp;". In addition, the motion guidance device of the embodiment of the present invention may also include the guidance information output unit, which is used to analyze the inference results of the output motion guidance information based on the motion postur"&amp;"e analysis unit. In this way, based on artificial intelligence, you can accurately infer whether the movement posture is correct and provide users with a suitable sports guidance information.")</f>
        <v>The present invention involves a sports coaching device based on artificial intelligence. According to the motion -guiding equipment of the exercise guidance equipment of the invention, the extraction unit can generate posture data by extracting the motion objects captured from the motion image capture unit captured from the image capture unit. In addition, the motion posture analysis unit can receive artificial intelligence -based posture data and infer whether the movement posture is the correct posture. In addition, the motion guidance device of the embodiment of the present invention may also include the guidance information output unit, which is used to analyze the inference results of the output motion guidance information based on the motion posture analysis unit. In this way, based on artificial intelligence, you can accurately infer whether the movement posture is correct and provide users with a suitable sports guidance information.</v>
      </c>
      <c r="D1271" s="6" t="s">
        <v>3708</v>
      </c>
      <c r="E1271" s="4" t="str">
        <f ca="1">IFERROR(__xludf.DUMMYFUNCTION("GOOGLETRANSLATE(D1271,""auto"",""en"")"),"Sports coaching equipment based on artificial intelligence")</f>
        <v>Sports coaching equipment based on artificial intelligence</v>
      </c>
    </row>
    <row r="1272" spans="1:5" ht="15" x14ac:dyDescent="0.25">
      <c r="A1272" s="5" t="s">
        <v>3709</v>
      </c>
      <c r="B1272" s="6" t="s">
        <v>3710</v>
      </c>
      <c r="C1272" s="3" t="str">
        <f ca="1">IFERROR(__xludf.DUMMYFUNCTION("GOOGLETRANSLATE(B1272,""auto"",""en"")"),"A sports coach device based on artificial intelligence is proposed. According to the examples of the example, the motion posture extraction unit of the motion guidance device can generate posture data by extracting motion objects captured from the motion "&amp;"image captured from the image capture unit. In addition, the motion posture analysis unit can receive artificial intelligence -based pose data and infer whether the movement posture is in the right posture. In addition, the motion guidance device of the e"&amp;"xample embodiments can be configured to include the guidance information output unit. The guidance information output unit is configured to output motion guidance information based on the inference results of the motion posture analysis unit. In this way,"&amp;" you can accurately infer whether the movement posture is correct based on artificial intelligence, so as to provide users with suitable sports guidance information.")</f>
        <v>A sports coach device based on artificial intelligence is proposed. According to the examples of the example, the motion posture extraction unit of the motion guidance device can generate posture data by extracting motion objects captured from the motion image captured from the image capture unit. In addition, the motion posture analysis unit can receive artificial intelligence -based pose data and infer whether the movement posture is in the right posture. In addition, the motion guidance device of the example embodiments can be configured to include the guidance information output unit. The guidance information output unit is configured to output motion guidance information based on the inference results of the motion posture analysis unit. In this way, you can accurately infer whether the movement posture is correct based on artificial intelligence, so as to provide users with suitable sports guidance information.</v>
      </c>
      <c r="D1272" s="6" t="s">
        <v>3711</v>
      </c>
      <c r="E1272" s="4" t="str">
        <f ca="1">IFERROR(__xludf.DUMMYFUNCTION("GOOGLETRANSLATE(D1272,""auto"",""en"")"),"Sports training device based on artificial intelligence")</f>
        <v>Sports training device based on artificial intelligence</v>
      </c>
    </row>
    <row r="1273" spans="1:5" ht="15" x14ac:dyDescent="0.25">
      <c r="A1273" s="5" t="s">
        <v>3712</v>
      </c>
      <c r="B1273" s="6" t="s">
        <v>3713</v>
      </c>
      <c r="C1273" s="3" t="str">
        <f ca="1">IFERROR(__xludf.DUMMYFUNCTION("GOOGLETRANSLATE(B1273,""auto"",""en"")"),"A portable operation and maintenance gateway based on the Internet of Things, including gateway subjects and monitoring terminals, connected to the main body of the gateway, connecting the main body of the gateway to the operation and maintenance assets; "&amp;"The data processing system creates operation and maintenance tasks for the target operation and maintenance assets and realizes operation and maintenance operations; the remote operation and maintenance page of the data processing system shows the data pr"&amp;"ocessing system, and control the data processing system Specific operation of operation and maintenance; the monitoring terminal is used to detect the operating environment of the operation and maintenance computers, and ensure the normal communication of"&amp;" operation and maintenance computers, gateway subjects, and operation and maintenance assets. During the maintenance process, real -time protection of operating and maintenance assets is achieved to prevent the effect of virus from affecting power equipme"&amp;"nt. At the same time, digital information processing of the entire operation and maintenance process has achieved the process control, centralized management of power facilities during the operation and maintenance process of the operation and maintenance"&amp;" process. Comprehensive analysis.")</f>
        <v>A portable operation and maintenance gateway based on the Internet of Things, including gateway subjects and monitoring terminals, connected to the main body of the gateway, connecting the main body of the gateway to the operation and maintenance assets; The data processing system creates operation and maintenance tasks for the target operation and maintenance assets and realizes operation and maintenance operations; the remote operation and maintenance page of the data processing system shows the data processing system, and control the data processing system Specific operation of operation and maintenance; the monitoring terminal is used to detect the operating environment of the operation and maintenance computers, and ensure the normal communication of operation and maintenance computers, gateway subjects, and operation and maintenance assets. During the maintenance process, real -time protection of operating and maintenance assets is achieved to prevent the effect of virus from affecting power equipment. At the same time, digital information processing of the entire operation and maintenance process has achieved the process control, centralized management of power facilities during the operation and maintenance process of the operation and maintenance process. Comprehensive analysis.</v>
      </c>
      <c r="D1273" s="6" t="s">
        <v>3714</v>
      </c>
      <c r="E1273" s="4" t="str">
        <f ca="1">IFERROR(__xludf.DUMMYFUNCTION("GOOGLETRANSLATE(D1273,""auto"",""en"")"),"A portable operation and maintenance gateway based on the Internet of Things")</f>
        <v>A portable operation and maintenance gateway based on the Internet of Things</v>
      </c>
    </row>
    <row r="1274" spans="1:5" ht="15" x14ac:dyDescent="0.25">
      <c r="A1274" s="5" t="s">
        <v>3715</v>
      </c>
      <c r="B1274" s="6" t="s">
        <v>3716</v>
      </c>
      <c r="C1274" s="3" t="str">
        <f ca="1">IFERROR(__xludf.DUMMYFUNCTION("GOOGLETRANSLATE(B1274,""auto"",""en"")"),"The present invention disclosed an artificial intelligence table tennis pick -up device, including chassis shells, disc carrier boards, and top plate shells. The inner cavity is connected, and the upper wall of the chassis shell is set with a disc load bo"&amp;"ard. The body, disc load and chassis shell are combined and connected together by bolts. The inner settings of the top plate shell are set up with a general console. Two parts. The artificial intelligence table tennis pick -up device, realize intelligent "&amp;"and independent search table tennis at the training venue, is more time -saving and effort than artificial search. The normal work of picking the ball device effectively improves the efficiency of work.")</f>
        <v>The present invention disclosed an artificial intelligence table tennis pick -up device, including chassis shells, disc carrier boards, and top plate shells. The inner cavity is connected, and the upper wall of the chassis shell is set with a disc load board. The body, disc load and chassis shell are combined and connected together by bolts. The inner settings of the top plate shell are set up with a general console. Two parts. The artificial intelligence table tennis pick -up device, realize intelligent and independent search table tennis at the training venue, is more time -saving and effort than artificial search. The normal work of picking the ball device effectively improves the efficiency of work.</v>
      </c>
      <c r="D1274" s="6" t="s">
        <v>3717</v>
      </c>
      <c r="E1274" s="4" t="str">
        <f ca="1">IFERROR(__xludf.DUMMYFUNCTION("GOOGLETRANSLATE(D1274,""auto"",""en"")"),"An artificial intelligence table tennis pickup device")</f>
        <v>An artificial intelligence table tennis pickup device</v>
      </c>
    </row>
    <row r="1275" spans="1:5" ht="15" x14ac:dyDescent="0.25">
      <c r="A1275" s="5" t="s">
        <v>3718</v>
      </c>
      <c r="B1275" s="6" t="s">
        <v>3719</v>
      </c>
      <c r="C1275" s="3" t="str">
        <f ca="1">IFERROR(__xludf.DUMMYFUNCTION("GOOGLETRANSLATE(B1275,""auto"",""en"")"),"The present invention has disclosed an immersive VR real -life fitness and entertainment platform. It includes: sensor attachment, with multiple sensors, which are installed on the fitness equipment and adopted a unified data standard format. Real -time d"&amp;"ata; smart devices, which are installed with interactive applications. The interactive application generates a control data; the data transmission agent includes a development package with it, which is used to encodes the control data generated by the int"&amp;"eractive application into a standard Format data and send it to the development package, which uses data encoded into a standard format and then uses it to the interactive application. The wireless interactive data devices of sports and fitness products b"&amp;"ased on the Internet of Things model provided played the role of data transmission bridge in the process of combining traditional fitness equipment, Internet of Things technology and cloud computing technology, and also adapt to the entire healthy interac"&amp;"tive sports fitness fitness The development trend of ecosystems.")</f>
        <v>The present invention has disclosed an immersive VR real -life fitness and entertainment platform. It includes: sensor attachment, with multiple sensors, which are installed on the fitness equipment and adopted a unified data standard format. Real -time data; smart devices, which are installed with interactive applications. The interactive application generates a control data; the data transmission agent includes a development package with it, which is used to encodes the control data generated by the interactive application into a standard Format data and send it to the development package, which uses data encoded into a standard format and then uses it to the interactive application. The wireless interactive data devices of sports and fitness products based on the Internet of Things model provided played the role of data transmission bridge in the process of combining traditional fitness equipment, Internet of Things technology and cloud computing technology, and also adapt to the entire healthy interactive sports fitness fitness The development trend of ecosystems.</v>
      </c>
      <c r="D1275" s="6" t="s">
        <v>3720</v>
      </c>
      <c r="E1275" s="4" t="str">
        <f ca="1">IFERROR(__xludf.DUMMYFUNCTION("GOOGLETRANSLATE(D1275,""auto"",""en"")"),"Immersive VR Real Line Fitness Entertainment Platform")</f>
        <v>Immersive VR Real Line Fitness Entertainment Platform</v>
      </c>
    </row>
    <row r="1276" spans="1:5" ht="15" x14ac:dyDescent="0.25">
      <c r="A1276" s="5" t="s">
        <v>3721</v>
      </c>
      <c r="B1276" s="6" t="s">
        <v>3722</v>
      </c>
      <c r="C1276" s="3" t="str">
        <f ca="1">IFERROR(__xludf.DUMMYFUNCTION("GOOGLETRANSLATE(B1276,""auto"",""en"")"),"A system and method that uses machine learning predictions By the Bayesian network that places the current and future competition status as the parameterized of basic machine learning models, it estimates the results of the future movement.")</f>
        <v>A system and method that uses machine learning predictions By the Bayesian network that places the current and future competition status as the parameterized of basic machine learning models, it estimates the results of the future movement.</v>
      </c>
      <c r="D1276" s="6" t="s">
        <v>3723</v>
      </c>
      <c r="E1276" s="4" t="str">
        <f ca="1">IFERROR(__xludf.DUMMYFUNCTION("GOOGLETRANSLATE(D1276,""auto"",""en"")"),"Use competition status conversion prediction results")</f>
        <v>Use competition status conversion prediction results</v>
      </c>
    </row>
    <row r="1277" spans="1:5" ht="15" x14ac:dyDescent="0.25">
      <c r="A1277" s="5" t="s">
        <v>3724</v>
      </c>
      <c r="B1277" s="6" t="s">
        <v>3725</v>
      </c>
      <c r="C1277" s="3" t="str">
        <f ca="1">IFERROR(__xludf.DUMMYFUNCTION("GOOGLETRANSLATE(B1277,""auto"",""en"")"),"A system and method that uses machine learning predictions to estimate future motion results by representing the current and future state mathematical mathematics as a Bayesian network that parameters basic machine learning models.")</f>
        <v>A system and method that uses machine learning predictions to estimate future motion results by representing the current and future state mathematical mathematics as a Bayesian network that parameters basic machine learning models.</v>
      </c>
      <c r="D1277" s="6" t="s">
        <v>3723</v>
      </c>
      <c r="E1277" s="4" t="str">
        <f ca="1">IFERROR(__xludf.DUMMYFUNCTION("GOOGLETRANSLATE(D1277,""auto"",""en"")"),"Use competition status conversion prediction results")</f>
        <v>Use competition status conversion prediction results</v>
      </c>
    </row>
    <row r="1278" spans="1:5" ht="15" x14ac:dyDescent="0.25">
      <c r="A1278" s="5" t="s">
        <v>3726</v>
      </c>
      <c r="B1278" s="6" t="s">
        <v>3727</v>
      </c>
      <c r="C1278" s="3" t="str">
        <f ca="1">IFERROR(__xludf.DUMMYFUNCTION("GOOGLETRANSLATE(B1278,""auto"",""en"")"),"A system and method that uses machine learning predictions to estimate the future movement results by the Bayesian network that places the current and future status mathematics as the parameterization of basic machine learning models.")</f>
        <v>A system and method that uses machine learning predictions to estimate the future movement results by the Bayesian network that places the current and future status mathematics as the parameterization of basic machine learning models.</v>
      </c>
      <c r="D1278" s="6" t="s">
        <v>3723</v>
      </c>
      <c r="E1278" s="4" t="str">
        <f ca="1">IFERROR(__xludf.DUMMYFUNCTION("GOOGLETRANSLATE(D1278,""auto"",""en"")"),"Use competition status conversion prediction results")</f>
        <v>Use competition status conversion prediction results</v>
      </c>
    </row>
    <row r="1279" spans="1:5" ht="15" x14ac:dyDescent="0.25">
      <c r="A1279" s="5" t="s">
        <v>3728</v>
      </c>
      <c r="B1279" s="6" t="s">
        <v>3729</v>
      </c>
      <c r="C1279" s="3" t="str">
        <f ca="1">IFERROR(__xludf.DUMMYFUNCTION("GOOGLETRANSLATE(B1279,""auto"",""en"")"),"The invention is an intelligent management and application integration innovative technology field, especially involving a seal -controlled obstetric intelligent management system, including family lobby, family district, baby swimming pool, maternal heal"&amp;"th area, maternal and infant room, childbirth room, smart nurse station, warehouse house, warehouse house , Control rooms, clinics, locker rooms, etc., through the functional creation, management model design and supporting service hardware equipment deve"&amp;"lopment of regional modules, based on the Internet of Things, big data, digital twins, audiovisual fusion and artificial intelligence technology. Some management models and physical environment have been reforming, and the comprehensive management of obst"&amp;"etrics has changed from manpower support to technology support types. Maternal and infantile family interaction; assisted medical care and family members to complete part of the work content, reducing the number of personal supporting family members and t"&amp;"he work intensity of medical staff.")</f>
        <v>The invention is an intelligent management and application integration innovative technology field, especially involving a seal -controlled obstetric intelligent management system, including family lobby, family district, baby swimming pool, maternal health area, maternal and infant room, childbirth room, smart nurse station, warehouse house, warehouse house , Control rooms, clinics, locker rooms, etc., through the functional creation, management model design and supporting service hardware equipment development of regional modules, based on the Internet of Things, big data, digital twins, audiovisual fusion and artificial intelligence technology. Some management models and physical environment have been reforming, and the comprehensive management of obstetrics has changed from manpower support to technology support types. Maternal and infantile family interaction; assisted medical care and family members to complete part of the work content, reducing the number of personal supporting family members and the work intensity of medical staff.</v>
      </c>
      <c r="D1279" s="6" t="s">
        <v>3730</v>
      </c>
      <c r="E1279" s="4" t="str">
        <f ca="1">IFERROR(__xludf.DUMMYFUNCTION("GOOGLETRANSLATE(D1279,""auto"",""en"")"),"An intelligent management system for a seal -controlled obstetric obstetrics")</f>
        <v>An intelligent management system for a seal -controlled obstetric obstetrics</v>
      </c>
    </row>
    <row r="1280" spans="1:5" ht="15" x14ac:dyDescent="0.25">
      <c r="A1280" s="5" t="s">
        <v>3731</v>
      </c>
      <c r="B1280" s="6" t="s">
        <v>3732</v>
      </c>
      <c r="C1280" s="3" t="str">
        <f ca="1">IFERROR(__xludf.DUMMYFUNCTION("GOOGLETRANSLATE(B1280,""auto"",""en"")"),"This public example involves the use of distributed ledger and the content of artificial intelligence -based transfer technology. In the example, the content is received from content distribution network (CDN) from content sources. Compared with the conte"&amp;"nt distributed by CDN, the quality of the content may be low or different. Therefore, the transfer model is recognized and used to transfer content. A variety of transcoding models can be used for different content parts to adapt to changing content types"&amp;" (such as sports sub -parts, advertising parts, etc.). Transcodes can occur at the edge node, so that the original content is transmitted in CDN, which saves resources. In addition, the content that can be cached can be cached, so that the content is need"&amp;"ed without responding to each request.")</f>
        <v>This public example involves the use of distributed ledger and the content of artificial intelligence -based transfer technology. In the example, the content is received from content distribution network (CDN) from content sources. Compared with the content distributed by CDN, the quality of the content may be low or different. Therefore, the transfer model is recognized and used to transfer content. A variety of transcoding models can be used for different content parts to adapt to changing content types (such as sports sub -parts, advertising parts, etc.). Transcodes can occur at the edge node, so that the original content is transmitted in CDN, which saves resources. In addition, the content that can be cached can be cached, so that the content is needed without responding to each request.</v>
      </c>
      <c r="D1280" s="6" t="s">
        <v>3733</v>
      </c>
      <c r="E1280" s="4" t="str">
        <f ca="1">IFERROR(__xludf.DUMMYFUNCTION("GOOGLETRANSLATE(D1280,""auto"",""en"")"),"Use distributed ledger and artificial intelligence -based transcoding technology for content delivery")</f>
        <v>Use distributed ledger and artificial intelligence -based transcoding technology for content delivery</v>
      </c>
    </row>
    <row r="1281" spans="1:5" ht="15" x14ac:dyDescent="0.25">
      <c r="A1281" s="5" t="s">
        <v>3734</v>
      </c>
      <c r="B1281" s="6" t="s">
        <v>3735</v>
      </c>
      <c r="C1281" s="3" t="str">
        <f ca="1">IFERROR(__xludf.DUMMYFUNCTION("GOOGLETRANSLATE(B1281,""auto"",""en"")"),"The examples of this disclosure involve the delivery of content using distributed ledger and AL -based code conversion technology. In the example, the content is received from content distribution network (CDN) from content sources. Compared with the cont"&amp;"ent distributed by CDN, the quality of the content may be low or different. Therefore, the transfer model is recognized and used to transfer content. A variety of transcoding models can be used for different content parts to adapt to changing content type"&amp;"s (such as sports sub -parts, advertising parts, etc.). Transcodes can occur at the edge node, so that the original content is transmitted in CDN, which saves resources. In addition, the content that can be cached can be cached, so that the content is nee"&amp;"ded without responding to each request.")</f>
        <v>The examples of this disclosure involve the delivery of content using distributed ledger and AL -based code conversion technology. In the example, the content is received from content distribution network (CDN) from content sources. Compared with the content distributed by CDN, the quality of the content may be low or different. Therefore, the transfer model is recognized and used to transfer content. A variety of transcoding models can be used for different content parts to adapt to changing content types (such as sports sub -parts, advertising parts, etc.). Transcodes can occur at the edge node, so that the original content is transmitted in CDN, which saves resources. In addition, the content that can be cached can be cached, so that the content is needed without responding to each request.</v>
      </c>
      <c r="D1281" s="6" t="s">
        <v>3733</v>
      </c>
      <c r="E1281" s="4" t="str">
        <f ca="1">IFERROR(__xludf.DUMMYFUNCTION("GOOGLETRANSLATE(D1281,""auto"",""en"")"),"Use distributed ledger and artificial intelligence -based transcoding technology for content delivery")</f>
        <v>Use distributed ledger and artificial intelligence -based transcoding technology for content delivery</v>
      </c>
    </row>
    <row r="1282" spans="1:5" ht="15" x14ac:dyDescent="0.25">
      <c r="A1282" s="5" t="s">
        <v>3736</v>
      </c>
      <c r="B1282" s="6" t="s">
        <v>3737</v>
      </c>
      <c r="C1282" s="3" t="str">
        <f ca="1">IFERROR(__xludf.DUMMYFUNCTION("GOOGLETRANSLATE(B1282,""auto"",""en"")"),"The examples of this public involve content transmission using distributed ledger and AI -based transcoding technology. In the example, the content is received from content distribution network (CDN) from content sources. Compared with the content distrib"&amp;"uted by CDN, the quality of the content may be low or different. Therefore, the transfer model is recognized and used to transfer content. Multiple transcoding models can be used for different content parts to adapt to changing content types (such as spor"&amp;"ts sub -parts, advertising parts, etc.). Transcodes can occur at the edge node, so that the original content is transmitted in CDN, thereby saving resources. In addition, the content of the transfer can be cached, so that the content does not need to be r"&amp;"esponded to each request and is transcoded.")</f>
        <v>The examples of this public involve content transmission using distributed ledger and AI -based transcoding technology. In the example, the content is received from content distribution network (CDN) from content sources. Compared with the content distributed by CDN, the quality of the content may be low or different. Therefore, the transfer model is recognized and used to transfer content. Multiple transcoding models can be used for different content parts to adapt to changing content types (such as sports sub -parts, advertising parts, etc.). Transcodes can occur at the edge node, so that the original content is transmitted in CDN, thereby saving resources. In addition, the content of the transfer can be cached, so that the content does not need to be responded to each request and is transcoded.</v>
      </c>
      <c r="D1282" s="6" t="s">
        <v>3733</v>
      </c>
      <c r="E1282" s="4" t="str">
        <f ca="1">IFERROR(__xludf.DUMMYFUNCTION("GOOGLETRANSLATE(D1282,""auto"",""en"")"),"Use distributed ledger and artificial intelligence -based transcoding technology for content delivery")</f>
        <v>Use distributed ledger and artificial intelligence -based transcoding technology for content delivery</v>
      </c>
    </row>
    <row r="1283" spans="1:5" ht="15" x14ac:dyDescent="0.25">
      <c r="A1283" s="5" t="s">
        <v>3738</v>
      </c>
      <c r="B1283" s="6" t="s">
        <v>3737</v>
      </c>
      <c r="C1283" s="3" t="str">
        <f ca="1">IFERROR(__xludf.DUMMYFUNCTION("GOOGLETRANSLATE(B1283,""auto"",""en"")"),"The examples of this public involve content transmission using distributed ledger and AI -based transcoding technology. In the example, the content is received from content distribution network (CDN) from content sources. Compared with the content distrib"&amp;"uted by CDN, the quality of the content may be low or different. Therefore, the transfer model is recognized and used to transfer content. Multiple transcoding models can be used for different content parts to adapt to changing content types (such as spor"&amp;"ts sub -parts, advertising parts, etc.). Transcodes can occur at the edge node, so that the original content is transmitted in CDN, thereby saving resources. In addition, the content of the transfer can be cached, so that the content does not need to be r"&amp;"esponded to each request and is transcoded.")</f>
        <v>The examples of this public involve content transmission using distributed ledger and AI -based transcoding technology. In the example, the content is received from content distribution network (CDN) from content sources. Compared with the content distributed by CDN, the quality of the content may be low or different. Therefore, the transfer model is recognized and used to transfer content. Multiple transcoding models can be used for different content parts to adapt to changing content types (such as sports sub -parts, advertising parts, etc.). Transcodes can occur at the edge node, so that the original content is transmitted in CDN, thereby saving resources. In addition, the content of the transfer can be cached, so that the content does not need to be responded to each request and is transcoded.</v>
      </c>
      <c r="D1283" s="6" t="s">
        <v>3733</v>
      </c>
      <c r="E1283" s="4" t="str">
        <f ca="1">IFERROR(__xludf.DUMMYFUNCTION("GOOGLETRANSLATE(D1283,""auto"",""en"")"),"Use distributed ledger and artificial intelligence -based transcoding technology for content delivery")</f>
        <v>Use distributed ledger and artificial intelligence -based transcoding technology for content delivery</v>
      </c>
    </row>
    <row r="1284" spans="1:5" ht="15" x14ac:dyDescent="0.25">
      <c r="A1284" s="5" t="s">
        <v>3739</v>
      </c>
      <c r="B1284" s="6" t="s">
        <v>3735</v>
      </c>
      <c r="C1284" s="3" t="str">
        <f ca="1">IFERROR(__xludf.DUMMYFUNCTION("GOOGLETRANSLATE(B1284,""auto"",""en"")"),"The examples of this disclosure involve the delivery of content using distributed ledger and AL -based code conversion technology. In the example, the content is received from content distribution network (CDN) from content sources. Compared with the cont"&amp;"ent distributed by CDN, the quality of the content may be low or different. Therefore, the transfer model is recognized and used to transfer content. A variety of transcoding models can be used for different content parts to adapt to changing content type"&amp;"s (such as sports sub -parts, advertising parts, etc.). Transcodes can occur at the edge node, so that the original content is transmitted in CDN, which saves resources. In addition, the content that can be cached can be cached, so that the content is nee"&amp;"ded without responding to each request.")</f>
        <v>The examples of this disclosure involve the delivery of content using distributed ledger and AL -based code conversion technology. In the example, the content is received from content distribution network (CDN) from content sources. Compared with the content distributed by CDN, the quality of the content may be low or different. Therefore, the transfer model is recognized and used to transfer content. A variety of transcoding models can be used for different content parts to adapt to changing content types (such as sports sub -parts, advertising parts, etc.). Transcodes can occur at the edge node, so that the original content is transmitted in CDN, which saves resources. In addition, the content that can be cached can be cached, so that the content is needed without responding to each request.</v>
      </c>
      <c r="D1284" s="6" t="s">
        <v>3733</v>
      </c>
      <c r="E1284" s="4" t="str">
        <f ca="1">IFERROR(__xludf.DUMMYFUNCTION("GOOGLETRANSLATE(D1284,""auto"",""en"")"),"Use distributed ledger and artificial intelligence -based transcoding technology for content delivery")</f>
        <v>Use distributed ledger and artificial intelligence -based transcoding technology for content delivery</v>
      </c>
    </row>
    <row r="1285" spans="1:5" ht="15" x14ac:dyDescent="0.25">
      <c r="A1285" s="5" t="s">
        <v>3740</v>
      </c>
      <c r="B1285" s="6" t="s">
        <v>3735</v>
      </c>
      <c r="C1285" s="3" t="str">
        <f ca="1">IFERROR(__xludf.DUMMYFUNCTION("GOOGLETRANSLATE(B1285,""auto"",""en"")"),"The examples of this disclosure involve the delivery of content using distributed ledger and AL -based code conversion technology. In the example, the content is received from content distribution network (CDN) from content sources. Compared with the cont"&amp;"ent distributed by CDN, the quality of the content may be low or different. Therefore, the transfer model is recognized and used to transfer content. A variety of transcoding models can be used for different content parts to adapt to changing content type"&amp;"s (such as sports sub -parts, advertising parts, etc.). Transcodes can occur at the edge node, so that the original content is transmitted in CDN, which saves resources. In addition, the content that can be cached can be cached, so that the content is nee"&amp;"ded without responding to each request.")</f>
        <v>The examples of this disclosure involve the delivery of content using distributed ledger and AL -based code conversion technology. In the example, the content is received from content distribution network (CDN) from content sources. Compared with the content distributed by CDN, the quality of the content may be low or different. Therefore, the transfer model is recognized and used to transfer content. A variety of transcoding models can be used for different content parts to adapt to changing content types (such as sports sub -parts, advertising parts, etc.). Transcodes can occur at the edge node, so that the original content is transmitted in CDN, which saves resources. In addition, the content that can be cached can be cached, so that the content is needed without responding to each request.</v>
      </c>
      <c r="D1285" s="6" t="s">
        <v>3733</v>
      </c>
      <c r="E1285" s="4" t="str">
        <f ca="1">IFERROR(__xludf.DUMMYFUNCTION("GOOGLETRANSLATE(D1285,""auto"",""en"")"),"Use distributed ledger and artificial intelligence -based transcoding technology for content delivery")</f>
        <v>Use distributed ledger and artificial intelligence -based transcoding technology for content delivery</v>
      </c>
    </row>
    <row r="1286" spans="1:5" ht="15" x14ac:dyDescent="0.25">
      <c r="A1286" s="5" t="s">
        <v>3741</v>
      </c>
      <c r="B1286" s="6" t="s">
        <v>3742</v>
      </c>
      <c r="C1286" s="3" t="str">
        <f ca="1">IFERROR(__xludf.DUMMYFUNCTION("GOOGLETRANSLATE(B1286,""auto"",""en"")"),"One tracking system includes multiple tape nodes. Each tape node includes battery, short -range wireless interface, processor and storage liquid operating system (OS) memory. This operating system has a machine readable instruction. When the processor exe"&amp;"cutes it The processor receives at least one goal task for defining the tape node in the tape node. The tape node acts as the main agent of the tracking system to complete each of each of the tasks defined by the task. The power management of the battery "&amp;"is used to complete the task. The system entrusts the task to another node of the tracking system to reduce power consumption; [0260] performs the second task received from the second node, and the tape node is used as a subordinate node in response to th"&amp;"e second task.")</f>
        <v>One tracking system includes multiple tape nodes. Each tape node includes battery, short -range wireless interface, processor and storage liquid operating system (OS) memory. This operating system has a machine readable instruction. When the processor executes it The processor receives at least one goal task for defining the tape node in the tape node. The tape node acts as the main agent of the tracking system to complete each of each of the tasks defined by the task. The power management of the battery is used to complete the task. The system entrusts the task to another node of the tracking system to reduce power consumption; [0260] performs the second task received from the second node, and the tape node is used as a subordinate node in response to the second task.</v>
      </c>
      <c r="D1286" s="6" t="s">
        <v>3743</v>
      </c>
      <c r="E1286" s="4" t="str">
        <f ca="1">IFERROR(__xludf.DUMMYFUNCTION("GOOGLETRANSLATE(D1286,""auto"",""en"")"),"Industrial Internet of Things distributed intelligent software")</f>
        <v>Industrial Internet of Things distributed intelligent software</v>
      </c>
    </row>
    <row r="1287" spans="1:5" ht="15" x14ac:dyDescent="0.25">
      <c r="A1287" s="5" t="s">
        <v>3744</v>
      </c>
      <c r="B1287" s="6" t="s">
        <v>3745</v>
      </c>
      <c r="C1287" s="3" t="str">
        <f ca="1">IFERROR(__xludf.DUMMYFUNCTION("GOOGLETRANSLATE(B1287,""auto"",""en"")"),"One tracking system includes multiple tape nodes. Each tape node includes a battery, short -range wireless interface, processor and storage liquid operating system (OS) memory. This operating system has a machine readable instruction. When the processor i"&amp;"s executed, it is executed by the processor. The processor receives at least one goal task that defines the tape node in the tape node. The tape node acts as the main agent of the tracking system to complete each of each of the tasks defined by the task. "&amp;"The operating system entrusts the task to another node of the tracking system to reduce power consumption; perform the second task received from the second node, and the tape node responds to the second task as a subordinate node.")</f>
        <v>One tracking system includes multiple tape nodes. Each tape node includes a battery, short -range wireless interface, processor and storage liquid operating system (OS) memory. This operating system has a machine readable instruction. When the processor is executed, it is executed by the processor. The processor receives at least one goal task that defines the tape node in the tape node. The tape node acts as the main agent of the tracking system to complete each of each of the tasks defined by the task. The operating system entrusts the task to another node of the tracking system to reduce power consumption; perform the second task received from the second node, and the tape node responds to the second task as a subordinate node.</v>
      </c>
      <c r="D1287" s="6" t="s">
        <v>3743</v>
      </c>
      <c r="E1287" s="4" t="str">
        <f ca="1">IFERROR(__xludf.DUMMYFUNCTION("GOOGLETRANSLATE(D1287,""auto"",""en"")"),"Industrial Internet of Things distributed intelligent software")</f>
        <v>Industrial Internet of Things distributed intelligent software</v>
      </c>
    </row>
    <row r="1288" spans="1:5" ht="15" x14ac:dyDescent="0.25">
      <c r="A1288" s="5" t="s">
        <v>3746</v>
      </c>
      <c r="B1288" s="6" t="s">
        <v>518</v>
      </c>
      <c r="C1288" s="3" t="str">
        <f ca="1">IFERROR(__xludf.DUMMYFUNCTION("GOOGLETRANSLATE(B1288,""auto"",""en"")"),"-")</f>
        <v>-</v>
      </c>
      <c r="D1288" s="6" t="s">
        <v>1378</v>
      </c>
      <c r="E1288" s="4" t="str">
        <f ca="1">IFERROR(__xludf.DUMMYFUNCTION("GOOGLETRANSLATE(D1288,""auto"",""en"")"),"Artificial Intelligence Auxiliary Sports Live Data Quality Guarantee")</f>
        <v>Artificial Intelligence Auxiliary Sports Live Data Quality Guarantee</v>
      </c>
    </row>
    <row r="1289" spans="1:5" ht="15" x14ac:dyDescent="0.25">
      <c r="A1289" s="5" t="s">
        <v>3747</v>
      </c>
      <c r="B1289" s="6" t="s">
        <v>3742</v>
      </c>
      <c r="C1289" s="3" t="str">
        <f ca="1">IFERROR(__xludf.DUMMYFUNCTION("GOOGLETRANSLATE(B1289,""auto"",""en"")"),"One tracking system includes multiple tape nodes. Each tape node includes battery, short -range wireless interface, processor and storage liquid operating system (OS) memory. This operating system has a machine readable instruction. When the processor exe"&amp;"cutes it The processor receives at least one goal task for defining the tape node in the tape node. The tape node acts as the main agent of the tracking system to complete each of each of the tasks defined by the task. The power management of the battery "&amp;"is used to complete the task. The system entrusts the task to another node of the tracking system to reduce power consumption; [0260] performs the second task received from the second node, and the tape node is used as a subordinate node in response to th"&amp;"e second task.")</f>
        <v>One tracking system includes multiple tape nodes. Each tape node includes battery, short -range wireless interface, processor and storage liquid operating system (OS) memory. This operating system has a machine readable instruction. When the processor executes it The processor receives at least one goal task for defining the tape node in the tape node. The tape node acts as the main agent of the tracking system to complete each of each of the tasks defined by the task. The power management of the battery is used to complete the task. The system entrusts the task to another node of the tracking system to reduce power consumption; [0260] performs the second task received from the second node, and the tape node is used as a subordinate node in response to the second task.</v>
      </c>
      <c r="D1289" s="6" t="s">
        <v>3748</v>
      </c>
      <c r="E1289" s="4" t="str">
        <f ca="1">IFERROR(__xludf.DUMMYFUNCTION("GOOGLETRANSLATE(D1289,""auto"",""en"")"),"Distributed intelligent software for the Industrial Internet of Things")</f>
        <v>Distributed intelligent software for the Industrial Internet of Things</v>
      </c>
    </row>
    <row r="1290" spans="1:5" ht="15" x14ac:dyDescent="0.25">
      <c r="A1290" s="5" t="s">
        <v>3749</v>
      </c>
      <c r="B1290" s="6" t="s">
        <v>3742</v>
      </c>
      <c r="C1290" s="3" t="str">
        <f ca="1">IFERROR(__xludf.DUMMYFUNCTION("GOOGLETRANSLATE(B1290,""auto"",""en"")"),"One tracking system includes multiple tape nodes. Each tape node includes battery, short -range wireless interface, processor and storage liquid operating system (OS) memory. This operating system has a machine readable instruction. When the processor exe"&amp;"cutes it The processor receives at least one goal task for defining the tape node in the tape node. The tape node acts as the main agent of the tracking system to complete each of each of the tasks defined by the task. The power management of the battery "&amp;"is used to complete the task. The system entrusts the task to another node of the tracking system to reduce power consumption; [0260] performs the second task received from the second node, and the tape node is used as a subordinate node in response to th"&amp;"e second task.")</f>
        <v>One tracking system includes multiple tape nodes. Each tape node includes battery, short -range wireless interface, processor and storage liquid operating system (OS) memory. This operating system has a machine readable instruction. When the processor executes it The processor receives at least one goal task for defining the tape node in the tape node. The tape node acts as the main agent of the tracking system to complete each of each of the tasks defined by the task. The power management of the battery is used to complete the task. The system entrusts the task to another node of the tracking system to reduce power consumption; [0260] performs the second task received from the second node, and the tape node is used as a subordinate node in response to the second task.</v>
      </c>
      <c r="D1290" s="6" t="s">
        <v>3743</v>
      </c>
      <c r="E1290" s="4" t="str">
        <f ca="1">IFERROR(__xludf.DUMMYFUNCTION("GOOGLETRANSLATE(D1290,""auto"",""en"")"),"Industrial Internet of Things distributed intelligent software")</f>
        <v>Industrial Internet of Things distributed intelligent software</v>
      </c>
    </row>
    <row r="1291" spans="1:5" ht="15" x14ac:dyDescent="0.25">
      <c r="A1291" s="5" t="s">
        <v>3750</v>
      </c>
      <c r="B1291" s="6" t="s">
        <v>3751</v>
      </c>
      <c r="C1291" s="3" t="str">
        <f ca="1">IFERROR(__xludf.DUMMYFUNCTION("GOOGLETRANSLATE(B1291,""auto"",""en"")"),"Athlete's physical health assessment and injury assessment have a great impact, because their injuries will reduce the performance of the team in the tire competition and lose their income. Some external factors that need to be considered are the design, "&amp;"environmental temperature, competition time, training workload, weather, etc. Some internal factors are age, previous injuries, etc. Athletes may face muscle pain, brain vibration, and ankle sprains during training. Therefore, the player's input image is "&amp;"collected and prepared. Feature extraction is performed on the complex data on the large and vitamin space. Then send it to the cloud through the gateway. Artificial intelligence with machine learning is used to predict acute and subacute damage. Then eva"&amp;"luate it to identify risk factors. From the perspective of visual information, appropriate medical experts must take care of the athlete to treat their injuries.")</f>
        <v>Athlete's physical health assessment and injury assessment have a great impact, because their injuries will reduce the performance of the team in the tire competition and lose their income. Some external factors that need to be considered are the design, environmental temperature, competition time, training workload, weather, etc. Some internal factors are age, previous injuries, etc. Athletes may face muscle pain, brain vibration, and ankle sprains during training. Therefore, the player's input image is collected and prepared. Feature extraction is performed on the complex data on the large and vitamin space. Then send it to the cloud through the gateway. Artificial intelligence with machine learning is used to predict acute and subacute damage. Then evaluate it to identify risk factors. From the perspective of visual information, appropriate medical experts must take care of the athlete to treat their injuries.</v>
      </c>
      <c r="D1291" s="6" t="s">
        <v>3752</v>
      </c>
      <c r="E1291" s="4" t="str">
        <f ca="1">IFERROR(__xludf.DUMMYFUNCTION("GOOGLETRANSLATE(D1291,""auto"",""en"")"),"Use artificial intelligence automation body evaluation and sports injury assessment")</f>
        <v>Use artificial intelligence automation body evaluation and sports injury assessment</v>
      </c>
    </row>
    <row r="1292" spans="1:5" ht="15" x14ac:dyDescent="0.25">
      <c r="A1292" s="5" t="s">
        <v>3753</v>
      </c>
      <c r="B1292" s="6" t="s">
        <v>3754</v>
      </c>
      <c r="C1292" s="3" t="str">
        <f ca="1">IFERROR(__xludf.DUMMYFUNCTION("GOOGLETRANSLATE(B1292,""auto"",""en"")"),"Team athlete's team sports prediction prediction is a challenging task, because each athlete in the team has different behaviors and sports modes during the group observation and competitions in the group. Data can be input and sensor input to collect and"&amp;" pre -processing. In the team's dynamic movement, and events such as fouls, shooting, opportunities, passing, etc., all records were recorded in time sequences. Extract features through gateways and store them in the clouds. Artificial intelligence deploy"&amp;"ment with machine learning is on high -dimensional data, which is used to discover the group model of cluster algorithms to group similar events, classification for learning, and the return of the behavior of members of related teams. From the visualizati"&amp;"on of forecasting and learning models, coaches can analyze their team's strength and allow their team players to prepare for the game.")</f>
        <v>Team athlete's team sports prediction prediction is a challenging task, because each athlete in the team has different behaviors and sports modes during the group observation and competitions in the group. Data can be input and sensor input to collect and pre -processing. In the team's dynamic movement, and events such as fouls, shooting, opportunities, passing, etc., all records were recorded in time sequences. Extract features through gateways and store them in the clouds. Artificial intelligence deployment with machine learning is on high -dimensional data, which is used to discover the group model of cluster algorithms to group similar events, classification for learning, and the return of the behavior of members of related teams. From the visualization of forecasting and learning models, coaches can analyze their team's strength and allow their team players to prepare for the game.</v>
      </c>
      <c r="D1292" s="6" t="s">
        <v>3755</v>
      </c>
      <c r="E1292" s="4" t="str">
        <f ca="1">IFERROR(__xludf.DUMMYFUNCTION("GOOGLETRANSLATE(D1292,""auto"",""en"")"),"Collective movement prediction and learning model of team movement")</f>
        <v>Collective movement prediction and learning model of team movement</v>
      </c>
    </row>
    <row r="1293" spans="1:5" ht="15" x14ac:dyDescent="0.25">
      <c r="A1293" s="5" t="s">
        <v>3756</v>
      </c>
      <c r="B1293" s="6" t="s">
        <v>3757</v>
      </c>
      <c r="C1293" s="3" t="str">
        <f ca="1">IFERROR(__xludf.DUMMYFUNCTION("GOOGLETRANSLATE(B1293,""auto"",""en"")"),"A system of betting on the results of live sports events. The system also includes the use of artificial intelligence to balance the amount of bets, to encourage gamers to undergo more bets, eventually win more profits and get greater gamers' user base. T"&amp;"his enables the system to reduce the profit in front of the eyes to exchange for the long -term profits brought by greater market share.")</f>
        <v>A system of betting on the results of live sports events. The system also includes the use of artificial intelligence to balance the amount of bets, to encourage gamers to undergo more bets, eventually win more profits and get greater gamers' user base. This enables the system to reduce the profit in front of the eyes to exchange for the long -term profits brought by greater market share.</v>
      </c>
      <c r="D1293" s="6" t="s">
        <v>3758</v>
      </c>
      <c r="E1293" s="4" t="str">
        <f ca="1">IFERROR(__xludf.DUMMYFUNCTION("GOOGLETRANSLATE(D1293,""auto"",""en"")"),"AI sports betting algorithm engine")</f>
        <v>AI sports betting algorithm engine</v>
      </c>
    </row>
    <row r="1294" spans="1:5" ht="15" x14ac:dyDescent="0.25">
      <c r="A1294" s="5" t="s">
        <v>3759</v>
      </c>
      <c r="B1294" s="6" t="s">
        <v>3760</v>
      </c>
      <c r="C1294" s="3" t="str">
        <f ca="1">IFERROR(__xludf.DUMMYFUNCTION("GOOGLETRANSLATE(B1294,""auto"",""en"")"),"Examples of this application provide a method and system based on face recognition and skeletal algorithm to realize smart runways. This method includes: set a camera at the entrance of the runway, shoot the face images and whole body images of entering p"&amp;"ersonnel in real time, obtain monitoring image data; analyze the face image of the face, predict the age and gender of the personnel through the face recognition algorithm; analyze the institute; analysis institute Describes the whole body image, the medi"&amp;"cal examination information of the personnel is predicted through the bone algorithm, which includes at least gender, height, weight, blood pressure, and heartbeat information; the gender and personnel predicted by the face recognition algorithm When the "&amp;"gender matching degree exceeds the preset threshold, the age, gender, height, weight, blood pressure, and heartbeat information input training will be classified to classify neural networks. According to the results of the classification, the running trai"&amp;"ning methods of the personnel are recommended and displayed. When the present invention can make suggestions for running training in a timely manner, accurate, and scientifically to improve the user experience in a timely manner and science.")</f>
        <v>Examples of this application provide a method and system based on face recognition and skeletal algorithm to realize smart runways. This method includes: set a camera at the entrance of the runway, shoot the face images and whole body images of entering personnel in real time, obtain monitoring image data; analyze the face image of the face, predict the age and gender of the personnel through the face recognition algorithm; analyze the institute; analysis institute Describes the whole body image, the medical examination information of the personnel is predicted through the bone algorithm, which includes at least gender, height, weight, blood pressure, and heartbeat information; the gender and personnel predicted by the face recognition algorithm When the gender matching degree exceeds the preset threshold, the age, gender, height, weight, blood pressure, and heartbeat information input training will be classified to classify neural networks. According to the results of the classification, the running training methods of the personnel are recommended and displayed. When the present invention can make suggestions for running training in a timely manner, accurate, and scientifically to improve the user experience in a timely manner and science.</v>
      </c>
      <c r="D1294" s="6" t="s">
        <v>3761</v>
      </c>
      <c r="E1294" s="4" t="str">
        <f ca="1">IFERROR(__xludf.DUMMYFUNCTION("GOOGLETRANSLATE(D1294,""auto"",""en"")"),"A method and system based on face recognition and skeletal algorithm to realize intelligent runways")</f>
        <v>A method and system based on face recognition and skeletal algorithm to realize intelligent runways</v>
      </c>
    </row>
    <row r="1295" spans="1:5" ht="15" x14ac:dyDescent="0.25">
      <c r="A1295" s="5" t="s">
        <v>3762</v>
      </c>
      <c r="B1295" s="6" t="s">
        <v>3763</v>
      </c>
      <c r="C1295" s="3" t="str">
        <f ca="1">IFERROR(__xludf.DUMMYFUNCTION("GOOGLETRANSLATE(B1295,""auto"",""en"")"),"Examples of this application provide a method and system based on the Internet of Things, unsproter identification, and AI identification of smart fitness methods and systems. This method includes: set RFID card reader at the entrance of the community fit"&amp;"ness area, read the basic information of the personnel entering the fitness area, set multiple cameras in different locations in the community fitness area, and take the face image and whole body image of the target personnel in real time. Monitor image d"&amp;"ata; use millimeter wave radar to send multiple detection signals to the target personnel, and correspond to multiple reflexes signals; analyze the face image and systemic image of the face, and obtain the types of emoticons and fitness movements through "&amp;"the AI ​​algorithm; , Get the heart rate curve chart; the age, gender, height, weight, emoticon type, fitness movement, heart rate curve diagram of the extracting personnel, and input the trained convolutional neural network to classify the fitness types "&amp;"of the target personnel; according to the classification results; according to the classification results Recommend and show the optimization methods of personnel. This application can provide scientific and effective fitness training methods for various "&amp;"fitness personnel.")</f>
        <v>Examples of this application provide a method and system based on the Internet of Things, unsproter identification, and AI identification of smart fitness methods and systems. This method includes: set RFID card reader at the entrance of the community fitness area, read the basic information of the personnel entering the fitness area, set multiple cameras in different locations in the community fitness area, and take the face image and whole body image of the target personnel in real time. Monitor image data; use millimeter wave radar to send multiple detection signals to the target personnel, and correspond to multiple reflexes signals; analyze the face image and systemic image of the face, and obtain the types of emoticons and fitness movements through the AI ​​algorithm; , Get the heart rate curve chart; the age, gender, height, weight, emoticon type, fitness movement, heart rate curve diagram of the extracting personnel, and input the trained convolutional neural network to classify the fitness types of the target personnel; according to the classification results; according to the classification results Recommend and show the optimization methods of personnel. This application can provide scientific and effective fitness training methods for various fitness personnel.</v>
      </c>
      <c r="D1295" s="6" t="s">
        <v>3764</v>
      </c>
      <c r="E1295" s="4" t="str">
        <f ca="1">IFERROR(__xludf.DUMMYFUNCTION("GOOGLETRANSLATE(D1295,""auto"",""en"")"),"A method and system based on the Internet of Things, inductive identification, AI identification smart fitness method and system")</f>
        <v>A method and system based on the Internet of Things, inductive identification, AI identification smart fitness method and system</v>
      </c>
    </row>
    <row r="1296" spans="1:5" ht="15" x14ac:dyDescent="0.25">
      <c r="A1296" s="5" t="s">
        <v>3765</v>
      </c>
      <c r="B1296" s="6" t="s">
        <v>3766</v>
      </c>
      <c r="C1296" s="3" t="str">
        <f ca="1">IFERROR(__xludf.DUMMYFUNCTION("GOOGLETRANSLATE(B1296,""auto"",""en"")"),"The invention provides a volleyball trajectory detection method based on video data. From a multi -view -angle synchronous volleyball video captured by the camera, uses deep learning target detection models to effectively detect and calculate the sports t"&amp;"rajectory of volleyball. This method includes: volleyball target detection, motion trajectory matching screening, and three -dimensional reconstruction of motion trajectory; the method provided by the present invention can help the coach use the method of"&amp;" recording multi -perspective videos, make full use of the volleyball video data, effectively capture the volleyball trajectory of the sports in the video in the video. And automated the relevant parameters of the trajectory can assist the coach to improv"&amp;"e the volleyball training process. The accuracy of the ball trajectory reached 94 %, and the scope error range was only 0.2 to 0.3m.")</f>
        <v>The invention provides a volleyball trajectory detection method based on video data. From a multi -view -angle synchronous volleyball video captured by the camera, uses deep learning target detection models to effectively detect and calculate the sports trajectory of volleyball. This method includes: volleyball target detection, motion trajectory matching screening, and three -dimensional reconstruction of motion trajectory; the method provided by the present invention can help the coach use the method of recording multi -perspective videos, make full use of the volleyball video data, effectively capture the volleyball trajectory of the sports in the video in the video. And automated the relevant parameters of the trajectory can assist the coach to improve the volleyball training process. The accuracy of the ball trajectory reached 94 %, and the scope error range was only 0.2 to 0.3m.</v>
      </c>
      <c r="D1296" s="6" t="s">
        <v>3767</v>
      </c>
      <c r="E1296" s="4" t="str">
        <f ca="1">IFERROR(__xludf.DUMMYFUNCTION("GOOGLETRANSLATE(D1296,""auto"",""en"")"),"A method of volleyball trajectory with video data -based on video data")</f>
        <v>A method of volleyball trajectory with video data -based on video data</v>
      </c>
    </row>
    <row r="1297" spans="1:5" ht="15" x14ac:dyDescent="0.25">
      <c r="A1297" s="5" t="s">
        <v>3768</v>
      </c>
      <c r="B1297" s="6" t="s">
        <v>3769</v>
      </c>
      <c r="C1297" s="3" t="str">
        <f ca="1">IFERROR(__xludf.DUMMYFUNCTION("GOOGLETRANSLATE(B1297,""auto"",""en"")"),"Examples of this application provides a person with face recognition, unsophisticated identification, running posture, comprehensive method and system of expression recognition. This method includes: multiple cameras are set in different locations of the "&amp;"park runway, and the face images and systemic images of the target personnel are taken in real time to obtain monitoring image data; a millimeter wave radar is set up near each camera. Detecting signals and receiving; use the millimeter wave radar to send"&amp;" multiple detection signals to the target personnel, and correspond to the receiving multiple reflex signals; extract the age, gender, emoticon type, running posture, heart rate curve chart of the person's person, input training well In the convolutional "&amp;"neural network, the body comfort type of the target personnel is classified; according to the type of body comfort, send the corresponding information to the family personnel or park managers of the corresponding personnel. This application can accurately"&amp;" and timely monitor the state of the elderly and other people who exercise the park. When emergency situations such as physical discomfort occur, provide timely notifications or early warnings to the park managers and relatives.")</f>
        <v>Examples of this application provides a person with face recognition, unsophisticated identification, running posture, comprehensive method and system of expression recognition. This method includes: multiple cameras are set in different locations of the park runway, and the face images and systemic images of the target personnel are taken in real time to obtain monitoring image data; a millimeter wave radar is set up near each camera. Detecting signals and receiving; use the millimeter wave radar to send multiple detection signals to the target personnel, and correspond to the receiving multiple reflex signals; extract the age, gender, emoticon type, running posture, heart rate curve chart of the person's person, input training well In the convolutional neural network, the body comfort type of the target personnel is classified; according to the type of body comfort, send the corresponding information to the family personnel or park managers of the corresponding personnel. This application can accurately and timely monitor the state of the elderly and other people who exercise the park. When emergency situations such as physical discomfort occur, provide timely notifications or early warnings to the park managers and relatives.</v>
      </c>
      <c r="D1297" s="6" t="s">
        <v>3770</v>
      </c>
      <c r="E1297" s="4" t="str">
        <f ca="1">IFERROR(__xludf.DUMMYFUNCTION("GOOGLETRANSLATE(D1297,""auto"",""en"")"),"One kind of face recognition, unspoly feel recognition, run posture, comprehensive method and system of expression recognition")</f>
        <v>One kind of face recognition, unspoly feel recognition, run posture, comprehensive method and system of expression recognition</v>
      </c>
    </row>
    <row r="1298" spans="1:5" ht="15" x14ac:dyDescent="0.25">
      <c r="A1298" s="5" t="s">
        <v>3771</v>
      </c>
      <c r="B1298" s="6" t="s">
        <v>3772</v>
      </c>
      <c r="C1298" s="3" t="str">
        <f ca="1">IFERROR(__xludf.DUMMYFUNCTION("GOOGLETRANSLATE(B1298,""auto"",""en"")"),"This utility model provides a voice remote control table tennis robot, including robot body, electrical control unit, pickuper and voice recognition device; robot body includes robot wrists, elbows, shoulders and waists; electrical control units include p"&amp;"ower device, serving serve, serving serve Controller, motor drive, wrist motor, elbow motor, shoulder motor and waist motor; serving controller connect to the motor drive, the motor driver is connected to the wrist motor, elbow motor, shoulder motor, and "&amp;"waist motor; pickups and and with the waist motor; The voice recognition device is connected, the voice recognition device is connected to the serve controller; the pickuper is used to obtain the user's voice signal and sends it to the voice recognition d"&amp;"evice; the voice recognition device recognizes the voice instruction from the voice signal and sends it to the serving controller. The practical new operation is simple, convenient, and more humane; it can conduct human -machine interaction well.")</f>
        <v>This utility model provides a voice remote control table tennis robot, including robot body, electrical control unit, pickuper and voice recognition device; robot body includes robot wrists, elbows, shoulders and waists; electrical control units include power device, serving serve, serving serve Controller, motor drive, wrist motor, elbow motor, shoulder motor and waist motor; serving controller connect to the motor drive, the motor driver is connected to the wrist motor, elbow motor, shoulder motor, and waist motor; pickups and and with the waist motor; The voice recognition device is connected, the voice recognition device is connected to the serve controller; the pickuper is used to obtain the user's voice signal and sends it to the voice recognition device; the voice recognition device recognizes the voice instruction from the voice signal and sends it to the serving controller. The practical new operation is simple, convenient, and more humane; it can conduct human -machine interaction well.</v>
      </c>
      <c r="D1298" s="6" t="s">
        <v>3773</v>
      </c>
      <c r="E1298" s="4" t="str">
        <f ca="1">IFERROR(__xludf.DUMMYFUNCTION("GOOGLETRANSLATE(D1298,""auto"",""en"")"),"A voice remote control table tennis robot")</f>
        <v>A voice remote control table tennis robot</v>
      </c>
    </row>
    <row r="1299" spans="1:5" ht="15" x14ac:dyDescent="0.25">
      <c r="A1299" s="5" t="s">
        <v>3774</v>
      </c>
      <c r="B1299" s="6" t="s">
        <v>3775</v>
      </c>
      <c r="C1299" s="3" t="str">
        <f ca="1">IFERROR(__xludf.DUMMYFUNCTION("GOOGLETRANSLATE(B1299,""auto"",""en"")"),"The data analysis platform provides security access for joint data for advanced analysis and machine learning. No original data is exposed or removed from its original position, providing data privacy. The coordinator located in the provider cloud communi"&amp;"cates with the operator in the data island of each client. The runner is guaranteed to be exposed to the coordinator without primitive personal data. The tube warehouse manager is implemented in the client data tube warehouse to remotely manage and mainta"&amp;"in the client cloud component of the platform. In some embodiments, for privacy and compliance, the platform can anonymous verification models, and users can export and deploy security models outside the original data position.")</f>
        <v>The data analysis platform provides security access for joint data for advanced analysis and machine learning. No original data is exposed or removed from its original position, providing data privacy. The coordinator located in the provider cloud communicates with the operator in the data island of each client. The runner is guaranteed to be exposed to the coordinator without primitive personal data. The tube warehouse manager is implemented in the client data tube warehouse to remotely manage and maintain the client cloud component of the platform. In some embodiments, for privacy and compliance, the platform can anonymous verification models, and users can export and deploy security models outside the original data position.</v>
      </c>
      <c r="D1299" s="6" t="s">
        <v>3776</v>
      </c>
      <c r="E1299" s="4" t="str">
        <f ca="1">IFERROR(__xludf.DUMMYFUNCTION("GOOGLETRANSLATE(D1299,""auto"",""en"")"),"Joint Private Data Analysis Platform")</f>
        <v>Joint Private Data Analysis Platform</v>
      </c>
    </row>
    <row r="1300" spans="1:5" ht="15" x14ac:dyDescent="0.25">
      <c r="A1300" s="5" t="s">
        <v>3777</v>
      </c>
      <c r="B1300" s="6" t="s">
        <v>3778</v>
      </c>
      <c r="C1300" s="3" t="str">
        <f ca="1">IFERROR(__xludf.DUMMYFUNCTION("GOOGLETRANSLATE(B1300,""auto"",""en"")"),"1. Design product name: The card shape graphic user interface of the display screen panel.
 2. Design product use: The display screen panel is used to display interface content.
 3. Design of the design of the product in this exterior: lies in the dis"&amp;"play interface content.
 4. Pictures or photos that can best show design: Design 1 main view.
 5. Used to design and omit other views of the display screen panel.
 6. Specify design 1 is the basic design.
 7. The purpose of the graphical user inte"&amp;"rface: for human -machine interaction and implementation of the display screen panel, and can be used for changes in the shape of the card.
 8. Human -computer interaction method of graphical user interface: Graphic user interface can interact through a"&amp;"nd slide the graphical user interface.
 9. The change of the graphic user interface explanation: If the user clicks and slide the design 1 in the upper left corner of the main view, the interface jumps to the design 1 change status chart; The interface "&amp;"jump to the design 2 change state Figure 1. The smaller circle on the oblique line, the interface jumps to the design 2 change state Figure 3; if the user clicks and slide the circle in the upper left corner of the main view of the design 3, the interface"&amp;" jumps to the design 3 change status Figure 1. Sliding Design 3 Change Status Figure 1 The circle in the upper right corner of the right corner, the interface jumps to the design 3 change state Figure 2. Change status Figure 3, if the user clicks and slid"&amp;"e the design 3 change state. Figure 3 The smaller circle on the right side of the right side, the interface jumps to the design 3 change state figure 4.
 10. The display screen panel can be applied to computers, laptops, tablets, mobile phones, smartpho"&amp;"nes, smart phones, smart glasses, watches, smart watches, fitness monitor, headset headphones, personal digital assistants, smart speakers, TVs, TV , Monitor, projector, set -top box, game machine, navigator, display device for vehicles.")</f>
        <v>1. Design product name: The card shape graphic user interface of the display screen panel.
 2. Design product use: The display screen panel is used to display interface content.
 3. Design of the design of the product in this exterior: lies in the display interface content.
 4. Pictures or photos that can best show design: Design 1 main view.
 5. Used to design and omit other views of the display screen panel.
 6. Specify design 1 is the basic design.
 7. The purpose of the graphical user interface: for human -machine interaction and implementation of the display screen panel, and can be used for changes in the shape of the card.
 8. Human -computer interaction method of graphical user interface: Graphic user interface can interact through and slide the graphical user interface.
 9. The change of the graphic user interface explanation: If the user clicks and slide the design 1 in the upper left corner of the main view, the interface jumps to the design 1 change status chart; The interface jump to the design 2 change state Figure 1. The smaller circle on the oblique line, the interface jumps to the design 2 change state Figure 3; if the user clicks and slide the circle in the upper left corner of the main view of the design 3, the interface jumps to the design 3 change status Figure 1. Sliding Design 3 Change Status Figure 1 The circle in the upper right corner of the right corner, the interface jumps to the design 3 change state Figure 2. Change status Figure 3, if the user clicks and slide the design 3 change state. Figure 3 The smaller circle on the right side of the right side, the interface jumps to the design 3 change state figure 4.
 10. The display screen panel can be applied to computers, laptops, tablets, mobile phones, smartphones, smart phones, smart glasses, watches, smart watches, fitness monitor, headset headphones, personal digital assistants, smart speakers, TVs, TV , Monitor, projector, set -top box, game machine, navigator, display device for vehicles.</v>
      </c>
      <c r="D1300" s="6" t="s">
        <v>3779</v>
      </c>
      <c r="E1300" s="4" t="str">
        <f ca="1">IFERROR(__xludf.DUMMYFUNCTION("GOOGLETRANSLATE(D1300,""auto"",""en"")"),"Card shape graphic user interface of display screen panel")</f>
        <v>Card shape graphic user interface of display screen panel</v>
      </c>
    </row>
    <row r="1301" spans="1:5" ht="15" x14ac:dyDescent="0.25">
      <c r="A1301" s="5" t="s">
        <v>3780</v>
      </c>
      <c r="B1301" s="6" t="s">
        <v>3781</v>
      </c>
      <c r="C1301" s="3" t="str">
        <f ca="1">IFERROR(__xludf.DUMMYFUNCTION("GOOGLETRANSLATE(B1301,""auto"",""en"")"),"1. Design product name: Fitness interactive graphic user interface for display screen panels.
 2. The purpose of designing products in this exterior: This design product is used to display information and run programs. The display screen panel is used f"&amp;"or mobile phones, computers, and tablets.
 3. Design of the design of the product in this exterior: lies in the content of the graphic user interface in the screen, the display screen panel is designed with the existing. The text content in the interfac"&amp;"e is only used to indicate the content area. The text itself is not the protection content of this design.
 4. Pictures or photos that can best show design points: Figure 1 of the interface change state.
 5. The product hardware part is conventional d"&amp;"esign. The back view, left view, right view, down -view view, and retry view are omitted.
 6. The purpose of graphical user interface: The design of the product is used for entertainment interaction and fitness.
 7. Human -computer interaction method "&amp;"of graphic user interface: slide up the main view up to enter the interface change state Figure 1, click the interface change state Figure 1 Interface ""More coincidence sections"" in the middle, you can enter the interface to enter the change state Figur"&amp;"e 2. The interface change state Figure 1 The ""Start Set"" button in the interface to enter the interface change state Figure 3. When loading is completed, enter the interface change state Figure 4, click the interface change state figure 4 &amp; nbsp; on the"&amp;" right ""Start Set"" button, you can Enter the interface change state Figure 5 Start recording. When the click interface changes status Figure 5 is any position in the interface, to enter the interface change state Figure 6, click the interface change sta"&amp;"tus to the position 6 and one position, you can enter the interface change state Figure 7, click the interface changes State Figure 7 The ""Complete Set"" button in the upper right of the state can enter the interface change state Figure 8.")</f>
        <v>1. Design product name: Fitness interactive graphic user interface for display screen panels.
 2. The purpose of designing products in this exterior: This design product is used to display information and run programs. The display screen panel is used for mobile phones, computers, and tablets.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best show design points: Figure 1 of the interface change state.
 5. The product hardware part is conventional design. The back view, left view, right view, down -view view, and retry view are omitted.
 6. The purpose of graphical user interface: The design of the product is used for entertainment interaction and fitness.
 7. Human -computer interaction method of graphic user interface: slide up the main view up to enter the interface change state Figure 1, click the interface change state Figure 1 Interface "More coincidence sections" in the middle, you can enter the interface to enter the change state Figure 2. The interface change state Figure 1 The "Start Set" button in the interface to enter the interface change state Figure 3. When loading is completed, enter the interface change state Figure 4, click the interface change state figure 4 &amp; nbsp; on the right "Start Set" button, you can Enter the interface change state Figure 5 Start recording. When the click interface changes status Figure 5 is any position in the interface, to enter the interface change state Figure 6, click the interface change status to the position 6 and one position, you can enter the interface change state Figure 7, click the interface changes State Figure 7 The "Complete Set" button in the upper right of the state can enter the interface change state Figure 8.</v>
      </c>
      <c r="D1301" s="6" t="s">
        <v>3600</v>
      </c>
      <c r="E1301" s="4" t="str">
        <f ca="1">IFERROR(__xludf.DUMMYFUNCTION("GOOGLETRANSLATE(D1301,""auto"",""en"")"),"Fitness interactive graphic user interface for display screen panels")</f>
        <v>Fitness interactive graphic user interface for display screen panels</v>
      </c>
    </row>
    <row r="1302" spans="1:5" ht="15" x14ac:dyDescent="0.25">
      <c r="A1302" s="5" t="s">
        <v>3782</v>
      </c>
      <c r="B1302" s="6" t="s">
        <v>3775</v>
      </c>
      <c r="C1302" s="3" t="str">
        <f ca="1">IFERROR(__xludf.DUMMYFUNCTION("GOOGLETRANSLATE(B1302,""auto"",""en"")"),"The data analysis platform provides security access for joint data for advanced analysis and machine learning. No original data is exposed or removed from its original position, providing data privacy. The coordinator located in the provider cloud communi"&amp;"cates with the operator in the data island of each client. The runner is guaranteed to be exposed to the coordinator without primitive personal data. The tube warehouse manager is implemented in the client data tube warehouse to remotely manage and mainta"&amp;"in the client cloud component of the platform. In some embodiments, for privacy and compliance, the platform can anonymous verification models, and users can export and deploy security models outside the original data position.")</f>
        <v>The data analysis platform provides security access for joint data for advanced analysis and machine learning. No original data is exposed or removed from its original position, providing data privacy. The coordinator located in the provider cloud communicates with the operator in the data island of each client. The runner is guaranteed to be exposed to the coordinator without primitive personal data. The tube warehouse manager is implemented in the client data tube warehouse to remotely manage and maintain the client cloud component of the platform. In some embodiments, for privacy and compliance, the platform can anonymous verification models, and users can export and deploy security models outside the original data position.</v>
      </c>
      <c r="D1302" s="6" t="s">
        <v>3783</v>
      </c>
      <c r="E1302" s="4" t="str">
        <f ca="1">IFERROR(__xludf.DUMMYFUNCTION("GOOGLETRANSLATE(D1302,""auto"",""en"")"),"Analysis platform of joint private data")</f>
        <v>Analysis platform of joint private data</v>
      </c>
    </row>
    <row r="1303" spans="1:5" ht="15" x14ac:dyDescent="0.25">
      <c r="A1303" s="5" t="s">
        <v>3784</v>
      </c>
      <c r="B1303" s="6" t="s">
        <v>3785</v>
      </c>
      <c r="C1303" s="3" t="str">
        <f ca="1">IFERROR(__xludf.DUMMYFUNCTION("GOOGLETRANSLATE(B1303,""auto"",""en"")"),"The present invention involves the field of artificial intelligence and provides a method, device, equipment and medium association prediction methods, devices, equipment and media. The words concentrated in each second child are replaced with random word"&amp;"s, and the words concentrated in each third child are replaced with mask, using the replaced second sample set training bert model to obtain the predictive model, use shielding and replacement, replacement and replacement The method of filling the blank i"&amp;"s completed. Because the method of shielding and replacement is more in line with Chinese characteristics, the replacement method is diverse, which effectively improves the training effect, so that the training model obtained by training can be applied to"&amp;" the Chinese scene. The accurate prediction of correlation between data inter -data, because the training method of the model is more in line with Chinese characteristics, the accuracy of the prediction is also higher. In addition, the present invention a"&amp;"lso involves blockchain technology, predicting the model can be stored in the blockchain node.")</f>
        <v>The present invention involves the field of artificial intelligence and provides a method, device, equipment and medium association prediction methods, devices, equipment and media. The words concentrated in each second child are replaced with random words, and the words concentrated in each third child are replaced with mask, using the replaced second sample set training bert model to obtain the predictive model, use shielding and replacement, replacement and replacement The method of filling the blank is completed. Because the method of shielding and replacement is more in line with Chinese characteristics, the replacement method is diverse, which effectively improves the training effect, so that the training model obtained by training can be applied to the Chinese scene. The accurate prediction of correlation between data inter -data, because the training method of the model is more in line with Chinese characteristics, the accuracy of the prediction is also higher. In addition, the present invention also involves blockchain technology, predicting the model can be stored in the blockchain node.</v>
      </c>
      <c r="D1303" s="6" t="s">
        <v>3786</v>
      </c>
      <c r="E1303" s="4" t="str">
        <f ca="1">IFERROR(__xludf.DUMMYFUNCTION("GOOGLETRANSLATE(D1303,""auto"",""en"")"),"Algorithm competition association prediction methods, devices, equipment and media")</f>
        <v>Algorithm competition association prediction methods, devices, equipment and media</v>
      </c>
    </row>
    <row r="1304" spans="1:5" ht="15" x14ac:dyDescent="0.25">
      <c r="A1304" s="5" t="s">
        <v>3787</v>
      </c>
      <c r="B1304" s="6" t="s">
        <v>3788</v>
      </c>
      <c r="C1304" s="3" t="str">
        <f ca="1">IFERROR(__xludf.DUMMYFUNCTION("GOOGLETRANSLATE(B1304,""auto"",""en"")"),"1. The name of the product in appearance: intelligent fitness mirror.
 2. The purpose of designing products in this exterior: In the fitness field, big data collection, image collection, and human -computer interaction can be performed.
 3. Design of "&amp;"the design of the product in this appearance: lies in the shape, pattern and its combination of the product.
 4. Pictures or photos that are best to show design points: stereo drawing 1.")</f>
        <v>1. The name of the product in appearance: intelligent fitness mirror.
 2. The purpose of designing products in this exterior: In the fitness field, big data collection, image collection, and human -computer interaction can be performed.
 3. Design of the design of the product in this appearance: lies in the shape, pattern and its combination of the product.
 4. Pictures or photos that are best to show design points: stereo drawing 1.</v>
      </c>
      <c r="D1304" s="6" t="s">
        <v>3789</v>
      </c>
      <c r="E1304" s="4" t="str">
        <f ca="1">IFERROR(__xludf.DUMMYFUNCTION("GOOGLETRANSLATE(D1304,""auto"",""en"")"),"Smart fitness mirror")</f>
        <v>Smart fitness mirror</v>
      </c>
    </row>
    <row r="1305" spans="1:5" ht="15" x14ac:dyDescent="0.25">
      <c r="A1305" s="5" t="s">
        <v>3790</v>
      </c>
      <c r="B1305" s="6" t="s">
        <v>3791</v>
      </c>
      <c r="C1305" s="3" t="str">
        <f ca="1">IFERROR(__xludf.DUMMYFUNCTION("GOOGLETRANSLATE(B1305,""auto"",""en"")"),"This application disclosed the drone laser shooting system and target recognition system. Among them, the drone laser shooting system includes: a target recognition system corresponding to the target, the single machine display device corresponding to the"&amp;" target recognition system, and the corresponding target recognition system corresponding to the target recognition system UAV; drones are used to transmit lasers outside, and to send radio frequency signals to the corresponding target recognition system;"&amp;" target recognition system to obtain target images of the corresponding target according to the received RF signal, according to the target camament The image recognizes the laser shooting corresponding laser target score, determines the score display dat"&amp;"a according to the laser target score, and sends the score display data to the corresponding single -machine display device; the single machine display device is used to display the receiving performance display data. This technical solution fills the gap"&amp;" that uses drones for laser shooting. It can be applied to many scenarios such as teaching and competitions. It can be implemented in a limited space indoors according to local conditions.")</f>
        <v>This application disclosed the drone laser shooting system and target recognition system. Among them, the drone laser shooting system includes: a target recognition system corresponding to the target, the single machine display device corresponding to the target recognition system, and the corresponding target recognition system corresponding to the target recognition system UAV; drones are used to transmit lasers outside, and to send radio frequency signals to the corresponding target recognition system; target recognition system to obtain target images of the corresponding target according to the received RF signal, according to the target camament The image recognizes the laser shooting corresponding laser target score, determines the score display data according to the laser target score, and sends the score display data to the corresponding single -machine display device; the single machine display device is used to display the receiving performance display data. This technical solution fills the gap that uses drones for laser shooting. It can be applied to many scenarios such as teaching and competitions. It can be implemented in a limited space indoors according to local conditions.</v>
      </c>
      <c r="D1305" s="6" t="s">
        <v>3792</v>
      </c>
      <c r="E1305" s="4" t="str">
        <f ca="1">IFERROR(__xludf.DUMMYFUNCTION("GOOGLETRANSLATE(D1305,""auto"",""en"")"),"UAV laser shooting system and target recognition system")</f>
        <v>UAV laser shooting system and target recognition system</v>
      </c>
    </row>
    <row r="1306" spans="1:5" ht="15" x14ac:dyDescent="0.25">
      <c r="A1306" s="5" t="s">
        <v>3793</v>
      </c>
      <c r="B1306" s="6" t="s">
        <v>3794</v>
      </c>
      <c r="C1306" s="3" t="str">
        <f ca="1">IFERROR(__xludf.DUMMYFUNCTION("GOOGLETRANSLATE(B1306,""auto"",""en"")"),"The methods and systems for comparing posture, interactive physical games and remote fitness training are made public. This method and system are configured to receive the reference feature of the frame generated from the frame generated by the reference "&amp;"video. The reference feature is calculated based on the reference posture of the reference person in the frame of the reference video. Then, receiving a frame user video, the user video frame includes users. Next, by performing a computer -based computer "&amp;"visual algorithm, one or more physical key points of the user in the user video image plane are detected, and the user's posture is extracted from the frame of the user video. Finally, the user characteristics are generated according to the user's posture"&amp;"; the output score is determined according to the distance between the reference characteristics and the distance between the user characteristics.")</f>
        <v>The methods and systems for comparing posture, interactive physical games and remote fitness training are made public. This method and system are configured to receive the reference feature of the frame generated from the frame generated by the reference video. The reference feature is calculated based on the reference posture of the reference person in the frame of the reference video. Then, receiving a frame user video, the user video frame includes users. Next, by performing a computer -based computer visual algorithm, one or more physical key points of the user in the user video image plane are detected, and the user's posture is extracted from the frame of the user video. Finally, the user characteristics are generated according to the user's posture; the output score is determined according to the distance between the reference characteristics and the distance between the user characteristics.</v>
      </c>
      <c r="D1306" s="6" t="s">
        <v>3795</v>
      </c>
      <c r="E1306" s="4" t="str">
        <f ca="1">IFERROR(__xludf.DUMMYFUNCTION("GOOGLETRANSLATE(D1306,""auto"",""en"")"),"Comparison of posture of mobile computing devices systematically and methods")</f>
        <v>Comparison of posture of mobile computing devices systematically and methods</v>
      </c>
    </row>
    <row r="1307" spans="1:5" ht="15" x14ac:dyDescent="0.25">
      <c r="A1307" s="5" t="s">
        <v>3796</v>
      </c>
      <c r="B1307" s="6" t="s">
        <v>3797</v>
      </c>
      <c r="C1307" s="3" t="str">
        <f ca="1">IFERROR(__xludf.DUMMYFUNCTION("GOOGLETRANSLATE(B1307,""auto"",""en"")"),"In one embodiment, one method includes access by one or more wearable sensors from one or more players through one or more computing devices to access one or more players and optical sensor data from one or more cameras. The user sensor data includes the "&amp;"location data of the user. Players and acceleration data, the optical sensor data includes several frames depicting the players and several scenarios from sports events. One or more computing devices use machine learning model to analyze optical sensor da"&amp;"ta to identify one or more actions during athletes and sports events, and based on user sensor data and determined operations. One or more computing devices standardize the player's player indicators based on one or more weighted parameters and provide a "&amp;"report to one or more users.")</f>
        <v>In one embodiment, one method includes access by one or more wearable sensors from one or more players through one or more computing devices to access one or more players and optical sensor data from one or more cameras. The user sensor data includes the location data of the user. Players and acceleration data, the optical sensor data includes several frames depicting the players and several scenarios from sports events. One or more computing devices use machine learning model to analyze optical sensor data to identify one or more actions during athletes and sports events, and based on user sensor data and determined operations. One or more computing devices standardize the player's player indicators based on one or more weighted parameters and provide a report to one or more users.</v>
      </c>
      <c r="D1307" s="6" t="s">
        <v>3798</v>
      </c>
      <c r="E1307" s="4" t="str">
        <f ca="1">IFERROR(__xludf.DUMMYFUNCTION("GOOGLETRANSLATE(D1307,""auto"",""en"")"),"Exercise operating system")</f>
        <v>Exercise operating system</v>
      </c>
    </row>
    <row r="1308" spans="1:5" ht="15" x14ac:dyDescent="0.25">
      <c r="A1308" s="5" t="s">
        <v>3799</v>
      </c>
      <c r="B1308" s="6" t="s">
        <v>3800</v>
      </c>
      <c r="C1308" s="3" t="str">
        <f ca="1">IFERROR(__xludf.DUMMYFUNCTION("GOOGLETRANSLATE(B1308,""auto"",""en"")"),"1. The name of the product in appearance: The display screen panel (smart agriculture) with a map model graphics user interface.
 2. Design products in appearance: used to display interface.
 3. Design of the design of the product in this exterior: li"&amp;"es in the interface content of the graphic user interface in the display screen panel.
 4. Pictures or photos that can most indicate design points: main view.
 5. No design points, omit other views.
 6. The purpose of graphical user interface: Map f"&amp;"or virtual simulation software for Robosim.
 7. The area of ​​the graphical user interface in the product: the main view of the main view.
 8. Change state description of graphical user interface: The main view is the main observation interface. It ca"&amp;"n be dragged and rotated by the human -machine interaction mode to change the observation angle.
 9. Interface change state diagram diagram 1. Interface changes status diagram. 2. Interface change status diagram. 3. Interface change status Figure 4 is a"&amp;" point of the four corners of the main view of the main view and drag the observation interface displayed after different angles; According to the interface change state diagram Figure 1. The interface change state diagram diagram 2, interface change stat"&amp;"e diagram diagram 3, interface change state Figure 4 and drag to the top of the model can be returned to the main view.")</f>
        <v>1. The name of the product in appearance: The display screen panel (smart agriculture) with a map model graphics user interface.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Figure 1. The interface change state diagram diagram 2, interface change state diagram diagram 3, interface change state Figure 4 and drag to the top of the model can be returned to the main view.</v>
      </c>
      <c r="D1308" s="6" t="s">
        <v>3801</v>
      </c>
      <c r="E1308" s="4" t="str">
        <f ca="1">IFERROR(__xludf.DUMMYFUNCTION("GOOGLETRANSLATE(D1308,""auto"",""en"")"),"Display screen panel with map model graphics user interface (smart agriculture)")</f>
        <v>Display screen panel with map model graphics user interface (smart agriculture)</v>
      </c>
    </row>
    <row r="1309" spans="1:5" ht="15" x14ac:dyDescent="0.25">
      <c r="A1309" s="5" t="s">
        <v>3802</v>
      </c>
      <c r="B1309" s="6" t="s">
        <v>3803</v>
      </c>
      <c r="C1309" s="3" t="str">
        <f ca="1">IFERROR(__xludf.DUMMYFUNCTION("GOOGLETRANSLATE(B1309,""auto"",""en"")"),"1. The name of the product in appearance: The display screen panel with a map model graphical user interface (comprehensive governance).
 2. Design products in appearance: used to display interface.
 3. Design of the design of the product in this exte"&amp;"rior: lies in the interface content of the graphic user interface in the display screen panel.
 4. Pictures or photos that can most indicate design points: main view.
 5. No design points, omit other views.
 6. The purpose of graphical user interfac"&amp;"e: Map for virtual simulation software for Robosim.
 7. The area of ​​the graphical user interface in the product: the main view of the main view.
 8. Change state description of graphical user interface: The main view is the main observation interfac"&amp;"e. It can be dragged and rotated by the human -machine interaction mode to change the observation angle.
 9. Interface change state diagram diagram 1. Interface changes status diagram. 2. Interface change status diagram. 3. Interface change status Figur"&amp;"e 4 is a point of the four corners of the main view of the main view and drag the observation interface displayed after different angles; According to the interface change state diagram Figure 1. The interface change state diagram diagram 2, interface cha"&amp;"nge state diagram diagram 3, interface change state Figure 4 and drag to the top of the model can be returned to the main view.")</f>
        <v>1. The name of the product in appearance: The display screen panel with a map model graphical user interface (comprehensive governance).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Figure 1. The interface change state diagram diagram 2, interface change state diagram diagram 3, interface change state Figure 4 and drag to the top of the model can be returned to the main view.</v>
      </c>
      <c r="D1309" s="6" t="s">
        <v>3804</v>
      </c>
      <c r="E1309" s="4" t="str">
        <f ca="1">IFERROR(__xludf.DUMMYFUNCTION("GOOGLETRANSLATE(D1309,""auto"",""en"")"),"Display screen panel with map model graphics user interface (comprehensive governance)")</f>
        <v>Display screen panel with map model graphics user interface (comprehensive governance)</v>
      </c>
    </row>
    <row r="1310" spans="1:5" ht="15" x14ac:dyDescent="0.25">
      <c r="A1310" s="5" t="s">
        <v>3805</v>
      </c>
      <c r="B1310" s="6" t="s">
        <v>3806</v>
      </c>
      <c r="C1310" s="3" t="str">
        <f ca="1">IFERROR(__xludf.DUMMYFUNCTION("GOOGLETRANSLATE(B1310,""auto"",""en"")"),"1. The name of the product in appearance: The display screen panel (future infrastructure) with a map model graphics user interface.
 2. Design products in appearance: used to display interface.
 3. Design of the design of the product in this exterior"&amp;": lies in the interface content of the graphic user interface in the display screen panel.
 4. Pictures or photos that can most indicate design points: main view.
 5. No design points, omit other views.
 6. The purpose of graphical user interface: M"&amp;"ap for virtual simulation software for Robosim.
 7. The area of ​​the graphical user interface in the product: the main view of the main view.
 8. Change state description of graphical user interface: The main view is the main observation interface. I"&amp;"t can be dragged and rotated by the human -machine interaction mode to change the observation angle.
 9. Interface change state diagram diagram 1. Interface changes status diagram. 2. Interface change status diagram. 3. Interface change status Figure 4 "&amp;"is a point of the four corners of the main view of the main view and drag the observation interface displayed after different angles; According to the interface change state diagram Figure 1. The interface change state diagram diagram 2, interface change "&amp;"state diagram diagram 3, interface change state Figure 4 and drag to the top of the model can be returned to the main view.")</f>
        <v>1. The name of the product in appearance: The display screen panel (future infrastructure) with a map model graphics user interface.
 2. Design products in appearance: used to display interface.
 3. Design of the design of the product in this exterior: lies in the interface content of the graphic user interface in the display screen panel.
 4. Pictures or photos that can most indicate design points: main view.
 5. No design points, omit other views.
 6. The purpose of graphical user interface: Map for virtual simulation software for Robosim.
 7. The area of ​​the graphical user interface in the product: the main view of the main view.
 8. Change state description of graphical user interface: The main view is the main observation interface. It can be dragged and rotated by the human -machine interaction mode to change the observation angle.
 9. Interface change state diagram diagram 1. Interface changes status diagram. 2. Interface change status diagram. 3. Interface change status Figure 4 is a point of the four corners of the main view of the main view and drag the observation interface displayed after different angles; According to the interface change state diagram Figure 1. The interface change state diagram diagram 2, interface change state diagram diagram 3, interface change state Figure 4 and drag to the top of the model can be returned to the main view.</v>
      </c>
      <c r="D1310" s="6" t="s">
        <v>3807</v>
      </c>
      <c r="E1310" s="4" t="str">
        <f ca="1">IFERROR(__xludf.DUMMYFUNCTION("GOOGLETRANSLATE(D1310,""auto"",""en"")"),"Display screen panel with map model graphics user interface (future infrastructure)")</f>
        <v>Display screen panel with map model graphics user interface (future infrastructure)</v>
      </c>
    </row>
    <row r="1311" spans="1:5" ht="15" x14ac:dyDescent="0.25">
      <c r="A1311" s="5" t="s">
        <v>3808</v>
      </c>
      <c r="B1311" s="6" t="s">
        <v>3809</v>
      </c>
      <c r="C1311" s="3" t="str">
        <f ca="1">IFERROR(__xludf.DUMMYFUNCTION("GOOGLETRANSLATE(B1311,""auto"",""en"")"),"The invention disclosed a diagnosis method and device based on deep learning. According to the present invention, a processor; and the memory connected to the processor, where the brain and electrical signals obtained from multiple parts of the user are p"&amp;"re -processed, and The first feature vector of the Electrical Electrical Signal. And to receive the first feature vector of the first time before the time point of the seizures to be diagnosed with the seizure of epilepsy through the causal convolution la"&amp;"yer, extract the previous time to the current time points of each time period The second feature vector, expand the program instructions performed by the synthetic DIP storage processor, use the third feature vector after extracting the current time point"&amp;" through the multiplication layer, and use the third feature vector to determine whether there is a seizure. Provides a diagnostic device based on running epileptic seizures.")</f>
        <v>The invention disclosed a diagnosis method and device based on deep learning. According to the present invention, a processor; and the memory connected to the processor, where the brain and electrical signals obtained from multiple parts of the user are pre -processed, and The first feature vector of the Electrical Electrical Signal. And to receive the first feature vector of the first time before the time point of the seizures to be diagnosed with the seizure of epilepsy through the causal convolution layer, extract the previous time to the current time points of each time period The second feature vector, expand the program instructions performed by the synthetic DIP storage processor, use the third feature vector after extracting the current time point through the multiplication layer, and use the third feature vector to determine whether there is a seizure. Provides a diagnostic device based on running epileptic seizures.</v>
      </c>
      <c r="D1311" s="6" t="s">
        <v>3810</v>
      </c>
      <c r="E1311" s="4" t="str">
        <f ca="1">IFERROR(__xludf.DUMMYFUNCTION("GOOGLETRANSLATE(D1311,""auto"",""en"")"),"Diagnosis method and device based on deep learning")</f>
        <v>Diagnosis method and device based on deep learning</v>
      </c>
    </row>
    <row r="1312" spans="1:5" ht="15" x14ac:dyDescent="0.25">
      <c r="A1312" s="5" t="s">
        <v>3811</v>
      </c>
      <c r="B1312" s="6" t="s">
        <v>3812</v>
      </c>
      <c r="C1312" s="3" t="str">
        <f ca="1">IFERROR(__xludf.DUMMYFUNCTION("GOOGLETRANSLATE(B1312,""auto"",""en"")"),"The present invention involves a method, intelligent terminal, and system for supervising the swimming stadium, which belongs to the field of artificial intelligence regulatory technology. Methods include: S1: The flexible business time or fixed cycle man"&amp;"agement method that is suitable for swimming shop management, which is clearly distinguished from the operating status and non -operating status of the venue; S2: Smart terminal receiving configuration information, the smart terminal supports different ty"&amp;"pes of different types Hardware interface and communication protocol; S3: The intelligent terminal collection monitoring data and upload the monitoring data to the remote server; S4: The smart terminal receiving user feedback information, and based on the"&amp;" scheduled guidelines, the swimming venue is carried out according to the scheduled guidelines. Evaluation, output display, and upload evaluation results. The intelligent terminal of the present invention supports a variety of business hours of the venue,"&amp;" a variety of hardware interfaces, supports custom collection protocols, realizes adaptation with multiple monitoring equipment, completes the collection of online monitoring data and the evaluation of swimming stadiums, and uploads in real time in real t"&amp;"ime To the remote server, the data reporting and matching are accurate and timely, which can quickly connect to the supervision system, improve the efficiency of supervision and save human resources.")</f>
        <v>The present invention involves a method, intelligent terminal, and system for supervising the swimming stadium, which belongs to the field of artificial intelligence regulatory technology. Methods include: S1: The flexible business time or fixed cycle management method that is suitable for swimming shop management, which is clearly distinguished from the operating status and non -operating status of the venue; S2: Smart terminal receiving configuration information, the smart terminal supports different types of different types Hardware interface and communication protocol; S3: The intelligent terminal collection monitoring data and upload the monitoring data to the remote server; S4: The smart terminal receiving user feedback information, and based on the scheduled guidelines, the swimming venue is carried out according to the scheduled guidelines. Evaluation, output display, and upload evaluation results. The intelligent terminal of the present invention supports a variety of business hours of the venue, a variety of hardware interfaces, supports custom collection protocols, realizes adaptation with multiple monitoring equipment, completes the collection of online monitoring data and the evaluation of swimming stadiums, and uploads in real time in real time To the remote server, the data reporting and matching are accurate and timely, which can quickly connect to the supervision system, improve the efficiency of supervision and save human resources.</v>
      </c>
      <c r="D1312" s="6" t="s">
        <v>3813</v>
      </c>
      <c r="E1312" s="4" t="str">
        <f ca="1">IFERROR(__xludf.DUMMYFUNCTION("GOOGLETRANSLATE(D1312,""auto"",""en"")"),"A method, intelligent terminal, and system for monitoring swimming stadiums, smart terminals, and systems")</f>
        <v>A method, intelligent terminal, and system for monitoring swimming stadiums, smart terminals, and systems</v>
      </c>
    </row>
    <row r="1313" spans="1:5" ht="15" x14ac:dyDescent="0.25">
      <c r="A1313" s="5" t="s">
        <v>3814</v>
      </c>
      <c r="B1313" s="6" t="s">
        <v>3815</v>
      </c>
      <c r="C1313" s="3" t="str">
        <f ca="1">IFERROR(__xludf.DUMMYFUNCTION("GOOGLETRANSLATE(B1313,""auto"",""en"")"),"A six -free VR bicycle used for training for training is the field of sports engineering technology. This utility model includes curved screens, six free platforms, VR glasses, variable damping device displays, variable damping device regulators, as well "&amp;"as multi -channel signal acquisition units, data processing units, human -computer interaction units, and results display units. VR bicycles are fixed on the six -freedom platform through brackets. The display of the damping device is connected in the mid"&amp;"dle of the VR bicycle handle, which is used to display the real -time comprehensive resistance of the cyclist under the geographical characteristics of the current track. This utility model is based on immersive training based on VR technology. Six -free "&amp;"VR bicycles can enhance the real sense of the rider's real -time perception of the slope and track resistance. Can provide personalized competition training guidance to riders to effectively improve user training efficiency.")</f>
        <v>A six -free VR bicycle used for training for training is the field of sports engineering technology. This utility model includes curved screens, six free platforms, VR glasses, variable damping device displays, variable damping device regulators, as well as multi -channel signal acquisition units, data processing units, human -computer interaction units, and results display units. VR bicycles are fixed on the six -freedom platform through brackets. The display of the damping device is connected in the middle of the VR bicycle handle, which is used to display the real -time comprehensive resistance of the cyclist under the geographical characteristics of the current track. This utility model is based on immersive training based on VR technology. Six -free VR bicycles can enhance the real sense of the rider's real -time perception of the slope and track resistance. Can provide personalized competition training guidance to riders to effectively improve user training efficiency.</v>
      </c>
      <c r="D1313" s="6" t="s">
        <v>3816</v>
      </c>
      <c r="E1313" s="4" t="str">
        <f ca="1">IFERROR(__xludf.DUMMYFUNCTION("GOOGLETRANSLATE(D1313,""auto"",""en"")"),"A six -free VR bicycle for training")</f>
        <v>A six -free VR bicycle for training</v>
      </c>
    </row>
    <row r="1314" spans="1:5" ht="15" x14ac:dyDescent="0.25">
      <c r="A1314" s="5" t="s">
        <v>3817</v>
      </c>
      <c r="B1314" s="6" t="s">
        <v>3818</v>
      </c>
      <c r="C1314" s="3" t="str">
        <f ca="1">IFERROR(__xludf.DUMMYFUNCTION("GOOGLETRANSLATE(B1314,""auto"",""en"")"),"1. The name of the product of the design of the product: The media album interactive graphic user interface of the display screen panel.
 2. The purpose of designing products in this exterior: This design product is used for computers, laptops, display "&amp;"devices, communication equipment, multimedia equipment, information terminals, portable communication equipment, portable multimedia equipment, portable information terminal, tablet computer, mobile phone, intelligence, intelligence Mobile phones, wearabl"&amp;"e devices, watches, smart watches, fitness monitors, headphones, personal digital assistants, smart speakers, TV, set -top boxes, game systems, projectors, laser TV display panels, realize the media through human -computer interaction media Related featur"&amp;"es of the album.
 3. Design of the design of the product in this exterior: lies in the content of the graphic user interface in the screen.
 4. Pictures or photos that can most indicate the point of design: Design 1 interface change state Figure 1.
"&amp;" 5. The display screen panel is commonly designed, omit other views.
 6. Specify design 1 is the basic design.
 7. The purpose of the graphical user interface: The main content is the interconnection operation of the media album machine. Select differ"&amp;"ent album templates and add photos/pictures/videos according to personal preferences, and scroll playback.
 8. Human -computer interaction method of graphics user interface: Design 1 The main view is the default interface when the display screen is open"&amp;"ed, and the sliding interface/remote control selection/gesture operation. The interface is transformed from design 1 to design 1 interface change state diagram 1; selects selection; select Design 1 interface change state Figure 1 at the bottom of the albu"&amp;"m template, the interface is converted to the design 1 interface change state Figure 2.
 Design 2 main view is the default interface when the display screen is turned on, and the sliding interface/remote control selection/gesture operation. The interfac"&amp;"e is converted from the design 2 main view to design 2 interface change state. The album template, the interface is converted to the design 2 interface change state Figure 2.
 Design 3 main view is the default interface when the display screen is turned"&amp;" on. Sliding interface/remote control selection/gesture operation. The interface is converted from the design 3 main view to design 3 interface change state. The album template, the interface is converted to the design 3 interface change state Figure 2.
 "&amp;"
 Design 4 main view is the default interface when the display screen is turned on. Sliding interface/remote control selection/gesture operation. The interface is converted from the design 4 main view to design 4 interface change state. The album template"&amp;", the interface is converted to the design 4 interface change state Figure 2.
 Design 5 Main view is the default interface when the display screen is turned on. Sliding interface/remote control selection/gesture operation. The interface is converted fro"&amp;"m the design 5 main view to design 5 interface change state. Rotating time, the album can be played regularly.
 Among them, the ""gray tape"" in the interface is represented by variable pictures. When you click on any independent photo frame of the abov"&amp;"e interface, you can replace the picture/photo/video in the phase box. video.")</f>
        <v>1. The name of the product of the design of the product: The media album interactive graphic user interface of the display screen panel.
 2. The purpose of designing products in this exterior: This design product is used for computers, laptops, display devices, communication equipment, multimedia equipment, information terminals, portable communication equipment, portable multimedia equipment, portable information terminal, tablet computer, mobile phone, intelligence, intelligence Mobile phones, wearable devices, watches, smart watches, fitness monitors, headphones, personal digital assistants, smart speakers, TV, set -top boxes, game systems, projectors, laser TV display panels, realize the media through human -computer interaction media Related features of the album.
 3. Design of the design of the product in this exterior: lies in the content of the graphic user interface in the screen.
 4. Pictures or photos that can most indicate the point of design: Design 1 interface change state Figure 1.
 5. The display screen panel is commonly designed, omit other views.
 6. Specify design 1 is the basic design.
 7. The purpose of the graphical user interface: The main content is the interconnection operation of the media album machine. Select different album templates and add photos/pictures/videos according to personal preferences, and scroll playback.
 8. Human -computer interaction method of graphics user interface: Design 1 The main view is the default interface when the display screen is opened, and the sliding interface/remote control selection/gesture operation. The interface is transformed from design 1 to design 1 interface change state diagram 1; selects selection; select Design 1 interface change state Figure 1 at the bottom of the album template, the interface is converted to the design 1 interface change state Figure 2.
 Design 2 main view is the default interface when the display screen is turned on, and the sliding interface/remote control selection/gesture operation. The interface is converted from the design 2 main view to design 2 interface change state. The album template, the interface is converted to the design 2 interface change state Figure 2.
 Design 3 main view is the default interface when the display screen is turned on. Sliding interface/remote control selection/gesture operation. The interface is converted from the design 3 main view to design 3 interface change state. The album template, the interface is converted to the design 3 interface change state Figure 2.
 Design 4 main view is the default interface when the display screen is turned on. Sliding interface/remote control selection/gesture operation. The interface is converted from the design 4 main view to design 4 interface change state. The album template, the interface is converted to the design 4 interface change state Figure 2.
 Design 5 Main view is the default interface when the display screen is turned on. Sliding interface/remote control selection/gesture operation. The interface is converted from the design 5 main view to design 5 interface change state. Rotating time, the album can be played regularly.
 Among them, the "gray tape" in the interface is represented by variable pictures. When you click on any independent photo frame of the above interface, you can replace the picture/photo/video in the phase box. video.</v>
      </c>
      <c r="D1314" s="6" t="s">
        <v>3819</v>
      </c>
      <c r="E1314" s="4" t="str">
        <f ca="1">IFERROR(__xludf.DUMMYFUNCTION("GOOGLETRANSLATE(D1314,""auto"",""en"")"),"Media album interactive graphic user interface of display screen panel")</f>
        <v>Media album interactive graphic user interface of display screen panel</v>
      </c>
    </row>
    <row r="1315" spans="1:5" ht="15" x14ac:dyDescent="0.25">
      <c r="A1315" s="5" t="s">
        <v>3820</v>
      </c>
      <c r="B1315" s="6" t="s">
        <v>3821</v>
      </c>
      <c r="C1315" s="3" t="str">
        <f ca="1">IFERROR(__xludf.DUMMYFUNCTION("GOOGLETRANSLATE(B1315,""auto"",""en"")"),"1. Design product name: Clock interactive graphic user interface of the display screen panel.
 2. The purpose of designing products in this exterior: This design product is used for computers, laptops, tablets, mobile phones, smartphones, watches, smart"&amp;" watches, fitness monitor, headset headphones, personal digital assistants, smart speakers, TVs, TV The human -computer interaction of the digital clock of the display screen panel of the set -top box, projector, and laser TV.
 3. Design of the design o"&amp;"f the product in this exterior: lies in the content of the graphic user interface in the screen.
 4. Pictures or photos that can best show design: Design 1 main view.
 5. The display screen panel is commonly designed, omit other views.
 6. Specify d"&amp;"esign 1 is the basic design.
 7. The purpose of the graphical user interface: The main content is through human -computer interaction or time shift, so that the clock and time will interact with the user to feedback and improve the user's operating expe"&amp;"rience.
 8. Human -computer interaction method of graphical user interface: Design 1 The main interface of the main view is the main interface of the digital clock. The user enters the next interface by selecting the numbers or clock icons in the interf"&amp;"ace to change the digital expression form or dial form; Design 2 main view view views Design 3 main views and design 5 main views as the main interface of the digital clock. Users can enter the next interface by selecting the numbers or clock icons in the"&amp;" interface, which can change the digital expression form or dial form; the design 4 main view is the main view of the digital clock master The interface, changes over time, the interface is converted from the design 4 main view to the design 4 interface c"&amp;"hange status diagram. The pointer rotates, and the digital time is constantly changing. The interface is transformed into the design 6 interface change status diagram; the design 7 main view is the main interface of the digital clock. The state diagram, t"&amp;"he number of numbers is gradually blooming.
 Among them, the pointer of the clock rotates with the time of time, and it is advanced with time. The number of digital time areas is constantly changing. Design 1 in the interface of the main visual map inte"&amp;"rface is represented as variable pictures. Change numbers or text.")</f>
        <v>1. Design product name: Clock interactive graphic user interface of the display screen panel.
 2. The purpose of designing products in this exterior: This design product is used for computers, laptops, tablets, mobile phones, smartphones, watches, smart watches, fitness monitor, headset headphones, personal digital assistants, smart speakers, TVs, TV The human -computer interaction of the digital clock of the display screen panel of the set -top box, projector, and laser TV.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graphical user interface: The main content is through human -computer interaction or time shift, so that the clock and time will interact with the user to feedback and improve the user's operating experience.
 8. Human -computer interaction method of graphical user interface: Design 1 The main interface of the main view is the main interface of the digital clock. The user enters the next interface by selecting the numbers or clock icons in the interface to change the digital expression form or dial form; Design 2 main view view views Design 3 main views and design 5 main views as the main interface of the digital clock. Users can enter the next interface by selecting the numbers or clock icons in the interface, which can change the digital expression form or dial form; the design 4 main view is the main view of the digital clock master The interface, changes over time, the interface is converted from the design 4 main view to the design 4 interface change status diagram. The pointer rotates, and the digital time is constantly changing. The interface is transformed into the design 6 interface change status diagram; the design 7 main view is the main interface of the digital clock. The state diagram, the number of numbers is gradually blooming.
 Among them, the pointer of the clock rotates with the time of time, and it is advanced with time. The number of digital time areas is constantly changing. Design 1 in the interface of the main visual map interface is represented as variable pictures. Change numbers or text.</v>
      </c>
      <c r="D1315" s="6" t="s">
        <v>3822</v>
      </c>
      <c r="E1315" s="4" t="str">
        <f ca="1">IFERROR(__xludf.DUMMYFUNCTION("GOOGLETRANSLATE(D1315,""auto"",""en"")"),"The clock interaction graphic user interface of the display screen panel")</f>
        <v>The clock interaction graphic user interface of the display screen panel</v>
      </c>
    </row>
    <row r="1316" spans="1:5" ht="15" x14ac:dyDescent="0.25">
      <c r="A1316" s="5" t="s">
        <v>3823</v>
      </c>
      <c r="B1316" s="6" t="s">
        <v>3797</v>
      </c>
      <c r="C1316" s="3" t="str">
        <f ca="1">IFERROR(__xludf.DUMMYFUNCTION("GOOGLETRANSLATE(B1316,""auto"",""en"")"),"In one embodiment, one method includes access by one or more wearable sensors from one or more players through one or more computing devices to access one or more players and optical sensor data from one or more cameras. The user sensor data includes the "&amp;"location data of the user. Players and acceleration data, the optical sensor data includes several frames depicting the players and several scenarios from sports events. One or more computing devices use machine learning model to analyze optical sensor da"&amp;"ta to identify one or more actions during athletes and sports events, and based on user sensor data and determined operations. One or more computing devices standardize the player's player indicators based on one or more weighted parameters and provide a "&amp;"report to one or more users.")</f>
        <v>In one embodiment, one method includes access by one or more wearable sensors from one or more players through one or more computing devices to access one or more players and optical sensor data from one or more cameras. The user sensor data includes the location data of the user. Players and acceleration data, the optical sensor data includes several frames depicting the players and several scenarios from sports events. One or more computing devices use machine learning model to analyze optical sensor data to identify one or more actions during athletes and sports events, and based on user sensor data and determined operations. One or more computing devices standardize the player's player indicators based on one or more weighted parameters and provide a report to one or more users.</v>
      </c>
      <c r="D1316" s="6" t="s">
        <v>3798</v>
      </c>
      <c r="E1316" s="4" t="str">
        <f ca="1">IFERROR(__xludf.DUMMYFUNCTION("GOOGLETRANSLATE(D1316,""auto"",""en"")"),"Exercise operating system")</f>
        <v>Exercise operating system</v>
      </c>
    </row>
    <row r="1317" spans="1:5" ht="15" x14ac:dyDescent="0.25">
      <c r="A1317" s="5" t="s">
        <v>3824</v>
      </c>
      <c r="B1317" s="6" t="s">
        <v>3825</v>
      </c>
      <c r="C1317" s="3" t="str">
        <f ca="1">IFERROR(__xludf.DUMMYFUNCTION("GOOGLETRANSLATE(B1317,""auto"",""en"")"),"1. Design product name: The sound -specific interactive graphic user interface of the display screen panel.
 2. The purpose of designing products in this exterior: This design product is used for computers, laptops, tablets, mobile phones, smartphones, "&amp;"wearable devices, watches, smart watches, fitness monitor, headset headphones, smart speakers, TV, TV , Skytop box, projection equipment, projector, laser TV's display screen panel operating and display graphic user interface.
 3. Design of the design o"&amp;"f the product in this exterior: lies in the content of the graphic user interface in the screen.
 4. Pictures or photos that can most indicate design points: main view.
 5. The display screen panel is commonly designed, omit other views.
 6. The pur"&amp;"pose of the graphical user interface: The main content is to select different music dynamic cards and customize the dynamic effect of different music playback interfaces according to the user's preferences to enhance the user experience.
 7. Human -comp"&amp;"uter interaction method of graphics user interface: The main interface of the main view is the main interface of the music dynamic effect selection. When the user slides the interface/remote control selection/gesture operation, the interface is transforme"&amp;"d from the main view to the interface change state diagram. The user can slide the interface/remote control. Select/gesture to operate at arbitrarily. The selected card at the bottom of the interface will become larger. Enter the next interface by selecti"&amp;"ng the keys or icons in the interface; where the ""gray block"" in the interface is represented by variable pictures.")</f>
        <v>1. Design product name: The sound -specific interactive graphic user interface of the display screen panel.
 2. The purpose of designing products in this exterior: This design product is used for computers, laptops, tablets, mobile phones, smartphones, wearable devices, watches, smart watches, fitness monitor, headset headphones, smart speakers, TV, TV , Skytop box, projection equipment, projector, laser TV's display screen panel operating and display graphic user interface.
 3. Design of the design of the product in this exterior: lies in the content of the graphic user interface in the screen.
 4. Pictures or photos that can most indicate design points: main view.
 5. The display screen panel is commonly designed, omit other views.
 6. The purpose of the graphical user interface: The main content is to select different music dynamic cards and customize the dynamic effect of different music playback interfaces according to the user's preferences to enhance the user experience.
 7. Human -computer interaction method of graphics user interface: The main interface of the main view is the main interface of the music dynamic effect selection. When the user slides the interface/remote control selection/gesture operation, the interface is transformed from the main view to the interface change state diagram. The user can slide the interface/remote control. Select/gesture to operate at arbitrarily. The selected card at the bottom of the interface will become larger. Enter the next interface by selecting the keys or icons in the interface; where the "gray block" in the interface is represented by variable pictures.</v>
      </c>
      <c r="D1317" s="6" t="s">
        <v>3826</v>
      </c>
      <c r="E1317" s="4" t="str">
        <f ca="1">IFERROR(__xludf.DUMMYFUNCTION("GOOGLETRANSLATE(D1317,""auto"",""en"")"),"The sound special effect interactive graphic user interface of the display screen panel")</f>
        <v>The sound special effect interactive graphic user interface of the display screen panel</v>
      </c>
    </row>
    <row r="1318" spans="1:5" ht="15" x14ac:dyDescent="0.25">
      <c r="A1318" s="5" t="s">
        <v>3827</v>
      </c>
      <c r="B1318" s="6" t="s">
        <v>3828</v>
      </c>
      <c r="C1318" s="3" t="str">
        <f ca="1">IFERROR(__xludf.DUMMYFUNCTION("GOOGLETRANSLATE(B1318,""auto"",""en"")"),"1. Design product name: The graphic user interface selected by the mood background of the display screen panel.
 2. The purpose of designing products in this exterior: This design product is used for computers, laptops, tablets, mobile phones, smartphon"&amp;"es, wearable devices, watches, smart watches, fitness monitor, headset headphones, smart speakers, TV, TV The mood background of the display screen panel of the set -top box, the projector, and the laser TV loaded the operation and the display of the grap"&amp;"hical user interface.
 3. Design of the design of the product in this exterior: lies in the content of the graphic user interface in the screen.
 4. Pictures or photos that can best show design: Design 1 main view.
 5. The display screen panel is co"&amp;"mmonly designed, omit other views.
 6. Specify design 1 is the basic design.
 7. The purpose of graphic user interface: The main content is to choose different interface mood backgrounds through interactive operations according to the needs of the use"&amp;"r, and understand the relevant information of the selected artistic context and intuitive display to the user interface content.
 8. Human -computer interaction method of graphical user interface: Design 1 The main view of the main view is the main inte"&amp;"rface of the default mood background. When the user prompts the remote control to select/gesture or touch operation according to the interface, the interface is converted from design 1 to design 1 interface change state from design 1 interface change stat"&amp;"e Figure, a line of function options appear on the top, enter the next interface by selecting the keys or icons in the interface; the design 2 main view is the main interface of the default artistic context. 2 The main view is transformed into a design 2 "&amp;"interface change state diagram, displaying the details of the work, and entering the next interface by selecting the keys or icons in the interface; where the ""gray tape"" in the interface is represented by variable pictures or videos.")</f>
        <v>1. Design product name: The graphic user interface selected by the mood background of the display screen panel.
 2. The purpose of designing products in this exterior: This design product is used for computers, laptops, tablets, mobile phones, smartphones, wearable devices, watches, smart watches, fitness monitor, headset headphones, smart speakers, TV, TV The mood background of the display screen panel of the set -top box, the projector, and the laser TV loaded the operation and the display of the graphical user interface.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 user interface: The main content is to choose different interface mood backgrounds through interactive operations according to the needs of the user, and understand the relevant information of the selected artistic context and intuitive display to the user interface content.
 8. Human -computer interaction method of graphical user interface: Design 1 The main view of the main view is the main interface of the default mood background. When the user prompts the remote control to select/gesture or touch operation according to the interface, the interface is converted from design 1 to design 1 interface change state from design 1 interface change state Figure, a line of function options appear on the top, enter the next interface by selecting the keys or icons in the interface; the design 2 main view is the main interface of the default artistic context. 2 The main view is transformed into a design 2 interface change state diagram, displaying the details of the work, and entering the next interface by selecting the keys or icons in the interface; where the "gray tape" in the interface is represented by variable pictures or videos.</v>
      </c>
      <c r="D1318" s="6" t="s">
        <v>3829</v>
      </c>
      <c r="E1318" s="4" t="str">
        <f ca="1">IFERROR(__xludf.DUMMYFUNCTION("GOOGLETRANSLATE(D1318,""auto"",""en"")"),"Graphical user interface of the mood background selection of the display screen panel")</f>
        <v>Graphical user interface of the mood background selection of the display screen panel</v>
      </c>
    </row>
    <row r="1319" spans="1:5" ht="15" x14ac:dyDescent="0.25">
      <c r="A1319" s="5" t="s">
        <v>3830</v>
      </c>
      <c r="B1319" s="6" t="s">
        <v>3831</v>
      </c>
      <c r="C1319" s="3" t="str">
        <f ca="1">IFERROR(__xludf.DUMMYFUNCTION("GOOGLETRANSLATE(B1319,""auto"",""en"")"),"1. The name of the product in appearance: The interactive operation graphic user interface for display screen panels.
 2. The purpose of designing products in this exterior: This design product is used for computers, laptops, display devices, communicat"&amp;"ion equipment, multimedia equipment, information terminals, portable communication equipment, portable multimedia equipment, portable information terminal, tablet computer, mobile phone, intelligence, intelligence Mobile phones, wearable devices, watches,"&amp;" smart watches, fitness monitors, headphones, personal digital assistants, smart speakers, television, set -top boxes, game system projector, laser TV display digital time garden feedback operation functions Essence
 3. Design of the design of the produ"&amp;"ct in this exterior: lies in the content of the graphic user interface in the screen.
 4. Pictures or photos that can best show design: Design 1 main view.
 5. The display screen panel is commonly designed, omit other views.
 6. Specify design 1 is "&amp;"the basic design.
 7. The purpose of the graphic user interface: The main content is to feedback the time garden to users through interactive operations or time.
 8. Human -computer interaction method of graphical user interface: Design 1 The main vie"&amp;"w is the main interface of the time garden. When the user moves/gesture operation/remote control/clock reaches the entire point when the user is moved in front of the interface, the interface is converted from design 1 main view to design to design. 1 The"&amp;" interface changes state diagram, the flowers of the time garden bloom from half -flowering to full bloom, can also follow the user's choice of local blooming flowers and fly out of butterflies at the same time; design 2 main views as the main interface o"&amp;"f the time garden. When the user moves in front of the interface/ Gesture operation/remote control selection/clock reaches the entire point, the interface is transformed from design 2 main view to design 2 interface change state diagram. The flower of the"&amp;" time garden blooms from half -flowering to a full bloom. Come out of butterflies; design 3 main views as the main interface of time garden. When the user moves/gesture operation/remote control selection/clock reaching the entire point when the user is mo"&amp;"ved in front of the interface, the interface is transformed from the design 3 main view to the design 3 interface change state diagram. The flowers from half blooming to full bloom, can also follow the user's choice of local blooming flowers and fly out o"&amp;"f butterflies at the same time; design 4 main views as the main interface of the time garden. In the whole point, the interface is transformed from the design 4 main view to the design 4 interface change state diagram. The flowers of the time garden bloom"&amp;" from half -flowering to a full bloom. You can also follow the user's choice of local blooming flowers and fly out of the butterfly; the design 5 main view is as the main view of the main view of the main view of the main view of the view. When the main i"&amp;"nterface of time garden, when the user moves/gesture operation/remote control selection/clock reaches the entire point in front of the interface, the interface is converted from the design 5 main view to the design 5 interface changes. You can also follow"&amp;" the user's choice of local blooming flowers and fly out of the butterfly at the same time; design 6 main views as the main interface of the time garden. When the user moves/gesture operation/remote control selection/clock reaches the entire point, the in"&amp;"terface is designed 6 The main view is transformed into the design 6 interface change status map. The flowers of the time garden from half blooming to full bloom. You can also follow the user's choice of local blooming flowers and fly out of the butterfly"&amp;". The change of time changes, for example, from design 7 to design 10 main views can be the main interface corresponding to the morning, afternoon, evening, and night; where the 7 main view is the main interface of the time garden. When the user moves/ges"&amp;"tures in front of the interface Operation/remote control selection/time change, the interface is converted from the design 7 main view to the design 7 interface change status chart, the flower of the time garden blooms from half -flowering to complete blo"&amp;"om; the design 8 main view is the main interface of the time garden. When the user is in front of the interface, the user is in front of the interface. Mobile/gesture operation/remote control selection/time change. The interface is converted from the desi"&amp;"gn 8 main view to the design 8 interface change state diagram. Move/gesture operation/remote control selection/time change in front of the interface. The interface is converted from design 9 main view to design 9 interface change state diagram. When the u"&amp;"ser moves/gesture operation/remote control selection/time change in front of the interface, the interface is converted from the design 10 main view to the design 10 interface change state diagram. Turning over time, the butterfly in the interface can fly "&amp;"freely in the interface or fly with the direction of the user gesture. The number of butterflies in the interface is not limited. ""XX"" in the interface is a variable number or text.")</f>
        <v>1. The name of the product in appearance: The interactive operation graphic user interface for display screen panels.
 2. The purpose of designing products in this exterior: This design product is used for computers, laptops, display devices, communication equipment, multimedia equipment, information terminals, portable communication equipment, portable multimedia equipment, portable information terminal, tablet computer, mobile phone, intelligence, intelligence Mobile phones, wearable devices, watches, smart watches, fitness monitors, headphones, personal digital assistants, smart speakers, television, set -top boxes, game system projector, laser TV display digital time garden feedback operation functions Essence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 user interface: The main content is to feedback the time garden to users through interactive operations or time.
 8. Human -computer interaction method of graphical user interface: Design 1 The main view is the main interface of the time garden. When the user moves/gesture operation/remote control/clock reaches the entire point when the user is moved in front of the interface, the interface is converted from design 1 main view to design to design. 1 The interface changes state diagram, the flowers of the time garden bloom from half -flowering to full bloom, can also follow the user's choice of local blooming flowers and fly out of butterflies at the same time; design 2 main views as the main interface of the time garden. When the user moves in front of the interface/ Gesture operation/remote control selection/clock reaches the entire point, the interface is transformed from design 2 main view to design 2 interface change state diagram. The flower of the time garden blooms from half -flowering to a full bloom. Come out of butterflies; design 3 main views as the main interface of time garden. When the user moves/gesture operation/remote control selection/clock reaching the entire point when the user is moved in front of the interface, the interface is transformed from the design 3 main view to the design 3 interface change state diagram. The flowers from half blooming to full bloom, can also follow the user's choice of local blooming flowers and fly out of butterflies at the same time; design 4 main views as the main interface of the time garden. In the whole point, the interface is transformed from the design 4 main view to the design 4 interface change state diagram. The flowers of the time garden bloom from half -flowering to a full bloom. You can also follow the user's choice of local blooming flowers and fly out of the butterfly; the design 5 main view is as the main view of the main view of the main view of the main view of the view. When the main interface of time garden, when the user moves/gesture operation/remote control selection/clock reaches the entire point in front of the interface, the interface is converted from the design 5 main view to the design 5 interface changes. You can also follow the user's choice of local blooming flowers and fly out of the butterfly at the same time; design 6 main views as the main interface of the time garden. When the user moves/gesture operation/remote control selection/clock reaches the entire point, the interface is designed 6 The main view is transformed into the design 6 interface change status map. The flowers of the time garden from half blooming to full bloom. You can also follow the user's choice of local blooming flowers and fly out of the butterfly. The change of time changes, for example, from design 7 to design 10 main views can be the main interface corresponding to the morning, afternoon, evening, and night; where the 7 main view is the main interface of the time garden. When the user moves/gestures in front of the interface Operation/remote control selection/time change, the interface is converted from the design 7 main view to the design 7 interface change status chart, the flower of the time garden blooms from half -flowering to complete bloom; the design 8 main view is the main interface of the time garden. When the user is in front of the interface, the user is in front of the interface. Mobile/gesture operation/remote control selection/time change. The interface is converted from the design 8 main view to the design 8 interface change state diagram. Move/gesture operation/remote control selection/time change in front of the interface. The interface is converted from design 9 main view to design 9 interface change state diagram. When the user moves/gesture operation/remote control selection/time change in front of the interface, the interface is converted from the design 10 main view to the design 10 interface change state diagram. Turning over time, the butterfly in the interface can fly freely in the interface or fly with the direction of the user gesture. The number of butterflies in the interface is not limited. "XX" in the interface is a variable number or text.</v>
      </c>
      <c r="D1319" s="6" t="s">
        <v>3832</v>
      </c>
      <c r="E1319" s="4" t="str">
        <f ca="1">IFERROR(__xludf.DUMMYFUNCTION("GOOGLETRANSLATE(D1319,""auto"",""en"")"),"For interactive operation graphical user interface for display screen panel")</f>
        <v>For interactive operation graphical user interface for display screen panel</v>
      </c>
    </row>
    <row r="1320" spans="1:5" ht="15" x14ac:dyDescent="0.25">
      <c r="A1320" s="5" t="s">
        <v>3833</v>
      </c>
      <c r="B1320" s="6" t="s">
        <v>3834</v>
      </c>
      <c r="C1320" s="3" t="str">
        <f ca="1">IFERROR(__xludf.DUMMYFUNCTION("GOOGLETRANSLATE(B1320,""auto"",""en"")"),"1. Design product name: Media music interactive graphic user interface on the display screen panel.
 2. The purpose of designing products in this exterior: This design product is used for computers, laptops, tablets, mobile phones, smartphones, watches,"&amp;" smart watches, fitness monitor, wearing headphones, smart speakers, TV, set -top boxes, projection, projection The media music program operation and display graphic user interface of the display screen panel of the instrument and laser TV.
 3. Design o"&amp;"f the design of the product in this exterior: lies in the content of the graphic user interface in the screen.
 4. Pictures or photos that can best show design: Design 1 main view.
 5. The display screen panel is commonly designed, omit other views.
 "&amp;"
 6. Specify design 1 is the basic design.
 7. The purpose of the graphical user interface: The main content is to choose and play the interface of music function selection and playback, and select the selection and playback of the song by using remote "&amp;"control/gesture/touch.
 8. Human -computer interaction method of graphics user interface: Design 1 Main view to design 3 The main interface of the media music options. Users can slide/remote control/gesture operation interface, and enter the next one by"&amp;" selecting the keys or icons in the interface to enter the next one interface.")</f>
        <v>1. Design product name: Media music interactive graphic user interface on the display screen panel.
 2. The purpose of designing products in this exterior: This design product is used for computers, laptops, tablets, mobile phones, smartphones, watches, smart watches, fitness monitor, wearing headphones, smart speakers, TV, set -top boxes, projection, projection The media music program operation and display graphic user interface of the display screen panel of the instrument and laser TV.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the graphical user interface: The main content is to choose and play the interface of music function selection and playback, and select the selection and playback of the song by using remote control/gesture/touch.
 8. Human -computer interaction method of graphics user interface: Design 1 Main view to design 3 The main interface of the media music options. Users can slide/remote control/gesture operation interface, and enter the next one by selecting the keys or icons in the interface to enter the next one interface.</v>
      </c>
      <c r="D1320" s="6" t="s">
        <v>3835</v>
      </c>
      <c r="E1320" s="4" t="str">
        <f ca="1">IFERROR(__xludf.DUMMYFUNCTION("GOOGLETRANSLATE(D1320,""auto"",""en"")"),"Music interactive graphic user interface of display screen panels")</f>
        <v>Music interactive graphic user interface of display screen panels</v>
      </c>
    </row>
    <row r="1321" spans="1:5" ht="15" x14ac:dyDescent="0.25">
      <c r="A1321" s="5" t="s">
        <v>3836</v>
      </c>
      <c r="B1321" s="6" t="s">
        <v>3837</v>
      </c>
      <c r="C1321" s="3" t="str">
        <f ca="1">IFERROR(__xludf.DUMMYFUNCTION("GOOGLETRANSLATE(B1321,""auto"",""en"")"),"1. Design product name: The dynamic weather graphics user interface of the display screen panel.
 2. The purpose of designing products in this exterior: This design product is used for computers, laptops, display devices, communication equipment, multim"&amp;"edia equipment, information terminals, portable communication equipment, portable multimedia equipment, portable information terminal, tablet computer, mobile phone, intelligence, intelligence Mobile phones, wearable devices, watches, smart watches, fitne"&amp;"ss monitors, headphones, personal digital assistants, smart speakers, television, set -top boxes, game systems, projectors, laser TV panels of display screen panels operate.
 3. Design of the design of the product in this exterior: lies in the content o"&amp;"f the graphic user interface in the screen.
 4. Pictures or photos that can best show design: Design 1 main view.
 5. The display screen panel is commonly designed, omit other views.
 6. Specify design 1 is the basic design.
 7. The purpose of gra"&amp;"phical user interface: The main content is through human -computer interaction or weather/temperature changes, so that the temperature display and weather modules have interactive feedback with users to improve the user's operating experience.
 8. Human"&amp;" -computer interaction method of graphical user interface: Design 1 Main view to design 4 The main interface of dynamic weather. Users enter the next interface by selecting the temperature numbers or weather screens in the interface; design 5 main views a"&amp;"s dynamic weather The main interface of Xiaoxue, when the temperature changes, the interface is converted from the design 5 main view to the design 5 interface change state. Figure 1, the temperature number changes, when the user slides/gesture operation "&amp;"interface on the left side of the semi -circular weather ball, the entire weather ball is followed by followed The operation rotation, or the weather balls are naturally rotated naturally in a state of non -operating state. The interface is changed from t"&amp;"he design 5 interface. Figure 1 is transformed to the design 5 interface change state. 2; the main interface of the design 6 is the main interface of the haze of the dynamic weather. When the temperature When changing the interface, the interface is trans"&amp;"formed from the design 6 main view to the design 6 interface changes. Figure 1, the temperature number changes. When the user slides/gesture operation interface, the semi -circular weather ball on the left side of the interface, the entire weather ball fo"&amp;"llows the operation rotation, or the weather ball naturally rotates naturally , The interface is changed from the change of the design 6 interface. Figure 1 is transformed to the design 6 interface change state Figure 2; the design 7 main view is the main"&amp;" interface of the sandstorm in dynamic weather. Figure 1. The temperature number changes. When the user slide/gesture operation interface, the semi -circular weather ball on the left side of the interface, the entire weather ball follows the operation rot"&amp;"ation, or the weather ball is naturally rotated. The interface is changed from the design 7 interface state. Change status Figure 2; Design 8 main views is the main interface of the sunny day of dynamic weather. When the temperature changes, the interface"&amp;" is converted from the design 8 main view to the design 8 interface change state. The side semi -circular weather ball, the entire weather balloon follows the operation rotation, or the weather ball is rotated naturally. The interface is changed from the "&amp;"design 8 interface state change to the design 8 interface change state. When clicking the text/weather screen in the interface, the interface is changed from the change state of the design 9 interface. Figure 1 is transformed to the design 5 interface cha"&amp;"nge state. 2, displaying more temperature and weather information; the design 10 main view is the main interface of the heavy rain of dynamic weather. When the temperature changes, the interface is converted from the design 10 main view to the design 10 i"&amp;"nterface change state. Figure 1, the temperature number changes, when the user slides/gesture operation interface left on the left side of the semi -circular weather ball, the entire weather balls follow the operation rotation, or the weather The ball nat"&amp;"urally rotates, and the interface is changed from the change of the interface of the design 10 interface. Figure 1 is transformed to the design 10 interface change state. 2; where the weather ball is transformed with time, the weatherball can be a three -"&amp;"dimensional weatherball, or a flat weather ball, temperature, temperature, temperature, temperature, temperature, temperature, temperature, temperature, temperature, temperature, temperature, temperature, temperature The number of regions continues to cha"&amp;"nge with the temperature changes, and the temperature number is not blooming to flowering. The ""gray block"" in the interface is represented as variable pictures, and the ""xx"" in the interface is represented by variable numbers or text.")</f>
        <v>1. Design product name: The dynamic weather graphics user interface of the display screen panel.
 2. The purpose of designing products in this exterior: This design product is used for computers, laptops, display devices, communication equipment, multimedia equipment, information terminals, portable communication equipment, portable multimedia equipment, portable information terminal, tablet computer, mobile phone, intelligence, intelligence Mobile phones, wearable devices, watches, smart watches, fitness monitors, headphones, personal digital assistants, smart speakers, television, set -top boxes, game systems, projectors, laser TV panels of display screen panels operate.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The main content is through human -computer interaction or weather/temperature changes, so that the temperature display and weather modules have interactive feedback with users to improve the user's operating experience.
 8. Human -computer interaction method of graphical user interface: Design 1 Main view to design 4 The main interface of dynamic weather. Users enter the next interface by selecting the temperature numbers or weather screens in the interface; design 5 main views as dynamic weather The main interface of Xiaoxue, when the temperature changes, the interface is converted from the design 5 main view to the design 5 interface change state. Figure 1, the temperature number changes, when the user slides/gesture operation interface on the left side of the semi -circular weather ball, the entire weather ball is followed by followed The operation rotation, or the weather balls are naturally rotated naturally in a state of non -operating state. The interface is changed from the design 5 interface. Figure 1 is transformed to the design 5 interface change state. 2; the main interface of the design 6 is the main interface of the haze of the dynamic weather. When the temperature When changing the interface, the interface is transformed from the design 6 main view to the design 6 interface changes. Figure 1, the temperature number changes. When the user slides/gesture operation interface, the semi -circular weather ball on the left side of the interface, the entire weather ball follows the operation rotation, or the weather ball naturally rotates naturally , The interface is changed from the change of the design 6 interface. Figure 1 is transformed to the design 6 interface change state Figure 2; the design 7 main view is the main interface of the sandstorm in dynamic weather. Figure 1. The temperature number changes. When the user slide/gesture operation interface, the semi -circular weather ball on the left side of the interface, the entire weather ball follows the operation rotation, or the weather ball is naturally rotated. The interface is changed from the design 7 interface state. Change status Figure 2; Design 8 main views is the main interface of the sunny day of dynamic weather. When the temperature changes, the interface is converted from the design 8 main view to the design 8 interface change state. The side semi -circular weather ball, the entire weather balloon follows the operation rotation, or the weather ball is rotated naturally. The interface is changed from the design 8 interface state change to the design 8 interface change state. When clicking the text/weather screen in the interface, the interface is changed from the change state of the design 9 interface. Figure 1 is transformed to the design 5 interface change state. 2, displaying more temperature and weather information; the design 10 main view is the main interface of the heavy rain of dynamic weather. When the temperature changes, the interface is converted from the design 10 main view to the design 10 interface change state. Figure 1, the temperature number changes, when the user slides/gesture operation interface left on the left side of the semi -circular weather ball, the entire weather balls follow the operation rotation, or the weather The ball naturally rotates, and the interface is changed from the change of the interface of the design 10 interface. Figure 1 is transformed to the design 10 interface change state. 2; where the weather ball is transformed with time, the weatherball can be a three -dimensional weatherball, or a flat weather ball, temperature, temperature, temperature, temperature, temperature, temperature, temperature, temperature, temperature, temperature, temperature, temperature, temperature The number of regions continues to change with the temperature changes, and the temperature number is not blooming to flowering. The "gray block" in the interface is represented as variable pictures, and the "xx" in the interface is represented by variable numbers or text.</v>
      </c>
      <c r="D1321" s="6" t="s">
        <v>3838</v>
      </c>
      <c r="E1321" s="4" t="str">
        <f ca="1">IFERROR(__xludf.DUMMYFUNCTION("GOOGLETRANSLATE(D1321,""auto"",""en"")"),"Dynamic weather graphics user interface of display screen panel")</f>
        <v>Dynamic weather graphics user interface of display screen panel</v>
      </c>
    </row>
    <row r="1322" spans="1:5" ht="15" x14ac:dyDescent="0.25">
      <c r="A1322" s="5" t="s">
        <v>3839</v>
      </c>
      <c r="B1322" s="6" t="s">
        <v>3840</v>
      </c>
      <c r="C1322" s="3" t="str">
        <f ca="1">IFERROR(__xludf.DUMMYFUNCTION("GOOGLETRANSLATE(B1322,""auto"",""en"")"),"1. Design product name: Dynamic graphic user interface for the background of the display screen panel.
 2. The purpose of designing products in this exterior: This design product is used for computers, laptops, tablets, mobile phones, smartphones, watch"&amp;"es, smart watches, fitness monitor, wearing headphones, smart speakers, TV, set -top boxes, projection, projection The operation of the mood background of the display screen panel of the instrument and laser TV loads and the display of graphical user inte"&amp;"rface.
 3. Design of the design of the product in this exterior: lies in the content of the graphic user interface in the screen.
 4. Pictures or photos that can most indicate design points: main view.
 5. The display screen panel is commonly design"&amp;"ed, omit other views.
 6. The purpose of the graphical user interface: The main content is to choose different interface mood backgrounds through interactive operations according to the user's needs, and understand the relevant information of the select"&amp;"ed artistic background and the intuitive display to the user interface content.
 7. Human -computer interaction method of graphical user interface: The main view of the work is the details interface of the work background. When the user clicks the inter"&amp;"face operation to select the next mood interface, the interface is transformed from the main view to the interface change state. In the middle, the interface change state Figure 1 is presented by the interface change state. 2 can be presented. When the lo"&amp;"ad is loaded, it can jump to the next interface. Among them, the ""gray block"" in the interface is represented by variable pictures or videos.")</f>
        <v>1. Design product name: Dynamic graphic user interface for the background of the display screen panel.
 2. The purpose of designing products in this exterior: This design product is used for computers, laptops, tablets, mobile phones, smartphones, watches, smart watches, fitness monitor, wearing headphones, smart speakers, TV, set -top boxes, projection, projection The operation of the mood background of the display screen panel of the instrument and laser TV loads and the display of graphical user interface.
 3. Design of the design of the product in this exterior: lies in the content of the graphic user interface in the screen.
 4. Pictures or photos that can most indicate design points: main view.
 5. The display screen panel is commonly designed, omit other views.
 6. The purpose of the graphical user interface: The main content is to choose different interface mood backgrounds through interactive operations according to the user's needs, and understand the relevant information of the selected artistic background and the intuitive display to the user interface content.
 7. Human -computer interaction method of graphical user interface: The main view of the work is the details interface of the work background. When the user clicks the interface operation to select the next mood interface, the interface is transformed from the main view to the interface change state. In the middle, the interface change state Figure 1 is presented by the interface change state. 2 can be presented. When the load is loaded, it can jump to the next interface. Among them, the "gray block" in the interface is represented by variable pictures or videos.</v>
      </c>
      <c r="D1322" s="6" t="s">
        <v>3841</v>
      </c>
      <c r="E1322" s="4" t="str">
        <f ca="1">IFERROR(__xludf.DUMMYFUNCTION("GOOGLETRANSLATE(D1322,""auto"",""en"")"),"Dynamic graphic user interface for the background selection of the display screen panel")</f>
        <v>Dynamic graphic user interface for the background selection of the display screen panel</v>
      </c>
    </row>
    <row r="1323" spans="1:5" ht="15" x14ac:dyDescent="0.25">
      <c r="A1323" s="5" t="s">
        <v>3842</v>
      </c>
      <c r="B1323" s="6" t="s">
        <v>3843</v>
      </c>
      <c r="C1323" s="3" t="str">
        <f ca="1">IFERROR(__xludf.DUMMYFUNCTION("GOOGLETRANSLATE(B1323,""auto"",""en"")"),"1. Design product name: Display screen panel with intelligent learning guidance interface.
 2. The purpose of designing products in this exterior: This design product is used for mobile phones, desktop computers, laptops, tablets, TVs, refrigerators wit"&amp;"h display screens, air conditioners with display screens, washing machines with display screens, and display screens with display screens, screens with display screens Water heater, range hood with display screen, dishwasher with display screens, integrat"&amp;"ed stoves with display screens, steamed ovens with display screens, watches, robots with display screens, car navigators, and display -screen cars display Device, GPS devices, smart bracelets, smart glasses, personal digital assistants, smart speakers wit"&amp;"h display screens, set -top boxes with display screens, gaming machines, and fitness monitors, guide users to choose to improve their skills and skills and improve their skills and Quality of Life.
 3. Design of the design of the product in this exterio"&amp;"r: lies in the content of the graphic user interface in the screen.
 4. Pictures or photos that can most indicate design points: main view.
 5. The display screen panel is commonly designed, omit other views.
 6. The purpose of graphical user interf"&amp;"ace: Through intelligent learning guidance mode, and to match the fields that need to improve skills according to user preferences, and provide intelligent help for users' work, learning and life.
 7. Human -computer interaction method of graphic user i"&amp;"nterface: The main view is the main interface of intelligent learning guidance. Enter the next interface by selecting the corresponding picture area/icon/text in the interface. Change the picture, the ""XX"" in the interface is represented as a variable n"&amp;"umber or text.
 Specifically, you can display the user's information corresponding to the user's information, plan information, recommendation information and other types of information such as user interest information, plan information, recommendation"&amp;" information and other types of information by clicking on different avatar blocks.")</f>
        <v>1. Design product name: Display screen panel with intelligent learning guidance interface.
 2. The purpose of designing products in this exterior: This design product is used for mobile phones, desktop computers, laptops, tablets, TVs, refrigerators with display screens, air conditioners with display screens, washing machines with display screens, and display screens with display screens, screens with display screens Water heater, range hood with display screen, dishwasher with display screens, integrated stoves with display screens, steamed ovens with display screens, watches, robots with display screens, car navigators, and display -screen cars display Device, GPS devices, smart bracelets, smart glasses, personal digital assistants, smart speakers with display screens, set -top boxes with display screens, gaming machines, and fitness monitors, guide users to choose to improve their skills and skills and improve their skills and Quality of Life.
 3. Design of the design of the product in this exterior: lies in the content of the graphic user interface in the screen.
 4. Pictures or photos that can most indicate design points: main view.
 5. The display screen panel is commonly designed, omit other views.
 6. The purpose of graphical user interface: Through intelligent learning guidance mode, and to match the fields that need to improve skills according to user preferences, and provide intelligent help for users' work, learning and life.
 7. Human -computer interaction method of graphic user interface: The main view is the main interface of intelligent learning guidance. Enter the next interface by selecting the corresponding picture area/icon/text in the interface. Change the picture, the "XX" in the interface is represented as a variable number or text.
 Specifically, you can display the user's information corresponding to the user's information, plan information, recommendation information and other types of information such as user interest information, plan information, recommendation information and other types of information by clicking on different avatar blocks.</v>
      </c>
      <c r="D1323" s="6" t="s">
        <v>3844</v>
      </c>
      <c r="E1323" s="4" t="str">
        <f ca="1">IFERROR(__xludf.DUMMYFUNCTION("GOOGLETRANSLATE(D1323,""auto"",""en"")"),"Display screen panel with intelligent learning guidance interface")</f>
        <v>Display screen panel with intelligent learning guidance interface</v>
      </c>
    </row>
    <row r="1324" spans="1:5" ht="15" x14ac:dyDescent="0.25">
      <c r="A1324" s="5" t="s">
        <v>3845</v>
      </c>
      <c r="B1324" s="6" t="s">
        <v>3846</v>
      </c>
      <c r="C1324" s="3" t="str">
        <f ca="1">IFERROR(__xludf.DUMMYFUNCTION("GOOGLETRANSLATE(B1324,""auto"",""en"")"),"The present invention involves a system that realizes the interactive function of the radio monitoring system interface operation based on three -dimensional three -dimensional operation, including the three -dimensional stereo button module. The form of "&amp;"a three -dimensional cube is used to distinguish the functional plate. There are multiple function buttons on the top. A system that uses the invention based on three -dimensional stereo operation to realize the interactive operation function of the radio"&amp;" monitoring system interface, which enhances the user's experience. The visual effects are observed in ansitive and overall. Mission; reduce the waste of screen space, the overall design of human -computer interaction, operating logic, and beautiful inter"&amp;"face, making the appearance design of the software become individual and tasteful; avoiding the general plane effect diagram of single views, which is more intuitive, vivid, vivid, vivid, vivid, vivid, vivid, vivid, vivid, vivid, vivid, vivid, and more vi"&amp;"vidly, vivid, vivid, and vividly. The three -dimensional sense is strong and easier to understand.")</f>
        <v>The present invention involves a system that realizes the interactive function of the radio monitoring system interface operation based on three -dimensional three -dimensional operation, including the three -dimensional stereo button module. The form of a three -dimensional cube is used to distinguish the functional plate. There are multiple function buttons on the top. A system that uses the invention based on three -dimensional stereo operation to realize the interactive operation function of the radio monitoring system interface, which enhances the user's experience. The visual effects are observed in ansitive and overall. Mission; reduce the waste of screen space, the overall design of human -computer interaction, operating logic, and beautiful interface, making the appearance design of the software become individual and tasteful; avoiding the general plane effect diagram of single views, which is more intuitive, vivid, vivid, vivid, vivid, vivid, vivid, vivid, vivid, vivid, vivid, vivid, and more vividly, vivid, vivid, and vividly. The three -dimensional sense is strong and easier to understand.</v>
      </c>
      <c r="D1324" s="6" t="s">
        <v>3847</v>
      </c>
      <c r="E1324" s="4" t="str">
        <f ca="1">IFERROR(__xludf.DUMMYFUNCTION("GOOGLETRANSLATE(D1324,""auto"",""en"")"),"A system that realizes the interaction function of the radio monitoring system interface based on three -dimensional three -dimensional operation")</f>
        <v>A system that realizes the interaction function of the radio monitoring system interface based on three -dimensional three -dimensional operation</v>
      </c>
    </row>
    <row r="1325" spans="1:5" ht="15" x14ac:dyDescent="0.25">
      <c r="A1325" s="5" t="s">
        <v>3848</v>
      </c>
      <c r="B1325" s="6" t="s">
        <v>3849</v>
      </c>
      <c r="C1325" s="3" t="str">
        <f ca="1">IFERROR(__xludf.DUMMYFUNCTION("GOOGLETRANSLATE(B1325,""auto"",""en"")"),"The present invention is a computer vision. A football detection tracking method and device, electronic equipment, and storage medium have been disclosed, including: obtaining the stadium video sequence of the pioneering perspective, the stadium video seq"&amp;"uence as a video image of continuous frames; for what. The current frames in the stadium video sequence are tested by global detection algorithms to get the initial position of the ball; according to the penalty point judgment algorithm, determine whether"&amp;" the initial position of the ball is a penalty point, if it is not a penalty point, the ball will be the ball. The initial position is the result of the previous frame; according to the above frame position, the video sequence of the stadium is tracked th"&amp;"rough the multi -algorithm fusion tracking algorithm to obtain the tracking position result. The present invention can realize the stable and real -time tracking of down -looking scene football.")</f>
        <v>The present invention is a computer vision. A football detection tracking method and device, electronic equipment, and storage medium have been disclosed, including: obtaining the stadium video sequence of the pioneering perspective, the stadium video sequence as a video image of continuous frames; for what. The current frames in the stadium video sequence are tested by global detection algorithms to get the initial position of the ball; according to the penalty point judgment algorithm, determine whether the initial position of the ball is a penalty point, if it is not a penalty point, the ball will be the ball. The initial position is the result of the previous frame; according to the above frame position, the video sequence of the stadium is tracked through the multi -algorithm fusion tracking algorithm to obtain the tracking position result. The present invention can realize the stable and real -time tracking of down -looking scene football.</v>
      </c>
      <c r="D1325" s="6" t="s">
        <v>3850</v>
      </c>
      <c r="E1325" s="4" t="str">
        <f ca="1">IFERROR(__xludf.DUMMYFUNCTION("GOOGLETRANSLATE(D1325,""auto"",""en"")"),"A football detection tracking method and device, electronic equipment, storage medium")</f>
        <v>A football detection tracking method and device, electronic equipment, storage medium</v>
      </c>
    </row>
    <row r="1326" spans="1:5" ht="15" x14ac:dyDescent="0.25">
      <c r="A1326" s="5" t="s">
        <v>3851</v>
      </c>
      <c r="B1326" s="6" t="s">
        <v>3852</v>
      </c>
      <c r="C1326" s="3" t="str">
        <f ca="1">IFERROR(__xludf.DUMMYFUNCTION("GOOGLETRANSLATE(B1326,""auto"",""en"")"),"This utility model discloses a sports equipment for intelligent adjustment exercise, including the main structure, horizontal regulatory device and activity parts. The bottom of the main structure is installed with a base , The inner and inside of the top"&amp;" of the horizontal adjustment device is opened with horizontal plug -in holes. The inner activity of the horizontal adjustment device is installed with a vertical adjustment device, and the top and bottom and horizontal and horizontal marketing of the ver"&amp;"tical adjustment device. The inner installation of the vertical adjustment device is installed with activity parts. This utility model is installed with a human -computer interaction system on the front of the main structure, and the fitness equipment can"&amp;" be more intelligent through the human -computer interaction system. The human -machine interaction system and servo motor and controller communication can be set. Models, etc., are convenient for users to use so that users can get better training.")</f>
        <v>This utility model discloses a sports equipment for intelligent adjustment exercise, including the main structure, horizontal regulatory device and activity parts. The bottom of the main structure is installed with a base , The inner and inside of the top of the horizontal adjustment device is opened with horizontal plug -in holes. The inner activity of the horizontal adjustment device is installed with a vertical adjustment device, and the top and bottom and horizontal and horizontal marketing of the vertical adjustment device. The inner installation of the vertical adjustment device is installed with activity parts. This utility model is installed with a human -computer interaction system on the front of the main structure, and the fitness equipment can be more intelligent through the human -computer interaction system. The human -machine interaction system and servo motor and controller communication can be set. Models, etc., are convenient for users to use so that users can get better training.</v>
      </c>
      <c r="D1326" s="6" t="s">
        <v>3853</v>
      </c>
      <c r="E1326" s="4" t="str">
        <f ca="1">IFERROR(__xludf.DUMMYFUNCTION("GOOGLETRANSLATE(D1326,""auto"",""en"")"),"A sports equipment for intelligent adjustment exercise")</f>
        <v>A sports equipment for intelligent adjustment exercise</v>
      </c>
    </row>
    <row r="1327" spans="1:5" ht="15" x14ac:dyDescent="0.25">
      <c r="A1327" s="5" t="s">
        <v>3854</v>
      </c>
      <c r="B1327" s="6" t="s">
        <v>3855</v>
      </c>
      <c r="C1327" s="3" t="str">
        <f ca="1">IFERROR(__xludf.DUMMYFUNCTION("GOOGLETRANSLATE(B1327,""auto"",""en"")"),"1. Design product name: Waiting for the graphic user interface for the display of the screen panel.
 2. The purpose of designing products in this exterior: This design product is used for computers, laptops, tablets, mobile phones, smartphones, watches,"&amp;" smart watches, fitness monitor, headset headphones, smart speakers, TV, set -top boxes, of which, of which Display screen panels for running programs and display information.
 3. Design of the design of the product in this exterior: lies in the content"&amp;" of the graphic user interface in the screen.
 4. Pictures or photos that can best show design: Design 1 main view.
 5. The display screen panel is commonly designed, omit other views.
 6. Specifying design 6 is the basic design.
 7. The purpose o"&amp;"f the graphical user interface: During the waiting process of the operation interface, the user shows the changes in the progress of the progress interface and the interoperability of the human -computer interoperability.
 8. Human -computer interaction"&amp;" method of graphical user interface: Design 1 Main view to design 5 Main -see graphic user interface can interact with icons in the graphical user interface or graphical user interface to load another graphical user interface or running Application; Desig"&amp;"n 6 Main view is the interface of the user waiting for the beginning. Over time, the interface is transformed into design 6 interface change state. 1. Design 6 interface changes. 2. Design 6 interface changes. 4. During the interface transformation proces"&amp;"s, you can interact with the icon in the graphic user interface or the graphic user interface to load another graphic user interface or running application; wherein, the ""gray block"" in the interface is represented as variable pictures.")</f>
        <v>1. Design product name: Waiting for the graphic user interface for the display of the screen panel.
 2. The purpose of designing products in this exterior: This design product is used for computers, laptops, tablets, mobile phones, smartphones, watches, smart watches, fitness monitor, headset headphones, smart speakers, TV, set -top boxes, of which, of which Display screen panels for running programs and display information.
 3. Design of the design of the product in this exterior: lies in the content of the graphic user interface in the screen.
 4. Pictures or photos that can best show design: Design 1 main view.
 5. The display screen panel is commonly designed, omit other views.
 6. Specifying design 6 is the basic design.
 7. The purpose of the graphical user interface: During the waiting process of the operation interface, the user shows the changes in the progress of the progress interface and the interoperability of the human -computer interoperability.
 8. Human -computer interaction method of graphical user interface: Design 1 Main view to design 5 Main -see graphic user interface can interact with icons in the graphical user interface or graphical user interface to load another graphical user interface or running Application; Design 6 Main view is the interface of the user waiting for the beginning. Over time, the interface is transformed into design 6 interface change state. 1. Design 6 interface changes. 2. Design 6 interface changes. 4. During the interface transformation process, you can interact with the icon in the graphic user interface or the graphic user interface to load another graphic user interface or running application; wherein, the "gray block" in the interface is represented as variable pictures.</v>
      </c>
      <c r="D1327" s="6" t="s">
        <v>3856</v>
      </c>
      <c r="E1327" s="4" t="str">
        <f ca="1">IFERROR(__xludf.DUMMYFUNCTION("GOOGLETRANSLATE(D1327,""auto"",""en"")"),"For the waiting coupon graphic user interface for the display screen panel")</f>
        <v>For the waiting coupon graphic user interface for the display screen panel</v>
      </c>
    </row>
    <row r="1328" spans="1:5" ht="15" x14ac:dyDescent="0.25">
      <c r="A1328" s="5" t="s">
        <v>3857</v>
      </c>
      <c r="B1328" s="6" t="s">
        <v>3858</v>
      </c>
      <c r="C1328" s="3" t="str">
        <f ca="1">IFERROR(__xludf.DUMMYFUNCTION("GOOGLETRANSLATE(B1328,""auto"",""en"")"),"1. Design product name: Waiting for the graphic user interface for the display of the screen panel.
 2. The purpose of designing products in this exterior: This design product is used for computers, laptops, tablet computers, smartphones, smart watches,"&amp;" fitness monitor, headset headphones, smart speakers, TV, set -top box display, display, display Waiting for the coupon process, and display the graphical user interface information.
 3. Design of the design of the product in this exterior: lies in the "&amp;"content of the graphic user interface in the screen.
 4. Pictures or photos that can best show design: Design 1 main view.
 5. The display screen panel is commonly designed, omit other views.
 6. Specify design 1 is the basic design.
 7. The purpo"&amp;"se of graphical user interface: During the waiting process of the operation interface, the user shows the animation of the interface. It attracts the user to participate through the random blind box to achieve the purpose of human -machine interaction.
"&amp;" 8. Human -computer interaction method of graphics user interface: Design 1 The main view is the interface that the user is waiting for the start of the interface. Over time, the interface is transformed into design 1 interface changes. State Figure 2 The"&amp;" blind box on the left side of the car, the interface is converted to design 1 interface change state Figure 3, jump out of the random blind box coupon interface; design 2 main views as the user waiting for the start of the interface to transform the inte"&amp;"rface of the design 2 interface change state over time. Figure 1, click the design 2 interface change state Figure 1 The blind box on the left side of the car, the interface is transformed into a design 2 interface change state Figure 2, jump out of the r"&amp;"andom blind box bond return interface; design 3 main view as the user waiting for the start interface to move over time over time over time over time over time. The interface is transformed into design 3 interface change state Figure 1, click the design 3"&amp;" interface change status Figure 1 The right -side blind box, the interface is transformed into design 3 interface change state Figure 2, jump out of the random blind box bond return interface; Among them, ""gray color in the interface"" gray color Body """&amp;"represents variable pictures.")</f>
        <v>1. Design product name: Waiting for the graphic user interface for the display of the screen panel.
 2. The purpose of designing products in this exterior: This design product is used for computers, laptops, tablet computers, smartphones, smart watches, fitness monitor, headset headphones, smart speakers, TV, set -top box display, display, display Waiting for the coupon process, and display the graphical user interface information.
 3. Design of the design of the product in this exterior: lies in the content of the graphic user interface in the screen.
 4. Pictures or photos that can best show design: Design 1 main view.
 5. The display screen panel is commonly designed, omit other views.
 6. Specify design 1 is the basic design.
 7. The purpose of graphical user interface: During the waiting process of the operation interface, the user shows the animation of the interface. It attracts the user to participate through the random blind box to achieve the purpose of human -machine interaction.
 8. Human -computer interaction method of graphics user interface: Design 1 The main view is the interface that the user is waiting for the start of the interface. Over time, the interface is transformed into design 1 interface changes. State Figure 2 The blind box on the left side of the car, the interface is converted to design 1 interface change state Figure 3, jump out of the random blind box coupon interface; design 2 main views as the user waiting for the start of the interface to transform the interface of the design 2 interface change state over time. Figure 1, click the design 2 interface change state Figure 1 The blind box on the left side of the car, the interface is transformed into a design 2 interface change state Figure 2, jump out of the random blind box bond return interface; design 3 main view as the user waiting for the start interface to move over time over time over time over time over time. The interface is transformed into design 3 interface change state Figure 1, click the design 3 interface change status Figure 1 The right -side blind box, the interface is transformed into design 3 interface change state Figure 2, jump out of the random blind box bond return interface; Among them, "gray color in the interface" gray color Body "represents variable pictures.</v>
      </c>
      <c r="D1328" s="6" t="s">
        <v>3856</v>
      </c>
      <c r="E1328" s="4" t="str">
        <f ca="1">IFERROR(__xludf.DUMMYFUNCTION("GOOGLETRANSLATE(D1328,""auto"",""en"")"),"For the waiting coupon graphic user interface for the display screen panel")</f>
        <v>For the waiting coupon graphic user interface for the display screen panel</v>
      </c>
    </row>
    <row r="1329" spans="1:5" ht="15" x14ac:dyDescent="0.25">
      <c r="A1329" s="5" t="s">
        <v>3859</v>
      </c>
      <c r="B1329" s="6" t="s">
        <v>3860</v>
      </c>
      <c r="C1329" s="3" t="str">
        <f ca="1">IFERROR(__xludf.DUMMYFUNCTION("GOOGLETRANSLATE(B1329,""auto"",""en"")"),"1. Design product name: Graphic user interface for the matching of the screen panel.
 2. Design products in this exterior: used to display information.
 3. Design of design products in this appearance: lies in the graphic user interface in the screen."&amp;"
 4. Pictures or photos that can best show design: Design 1 main view.
 5. Specify design 1 is the basic design.
 6. The purpose of the graphical user interface: This graphic user interface is the graphical user interface of the game prophetic funct"&amp;"ion of the screen panel, which is used to display the prediction information of the event; GPS.
 7. Human -computer interaction method of graphics user interface: Design 1 to Design 4, the main view is the player's prediction interface, the player predi"&amp;"ction interface shows the prediction card, click the ""prophecy"" button in the card, the interface jumps to the interface change state Figures, interface change status charts show selection prediction player interface, user click the player card you want"&amp;" to predict to complete the selection.
 In the design 5, the main view is the player's prediction interface. The player prediction interface display the prediction card in the contest interface, click the card in the design 5 of the main visual map inte"&amp;"rface, the interface jumps to the design 5 interface change status diagram, design the 5 interface changes in the display selection selection selection selection The prediction player interface, the user clicks the player card who wants to prophecy to com"&amp;"plete the selection.
 In design 6, the main view is the player's prediction interface. The player's prediction interface shows the recently unparalleled game date time bar for users to know the date of the game. The ""Prophecy"" button, the interface ju"&amp;"mp to the design 6 interface change state diagram, design the 6 -interface changes in the status diagram shows the selection prediction player interface, the user clicks the player card you want to prophecy to complete the selection.
 In the design 7, t"&amp;"he main view is the player's prediction interface. The interface shows the user's choice of the player card. After the user clicks the switching of the player button in the design 7 main visual map interface, the interface jumps to the design 7 interface "&amp;"change state diagram. Design 7 interface changes The status chart shows the selection of the prediction player interface. Users can click on the player cards I want to predict in the selection of the prediction player interface to re -select the predictio"&amp;"n player.
 In design 8, the main view is the contestant prophecy interface. After clicking the ""My Card"" button in the design 8 main view interface, the interface is switched to the design 8 interface change status diagram. The interface shows the car"&amp;"ds that the user already owns.
 In the design 9, the main view is the contestant prophecy interface. Design 9 interface shows the game's prediction game. The user clicks the player card in the design 9 main vision interface, jump to the design 9 interfa"&amp;"ce change status chart, design 9 interface changes status The card in the diagram shows the current data panel of the player for users to view the performance of the player.")</f>
        <v>1. Design product name: Graphic user interface for the matching of the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graphic user interface is the graphical user interface of the game prophetic function of the screen panel, which is used to display the prediction information of the event; GPS.
 7. Human -computer interaction method of graphics user interface: Design 1 to Design 4, the main view is the player's prediction interface, the player prediction interface shows the prediction card, click the "prophecy" button in the card, the interface jumps to the interface change state Figures, interface change status charts show selection prediction player interface, user click the player card you want to predict to complete the selection.
 In the design 5, the main view is the player's prediction interface. The player prediction interface display the prediction card in the contest interface, click the card in the design 5 of the main visual map interface, the interface jumps to the design 5 interface change status diagram, design the 5 interface changes in the display selection selection selection selection The prediction player interface, the user clicks the player card who wants to prophecy to complete the selection.
 In design 6, the main view is the player's prediction interface. The player's prediction interface shows the recently unparalleled game date time bar for users to know the date of the game. The "Prophecy" button, the interface jump to the design 6 interface change state diagram, design the 6 -interface changes in the status diagram shows the selection prediction player interface, the user clicks the player card you want to prophecy to complete the selection.
 In the design 7, the main view is the player's prediction interface. The interface shows the user's choice of the player card. After the user clicks the switching of the player button in the design 7 main visual map interface, the interface jumps to the design 7 interface change state diagram. Design 7 interface changes The status chart shows the selection of the prediction player interface. Users can click on the player cards I want to predict in the selection of the prediction player interface to re -select the prediction player.
 In design 8, the main view is the contestant prophecy interface. After clicking the "My Card" button in the design 8 main view interface, the interface is switched to the design 8 interface change status diagram. The interface shows the cards that the user already owns.
 In the design 9, the main view is the contestant prophecy interface. Design 9 interface shows the game's prediction game. The user clicks the player card in the design 9 main vision interface, jump to the design 9 interface change status chart, design 9 interface changes status The card in the diagram shows the current data panel of the player for users to view the performance of the player.</v>
      </c>
      <c r="D1329" s="6" t="s">
        <v>3861</v>
      </c>
      <c r="E1329" s="4" t="str">
        <f ca="1">IFERROR(__xludf.DUMMYFUNCTION("GOOGLETRANSLATE(D1329,""auto"",""en"")"),"The graphic user interface of the race prediction of the display screen panel")</f>
        <v>The graphic user interface of the race prediction of the display screen panel</v>
      </c>
    </row>
    <row r="1330" spans="1:5" ht="15" x14ac:dyDescent="0.25">
      <c r="A1330" s="5" t="s">
        <v>3862</v>
      </c>
      <c r="B1330" s="6" t="s">
        <v>3863</v>
      </c>
      <c r="C1330" s="3" t="str">
        <f ca="1">IFERROR(__xludf.DUMMYFUNCTION("GOOGLETRANSLATE(B1330,""auto"",""en"")"),"1. Design product name: Graphic user interface for the matching of the screen panel.
 2. Design product use: Display information.
 3. Design of design products in this appearance: lies in the graphic user interface in the screen.
 4. Pictures or pho"&amp;"tos that can best show design: Design 1 main view.
 5. Specify design 1 is the basic design.
 6.图形用户界面的用途：本图形用户界面为显示屏幕面板的赛事预言功能的动态图形用户界面，用于展示赛事预言信息；该显示屏幕可用于手机、计算机、平板电脑、可穿戴终端设备、 Car navigator.
 7. Human -computer interaction method of graphic user in"&amp;"terface: Design 1 to Design 4, the main view is the player prediction interface, the player prediction interface display the prediction card, click Design 1 to Design 4 in the card in the card in the interface of the main vision map interface ""Button, th"&amp;"e interface jump to design 1 to design 4 interface changes state diagram, design 1 to design 4 interface change state diagram shows the selection prediction player interface, the user clicks the player card you want to prophecy to complete the selection.
"&amp;" 
 In the design 5, the main view is the player's prediction interface. The player prediction interface display the prediction card in the contest interface, click the card in the design 5 of the main visual map interface, the interface jumps to the desig"&amp;"n 5 interface change status diagram, design the 5 interface changes in the display selection selection selection selection The prediction player interface, the user clicks the player card who wants to prophecy to complete the selection.
 The dynamic cha"&amp;"nge effect of the interface change state diagram of design 5.
 In design 6, the main view is the player's prediction interface. The player's prediction interface shows the recently unparalleled game date time bar for users to know the date of the game. "&amp;"In the ""Prophecy"" button, the interface jumps to the design 6 interface change state diagram. Design 6 interface changes in the state diagram shows the selection prediction player interface. Users clicks the player cards you want to prophecy to complete"&amp;" the selection.
 The dynamic change effect of the interface change state diagram of the design 6.
 In the design 7, the main view is the player's prediction interface. The interface shows the user's choice of the player card. After the user clicks the"&amp;" switching of the player button in the design 7 main visual map interface, the interface jumps to the design 7 interface change state diagram. Design 7 interface changes The status chart shows the selection of the prediction player interface. Users can cl"&amp;"ick on the player cards I want to predict in the selection of the prediction player interface to re -select the prediction player.
 The dynamic change effect of the interface change state diagram of the design 7.
 In design 8, the main view is the pla"&amp;"yer's prediction interface. After clicking the ""My Card"" button in the design 8 main view interface, the interface is switched to the design 8 interface change state diagram. The interface shows the card that the user already has.
 The dynamic change "&amp;"effect of the interface change state diagram of the design 8.
 In the design 9, the main view is the contestant prediction interface. The interface shows that the user's prediction competition is in progress. The user clicks the prediction player card i"&amp;"n the design 9 main vision interface. The card in the interface shows the current data panel of the player for users to view the performance of the player.")</f>
        <v>1. Design product name: Graphic user interface for the matching of the screen panel.
 2. Design product use: Display information.
 3. Design of design products in this appearance: lies in the graphic user interface in the screen.
 4. Pictures or photos that can best show design: Design 1 main view.
 5. Specify design 1 is the basic design.
 6.图形用户界面的用途：本图形用户界面为显示屏幕面板的赛事预言功能的动态图形用户界面，用于展示赛事预言信息；该显示屏幕可用于手机、计算机、平板电脑、可穿戴终端设备、 Car navigator.
 7. Human -computer interaction method of graphic user interface: Design 1 to Design 4, the main view is the player prediction interface, the player prediction interface display the prediction card, click Design 1 to Design 4 in the card in the card in the interface of the main vision map interface "Button, the interface jump to design 1 to design 4 interface changes state diagram, design 1 to design 4 interface change state diagram shows the selection prediction player interface, the user clicks the player card you want to prophecy to complete the selection.
 In the design 5, the main view is the player's prediction interface. The player prediction interface display the prediction card in the contest interface, click the card in the design 5 of the main visual map interface, the interface jumps to the design 5 interface change status diagram, design the 5 interface changes in the display selection selection selection selection The prediction player interface, the user clicks the player card who wants to prophecy to complete the selection.
 The dynamic change effect of the interface change state diagram of design 5.
 In design 6, the main view is the player's prediction interface. The player's prediction interface shows the recently unparalleled game date time bar for users to know the date of the game. In the "Prophecy" button, the interface jumps to the design 6 interface change state diagram. Design 6 interface changes in the state diagram shows the selection prediction player interface. Users clicks the player cards you want to prophecy to complete the selection.
 The dynamic change effect of the interface change state diagram of the design 6.
 In the design 7, the main view is the player's prediction interface. The interface shows the user's choice of the player card. After the user clicks the switching of the player button in the design 7 main visual map interface, the interface jumps to the design 7 interface change state diagram. Design 7 interface changes The status chart shows the selection of the prediction player interface. Users can click on the player cards I want to predict in the selection of the prediction player interface to re -select the prediction player.
 The dynamic change effect of the interface change state diagram of the design 7.
 In design 8, the main view is the player's prediction interface. After clicking the "My Card" button in the design 8 main view interface, the interface is switched to the design 8 interface change state diagram. The interface shows the card that the user already has.
 The dynamic change effect of the interface change state diagram of the design 8.
 In the design 9, the main view is the contestant prediction interface. The interface shows that the user's prediction competition is in progress. The user clicks the prediction player card in the design 9 main vision interface. The card in the interface shows the current data panel of the player for users to view the performance of the player.</v>
      </c>
      <c r="D1330" s="6" t="s">
        <v>3861</v>
      </c>
      <c r="E1330" s="4" t="str">
        <f ca="1">IFERROR(__xludf.DUMMYFUNCTION("GOOGLETRANSLATE(D1330,""auto"",""en"")"),"The graphic user interface of the race prediction of the display screen panel")</f>
        <v>The graphic user interface of the race prediction of the display screen panel</v>
      </c>
    </row>
    <row r="1331" spans="1:5" ht="15" x14ac:dyDescent="0.25">
      <c r="A1331" s="5" t="s">
        <v>3864</v>
      </c>
      <c r="B1331" s="6" t="s">
        <v>3865</v>
      </c>
      <c r="C1331" s="3" t="str">
        <f ca="1">IFERROR(__xludf.DUMMYFUNCTION("GOOGLETRANSLATE(B1331,""auto"",""en"")"),"1. Design product name: Multimedia operation graphic user interface of automobile central control display.
 2. Design products in appearance: used for running program and display interface.
 3. Design of the design of the product in this appearance: l"&amp;"ies in the graphic user interface content displayed in the screen, and the rest is commonly designed.
 4. Pictures or photos that can most indicate design points: main view.
 5. There is no design point, omittime, left view, left view, right view, pus"&amp;"h -view, viewing view.
 6. The purpose of the graphical user interface: For the car central control display screen, the graphic user interface of the internal equipment inside the vehicle is controlled by multiple operations.
 7. Human -computer inter"&amp;"action method of graphical user interface: Click the corresponding icon around the interface to obtain the corresponding interface and use the corresponding function.
 The circular icon in the middle of the interface is a voice interactive area, and the"&amp;" corresponding operation can wake up the product.")</f>
        <v>1. Design product name: Multimedia operation graphic user interface of automobile central control display.
 2. Design products in appearance: used for running program and display interface.
 3. Design of the design of the product in this appearance: lies in the graphic user interface content displayed in the screen, and the rest is commonly designed.
 4. Pictures or photos that can most indicate design points: main view.
 5. There is no design point, omittime, left view, left view, right view, push -view, viewing view.
 6. The purpose of the graphical user interface: For the car central control display screen, the graphic user interface of the internal equipment inside the vehicle is controlled by multiple operations.
 7. Human -computer interaction method of graphical user interface: Click the corresponding icon around the interface to obtain the corresponding interface and use the corresponding function.
 The circular icon in the middle of the interface is a voice interactive area, and the corresponding operation can wake up the product.</v>
      </c>
      <c r="D1331" s="6" t="s">
        <v>3866</v>
      </c>
      <c r="E1331" s="4" t="str">
        <f ca="1">IFERROR(__xludf.DUMMYFUNCTION("GOOGLETRANSLATE(D1331,""auto"",""en"")"),"Multimedia operation graphic user interface of car central control display")</f>
        <v>Multimedia operation graphic user interface of car central control display</v>
      </c>
    </row>
    <row r="1332" spans="1:5" ht="15" x14ac:dyDescent="0.25">
      <c r="A1332" s="5" t="s">
        <v>3867</v>
      </c>
      <c r="B1332" s="6" t="s">
        <v>3868</v>
      </c>
      <c r="C1332" s="3" t="str">
        <f ca="1">IFERROR(__xludf.DUMMYFUNCTION("GOOGLETRANSLATE(B1332,""auto"",""en"")"),"1. Design product name: Charging status user interface for display screen panels.
 2. Design products in appearance: used for running procedures, information display, and human -computer interaction.
 3. Design of design products in this appearance: l"&amp;"ies in the graphic user interface in the screen.
 4. Pictures or photos that can best show design: Design 1 main view.
 5. Specify design 1 is the basic design.
 6. The purpose of graphical user interface: design 1 main view, design 2 main view, des"&amp;"ign 3 main view, design 4 main view, design 6 main view, design 7 main view, design 8 main view, design 9 main view is charging in charging The interface, among them, the power is charged below 30%, displayed as orange, the power is charged to more than 3"&amp;"0%, and it becomes green.
 Design 5. Design 10 shows the change of charging status.
 7. Among them, design 3 and design 4 requires protective colors.
 8. The display screen panel is applied to computers, laptops, tablets, mobile phones, smart watche"&amp;"s, smart speakers, TV, fitness monitor, smart robots.")</f>
        <v>1. Design product name: Charging status user interface for display screen panels.
 2. Design products in appearance: used for running procedures, information display, and human -computer interaction.
 3. Design of design products in this appearance: lies in the graphic user interface in the screen.
 4. Pictures or photos that can best show design: Design 1 main view.
 5. Specify design 1 is the basic design.
 6. The purpose of graphical user interface: design 1 main view, design 2 main view, design 3 main view, design 4 main view, design 6 main view, design 7 main view, design 8 main view, design 9 main view is charging in charging The interface, among them, the power is charged below 30%, displayed as orange, the power is charged to more than 30%, and it becomes green.
 Design 5. Design 10 shows the change of charging status.
 7. Among them, design 3 and design 4 requires protective colors.
 8. The display screen panel is applied to computers, laptops, tablets, mobile phones, smart watches, smart speakers, TV, fitness monitor, smart robots.</v>
      </c>
      <c r="D1332" s="6" t="s">
        <v>3869</v>
      </c>
      <c r="E1332" s="4" t="str">
        <f ca="1">IFERROR(__xludf.DUMMYFUNCTION("GOOGLETRANSLATE(D1332,""auto"",""en"")"),"Charging status graphics user interface for display screen panels")</f>
        <v>Charging status graphics user interface for display screen panels</v>
      </c>
    </row>
    <row r="1333" spans="1:5" ht="15" x14ac:dyDescent="0.25">
      <c r="A1333" s="5" t="s">
        <v>3870</v>
      </c>
      <c r="B1333" s="6" t="s">
        <v>3871</v>
      </c>
      <c r="C1333" s="3" t="str">
        <f ca="1">IFERROR(__xludf.DUMMYFUNCTION("GOOGLETRANSLATE(B1333,""auto"",""en"")"),"The present invention disclosed a smart tennis transmitter, including the case. There is a adjustable cavity in the case, the control cavity is provided in the lower end of the cavity. It can rotate the hinge shaft around the hinge, thereby adjusting the "&amp;"angle of the vertical direction of hitting the ball, controlling the cavity and adjusting the second angle adjustment mechanism. There is a transmitting mechanism in the case. The two placed plates set up in the mechanism through the first angle are adjus"&amp;"ted to complete the adjustment of the angle of the tennis direction. To realize the adjustment of the horizontal direction of the tennis, ensure the effect of tennis training, and achieve remote control of trainers through the setting voice recognition de"&amp;"vice. It does not need to be adjusted to save time and energy.")</f>
        <v>The present invention disclosed a smart tennis transmitter, including the case. There is a adjustable cavity in the case, the control cavity is provided in the lower end of the cavity. It can rotate the hinge shaft around the hinge, thereby adjusting the angle of the vertical direction of hitting the ball, controlling the cavity and adjusting the second angle adjustment mechanism. There is a transmitting mechanism in the case. The two placed plates set up in the mechanism through the first angle are adjusted to complete the adjustment of the angle of the tennis direction. To realize the adjustment of the horizontal direction of the tennis, ensure the effect of tennis training, and achieve remote control of trainers through the setting voice recognition device. It does not need to be adjusted to save time and energy.</v>
      </c>
      <c r="D1333" s="6" t="s">
        <v>3872</v>
      </c>
      <c r="E1333" s="4" t="str">
        <f ca="1">IFERROR(__xludf.DUMMYFUNCTION("GOOGLETRANSLATE(D1333,""auto"",""en"")"),"A smart tennis transmitter")</f>
        <v>A smart tennis transmitter</v>
      </c>
    </row>
    <row r="1334" spans="1:5" ht="15" x14ac:dyDescent="0.25">
      <c r="A1334" s="5" t="s">
        <v>3873</v>
      </c>
      <c r="B1334" s="6" t="s">
        <v>3874</v>
      </c>
      <c r="C1334" s="3" t="str">
        <f ca="1">IFERROR(__xludf.DUMMYFUNCTION("GOOGLETRANSLATE(B1334,""auto"",""en"")"),"According to the artificial intelligence video image analysis system based on the embodiment of the present invention, including: user terminal, a sports posture image or video of the application of quantitative image processing technology through the mov"&amp;"ement posture of the movement; Or after extract the body area in the video, process the extracted body area into preset fitness data, and compare the movement posture information in the user terminal input with the standard fitness data to determine the u"&amp;"ser and the data processing server. The results of accuracy and inaccuracy are sent to the user terminal and the coach terminal. The preset fitness data includes the line and noodle fitness point areas with the whole body area of ​​the body. It is charact"&amp;"erized by informatization.")</f>
        <v>According to the artificial intelligence video image analysis system based on the embodiment of the present invention, including: user terminal, a sports posture image or video of the application of quantitative image processing technology through the movement posture of the movement; Or after extract the body area in the video, process the extracted body area into preset fitness data, and compare the movement posture information in the user terminal input with the standard fitness data to determine the user and the data processing server. The results of accuracy and inaccuracy are sent to the user terminal and the coach terminal. The preset fitness data includes the line and noodle fitness point areas with the whole body area of ​​the body. It is characterized by informatization.</v>
      </c>
      <c r="D1334" s="6" t="s">
        <v>3875</v>
      </c>
      <c r="E1334" s="4" t="str">
        <f ca="1">IFERROR(__xludf.DUMMYFUNCTION("GOOGLETRANSLATE(D1334,""auto"",""en"")"),"Sports attitude analysis system and method based on line -faced recognition")</f>
        <v>Sports attitude analysis system and method based on line -faced recognition</v>
      </c>
    </row>
    <row r="1335" spans="1:5" ht="15" x14ac:dyDescent="0.25">
      <c r="A1335" s="5" t="s">
        <v>3876</v>
      </c>
      <c r="B1335" s="6" t="s">
        <v>3877</v>
      </c>
      <c r="C1335" s="3" t="s">
        <v>12411</v>
      </c>
      <c r="D1335" s="6" t="s">
        <v>3878</v>
      </c>
      <c r="E1335" s="4" t="str">
        <f ca="1">IFERROR(__xludf.DUMMYFUNCTION("GOOGLETRANSLATE(D1335,""auto"",""en"")"),"Real -time analysis of 2D and 3D standardized ultrasound images")</f>
        <v>Real -time analysis of 2D and 3D standardized ultrasound images</v>
      </c>
    </row>
    <row r="1336" spans="1:5" ht="15" x14ac:dyDescent="0.25">
      <c r="A1336" s="5" t="s">
        <v>3879</v>
      </c>
      <c r="B1336" s="6" t="s">
        <v>3880</v>
      </c>
      <c r="C1336" s="3" t="str">
        <f ca="1">IFERROR(__xludf.DUMMYFUNCTION("GOOGLETRANSLATE(B1336,""auto"",""en"")"),"A method for monitoring physical exercise based on image frame sequences for exercise activities that shows people. This method includes: Based on image frame sequences, a neural network uses a neural network to extract a set of key points for each image "&amp;"frame. Based on the subsets of the key points of the body in each image frame, it derives the feature parameters of at least one instructor's movement progress; the starting cycle conditions are detected by evaluating the time process of at least one feat"&amp;"ure parameter. From the beginning of a person to the transition of people's exercise during physical exercise, the exercise cycle includes repeating physical exercise at one time; by evaluating the time process of at least one feature parameter to detect "&amp;"the end of the cycle conditions, the end of the end of the end of the cycle is performed from the end of the loop conditions. During physical exercise, people's exercise changes to the middle posture. Among them, as a result, start to determine the starti"&amp;"ng point of the cycle and the end of the cycle; Essence")</f>
        <v>A method for monitoring physical exercise based on image frame sequences for exercise activities that shows people. This method includes: Based on image frame sequences, a neural network uses a neural network to extract a set of key points for each image frame. Based on the subsets of the key points of the body in each image frame, it derives the feature parameters of at least one instructor's movement progress; the starting cycle conditions are detected by evaluating the time process of at least one feature parameter. From the beginning of a person to the transition of people's exercise during physical exercise, the exercise cycle includes repeating physical exercise at one time; by evaluating the time process of at least one feature parameter to detect the end of the cycle conditions, the end of the end of the end of the cycle is performed from the end of the loop conditions. During physical exercise, people's exercise changes to the middle posture. Among them, as a result, start to determine the starting point of the cycle and the end of the cycle; Essence</v>
      </c>
      <c r="D1336" s="6" t="s">
        <v>3881</v>
      </c>
      <c r="E1336" s="4" t="str">
        <f ca="1">IFERROR(__xludf.DUMMYFUNCTION("GOOGLETRANSLATE(D1336,""auto"",""en"")"),"Monitor the expression of physical exercise")</f>
        <v>Monitor the expression of physical exercise</v>
      </c>
    </row>
    <row r="1337" spans="1:5" ht="15" x14ac:dyDescent="0.25">
      <c r="A1337" s="5" t="s">
        <v>3882</v>
      </c>
      <c r="B1337" s="6" t="s">
        <v>3883</v>
      </c>
      <c r="C1337" s="3" t="str">
        <f ca="1">IFERROR(__xludf.DUMMYFUNCTION("GOOGLETRANSLATE(B1337,""auto"",""en"")"),"In medical diagnosis and treatment, IoT and machine learning technology are routinely used to monitor patients' status. The Internet of Things has been used to build a system. By using the function of the wearable sensor system with a sensor, it reminds t"&amp;"he patient's companions when abnormal conditions. Machine learning has been used to help medical diagnosis, using trained models to detect any abnormal conditions in the patient's condition. In this framework, pulse blood oxygenometer and temperature sens"&amp;"or are used to monitor the health status of patients. Cloud IoT is used to evaluate, classify, and exchange medical data between consumers and medical care professionals. The IoT sensor is used to collect necessary data. The data will be stored in the Clo"&amp;"ud Internet of Things. The Z-WAVE device collects data from various sensors used in patient monitoring, then transmitted to the hospital and stored in the hospital database. Use AI and ML-based technologies to continuously analyze data, such as describing"&amp;" here described Technology. In order to divide people into the category of infection or infection, the R-convolutional neural network (R-CNN) classification technology based on C average clustering class is applied. We use R-CONVOLUTIONAL neural network ["&amp;"R-CNN], ROUGH C-Means Clustering to divide the user into a infection group and an unborn group, and use the similar coefficient to distinguish according to the patient's symptoms. If any error occurs, patients can use wearable devices such as fitness brac"&amp;"elets and other wireless connection devices (such as blood pressure and heart rate monitoring cuffs, blood glucose meters, and other equipment) to receive tailor -made treatment. You can set up calories, exercise, dating, blood pressure changes and many o"&amp;"ther contents on these devices. The Internet of Things has completely changed people's lives, especially the lives of elderly patients. They can now track their health in real time. The impact on single parents and their families is huge. If a person's re"&amp;"gular habits are disturbed or changed, the alarm mechanism will send messages to family members, doctors, nursing staff and other related health providers.")</f>
        <v>In medical diagnosis and treatment, IoT and machine learning technology are routinely used to monitor patients' status. The Internet of Things has been used to build a system. By using the function of the wearable sensor system with a sensor, it reminds the patient's companions when abnormal conditions. Machine learning has been used to help medical diagnosis, using trained models to detect any abnormal conditions in the patient's condition. In this framework, pulse blood oxygenometer and temperature sensor are used to monitor the health status of patients. Cloud IoT is used to evaluate, classify, and exchange medical data between consumers and medical care professionals. The IoT sensor is used to collect necessary data. The data will be stored in the Cloud Internet of Things. The Z-WAVE device collects data from various sensors used in patient monitoring, then transmitted to the hospital and stored in the hospital database. Use AI and ML-based technologies to continuously analyze data, such as describing here described Technology. In order to divide people into the category of infection or infection, the R-convolutional neural network (R-CNN) classification technology based on C average clustering class is applied. We use R-CONVOLUTIONAL neural network [R-CNN], ROUGH C-Means Clustering to divide the user into a infection group and an unborn group, and use the similar coefficient to distinguish according to the patient's symptoms. If any error occurs, patients can use wearable devices such as fitness bracelets and other wireless connection devices (such as blood pressure and heart rate monitoring cuffs, blood glucose meters, and other equipment) to receive tailor -made treatment. You can set up calories, exercise, dating, blood pressure changes and many other contents on these devices. The Internet of Things has completely changed people's lives, especially the lives of elderly patients. They can now track their health in real time. The impact on single parents and their families is huge. If a person's regular habits are disturbed or changed, the alarm mechanism will send messages to family members, doctors, nursing staff and other related health providers.</v>
      </c>
      <c r="D1337" s="6" t="s">
        <v>3884</v>
      </c>
      <c r="E1337" s="4" t="str">
        <f ca="1">IFERROR(__xludf.DUMMYFUNCTION("GOOGLETRANSLATE(D1337,""auto"",""en"")"),"The Intelligent Medical Cloud based on R-CNN is based on the detection and prevention of the Internet of Things model")</f>
        <v>The Intelligent Medical Cloud based on R-CNN is based on the detection and prevention of the Internet of Things model</v>
      </c>
    </row>
    <row r="1338" spans="1:5" ht="15" x14ac:dyDescent="0.25">
      <c r="A1338" s="5" t="s">
        <v>3885</v>
      </c>
      <c r="B1338" s="6" t="s">
        <v>3886</v>
      </c>
      <c r="C1338" s="3" t="str">
        <f ca="1">IFERROR(__xludf.DUMMYFUNCTION("GOOGLETRANSLATE(B1338,""auto"",""en"")"),"A portable snow surface friction coefficient automatically measures intelligent robots, involving mechanical electronic engineering and sports technology fields. Robotics include mechanical systems, control systems and power supply modules; power supply m"&amp;"odules are powered by mechanical systems and control systems; mechanical systems include power start -up mechanisms, single motor support lift mechanisms and flywheel mechanisms; ); The power startup mechanism provides power for the flywheel (2) to rotate"&amp;" the power to rotate the flywheel (2); the single motor supports the lifting mechanism to realize the rise and fall of the flywheel (2); Connect to the sensor module; the upper machine and the lower machine communicate through the serial port; the sensor "&amp;"module collects the test environment information and the flywheel (2) speed, and transmits it to the lower machine; Essence")</f>
        <v>A portable snow surface friction coefficient automatically measures intelligent robots, involving mechanical electronic engineering and sports technology fields. Robotics include mechanical systems, control systems and power supply modules; power supply modules are powered by mechanical systems and control systems; mechanical systems include power start -up mechanisms, single motor support lift mechanisms and flywheel mechanisms; ); The power startup mechanism provides power for the flywheel (2) to rotate the power to rotate the flywheel (2); the single motor supports the lifting mechanism to realize the rise and fall of the flywheel (2); Connect to the sensor module; the upper machine and the lower machine communicate through the serial port; the sensor module collects the test environment information and the flywheel (2) speed, and transmits it to the lower machine; Essence</v>
      </c>
      <c r="D1338" s="6" t="s">
        <v>3887</v>
      </c>
      <c r="E1338" s="4" t="str">
        <f ca="1">IFERROR(__xludf.DUMMYFUNCTION("GOOGLETRANSLATE(D1338,""auto"",""en"")"),"A portable snowfront friction coefficient automatically measures intelligent robots")</f>
        <v>A portable snowfront friction coefficient automatically measures intelligent robots</v>
      </c>
    </row>
    <row r="1339" spans="1:5" ht="15" x14ac:dyDescent="0.25">
      <c r="A1339" s="5" t="s">
        <v>3888</v>
      </c>
      <c r="B1339" s="6" t="s">
        <v>3889</v>
      </c>
      <c r="C1339" s="3" t="str">
        <f ca="1">IFERROR(__xludf.DUMMYFUNCTION("GOOGLETRANSLATE(B1339,""auto"",""en"")"),"The invention of Kiosk -based artificial intelligence non -face -to -face entertainment system is a coach terminal that can provide feedback, a member terminal that views feedback, and a terminal that provides feedback through real -time analysis of membe"&amp;"rship videos by artificial intelligence. Including the management server.")</f>
        <v>The invention of Kiosk -based artificial intelligence non -face -to -face entertainment system is a coach terminal that can provide feedback, a member terminal that views feedback, and a terminal that provides feedback through real -time analysis of membership videos by artificial intelligence. Including the management server.</v>
      </c>
      <c r="D1339" s="6" t="s">
        <v>3890</v>
      </c>
      <c r="E1339" s="4" t="str">
        <f ca="1">IFERROR(__xludf.DUMMYFUNCTION("GOOGLETRANSLATE(D1339,""auto"",""en"")"),"African face entertainment system based on information pavilions")</f>
        <v>African face entertainment system based on information pavilions</v>
      </c>
    </row>
    <row r="1340" spans="1:5" ht="15" x14ac:dyDescent="0.25">
      <c r="A1340" s="5" t="s">
        <v>3891</v>
      </c>
      <c r="B1340" s="6" t="s">
        <v>3892</v>
      </c>
      <c r="C1340" s="3" t="str">
        <f ca="1">IFERROR(__xludf.DUMMYFUNCTION("GOOGLETRANSLATE(B1340,""auto"",""en"")"),"Get the three -dimensional group information of the objects and people's contact objects, and the three -dimensional group information entered the machine learning model of the obtained three -dimensional group information to generate bone information of "&amp;"adults. When it is determined that people are conducting reversing movements, the 3D dot group information obtained is generated by rotating the person's posture information along the direction of the reversal movement. Based on the generated 3D group inf"&amp;"ormation based on the generated rotating angle and the 3D model of the person and the object of the person and the object, the bone information of the person generated.")</f>
        <v>Get the three -dimensional group information of the objects and people's contact objects, and the three -dimensional group information entered the machine learning model of the obtained three -dimensional group information to generate bone information of adults. When it is determined that people are conducting reversing movements, the 3D dot group information obtained is generated by rotating the person's posture information along the direction of the reversal movement. Based on the generated 3D group information based on the generated rotating angle and the 3D model of the person and the object of the person and the object, the bone information of the person generated.</v>
      </c>
      <c r="D1340" s="6" t="s">
        <v>3893</v>
      </c>
      <c r="E1340" s="4" t="str">
        <f ca="1">IFERROR(__xludf.DUMMYFUNCTION("GOOGLETRANSLATE(D1340,""auto"",""en"")"),"Skeletal recognition method, bone recognition program and gymnastics scoring auxiliary device")</f>
        <v>Skeletal recognition method, bone recognition program and gymnastics scoring auxiliary device</v>
      </c>
    </row>
    <row r="1341" spans="1:5" ht="15" x14ac:dyDescent="0.25">
      <c r="A1341" s="5" t="s">
        <v>3894</v>
      </c>
      <c r="B1341" s="6" t="s">
        <v>3895</v>
      </c>
      <c r="C1341" s="3" t="str">
        <f ca="1">IFERROR(__xludf.DUMMYFUNCTION("GOOGLETRANSLATE(B1341,""auto"",""en"")"),"It describes a method of time and recognition of objects to participate in sports events. The method includes the first image information associated with one or more first images. The first camera system of the first timing system of the first position is"&amp;" captured and tracking. One or more first images include objects participating in sports events through the virtual timing line. The first image information includes visual information about at least the first object. Based on One or more first images 10 "&amp;"for it to determine that it passed but cannot be identified based on one or more first images; receiving or retrieval one or more The second image information associated with the second image, one or more second images includes the object of participating"&amp;" in sports events. The second image information includes the visual information based on one or more second images of about 15 or more Multiple objects; and identify the first object, which includes: using the first image information and the second image "&amp;"information to determine the second object that matches the first object in one or more second images; Objects identify the first object according to the visual information of the second object. 20 Figure 8 25")</f>
        <v>It describes a method of time and recognition of objects to participate in sports events. The method includes the first image information associated with one or more first images. The first camera system of the first timing system of the first position is captured and tracking. One or more first images include objects participating in sports events through the virtual timing line. The first image information includes visual information about at least the first object. Based on One or more first images 10 for it to determine that it passed but cannot be identified based on one or more first images; receiving or retrieval one or more The second image information associated with the second image, one or more second images includes the object of participating in sports events. The second image information includes the visual information based on one or more second images of about 15 or more Multiple objects; and identify the first object, which includes: using the first image information and the second image information to determine the second object that matches the first object in one or more second images; Objects identify the first object according to the visual information of the second object. 20 Figure 8 25</v>
      </c>
      <c r="D1341" s="6" t="s">
        <v>1456</v>
      </c>
      <c r="E1341" s="4" t="str">
        <f ca="1">IFERROR(__xludf.DUMMYFUNCTION("GOOGLETRANSLATE(D1341,""auto"",""en"")"),"Vision -based motion timing and recognition system")</f>
        <v>Vision -based motion timing and recognition system</v>
      </c>
    </row>
    <row r="1342" spans="1:5" ht="15" x14ac:dyDescent="0.25">
      <c r="A1342" s="5" t="s">
        <v>3896</v>
      </c>
      <c r="B1342" s="6" t="s">
        <v>3897</v>
      </c>
      <c r="C1342" s="3" t="str">
        <f ca="1">IFERROR(__xludf.DUMMYFUNCTION("GOOGLETRANSLATE(B1342,""auto"",""en"")"),"The invention discloses a target tracking method, device, equipment and storage medium, involving the field of computer vision technology, including: obtaining the tracking range in the video frame image and the movement goals in the tracking range; Locat"&amp;"ion information of the scope, determine the tracking target, and get the first tracking target; according to the current video frame image and the next video frame image, perform motion trajectory predictions to track or stop tracking the first tracking t"&amp;"arget; when the first tracking of the first tracking; After the target stops tracking, the trigger continues to track, and returns the steps of the tracking target according to the location information of the motion target and the location information of "&amp;"the tracking range to obtain the second tracking target and track the second tracking target in real time. When the present invention solves the target tracking method of existing technology, when tracking the athletes in the sports field, there is a prob"&amp;"lem of low tracking accuracy, and achieves the effect of improving the accuracy of tracking and preventing invalid tracking.")</f>
        <v>The invention discloses a target tracking method, device, equipment and storage medium, involving the field of computer vision technology, including: obtaining the tracking range in the video frame image and the movement goals in the tracking range; Location information of the scope, determine the tracking target, and get the first tracking target; according to the current video frame image and the next video frame image, perform motion trajectory predictions to track or stop tracking the first tracking target; when the first tracking of the first tracking; After the target stops tracking, the trigger continues to track, and returns the steps of the tracking target according to the location information of the motion target and the location information of the tracking range to obtain the second tracking target and track the second tracking target in real time. When the present invention solves the target tracking method of existing technology, when tracking the athletes in the sports field, there is a problem of low tracking accuracy, and achieves the effect of improving the accuracy of tracking and preventing invalid tracking.</v>
      </c>
      <c r="D1342" s="6" t="s">
        <v>3898</v>
      </c>
      <c r="E1342" s="4" t="str">
        <f ca="1">IFERROR(__xludf.DUMMYFUNCTION("GOOGLETRANSLATE(D1342,""auto"",""en"")"),"Target tracking method, device, equipment and storage medium")</f>
        <v>Target tracking method, device, equipment and storage medium</v>
      </c>
    </row>
    <row r="1343" spans="1:5" ht="15" x14ac:dyDescent="0.25">
      <c r="A1343" s="5" t="s">
        <v>3899</v>
      </c>
      <c r="B1343" s="6" t="s">
        <v>3900</v>
      </c>
      <c r="C1343" s="3" t="str">
        <f ca="1">IFERROR(__xludf.DUMMYFUNCTION("GOOGLETRANSLATE(B1343,""auto"",""en"")"),"A system (method) of monitoring and sports activities. The system helps users understand the most suitable sports or sports activities according to different conditions (such as the health and environment of the user) during exercise or exercise, and to d"&amp;"etect whether the user is performing sports activities accurately and effective. The system can also monitor and control user food consumption and health.")</f>
        <v>A system (method) of monitoring and sports activities. The system helps users understand the most suitable sports or sports activities according to different conditions (such as the health and environment of the user) during exercise or exercise, and to detect whether the user is performing sports activities accurately and effective. The system can also monitor and control user food consumption and health.</v>
      </c>
      <c r="D1343" s="6" t="s">
        <v>3901</v>
      </c>
      <c r="E1343" s="4" t="str">
        <f ca="1">IFERROR(__xludf.DUMMYFUNCTION("GOOGLETRANSLATE(D1343,""auto"",""en"")"),"HAMED SD: National Movement, Artificial Intelligence Doctor")</f>
        <v>HAMED SD: National Movement, Artificial Intelligence Doctor</v>
      </c>
    </row>
    <row r="1344" spans="1:5" ht="15" x14ac:dyDescent="0.25">
      <c r="A1344" s="5" t="s">
        <v>3902</v>
      </c>
      <c r="B1344" s="6" t="s">
        <v>3903</v>
      </c>
      <c r="C1344" s="3" t="str">
        <f ca="1">IFERROR(__xludf.DUMMYFUNCTION("GOOGLETRANSLATE(B1344,""auto"",""en"")"),"An artificial intelligence -based e -sports competition management system and methods include vernacular OCR systems, which have automated modules, OCR integrated engines, WinZP vernacular corpus, OCR correction engines and ranking engines. Create a custo"&amp;"m room and extract room credentials according to the configuration of the number of maps and the number of players. Communicate the room voucher to the system of the user registered in the championship. The system has an onlooker mode. Those who continue "&amp;"to join the room by performing OCR are executed, and the name is matched with any registered user ID; if the matching items are not found, the user is kicked out. The system uses e -sports applications to automate the e -sports championship.")</f>
        <v>An artificial intelligence -based e -sports competition management system and methods include vernacular OCR systems, which have automated modules, OCR integrated engines, WinZP vernacular corpus, OCR correction engines and ranking engines. Create a custom room and extract room credentials according to the configuration of the number of maps and the number of players. Communicate the room voucher to the system of the user registered in the championship. The system has an onlooker mode. Those who continue to join the room by performing OCR are executed, and the name is matched with any registered user ID; if the matching items are not found, the user is kicked out. The system uses e -sports applications to automate the e -sports championship.</v>
      </c>
      <c r="D1344" s="6" t="s">
        <v>3904</v>
      </c>
      <c r="E1344" s="4" t="str">
        <f ca="1">IFERROR(__xludf.DUMMYFUNCTION("GOOGLETRANSLATE(D1344,""auto"",""en"")"),"A management system and method of e -sports competition based on artificial intelligence")</f>
        <v>A management system and method of e -sports competition based on artificial intelligence</v>
      </c>
    </row>
    <row r="1345" spans="1:5" ht="15" x14ac:dyDescent="0.25">
      <c r="A1345" s="5" t="s">
        <v>3905</v>
      </c>
      <c r="B1345" s="6" t="s">
        <v>3906</v>
      </c>
      <c r="C1345" s="3" t="str">
        <f ca="1">IFERROR(__xludf.DUMMYFUNCTION("GOOGLETRANSLATE(B1345,""auto"",""en"")"),"The invention disclosed a kind of computer -based smart glasses equipment, including cameras and smart glasses, smart glasses include control components and electronic imaging glasses, and the control parts are connected with electronic imaging glasses an"&amp;"d cameras. The monitoring screen analyzes autonomous information on the abnormal situation of the monitoring screen combined with the knowledge map, and outputs the analysis results information to the electronic imaging glasses to display information. The"&amp;" present invention equipment uses knowledge maps, image recognition and other technologies. Compared with a experienced portable flight coach compared to the pilot, when problems occur, smart glasses can accurately judge the problem point as soon as sugge"&amp;"stion. At the same time, when the camera and microphone in smart glasses, when the pilot operates the aircraft, it gives a variety of options for gesture control and sound control. This multi -mode interaction method reduces the difficulty of the pilot op"&amp;"eration and makes the flight more secure.")</f>
        <v>The invention disclosed a kind of computer -based smart glasses equipment, including cameras and smart glasses, smart glasses include control components and electronic imaging glasses, and the control parts are connected with electronic imaging glasses and cameras. The monitoring screen analyzes autonomous information on the abnormal situation of the monitoring screen combined with the knowledge map, and outputs the analysis results information to the electronic imaging glasses to display information. The present invention equipment uses knowledge maps, image recognition and other technologies. Compared with a experienced portable flight coach compared to the pilot, when problems occur, smart glasses can accurately judge the problem point as soon as suggestion. At the same time, when the camera and microphone in smart glasses, when the pilot operates the aircraft, it gives a variety of options for gesture control and sound control. This multi -mode interaction method reduces the difficulty of the pilot operation and makes the flight more secure.</v>
      </c>
      <c r="D1345" s="6" t="s">
        <v>3907</v>
      </c>
      <c r="E1345" s="4" t="str">
        <f ca="1">IFERROR(__xludf.DUMMYFUNCTION("GOOGLETRANSLATE(D1345,""auto"",""en"")"),"Aircraft smart glasses equipment and aircraft control methods based on the device")</f>
        <v>Aircraft smart glasses equipment and aircraft control methods based on the device</v>
      </c>
    </row>
    <row r="1346" spans="1:5" ht="15" x14ac:dyDescent="0.25">
      <c r="A1346" s="5" t="s">
        <v>3908</v>
      </c>
      <c r="B1346" s="6" t="s">
        <v>3909</v>
      </c>
      <c r="C1346" s="3" t="str">
        <f ca="1">IFERROR(__xludf.DUMMYFUNCTION("GOOGLETRANSLATE(B1346,""auto"",""en"")"),"The present invention discloses a motion scoring method and device based on deep learning 3D attitude analysis. This method includes the following steps: shooting target characters through binocular cameras, obtaining the left lens screen and right lens s"&amp;"creen with target characters, and extraction of the left left The 2D human skeleton of the target person in the lens screen and the right lens screen; the 2D human skeleton of the target person in the left lens screen and the right lens screen, build the "&amp;"3D human skeleton of the target person; extract the multi -frame continuous 3D human skeleton space and space Features; determine the time and space characteristics of the 3D human skeleton of the target character to the standard sports personnel to be te"&amp;"sted, and perform a sports score based on similarity. By determining the time and space characteristics of the 3D human skeleton of the target and standard sports personnel, the present invention performed the athlete's action score to improve the efficie"&amp;"ncy of the scoring and improve the accuracy.")</f>
        <v>The present invention discloses a motion scoring method and device based on deep learning 3D attitude analysis. This method includes the following steps: shooting target characters through binocular cameras, obtaining the left lens screen and right lens screen with target characters, and extraction of the left left The 2D human skeleton of the target person in the lens screen and the right lens screen; the 2D human skeleton of the target person in the left lens screen and the right lens screen, build the 3D human skeleton of the target person; extract the multi -frame continuous 3D human skeleton space and space Features; determine the time and space characteristics of the 3D human skeleton of the target character to the standard sports personnel to be tested, and perform a sports score based on similarity. By determining the time and space characteristics of the 3D human skeleton of the target and standard sports personnel, the present invention performed the athlete's action score to improve the efficiency of the scoring and improve the accuracy.</v>
      </c>
      <c r="D1346" s="6" t="s">
        <v>3910</v>
      </c>
      <c r="E1346" s="4" t="str">
        <f ca="1">IFERROR(__xludf.DUMMYFUNCTION("GOOGLETRANSLATE(D1346,""auto"",""en"")"),"A motion scoring method and device based on deep learning 3D attitude analysis")</f>
        <v>A motion scoring method and device based on deep learning 3D attitude analysis</v>
      </c>
    </row>
    <row r="1347" spans="1:5" ht="15" x14ac:dyDescent="0.25">
      <c r="A1347" s="5" t="s">
        <v>3911</v>
      </c>
      <c r="B1347" s="6" t="s">
        <v>3912</v>
      </c>
      <c r="C1347" s="3" t="str">
        <f ca="1">IFERROR(__xludf.DUMMYFUNCTION("GOOGLETRANSLATE(B1347,""auto"",""en"")"),"The invention provides a portable snowfront friction coefficient automatic measurement of intelligent robots, involving mechanical electronic engineering and sports technology fields. The robot includes mechanical systems, control systems and power supply"&amp;" modules; power supply modules are power supply systems and control systems; mechanical systems include power start -up mechanisms, single motor support lift mechanisms and flywheel mechanisms; The power startup mechanism provides power to the flywheel ro"&amp;"tation to rotate the flywheel; the single motor supports the lifting mechanism to achieve the rise and fall of the flywheel; the control system includes the upper machine, the lower machine and the sensor module; Communication through the serial port; the"&amp;" sensor module collection test environment information and flywheel speed, and transfer to the lower machine; the upper machine calculates the snow surface friction coefficient by the data information received by the lower machine.")</f>
        <v>The invention provides a portable snowfront friction coefficient automatic measurement of intelligent robots, involving mechanical electronic engineering and sports technology fields. The robot includes mechanical systems, control systems and power supply modules; power supply modules are power supply systems and control systems; mechanical systems include power start -up mechanisms, single motor support lift mechanisms and flywheel mechanisms; The power startup mechanism provides power to the flywheel rotation to rotate the flywheel; the single motor supports the lifting mechanism to achieve the rise and fall of the flywheel; the control system includes the upper machine, the lower machine and the sensor module; Communication through the serial port; the sensor module collection test environment information and flywheel speed, and transfer to the lower machine; the upper machine calculates the snow surface friction coefficient by the data information received by the lower machine.</v>
      </c>
      <c r="D1347" s="6" t="s">
        <v>3887</v>
      </c>
      <c r="E1347" s="4" t="str">
        <f ca="1">IFERROR(__xludf.DUMMYFUNCTION("GOOGLETRANSLATE(D1347,""auto"",""en"")"),"A portable snowfront friction coefficient automatically measures intelligent robots")</f>
        <v>A portable snowfront friction coefficient automatically measures intelligent robots</v>
      </c>
    </row>
    <row r="1348" spans="1:5" ht="15" x14ac:dyDescent="0.25">
      <c r="A1348" s="5" t="s">
        <v>3913</v>
      </c>
      <c r="B1348" s="6" t="s">
        <v>3914</v>
      </c>
      <c r="C1348" s="3" t="str">
        <f ca="1">IFERROR(__xludf.DUMMYFUNCTION("GOOGLETRANSLATE(B1348,""auto"",""en"")"),"The present invention involves the field of artificial intelligence technology, and a method, device and storage medium of high -end iterations and self -learning control of machine fish are disclosed. The control method is calculated first to the control"&amp;" gain element in the control gain set, and the target control gain collection is obtained. For the target control gain, the first control input thrust, and the first tracking error, a high -end iteration calculation is performed to obtain the target contr"&amp;"ol input thrust, and then control the input thrust control the mobility of the machine according to the target to obtain the target control input thrust. Expected speed. In this way, the swimming speed of the machine fish in the entire operation space can"&amp;" be fully tracked and quickly converged.")</f>
        <v>The present invention involves the field of artificial intelligence technology, and a method, device and storage medium of high -end iterations and self -learning control of machine fish are disclosed. The control method is calculated first to the control gain element in the control gain set, and the target control gain collection is obtained. For the target control gain, the first control input thrust, and the first tracking error, a high -end iteration calculation is performed to obtain the target control input thrust, and then control the input thrust control the mobility of the machine according to the target to obtain the target control input thrust. Expected speed. In this way, the swimming speed of the machine fish in the entire operation space can be fully tracked and quickly converged.</v>
      </c>
      <c r="D1348" s="6" t="s">
        <v>3915</v>
      </c>
      <c r="E1348" s="4" t="str">
        <f ca="1">IFERROR(__xludf.DUMMYFUNCTION("GOOGLETRANSLATE(D1348,""auto"",""en"")"),"Methods, devices and storage mediums of high -level iteration of machine fish fish")</f>
        <v>Methods, devices and storage mediums of high -level iteration of machine fish fish</v>
      </c>
    </row>
    <row r="1349" spans="1:5" ht="15" x14ac:dyDescent="0.25">
      <c r="A1349" s="5" t="s">
        <v>3916</v>
      </c>
      <c r="B1349" s="6" t="s">
        <v>3917</v>
      </c>
      <c r="C1349" s="3" t="str">
        <f ca="1">IFERROR(__xludf.DUMMYFUNCTION("GOOGLETRANSLATE(B1349,""auto"",""en"")"),"The invention involves G16H 50/30, and specifically involves a comprehensive campus sports health management platform. Including AI behavior recognition systems, intelligent IoT systems, big data management systems, smart operation management systems, C -"&amp;"side user service systems. The comprehensive campus sports health management platform described by the present invention solves the phenomenon of information islands, comprehensively improves the efficiency of physical measurement, and can personalize the"&amp;" movement plan to prevent exercise damage.")</f>
        <v>The invention involves G16H 50/30, and specifically involves a comprehensive campus sports health management platform. Including AI behavior recognition systems, intelligent IoT systems, big data management systems, smart operation management systems, C -side user service systems. The comprehensive campus sports health management platform described by the present invention solves the phenomenon of information islands, comprehensively improves the efficiency of physical measurement, and can personalize the movement plan to prevent exercise damage.</v>
      </c>
      <c r="D1349" s="6" t="s">
        <v>3918</v>
      </c>
      <c r="E1349" s="4" t="str">
        <f ca="1">IFERROR(__xludf.DUMMYFUNCTION("GOOGLETRANSLATE(D1349,""auto"",""en"")"),"A comprehensive management platform for campus sports health")</f>
        <v>A comprehensive management platform for campus sports health</v>
      </c>
    </row>
    <row r="1350" spans="1:5" ht="15" x14ac:dyDescent="0.25">
      <c r="A1350" s="5" t="s">
        <v>3919</v>
      </c>
      <c r="B1350" s="6" t="s">
        <v>3920</v>
      </c>
      <c r="C1350" s="3" t="str">
        <f ca="1">IFERROR(__xludf.DUMMYFUNCTION("GOOGLETRANSLATE(B1350,""auto"",""en"")"),"The present invention provides a method of data recovery based on the game video. Step 1: Calculate the sports project as needed, establish a venue standard template for the actual size of the site; step 2: Use the twin neural network training method to g"&amp;"enerate the training set of labels with the venue standard template and random camera parameters established by step 1 to generate label training sets Image; Step 3: Use the trained neural network to extract the outline characteristics of the venue and es"&amp;"tablish the Camera‑feature database; step 4: After entering the image to be calibrated, use the scenario data recovery algorithm to get the target image to complete the scene data recovery. The invention is used to solve the problem of more interference f"&amp;"actors using vision methods.")</f>
        <v>The present invention provides a method of data recovery based on the game video. Step 1: Calculate the sports project as needed, establish a venue standard template for the actual size of the site; step 2: Use the twin neural network training method to generate the training set of labels with the venue standard template and random camera parameters established by step 1 to generate label training sets Image; Step 3: Use the trained neural network to extract the outline characteristics of the venue and establish the Camera‑feature database; step 4: After entering the image to be calibrated, use the scenario data recovery algorithm to get the target image to complete the scene data recovery. The invention is used to solve the problem of more interference factors using vision methods.</v>
      </c>
      <c r="D1350" s="6" t="s">
        <v>3921</v>
      </c>
      <c r="E1350" s="4" t="str">
        <f ca="1">IFERROR(__xludf.DUMMYFUNCTION("GOOGLETRANSLATE(D1350,""auto"",""en"")"),"A method based on the field data recovery based on the game video")</f>
        <v>A method based on the field data recovery based on the game video</v>
      </c>
    </row>
    <row r="1351" spans="1:5" ht="15" x14ac:dyDescent="0.25">
      <c r="A1351" s="5" t="s">
        <v>3922</v>
      </c>
      <c r="B1351" s="6" t="s">
        <v>3923</v>
      </c>
      <c r="C1351" s="3" t="str">
        <f ca="1">IFERROR(__xludf.DUMMYFUNCTION("GOOGLETRANSLATE(B1351,""auto"",""en"")"),"This utility model opens a venue of intelligent robotic competition, including the shell; the internal of the shell has a activity slot. The bottom of the shell is opened with a tank, which is connected to the internal connection of the active slot in the"&amp;" internal connection of the active slot. On one side of the inner wall of the active slot, there is a sliding board. There is a connection rod, the bottom end of the connection rod is fixed with a battery box; the internal thread connection of the sliding"&amp;" board is connected to a screw; Not only ensure the stability of the battery installation, but also to avoid the loosening of the battery, causing the failure to power the power supply, but through the position of the tank, the battery inside the battery "&amp;"box can be removed and installed. Essence")</f>
        <v>This utility model opens a venue of intelligent robotic competition, including the shell; the internal of the shell has a activity slot. The bottom of the shell is opened with a tank, which is connected to the internal connection of the active slot in the internal connection of the active slot. On one side of the inner wall of the active slot, there is a sliding board. There is a connection rod, the bottom end of the connection rod is fixed with a battery box; the internal thread connection of the sliding board is connected to a screw; Not only ensure the stability of the battery installation, but also to avoid the loosening of the battery, causing the failure to power the power supply, but through the position of the tank, the battery inside the battery box can be removed and installed. Essence</v>
      </c>
      <c r="D1351" s="6" t="s">
        <v>3924</v>
      </c>
      <c r="E1351" s="4" t="str">
        <f ca="1">IFERROR(__xludf.DUMMYFUNCTION("GOOGLETRANSLATE(D1351,""auto"",""en"")"),"A smart robot competition venue")</f>
        <v>A smart robot competition venue</v>
      </c>
    </row>
    <row r="1352" spans="1:5" ht="15" x14ac:dyDescent="0.25">
      <c r="A1352" s="5" t="s">
        <v>3925</v>
      </c>
      <c r="B1352" s="6" t="s">
        <v>3926</v>
      </c>
      <c r="C1352" s="3" t="str">
        <f ca="1">IFERROR(__xludf.DUMMYFUNCTION("GOOGLETRANSLATE(B1352,""auto"",""en"")"),"1. Design product name: The functional operation graphic user interface of the display screen panel.
 2. The purpose of designing products in this exterior: This design product is used for network communication, voice calls, application applications, da"&amp;"ta storage, recording, and picture browsing.
 3. Design of the design of the product in this exterior: lies in the content of the graphic user interface in the screen.
 4. Pictures or photos that can most indicate design points: main view.
 5. The d"&amp;"isplay screen panel is commonly designed, omittime, left view, left view, right view, down -view, upper view.
 6. The purpose of graphical user interface: The display screen panel is used for mobile phones, desktop computers, laptops, tablet computers, "&amp;"embedded computers, televisions, refrigerators, refrigerators, water purifiers, water dispensers, air conditioners, washing machines, water heaters, oil smoke, smoke smoke Machine, dishwasher, integrated stove, steaming oven, rice cooker, electric pressur"&amp;"e cooker, cooking machine, wall breaking machine, water heater, water kettle, induction cooker, microwave oven, juicer, disinfection cabinet, humidifier, humidifier, humidifier, humidifier, humidifier, humidifier, humidifier, humidifier, humidar Watch, re"&amp;"mote control, robot, car navigator, car display, GPS navigator, smart bracelet, dressing mirror, smart glasses, personal digital assistant, smart speaker, set -top box, game machine, fitness monitor, massage device, rehabilitation career , Dryer, lamps, V"&amp;"R glasses, MP4, palm gaming machine, smart doorbell, door lock, fan, smart refrigerator sticker, advertising machine, Bluetooth headset charging box display screen panel, its graphic user interface is used to display pictures or videos , Communication, in"&amp;"formation browsing and operational procedures.
 7. Human -computer interaction method of graphical user interface: You can interact with the icon in the graphic user interface or the graphic user interface of the main view, to load another graphic user "&amp;"interface or running application; wherein the interface ""gray color in the interface"" gray color ""Block"" indicates a variable picture or variable icon.")</f>
        <v>1. Design product name: The functional operation graphic user interface of the display screen panel.
 2. The purpose of designing products in this exterior: This design product is used for network communication, voice calls, application applications, data storage, recording, and picture browsing.
 3. Design of the design of the product in this exterior: lies in the content of the graphic user interface in the screen.
 4. Pictures or photos that can most indicate design points: main view.
 5. The display screen panel is commonly designed, omittime, left view, left view, right view, down -view, upper view.
 6. The purpose of graphical user interface: The display screen panel is used for mobile phones, desktop computers, laptops, tablet computers, embedded computers, televisions, refrigerators, refrigerators, water purifiers, water dispensers, air conditioners, washing machines, water heaters, oil smoke, smoke smoke Machine, dishwasher, integrated stove, steaming oven, rice cooker, electric pressure cooker, cooking machine, wall breaking machine, water heater, water kettle, induction cooker, microwave oven, juicer, disinfection cabinet, humidifier, humidifier, humidifier, humidifier, humidifier, humidifier, humidifier, humidifier, humidar Watch, remote control, robot, car navigator, car display, GPS navigator, smart bracelet, dressing mirror, smart glasses, personal digital assistant, smart speaker, set -top box, game machine, fitness monitor, massage device, rehabilitation career , Dryer, lamps, VR glasses, MP4, palm gaming machine, smart doorbell, door lock, fan, smart refrigerator sticker, advertising machine, Bluetooth headset charging box display screen panel, its graphic user interface is used to display pictures or videos , Communication, information browsing and operational procedures.
 7. Human -computer interaction method of graphical user interface: You can interact with the icon in the graphic user interface or the graphic user interface of the main view, to load another graphic user interface or running application; wherein the interface "gray color in the interface" gray color "Block" indicates a variable picture or variable icon.</v>
      </c>
      <c r="D1352" s="6" t="s">
        <v>3927</v>
      </c>
      <c r="E1352" s="4" t="str">
        <f ca="1">IFERROR(__xludf.DUMMYFUNCTION("GOOGLETRANSLATE(D1352,""auto"",""en"")"),"The functional operation graphical user interface of the display screen panel")</f>
        <v>The functional operation graphical user interface of the display screen panel</v>
      </c>
    </row>
    <row r="1353" spans="1:5" ht="15" x14ac:dyDescent="0.25">
      <c r="A1353" s="5" t="s">
        <v>3928</v>
      </c>
      <c r="B1353" s="6" t="s">
        <v>518</v>
      </c>
      <c r="C1353" s="3" t="str">
        <f ca="1">IFERROR(__xludf.DUMMYFUNCTION("GOOGLETRANSLATE(B1353,""auto"",""en"")"),"-")</f>
        <v>-</v>
      </c>
      <c r="D1353" s="6" t="s">
        <v>3929</v>
      </c>
      <c r="E1353" s="4" t="str">
        <f ca="1">IFERROR(__xludf.DUMMYFUNCTION("GOOGLETRANSLATE(D1353,""auto"",""en"")"),"Artificial intelligence -recognized sports action challenge")</f>
        <v>Artificial intelligence -recognized sports action challenge</v>
      </c>
    </row>
    <row r="1354" spans="1:5" ht="15" x14ac:dyDescent="0.25">
      <c r="A1354" s="5" t="s">
        <v>3930</v>
      </c>
      <c r="B1354" s="6" t="s">
        <v>3931</v>
      </c>
      <c r="C1354" s="3" t="str">
        <f ca="1">IFERROR(__xludf.DUMMYFUNCTION("GOOGLETRANSLATE(B1354,""auto"",""en"")"),"Various embodiments involve a computer system and method, which is used to detect target images based on voice recognition from game videos, converts the broadcast voice of game videos to text during the sports competition, and generate game videos based "&amp;"on this text. Can be configured as target images related to predetermined events from it")</f>
        <v>Various embodiments involve a computer system and method, which is used to detect target images based on voice recognition from game videos, converts the broadcast voice of game videos to text during the sports competition, and generate game videos based on this text. Can be configured as target images related to predetermined events from it</v>
      </c>
      <c r="D1354" s="6" t="s">
        <v>3932</v>
      </c>
      <c r="E1354" s="4" t="str">
        <f ca="1">IFERROR(__xludf.DUMMYFUNCTION("GOOGLETRANSLATE(D1354,""auto"",""en"")"),"Voice recognition video target image detection computer system and method")</f>
        <v>Voice recognition video target image detection computer system and method</v>
      </c>
    </row>
    <row r="1355" spans="1:5" ht="15" x14ac:dyDescent="0.25">
      <c r="A1355" s="5" t="s">
        <v>3933</v>
      </c>
      <c r="B1355" s="6" t="s">
        <v>3934</v>
      </c>
      <c r="C1355" s="3" t="str">
        <f ca="1">IFERROR(__xludf.DUMMYFUNCTION("GOOGLETRANSLATE(B1355,""auto"",""en"")"),"The present invention provides a billiard training method and system based on the strike angle and strength. Among them, the method includes: determine the projection content according to the user's operating instructions and project it to the desktop of "&amp;"the table ball table through the projector; obtain the image of the desktop, and obtain the image of the desktop. Based on image recognition technology recognition images to determine whether the user hit the ball; if you hit the ball, determine the hit a"&amp;"ngle and hit force of the moment of the shot pole through the preset sensor; If it is not correct, remind users. Based on the fighting angle and strength of the present invention, the billiard training method and system of strength and strength, by determ"&amp;"ining whether the user's instantaneous strike angle and strength of the hitting ball in the process of billiards are determined. The guidance of the angle and intensity of the ball is difficult to express the burden, which is difficult to express their bu"&amp;"rdens. At the same time, when the coach is not there, the students can also conduct training and strength training.")</f>
        <v>The present invention provides a billiard training method and system based on the strike angle and strength. Among them, the method includes: determine the projection content according to the user's operating instructions and project it to the desktop of the table ball table through the projector; obtain the image of the desktop, and obtain the image of the desktop. Based on image recognition technology recognition images to determine whether the user hit the ball; if you hit the ball, determine the hit angle and hit force of the moment of the shot pole through the preset sensor; If it is not correct, remind users. Based on the fighting angle and strength of the present invention, the billiard training method and system of strength and strength, by determining whether the user's instantaneous strike angle and strength of the hitting ball in the process of billiards are determined. The guidance of the angle and intensity of the ball is difficult to express the burden, which is difficult to express their burdens. At the same time, when the coach is not there, the students can also conduct training and strength training.</v>
      </c>
      <c r="D1355" s="6" t="s">
        <v>3935</v>
      </c>
      <c r="E1355" s="4" t="str">
        <f ca="1">IFERROR(__xludf.DUMMYFUNCTION("GOOGLETRANSLATE(D1355,""auto"",""en"")"),"A basin training method and system based on the strike angle and strength")</f>
        <v>A basin training method and system based on the strike angle and strength</v>
      </c>
    </row>
    <row r="1356" spans="1:5" ht="15" x14ac:dyDescent="0.25">
      <c r="A1356" s="5" t="s">
        <v>3936</v>
      </c>
      <c r="B1356" s="6" t="s">
        <v>3937</v>
      </c>
      <c r="C1356" s="3" t="str">
        <f ca="1">IFERROR(__xludf.DUMMYFUNCTION("GOOGLETRANSLATE(B1356,""auto"",""en"")"),"This utility model provides a smart fitness equipment, which includes a host and a fitness equipment connected to the host, which includes control modules, display screens, and connecting parts used to connect to fitness equipment. The main body and the c"&amp;"ontact component set on the main body of the fitness device. The user realizes the human -computer interaction with the host through the display screen. The control module also collects user fitness data through the contact component connected to its data"&amp;", which presents the display screen to the user in a visualized form.")</f>
        <v>This utility model provides a smart fitness equipment, which includes a host and a fitness equipment connected to the host, which includes control modules, display screens, and connecting parts used to connect to fitness equipment. The main body and the contact component set on the main body of the fitness device. The user realizes the human -computer interaction with the host through the display screen. The control module also collects user fitness data through the contact component connected to its data, which presents the display screen to the user in a visualized form.</v>
      </c>
      <c r="D1356" s="6" t="s">
        <v>3938</v>
      </c>
      <c r="E1356" s="4" t="str">
        <f ca="1">IFERROR(__xludf.DUMMYFUNCTION("GOOGLETRANSLATE(D1356,""auto"",""en"")"),"A smart fitness device")</f>
        <v>A smart fitness device</v>
      </c>
    </row>
    <row r="1357" spans="1:5" ht="15" x14ac:dyDescent="0.25">
      <c r="A1357" s="5" t="s">
        <v>3939</v>
      </c>
      <c r="B1357" s="6" t="s">
        <v>3940</v>
      </c>
      <c r="C1357" s="3" t="str">
        <f ca="1">IFERROR(__xludf.DUMMYFUNCTION("GOOGLETRANSLATE(B1357,""auto"",""en"")"),"This utility model involves the field of Internet of Things technology, which is specifically a commercial IoT fitness device, including the whole of the fitness vehicle. There is the first screw hole, and the two first screw holes on the same side are lo"&amp;"cated at both ends of the guide rail on the same side. There is a circular positioning hole on both sides of the top, which is inserted inside the circular positioning hole with a fixed bolt, which is connected to the first screw holes corresponding to it"&amp;" corresponding to it. The advantage of the practical new model is that the display screen can be used to make different sports according to different people after the Internet, and the exercise data can be fed back to the fitness people. The noise caused "&amp;"by the deformation of the road enhances the exercise experience.")</f>
        <v>This utility model involves the field of Internet of Things technology, which is specifically a commercial IoT fitness device, including the whole of the fitness vehicle. There is the first screw hole, and the two first screw holes on the same side are located at both ends of the guide rail on the same side. There is a circular positioning hole on both sides of the top, which is inserted inside the circular positioning hole with a fixed bolt, which is connected to the first screw holes corresponding to it corresponding to it. The advantage of the practical new model is that the display screen can be used to make different sports according to different people after the Internet, and the exercise data can be fed back to the fitness people. The noise caused by the deformation of the road enhances the exercise experience.</v>
      </c>
      <c r="D1357" s="6" t="s">
        <v>3941</v>
      </c>
      <c r="E1357" s="4" t="str">
        <f ca="1">IFERROR(__xludf.DUMMYFUNCTION("GOOGLETRANSLATE(D1357,""auto"",""en"")"),"A commercial Internet of Things fitness device")</f>
        <v>A commercial Internet of Things fitness device</v>
      </c>
    </row>
    <row r="1358" spans="1:5" ht="15" x14ac:dyDescent="0.25">
      <c r="A1358" s="5" t="s">
        <v>3942</v>
      </c>
      <c r="B1358" s="6" t="s">
        <v>3943</v>
      </c>
      <c r="C1358" s="3" t="str">
        <f ca="1">IFERROR(__xludf.DUMMYFUNCTION("GOOGLETRANSLATE(B1358,""auto"",""en"")"),"A sports video display system was released. According to one aspect of the present invention, the camera unit is used to generate the volume capture data of the trainee in the form of a three -dimensional image by shooting the trainer's movement; the anal"&amp;"ysis unit uses machine learning algorithm analysis volume capture data to classify and test Each body part of the motion error, and the machine learning algorithm uses expert assessment as a reward to strengthen the learning; display units for 3D images f"&amp;"or the trainer based on volume capture data, extract the display analysis unit from 3D images to detect motion to detect motion. The error image of the wrong body part is displayed and the image is displayed.; And the user interface that can rotate 3D ima"&amp;"ges. Among them, the motion error image is extracted in the state of rotating 3D images, so that the motion error can be observed.")</f>
        <v>A sports video display system was released. According to one aspect of the present invention, the camera unit is used to generate the volume capture data of the trainee in the form of a three -dimensional image by shooting the trainer's movement; the analysis unit uses machine learning algorithm analysis volume capture data to classify and test Each body part of the motion error, and the machine learning algorithm uses expert assessment as a reward to strengthen the learning; display units for 3D images for the trainer based on volume capture data, extract the display analysis unit from 3D images to detect motion to detect motion. The error image of the wrong body part is displayed and the image is displayed.; And the user interface that can rotate 3D images. Among them, the motion error image is extracted in the state of rotating 3D images, so that the motion error can be observed.</v>
      </c>
      <c r="D1358" s="6" t="s">
        <v>3944</v>
      </c>
      <c r="E1358" s="4" t="str">
        <f ca="1">IFERROR(__xludf.DUMMYFUNCTION("GOOGLETRANSLATE(D1358,""auto"",""en"")"),"Sports video display system")</f>
        <v>Sports video display system</v>
      </c>
    </row>
    <row r="1359" spans="1:5" ht="15" x14ac:dyDescent="0.25">
      <c r="A1359" s="5" t="s">
        <v>3945</v>
      </c>
      <c r="B1359" s="6" t="s">
        <v>3946</v>
      </c>
      <c r="C1359" s="3" t="str">
        <f ca="1">IFERROR(__xludf.DUMMYFUNCTION("GOOGLETRANSLATE(B1359,""auto"",""en"")"),"The invention is based on the intelligent building health management system and methods of the Internet of Things technology. It belongs to the field of wisdom decision -making control of basic IoT technology and big data technology. The intelligent build"&amp;"ing health management system of the present invention includes commercial sensors, embedded systems, wireless sensor networks, control systems, communication systems, mobile terminal systems, computing decision -making systems, and smart display systems. "&amp;"Gym and smart bathroom. The present invention also provides a method of smart building health management system. It uses IoT technology to collect daily diet data, health information, and daily sports information of each employee. Based on big data techno"&amp;"logy, the MAMDANI fuzzy reasoning method is used to analyze it for analysis. Each employee customizes an exclusive health plan to meet the diversified health needs of employees, provide strong support services for the scientific health management of smart"&amp;" buildings, reduce physical health risks, and improve employee work efficiency.")</f>
        <v>The invention is based on the intelligent building health management system and methods of the Internet of Things technology. It belongs to the field of wisdom decision -making control of basic IoT technology and big data technology. The intelligent building health management system of the present invention includes commercial sensors, embedded systems, wireless sensor networks, control systems, communication systems, mobile terminal systems, computing decision -making systems, and smart display systems. Gym and smart bathroom. The present invention also provides a method of smart building health management system. It uses IoT technology to collect daily diet data, health information, and daily sports information of each employee. Based on big data technology, the MAMDANI fuzzy reasoning method is used to analyze it for analysis. Each employee customizes an exclusive health plan to meet the diversified health needs of employees, provide strong support services for the scientific health management of smart buildings, reduce physical health risks, and improve employee work efficiency.</v>
      </c>
      <c r="D1359" s="6" t="s">
        <v>3947</v>
      </c>
      <c r="E1359" s="4" t="str">
        <f ca="1">IFERROR(__xludf.DUMMYFUNCTION("GOOGLETRANSLATE(D1359,""auto"",""en"")"),"A smart building health management system and method based on IoT technology")</f>
        <v>A smart building health management system and method based on IoT technology</v>
      </c>
    </row>
    <row r="1360" spans="1:5" ht="15" x14ac:dyDescent="0.25">
      <c r="A1360" s="5" t="s">
        <v>3948</v>
      </c>
      <c r="B1360" s="6" t="s">
        <v>3949</v>
      </c>
      <c r="C1360" s="3" t="str">
        <f ca="1">IFERROR(__xludf.DUMMYFUNCTION("GOOGLETRANSLATE(B1360,""auto"",""en"")"),"It is recommended to combine the wearable movement posture of IoT technology to evaluate the equipment for rehabilitation training and daily athletes. By selecting a professional coach to wear this system and analyzing and processing the actual measuremen"&amp;"t of sports information, the idea was verified with a standard motion posture. The test results show that the system can monitor and exercise online. The results of the data analysis have certain reference value for evaluating the condition of the patient"&amp;"'s recovery and the daily evaluation of the athletes.")</f>
        <v>It is recommended to combine the wearable movement posture of IoT technology to evaluate the equipment for rehabilitation training and daily athletes. By selecting a professional coach to wear this system and analyzing and processing the actual measurement of sports information, the idea was verified with a standard motion posture. The test results show that the system can monitor and exercise online. The results of the data analysis have certain reference value for evaluating the condition of the patient's recovery and the daily evaluation of the athletes.</v>
      </c>
      <c r="D1360" s="6" t="s">
        <v>3950</v>
      </c>
      <c r="E1360" s="4" t="str">
        <f ca="1">IFERROR(__xludf.DUMMYFUNCTION("GOOGLETRANSLATE(D1360,""auto"",""en"")"),"Use the wearable sensor network and the Internet of Things for health assessment")</f>
        <v>Use the wearable sensor network and the Internet of Things for health assessment</v>
      </c>
    </row>
    <row r="1361" spans="1:5" ht="15" x14ac:dyDescent="0.25">
      <c r="A1361" s="5" t="s">
        <v>3951</v>
      </c>
      <c r="B1361" s="6" t="s">
        <v>3952</v>
      </c>
      <c r="C1361" s="3" t="str">
        <f ca="1">IFERROR(__xludf.DUMMYFUNCTION("GOOGLETRANSLATE(B1361,""auto"",""en"")"),"Provides an electronic equipment and methods using an incarnation based on augmented reality for personalized fitness activities. Electronic equipment receives the first set of images of the first user. Capture the first set of images within the duration "&amp;"of the first user's participation in the first fitness activities. Electronic equipment generates augmented reality display based on the first set of images including the image of the first incarnation and the first user. Electronic equipment also control"&amp;"s the reinforcement reality display of the device rendering. Electronic equipment also determines the posture information of the first user based on the first set of images. Electronic equipment determines real -time feedback based on the first neural net"&amp;"work model of determined posture information. Electronic equipment controls real -time feedback determined in the augmented reality display.")</f>
        <v>Provides an electronic equipment and methods using an incarnation based on augmented reality for personalized fitness activities. Electronic equipment receives the first set of images of the first user. Capture the first set of images within the duration of the first user's participation in the first fitness activities. Electronic equipment generates augmented reality display based on the first set of images including the image of the first incarnation and the first user. Electronic equipment also controls the reinforcement reality display of the device rendering. Electronic equipment also determines the posture information of the first user based on the first set of images. Electronic equipment determines real -time feedback based on the first neural network model of determined posture information. Electronic equipment controls real -time feedback determined in the augmented reality display.</v>
      </c>
      <c r="D1361" s="6" t="s">
        <v>3953</v>
      </c>
      <c r="E1361" s="4" t="str">
        <f ca="1">IFERROR(__xludf.DUMMYFUNCTION("GOOGLETRANSLATE(D1361,""auto"",""en"")"),"Use the incarnation based on augmented reality for personalized fitness activities training")</f>
        <v>Use the incarnation based on augmented reality for personalized fitness activities training</v>
      </c>
    </row>
    <row r="1362" spans="1:5" ht="15" x14ac:dyDescent="0.25">
      <c r="A1362" s="5" t="s">
        <v>3954</v>
      </c>
      <c r="B1362" s="6" t="s">
        <v>3955</v>
      </c>
      <c r="C1362" s="3" t="str">
        <f ca="1">IFERROR(__xludf.DUMMYFUNCTION("GOOGLETRANSLATE(B1362,""auto"",""en"")"),"This application is applicable to the field of terminal technology, especially involving fitness guidance methods, electronic equipment and computer readables based on artificial intelligence (AI) technology. Determine the amount of movement and motion pa"&amp;"rts of the user according to each exercise data, so as to output fitness guidance information according to the motion volume of the motion site to guide the user to perform fitness. That is to say, this method can accurately determine the amount of moveme"&amp;"nt of each movement of the user based on the motion data collected by each electronic equipment to accurately evaluate the current fitness situation of each movement part of the user, so as to intelligently recommend fitness solutions or adjust pre -set s"&amp;"ettings according to the current fitness situation of each movement site. The fitness plan to effectively guide users to fitness, so that users' fitness exercises fit the user's fitness goals, improve the guidance effect, and improve the user experience.")</f>
        <v>This application is applicable to the field of terminal technology, especially involving fitness guidance methods, electronic equipment and computer readables based on artificial intelligence (AI) technology. Determine the amount of movement and motion parts of the user according to each exercise data, so as to output fitness guidance information according to the motion volume of the motion site to guide the user to perform fitness. That is to say, this method can accurately determine the amount of movement of each movement of the user based on the motion data collected by each electronic equipment to accurately evaluate the current fitness situation of each movement part of the user, so as to intelligently recommend fitness solutions or adjust pre -set settings according to the current fitness situation of each movement site. The fitness plan to effectively guide users to fitness, so that users' fitness exercises fit the user's fitness goals, improve the guidance effect, and improve the user experience.</v>
      </c>
      <c r="D1362" s="6" t="s">
        <v>3956</v>
      </c>
      <c r="E1362" s="4" t="str">
        <f ca="1">IFERROR(__xludf.DUMMYFUNCTION("GOOGLETRANSLATE(D1362,""auto"",""en"")"),"Fitness guidance methods, electronic equipment and computer readable storage media")</f>
        <v>Fitness guidance methods, electronic equipment and computer readable storage media</v>
      </c>
    </row>
    <row r="1363" spans="1:5" ht="15" x14ac:dyDescent="0.25">
      <c r="A1363" s="5" t="s">
        <v>3957</v>
      </c>
      <c r="B1363" s="6" t="s">
        <v>3958</v>
      </c>
      <c r="C1363" s="3" t="str">
        <f ca="1">IFERROR(__xludf.DUMMYFUNCTION("GOOGLETRANSLATE(B1363,""auto"",""en"")"),"The present invention disclosed a method of motion recognition method for smart barbells, including: 1. Get different three -axis gravity acceleration, three -axis acceleration, and three -axis angle speed corresponding to different types of barbell actio"&amp;"n types, respectively. The original dataset is prepared to get the training sample set; The three -axis acceleration, three -axis gravity acceleration, and three -axis angle speed Jiuxi data during the barbell fitness exercise can identify the type of mot"&amp;"ion of barbell through the type of barbell action type; In the starting state, the linear acceleration of the barbell exceeds the return threshold, and when the current time point and the start time point are interval, the number of movements is accumulat"&amp;"ed once.")</f>
        <v>The present invention disclosed a method of motion recognition method for smart barbells, including: 1. Get different three -axis gravity acceleration, three -axis acceleration, and three -axis angle speed corresponding to different types of barbell action types, respectively. The original dataset is prepared to get the training sample set; The three -axis acceleration, three -axis gravity acceleration, and three -axis angle speed Jiuxi data during the barbell fitness exercise can identify the type of motion of barbell through the type of barbell action type; In the starting state, the linear acceleration of the barbell exceeds the return threshold, and when the current time point and the start time point are interval, the number of movements is accumulated once.</v>
      </c>
      <c r="D1363" s="6" t="s">
        <v>3959</v>
      </c>
      <c r="E1363" s="4" t="str">
        <f ca="1">IFERROR(__xludf.DUMMYFUNCTION("GOOGLETRANSLATE(D1363,""auto"",""en"")"),"A way of motion recognition for smart barbells")</f>
        <v>A way of motion recognition for smart barbells</v>
      </c>
    </row>
    <row r="1364" spans="1:5" ht="15" x14ac:dyDescent="0.25">
      <c r="A1364" s="5" t="s">
        <v>3960</v>
      </c>
      <c r="B1364" s="6" t="s">
        <v>3961</v>
      </c>
      <c r="C1364" s="3" t="str">
        <f ca="1">IFERROR(__xludf.DUMMYFUNCTION("GOOGLETRANSLATE(B1364,""auto"",""en"")"),"1. Design product name: Smart fitness mirror (magic mirror).
 2. The purpose of designing products in this exterior: This design product is used in the field of intelligent fitness, and multimedia functional display, big data collection, image collectio"&amp;"n, and human -computer interaction.
 3. Design of the design of the product in appearance: lies in the shape of the product.
 4. Pictures or photos that can most indicate design points: Design 1 stereo drawing 1.
 5. Specify design 1 is the basic de"&amp;"sign.
 6. Others: The magnification of the A amplifier of the A is the magnification of the A in the three -dimensional figure 1 in the three -dimensional figure, and the magnification of the B amplifier is the magnifying map of the B in part 1 in the t"&amp;"hree -dimensional figure 1; the design of the product can be folded and stored.")</f>
        <v>1. Design product name: Smart fitness mirror (magic mirror).
 2. The purpose of designing products in this exterior: This design product is used in the field of intelligent fitness, and multimedia functional display, big data collection, image collection, and human -computer interaction.
 3. Design of the design of the product in appearance: lies in the shape of the product.
 4. Pictures or photos that can most indicate design points: Design 1 stereo drawing 1.
 5. Specify design 1 is the basic design.
 6. Others: The magnification of the A amplifier of the A is the magnification of the A in the three -dimensional figure 1 in the three -dimensional figure, and the magnification of the B amplifier is the magnifying map of the B in part 1 in the three -dimensional figure 1; the design of the product can be folded and stored.</v>
      </c>
      <c r="D1364" s="6" t="s">
        <v>3962</v>
      </c>
      <c r="E1364" s="4" t="str">
        <f ca="1">IFERROR(__xludf.DUMMYFUNCTION("GOOGLETRANSLATE(D1364,""auto"",""en"")"),"Intelligent fitness mirror (magic mirror)")</f>
        <v>Intelligent fitness mirror (magic mirror)</v>
      </c>
    </row>
    <row r="1365" spans="1:5" ht="15" x14ac:dyDescent="0.25">
      <c r="A1365" s="5" t="s">
        <v>3963</v>
      </c>
      <c r="B1365" s="6" t="s">
        <v>3964</v>
      </c>
      <c r="C1365" s="3" t="str">
        <f ca="1">IFERROR(__xludf.DUMMYFUNCTION("GOOGLETRANSLATE(B1365,""auto"",""en"")"),"The concept of the Internet of Things (IoT) and machine learning (ML) is often used in medical diagnosis and treatment to monitor the patient's state. By using the function of the wearable sensor system with sensors, the Internet of Things has been used t"&amp;"o develop the system, and the patient's companion is notified when abnormal conditions occur. ML uses training models to help medical diagnosis to identify any abnormalities in the patient's condition. This framework uses pulse blood oxygen meter, tempera"&amp;"ture sensor and other equipment to track the health of patients. The required data is collected and stored in the cloud through IoT devices. The Internet of Things is used to analyze, classify, and exchange medical data between users and medical care prof"&amp;"essionals. The data will be stored in the Cloud Internet of Things. The device collects data from various sensors used for patient monitoring, and transmits it to the hospital and uses artificial intelligence (AI) and ML algorithms in the hospital databas"&amp;"e , For example: the user should be classified as infected or infected, and the classification -based strategy is used. We use fuzzy K neighboring technology to classify the user into a infection group or an unborn group, and distinguish the similar coeff"&amp;"icient according to the patient's symptoms. If any omissions happen immediately, patients can obtain tailor -made attention through wearable devices (such as fitness belts) and other wireless connection devices (such as blood pressure and heart rate monit"&amp;"oring cuffs, blood glucose meters, etc.). These devices can be set to remind you to count, exercise, dating, blood pressure fluctuations and other things. The Internet of Things has changed people's lives, especially the lives of elderly patients, so that"&amp;" they can track their health in real time. This has a great impact on single parents and their families. If a person's normal behavior is disturbed or changed, the alarm system will send information to family members, doctors, nursing staff and other rela"&amp;"ted medical service providers.")</f>
        <v>The concept of the Internet of Things (IoT) and machine learning (ML) is often used in medical diagnosis and treatment to monitor the patient's state. By using the function of the wearable sensor system with sensors, the Internet of Things has been used to develop the system, and the patient's companion is notified when abnormal conditions occur. ML uses training models to help medical diagnosis to identify any abnormalities in the patient's condition. This framework uses pulse blood oxygen meter, temperature sensor and other equipment to track the health of patients. The required data is collected and stored in the cloud through IoT devices. The Internet of Things is used to analyze, classify, and exchange medical data between users and medical care professionals. The data will be stored in the Cloud Internet of Things. The device collects data from various sensors used for patient monitoring, and transmits it to the hospital and uses artificial intelligence (AI) and ML algorithms in the hospital database , For example: the user should be classified as infected or infected, and the classification -based strategy is used. We use fuzzy K neighboring technology to classify the user into a infection group or an unborn group, and distinguish the similar coefficient according to the patient's symptoms. If any omissions happen immediately, patients can obtain tailor -made attention through wearable devices (such as fitness belts) and other wireless connection devices (such as blood pressure and heart rate monitoring cuffs, blood glucose meters, etc.). These devices can be set to remind you to count, exercise, dating, blood pressure fluctuations and other things. The Internet of Things has changed people's lives, especially the lives of elderly patients, so that they can track their health in real time. This has a great impact on single parents and their families. If a person's normal behavior is disturbed or changed, the alarm system will send information to family members, doctors, nursing staff and other related medical service providers.</v>
      </c>
      <c r="D1365" s="6" t="s">
        <v>3965</v>
      </c>
      <c r="E1365" s="4" t="str">
        <f ca="1">IFERROR(__xludf.DUMMYFUNCTION("GOOGLETRANSLATE(D1365,""auto"",""en"")"),"The health care management system enabled by the Internet of Things (IoT) is used for remote monitoring patients for intelligent care")</f>
        <v>The health care management system enabled by the Internet of Things (IoT) is used for remote monitoring patients for intelligent care</v>
      </c>
    </row>
    <row r="1366" spans="1:5" ht="15" x14ac:dyDescent="0.25">
      <c r="A1366" s="5" t="s">
        <v>3966</v>
      </c>
      <c r="B1366" s="6" t="s">
        <v>3967</v>
      </c>
      <c r="C1366" s="3" t="str">
        <f ca="1">IFERROR(__xludf.DUMMYFUNCTION("GOOGLETRANSLATE(B1366,""auto"",""en"")"),"The invention disclosed a method optimization method based on RBF and MOPSO. It belongs to the field of computer integration manufacturing technology. The specific operation steps are as follows: Establish a welding process test solution based on the orth"&amp;"ogonal experimental design method; conduct the welding process simulation test based on the thermal bomb plasticity analysis method. Effective experimental data sets of quality; accurately predict the quality of welding joints with the RBF algorithm, and "&amp;"express the function relationship between the welding process parameters and the welding quality in a broad sense; use the welding molding coefficient and the remaining height coefficient as the optimization goal. The invention solves the problem of compr"&amp;"ehensive optimization of process parameters in ship T -type components welded by a multi -target particle cluster optimization algorithm combined with an RBF neural network and a multi -target particle group optimization algorithm with its own adaptive we"&amp;"ight strategies. The reference value improves the quality and efficiency of the welding process design.")</f>
        <v>The invention disclosed a method optimization method based on RBF and MOPSO. It belongs to the field of computer integration manufacturing technology. The specific operation steps are as follows: Establish a welding process test solution based on the orthogonal experimental design method; conduct the welding process simulation test based on the thermal bomb plasticity analysis method. Effective experimental data sets of quality; accurately predict the quality of welding joints with the RBF algorithm, and express the function relationship between the welding process parameters and the welding quality in a broad sense; use the welding molding coefficient and the remaining height coefficient as the optimization goal. The invention solves the problem of comprehensive optimization of process parameters in ship T -type components welded by a multi -target particle cluster optimization algorithm combined with an RBF neural network and a multi -target particle group optimization algorithm with its own adaptive weight strategies. The reference value improves the quality and efficiency of the welding process design.</v>
      </c>
      <c r="D1366" s="6" t="s">
        <v>3968</v>
      </c>
      <c r="E1366" s="4" t="str">
        <f ca="1">IFERROR(__xludf.DUMMYFUNCTION("GOOGLETRANSLATE(D1366,""auto"",""en"")"),"A method optimization method based on RBF and MOPSO ship welding process")</f>
        <v>A method optimization method based on RBF and MOPSO ship welding process</v>
      </c>
    </row>
    <row r="1367" spans="1:5" ht="15" x14ac:dyDescent="0.25">
      <c r="A1367" s="5" t="s">
        <v>3969</v>
      </c>
      <c r="B1367" s="6" t="s">
        <v>3970</v>
      </c>
      <c r="C1367" s="3" t="str">
        <f ca="1">IFERROR(__xludf.DUMMYFUNCTION("GOOGLETRANSLATE(B1367,""auto"",""en"")"),"This utility model opens up a sports movement attitude analysis system based on artificial intelligence, including the bottom plate, which is fixed in the center of the bottom plate with a column. The output of the motor is fixed with a threaded rod. The "&amp;"top of the thread rod is connected to the top of the inner cavity of the column through the bearing rotation. This utility model can drive the concave box and the camera's body to move up and down by setting up the servo motor, thread rod, thread sleeve a"&amp;"nd connecting rod, adjust the height of the camera's body. By setting up the electric cylinder, tooth plate and gear, the rod can be driven to drive the rod. Turn, then drive the camera's body to flip up and down, adjust the upper and lower angles of the "&amp;"camera body, and use the above structure to have the advantages of adjusting the camera according to the student's movement.")</f>
        <v>This utility model opens up a sports movement attitude analysis system based on artificial intelligence, including the bottom plate, which is fixed in the center of the bottom plate with a column. The output of the motor is fixed with a threaded rod. The top of the thread rod is connected to the top of the inner cavity of the column through the bearing rotation. This utility model can drive the concave box and the camera's body to move up and down by setting up the servo motor, thread rod, thread sleeve and connecting rod, adjust the height of the camera's body. By setting up the electric cylinder, tooth plate and gear, the rod can be driven to drive the rod. Turn, then drive the camera's body to flip up and down, adjust the upper and lower angles of the camera body, and use the above structure to have the advantages of adjusting the camera according to the student's movement.</v>
      </c>
      <c r="D1367" s="6" t="s">
        <v>3971</v>
      </c>
      <c r="E1367" s="4" t="str">
        <f ca="1">IFERROR(__xludf.DUMMYFUNCTION("GOOGLETRANSLATE(D1367,""auto"",""en"")"),"An analysis system based on artificial intelligence -based sports movement posture")</f>
        <v>An analysis system based on artificial intelligence -based sports movement posture</v>
      </c>
    </row>
    <row r="1368" spans="1:5" ht="15" x14ac:dyDescent="0.25">
      <c r="A1368" s="5" t="s">
        <v>3972</v>
      </c>
      <c r="B1368" s="6" t="s">
        <v>3973</v>
      </c>
      <c r="C1368" s="3" t="str">
        <f ca="1">IFERROR(__xludf.DUMMYFUNCTION("GOOGLETRANSLATE(B1368,""auto"",""en"")"),"The present invention disclosed a method of artificial intelligence predicting lithium -ion battery loading status, involving the field of lithium -ion battery detection technology. This method of artificial intelligence predicts lithium -ion battery load"&amp;"ing status, the specific operation steps are as follows: S1, detect the SOC value A, SOC value B, and SOC value C of the lithium battery, S2, the control chip according to the preset parameter to electric to electric Lithium batteries in the car are compa"&amp;"red, S3, external temperature, and current status are compared to obtain electric vehicle loads. S3, control chip sends the loading status obtained by S4 to the main control panel of the electric vehicle. This method of artificial intelligence predicting "&amp;"lithium -ion battery loading status can estimate the temperature of the temperature of the temperature and current current during the running of different batteries and the current of the current current. Time costs improve the detection efficiency, and f"&amp;"acilitate the rapid and accurate calculation of the health state of the battery.")</f>
        <v>The present invention disclosed a method of artificial intelligence predicting lithium -ion battery loading status, involving the field of lithium -ion battery detection technology. This method of artificial intelligence predicts lithium -ion battery loading status, the specific operation steps are as follows: S1, detect the SOC value A, SOC value B, and SOC value C of the lithium battery, S2, the control chip according to the preset parameter to electric to electric Lithium batteries in the car are compared, S3, external temperature, and current status are compared to obtain electric vehicle loads. S3, control chip sends the loading status obtained by S4 to the main control panel of the electric vehicle. This method of artificial intelligence predicting lithium -ion battery loading status can estimate the temperature of the temperature of the temperature and current current during the running of different batteries and the current of the current current. Time costs improve the detection efficiency, and facilitate the rapid and accurate calculation of the health state of the battery.</v>
      </c>
      <c r="D1368" s="6" t="s">
        <v>3974</v>
      </c>
      <c r="E1368" s="4" t="str">
        <f ca="1">IFERROR(__xludf.DUMMYFUNCTION("GOOGLETRANSLATE(D1368,""auto"",""en"")"),"A method of artificial intelligence predicting lithium -ion battery load and electricity status")</f>
        <v>A method of artificial intelligence predicting lithium -ion battery load and electricity status</v>
      </c>
    </row>
    <row r="1369" spans="1:5" ht="15" x14ac:dyDescent="0.25">
      <c r="A1369" s="5" t="s">
        <v>3975</v>
      </c>
      <c r="B1369" s="6" t="s">
        <v>3976</v>
      </c>
      <c r="C1369" s="3" t="str">
        <f ca="1">IFERROR(__xludf.DUMMYFUNCTION("GOOGLETRANSLATE(B1369,""auto"",""en"")"),"The invention uses the Lidar sensor installed in each game room installed in the outdoor golf training ground to obtain the object vector information, including the movement of each body of the player, each part of the golf club, and the trajectory inform"&amp;"ation of golf balls. , And operate the virtual golf game based on the generated object vector information, so as to accurately perceive the swing movement of real players, significantly increase the authenticity, interest and fun of the virtual golf game,"&amp;" and the picture-golf management server uses pre-learning to learn in advance learning The optimal swing test algorithm, analyze the vector information and environmental information from the controller, generate the best swing information and review infor"&amp;"mation of the player, provide it to the controller, and at the same time the controller screen-by displaying the terminal on the display terminal Display the best wave information and comment information transmitted by golf management server. Players can "&amp;"refer to the best wave information based on the current environment of the current virtual golf competition, so as to maximize the efficiency and effect golf practice/training. It also involves screen golf operating systems using laser radar sensors and b"&amp;"ig data, which can increase participation by attracting the interest and fun of players.")</f>
        <v>The invention uses the Lidar sensor installed in each game room installed in the outdoor golf training ground to obtain the object vector information, including the movement of each body of the player, each part of the golf club, and the trajectory information of golf balls. , And operate the virtual golf game based on the generated object vector information, so as to accurately perceive the swing movement of real players, significantly increase the authenticity, interest and fun of the virtual golf game, and the picture-golf management server uses pre-learning to learn in advance learning The optimal swing test algorithm, analyze the vector information and environmental information from the controller, generate the best swing information and review information of the player, provide it to the controller, and at the same time the controller screen-by displaying the terminal on the display terminal Display the best wave information and comment information transmitted by golf management server. Players can refer to the best wave information based on the current environment of the current virtual golf competition, so as to maximize the efficiency and effect golf practice/training. It also involves screen golf operating systems using laser radar sensors and big data, which can increase participation by attracting the interest and fun of players.</v>
      </c>
      <c r="D1369" s="6" t="s">
        <v>3977</v>
      </c>
      <c r="E1369" s="4" t="str">
        <f ca="1">IFERROR(__xludf.DUMMYFUNCTION("GOOGLETRANSLATE(D1369,""auto"",""en"")"),"Using lidar sensors and artificial intelligence outdoor golf simulation operating systems")</f>
        <v>Using lidar sensors and artificial intelligence outdoor golf simulation operating systems</v>
      </c>
    </row>
    <row r="1370" spans="1:5" ht="15" x14ac:dyDescent="0.25">
      <c r="A1370" s="5" t="s">
        <v>3978</v>
      </c>
      <c r="B1370" s="6" t="s">
        <v>3979</v>
      </c>
      <c r="C1370" s="3" t="str">
        <f ca="1">IFERROR(__xludf.DUMMYFUNCTION("GOOGLETRANSLATE(B1370,""auto"",""en"")"),"The invention involves AI -based swimming anti -drowning recognition methods, including peripheral components and AI intelligent platforms, and peripheral components have smart cameras, special filters, warning lights, soundplay speakers, routers, deep le"&amp;"arning hosts, monitoring screens, monitoring screens, and monitoring screens. The AI ​​intelligent platform has the AI ​​smart cloud platform, the AI ​​intelligent platform has a video streaming real -time collection module, AI video analysis module, beha"&amp;"vioral logic determination module, and linkage early warning module. Said safety, yellow means hidden safety hazards, and red means danger.")</f>
        <v>The invention involves AI -based swimming anti -drowning recognition methods, including peripheral components and AI intelligent platforms, and peripheral components have smart cameras, special filters, warning lights, soundplay speakers, routers, deep learning hosts, monitoring screens, monitoring screens, and monitoring screens. The AI ​​intelligent platform has the AI ​​smart cloud platform, the AI ​​intelligent platform has a video streaming real -time collection module, AI video analysis module, behavioral logic determination module, and linkage early warning module. Said safety, yellow means hidden safety hazards, and red means danger.</v>
      </c>
      <c r="D1370" s="6" t="s">
        <v>3980</v>
      </c>
      <c r="E1370" s="4" t="str">
        <f ca="1">IFERROR(__xludf.DUMMYFUNCTION("GOOGLETRANSLATE(D1370,""auto"",""en"")"),"Swimming anti -drowning recognition method based on AI vision")</f>
        <v>Swimming anti -drowning recognition method based on AI vision</v>
      </c>
    </row>
    <row r="1371" spans="1:5" ht="15" x14ac:dyDescent="0.25">
      <c r="A1371" s="5" t="s">
        <v>3981</v>
      </c>
      <c r="B1371" s="6" t="s">
        <v>3982</v>
      </c>
      <c r="C1371" s="3" t="str">
        <f ca="1">IFERROR(__xludf.DUMMYFUNCTION("GOOGLETRANSLATE(B1371,""auto"",""en"")"),"The present invention provides a game venue for mobile smart robots, including the main body of the venue surrounded by the enclosure components. The main body of the venue has left and right obstacles and starting turning areas. There is a shooting end p"&amp;"oint and climbing area set up between the beginning and after turning area. The present invention can comprehensively examine the students' right -angle turning, climbing, limited wide doors, and shooting control capabilities of mobile shooting robots, im"&amp;"prove the degree of evaluation specifications in the competition, the distribution of each test area is reasonable, and the overall layout is convenient and fast.")</f>
        <v>The present invention provides a game venue for mobile smart robots, including the main body of the venue surrounded by the enclosure components. The main body of the venue has left and right obstacles and starting turning areas. There is a shooting end point and climbing area set up between the beginning and after turning area. The present invention can comprehensively examine the students' right -angle turning, climbing, limited wide doors, and shooting control capabilities of mobile shooting robots, improve the degree of evaluation specifications in the competition, the distribution of each test area is reasonable, and the overall layout is convenient and fast.</v>
      </c>
      <c r="D1371" s="6" t="s">
        <v>3983</v>
      </c>
      <c r="E1371" s="4" t="str">
        <f ca="1">IFERROR(__xludf.DUMMYFUNCTION("GOOGLETRANSLATE(D1371,""auto"",""en"")"),"A game venue for mobile smart robots")</f>
        <v>A game venue for mobile smart robots</v>
      </c>
    </row>
    <row r="1372" spans="1:5" ht="15" x14ac:dyDescent="0.25">
      <c r="A1372" s="5" t="s">
        <v>3984</v>
      </c>
      <c r="B1372" s="6" t="s">
        <v>3985</v>
      </c>
      <c r="C1372" s="3" t="str">
        <f ca="1">IFERROR(__xludf.DUMMYFUNCTION("GOOGLETRANSLATE(B1372,""auto"",""en"")"),"1. The name of the product in appearance: The abdomen wheel with a sports control graphical user interface. 2. Design product use in appearance: fitness. 3. Design of the design of the product in appearance: lies in the shape. 4. Pictures or photos that c"&amp;"an best show design: Design 1 stereo. 5. Specify design 1 is the basic design. 6. The purpose of the graphical user interface: used to display the operation mode of exercise time, electricity and controlling the abdominal wheel. 7. Human -computer interac"&amp;"tion method of graphical user interface: The user can click the icon in the interface to perform the corresponding operation, for example: click the ""Start/Pass"" icon under the time to start to start or pause. The QR code link of the ""QR code"" icon di"&amp;"splay device, click the ""Bluetooth"" icon on the right side of the ""QR code"" icon to turn on the Bluetooth connection, and click the ""Power"" icon below the interface to select or shut down. 8. Other situations that need to be described: Design 1 Loca"&amp;"l magnification is the magnification of the area where the graphic user interface is in the interface shown by the main view of the main view.")</f>
        <v>1. The name of the product in appearance: The abdomen wheel with a sports control graphical user interface. 2. Design product use in appearance: fitness. 3. Design of the design of the product in appearance: lies in the shape. 4. Pictures or photos that can best show design: Design 1 stereo. 5. Specify design 1 is the basic design. 6. The purpose of the graphical user interface: used to display the operation mode of exercise time, electricity and controlling the abdominal wheel. 7. Human -computer interaction method of graphical user interface: The user can click the icon in the interface to perform the corresponding operation, for example: click the "Start/Pass" icon under the time to start to start or pause. The QR code link of the "QR code" icon display device, click the "Bluetooth" icon on the right side of the "QR code" icon to turn on the Bluetooth connection, and click the "Power" icon below the interface to select or shut down. 8. Other situations that need to be described: Design 1 Local magnification is the magnification of the area where the graphic user interface is in the interface shown by the main view of the main view.</v>
      </c>
      <c r="D1372" s="6" t="s">
        <v>3986</v>
      </c>
      <c r="E1372" s="4" t="str">
        <f ca="1">IFERROR(__xludf.DUMMYFUNCTION("GOOGLETRANSLATE(D1372,""auto"",""en"")"),"A healthy belly wheel with sports control graphical user interface")</f>
        <v>A healthy belly wheel with sports control graphical user interface</v>
      </c>
    </row>
    <row r="1373" spans="1:5" ht="15" x14ac:dyDescent="0.25">
      <c r="A1373" s="5" t="s">
        <v>3987</v>
      </c>
      <c r="B1373" s="6" t="s">
        <v>3988</v>
      </c>
      <c r="C1373" s="3" t="str">
        <f ca="1">IFERROR(__xludf.DUMMYFUNCTION("GOOGLETRANSLATE(B1373,""auto"",""en"")"),"A strong reality platform that supports fan participation and new media opportunities. The present invention consists of a mobile device software application (APP) that uses augmented reality (AR), artificial intelligence (AI) and cloud networks. The user"&amp;" selects the character avatars and dance songs on the screen from the predefined category in the application, and then starts dancing and uses the application to record himself. The application transmits user actions and its local environment to the appli"&amp;"cation. The AI ​​algorithm synchronizes the user's action with their background (using AR) to the incarnation, and users can see themselves dancing in their roles on their mobile devices. Users can share virtual image dances with friends and compete with "&amp;"each other in real -time dance competitions with virtual currency rewards. Advertisers can also participate in the application and share advertisements, logos, and sell products to users.")</f>
        <v>A strong reality platform that supports fan participation and new media opportunities. The present invention consists of a mobile device software application (APP) that uses augmented reality (AR), artificial intelligence (AI) and cloud networks. The user selects the character avatars and dance songs on the screen from the predefined category in the application, and then starts dancing and uses the application to record himself. The application transmits user actions and its local environment to the application. The AI ​​algorithm synchronizes the user's action with their background (using AR) to the incarnation, and users can see themselves dancing in their roles on their mobile devices. Users can share virtual image dances with friends and compete with each other in real -time dance competitions with virtual currency rewards. Advertisers can also participate in the application and share advertisements, logos, and sell products to users.</v>
      </c>
      <c r="D1373" s="6" t="s">
        <v>3989</v>
      </c>
      <c r="E1373" s="4" t="str">
        <f ca="1">IFERROR(__xludf.DUMMYFUNCTION("GOOGLETRANSLATE(D1373,""auto"",""en"")"),"Augmented reality platform for fans participation")</f>
        <v>Augmented reality platform for fans participation</v>
      </c>
    </row>
    <row r="1374" spans="1:5" ht="15" x14ac:dyDescent="0.25">
      <c r="A1374" s="5" t="s">
        <v>3990</v>
      </c>
      <c r="B1374" s="6" t="s">
        <v>3991</v>
      </c>
      <c r="C1374" s="3" t="str">
        <f ca="1">IFERROR(__xludf.DUMMYFUNCTION("GOOGLETRANSLATE(B1374,""auto"",""en"")"),"A pathological interpretation method, system and readable storage medium published by the present invention based on remote reading, which include: obtain the electronic scanning parts of the glass, and digitize the pathological section information to be "&amp;"sent to the user side for dual pathology Interpretation; input the pathological slicing information into the trained pathological recognition neural network model to obtain the simulation output results of the model; based on the simulation output result "&amp;"to obtain the suspicious area of ​​the target section of the pathological slices, and share it simultaneously to the place Discard the user side; obtain the two interpretation results returned by the user side and compare it, and compare the results to th"&amp;"e identification results of the pathological section of the pathological slices. The present invention is set up to improve the accuracy of pathological judgment by setting up dual pathological interpretation and tracing back to the specific operator. By "&amp;"setting up a neural network model, it can automatically identify the areas with high pathological slices of pathological slices to reduce the duplicate workload of pathological doctors and improve pathological recognition efficiency.")</f>
        <v>A pathological interpretation method, system and readable storage medium published by the present invention based on remote reading, which include: obtain the electronic scanning parts of the glass, and digitize the pathological section information to be sent to the user side for dual pathology Interpretation; input the pathological slicing information into the trained pathological recognition neural network model to obtain the simulation output results of the model; based on the simulation output result to obtain the suspicious area of ​​the target section of the pathological slices, and share it simultaneously to the place Discard the user side; obtain the two interpretation results returned by the user side and compare it, and compare the results to the identification results of the pathological section of the pathological slices. The present invention is set up to improve the accuracy of pathological judgment by setting up dual pathological interpretation and tracing back to the specific operator. By setting up a neural network model, it can automatically identify the areas with high pathological slices of pathological slices to reduce the duplicate workload of pathological doctors and improve pathological recognition efficiency.</v>
      </c>
      <c r="D1374" s="6" t="s">
        <v>3992</v>
      </c>
      <c r="E1374" s="4" t="str">
        <f ca="1">IFERROR(__xludf.DUMMYFUNCTION("GOOGLETRANSLATE(D1374,""auto"",""en"")"),"Pathological interpretation methods, systems and readable storage medium marked based on remote reading tablets")</f>
        <v>Pathological interpretation methods, systems and readable storage medium marked based on remote reading tablets</v>
      </c>
    </row>
    <row r="1375" spans="1:5" ht="15" x14ac:dyDescent="0.25">
      <c r="A1375" s="5" t="s">
        <v>3993</v>
      </c>
      <c r="B1375" s="6" t="s">
        <v>3994</v>
      </c>
      <c r="C1375" s="3" t="str">
        <f ca="1">IFERROR(__xludf.DUMMYFUNCTION("GOOGLETRANSLATE(B1375,""auto"",""en"")"),"This utility model involves the field of sports equipment technology, and a smart jumping stent for high school sports uses high school sports, including the left and right symmetrically distributed hollow frames. The internal surface of the box is fixed "&amp;"with a motor. The output of the two motors is fixed with screws. There is a mobile block connected; when the height of the round rod needs to be adjusted, the referee standing next to the beside the microphone says the height you want to adjust, and is fo"&amp;"rwarded to the voice recognition module. The single -chip microcomputer is processed and analyzed, and then the single -chip microcomputer controls the two motors to rotate, which can drive the two support blocks to roll or decrease synchronously, thereby"&amp;" achieving the height of adjusting the round rod and avoiding the inconvenience caused by the height of manual adjustment.")</f>
        <v>This utility model involves the field of sports equipment technology, and a smart jumping stent for high school sports uses high school sports, including the left and right symmetrically distributed hollow frames. The internal surface of the box is fixed with a motor. The output of the two motors is fixed with screws. There is a mobile block connected; when the height of the round rod needs to be adjusted, the referee standing next to the beside the microphone says the height you want to adjust, and is forwarded to the voice recognition module. The single -chip microcomputer is processed and analyzed, and then the single -chip microcomputer controls the two motors to rotate, which can drive the two support blocks to roll or decrease synchronously, thereby achieving the height of adjusting the round rod and avoiding the inconvenience caused by the height of manual adjustment.</v>
      </c>
      <c r="D1375" s="6" t="s">
        <v>3995</v>
      </c>
      <c r="E1375" s="4" t="str">
        <f ca="1">IFERROR(__xludf.DUMMYFUNCTION("GOOGLETRANSLATE(D1375,""auto"",""en"")"),"A smart jump high stand for high school sports")</f>
        <v>A smart jump high stand for high school sports</v>
      </c>
    </row>
    <row r="1376" spans="1:5" ht="15" x14ac:dyDescent="0.25">
      <c r="A1376" s="5" t="s">
        <v>3996</v>
      </c>
      <c r="B1376" s="6" t="s">
        <v>3997</v>
      </c>
      <c r="C1376" s="3" t="str">
        <f ca="1">IFERROR(__xludf.DUMMYFUNCTION("GOOGLETRANSLATE(B1376,""auto"",""en"")"),"The present invention disclosed a method, terminal and storage medium based on body -identified fitness application content push methods, terminals, and storage media. Body type data; analyze the body type data of the user, and obtain the fitness content "&amp;"that matches the body type data with the user; push the fitness content to the corresponding display interface to display Describe fitness content. The present invention collects the user's body shape image through the camera, and identifies the user's bo"&amp;"dy shape of the user through image recognition technology, uses fitness applications to analyze the body data, obtains fitness content that matches the user's body size and recommends it, so as to tailor the fitness content for users. It solves the limita"&amp;"tions of users who can only passively accept the content brought by random recommendation content.")</f>
        <v>The present invention disclosed a method, terminal and storage medium based on body -identified fitness application content push methods, terminals, and storage media. Body type data; analyze the body type data of the user, and obtain the fitness content that matches the body type data with the user; push the fitness content to the corresponding display interface to display Describe fitness content. The present invention collects the user's body shape image through the camera, and identifies the user's body shape of the user through image recognition technology, uses fitness applications to analyze the body data, obtains fitness content that matches the user's body size and recommends it, so as to tailor the fitness content for users. It solves the limitations of users who can only passively accept the content brought by random recommendation content.</v>
      </c>
      <c r="D1376" s="6" t="s">
        <v>3998</v>
      </c>
      <c r="E1376" s="4" t="str">
        <f ca="1">IFERROR(__xludf.DUMMYFUNCTION("GOOGLETRANSLATE(D1376,""auto"",""en"")"),"Fitness application content push methods, terminals and storage media based on body identification")</f>
        <v>Fitness application content push methods, terminals and storage media based on body identification</v>
      </c>
    </row>
    <row r="1377" spans="1:5" ht="15" x14ac:dyDescent="0.25">
      <c r="A1377" s="5" t="s">
        <v>3999</v>
      </c>
      <c r="B1377" s="6" t="s">
        <v>4000</v>
      </c>
      <c r="C1377" s="3" t="str">
        <f ca="1">IFERROR(__xludf.DUMMYFUNCTION("GOOGLETRANSLATE(B1377,""auto"",""en"")"),"The present invention belongs to the field of artificial intelligence testing technology, especially involving a calibration method and system based on the power of the human body. It includes the mechanical data of electrical data and mechanical energy s"&amp;"torage areas based on energy conservation. Machine operation and weight motion calibration method, determine the energy conversion relationship: the relationship between the speed of the treadmill movement and the operating current of the treadmill; the r"&amp;"unning slope of the treadmill and the working current of the treadmill, the present invention solves the existing treadmill The calibration method and system have unscientific and inaccurate problems in the calibration process of the energy index. It has "&amp;"achieved more scientific and safer use of treadmills for exercise, and improved and improved the calibration of the electric running shifts to the runner's running process. Beneficial technical effects.")</f>
        <v>The present invention belongs to the field of artificial intelligence testing technology, especially involving a calibration method and system based on the power of the human body. It includes the mechanical data of electrical data and mechanical energy storage areas based on energy conservation. Machine operation and weight motion calibration method, determine the energy conversion relationship: the relationship between the speed of the treadmill movement and the operating current of the treadmill; the running slope of the treadmill and the working current of the treadmill, the present invention solves the existing treadmill The calibration method and system have unscientific and inaccurate problems in the calibration process of the energy index. It has achieved more scientific and safer use of treadmills for exercise, and improved and improved the calibration of the electric running shifts to the runner's running process. Beneficial technical effects.</v>
      </c>
      <c r="D1377" s="6" t="s">
        <v>4001</v>
      </c>
      <c r="E1377" s="4" t="str">
        <f ca="1">IFERROR(__xludf.DUMMYFUNCTION("GOOGLETRANSLATE(D1377,""auto"",""en"")"),"Based on a treadmill, the method and system of the power of the human body")</f>
        <v>Based on a treadmill, the method and system of the power of the human body</v>
      </c>
    </row>
    <row r="1378" spans="1:5" ht="15" x14ac:dyDescent="0.25">
      <c r="A1378" s="5" t="s">
        <v>4002</v>
      </c>
      <c r="B1378" s="6" t="s">
        <v>4003</v>
      </c>
      <c r="C1378" s="3" t="str">
        <f ca="1">IFERROR(__xludf.DUMMYFUNCTION("GOOGLETRANSLATE(B1378,""auto"",""en"")"),"The sports management and evaluation methods of user action recognition based on the server executed by the invention use the server include: (a) to create a database to identify the joint node of the action demonstrator from the action performance data o"&amp;"f the action show; (b) from management from management The employee terminal receives the operation of the operation and execution data in the operation number of the operation number; (C) provides sports videos to the user terminal according to the actio"&amp;"n execution program, and receive the action data of the user's execution from the user terminal; (d) from the user terminal received The depth value of the user's joints and joint nodes is extracted in the exercise data;")</f>
        <v>The sports management and evaluation methods of user action recognition based on the server executed by the invention use the server include: (a) to create a database to identify the joint node of the action demonstrator from the action performance data of the action show; (b) from management from management The employee terminal receives the operation of the operation and execution data in the operation number of the operation number; (C) provides sports videos to the user terminal according to the action execution program, and receive the action data of the user's execution from the user terminal; (d) from the user terminal received The depth value of the user's joints and joint nodes is extracted in the exercise data;</v>
      </c>
      <c r="D1378" s="6" t="s">
        <v>4004</v>
      </c>
      <c r="E1378" s="4" t="str">
        <f ca="1">IFERROR(__xludf.DUMMYFUNCTION("GOOGLETRANSLATE(D1378,""auto"",""en"")"),"Artificial intelligence -based user action recognition sports teaching management and evaluation system")</f>
        <v>Artificial intelligence -based user action recognition sports teaching management and evaluation system</v>
      </c>
    </row>
    <row r="1379" spans="1:5" ht="15" x14ac:dyDescent="0.25">
      <c r="A1379" s="5" t="s">
        <v>4005</v>
      </c>
      <c r="B1379" s="6" t="s">
        <v>4006</v>
      </c>
      <c r="C1379" s="3" t="str">
        <f ca="1">IFERROR(__xludf.DUMMYFUNCTION("GOOGLETRANSLATE(B1379,""auto"",""en"")"),"1. Design product name: AI scene experience graphical user interface on the display screen panel.
 2. Design product use: Display graphic user interface.
 3. Design of the design of the product in appearance: lies in the graphic user interface.
 4. "&amp;"Pictures or photos that can best show design: Design 1 main view.
 5. Specify design 1 is the basic design.
 6. The purpose of the graphical user interface: Design the graphics user interface in 1‑4 is an artificial intelligence AI application scenari"&amp;"o experience demonstration interactive program interface, which is used for the display and experience of the application scenario of artificial intelligence in urban life. For example, it is applied to sports in sports Display and experience of related s"&amp;"cenarios.
 Design 1. Design 2. Design 3. Design 4 as the data import interface. Select one of the four icon buttons in the middle of the interface and click the ""Import Behavior Data"" button to import the data.
 7. The display screen panel is used f"&amp;"or computers, laptops, tablet computers, mobile phones, televisions, digital signs.
 Design 1. Design 2 Request protection colors.")</f>
        <v>1. Design product name: AI scene experience graphical user interface on the display screen panel.
 2. Design product use: Display graphic user interface.
 3. Design of the design of the product in appearance: lies in the graphic user interface.
 4. Pictures or photos that can best show design: Design 1 main view.
 5. Specify design 1 is the basic design.
 6. The purpose of the graphical user interface: Design the graphics user interface in 1‑4 is an artificial intelligence AI application scenario experience demonstration interactive program interface, which is used for the display and experience of the application scenario of artificial intelligence in urban life. For example, it is applied to sports in sports Display and experience of related scenarios.
 Design 1. Design 2. Design 3. Design 4 as the data import interface. Select one of the four icon buttons in the middle of the interface and click the "Import Behavior Data" button to import the data.
 7. The display screen panel is used for computers, laptops, tablet computers, mobile phones, televisions, digital signs.
 Design 1. Design 2 Request protection colors.</v>
      </c>
      <c r="D1379" s="6" t="s">
        <v>4007</v>
      </c>
      <c r="E1379" s="4" t="str">
        <f ca="1">IFERROR(__xludf.DUMMYFUNCTION("GOOGLETRANSLATE(D1379,""auto"",""en"")"),"AI scenario experience graphical user interface of display screen panel")</f>
        <v>AI scenario experience graphical user interface of display screen panel</v>
      </c>
    </row>
    <row r="1380" spans="1:5" ht="15" x14ac:dyDescent="0.25">
      <c r="A1380" s="5" t="s">
        <v>4008</v>
      </c>
      <c r="B1380" s="6" t="s">
        <v>2965</v>
      </c>
      <c r="C1380" s="3" t="str">
        <f ca="1">IFERROR(__xludf.DUMMYFUNCTION("GOOGLETRANSLATE(B1380,""auto"",""en"")"),"The systems and methods in this article are used to predict the performance of athletes in specific sports. For example, in fantasy football, users can choose players based on player statistics to form a team. The embodiments of this article can use machi"&amp;"ne learning through training and machine learning modules. Among them, various statistical data (eg, according to location) with individual players can predict the performance of individual players.")</f>
        <v>The systems and methods in this article are used to predict the performance of athletes in specific sports. For example, in fantasy football, users can choose players based on player statistics to form a team. The embodiments of this article can use machine learning through training and machine learning modules. Among them, various statistical data (eg, according to location) with individual players can predict the performance of individual players.</v>
      </c>
      <c r="D1380" s="6" t="s">
        <v>2966</v>
      </c>
      <c r="E1380" s="4" t="str">
        <f ca="1">IFERROR(__xludf.DUMMYFUNCTION("GOOGLETRANSLATE(D1380,""auto"",""en"")"),"Forecast recovery and performance analysis system and method")</f>
        <v>Forecast recovery and performance analysis system and method</v>
      </c>
    </row>
    <row r="1381" spans="1:5" ht="15" x14ac:dyDescent="0.25">
      <c r="A1381" s="5" t="s">
        <v>4009</v>
      </c>
      <c r="B1381" s="6" t="s">
        <v>4010</v>
      </c>
      <c r="C1381" s="3" t="str">
        <f ca="1">IFERROR(__xludf.DUMMYFUNCTION("GOOGLETRANSLATE(B1381,""auto"",""en"")"),"The present invention is a engine that allows any games in the game of ""present"" or single betting games, and calculate ""basic odds"" (calculated by using historical database mining) and at least one more odds to formulate formulas to calculate compens"&amp;"ation for calculation compensation. At least one result of a single game in the live event, at least two different odds, formulating formulas to create cross -odds. Then use artificial intelligence to associate cross -odds with the final odds of calculati"&amp;"ng odds. Then after knowing the results of the game, use machine learning to make the odds generated by each odds to formulate formulas with the most favorable odds similar to the previous competition calculation.")</f>
        <v>The present invention is a engine that allows any games in the game of "present" or single betting games, and calculate "basic odds" (calculated by using historical database mining) and at least one more odds to formulate formulas to calculate compensation for calculation compensation. At least one result of a single game in the live event, at least two different odds, formulating formulas to create cross -odds. Then use artificial intelligence to associate cross -odds with the final odds of calculating odds. Then after knowing the results of the game, use machine learning to make the odds generated by each odds to formulate formulas with the most favorable odds similar to the previous competition calculation.</v>
      </c>
      <c r="D1381" s="6" t="s">
        <v>3494</v>
      </c>
      <c r="E1381" s="4" t="str">
        <f ca="1">IFERROR(__xludf.DUMMYFUNCTION("GOOGLETRANSLATE(D1381,""auto"",""en"")"),"AI sports betting algorithm engine")</f>
        <v>AI sports betting algorithm engine</v>
      </c>
    </row>
    <row r="1382" spans="1:5" ht="15" x14ac:dyDescent="0.25">
      <c r="A1382" s="5" t="s">
        <v>4011</v>
      </c>
      <c r="B1382" s="6" t="s">
        <v>4012</v>
      </c>
      <c r="C1382" s="3" t="str">
        <f ca="1">IFERROR(__xludf.DUMMYFUNCTION("GOOGLETRANSLATE(B1382,""auto"",""en"")"),"The invention is a programmable, mobile, reusable instant detection (POCT) unit for identifying the disease of the disease and its living state in real -time respiratory tract. The device can be used to test whether individuals infected with COVID-19 with"&amp;" individual individuals who enter or leave places (schools, restaurants, bars, sports events, etc.). POCT devices can perform thousands of tests without maintenance or repair. The POCT unit uses a fluorescent spectrum analysis (FSA) to identify the only b"&amp;"acterial or virus and its relative concentration level based on the spectral mode recognition. In addition, the POCT unit can identify the survival or death state of the bacteria or the virus activity or non -active state. The automatic mode recognition o"&amp;"f bacterial or virus spectrum is completed by using artificial intelligence (AI) deep learning neural network (DLNN). The DLNN calculation process is executed by connecting to the POCT unit online through a smartphone or laptop. The POCT unit is a ""patie"&amp;"nt"" test instrument used to identify the pathogen, including SARS-COV2, pig flu, H1N1, E-Boli, flu, etc. The response time of the POCT unit is driven by a smartphone connection time or a laptop computing power. The identification of a specific pathogenes"&amp;"is is determined by DLNN's programming, so it can be used to adjust the current and future respiratory bacteria or virus infections by adjusting DLNN software by using new training data. The POCT unit has three configurations, namely the mobile unit conne"&amp;"cted to the smartphone or PC and the personal home user version connected to a smartphone through Bluetooth.")</f>
        <v>The invention is a programmable, mobile, reusable instant detection (POCT) unit for identifying the disease of the disease and its living state in real -time respiratory tract. The device can be used to test whether individuals infected with COVID-19 with individual individuals who enter or leave places (schools, restaurants, bars, sports events, etc.). POCT devices can perform thousands of tests without maintenance or repair. The POCT unit uses a fluorescent spectrum analysis (FSA) to identify the only bacterial or virus and its relative concentration level based on the spectral mode recognition. In addition, the POCT unit can identify the survival or death state of the bacteria or the virus activity or non -active state. The automatic mode recognition of bacterial or virus spectrum is completed by using artificial intelligence (AI) deep learning neural network (DLNN). The DLNN calculation process is executed by connecting to the POCT unit online through a smartphone or laptop. The POCT unit is a "patient" test instrument used to identify the pathogen, including SARS-COV2, pig flu, H1N1, E-Boli, flu, etc. The response time of the POCT unit is driven by a smartphone connection time or a laptop computing power. The identification of a specific pathogenesis is determined by DLNN's programming, so it can be used to adjust the current and future respiratory bacteria or virus infections by adjusting DLNN software by using new training data. The POCT unit has three configurations, namely the mobile unit connected to the smartphone or PC and the personal home user version connected to a smartphone through Bluetooth.</v>
      </c>
      <c r="D1382" s="6" t="s">
        <v>4013</v>
      </c>
      <c r="E1382" s="4" t="str">
        <f ca="1">IFERROR(__xludf.DUMMYFUNCTION("GOOGLETRANSLATE(D1382,""auto"",""en"")"),"Programmable equipment of the pathogen?")</f>
        <v>Programmable equipment of the pathogen?</v>
      </c>
    </row>
    <row r="1383" spans="1:5" ht="15" x14ac:dyDescent="0.25">
      <c r="A1383" s="5" t="s">
        <v>4014</v>
      </c>
      <c r="B1383" s="6" t="s">
        <v>4015</v>
      </c>
      <c r="C1383" s="3" t="str">
        <f ca="1">IFERROR(__xludf.DUMMYFUNCTION("GOOGLETRANSLATE(B1383,""auto"",""en"")"),"This publicly provides a method, equipment and system that is based on context -based perception to control IoT devices. This method includes: terminal equipment acquisition user data related to user behavior and status; contextual perception of situation"&amp;"s that reflect the situation where user data generation reflects the situation of the user; The contextual perception event sent by the terminal equipment, obtaining the control rules corresponding to the receiving situation of the situation, and control "&amp;"the IoT device according to the control rules obtained. According to the method of this disclosure, we can combine the status of the user with fitness, recommend fitness types, and guide users to perform scientific fitness exercises; control and adjust Io"&amp;"T devices according to users' fitness status to cooperate with user fitness to make the fitness environment more comfortable Essence")</f>
        <v>This publicly provides a method, equipment and system that is based on context -based perception to control IoT devices. This method includes: terminal equipment acquisition user data related to user behavior and status; contextual perception of situations that reflect the situation where user data generation reflects the situation of the user; The contextual perception event sent by the terminal equipment, obtaining the control rules corresponding to the receiving situation of the situation, and control the IoT device according to the control rules obtained. According to the method of this disclosure, we can combine the status of the user with fitness, recommend fitness types, and guide users to perform scientific fitness exercises; control and adjust IoT devices according to users' fitness status to cooperate with user fitness to make the fitness environment more comfortable Essence</v>
      </c>
      <c r="D1383" s="6" t="s">
        <v>4016</v>
      </c>
      <c r="E1383" s="4" t="str">
        <f ca="1">IFERROR(__xludf.DUMMYFUNCTION("GOOGLETRANSLATE(D1383,""auto"",""en"")"),"Methods, equipment and systems for controlled IoT devices based on contextual perceptions")</f>
        <v>Methods, equipment and systems for controlled IoT devices based on contextual perceptions</v>
      </c>
    </row>
    <row r="1384" spans="1:5" ht="15" x14ac:dyDescent="0.25">
      <c r="A1384" s="5" t="s">
        <v>4017</v>
      </c>
      <c r="B1384" s="6" t="s">
        <v>4018</v>
      </c>
      <c r="C1384" s="3" t="str">
        <f ca="1">IFERROR(__xludf.DUMMYFUNCTION("GOOGLETRANSLATE(B1384,""auto"",""en"")"),"This utility model opens a sports posture monitoring device based on artificial intelligence image recognition, which involves the field of fitness equipment, including the main body of the device. The support component is located inside the supporting fr"&amp;"ame, including the first support board inside the supporting frame and the second support plate located above the first support plate. The surface of the surface and the active framework above the placement rack. The front end of the surface of the activi"&amp;"ty framework is fixed with a cleaning block; after the device is placed, the first support plate and the second finger slot will be used through the first finger slot and the second finger slot, respectively. The two branches are pulled out from the insid"&amp;"e of the supporting frame. The supporting frame provides additional support through the first support plate of the ground contact with the ground and the second support plate that is in contact with the ground to make the device stable.")</f>
        <v>This utility model opens a sports posture monitoring device based on artificial intelligence image recognition, which involves the field of fitness equipment, including the main body of the device. The support component is located inside the supporting frame, including the first support board inside the supporting frame and the second support plate located above the first support plate. The surface of the surface and the active framework above the placement rack. The front end of the surface of the activity framework is fixed with a cleaning block; after the device is placed, the first support plate and the second finger slot will be used through the first finger slot and the second finger slot, respectively. The two branches are pulled out from the inside of the supporting frame. The supporting frame provides additional support through the first support plate of the ground contact with the ground and the second support plate that is in contact with the ground to make the device stable.</v>
      </c>
      <c r="D1384" s="6" t="s">
        <v>4019</v>
      </c>
      <c r="E1384" s="4" t="str">
        <f ca="1">IFERROR(__xludf.DUMMYFUNCTION("GOOGLETRANSLATE(D1384,""auto"",""en"")"),"A motion gesture monitoring device based on artificial intelligence image recognition")</f>
        <v>A motion gesture monitoring device based on artificial intelligence image recognition</v>
      </c>
    </row>
    <row r="1385" spans="1:5" ht="15" x14ac:dyDescent="0.25">
      <c r="A1385" s="5" t="s">
        <v>4020</v>
      </c>
      <c r="B1385" s="6" t="s">
        <v>4021</v>
      </c>
      <c r="C1385" s="3" t="str">
        <f ca="1">IFERROR(__xludf.DUMMYFUNCTION("GOOGLETRANSLATE(B1385,""auto"",""en"")"),"A remote curriculum system is provided, where players can receive accurate suggestions from the remote position. A remote teaching system (200), including the mobile terminal (2) owned by the player (P) and the cloud server (4) that can communicate with t"&amp;"he mobile terminal (2). Mobile terminal 2 includes a data analysis unit. This data analysis unit sends the swing measurement data from the mobile terminal 2 to the cloud server 4. Essence When the swing measurement data is input to the input layer of the "&amp;"neural network, the Cloud Server 4 has a recommended information generation unit. 6. Suggestion information provided by consulting information providers.")</f>
        <v>A remote curriculum system is provided, where players can receive accurate suggestions from the remote position. A remote teaching system (200), including the mobile terminal (2) owned by the player (P) and the cloud server (4) that can communicate with the mobile terminal (2). Mobile terminal 2 includes a data analysis unit. This data analysis unit sends the swing measurement data from the mobile terminal 2 to the cloud server 4. Essence When the swing measurement data is input to the input layer of the neural network, the Cloud Server 4 has a recommended information generation unit. 6. Suggestion information provided by consulting information providers.</v>
      </c>
      <c r="D1385" s="6" t="s">
        <v>4022</v>
      </c>
      <c r="E1385" s="4" t="str">
        <f ca="1">IFERROR(__xludf.DUMMYFUNCTION("GOOGLETRANSLATE(D1385,""auto"",""en"")"),"Remote teaching system")</f>
        <v>Remote teaching system</v>
      </c>
    </row>
    <row r="1386" spans="1:5" ht="15" x14ac:dyDescent="0.25">
      <c r="A1386" s="5" t="s">
        <v>4023</v>
      </c>
      <c r="B1386" s="6" t="s">
        <v>4024</v>
      </c>
      <c r="C1386" s="3" t="str">
        <f ca="1">IFERROR(__xludf.DUMMYFUNCTION("GOOGLETRANSLATE(B1386,""auto"",""en"")"),"The invention provides a data analysis system based on the Internet of Things -based smart sports park, including: environmental monitoring terminals are used to collect environmental monitoring data in sports parks, and transmit environmental monitoring "&amp;"data collected to the edge computing terminal; In collecting user running record information, the collected user run record information is transmitted to the edge computing terminal; edge computing terminals are used to analyze the environmental condition"&amp;"s in the current sports park based on the received environmental monitoring data, transmit the results of environmental status to the record point to the record point Terminal; and to complete the update of user running statistics information based on the"&amp;" receiving user run record information, transmit the updated user running statistics to the terminal terminal; the record point terminal is also used to display environmental status analysis results and user running statistics information Essence The pres"&amp;"ent invention helps improve the intelligent level of sports park construction.")</f>
        <v>The invention provides a data analysis system based on the Internet of Things -based smart sports park, including: environmental monitoring terminals are used to collect environmental monitoring data in sports parks, and transmit environmental monitoring data collected to the edge computing terminal; In collecting user running record information, the collected user run record information is transmitted to the edge computing terminal; edge computing terminals are used to analyze the environmental conditions in the current sports park based on the received environmental monitoring data, transmit the results of environmental status to the record point to the record point Terminal; and to complete the update of user running statistics information based on the receiving user run record information, transmit the updated user running statistics to the terminal terminal; the record point terminal is also used to display environmental status analysis results and user running statistics information Essence The present invention helps improve the intelligent level of sports park construction.</v>
      </c>
      <c r="D1386" s="6" t="s">
        <v>4025</v>
      </c>
      <c r="E1386" s="4" t="str">
        <f ca="1">IFERROR(__xludf.DUMMYFUNCTION("GOOGLETRANSLATE(D1386,""auto"",""en"")"),"A data analysis system based on the Internet of Things -based on the Internet of Things")</f>
        <v>A data analysis system based on the Internet of Things -based on the Internet of Things</v>
      </c>
    </row>
    <row r="1387" spans="1:5" ht="15" x14ac:dyDescent="0.25">
      <c r="A1387" s="5" t="s">
        <v>4026</v>
      </c>
      <c r="B1387" s="6" t="s">
        <v>4027</v>
      </c>
      <c r="C1387" s="3" t="str">
        <f ca="1">IFERROR(__xludf.DUMMYFUNCTION("GOOGLETRANSLATE(B1387,""auto"",""en"")"),"The present invention disclosed a high -speed train -saving braking method based on the encoder -based coder. Specifically, according to the description of the problem of the driving operation and traction energy consumption of the driving energy based on"&amp;" the actual operation of the high -speed train The multi -class classification structure model of the energy saving brake of the train; pre -processing the real data obtained by the high -speed train control system; the selection and construction of model"&amp;" training sets and verification sets; braking classification model training solution and strategy adjustment. The method of the present invention can determine the type of braking handle and the braking handle of the brakes and specific operations accordi"&amp;"ng to the operating status of a high -speed train, optimize the driver's braking handle control operation to achieve the goal of energy saving, and fill the related methods of the neural network on high -speed trains. Optimize vacancy in control.")</f>
        <v>The present invention disclosed a high -speed train -saving braking method based on the encoder -based coder. Specifically, according to the description of the problem of the driving operation and traction energy consumption of the driving energy based on the actual operation of the high -speed train The multi -class classification structure model of the energy saving brake of the train; pre -processing the real data obtained by the high -speed train control system; the selection and construction of model training sets and verification sets; braking classification model training solution and strategy adjustment. The method of the present invention can determine the type of braking handle and the braking handle of the brakes and specific operations according to the operating status of a high -speed train, optimize the driver's braking handle control operation to achieve the goal of energy saving, and fill the related methods of the neural network on high -speed trains. Optimize vacancy in control.</v>
      </c>
      <c r="D1387" s="6" t="s">
        <v>4028</v>
      </c>
      <c r="E1387" s="4" t="str">
        <f ca="1">IFERROR(__xludf.DUMMYFUNCTION("GOOGLETRANSLATE(D1387,""auto"",""en"")"),"A high -speed train -saving braking method based on a variable chart self -encoder")</f>
        <v>A high -speed train -saving braking method based on a variable chart self -encoder</v>
      </c>
    </row>
    <row r="1388" spans="1:5" ht="15" x14ac:dyDescent="0.25">
      <c r="A1388" s="5" t="s">
        <v>4029</v>
      </c>
      <c r="B1388" s="6" t="s">
        <v>4030</v>
      </c>
      <c r="C1388" s="3" t="str">
        <f ca="1">IFERROR(__xludf.DUMMYFUNCTION("GOOGLETRANSLATE(B1388,""auto"",""en"")"),"The present invention provides running speed detection and evaluation methods, systems, equipment and media. The detection method is used to detect the running speed of the test object in the ring runway, which has a image collection device for several lo"&amp;"cations of the ring runway; : Through the image collection device, obtain a number of images of the corresponding position, and determine and record the time points of the corresponding position according to the obtained image identification objects in th"&amp;"e image obtained. Several records of the test objects and the position corresponding to the time point are determined to determine the running speed of the test object in the ring runway. During the entire running speed detection process, the test object "&amp;"does not need to wear any self -sensing device or bracelet for data collection, the test cost is low, and the method provided by the present invention is determined by the image of the image collection device. The error is also small, which can more accur"&amp;"ately reflect the real running speed of the subject to test, thereby more accurately evaluating the performance of the subject in the running test.")</f>
        <v>The present invention provides running speed detection and evaluation methods, systems, equipment and media. The detection method is used to detect the running speed of the test object in the ring runway, which has a image collection device for several locations of the ring runway; : Through the image collection device, obtain a number of images of the corresponding position, and determine and record the time points of the corresponding position according to the obtained image identification objects in the image obtained. Several records of the test objects and the position corresponding to the time point are determined to determine the running speed of the test object in the ring runway. During the entire running speed detection process, the test object does not need to wear any self -sensing device or bracelet for data collection, the test cost is low, and the method provided by the present invention is determined by the image of the image collection device. The error is also small, which can more accurately reflect the real running speed of the subject to test, thereby more accurately evaluating the performance of the subject in the running test.</v>
      </c>
      <c r="D1388" s="6" t="s">
        <v>4031</v>
      </c>
      <c r="E1388" s="4" t="str">
        <f ca="1">IFERROR(__xludf.DUMMYFUNCTION("GOOGLETRANSLATE(D1388,""auto"",""en"")"),"Running speed detection and evaluation methods, systems, equipment and media")</f>
        <v>Running speed detection and evaluation methods, systems, equipment and media</v>
      </c>
    </row>
    <row r="1389" spans="1:5" ht="15" x14ac:dyDescent="0.25">
      <c r="A1389" s="5" t="s">
        <v>4032</v>
      </c>
      <c r="B1389" s="6" t="s">
        <v>4033</v>
      </c>
      <c r="C1389" s="3" t="str">
        <f ca="1">IFERROR(__xludf.DUMMYFUNCTION("GOOGLETRANSLATE(B1389,""auto"",""en"")"),"1. Design product name: Display with a graphical user interface with an analog car training system.
 2. Design products in this exterior: for running programs, mobile phones, tablets, and vehicle screens.
 3. Design of design products in this appearan"&amp;"ce: lies in the design of graphical user interface.
 4. Pictures or photos that can most indicate design points: main view.
 5. Because the carrier is a common object, omitting the main view of the carrier, the rear view, the left view, the right view"&amp;", the downward view, and the right view.
 6. The purpose of graphical user interface: run program, can be used for mobile phones, tablets, and vehicle screens.
 7. Human -computer interaction method of graphics user interface: Main view shows the cont"&amp;"ent of the self -inspection interface of the vehicle, click on the self -check button, enter the interface change state. 1 Display the detection results interface, click the call coach, enter the interface changes status Figure 2 display 2 display Solve t"&amp;"he problem interface. After solving, the call can be ended.")</f>
        <v>1. Design product name: Display with a graphical user interface with an analog car training system.
 2. Design products in this exterior: for running programs, mobile phones, tablets, and vehicle screens.
 3. Design of design products in this appearance: lies in the design of graphical user interface.
 4. Pictures or photos that can most indicate design points: main view.
 5. Because the carrier is a common object, omitting the main view of the carrier, the rear view, the left view, the right view, the downward view, and the right view.
 6. The purpose of graphical user interface: run program, can be used for mobile phones, tablets, and vehicle screens.
 7. Human -computer interaction method of graphics user interface: Main view shows the content of the self -inspection interface of the vehicle, click on the self -check button, enter the interface change state. 1 Display the detection results interface, click the call coach, enter the interface changes status Figure 2 display 2 display Solve the problem interface. After solving, the call can be ended.</v>
      </c>
      <c r="D1389" s="6" t="s">
        <v>4034</v>
      </c>
      <c r="E1389" s="4" t="str">
        <f ca="1">IFERROR(__xludf.DUMMYFUNCTION("GOOGLETRANSLATE(D1389,""auto"",""en"")"),"Display with a graphical user interface with an analog car training system")</f>
        <v>Display with a graphical user interface with an analog car training system</v>
      </c>
    </row>
    <row r="1390" spans="1:5" ht="15" x14ac:dyDescent="0.25">
      <c r="A1390" s="5" t="s">
        <v>4035</v>
      </c>
      <c r="B1390" s="6" t="s">
        <v>4036</v>
      </c>
      <c r="C1390" s="3" t="str">
        <f ca="1">IFERROR(__xludf.DUMMYFUNCTION("GOOGLETRANSLATE(B1390,""auto"",""en"")"),"This utility model opens up an intelligent vehicle intelligent system with fitness function, involving the field of electric vehicle technology. The electric vehicle system includes a cloud server, motor and an electric vehicle data bus positioning commun"&amp;"ication unit, battery group, anti -theft device and No. 1 One controller; cloud server is distributed in electric vehicle manufacturers, and the positioning communication unit can be obtained in time through remote connection. The amplifier speaker, heart"&amp;" rate monitoring equipment and second controller, the second controller connect to the damping motor; the voice recognition module is used to switch the electric vehicle mode, the voice input damping level; Adjusting the damping size of the damping motor;"&amp;" the instrument and anti -theft device display different information in the two modes. The intelligent system can improve the fitness experience of the owner and improve the physical fitness of citizens.")</f>
        <v>This utility model opens up an intelligent vehicle intelligent system with fitness function, involving the field of electric vehicle technology. The electric vehicle system includes a cloud server, motor and an electric vehicle data bus positioning communication unit, battery group, anti -theft device and No. 1 One controller; cloud server is distributed in electric vehicle manufacturers, and the positioning communication unit can be obtained in time through remote connection. The amplifier speaker, heart rate monitoring equipment and second controller, the second controller connect to the damping motor; the voice recognition module is used to switch the electric vehicle mode, the voice input damping level; Adjusting the damping size of the damping motor; the instrument and anti -theft device display different information in the two modes. The intelligent system can improve the fitness experience of the owner and improve the physical fitness of citizens.</v>
      </c>
      <c r="D1390" s="6" t="s">
        <v>4037</v>
      </c>
      <c r="E1390" s="4" t="str">
        <f ca="1">IFERROR(__xludf.DUMMYFUNCTION("GOOGLETRANSLATE(D1390,""auto"",""en"")"),"A smart car intelligent system with fitness function")</f>
        <v>A smart car intelligent system with fitness function</v>
      </c>
    </row>
    <row r="1391" spans="1:5" ht="15" x14ac:dyDescent="0.25">
      <c r="A1391" s="5" t="s">
        <v>4038</v>
      </c>
      <c r="B1391" s="6" t="s">
        <v>4039</v>
      </c>
      <c r="C1391" s="3" t="str">
        <f ca="1">IFERROR(__xludf.DUMMYFUNCTION("GOOGLETRANSLATE(B1391,""auto"",""en"")"),"The present invention involves the field of artificial intelligence technology, and specifically involves an artificial intelligence -based gym -based safety risk warning method and system. This method can further obtain the fitness of the fitness personn"&amp;"el by obtaining the location information and fitness movements of the fitness personnel, and obtain the degree of control of the fitness personnel according to the physical fitness time of fitness and the real fitness time used by a fitness; And the degre"&amp;"e of fatigue of fitness personnel gets the probability of safety accidents; use each fitness personnel as a dangerous source, obtain the number of risk areas and the number of hazard sources in the area, and further obtain the degree of cross -risk areas "&amp;"of cross -risk areas; The number of hazard sources obtained the results of safety risk assessment results. The use of the present invention can prompt the gym managers based on the safety risk assessment of different levels to effectively solve the proble"&amp;"m of inaccurate supervision of the safety risk of fitness personnel in time.")</f>
        <v>The present invention involves the field of artificial intelligence technology, and specifically involves an artificial intelligence -based gym -based safety risk warning method and system. This method can further obtain the fitness of the fitness personnel by obtaining the location information and fitness movements of the fitness personnel, and obtain the degree of control of the fitness personnel according to the physical fitness time of fitness and the real fitness time used by a fitness; And the degree of fatigue of fitness personnel gets the probability of safety accidents; use each fitness personnel as a dangerous source, obtain the number of risk areas and the number of hazard sources in the area, and further obtain the degree of cross -risk areas of cross -risk areas; The number of hazard sources obtained the results of safety risk assessment results. The use of the present invention can prompt the gym managers based on the safety risk assessment of different levels to effectively solve the problem of inaccurate supervision of the safety risk of fitness personnel in time.</v>
      </c>
      <c r="D1391" s="6" t="s">
        <v>4040</v>
      </c>
      <c r="E1391" s="4" t="str">
        <f ca="1">IFERROR(__xludf.DUMMYFUNCTION("GOOGLETRANSLATE(D1391,""auto"",""en"")"),"Gym safety risk warning method and system based on artificial intelligence")</f>
        <v>Gym safety risk warning method and system based on artificial intelligence</v>
      </c>
    </row>
    <row r="1392" spans="1:5" ht="15" x14ac:dyDescent="0.25">
      <c r="A1392" s="5" t="s">
        <v>4041</v>
      </c>
      <c r="B1392" s="6" t="s">
        <v>4042</v>
      </c>
      <c r="C1392" s="3" t="str">
        <f ca="1">IFERROR(__xludf.DUMMYFUNCTION("GOOGLETRANSLATE(B1392,""auto"",""en"")"),"The present invention involves the field of artificial intelligence technology, and specifically involves a fitness training management method and system based on smart bracelets and three -dimensional reconstruction of the human body. Methods include: co"&amp;"llect the images of fitness personnel and perform three -dimensional reconstruction of the human body to obtain the body type parameters; analyze the corner curve of each component, obtain the component synthetic attitude corner curve; overlap the synthet"&amp;"ic attitude of each component The degree curve; select key frames according to the key level of the video frame, and use key frames for fitness action recognition; calculate the health of the fitness personnel in real time according to the body parameters"&amp;" and the heartbeat data measured by the smart bracelet, and conduct fitness training management. Using the present invention can improve the accuracy of composite fitness action and achieve personalized fitness training management.")</f>
        <v>The present invention involves the field of artificial intelligence technology, and specifically involves a fitness training management method and system based on smart bracelets and three -dimensional reconstruction of the human body. Methods include: collect the images of fitness personnel and perform three -dimensional reconstruction of the human body to obtain the body type parameters; analyze the corner curve of each component, obtain the component synthetic attitude corner curve; overlap the synthetic attitude of each component The degree curve; select key frames according to the key level of the video frame, and use key frames for fitness action recognition; calculate the health of the fitness personnel in real time according to the body parameters and the heartbeat data measured by the smart bracelet, and conduct fitness training management. Using the present invention can improve the accuracy of composite fitness action and achieve personalized fitness training management.</v>
      </c>
      <c r="D1392" s="6" t="s">
        <v>4043</v>
      </c>
      <c r="E1392" s="4" t="str">
        <f ca="1">IFERROR(__xludf.DUMMYFUNCTION("GOOGLETRANSLATE(D1392,""auto"",""en"")"),"Fitness training management methods and systems based on intelligent bracelets and human three -dimensional reconstruction")</f>
        <v>Fitness training management methods and systems based on intelligent bracelets and human three -dimensional reconstruction</v>
      </c>
    </row>
    <row r="1393" spans="1:5" ht="15" x14ac:dyDescent="0.25">
      <c r="A1393" s="5" t="s">
        <v>4044</v>
      </c>
      <c r="B1393" s="6" t="s">
        <v>4045</v>
      </c>
      <c r="C1393" s="3" t="str">
        <f ca="1">IFERROR(__xludf.DUMMYFUNCTION("GOOGLETRANSLATE(B1393,""auto"",""en"")"),"In India's food system, the consumption of grains is considered the source of immunity and energy. Grain is a very popular human health and fitness food. Edible grains can not only provide sufficient lifestyle, but also improve memory T cells and reduce t"&amp;"he risk of obesity, heart disease and type 2 diabetes. Therefore, 60% of the population follows the trend of breakfast and dinner grain intake. Grain such as wheat, oats, rye, Jo War, and quinoa is considered to be healthy foods that reduce inflammation. "&amp;"People use these grains to make barbecue and pancakes. Because they cannot be eaten directly, they are converted into powder through the grinding machine. The fine powder of these grains is considered to be very suitable for making soft cakes. The delicat"&amp;"e and softness will make the barbecue delicious. Therefore, this study proposes a smart machine that grinds grains into fine powder. This product uses artificial intelligence to identify products and define the fineness type required for grains. With this"&amp;" machine, artificial intervention has been reduced, and it can be used during day and night. Powder, sugar, and MAIDA produced by many well -known companies such as Aashirvaad, Annapurna and Patanjali adds preservatives, sugar and MAIDA to make them soft "&amp;"and sweet. However, all Ingolid mentioned above is considered unhealthy. Therefore, these machines are very needed for the current requirements for maintaining health and health. These machines are designed for all users in rural and urban areas. The main"&amp;" advantages of using these machines are user -friendly, time -consuming, cost -effective, low energy consumption, low noise, no time limit, no manual intervention.")</f>
        <v>In India's food system, the consumption of grains is considered the source of immunity and energy. Grain is a very popular human health and fitness food. Edible grains can not only provide sufficient lifestyle, but also improve memory T cells and reduce the risk of obesity, heart disease and type 2 diabetes. Therefore, 60% of the population follows the trend of breakfast and dinner grain intake. Grain such as wheat, oats, rye, Jo War, and quinoa is considered to be healthy foods that reduce inflammation. People use these grains to make barbecue and pancakes. Because they cannot be eaten directly, they are converted into powder through the grinding machine. The fine powder of these grains is considered to be very suitable for making soft cakes. The delicate and softness will make the barbecue delicious. Therefore, this study proposes a smart machine that grinds grains into fine powder. This product uses artificial intelligence to identify products and define the fineness type required for grains. With this machine, artificial intervention has been reduced, and it can be used during day and night. Powder, sugar, and MAIDA produced by many well -known companies such as Aashirvaad, Annapurna and Patanjali adds preservatives, sugar and MAIDA to make them soft and sweet. However, all Ingolid mentioned above is considered unhealthy. Therefore, these machines are very needed for the current requirements for maintaining health and health. These machines are designed for all users in rural and urban areas. The main advantages of using these machines are user -friendly, time -consuming, cost -effective, low energy consumption, low noise, no time limit, no manual intervention.</v>
      </c>
      <c r="D1393" s="6" t="s">
        <v>4046</v>
      </c>
      <c r="E1393" s="4" t="str">
        <f ca="1">IFERROR(__xludf.DUMMYFUNCTION("GOOGLETRANSLATE(D1393,""auto"",""en"")"),"Use the Internet of Things smart multi -function automation flour machine")</f>
        <v>Use the Internet of Things smart multi -function automation flour machine</v>
      </c>
    </row>
    <row r="1394" spans="1:5" ht="15" x14ac:dyDescent="0.25">
      <c r="A1394" s="5" t="s">
        <v>4047</v>
      </c>
      <c r="B1394" s="6" t="s">
        <v>4048</v>
      </c>
      <c r="C1394" s="3" t="str">
        <f ca="1">IFERROR(__xludf.DUMMYFUNCTION("GOOGLETRANSLATE(B1394,""auto"",""en"")"),"The present invention provides a drinking machine with entertainment education function, including the front end of the shaved ice of the ice storage area. The other end of the shaved ice is set to have a running driver. The ministry, the derivative slot "&amp;"connection between the ice and shaved ice parts through the bottom of the ice. The Ministry, Running Driver Department and the Central Department of Entertainment Education have a transmission department, which is inside the Traffic Driver. The invention "&amp;"has modules such as storage, shaving ice, exercise, learning, and entertainment. Combined with voice recognition, the experiencer can use their own knowledge to obtain a decrease or exemption to stimulate the experience of experience.")</f>
        <v>The present invention provides a drinking machine with entertainment education function, including the front end of the shaved ice of the ice storage area. The other end of the shaved ice is set to have a running driver. The ministry, the derivative slot connection between the ice and shaved ice parts through the bottom of the ice. The Ministry, Running Driver Department and the Central Department of Entertainment Education have a transmission department, which is inside the Traffic Driver. The invention has modules such as storage, shaving ice, exercise, learning, and entertainment. Combined with voice recognition, the experiencer can use their own knowledge to obtain a decrease or exemption to stimulate the experience of experience.</v>
      </c>
      <c r="D1394" s="6" t="s">
        <v>4049</v>
      </c>
      <c r="E1394" s="4" t="str">
        <f ca="1">IFERROR(__xludf.DUMMYFUNCTION("GOOGLETRANSLATE(D1394,""auto"",""en"")"),"A drink with entertainment education function")</f>
        <v>A drink with entertainment education function</v>
      </c>
    </row>
    <row r="1395" spans="1:5" ht="15" x14ac:dyDescent="0.25">
      <c r="A1395" s="5" t="s">
        <v>4050</v>
      </c>
      <c r="B1395" s="6" t="s">
        <v>4051</v>
      </c>
      <c r="C1395" s="3" t="str">
        <f ca="1">IFERROR(__xludf.DUMMYFUNCTION("GOOGLETRANSLATE(B1395,""auto"",""en"")"),"1. The name of the product in appearance: The display screen panel with the graphical user interface with a live broadcast settings.
 2. The purpose of designing products in this exterior: It is used for running programs, displaying graphics and images;"&amp;" display screen panels for live equipment, computers, mobile phones, tablets, televisions, and vehicle display screens that are integrated and displayed.
 3. Design of the design of the product in this exterior: lies in the content of the graphic user i"&amp;"nterface.
 4. Pictures or photos that can most indicate design points: main view.
 5. The purpose of graphical user interface: This graphic user interface is used for live broadcasts and live broadcasts on layers, push flow, audio, scoring cards, revi"&amp;"ews and other functions.
 6. Human -computer interaction method of graphics user interface: The main view is the full -screen live broadcast page. The user clicks the circular button on the middle of the right side of the interface to start the live bro"&amp;"adcast. Click on the bottom of the interface to set the live broadcast function; Click the layer settings interface presented by the graphic button; the interface change state Figure 2 is the ones presented by the push flow figure button to push the live "&amp;"video signal to the setting interface of multiple optional third -party live broadcast platforms; 3 is the control interface of the audio signal sources presented by clicking the audio settings of the graphics button; the interface changes state Figure 4 "&amp;"is the ""scoring card"" function in the game live broadcast of the clicks. Interface; interface change state Figure 5 is a click comment figure button, select one in the right comment, and present the interface in the live broadcast display in the live sc"&amp;"reen; Figure 7 shows the interface of the ""Add Video Source +"" button in any of the click interface change state. Multi‑Views ""The following buttons to implement different display modes of the same screen on the same screen; Reference status reference "&amp;"in Figure 1 is the reference figure of the use state of change state.")</f>
        <v>1. The name of the product in appearance: The display screen panel with the graphical user interface with a live broadcast settings.
 2. The purpose of designing products in this exterior: It is used for running programs, displaying graphics and images; display screen panels for live equipment, computers, mobile phones, tablets, televisions, and vehicle display screens that are integrated and displayed.
 3. Design of the design of the product in this exterior: lies in the content of the graphic user interface.
 4. Pictures or photos that can most indicate design points: main view.
 5. The purpose of graphical user interface: This graphic user interface is used for live broadcasts and live broadcasts on layers, push flow, audio, scoring cards, reviews and other functions.
 6. Human -computer interaction method of graphics user interface: The main view is the full -screen live broadcast page. The user clicks the circular button on the middle of the right side of the interface to start the live broadcast. Click on the bottom of the interface to set the live broadcast function; Click the layer settings interface presented by the graphic button; the interface change state Figure 2 is the ones presented by the push flow figure button to push the live video signal to the setting interface of multiple optional third -party live broadcast platforms; 3 is the control interface of the audio signal sources presented by clicking the audio settings of the graphics button; the interface changes state Figure 4 is the "scoring card" function in the game live broadcast of the clicks. Interface; interface change state Figure 5 is a click comment figure button, select one in the right comment, and present the interface in the live broadcast display in the live screen; Figure 7 shows the interface of the "Add Video Source +" button in any of the click interface change state. Multi‑Views "The following buttons to implement different display modes of the same screen on the same screen; Reference status reference in Figure 1 is the reference figure of the use state of change state.</v>
      </c>
      <c r="D1395" s="6" t="s">
        <v>3245</v>
      </c>
      <c r="E1395" s="4" t="str">
        <f ca="1">IFERROR(__xludf.DUMMYFUNCTION("GOOGLETRANSLATE(D1395,""auto"",""en"")"),"Bring a display screen panel with a live broadcast settings user interface")</f>
        <v>Bring a display screen panel with a live broadcast settings user interface</v>
      </c>
    </row>
    <row r="1396" spans="1:5" ht="15" x14ac:dyDescent="0.25">
      <c r="A1396" s="5" t="s">
        <v>4052</v>
      </c>
      <c r="B1396" s="6" t="s">
        <v>4053</v>
      </c>
      <c r="C1396" s="3" t="str">
        <f ca="1">IFERROR(__xludf.DUMMYFUNCTION("GOOGLETRANSLATE(B1396,""auto"",""en"")"),"The present invention provides a visual weightlifting analysis system, including the following: data collection equipment, operation interface, analysis module and data storage module; data collection equipment obtains the front and side video data of the"&amp;" athletes, and transmits the data to the operating interface; The operating interface displays the data, and the data is transmitted to the analysis module through the transmission protocol; the analysis module pre -process the data through the spatial at"&amp;"tention mechanism SAM, and uses deep neural networks to achieve the key point tracking and various sports data analysis of the athletes, and store it to the storage until it is stored to the storage until it is stored to it. Data storage module; analysis "&amp;"module forms an analysis report based on key points and various sports data, and transmits the analysis report to the operating interface. The present invention greatly reduces the amount of computing, fills this vacancy in similar applications in motion "&amp;"analysis, and the system uses containerization deployment to support multi -users to operate concurrently at the same time.")</f>
        <v>The present invention provides a visual weightlifting analysis system, including the following: data collection equipment, operation interface, analysis module and data storage module; data collection equipment obtains the front and side video data of the athletes, and transmits the data to the operating interface; The operating interface displays the data, and the data is transmitted to the analysis module through the transmission protocol; the analysis module pre -process the data through the spatial attention mechanism SAM, and uses deep neural networks to achieve the key point tracking and various sports data analysis of the athletes, and store it to the storage until it is stored to the storage until it is stored to it. Data storage module; analysis module forms an analysis report based on key points and various sports data, and transmits the analysis report to the operating interface. The present invention greatly reduces the amount of computing, fills this vacancy in similar applications in motion analysis, and the system uses containerization deployment to support multi -users to operate concurrently at the same time.</v>
      </c>
      <c r="D1396" s="6" t="s">
        <v>4054</v>
      </c>
      <c r="E1396" s="4" t="str">
        <f ca="1">IFERROR(__xludf.DUMMYFUNCTION("GOOGLETRANSLATE(D1396,""auto"",""en"")"),"A visual weightlifting analysis system")</f>
        <v>A visual weightlifting analysis system</v>
      </c>
    </row>
    <row r="1397" spans="1:5" ht="15" x14ac:dyDescent="0.25">
      <c r="A1397" s="5" t="s">
        <v>4055</v>
      </c>
      <c r="B1397" s="6" t="s">
        <v>4056</v>
      </c>
      <c r="C1397" s="3" t="str">
        <f ca="1">IFERROR(__xludf.DUMMYFUNCTION("GOOGLETRANSLATE(B1397,""auto"",""en"")"),"A method and device that uses attitude recognition technology based on highlight image -based image support. The convenient TV viewing support device included in the use posture recognition technology proposed by the present invention includes video recei"&amp;"ving unit, including video receiving units, which are accepted from the outside. Instrument. Identify a specific posture to identify the basic events repeatedly appeared in the recorded sports video content, whether the basic events have occurred accordin"&amp;"g to the identification and reading of a specific posture, and record the information about the basic events of the basic events in the basic event of the recording unit when the basic events occur. The identification unit reads special events in the rece"&amp;"iving sports video content, and when a special event occurs, the information about special incident recognition units records the information about special events in the recording unit. When special events occur, in order to create a wonderful video of th"&amp;"e incident, special events are connected and recorded and recorded the special events of the information and special incident information related to special events related to special events. During the request, and the intelligent viewing unit from the re"&amp;"cord unit to receive the basic events or the generating information corresponding to the wonderful videos that the audience wants to watch, and provide the audience with the corresponding wonderful videos.")</f>
        <v>A method and device that uses attitude recognition technology based on highlight image -based image support. The convenient TV viewing support device included in the use posture recognition technology proposed by the present invention includes video receiving unit, including video receiving units, which are accepted from the outside. Instrument. Identify a specific posture to identify the basic events repeatedly appeared in the recorded sports video content, whether the basic events have occurred according to the identification and reading of a specific posture, and record the information about the basic events of the basic events in the basic event of the recording unit when the basic events occur. The identification unit reads special events in the receiving sports video content, and when a special event occurs, the information about special incident recognition units records the information about special events in the recording unit. When special events occur, in order to create a wonderful video of the incident, special events are connected and recorded and recorded the special events of the information and special incident information related to special events related to special events. During the request, and the intelligent viewing unit from the record unit to receive the basic events or the generating information corresponding to the wonderful videos that the audience wants to watch, and provide the audience with the corresponding wonderful videos.</v>
      </c>
      <c r="D1397" s="6" t="s">
        <v>4057</v>
      </c>
      <c r="E1397" s="4" t="str">
        <f ca="1">IFERROR(__xludf.DUMMYFUNCTION("GOOGLETRANSLATE(D1397,""auto"",""en"")"),"The convenient viewing support method and device based on wonderful videos using attitude recognition technology")</f>
        <v>The convenient viewing support method and device based on wonderful videos using attitude recognition technology</v>
      </c>
    </row>
    <row r="1398" spans="1:5" ht="15" x14ac:dyDescent="0.25">
      <c r="A1398" s="5" t="s">
        <v>4058</v>
      </c>
      <c r="B1398" s="6" t="s">
        <v>4059</v>
      </c>
      <c r="C1398" s="3" t="str">
        <f ca="1">IFERROR(__xludf.DUMMYFUNCTION("GOOGLETRANSLATE(B1398,""auto"",""en"")"),"1. Design product name: The interactive operation graphic user interface of the display screen panel.
 2.本外观设计产品的用途：本外观设计产品用于以下带显示屏幕的产品中用于显示屏面板播放内容的交互操作：手机、台式电脑、笔记本电脑、平板电脑、嵌入式电脑、电视、冰箱、冷柜、净水机、饮水机、空调、洗衣机、热水器、抽油烟机、洗碗机、集成灶、蒸烤箱、电饭煲、电压力锅、料理机、破壁机、热水器、热水壶、电磁炉、 "&amp;"Microwave ovens, microwave rice cookers, juicers, disinfection cabinets, humidifiers, dehumidifiers, watches, remote controls, robots, car navigators, car display devices, GPS devices, smart bracelets, dressing mirrors, smart glasses, personal number assi"&amp;"stants 、智能音箱、机顶盒、游戏机、健身监视器、按摩器、康复护理仪、烘干机、灯具、VR眼镜、MP4、掌上游戏机、智能门铃、门锁、风扇、智能冰箱贴、广告机、 Bluetooth headset charging box.
 3. Design of the design of the product in this exterior: lies in the content of the graphic user interface in the screen.
 4. Pictures or"&amp;" photos that can best show design: Design 1 main view.
 5. No design points, omitting design 1 to design 10 rear views, left views, right views, down viewing, upper view.
 6. Specify design 1 is the basic design.
 7. The purpose of the graphical use"&amp;"r interface: The main content is the gesture operating video playback interface. Select the interface of the &amp; nbsp; vod &amp; nbsp; select the interface.
 8. Human -machine interaction method of graphical user interface: When the user's gesture is recogniz"&amp;"ed, the design 1 will pop up the interface of gesture operation. Through the movement of the palm, select the corresponding function, and jump to the corresponding interface of the selected function.
 The gesture wakes up the selection menu, that is, th"&amp;"e design 2 main view will pop up the interface of gesture operation, and select the voice button by default; when the palm pauses in the middle, the interface is transformed from the design 2 main view to the design 2 interface changes. Change status Figu"&amp;"re 1 is transformed into design 2 interface change state Figure 2. Through the movement of the palm of the hand, select the corresponding function, and jump to the interface corresponding to the selected function. Later disappear.
 The gesture wakes up "&amp;"the selection menu, the interface is the design 3 main view; when the palm moves to the back key at the right end of the operating ring, the interface is transformed to the design 3 interface change state. Design 3 interface change state Figure 2.
 The "&amp;"gesture wakes up the selection menu, the interface is the design 4 main view; when the palm moves to the pause button at the bottom of the operating ring, the interface is transformed to the design 4 interface change state. Figure 1 transforms to the desi"&amp;"gn 4 interface change state Figure 2, suspend the screen and display the playback process at this time.
 The gesture wakes up the selection menu, the interface is the design 5 main view; when the palm moves to the play button at the bottom of the operat"&amp;"ing ring, the interface is transformed into a design 5 interface change state. When the play button is moved to the play button at the bottom of the operating ring at different time points, the interface shows different playback processes.
 The gesture "&amp;"wakes up the selection menu. The interface is the design 6 main view. When the palm of the palm moves to the volume reduction button at the top of the operating ring, the interface is transformed to the design 6 interface change state. The interface is tr"&amp;"ansformed from the design 6 interface change state to the design 6 interface change state. 2. Design 6 interface changes. 3. Design 6 interface change state. 4. Design 6 interface change state Figure 5, when the palm moves to the operating ring to the ope"&amp;"rating ring When the volume in the upper right corner is added, the interface is converted to the design 6 interface change state Figure 6, and the palm of the hand is continuously placed at the volume plus button, and the volume gradually increases. Figu"&amp;"re 7. Design 6 interface change state Figure 8. Design 6 interface change state Figure 9. Design 6 interface change state Figure 10, operating the voice image of the operation ring center, the eye eyes follow the selected key position to move.
 The gest"&amp;"ure wakes up the selection menu. The interface is the design of the 7 main view, and the palm can be moved to any button of the operating ring. If the palm moves to the button at the bottom of the operating ring, the interface is converted from the design"&amp;" 7 main view to the design 7 interface change state. Put the palm on the bottom of the operation ring, the interface is transformed from the design 7 interface &amp; nbsp; change to the design 7 interface changes in the design 7 interface. 2. Design 7 interfa"&amp;"ce changes. Design 7 interface changes. Figure 5. Design 7 interface changes. 6. The operating ring circle has gradually filled the progress circle on Monday. The image of the image flashes.
 The gesture wakes up the selection menu. The interface is the"&amp;" design of the 8 main view. When the palm moves to the function button on the operating ring, the eyes of the voice image of the operation ring center follow the selection button position to move.
 The gesture wakes up the selection menu. The interface "&amp;"is the design 9 main view. When the palm moves to the mute buttons in the upper left corner, the interface is transformed into a design 9 interface change state diagram. At this time strip.
 The gesture wakes up the selection menu. The interface is the "&amp;"design 10 main view. When the palm moves to the fast -forward button in the lower right corner, the interface is transformed into the design 10 interface change state. The interface is changed from the design 10 interface change state to the design 10 int"&amp;"erface change state. 2. Design 10 interface changes. Figure 3. Design 10 interface change status. 4. Design 10 interface changes. When the back button, the interface is transformed into a design 10 interface change state Figure 6, and the palm of the hand"&amp;" is continuously placed at the back button. The playback process continues to go backwards. The interface is changed from the design 10 interface state. 10 interface change state Figure 8. Design 10 interface change state figure 9. Design 10 interface cha"&amp;"nge state Figure 10, operating the voice image of the operation ring center, the eye eyes follow the selected button position to move.
 Among them, gesture awakening can be touched the screen in the hand, or it can be the hand without touching the scree"&amp;"n. The ""background gray block"" in the interface is expressed as a picture.")</f>
        <v>1. Design product name: The interactive operation graphic user interface of the display screen panel.
 2.本外观设计产品的用途：本外观设计产品用于以下带显示屏幕的产品中用于显示屏面板播放内容的交互操作：手机、台式电脑、笔记本电脑、平板电脑、嵌入式电脑、电视、冰箱、冷柜、净水机、饮水机、空调、洗衣机、热水器、抽油烟机、洗碗机、集成灶、蒸烤箱、电饭煲、电压力锅、料理机、破壁机、热水器、热水壶、电磁炉、 Microwave ovens, microwave rice cookers, juicers, disinfection cabinets, humidifiers, dehumidifiers, watches, remote controls, robots, car navigators, car display devices, GPS devices, smart bracelets, dressing mirrors, smart glasses, personal number assistants 、智能音箱、机顶盒、游戏机、健身监视器、按摩器、康复护理仪、烘干机、灯具、VR眼镜、MP4、掌上游戏机、智能门铃、门锁、风扇、智能冰箱贴、广告机、 Bluetooth headset charging box.
 3. Design of the design of the product in this exterior: lies in the content of the graphic user interface in the screen.
 4. Pictures or photos that can best show design: Design 1 main view.
 5. No design points, omitting design 1 to design 10 rear views, left views, right views, down viewing, upper view.
 6. Specify design 1 is the basic design.
 7. The purpose of the graphical user interface: The main content is the gesture operating video playback interface. Select the interface of the &amp; nbsp; vod &amp; nbsp; select the interface.
 8. Human -machine interaction method of graphical user interface: When the user's gesture is recognized, the design 1 will pop up the interface of gesture operation. Through the movement of the palm, select the corresponding function, and jump to the corresponding interface of the selected function.
 The gesture wakes up the selection menu, that is, the design 2 main view will pop up the interface of gesture operation, and select the voice button by default; when the palm pauses in the middle, the interface is transformed from the design 2 main view to the design 2 interface changes. Change status Figure 1 is transformed into design 2 interface change state Figure 2. Through the movement of the palm of the hand, select the corresponding function, and jump to the interface corresponding to the selected function. Later disappear.
 The gesture wakes up the selection menu, the interface is the design 3 main view; when the palm moves to the back key at the right end of the operating ring, the interface is transformed to the design 3 interface change state. Design 3 interface change state Figure 2.
 The gesture wakes up the selection menu, the interface is the design 4 main view; when the palm moves to the pause button at the bottom of the operating ring, the interface is transformed to the design 4 interface change state. Figure 1 transforms to the design 4 interface change state Figure 2, suspend the screen and display the playback process at this time.
 The gesture wakes up the selection menu, the interface is the design 5 main view; when the palm moves to the play button at the bottom of the operating ring, the interface is transformed into a design 5 interface change state. When the play button is moved to the play button at the bottom of the operating ring at different time points, the interface shows different playback processes.
 The gesture wakes up the selection menu. The interface is the design 6 main view. When the palm of the palm moves to the volume reduction button at the top of the operating ring, the interface is transformed to the design 6 interface change state. The interface is transformed from the design 6 interface change state to the design 6 interface change state. 2. Design 6 interface changes. 3. Design 6 interface change state. 4. Design 6 interface change state Figure 5, when the palm moves to the operating ring to the operating ring When the volume in the upper right corner is added, the interface is converted to the design 6 interface change state Figure 6, and the palm of the hand is continuously placed at the volume plus button, and the volume gradually increases. Figure 7. Design 6 interface change state Figure 8. Design 6 interface change state Figure 9. Design 6 interface change state Figure 10, operating the voice image of the operation ring center, the eye eyes follow the selected key position to move.
 The gesture wakes up the selection menu. The interface is the design of the 7 main view, and the palm can be moved to any button of the operating ring. If the palm moves to the button at the bottom of the operating ring, the interface is converted from the design 7 main view to the design 7 interface change state. Put the palm on the bottom of the operation ring, the interface is transformed from the design 7 interface &amp; nbsp; change to the design 7 interface changes in the design 7 interface. 2. Design 7 interface changes. Design 7 interface changes. Figure 5. Design 7 interface changes. 6. The operating ring circle has gradually filled the progress circle on Monday. The image of the image flashes.
 The gesture wakes up the selection menu. The interface is the design of the 8 main view. When the palm moves to the function button on the operating ring, the eyes of the voice image of the operation ring center follow the selection button position to move.
 The gesture wakes up the selection menu. The interface is the design 9 main view. When the palm moves to the mute buttons in the upper left corner, the interface is transformed into a design 9 interface change state diagram. At this time strip.
 The gesture wakes up the selection menu. The interface is the design 10 main view. When the palm moves to the fast -forward button in the lower right corner, the interface is transformed into the design 10 interface change state. The interface is changed from the design 10 interface change state to the design 10 interface change state. 2. Design 10 interface changes. Figure 3. Design 10 interface change status. 4. Design 10 interface changes. When the back button, the interface is transformed into a design 10 interface change state Figure 6, and the palm of the hand is continuously placed at the back button. The playback process continues to go backwards. The interface is changed from the design 10 interface state. 10 interface change state Figure 8. Design 10 interface change state figure 9. Design 10 interface change state Figure 10, operating the voice image of the operation ring center, the eye eyes follow the selected button position to move.
 Among them, gesture awakening can be touched the screen in the hand, or it can be the hand without touching the screen. The "background gray block" in the interface is expressed as a picture.</v>
      </c>
      <c r="D1398" s="6" t="s">
        <v>4060</v>
      </c>
      <c r="E1398" s="4" t="str">
        <f ca="1">IFERROR(__xludf.DUMMYFUNCTION("GOOGLETRANSLATE(D1398,""auto"",""en"")"),"Interactive operation graphics user interface of display screen panel")</f>
        <v>Interactive operation graphics user interface of display screen panel</v>
      </c>
    </row>
    <row r="1399" spans="1:5" ht="15" x14ac:dyDescent="0.25">
      <c r="A1399" s="5" t="s">
        <v>4061</v>
      </c>
      <c r="B1399" s="6" t="s">
        <v>4062</v>
      </c>
      <c r="C1399" s="3" t="str">
        <f ca="1">IFERROR(__xludf.DUMMYFUNCTION("GOOGLETRANSLATE(B1399,""auto"",""en"")"),"A system that identifies and timed athletes in chronograph sports events. Athletes use image recognition technology timing. Among them, one or more images taken by the camera by the athlete during the sports event (106 A, 106 B, or 106 C) have a time stam"&amp;"p to generate the complete time of the athlete. By comparing one of the images that will be taken during the sports event, the athlete is compared with the athlete's personal data image.")</f>
        <v>A system that identifies and timed athletes in chronograph sports events. Athletes use image recognition technology timing. Among them, one or more images taken by the camera by the athlete during the sports event (106 A, 106 B, or 106 C) have a time stamp to generate the complete time of the athlete. By comparing one of the images that will be taken during the sports event, the athlete is compared with the athlete's personal data image.</v>
      </c>
      <c r="D1399" s="6" t="s">
        <v>4063</v>
      </c>
      <c r="E1399" s="4" t="str">
        <f ca="1">IFERROR(__xludf.DUMMYFUNCTION("GOOGLETRANSLATE(D1399,""auto"",""en"")"),"Event timing and photography system")</f>
        <v>Event timing and photography system</v>
      </c>
    </row>
    <row r="1400" spans="1:5" ht="15" x14ac:dyDescent="0.25">
      <c r="A1400" s="5" t="s">
        <v>4064</v>
      </c>
      <c r="B1400" s="6" t="s">
        <v>4065</v>
      </c>
      <c r="C1400" s="3" t="str">
        <f ca="1">IFERROR(__xludf.DUMMYFUNCTION("GOOGLETRANSLATE(B1400,""auto"",""en"")"),"This utility model has disclosed a swimming pool anti -drowning alarm device that applies IoT technology, including: installation department, left connection part and right connection part, and the left connection part and right connection are made of ski"&amp;"n -friendly fabric. The left side of the left side is fixed to the left connection, and the right side of the installation department is connected to the right connection part, which is set with elastic airbags on the installation department. This practic"&amp;"al new type detects the rotation of the rod through the motor when drowning, causing the support spring to lose its limits. It can play a life -saving role by supporting the spring to support the springs; Between the stickers and the first magic stickers,"&amp;" the stability of the connection is added to avoid swimming or struggle.")</f>
        <v>This utility model has disclosed a swimming pool anti -drowning alarm device that applies IoT technology, including: installation department, left connection part and right connection part, and the left connection part and right connection are made of skin -friendly fabric. The left side of the left side is fixed to the left connection, and the right side of the installation department is connected to the right connection part, which is set with elastic airbags on the installation department. This practical new type detects the rotation of the rod through the motor when drowning, causing the support spring to lose its limits. It can play a life -saving role by supporting the spring to support the springs; Between the stickers and the first magic stickers, the stability of the connection is added to avoid swimming or struggle.</v>
      </c>
      <c r="D1400" s="6" t="s">
        <v>4066</v>
      </c>
      <c r="E1400" s="4" t="str">
        <f ca="1">IFERROR(__xludf.DUMMYFUNCTION("GOOGLETRANSLATE(D1400,""auto"",""en"")"),"A swimming pool anti -drowning alarm device that uses IoT technology")</f>
        <v>A swimming pool anti -drowning alarm device that uses IoT technology</v>
      </c>
    </row>
    <row r="1401" spans="1:5" ht="15" x14ac:dyDescent="0.25">
      <c r="A1401" s="5" t="s">
        <v>4067</v>
      </c>
      <c r="B1401" s="6" t="s">
        <v>4068</v>
      </c>
      <c r="C1401" s="3" t="str">
        <f ca="1">IFERROR(__xludf.DUMMYFUNCTION("GOOGLETRANSLATE(B1401,""auto"",""en"")"),"The present invention involves the field of video editing technology, and a video editing method and system based on artificial intelligence -based sports competitions are released. The original video table is used to make the original videos and marks it"&amp;". The label storage server is played back. From a complete game, quickly extract each section of the offensive video segment and generate the corresponding video label to facilitate searching and watching after the game. Analysis of each key time of the c"&amp;"ompetition, so as to research and analyze the search and tactics of the effective paragraph and the tactics of the competition team, greatly improve the efficiency and accuracy of the video editing of the event.")</f>
        <v>The present invention involves the field of video editing technology, and a video editing method and system based on artificial intelligence -based sports competitions are released. The original video table is used to make the original videos and marks it. The label storage server is played back. From a complete game, quickly extract each section of the offensive video segment and generate the corresponding video label to facilitate searching and watching after the game. Analysis of each key time of the competition, so as to research and analyze the search and tactics of the effective paragraph and the tactics of the competition team, greatly improve the efficiency and accuracy of the video editing of the event.</v>
      </c>
      <c r="D1401" s="6" t="s">
        <v>4069</v>
      </c>
      <c r="E1401" s="4" t="str">
        <f ca="1">IFERROR(__xludf.DUMMYFUNCTION("GOOGLETRANSLATE(D1401,""auto"",""en"")"),"A video editing method and system based on artificial intelligence -based sports events")</f>
        <v>A video editing method and system based on artificial intelligence -based sports events</v>
      </c>
    </row>
    <row r="1402" spans="1:5" ht="15" x14ac:dyDescent="0.25">
      <c r="A1402" s="5" t="s">
        <v>4070</v>
      </c>
      <c r="B1402" s="6" t="s">
        <v>4071</v>
      </c>
      <c r="C1402" s="3" t="str">
        <f ca="1">IFERROR(__xludf.DUMMYFUNCTION("GOOGLETRANSLATE(B1402,""auto"",""en"")"),"A performance management method, including; receiving performance data of relevant user performance during the event; media data from user equipment receiving related activities; using cognitive status analysis models to process media data ; Use the perfo"&amp;"rmance analysis model to process cognitive status scores and performance data to generate performance profile; determine the recommendations related to activity; and perform actions related to recommendation. Performance analysis models include machine le"&amp;"arning models using historical performance data and historical cognitive status score training. This activity can be a physical exercise or sports -based activity. Performance data can be captured by the sensor in the device worn by the user, and can meas"&amp;"ure the user's physiological indicators during the event. Media data can include content about user preparation, execution, and reflection of activities. Cognitive status scores can be the evaluation of users' emotions, emotions or feelings of activities.")</f>
        <v>A performance management method, including; receiving performance data of relevant user performance during the event; media data from user equipment receiving related activities; using cognitive status analysis models to process media data ; Use the performance analysis model to process cognitive status scores and performance data to generate performance profile; determine the recommendations related to activity; and perform actions related to recommendation. Performance analysis models include machine learning models using historical performance data and historical cognitive status score training. This activity can be a physical exercise or sports -based activity. Performance data can be captured by the sensor in the device worn by the user, and can measure the user's physiological indicators during the event. Media data can include content about user preparation, execution, and reflection of activities. Cognitive status scores can be the evaluation of users' emotions, emotions or feelings of activities.</v>
      </c>
      <c r="D1402" s="6" t="s">
        <v>4072</v>
      </c>
      <c r="E1402" s="4" t="str">
        <f ca="1">IFERROR(__xludf.DUMMYFUNCTION("GOOGLETRANSLATE(D1402,""auto"",""en"")"),"Use machine learning and cognitive status analysis to track user performance")</f>
        <v>Use machine learning and cognitive status analysis to track user performance</v>
      </c>
    </row>
    <row r="1403" spans="1:5" ht="15" x14ac:dyDescent="0.25">
      <c r="A1403" s="5" t="s">
        <v>4073</v>
      </c>
      <c r="B1403" s="6" t="s">
        <v>4074</v>
      </c>
      <c r="C1403" s="3" t="str">
        <f ca="1">IFERROR(__xludf.DUMMYFUNCTION("GOOGLETRANSLATE(B1403,""auto"",""en"")"),"A engine, which not only calculates the ""basic odds"" (calculated by using historical database), and calculate at least one odds to formulate formulas to calculate at least one result of at least one result in a single game in the field. Cross -odds for "&amp;"the formula for making odds. Examples can use AI to associate the final odds of cross -odds with the final odds of calculating odds. After knowing the results of the competition, using machine learning to learn the odds generated by each odds to formulate"&amp;" formulas. The most favorable odds related to the drama. The system can use the mix of basic computer systems and artificial intelligence capabilities computers, and connect to quantum capabilities to help calculate the basic computer to determine when an"&amp;"d how much the chance of calling artificial intelligence capabilities, quantum capabilities and combined artificial intelligence.")</f>
        <v>A engine, which not only calculates the "basic odds" (calculated by using historical database), and calculate at least one odds to formulate formulas to calculate at least one result of at least one result in a single game in the field. Cross -odds for the formula for making odds. Examples can use AI to associate the final odds of cross -odds with the final odds of calculating odds. After knowing the results of the competition, using machine learning to learn the odds generated by each odds to formulate formulas. The most favorable odds related to the drama. The system can use the mix of basic computer systems and artificial intelligence capabilities computers, and connect to quantum capabilities to help calculate the basic computer to determine when and how much the chance of calling artificial intelligence capabilities, quantum capabilities and combined artificial intelligence.</v>
      </c>
      <c r="D1403" s="6" t="s">
        <v>2527</v>
      </c>
      <c r="E1403" s="4" t="str">
        <f ca="1">IFERROR(__xludf.DUMMYFUNCTION("GOOGLETRANSLATE(D1403,""auto"",""en"")"),"Quantum sports betting algorithm engine")</f>
        <v>Quantum sports betting algorithm engine</v>
      </c>
    </row>
    <row r="1404" spans="1:5" ht="15" x14ac:dyDescent="0.25">
      <c r="A1404" s="5" t="s">
        <v>4075</v>
      </c>
      <c r="B1404" s="6" t="s">
        <v>4076</v>
      </c>
      <c r="C1404" s="3" t="str">
        <f ca="1">IFERROR(__xludf.DUMMYFUNCTION("GOOGLETRANSLATE(B1404,""auto"",""en"")"),"This publicly provides methods and devices for displaying information, involving deep learning, enhancing/virtual reality technology fields. The specific implementation scheme is: in response to the selection operation of the preset operation logo, the im"&amp;"age data of the fitness environment within the preset range through the image collection equipment; the map data of the fitness environment within the preset range according to the image data; Determine the default operation logo as the first operation lo"&amp;"go, based on map data, generate and display the identification of fitness equipment. This method improves users' fitness experience.")</f>
        <v>This publicly provides methods and devices for displaying information, involving deep learning, enhancing/virtual reality technology fields. The specific implementation scheme is: in response to the selection operation of the preset operation logo, the image data of the fitness environment within the preset range through the image collection equipment; the map data of the fitness environment within the preset range according to the image data; Determine the default operation logo as the first operation logo, based on map data, generate and display the identification of fitness equipment. This method improves users' fitness experience.</v>
      </c>
      <c r="D1404" s="6" t="s">
        <v>4077</v>
      </c>
      <c r="E1404" s="4" t="str">
        <f ca="1">IFERROR(__xludf.DUMMYFUNCTION("GOOGLETRANSLATE(D1404,""auto"",""en"")"),"Method and device for display information")</f>
        <v>Method and device for display information</v>
      </c>
    </row>
    <row r="1405" spans="1:5" ht="15" x14ac:dyDescent="0.25">
      <c r="A1405" s="5" t="s">
        <v>4078</v>
      </c>
      <c r="B1405" s="6" t="s">
        <v>4079</v>
      </c>
      <c r="C1405" s="3" t="str">
        <f ca="1">IFERROR(__xludf.DUMMYFUNCTION("GOOGLETRANSLATE(B1405,""auto"",""en"")"),"The invention involves the technology field of intelligent sports equipment. The present invention disclosed a smart skipping, including two handles, including counting sensing device, heart rate detection device, real -time broadcasting device, warning d"&amp;"evice, anti -cheating device and human -machine interactive device. The warning device includes the early warning information storage module, the heart rate comparative module and the alarm module. The anti -cheating device includes a static heart rate ac"&amp;"quisition module, a module acquisition module of the movement, the rope skipping frequency acquisition module, the first reference value acquisition module, comparative module, and the output of non -normal information output Module. The present invention"&amp;" provides a smart skipping rope with real -time monitoring user heart rate function, which can also broadcast the sports data of users in real time. The invention is based on the heart rate detection device, counting sensing device and anti -cheating devi"&amp;"ce to build a sports data authenticity judgment system that can filter the unreal motion data generated by the user and ensure the fairness of the online competition.")</f>
        <v>The invention involves the technology field of intelligent sports equipment. The present invention disclosed a smart skipping, including two handles, including counting sensing device, heart rate detection device, real -time broadcasting device, warning device, anti -cheating device and human -machine interactive device. The warning device includes the early warning information storage module, the heart rate comparative module and the alarm module. The anti -cheating device includes a static heart rate acquisition module, a module acquisition module of the movement, the rope skipping frequency acquisition module, the first reference value acquisition module, comparative module, and the output of non -normal information output Module. The present invention provides a smart skipping rope with real -time monitoring user heart rate function, which can also broadcast the sports data of users in real time. The invention is based on the heart rate detection device, counting sensing device and anti -cheating device to build a sports data authenticity judgment system that can filter the unreal motion data generated by the user and ensure the fairness of the online competition.</v>
      </c>
      <c r="D1405" s="6" t="s">
        <v>4080</v>
      </c>
      <c r="E1405" s="4" t="str">
        <f ca="1">IFERROR(__xludf.DUMMYFUNCTION("GOOGLETRANSLATE(D1405,""auto"",""en"")"),"A smart skipping")</f>
        <v>A smart skipping</v>
      </c>
    </row>
    <row r="1406" spans="1:5" ht="15" x14ac:dyDescent="0.25">
      <c r="A1406" s="5" t="s">
        <v>4081</v>
      </c>
      <c r="B1406" s="6" t="s">
        <v>4082</v>
      </c>
      <c r="C1406" s="3" t="str">
        <f ca="1">IFERROR(__xludf.DUMMYFUNCTION("GOOGLETRANSLATE(B1406,""auto"",""en"")"),"The invention provides a tennis training device and its usage method based on the Internet of Things, involving the field of tennis training. The IoT -based tennis training device, including the flange layer, has a connection column in the inner fixed con"&amp;"nection of the rubber layer. There is a supporting rod, one end of the supporting rod is fixed with the first self -drive component. The inner side of the inner shell is fixed with a second self -driving component, a support rod, and a fixed rod. Ball isl"&amp;"and, with an integrated sensing module on one side of the island of the ball. Through the cooperation of the first self -drive component and the second self -drive component, the tennis can be scrolled and adjusted to the target position, which can save t"&amp;"he steps to pick up the ball and make the training more time -saving.")</f>
        <v>The invention provides a tennis training device and its usage method based on the Internet of Things, involving the field of tennis training. The IoT -based tennis training device, including the flange layer, has a connection column in the inner fixed connection of the rubber layer. There is a supporting rod, one end of the supporting rod is fixed with the first self -drive component. The inner side of the inner shell is fixed with a second self -driving component, a support rod, and a fixed rod. Ball island, with an integrated sensing module on one side of the island of the ball. Through the cooperation of the first self -drive component and the second self -drive component, the tennis can be scrolled and adjusted to the target position, which can save the steps to pick up the ball and make the training more time -saving.</v>
      </c>
      <c r="D1406" s="6" t="s">
        <v>4083</v>
      </c>
      <c r="E1406" s="4" t="str">
        <f ca="1">IFERROR(__xludf.DUMMYFUNCTION("GOOGLETRANSLATE(D1406,""auto"",""en"")"),"A Tennis training device and how to use it based on the Internet of Things")</f>
        <v>A Tennis training device and how to use it based on the Internet of Things</v>
      </c>
    </row>
    <row r="1407" spans="1:5" ht="15" x14ac:dyDescent="0.25">
      <c r="A1407" s="5" t="s">
        <v>4084</v>
      </c>
      <c r="B1407" s="6" t="s">
        <v>4085</v>
      </c>
      <c r="C1407" s="3" t="str">
        <f ca="1">IFERROR(__xludf.DUMMYFUNCTION("GOOGLETRANSLATE(B1407,""auto"",""en"")"),"A speed planning method and device and medium of autonomous driving are provided, involving artificial intelligence technologies such as autonomous driving and deep learning. This solution includes the current state of the vehicle, and the movement of the"&amp;" movement based on the current state and the predetermined state table to obtain the target movement of the current state. The current status includes at least the remaining running distance and current speed. The status table is determined based on the e"&amp;"nhanced learning method, including multiple states and the actions performed in each state. The action performed in each state includes at least acceleration.")</f>
        <v>A speed planning method and device and medium of autonomous driving are provided, involving artificial intelligence technologies such as autonomous driving and deep learning. This solution includes the current state of the vehicle, and the movement of the movement based on the current state and the predetermined state table to obtain the target movement of the current state. The current status includes at least the remaining running distance and current speed. The status table is determined based on the enhanced learning method, including multiple states and the actions performed in each state. The action performed in each state includes at least acceleration.</v>
      </c>
      <c r="D1407" s="6" t="s">
        <v>4086</v>
      </c>
      <c r="E1407" s="4" t="str">
        <f ca="1">IFERROR(__xludf.DUMMYFUNCTION("GOOGLETRANSLATE(D1407,""auto"",""en"")"),"The speed planning method and device, equipment, media and vehicles of autonomous driving")</f>
        <v>The speed planning method and device, equipment, media and vehicles of autonomous driving</v>
      </c>
    </row>
    <row r="1408" spans="1:5" ht="15" x14ac:dyDescent="0.25">
      <c r="A1408" s="5" t="s">
        <v>4087</v>
      </c>
      <c r="B1408" s="6" t="s">
        <v>4088</v>
      </c>
      <c r="C1408" s="3" t="str">
        <f ca="1">IFERROR(__xludf.DUMMYFUNCTION("GOOGLETRANSLATE(B1408,""auto"",""en"")"),"1. Design product name: Trainer.
 2. The purpose of designing products in this exterior: This design product is used for personal or team sports training, and is used to train people's flexibility, speed, endurance, response speed, eyes and feet coordin"&amp;"ation, changing ability, acceleration ability, etc. , It can also be used for human -computer interaction scenarios.
 3. Design of the design of the product in appearance: lies in the shape.
 4. Pictures or photos that can best show design: stereo.
"&amp;" 5. The product is the smooth structure of the waist triangle, the bottom is the trigger button, with the indicator light; the side of the trigger button is the power switch.")</f>
        <v>1. Design product name: Trainer.
 2. The purpose of designing products in this exterior: This design product is used for personal or team sports training, and is used to train people's flexibility, speed, endurance, response speed, eyes and feet coordination, changing ability, acceleration ability, etc. , It can also be used for human -computer interaction scenarios.
 3. Design of the design of the product in appearance: lies in the shape.
 4. Pictures or photos that can best show design: stereo.
 5. The product is the smooth structure of the waist triangle, the bottom is the trigger button, with the indicator light; the side of the trigger button is the power switch.</v>
      </c>
      <c r="D1408" s="6" t="s">
        <v>4089</v>
      </c>
      <c r="E1408" s="4" t="str">
        <f ca="1">IFERROR(__xludf.DUMMYFUNCTION("GOOGLETRANSLATE(D1408,""auto"",""en"")"),"Trainer")</f>
        <v>Trainer</v>
      </c>
    </row>
    <row r="1409" spans="1:5" ht="15" x14ac:dyDescent="0.25">
      <c r="A1409" s="5" t="s">
        <v>4090</v>
      </c>
      <c r="B1409" s="6" t="s">
        <v>4091</v>
      </c>
      <c r="C1409" s="3" t="str">
        <f ca="1">IFERROR(__xludf.DUMMYFUNCTION("GOOGLETRANSLATE(B1409,""auto"",""en"")"),"The invention disclosed a behavioral analysis method based on deep learning suitable for rodents. The invention is based on computer vision and deep learning technology. There is no need for special experimental hardware equipment to marked special chemic"&amp;"al reagents on animals. Through the multi -body key point recognition technology, fully automated tracking animals are realized, the automation of the experimental process is achieved, and the subjective errors introduced by artificial counting and interf"&amp;"erence with experimental animals are avoided, and the objectivity and reliability of the experimental results are increased. And design new indicators to analyze mouse behavior. The analysis is flexible, supports time period analysis, supports timing term"&amp;"ination and manual termination, and has a wealth of display methods. It can adopt a variety of display methods such as trajectory diagrams, parameter indicators, curves, and square diagrams on the movement of animals. At the same time, according to the ca"&amp;"pture of ultra -fine behavior indicators, further realize the analysis of the behavior of animals during the forced swimming process.")</f>
        <v>The invention disclosed a behavioral analysis method based on deep learning suitable for rodents. The invention is based on computer vision and deep learning technology. There is no need for special experimental hardware equipment to marked special chemical reagents on animals. Through the multi -body key point recognition technology, fully automated tracking animals are realized, the automation of the experimental process is achieved, and the subjective errors introduced by artificial counting and interference with experimental animals are avoided, and the objectivity and reliability of the experimental results are increased. And design new indicators to analyze mouse behavior. The analysis is flexible, supports time period analysis, supports timing termination and manual termination, and has a wealth of display methods. It can adopt a variety of display methods such as trajectory diagrams, parameter indicators, curves, and square diagrams on the movement of animals. At the same time, according to the capture of ultra -fine behavior indicators, further realize the analysis of the behavior of animals during the forced swimming process.</v>
      </c>
      <c r="D1409" s="6" t="s">
        <v>2616</v>
      </c>
      <c r="E1409" s="4" t="str">
        <f ca="1">IFERROR(__xludf.DUMMYFUNCTION("GOOGLETRANSLATE(D1409,""auto"",""en"")"),"Method for behavior analysis based on deep learning suitable for rodents")</f>
        <v>Method for behavior analysis based on deep learning suitable for rodents</v>
      </c>
    </row>
    <row r="1410" spans="1:5" ht="15" x14ac:dyDescent="0.25">
      <c r="A1410" s="5" t="s">
        <v>4092</v>
      </c>
      <c r="B1410" s="6" t="s">
        <v>4093</v>
      </c>
      <c r="C1410" s="3" t="str">
        <f ca="1">IFERROR(__xludf.DUMMYFUNCTION("GOOGLETRANSLATE(B1410,""auto"",""en"")"),"This utility model discloses an electronic Bluetooth skipping rope based on the voice interaction system. It takes Bluetooth data communication and intelligent data analysis as the research object, and focuses on the research of intelligent voice systems."&amp;"心率检测模块、高精度霍尔计数电路等系统设计，构建智能电子蓝牙跳绳运动场景，在满足运动要求的同时，也提供语音识别交互、关键词识别、运动姿态检测、心率检测、健身计划提示、 Private voice coaches, sports background songs and other functions.")</f>
        <v>This utility model discloses an electronic Bluetooth skipping rope based on the voice interaction system. It takes Bluetooth data communication and intelligent data analysis as the research object, and focuses on the research of intelligent voice systems.心率检测模块、高精度霍尔计数电路等系统设计，构建智能电子蓝牙跳绳运动场景，在满足运动要求的同时，也提供语音识别交互、关键词识别、运动姿态检测、心率检测、健身计划提示、 Private voice coaches, sports background songs and other functions.</v>
      </c>
      <c r="D1410" s="6" t="s">
        <v>4094</v>
      </c>
      <c r="E1410" s="4" t="str">
        <f ca="1">IFERROR(__xludf.DUMMYFUNCTION("GOOGLETRANSLATE(D1410,""auto"",""en"")"),"An electronic Bluetooth skipping rope based on the voice interaction system")</f>
        <v>An electronic Bluetooth skipping rope based on the voice interaction system</v>
      </c>
    </row>
    <row r="1411" spans="1:5" ht="15" x14ac:dyDescent="0.25">
      <c r="A1411" s="5" t="s">
        <v>4095</v>
      </c>
      <c r="B1411" s="6" t="s">
        <v>4096</v>
      </c>
      <c r="C1411" s="3" t="str">
        <f ca="1">IFERROR(__xludf.DUMMYFUNCTION("GOOGLETRANSLATE(B1411,""auto"",""en"")"),"The invention discloses the method of identification and paragraph output of OCR image text based on deep learning. It involves the field of OCR text recognition. The specific operation steps are as follows: S1. Read images: upload/import image to be iden"&amp;"tified to get editable images; S2 , Image Pre -processing: Editor the editable image obtained in the step S1, adjust the image to the specified size; S3, loading the CTPN pre -training model: load the CTPN model, first extract the local image characterist"&amp;"ics in the image through VGG16, then use BLSTM to use BLSTM Extract the context characteristics, and then use the full connection layer and multi -predicted branch to obtain the coordinate values ​​and probability values, and finally the combined characte"&amp;"r is the text detection box. On the basis of the deep learning detection model CTPN, the present invention conducts complex images to identify complex images; identify the text in the image in a complex multi -column field, and the paragraph output is fun"&amp;"damentally solved. The mixed problem greatly improves the readability of the results.")</f>
        <v>The invention discloses the method of identification and paragraph output of OCR image text based on deep learning. It involves the field of OCR text recognition. The specific operation steps are as follows: S1. Read images: upload/import image to be identified to get editable images; S2 , Image Pre -processing: Editor the editable image obtained in the step S1, adjust the image to the specified size; S3, loading the CTPN pre -training model: load the CTPN model, first extract the local image characteristics in the image through VGG16, then use BLSTM to use BLSTM Extract the context characteristics, and then use the full connection layer and multi -predicted branch to obtain the coordinate values ​​and probability values, and finally the combined character is the text detection box. On the basis of the deep learning detection model CTPN, the present invention conducts complex images to identify complex images; identify the text in the image in a complex multi -column field, and the paragraph output is fundamentally solved. The mixed problem greatly improves the readability of the results.</v>
      </c>
      <c r="D1411" s="6" t="s">
        <v>4097</v>
      </c>
      <c r="E1411" s="4" t="str">
        <f ca="1">IFERROR(__xludf.DUMMYFUNCTION("GOOGLETRANSLATE(D1411,""auto"",""en"")"),"OCR image text recognition and paragraph output method based on deep learning")</f>
        <v>OCR image text recognition and paragraph output method based on deep learning</v>
      </c>
    </row>
    <row r="1412" spans="1:5" ht="15" x14ac:dyDescent="0.25">
      <c r="A1412" s="5" t="s">
        <v>4098</v>
      </c>
      <c r="B1412" s="6" t="s">
        <v>4099</v>
      </c>
      <c r="C1412" s="3" t="str">
        <f ca="1">IFERROR(__xludf.DUMMYFUNCTION("GOOGLETRANSLATE(B1412,""auto"",""en"")"),"This article proposes a system, method, and dataset for automatic and precisely generating content or abstract video. For example, in one or more embodiments, videos of sports events can be digested or compressed into wonderful fragments. Or other short v"&amp;"ideo creators. Batch production, save tedious engineering time. Examples of the framework can also be used to better promote sports teams, athletes and/or games, and produce stories to praise the spirit of sports or their athletes. Although it is presente"&amp;"d in the background of sports, it should be noted that this method can be used for videos of other content and events.")</f>
        <v>This article proposes a system, method, and dataset for automatic and precisely generating content or abstract video. For example, in one or more embodiments, videos of sports events can be digested or compressed into wonderful fragments. Or other short video creators. Batch production, save tedious engineering time. Examples of the framework can also be used to better promote sports teams, athletes and/or games, and produce stories to praise the spirit of sports or their athletes. Although it is presented in the background of sports, it should be noted that this method can be used for videos of other content and events.</v>
      </c>
      <c r="D1412" s="6" t="s">
        <v>4100</v>
      </c>
      <c r="E1412" s="4" t="str">
        <f ca="1">IFERROR(__xludf.DUMMYFUNCTION("GOOGLETRANSLATE(D1412,""auto"",""en"")"),"Artificial intelligence automatic and precisely generated wonderful videos")</f>
        <v>Artificial intelligence automatic and precisely generated wonderful videos</v>
      </c>
    </row>
    <row r="1413" spans="1:5" ht="15" x14ac:dyDescent="0.25">
      <c r="A1413" s="5" t="s">
        <v>4101</v>
      </c>
      <c r="B1413" s="6" t="s">
        <v>4102</v>
      </c>
      <c r="C1413" s="3" t="str">
        <f ca="1">IFERROR(__xludf.DUMMYFUNCTION("GOOGLETRANSLATE(B1413,""auto"",""en"")"),"The fish monitoring system deployed in specific areas to obtain fish images is described. Neural networks and machine learning technology can be implemented to regularly train fish monitoring systems and generate monitoring mode to capture high -quality i"&amp;"mages of fish according to the conditions of the determined area. When the conditions that match the monitoring mode are detected, the camera system can be configured according to the settings (such as position, perspective) specified by the monitoring mo"&amp;"de. Each monitoring mode can be associated with one or more fish activities, such as sleeping, eating, swimming alone, and one or more parameters, such as time, location and fish types.")</f>
        <v>The fish monitoring system deployed in specific areas to obtain fish images is described. Neural networks and machine learning technology can be implemented to regularly train fish monitoring systems and generate monitoring mode to capture high -quality images of fish according to the conditions of the determined area. When the conditions that match the monitoring mode are detected, the camera system can be configured according to the settings (such as position, perspective) specified by the monitoring mode. Each monitoring mode can be associated with one or more fish activities, such as sleeping, eating, swimming alone, and one or more parameters, such as time, location and fish types.</v>
      </c>
      <c r="D1413" s="6" t="s">
        <v>4103</v>
      </c>
      <c r="E1413" s="4" t="str">
        <f ca="1">IFERROR(__xludf.DUMMYFUNCTION("GOOGLETRANSLATE(D1413,""auto"",""en"")"),"Keep fish measurement station")</f>
        <v>Keep fish measurement station</v>
      </c>
    </row>
    <row r="1414" spans="1:5" ht="15" x14ac:dyDescent="0.25">
      <c r="A1414" s="5" t="s">
        <v>4104</v>
      </c>
      <c r="B1414" s="6" t="s">
        <v>4105</v>
      </c>
      <c r="C1414" s="3" t="str">
        <f ca="1">IFERROR(__xludf.DUMMYFUNCTION("GOOGLETRANSLATE(B1414,""auto"",""en"")"),"The invention disclosed a gait phase recognition method based on neural networks. Step of the operation of this method a. Construct gait data collection equipment, b. Gaifu data collection experiment, C. Lower limb walk mechanism analysis and gait phase d"&amp;"ivision, D. Based on multiple layers of neural network algorithms, establish directional phase recognition identification Models, gait phase recognition, E. Cerebal dataset establishment, f. Multi -motion mode gait phase recognition. The purpose of the pr"&amp;"esent invention is to build a foot pressure measurement system for collecting sports gait data, and adopt a neural network -based gait phase recognition algorithm to conduct a walking mode and the gait phase identification in the running mode. The effect "&amp;"of identification accuracy is optimized and adjusted to the neural network recognition model.")</f>
        <v>The invention disclosed a gait phase recognition method based on neural networks. Step of the operation of this method a. Construct gait data collection equipment, b. Gaifu data collection experiment, C. Lower limb walk mechanism analysis and gait phase division, D. Based on multiple layers of neural network algorithms, establish directional phase recognition identification Models, gait phase recognition, E. Cerebal dataset establishment, f. Multi -motion mode gait phase recognition. The purpose of the present invention is to build a foot pressure measurement system for collecting sports gait data, and adopt a neural network -based gait phase recognition algorithm to conduct a walking mode and the gait phase identification in the running mode. The effect of identification accuracy is optimized and adjusted to the neural network recognition model.</v>
      </c>
      <c r="D1414" s="6" t="s">
        <v>4106</v>
      </c>
      <c r="E1414" s="4" t="str">
        <f ca="1">IFERROR(__xludf.DUMMYFUNCTION("GOOGLETRANSLATE(D1414,""auto"",""en"")"),"Cereal phase recognition method based on neural network")</f>
        <v>Cereal phase recognition method based on neural network</v>
      </c>
    </row>
    <row r="1415" spans="1:5" ht="15" x14ac:dyDescent="0.25">
      <c r="A1415" s="5" t="s">
        <v>4107</v>
      </c>
      <c r="B1415" s="6" t="s">
        <v>4108</v>
      </c>
      <c r="C1415" s="3" t="str">
        <f ca="1">IFERROR(__xludf.DUMMYFUNCTION("GOOGLETRANSLATE(B1415,""auto"",""en"")"),"In the present invention, the entrance and exit form a pipe in both ends, including the water flowing in the water supply pipes of the water pipe introduced the interior through the entrance, and the water flowing into the entrance is discharged through t"&amp;"he exit. On one side of the water supply pipe. The water pipe joint must be connected; the measurement unit, including multiple sensors, is used to measure various information, including the water quality and flow of the water on the entrance of the inflo"&amp;"w of the water pipe connection unit; the communication unit, including the communication module, is used to include the measurement module to measure through the measurement unit measurement. The various types of information of the measurement value are t"&amp;"ransmitted to the outside; the control unit is controlled, and the measurement value measured by the measurement unit is performed to perform water quality analysis and control the overall operation of the water quality sensor; Various types of informatio"&amp;"n measured by measurement unit measurement; part of the water pipe connection part, measurement part, communication part, control part, power supply part, and display parts are built in the shell to form the appearance; The measurement unit water is detec"&amp;"ted to detect whether the measurement unit is faulty when the water supplying the measurement unit is contaminated; when the failure of the measurement unit through the operation of the test unit is detected, the replacement signal of the measurement unit"&amp;" outputs the unit output unit, and the measurement unit of the measurement unit Installed in the shell to open and close to withdraw the measurement unit. Measurement unit and shell; door components, separate this part from the part of the water pipe; fir"&amp;"st loading and unloading, connect the door component to the shell by opening and closing; Door components.")</f>
        <v>In the present invention, the entrance and exit form a pipe in both ends, including the water flowing in the water supply pipes of the water pipe introduced the interior through the entrance, and the water flowing into the entrance is discharged through the exit. On one side of the water supply pipe. The water pipe joint must be connected; the measurement unit, including multiple sensors, is used to measure various information, including the water quality and flow of the water on the entrance of the inflow of the water pipe connection unit; the communication unit, including the communication module, is used to include the measurement module to measure through the measurement unit measurement. The various types of information of the measurement value are transmitted to the outside; the control unit is controlled, and the measurement value measured by the measurement unit is performed to perform water quality analysis and control the overall operation of the water quality sensor; Various types of information measured by measurement unit measurement; part of the water pipe connection part, measurement part, communication part, control part, power supply part, and display parts are built in the shell to form the appearance; The measurement unit water is detected to detect whether the measurement unit is faulty when the water supplying the measurement unit is contaminated; when the failure of the measurement unit through the operation of the test unit is detected, the replacement signal of the measurement unit outputs the unit output unit, and the measurement unit of the measurement unit Installed in the shell to open and close to withdraw the measurement unit. Measurement unit and shell; door components, separate this part from the part of the water pipe; first loading and unloading, connect the door component to the shell by opening and closing; Door components.</v>
      </c>
      <c r="D1415" s="6" t="s">
        <v>4109</v>
      </c>
      <c r="E1415" s="4" t="str">
        <f ca="1">IFERROR(__xludf.DUMMYFUNCTION("GOOGLETRANSLATE(D1415,""auto"",""en"")"),"The IoT sensor used to detect floating objects in water supply and method of providing water supply information using the sensor to provide water supply information")</f>
        <v>The IoT sensor used to detect floating objects in water supply and method of providing water supply information using the sensor to provide water supply information</v>
      </c>
    </row>
    <row r="1416" spans="1:5" ht="15" x14ac:dyDescent="0.25">
      <c r="A1416" s="5" t="s">
        <v>4110</v>
      </c>
      <c r="B1416" s="6" t="s">
        <v>1699</v>
      </c>
      <c r="C1416" s="3" t="str">
        <f ca="1">IFERROR(__xludf.DUMMYFUNCTION("GOOGLETRANSLATE(B1416,""auto"",""en"")"),"Provides an electronic device and method for providing data -driven help for users participating in sports. The first sensor data associated with one or more motion mode of the user's body with the user's body and receives the first information associated"&amp;" with the location of the body's physical activity. Electronic devices determine the first indicator of one or more that may affect the performance of users or users in physical activity. Since then, the electronic device is based on the application of on"&amp;"e or more first indicators and the first information received by the first or more first indicator of the electronic equipment to generate data. The generating data includes one or more improvement suggestions related to physical activity for users. Elect"&amp;"ronic equipment control display device display demonstration data.")</f>
        <v>Provides an electronic device and method for providing data -driven help for users participating in sports. The first sensor data associated with one or more motion mode of the user's body with the user's body and receives the first information associated with the location of the body's physical activity. Electronic devices determine the first indicator of one or more that may affect the performance of users or users in physical activity. Since then, the electronic device is based on the application of one or more first indicators and the first information received by the first or more first indicator of the electronic equipment to generate data. The generating data includes one or more improvement suggestions related to physical activity for users. Electronic equipment control display device display demonstration data.</v>
      </c>
      <c r="D1416" s="6" t="s">
        <v>1700</v>
      </c>
      <c r="E1416" s="4" t="str">
        <f ca="1">IFERROR(__xludf.DUMMYFUNCTION("GOOGLETRANSLATE(D1416,""auto"",""en"")"),"Provide data -driven help for users participating in sports activities")</f>
        <v>Provide data -driven help for users participating in sports activities</v>
      </c>
    </row>
    <row r="1417" spans="1:5" ht="15" x14ac:dyDescent="0.25">
      <c r="A1417" s="5" t="s">
        <v>4111</v>
      </c>
      <c r="B1417" s="6" t="s">
        <v>4112</v>
      </c>
      <c r="C1417" s="3" t="str">
        <f ca="1">IFERROR(__xludf.DUMMYFUNCTION("GOOGLETRANSLATE(B1417,""auto"",""en"")"),"A system for identifying and determining individual positions. This system is configured: (1) Preliminary data sets captured by imaging sensors to identify individuals in the detection area; (2) show a coordinated identifier on the display; The identifier"&amp;" response signal; (4) generates the identifier time stamp corresponding to the response signal of the receiving identifier; (5) obtain the imaging data set captured by the imaging sensor; Individual subsets include individuals with a head position mode wi"&amp;"th a head position mode in line with the position mode of the scheduled head position; (9) The position of the individual is determined based on the imaging data set.")</f>
        <v>A system for identifying and determining individual positions. This system is configured: (1) Preliminary data sets captured by imaging sensors to identify individuals in the detection area; (2) show a coordinated identifier on the display; The identifier response signal; (4) generates the identifier time stamp corresponding to the response signal of the receiving identifier; (5) obtain the imaging data set captured by the imaging sensor; Individual subsets include individuals with a head position mode with a head position mode in line with the position mode of the scheduled head position; (9) The position of the individual is determined based on the imaging data set.</v>
      </c>
      <c r="D1417" s="6" t="s">
        <v>4113</v>
      </c>
      <c r="E1417" s="4" t="str">
        <f ca="1">IFERROR(__xludf.DUMMYFUNCTION("GOOGLETRANSLATE(D1417,""auto"",""en"")"),"Individual identification and positioning system based on image recognition")</f>
        <v>Individual identification and positioning system based on image recognition</v>
      </c>
    </row>
    <row r="1418" spans="1:5" ht="15" x14ac:dyDescent="0.25">
      <c r="A1418" s="5" t="s">
        <v>4114</v>
      </c>
      <c r="B1418" s="6" t="s">
        <v>4115</v>
      </c>
      <c r="C1418" s="3" t="str">
        <f ca="1">IFERROR(__xludf.DUMMYFUNCTION("GOOGLETRANSLATE(B1418,""auto"",""en"")"),"The present invention disclosed a kind of intelligent wearable device based on the Internet of Things, including the back cover and wristband, the back cover and the wristband are connected, and the surface of the back cover is equipped with a flexible sc"&amp;"reen. The surface of the wristband is equipped with a solar plate, the top of the back cover is installed with a connection band, and the end of the connected strap is equipped with a grip, a telescopic spring installation of the bottom end of the grip, a"&amp;"nd the bottom end of the bottom end of the telescopic spring with the bottom support rod. The surface of the connection band is covered with a silicone layer, and the inner holding block contains the storage module and the pressure sensor. The present inv"&amp;"ention mainly sets a wearable device, which mainly replaces the wristband and electronic watch tools in existing technologies. It is the main application situation in outdoor fitness exercises. And set holding blocks on the inside, which can protect the o"&amp;"pponent's heart when the user needs to pinch.")</f>
        <v>The present invention disclosed a kind of intelligent wearable device based on the Internet of Things, including the back cover and wristband, the back cover and the wristband are connected, and the surface of the back cover is equipped with a flexible screen. The surface of the wristband is equipped with a solar plate, the top of the back cover is installed with a connection band, and the end of the connected strap is equipped with a grip, a telescopic spring installation of the bottom end of the grip, and the bottom end of the bottom end of the telescopic spring with the bottom support rod. The surface of the connection band is covered with a silicone layer, and the inner holding block contains the storage module and the pressure sensor. The present invention mainly sets a wearable device, which mainly replaces the wristband and electronic watch tools in existing technologies. It is the main application situation in outdoor fitness exercises. And set holding blocks on the inside, which can protect the opponent's heart when the user needs to pinch.</v>
      </c>
      <c r="D1418" s="6" t="s">
        <v>4116</v>
      </c>
      <c r="E1418" s="4" t="str">
        <f ca="1">IFERROR(__xludf.DUMMYFUNCTION("GOOGLETRANSLATE(D1418,""auto"",""en"")"),"A kind of intelligent wearable device based on the Internet of Things")</f>
        <v>A kind of intelligent wearable device based on the Internet of Things</v>
      </c>
    </row>
    <row r="1419" spans="1:5" ht="15" x14ac:dyDescent="0.25">
      <c r="A1419" s="5" t="s">
        <v>4117</v>
      </c>
      <c r="B1419" s="6" t="s">
        <v>4118</v>
      </c>
      <c r="C1419" s="3" t="str">
        <f ca="1">IFERROR(__xludf.DUMMYFUNCTION("GOOGLETRANSLATE(B1419,""auto"",""en"")"),"This utility model has disclosed a taekwondo training monitoring system based on smart protective gear, involving the field of Internet of Things technology. The sensor detection subsystem of the system is set on each intelligent protective gear of the su"&amp;"bsystem with at least one sensor node. Each sensor node includes: nine axis sensors and positioning sensors; each positioning base station of the intelligent control subsystem is separated from the processor and positioning sensor, respectively, and posit"&amp;"ioning sensors Wireless connection, processor connect to the display; the communication unit of the data storage subsystem is connected to the database, and the communication unit also connects to the processor and each sensor node. This utility model is "&amp;"suitable for real -time monitoring of the movement status, exercise data and motion conditions of the taekwondo competition, training and entertainment. Accurate positioning, displayed in real time.")</f>
        <v>This utility model has disclosed a taekwondo training monitoring system based on smart protective gear, involving the field of Internet of Things technology. The sensor detection subsystem of the system is set on each intelligent protective gear of the subsystem with at least one sensor node. Each sensor node includes: nine axis sensors and positioning sensors; each positioning base station of the intelligent control subsystem is separated from the processor and positioning sensor, respectively, and positioning sensors Wireless connection, processor connect to the display; the communication unit of the data storage subsystem is connected to the database, and the communication unit also connects to the processor and each sensor node. This utility model is suitable for real -time monitoring of the movement status, exercise data and motion conditions of the taekwondo competition, training and entertainment. Accurate positioning, displayed in real time.</v>
      </c>
      <c r="D1419" s="6" t="s">
        <v>4119</v>
      </c>
      <c r="E1419" s="4" t="str">
        <f ca="1">IFERROR(__xludf.DUMMYFUNCTION("GOOGLETRANSLATE(D1419,""auto"",""en"")"),"A taekwondo training monitoring system based on smart protective gear")</f>
        <v>A taekwondo training monitoring system based on smart protective gear</v>
      </c>
    </row>
    <row r="1420" spans="1:5" ht="15" x14ac:dyDescent="0.25">
      <c r="A1420" s="5" t="s">
        <v>4120</v>
      </c>
      <c r="B1420" s="6" t="s">
        <v>4121</v>
      </c>
      <c r="C1420" s="3" t="str">
        <f ca="1">IFERROR(__xludf.DUMMYFUNCTION("GOOGLETRANSLATE(B1420,""auto"",""en"")"),"Provides a synchronous control method for boxing sandbags. This method includes the following steps: Set the coach's punching tube; multiple IoT sensors perceive the boxing movement of the coach, convert the boxing position of the boxing movement into a b"&amp;"oxing location information, send it to the data processing equipment; dispose of multiple students out of the cylinder; the multiple will be multiple; Student sandbags are connected to the data processing device, accepted the position information of the b"&amp;"oxing position simultaneously, and converted the punch position information to optical control signal to control multiple display lights in sync to allow multiple students to make the corresponding punch in the position according to the location of the di"&amp;"splay lamp. Practice area.")</f>
        <v>Provides a synchronous control method for boxing sandbags. This method includes the following steps: Set the coach's punching tube; multiple IoT sensors perceive the boxing movement of the coach, convert the boxing position of the boxing movement into a boxing location information, send it to the data processing equipment; dispose of multiple students out of the cylinder; the multiple will be multiple; Student sandbags are connected to the data processing device, accepted the position information of the boxing position simultaneously, and converted the punch position information to optical control signal to control multiple display lights in sync to allow multiple students to make the corresponding punch in the position according to the location of the display lamp. Practice area.</v>
      </c>
      <c r="D1420" s="6" t="s">
        <v>4122</v>
      </c>
      <c r="E1420" s="4" t="str">
        <f ca="1">IFERROR(__xludf.DUMMYFUNCTION("GOOGLETRANSLATE(D1420,""auto"",""en"")"),"Synchronous control method of boxing sandbags")</f>
        <v>Synchronous control method of boxing sandbags</v>
      </c>
    </row>
    <row r="1421" spans="1:5" ht="15" x14ac:dyDescent="0.25">
      <c r="A1421" s="5" t="s">
        <v>4123</v>
      </c>
      <c r="B1421" s="6" t="s">
        <v>4124</v>
      </c>
      <c r="C1421" s="3" t="str">
        <f ca="1">IFERROR(__xludf.DUMMYFUNCTION("GOOGLETRANSLATE(B1421,""auto"",""en"")"),"The disclosure of this theme can include, for example, the network deployment or radio communication calculation based on the combination of photon mapping and machine learning, including supporting recent real -time calculations that support radio transm"&amp;"ission for different antenna layouts and allows checking a variety of antenna positions and various antenna positions and Layout, change the configuration details, for example, the tilt antenna or optimize the sector covered with each antenna, and so on. "&amp;"Other embodiments were made.")</f>
        <v>The disclosure of this theme can include, for example, the network deployment or radio communication calculation based on the combination of photon mapping and machine learning, including supporting recent real -time calculations that support radio transmission for different antenna layouts and allows checking a variety of antenna positions and various antenna positions and Layout, change the configuration details, for example, the tilt antenna or optimize the sector covered with each antenna, and so on. Other embodiments were made.</v>
      </c>
      <c r="D1421" s="6" t="s">
        <v>4125</v>
      </c>
      <c r="E1421" s="4" t="str">
        <f ca="1">IFERROR(__xludf.DUMMYFUNCTION("GOOGLETRANSLATE(D1421,""auto"",""en"")"),"Calculation calculation of radio communication supported by real -time ML for running planning")</f>
        <v>Calculation calculation of radio communication supported by real -time ML for running planning</v>
      </c>
    </row>
    <row r="1422" spans="1:5" ht="15" x14ac:dyDescent="0.25">
      <c r="A1422" s="5" t="s">
        <v>4126</v>
      </c>
      <c r="B1422" s="6" t="s">
        <v>4127</v>
      </c>
      <c r="C1422" s="3" t="str">
        <f ca="1">IFERROR(__xludf.DUMMYFUNCTION("GOOGLETRANSLATE(B1422,""auto"",""en"")"),"Provides an electronic device and method for detecting the intentional contact between the object and the player's body. Electronic equipment from multiple frames from imaging equipment receiving videos. Electronic equipment moves across multiple frame tr"&amp;"acking objects and movement of body parts. Electronic equipment based on the tracked motion determines the position coordinate of the object's position from multiple first frames and the overlapping level between the position coordinates of the player's b"&amp;"ody parts exceeds the interesting frame of the overlapping threshold. Electronic equipment is based on interested frame detection objects and players' body parts. Electronic devices are interested in frames and tracking sports application machine learning"&amp;" models to determine whether contact is intentional.")</f>
        <v>Provides an electronic device and method for detecting the intentional contact between the object and the player's body. Electronic equipment from multiple frames from imaging equipment receiving videos. Electronic equipment moves across multiple frame tracking objects and movement of body parts. Electronic equipment based on the tracked motion determines the position coordinate of the object's position from multiple first frames and the overlapping level between the position coordinates of the player's body parts exceeds the interesting frame of the overlapping threshold. Electronic equipment is based on interested frame detection objects and players' body parts. Electronic devices are interested in frames and tracking sports application machine learning models to determine whether contact is intentional.</v>
      </c>
      <c r="D1422" s="6" t="s">
        <v>4128</v>
      </c>
      <c r="E1422" s="4" t="str">
        <f ca="1">IFERROR(__xludf.DUMMYFUNCTION("GOOGLETRANSLATE(D1422,""auto"",""en"")"),"Detect the intentional contact between the object and the athlete's body part")</f>
        <v>Detect the intentional contact between the object and the athlete's body part</v>
      </c>
    </row>
    <row r="1423" spans="1:5" ht="15" x14ac:dyDescent="0.25">
      <c r="A1423" s="5" t="s">
        <v>4129</v>
      </c>
      <c r="B1423" s="6" t="s">
        <v>4130</v>
      </c>
      <c r="C1423" s="3" t="str">
        <f ca="1">IFERROR(__xludf.DUMMYFUNCTION("GOOGLETRANSLATE(B1423,""auto"",""en"")"),"The invention involves a smart betting system based on machine learning and artificial intelligence for sports prediction. The purpose of the present invention is to solve the abnormal situation related to the online betting of fantasy sports based on mac"&amp;"hine learning. 27 drawing Real S5PORT Resulit Sport data terminal processing unit Based on the weight of machine learning, Figure 1 28")</f>
        <v>The invention involves a smart betting system based on machine learning and artificial intelligence for sports prediction. The purpose of the present invention is to solve the abnormal situation related to the online betting of fantasy sports based on machine learning. 27 drawing Real S5PORT Resulit Sport data terminal processing unit Based on the weight of machine learning, Figure 1 28</v>
      </c>
      <c r="D1423" s="6" t="s">
        <v>4131</v>
      </c>
      <c r="E1423" s="4" t="str">
        <f ca="1">IFERROR(__xludf.DUMMYFUNCTION("GOOGLETRANSLATE(D1423,""auto"",""en"")"),"Sports prediction intelligent betting system based on machine learning and artificial intelligence")</f>
        <v>Sports prediction intelligent betting system based on machine learning and artificial intelligence</v>
      </c>
    </row>
    <row r="1424" spans="1:5" ht="15" x14ac:dyDescent="0.25">
      <c r="A1424" s="5" t="s">
        <v>4132</v>
      </c>
      <c r="B1424" s="6" t="s">
        <v>4133</v>
      </c>
      <c r="C1424" s="3" t="str">
        <f ca="1">IFERROR(__xludf.DUMMYFUNCTION("GOOGLETRANSLATE(B1424,""auto"",""en"")"),"The invention provides a intelligent optimization method and system distributed by drone and vehicle collaboration tasks, involving the field of drone technology. First obtain the collaborative task allocation model and preset parameters of the drone and "&amp;"the vehicle; and use the car machine collaboration mixed encoding method to build the initial species group; then calculate the adaptation value of the chromosomal and then operate the chromosomal; then the feasibility of the corresponding solution of the"&amp;" chromosomes is subsequently solved. Determine; correction of chromosomes that have not passed feasible discipline; then update the chromosomes in the current population to generate a child generation group; if the maximum number of iterations is reached,"&amp;" the chromosomes will be performed again. The plan corresponding to the chromosome with the largest adaptation value in the population. The present invention can also ensure that the mission of the line segment is only accessed, and the chromosome update "&amp;"operation process can also avoid the occurrence of a large number of non -feasible chromosomes, which in turn makes the genetic algorithm proposed by the present invention saves the time to judge unreachable chromosomes and correction.")</f>
        <v>The invention provides a intelligent optimization method and system distributed by drone and vehicle collaboration tasks, involving the field of drone technology. First obtain the collaborative task allocation model and preset parameters of the drone and the vehicle; and use the car machine collaboration mixed encoding method to build the initial species group; then calculate the adaptation value of the chromosomal and then operate the chromosomal; then the feasibility of the corresponding solution of the chromosomes is subsequently solved. Determine; correction of chromosomes that have not passed feasible discipline; then update the chromosomes in the current population to generate a child generation group; if the maximum number of iterations is reached, the chromosomes will be performed again. The plan corresponding to the chromosome with the largest adaptation value in the population. The present invention can also ensure that the mission of the line segment is only accessed, and the chromosome update operation process can also avoid the occurrence of a large number of non -feasible chromosomes, which in turn makes the genetic algorithm proposed by the present invention saves the time to judge unreachable chromosomes and correction.</v>
      </c>
      <c r="D1424" s="6" t="s">
        <v>4134</v>
      </c>
      <c r="E1424" s="4" t="str">
        <f ca="1">IFERROR(__xludf.DUMMYFUNCTION("GOOGLETRANSLATE(D1424,""auto"",""en"")"),"Intelligent optimization methods and systems of collaborative tasks of drones and vehicles")</f>
        <v>Intelligent optimization methods and systems of collaborative tasks of drones and vehicles</v>
      </c>
    </row>
    <row r="1425" spans="1:5" ht="15" x14ac:dyDescent="0.25">
      <c r="A1425" s="5" t="s">
        <v>4135</v>
      </c>
      <c r="B1425" s="6" t="s">
        <v>4136</v>
      </c>
      <c r="C1425" s="3" t="str">
        <f ca="1">IFERROR(__xludf.DUMMYFUNCTION("GOOGLETRANSLATE(B1425,""auto"",""en"")"),"The present invention disclosed a method and system in the field of security in the field of security in the field of indoor sports events, including: the flow direction and time length of each region by obtaining indoor regional information, the flow of "&amp;"the flow of each event, the crowded area and extraction of TOP‑N and the extraction of TOP‑N and extraction. Areas where security or security have always occurred as marked areas, predicting areas of security issues; through NLP technology to build a know"&amp;"ledge map in the security field in the security field, the area that may occur in security issues may be added to the dangerous area relations attributes. Dangerous joint identification and attribute update; in the inheritance of the knowledge map, the in"&amp;"heritance of the attributes is restrained, the error hazardous areas are removed, and the accurate security knowledge map will be built. The present invention is used to assist the construction of the attributes of the dangerous areas in the knowledge map"&amp;", and refine the algorithm of the inheritance of the relationship between the regional and the inheritance of the dangerous area, making the construction of the knowledge map in the security field more efficient and accurate.")</f>
        <v>The present invention disclosed a method and system in the field of security in the field of security in the field of indoor sports events, including: the flow direction and time length of each region by obtaining indoor regional information, the flow of the flow of each event, the crowded area and extraction of TOP‑N and the extraction of TOP‑N and extraction. Areas where security or security have always occurred as marked areas, predicting areas of security issues; through NLP technology to build a knowledge map in the security field in the security field, the area that may occur in security issues may be added to the dangerous area relations attributes. Dangerous joint identification and attribute update; in the inheritance of the knowledge map, the inheritance of the attributes is restrained, the error hazardous areas are removed, and the accurate security knowledge map will be built. The present invention is used to assist the construction of the attributes of the dangerous areas in the knowledge map, and refine the algorithm of the inheritance of the relationship between the regional and the inheritance of the dangerous area, making the construction of the knowledge map in the security field more efficient and accurate.</v>
      </c>
      <c r="D1425" s="6" t="s">
        <v>4137</v>
      </c>
      <c r="E1425" s="4" t="str">
        <f ca="1">IFERROR(__xludf.DUMMYFUNCTION("GOOGLETRANSLATE(D1425,""auto"",""en"")"),"A knowledge map construction method and system in the field of security in the security of indoor sports events")</f>
        <v>A knowledge map construction method and system in the field of security in the security of indoor sports events</v>
      </c>
    </row>
    <row r="1426" spans="1:5" ht="15" x14ac:dyDescent="0.25">
      <c r="A1426" s="5" t="s">
        <v>4138</v>
      </c>
      <c r="B1426" s="6" t="s">
        <v>4139</v>
      </c>
      <c r="C1426" s="3" t="str">
        <f ca="1">IFERROR(__xludf.DUMMYFUNCTION("GOOGLETRANSLATE(B1426,""auto"",""en"")"),"In one embodiment, a method for training a machine learning model with multiple parameters includes instantiated trainers. Each training device is associated with the local version of the work thread, synchronization thread and parameters. Perform trainin"&amp;"g operations, including using its associated work threads to generate the local version for each trainer to generate parameters. At the same time, the work thread is performing training operations, using synchronous threads to perform synchronous operatio"&amp;"ns Based on the global version, the synchronous local version of the parameters of each trainer generates parameters. The synchronous local parameter version continues to perform training operations, and at least based on the final local version of the pa"&amp;"rameter version of the parameter version of the parameter version of the parameter version of the parameter of the parameter of the parameter of the parameter of the parameters of the parameters of the parameters of the parameters of the parameters of the"&amp;" parameters of the parameters. Essence")</f>
        <v>In one embodiment, a method for training a machine learning model with multiple parameters includes instantiated trainers. Each training device is associated with the local version of the work thread, synchronization thread and parameters. Perform training operations, including using its associated work threads to generate the local version for each trainer to generate parameters. At the same time, the work thread is performing training operations, using synchronous threads to perform synchronous operations Based on the global version, the synchronous local version of the parameters of each trainer generates parameters. The synchronous local parameter version continues to perform training operations, and at least based on the final local version of the parameter version of the parameter version of the parameter version of the parameter version of the parameter of the parameter of the parameter of the parameter of the parameters of the parameters of the parameters of the parameters of the parameters of the parameters of the parameters. Essence</v>
      </c>
      <c r="D1426" s="6" t="s">
        <v>4140</v>
      </c>
      <c r="E1426" s="4" t="str">
        <f ca="1">IFERROR(__xludf.DUMMYFUNCTION("GOOGLETRANSLATE(D1426,""auto"",""en"")"),"Execute synchronization in the background to achieve highly scalable distributed training")</f>
        <v>Execute synchronization in the background to achieve highly scalable distributed training</v>
      </c>
    </row>
    <row r="1427" spans="1:5" ht="15" x14ac:dyDescent="0.25">
      <c r="A1427" s="5" t="s">
        <v>4141</v>
      </c>
      <c r="B1427" s="6" t="s">
        <v>4139</v>
      </c>
      <c r="C1427" s="3" t="str">
        <f ca="1">IFERROR(__xludf.DUMMYFUNCTION("GOOGLETRANSLATE(B1427,""auto"",""en"")"),"In one embodiment, a method for training a machine learning model with multiple parameters includes instantiated trainers. Each training device is associated with the local version of the work thread, synchronization thread and parameters. Perform trainin"&amp;"g operations, including using its associated work threads to generate the local version for each trainer to generate parameters. At the same time, the work thread is performing training operations, using synchronous threads to perform synchronous operatio"&amp;"ns Based on the global version, the synchronous local version of the parameters of each trainer generates parameters. The synchronous local parameter version continues to perform training operations, and at least based on the final local version of the pa"&amp;"rameter version of the parameter version of the parameter version of the parameter version of the parameter of the parameter of the parameter of the parameter of the parameters of the parameters of the parameters of the parameters of the parameters of the"&amp;" parameters of the parameters. Essence")</f>
        <v>In one embodiment, a method for training a machine learning model with multiple parameters includes instantiated trainers. Each training device is associated with the local version of the work thread, synchronization thread and parameters. Perform training operations, including using its associated work threads to generate the local version for each trainer to generate parameters. At the same time, the work thread is performing training operations, using synchronous threads to perform synchronous operations Based on the global version, the synchronous local version of the parameters of each trainer generates parameters. The synchronous local parameter version continues to perform training operations, and at least based on the final local version of the parameter version of the parameter version of the parameter version of the parameter version of the parameter of the parameter of the parameter of the parameter of the parameters of the parameters of the parameters of the parameters of the parameters of the parameters of the parameters. Essence</v>
      </c>
      <c r="D1427" s="6" t="s">
        <v>4142</v>
      </c>
      <c r="E1427" s="4" t="str">
        <f ca="1">IFERROR(__xludf.DUMMYFUNCTION("GOOGLETRANSLATE(D1427,""auto"",""en"")"),"Execute synchronization in the background for highly scalable distributed training")</f>
        <v>Execute synchronization in the background for highly scalable distributed training</v>
      </c>
    </row>
    <row r="1428" spans="1:5" ht="15" x14ac:dyDescent="0.25">
      <c r="A1428" s="5" t="s">
        <v>4143</v>
      </c>
      <c r="B1428" s="6" t="s">
        <v>4144</v>
      </c>
      <c r="C1428" s="3" t="str">
        <f ca="1">IFERROR(__xludf.DUMMYFUNCTION("GOOGLETRANSLATE(B1428,""auto"",""en"")"),"A speed planning method and device and medium of autonomous driving are provided, involving artificial intelligence technologies such as autonomous driving and deep learning. The solution includes the current state of the vehicle (S101), and interpolation"&amp;" of the action based on the current state and the predetermined state table to obtain the current state target movement (S102). The current status includes at least the remaining running distance and current speed. The status table is determined based on "&amp;"the enhanced learning method, including multiple states and the actions performed in each state. The action performed in each state includes at least acceleration. Using this solution, the table checked the table replaced the neural network. Just determin"&amp;"e the status table offline, and then check the table online to determine the target movement of the current state. Therefore, not only will not occupy a large number of computing resources, but also the global optimal solution of speed planning can be obt"&amp;"ained.")</f>
        <v>A speed planning method and device and medium of autonomous driving are provided, involving artificial intelligence technologies such as autonomous driving and deep learning. The solution includes the current state of the vehicle (S101), and interpolation of the action based on the current state and the predetermined state table to obtain the current state target movement (S102). The current status includes at least the remaining running distance and current speed. The status table is determined based on the enhanced learning method, including multiple states and the actions performed in each state. The action performed in each state includes at least acceleration. Using this solution, the table checked the table replaced the neural network. Just determine the status table offline, and then check the table online to determine the target movement of the current state. Therefore, not only will not occupy a large number of computing resources, but also the global optimal solution of speed planning can be obtained.</v>
      </c>
      <c r="D1428" s="6" t="s">
        <v>4145</v>
      </c>
      <c r="E1428" s="4" t="str">
        <f ca="1">IFERROR(__xludf.DUMMYFUNCTION("GOOGLETRANSLATE(D1428,""auto"",""en"")"),"Autonomous driving speed planning method, device, device, media and vehicle")</f>
        <v>Autonomous driving speed planning method, device, device, media and vehicle</v>
      </c>
    </row>
    <row r="1429" spans="1:5" ht="15" x14ac:dyDescent="0.25">
      <c r="A1429" s="5" t="s">
        <v>4146</v>
      </c>
      <c r="B1429" s="6" t="s">
        <v>4147</v>
      </c>
      <c r="C1429" s="3" t="str">
        <f ca="1">IFERROR(__xludf.DUMMYFUNCTION("GOOGLETRANSLATE(B1429,""auto"",""en"")"),"The Internet of Things has raised its understanding of our world and provided a platform to monitor the reactions of the changing conditions we face. Moreover, just like the emergence of the Internet itself, IoT supports countless applications from micro "&amp;"to macro, from insignificant to critical. Wearable technology helps to check our daily fitness procedures and activities. Most models measure our heartbeat rate. In addition, they are also equipped with alarm system to remind us of the upcoming tasks and "&amp;"start activities. The Third Eye system is a IoT device that is wearable, which solves the problem of monitoring the user's back when crossing isolation or unknown place. When an abnormal activity occurs with facial and abnormal events, it will use voice a"&amp;"larms to remind users through wireless earplugs. When the user collapses or falls, it sends emergency warning and location information to his family. It also tracks all the positions visited by users. These locations may be useful to users so that they ca"&amp;"n analyze as needed. Through voice reminding users Three eye equipment to monitor the user behind the unknown person follow the user Figure 3: The third eye equipment abnormal event detection user behind the user's third eye equipment fell and send it an "&amp;"emergency alarm picture 4: The third eye equipment user user users The third Eye Device system of the decline detection and alarm system uses GPS to capture access to access and store data. Figure 5: Third Eye Device Data Collection")</f>
        <v>The Internet of Things has raised its understanding of our world and provided a platform to monitor the reactions of the changing conditions we face. Moreover, just like the emergence of the Internet itself, IoT supports countless applications from micro to macro, from insignificant to critical. Wearable technology helps to check our daily fitness procedures and activities. Most models measure our heartbeat rate. In addition, they are also equipped with alarm system to remind us of the upcoming tasks and start activities. The Third Eye system is a IoT device that is wearable, which solves the problem of monitoring the user's back when crossing isolation or unknown place. When an abnormal activity occurs with facial and abnormal events, it will use voice alarms to remind users through wireless earplugs. When the user collapses or falls, it sends emergency warning and location information to his family. It also tracks all the positions visited by users. These locations may be useful to users so that they can analyze as needed. Through voice reminding users Three eye equipment to monitor the user behind the unknown person follow the user Figure 3: The third eye equipment abnormal event detection user behind the user's third eye equipment fell and send it an emergency alarm picture 4: The third eye equipment user user users The third Eye Device system of the decline detection and alarm system uses GPS to capture access to access and store data. Figure 5: Third Eye Device Data Collection</v>
      </c>
      <c r="D1429" s="6" t="s">
        <v>4148</v>
      </c>
      <c r="E1429" s="4" t="str">
        <f ca="1">IFERROR(__xludf.DUMMYFUNCTION("GOOGLETRANSLATE(D1429,""auto"",""en"")"),"The third eye based on the intelligent Internet of Things, prevent abnormal activity")</f>
        <v>The third eye based on the intelligent Internet of Things, prevent abnormal activity</v>
      </c>
    </row>
    <row r="1430" spans="1:5" ht="15" x14ac:dyDescent="0.25">
      <c r="A1430" s="5" t="s">
        <v>4149</v>
      </c>
      <c r="B1430" s="6" t="s">
        <v>4150</v>
      </c>
      <c r="C1430" s="3" t="str">
        <f ca="1">IFERROR(__xludf.DUMMYFUNCTION("GOOGLETRANSLATE(B1430,""auto"",""en"")"),"This publicly provides structured information extraction methods, devices, equipment, storage media, and program products, involving the field of artificial intelligence, especially in the field of computer vision and deep learning. The specific implement"&amp;"ation scheme is: optical character recognition of sports events videos to obtain information on sports event; based on sports events information, track the sports goals in sports events videos to get the location information of sports targets; extract won"&amp;"derful actions from sports competition videos to extract wonderful actions Fragment; based on the location information of sports goals, a structured analysis of the wonderful action fragments, and the structured information of the wonderful action fragmen"&amp;"t is obtained. This public can intelligently analyze the video of sports events, form structured data, and provide high -quality materials for sports events, helping to complete the fast content creation of sports events.")</f>
        <v>This publicly provides structured information extraction methods, devices, equipment, storage media, and program products, involving the field of artificial intelligence, especially in the field of computer vision and deep learning. The specific implementation scheme is: optical character recognition of sports events videos to obtain information on sports event; based on sports events information, track the sports goals in sports events videos to get the location information of sports targets; extract wonderful actions from sports competition videos to extract wonderful actions Fragment; based on the location information of sports goals, a structured analysis of the wonderful action fragments, and the structured information of the wonderful action fragment is obtained. This public can intelligently analyze the video of sports events, form structured data, and provide high -quality materials for sports events, helping to complete the fast content creation of sports events.</v>
      </c>
      <c r="D1430" s="6" t="s">
        <v>1942</v>
      </c>
      <c r="E1430" s="4" t="str">
        <f ca="1">IFERROR(__xludf.DUMMYFUNCTION("GOOGLETRANSLATE(D1430,""auto"",""en"")"),"Structural information extraction method, device, equipment and storage media")</f>
        <v>Structural information extraction method, device, equipment and storage media</v>
      </c>
    </row>
    <row r="1431" spans="1:5" ht="15" x14ac:dyDescent="0.25">
      <c r="A1431" s="5" t="s">
        <v>4151</v>
      </c>
      <c r="B1431" s="6" t="s">
        <v>4152</v>
      </c>
      <c r="C1431" s="3" t="str">
        <f ca="1">IFERROR(__xludf.DUMMYFUNCTION("GOOGLETRANSLATE(B1431,""auto"",""en"")"),"This publicly provides structured information extraction methods, devices, equipment, storage media, and program products, involving the field of artificial intelligence, especially in the field of computer vision and deep learning. The specific implement"&amp;"ation scheme is: to extract the video frames of the target sports event from the video of sports events; conduct a target detection of the video frame of the target sports event, and obtain the designated target information in the sports event; to aggrega"&amp;"te the designated target information to obtain the structured information of sports events. This public can efficiently extract key information in the video of sports events, form structured data, and provide high -quality materials for sports events, hel"&amp;"ping to complete the fast content creation of sports events.")</f>
        <v>This publicly provides structured information extraction methods, devices, equipment, storage media, and program products, involving the field of artificial intelligence, especially in the field of computer vision and deep learning. The specific implementation scheme is: to extract the video frames of the target sports event from the video of sports events; conduct a target detection of the video frame of the target sports event, and obtain the designated target information in the sports event; to aggregate the designated target information to obtain the structured information of sports events. This public can efficiently extract key information in the video of sports events, form structured data, and provide high -quality materials for sports events, helping to complete the fast content creation of sports events.</v>
      </c>
      <c r="D1431" s="6" t="s">
        <v>1942</v>
      </c>
      <c r="E1431" s="4" t="str">
        <f ca="1">IFERROR(__xludf.DUMMYFUNCTION("GOOGLETRANSLATE(D1431,""auto"",""en"")"),"Structural information extraction method, device, equipment and storage media")</f>
        <v>Structural information extraction method, device, equipment and storage media</v>
      </c>
    </row>
    <row r="1432" spans="1:5" ht="15" x14ac:dyDescent="0.25">
      <c r="A1432" s="5" t="s">
        <v>4153</v>
      </c>
      <c r="B1432" s="6" t="s">
        <v>4154</v>
      </c>
      <c r="C1432" s="3" t="str">
        <f ca="1">IFERROR(__xludf.DUMMYFUNCTION("GOOGLETRANSLATE(B1432,""auto"",""en"")"),"The present invention involves personal sports planning methods and systems that can recommend sports that are optimized for personal optimization. The personal movement curatorial system includes the first database of physical storage space for personali"&amp;"zed characteristics of personal users to store personal users. The second database of physical storage space for sports characteristics of personal movements for personal sports, and users of users based on users of users When receiving the user input inf"&amp;"ormation from the generated user terminal and the calculated server, the computing correlation is extracted for customized campaigns, and one or more information about the customized movement of the extraction is sent as the recommended sports information"&amp;" to the user terminal. Among them, the user terminal is to recommend sports information. The server uses personalized characteristics information to gather multiple groups. According to the information entered by the user, a group of groups are selected a"&amp;"s the group that the user belongs. The server changes the individual weight of the recommended sports according to time.")</f>
        <v>The present invention involves personal sports planning methods and systems that can recommend sports that are optimized for personal optimization. The personal movement curatorial system includes the first database of physical storage space for personalized characteristics of personal users to store personal users. The second database of physical storage space for sports characteristics of personal movements for personal sports, and users of users based on users of users When receiving the user input information from the generated user terminal and the calculated server, the computing correlation is extracted for customized campaigns, and one or more information about the customized movement of the extraction is sent as the recommended sports information to the user terminal. Among them, the user terminal is to recommend sports information. The server uses personalized characteristics information to gather multiple groups. According to the information entered by the user, a group of groups are selected as the group that the user belongs. The server changes the individual weight of the recommended sports according to time.</v>
      </c>
      <c r="D1432" s="6" t="s">
        <v>4155</v>
      </c>
      <c r="E1432" s="4" t="str">
        <f ca="1">IFERROR(__xludf.DUMMYFUNCTION("GOOGLETRANSLATE(D1432,""auto"",""en"")"),"Personal movement method and system based on artificial intelligence -based on artificial intelligence")</f>
        <v>Personal movement method and system based on artificial intelligence -based on artificial intelligence</v>
      </c>
    </row>
    <row r="1433" spans="1:5" ht="15" x14ac:dyDescent="0.25">
      <c r="A1433" s="5" t="s">
        <v>4156</v>
      </c>
      <c r="B1433" s="6" t="s">
        <v>4157</v>
      </c>
      <c r="C1433" s="3" t="str">
        <f ca="1">IFERROR(__xludf.DUMMYFUNCTION("GOOGLETRANSLATE(B1433,""auto"",""en"")"),"This utility model has disclosed an artificial intelligence -based tennis network, involving artificial intelligence technology. This utility model includes the main box and auxiliary box. The bottom wall of the main box is fixed to connect to the motor. "&amp;"The rotating shaft of the motor is fixed with a rotary shaft one. At the bottom, the middle part of the rotating shaft is rolled in a fixed connection. This utility model emits infrared rays through infrared transmitters, combined with infrared receivers,"&amp;" and measures the distance between the main box and the auxiliary box, and then transmits the distance through the electrical signal to the electrical control box. First, the coordination of the auxiliary box, rolling wheel, track, etc. to realize the sto"&amp;"rage of the ball network, thereby avoiding the winding of the ball network, thereby increasing the service life of the net; Storage and using the T -shaped structure of the main box can be used for users to rest.")</f>
        <v>This utility model has disclosed an artificial intelligence -based tennis network, involving artificial intelligence technology. This utility model includes the main box and auxiliary box. The bottom wall of the main box is fixed to connect to the motor. The rotating shaft of the motor is fixed with a rotary shaft one. At the bottom, the middle part of the rotating shaft is rolled in a fixed connection. This utility model emits infrared rays through infrared transmitters, combined with infrared receivers, and measures the distance between the main box and the auxiliary box, and then transmits the distance through the electrical signal to the electrical control box. First, the coordination of the auxiliary box, rolling wheel, track, etc. to realize the storage of the ball network, thereby avoiding the winding of the ball network, thereby increasing the service life of the net; Storage and using the T -shaped structure of the main box can be used for users to rest.</v>
      </c>
      <c r="D1433" s="6" t="s">
        <v>4158</v>
      </c>
      <c r="E1433" s="4" t="str">
        <f ca="1">IFERROR(__xludf.DUMMYFUNCTION("GOOGLETRANSLATE(D1433,""auto"",""en"")"),"A tennis network based on artificial intelligence")</f>
        <v>A tennis network based on artificial intelligence</v>
      </c>
    </row>
    <row r="1434" spans="1:5" ht="15" x14ac:dyDescent="0.25">
      <c r="A1434" s="5" t="s">
        <v>4159</v>
      </c>
      <c r="B1434" s="6" t="s">
        <v>4160</v>
      </c>
      <c r="C1434" s="3" t="str">
        <f ca="1">IFERROR(__xludf.DUMMYFUNCTION("GOOGLETRANSLATE(B1434,""auto"",""en"")"),"This publicly provides structured information extraction methods, devices, equipment, storage media, and program products, involving the field of artificial intelligence, especially in the field of computer vision and deep learning. The specific implement"&amp;"ation scheme is: to extract the video frame of the target sports event from the sports event video; the target test of the video frame of the target sports event to obtain the designated target information in the sports event; analyze the video frame of t"&amp;"he target sports event, at least the sports events get the sports event. The characteristic information of a process, sports events include one or more processes; aggregate the characteristic information of the specified target information and at least on"&amp;"e process to obtain the structured information of sports events. This public can efficiently extract key information in the video of sports events, form structured data, and provide high -quality materials for sports events, helping to complete the fast c"&amp;"ontent creation of sports events.")</f>
        <v>This publicly provides structured information extraction methods, devices, equipment, storage media, and program products, involving the field of artificial intelligence, especially in the field of computer vision and deep learning. The specific implementation scheme is: to extract the video frame of the target sports event from the sports event video; the target test of the video frame of the target sports event to obtain the designated target information in the sports event; analyze the video frame of the target sports event, at least the sports events get the sports event. The characteristic information of a process, sports events include one or more processes; aggregate the characteristic information of the specified target information and at least one process to obtain the structured information of sports events. This public can efficiently extract key information in the video of sports events, form structured data, and provide high -quality materials for sports events, helping to complete the fast content creation of sports events.</v>
      </c>
      <c r="D1434" s="6" t="s">
        <v>1942</v>
      </c>
      <c r="E1434" s="4" t="str">
        <f ca="1">IFERROR(__xludf.DUMMYFUNCTION("GOOGLETRANSLATE(D1434,""auto"",""en"")"),"Structural information extraction method, device, equipment and storage media")</f>
        <v>Structural information extraction method, device, equipment and storage media</v>
      </c>
    </row>
    <row r="1435" spans="1:5" ht="15" x14ac:dyDescent="0.25">
      <c r="A1435" s="5" t="s">
        <v>4161</v>
      </c>
      <c r="B1435" s="6" t="s">
        <v>4162</v>
      </c>
      <c r="C1435" s="3" t="str">
        <f ca="1">IFERROR(__xludf.DUMMYFUNCTION("GOOGLETRANSLATE(B1435,""auto"",""en"")"),"The principles of Internet of Things and machinery are often used in medical diagnosis and treatment to monitor patients' status. By using the function of the wearable sensor system with a sensor, the Internet of Things has been used to build a system tha"&amp;"t warns the patient's companion when abnormal conditions occur. Machine learning has been used to detect any abnormal conditions in the patient's state by using trained models to help medical diagnosis. The framework aims to monitor the health of patients"&amp;" with pulse blood oxygen meter and temperature sensors. The Internet of Things sensors are used to collect basic data, and Cloud IoT is used to analyze, classify, and exchange medical data between users and healthcare providers. The data will be stored in"&amp;" the Cloud Internet of Things. The Z-WAVE device collects data from various sensors used in patient monitoring, and transmits it to the hospital and stores it in the hospital database. Based on the classification method of blurring rough CMEANS clustering"&amp;" technology, it is used to classify the user as a category of infection or infection. In order to divide the user into a infection group or an unprepared group, we adopt a fuzzy rough C mean, and use the similar coefficient to distinguish according to the"&amp;" patient's symptoms. If any error occurs, patients can use wearable devices such as fitness bracelets and other wireless connection devices (such as blood pressure and heart rate monitoring cuffs, blood glucose meters, and other equipment) to get personal"&amp;"ized care. These devices may be configured to remind you to count, exercise, dating, blood pressure changes and various other things. The Internet of Things has changed people's lives, especially the lives of elderly patients, so that they can track their"&amp;" health in real time. This has a great impact on single parents and their families. If a person's daily behavior is disrupted or changed, the alarm mechanism will send messages to family members, doctors, nursing staff and other related medical service pr"&amp;"oviders.")</f>
        <v>The principles of Internet of Things and machinery are often used in medical diagnosis and treatment to monitor patients' status. By using the function of the wearable sensor system with a sensor, the Internet of Things has been used to build a system that warns the patient's companion when abnormal conditions occur. Machine learning has been used to detect any abnormal conditions in the patient's state by using trained models to help medical diagnosis. The framework aims to monitor the health of patients with pulse blood oxygen meter and temperature sensors. The Internet of Things sensors are used to collect basic data, and Cloud IoT is used to analyze, classify, and exchange medical data between users and healthcare providers. The data will be stored in the Cloud Internet of Things. The Z-WAVE device collects data from various sensors used in patient monitoring, and transmits it to the hospital and stores it in the hospital database. Based on the classification method of blurring rough CMEANS clustering technology, it is used to classify the user as a category of infection or infection. In order to divide the user into a infection group or an unprepared group, we adopt a fuzzy rough C mean, and use the similar coefficient to distinguish according to the patient's symptoms. If any error occurs, patients can use wearable devices such as fitness bracelets and other wireless connection devices (such as blood pressure and heart rate monitoring cuffs, blood glucose meters, and other equipment) to get personalized care. These devices may be configured to remind you to count, exercise, dating, blood pressure changes and various other things. The Internet of Things has changed people's lives, especially the lives of elderly patients, so that they can track their health in real time. This has a great impact on single parents and their families. If a person's daily behavior is disrupted or changed, the alarm mechanism will send messages to family members, doctors, nursing staff and other related medical service providers.</v>
      </c>
      <c r="D1435" s="6" t="s">
        <v>4163</v>
      </c>
      <c r="E1435" s="4" t="str">
        <f ca="1">IFERROR(__xludf.DUMMYFUNCTION("GOOGLETRANSLATE(D1435,""auto"",""en"")"),"The Internet of Things model system based on intelligent medical cloud is used to use deep learning for detection and prevention")</f>
        <v>The Internet of Things model system based on intelligent medical cloud is used to use deep learning for detection and prevention</v>
      </c>
    </row>
    <row r="1436" spans="1:5" ht="15" x14ac:dyDescent="0.25">
      <c r="A1436" s="5" t="s">
        <v>4164</v>
      </c>
      <c r="B1436" s="6" t="s">
        <v>4165</v>
      </c>
      <c r="C1436" s="3" t="str">
        <f ca="1">IFERROR(__xludf.DUMMYFUNCTION("GOOGLETRANSLATE(B1436,""auto"",""en"")"),"1. Design product name: The theater mode dynamic graphic user interface of the display screen panel.
 2. Design products in this exterior: used to display graphic user interface and interaction.
 3. Design of the design of the product in appearance: l"&amp;"ies in the interface content of the graphic user interface.
 4. Pictures or photos that can most indicate design points: main view.
 5. Rear view, left view, right view, downward view, and the main point of viewing the viewing map, omittime view, left"&amp;" view, right view, pult view, upper view.
 6. The purpose of the graphical user interface: The graphic user interface for the swap operation of the theater mode window.
 7. Human -computer interaction method of graphics user interface: The main view i"&amp;"s to open the theater mode window interface, the user bowed his head to enter the interface change state Figure 1, and display the ""swap"" button under the window in the selection in the interface change state. The ""button enters the interface change st"&amp;"ate Figure 2, in the interface change state Figure 2 will display the prompt box of the"" swap ""window; click the"" Converse ""button to enter the interface changes. The window of the window starts to interchange with the window that has entered the thea"&amp;"ter mode before; in the interface change state Figure 4, the selected window and the window that has entered the theater mode before continuing to swap; After the window is interchangeable, enter the interface change state 5, and the selected window in th"&amp;"e interface change state becomes the theater mode window.
 8. The display screen panel and graphic user interface are applied to electronic devices, that is, computers, laptops, tablets, mobile phones, smartphones, smart glasses, virtual reality glasses"&amp;", enhanced reality glasses, hybrid glasses, watches, smart watches, fitness, fitness Monitor, headset headset, smart speakers, TV, set -top box.")</f>
        <v>1. Design product name: The theater mode dynamic graphic user interface of the display screen panel.
 2. Design products in this exterior: used to display graphic user interface and interaction.
 3. Design of the design of the product in appearance: lies in the interface content of the graphic user interface.
 4. Pictures or photos that can most indicate design points: main view.
 5. Rear view, left view, right view, downward view, and the main point of viewing the viewing map, omittime view, left view, right view, pult view, upper view.
 6. The purpose of the graphical user interface: The graphic user interface for the swap operation of the theater mode window.
 7. Human -computer interaction method of graphics user interface: The main view is to open the theater mode window interface, the user bowed his head to enter the interface change state Figure 1, and display the "swap" button under the window in the selection in the interface change state. The "button enters the interface change state Figure 2, in the interface change state Figure 2 will display the prompt box of the" swap "window; click the" Converse "button to enter the interface changes. The window of the window starts to interchange with the window that has entered the theater mode before; in the interface change state Figure 4, the selected window and the window that has entered the theater mode before continuing to swap; After the window is interchangeable, enter the interface change state 5, and the selected window in the interface change state becomes the theater mode window.
 8. The display screen panel and graphic user interface are applied to electronic devices, that is, computers, laptops, tablets, mobile phones, smartphones, smart glasses, virtual reality glasses, enhanced reality glasses, hybrid glasses, watches, smart watches, fitness, fitness Monitor, headset headset, smart speakers, TV, set -top box.</v>
      </c>
      <c r="D1436" s="6" t="s">
        <v>4166</v>
      </c>
      <c r="E1436" s="4" t="str">
        <f ca="1">IFERROR(__xludf.DUMMYFUNCTION("GOOGLETRANSLATE(D1436,""auto"",""en"")"),"The theater mode dynamic graphic user interface of the display screen panel")</f>
        <v>The theater mode dynamic graphic user interface of the display screen panel</v>
      </c>
    </row>
    <row r="1437" spans="1:5" ht="15" x14ac:dyDescent="0.25">
      <c r="A1437" s="5" t="s">
        <v>4167</v>
      </c>
      <c r="B1437" s="6" t="s">
        <v>4168</v>
      </c>
      <c r="C1437" s="3" t="str">
        <f ca="1">IFERROR(__xludf.DUMMYFUNCTION("GOOGLETRANSLATE(B1437,""auto"",""en"")"),"1. Design product name: The theater mode dynamic graphic user interface of the display screen panel.
 2. Design products in this exterior: used to display graphic user interface and interaction.
 3. Design of the design of the product in appearance: l"&amp;"ies in the interface content of the graphic user interface.
 4. Pictures or photos that can best show design: Design 1 main view.
 5. There are no main points of design after each design view, left view, right view, downward view, and viewing map, omi"&amp;"tting the design of each design, left view, right view, downward view, and upper view.
 6. Specify design 1 is the basic design.
 7. The purpose of the graphical user interface: It is used to open the graphic user interface operated by the new window "&amp;"in the theater mode.
 8. Human -computer interaction method of graphics user interface: Design 1: The main view is to open the interface of multiple windows, open the icon interface to enter the interface change state Figure 1, display the icon interfac"&amp;"e in the interface change state figure 1; click any in the icon interface anytime in the icon interface. The icon enter the interface change state Figure 2, in the interface change state 2 &amp; nbsp; display the new window that can be dragged freely at will;"&amp;" after determining the location and size of the new window, click the new window and enter the interface change status diagram 3. The ""swap"" button is displayed below the new window.
 Design 2: The main view is to open the interface of multiple window"&amp;"s, click on any window except the theater mode window to enter the interface change state. Address bar; enter the address in the address bar and click the ""+"" button to enter the interface change state Figure 2. In the interface change state 2, the new "&amp;"window that can be dragged and placed at will; Enter the interface change state Figure 3, and the ""swap"" button is displayed below the new window in the interface change state.
 9. The display screen panel and graphic user interface are applied to ele"&amp;"ctronic devices, that is, computers, laptops, tablets, mobile phones, smartphones, smart glasses, virtual reality glasses, augmented reality glasses, hybrid reality glasses, watches, smart watches, fitness, fitness Monitor, headset headset, smart speakers"&amp;", TV, set -top box.")</f>
        <v>1. Design product name: The theater mode dynamic graphic user interface of the display screen panel.
 2. Design products in this exterior: used to display graphic user interface and interaction.
 3. Design of the design of the product in appearance: lies in the interface content of the graphic user interface.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It is used to open the graphic user interface operated by the new window in the theater mode.
 8. Human -computer interaction method of graphics user interface: Design 1: The main view is to open the interface of multiple windows, open the icon interface to enter the interface change state Figure 1, display the icon interface in the interface change state figure 1; click any in the icon interface anytime in the icon interface. The icon enter the interface change state Figure 2, in the interface change state 2 &amp; nbsp; display the new window that can be dragged freely at will; after determining the location and size of the new window, click the new window and enter the interface change status diagram 3. The "swap" button is displayed below the new window.
 Design 2: The main view is to open the interface of multiple windows, click on any window except the theater mode window to enter the interface change state. Address bar; enter the address in the address bar and click the "+" button to enter the interface change state Figure 2. In the interface change state 2, the new window that can be dragged and placed at will; Enter the interface change state Figure 3, and the "swap" button is displayed below the new window in the interface change state.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smart speakers, TV, set -top box.</v>
      </c>
      <c r="D1437" s="6" t="s">
        <v>4166</v>
      </c>
      <c r="E1437" s="4" t="str">
        <f ca="1">IFERROR(__xludf.DUMMYFUNCTION("GOOGLETRANSLATE(D1437,""auto"",""en"")"),"The theater mode dynamic graphic user interface of the display screen panel")</f>
        <v>The theater mode dynamic graphic user interface of the display screen panel</v>
      </c>
    </row>
    <row r="1438" spans="1:5" ht="15" x14ac:dyDescent="0.25">
      <c r="A1438" s="5" t="s">
        <v>4169</v>
      </c>
      <c r="B1438" s="6" t="s">
        <v>4170</v>
      </c>
      <c r="C1438" s="3" t="str">
        <f ca="1">IFERROR(__xludf.DUMMYFUNCTION("GOOGLETRANSLATE(B1438,""auto"",""en"")"),"1. Design product name: The theater mode dynamic graphic user interface of the display screen panel.
 2. Design products in this exterior: used to display graphic user interface and interaction.
 3. Design of the design of the product in appearance: l"&amp;"ies in the interface content of the graphic user interface.
 4. Pictures or photos that can best show design: Design 1 main view.
 5. There are no main points of design after each design view, left view, right view, downward view, and viewing map, omi"&amp;"tting the design of each design, left view, right view, downward view, and upper view.
 6. Specify design 1 is the basic design.
 7. The purpose of the graphical user interface: for the window to enter the theater mode and the graphical user interface"&amp;" of the size, distance and position operation.
 8. Human -computer interaction method of graphics user interface: Design 1 and Design 2: The main view is to open the interface of multiple windows, click on any window to enter the interface change state."&amp;" Display the prompt box of ""Enter the theater mode""; click the ""Theater Mode"" button to enter the interface change state Figure 2. Status Figure 3, the window of the theater mode in the interface change status Figure 3 Move to the right with other win"&amp;"dows; drag to the left when selecting the window to enter the interface change state Figure 4. Move left to the left; drag the selected window to the right distance and the large hour enter the interface change state Figure 5; click to confirm the interfa"&amp;"ce change state Figure 6, in the interface change state Figure 6 The window in the theater mode in the theater mode of the theater mode shows ""Other windows in other windows The prompt box placed below is placed; when the user boweds down, enter the inte"&amp;"rface change state Figure 7, and in the interface change state Figure 7 display other windows under the theater mode.
 9. The display screen panel and graphic user interface are applied to electronic devices, that is, computers, laptops, tablets, mobile"&amp;" phones, smartphones, smart glasses, virtual reality glasses, augmented reality glasses, hybrid reality glasses, watches, smart watches, fitness, fitness Monitor, headset headset, smart speakers, TV, set -top box.")</f>
        <v>1. Design product name: The theater mode dynamic graphic user interface of the display screen panel.
 2. Design products in this exterior: used to display graphic user interface and interaction.
 3. Design of the design of the product in appearance: lies in the interface content of the graphic user interface.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for the window to enter the theater mode and the graphical user interface of the size, distance and position operation.
 8. Human -computer interaction method of graphics user interface: Design 1 and Design 2: The main view is to open the interface of multiple windows, click on any window to enter the interface change state. Display the prompt box of "Enter the theater mode"; click the "Theater Mode" button to enter the interface change state Figure 2. Status Figure 3, the window of the theater mode in the interface change status Figure 3 Move to the right with other windows; drag to the left when selecting the window to enter the interface change state Figure 4. Move left to the left; drag the selected window to the right distance and the large hour enter the interface change state Figure 5; click to confirm the interface change state Figure 6, in the interface change state Figure 6 The window in the theater mode in the theater mode of the theater mode shows "Other windows in other windows The prompt box placed below is placed; when the user boweds down, enter the interface change state Figure 7, and in the interface change state Figure 7 display other windows under the theater mode.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smart speakers, TV, set -top box.</v>
      </c>
      <c r="D1438" s="6" t="s">
        <v>4166</v>
      </c>
      <c r="E1438" s="4" t="str">
        <f ca="1">IFERROR(__xludf.DUMMYFUNCTION("GOOGLETRANSLATE(D1438,""auto"",""en"")"),"The theater mode dynamic graphic user interface of the display screen panel")</f>
        <v>The theater mode dynamic graphic user interface of the display screen panel</v>
      </c>
    </row>
    <row r="1439" spans="1:5" ht="15" x14ac:dyDescent="0.25">
      <c r="A1439" s="5" t="s">
        <v>4171</v>
      </c>
      <c r="B1439" s="6" t="s">
        <v>4172</v>
      </c>
      <c r="C1439" s="3" t="str">
        <f ca="1">IFERROR(__xludf.DUMMYFUNCTION("GOOGLETRANSLATE(B1439,""auto"",""en"")"),"1. Design product name: The theater mode of the display screen panel operates graphic user interface.
 2. Design products in this exterior: used to display graphic user interface and interaction.
 3. Design of the design of the product in appearance: "&amp;"lies in the interface content of the graphic user interface.
 4. Pictures or photos that can best show design: Design 1 main view.
 5. There are no main points of design after each design view, left view, right view, downward view, and viewing map, om"&amp;"itting the design of each design, left view, right view, downward view, and upper view.
 6. Specify design 1 is the basic design.
 7. The purpose of the graphical user interface: The graphical user interface with the window mode exited from the theate"&amp;"r mode.
 8. Human -computer interaction method of graphical user interface: Design 1: The main view is the interface of opening multiple windows. One window is the window of the theater mode. Select the ""Exit theater mode"" button displayed under the w"&amp;"indow of the theater mode; click on The ""Exit the Theater Mode"" button enters the interface change state diagram. In the interface changes state diagram, the window has exited the theater mode, and is arranged and displayed with other windows.
 Design"&amp;" 2: The main view is the interface of opening multiple web pages and application windows. One window is the theater mode window. Click the ""X"" button in the icon display box above the theater mode. The window has exited the theater mode and closed, and "&amp;"other windows are arranged and displayed.
 9. The display screen panel and graphic user interface are applied to electronic devices, that is, computers, laptops, tablets, mobile phones, smartphones, smart glasses, virtual reality glasses, augmented real"&amp;"ity glasses, hybrid reality glasses, watches, smart watches, fitness, fitness Monitor, headset headset, smart speakers, TV, set -top box.")</f>
        <v>1. Design product name: The theater mode of the display screen panel operates graphic user interface.
 2. Design products in this exterior: used to display graphic user interface and interaction.
 3. Design of the design of the product in appearance: lies in the interface content of the graphic user interface.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graphical user interface with the window mode exited from the theater mode.
 8. Human -computer interaction method of graphical user interface: Design 1: The main view is the interface of opening multiple windows. One window is the window of the theater mode. Select the "Exit theater mode" button displayed under the window of the theater mode; click on The "Exit the Theater Mode" button enters the interface change state diagram. In the interface changes state diagram, the window has exited the theater mode, and is arranged and displayed with other windows.
 Design 2: The main view is the interface of opening multiple web pages and application windows. One window is the theater mode window. Click the "X" button in the icon display box above the theater mode. The window has exited the theater mode and closed, and other windows are arranged and displayed.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smart speakers, TV, set -top box.</v>
      </c>
      <c r="D1439" s="6" t="s">
        <v>4173</v>
      </c>
      <c r="E1439" s="4" t="str">
        <f ca="1">IFERROR(__xludf.DUMMYFUNCTION("GOOGLETRANSLATE(D1439,""auto"",""en"")"),"The theater mode operation graphical user interface of the display screen panel")</f>
        <v>The theater mode operation graphical user interface of the display screen panel</v>
      </c>
    </row>
    <row r="1440" spans="1:5" ht="15" x14ac:dyDescent="0.25">
      <c r="A1440" s="5" t="s">
        <v>4174</v>
      </c>
      <c r="B1440" s="6" t="s">
        <v>4172</v>
      </c>
      <c r="C1440" s="3" t="str">
        <f ca="1">IFERROR(__xludf.DUMMYFUNCTION("GOOGLETRANSLATE(B1440,""auto"",""en"")"),"1. Design product name: The theater mode of the display screen panel operates graphic user interface.
 2. Design products in this exterior: used to display graphic user interface and interaction.
 3. Design of the design of the product in appearance: "&amp;"lies in the interface content of the graphic user interface.
 4. Pictures or photos that can best show design: Design 1 main view.
 5. There are no main points of design after each design view, left view, right view, downward view, and viewing map, om"&amp;"itting the design of each design, left view, right view, downward view, and upper view.
 6. Specify design 1 is the basic design.
 7. The purpose of the graphical user interface: The graphical user interface with the window mode exited from the theate"&amp;"r mode.
 8. Human -computer interaction method of graphical user interface: Design 1: The main view is the interface of opening multiple windows. One window is the window of the theater mode. Select the ""Exit theater mode"" button displayed under the w"&amp;"indow of the theater mode; click on The ""Exit the Theater Mode"" button enters the interface change state diagram. In the interface changes state diagram, the window has exited the theater mode, and is arranged and displayed with other windows.
 Design"&amp;" 2: The main view is the interface of opening multiple web pages and application windows. One window is the theater mode window. Click the ""X"" button in the icon display box above the theater mode. The window has exited the theater mode and closed, and "&amp;"other windows are arranged and displayed.
 9. The display screen panel and graphic user interface are applied to electronic devices, that is, computers, laptops, tablets, mobile phones, smartphones, smart glasses, virtual reality glasses, augmented real"&amp;"ity glasses, hybrid reality glasses, watches, smart watches, fitness, fitness Monitor, headset headset, smart speakers, TV, set -top box.")</f>
        <v>1. Design product name: The theater mode of the display screen panel operates graphic user interface.
 2. Design products in this exterior: used to display graphic user interface and interaction.
 3. Design of the design of the product in appearance: lies in the interface content of the graphic user interface.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graphical user interface with the window mode exited from the theater mode.
 8. Human -computer interaction method of graphical user interface: Design 1: The main view is the interface of opening multiple windows. One window is the window of the theater mode. Select the "Exit theater mode" button displayed under the window of the theater mode; click on The "Exit the Theater Mode" button enters the interface change state diagram. In the interface changes state diagram, the window has exited the theater mode, and is arranged and displayed with other windows.
 Design 2: The main view is the interface of opening multiple web pages and application windows. One window is the theater mode window. Click the "X" button in the icon display box above the theater mode. The window has exited the theater mode and closed, and other windows are arranged and displayed.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smart speakers, TV, set -top box.</v>
      </c>
      <c r="D1440" s="6" t="s">
        <v>4173</v>
      </c>
      <c r="E1440" s="4" t="str">
        <f ca="1">IFERROR(__xludf.DUMMYFUNCTION("GOOGLETRANSLATE(D1440,""auto"",""en"")"),"The theater mode operation graphical user interface of the display screen panel")</f>
        <v>The theater mode operation graphical user interface of the display screen panel</v>
      </c>
    </row>
    <row r="1441" spans="1:5" ht="15" x14ac:dyDescent="0.25">
      <c r="A1441" s="5" t="s">
        <v>4175</v>
      </c>
      <c r="B1441" s="6" t="s">
        <v>4176</v>
      </c>
      <c r="C1441" s="3" t="str">
        <f ca="1">IFERROR(__xludf.DUMMYFUNCTION("GOOGLETRANSLATE(B1441,""auto"",""en"")"),"1. Design product name: The theater mode of the display screen panel switch the graphic user interface.
 2. Design products in this exterior: used to display graphic user interface and interaction.
 3. Design of the design of the product in appearance"&amp;": lies in the interface content of the graphic user interface.
 4. Pictures or photos that can most indicate design points: main view.
 5. Rear view, left view, right view, downward view, and the main point of viewing the viewing map, omittime view, l"&amp;"eft view, right view, pult view, upper view.
 6. The purpose of the graphical user interface: for the window to enter the theater mode and the graphical user interface of the size, distance and position operation.
 7. Human -computer interaction metho"&amp;"d of graphics user interface: The main view is to open the interface of multiple windows, click on any window to enter the interface change state Figure 1, and select the ""Theater mode"" button in the interface change state. The prompt box; click the ""t"&amp;"heater mode"" button to enter the interface change state Figure 2, the selected window becomes far and go, and the remaining windows are arranged below the selected window; when dragging the selected window to the right Change State Figure 3 The window of"&amp;" the theater mode in the theater mode moves to the right with other windows; when dragging the left to the left, enter the interface change state Figure 4. Drag the selected window to the right distance and the small hour enter the interface change state "&amp;"Figure 5; after clicking to confirm the interface changes state Figure 6, in the window of the interface change state in the window mode, ""Other windows are placed below"" prompts in the window mode of the theater mode. Frame; when the user bowed his hea"&amp;"d down, he entered the interface change state Figure 7, and in the interface change state Figure 7 displayed in other windows placed under the theater mode.
 8. The display screen panel and graphic user interface are applied to electronic devices, that "&amp;"is, computers, laptops, tablets, mobile phones, smartphones, smart glasses, virtual reality glasses, enhanced reality glasses, hybrid glasses, watches, smart watches, fitness, fitness Monitor, headset headset, smart speakers, TV, set -top box.")</f>
        <v>1. Design product name: The theater mode of the display screen panel switch the graphic user interface.
 2. Design products in this exterior: used to display graphic user interface and interaction.
 3. Design of the design of the product in appearance: lies in the interface content of the graphic user interface.
 4. Pictures or photos that can most indicate design points: main view.
 5. Rear view, left view, right view, downward view, and the main point of viewing the viewing map, omittime view, left view, right view, pult view, upper view.
 6. The purpose of the graphical user interface: for the window to enter the theater mode and the graphical user interface of the size, distance and position operation.
 7. Human -computer interaction method of graphics user interface: The main view is to open the interface of multiple windows, click on any window to enter the interface change state Figure 1, and select the "Theater mode" button in the interface change state. The prompt box; click the "theater mode" button to enter the interface change state Figure 2, the selected window becomes far and go, and the remaining windows are arranged below the selected window; when dragging the selected window to the right Change State Figure 3 The window of the theater mode in the theater mode moves to the right with other windows; when dragging the left to the left, enter the interface change state Figure 4. Drag the selected window to the right distance and the small hour enter the interface change state Figure 5; after clicking to confirm the interface changes state Figure 6, in the window of the interface change state in the window mode, "Other windows are placed below" prompts in the window mode of the theater mode. Frame; when the user bowed his head down, he entered the interface change state Figure 7, and in the interface change state Figure 7 displayed in other windows placed under the theater mode.
 8. The display screen panel and graphic user interface are applied to electronic devices, that is, computers, laptops, tablets, mobile phones, smartphones, smart glasses, virtual reality glasses, enhanced reality glasses, hybrid glasses, watches, smart watches, fitness, fitness Monitor, headset headset, smart speakers, TV, set -top box.</v>
      </c>
      <c r="D1441" s="6" t="s">
        <v>4177</v>
      </c>
      <c r="E1441" s="4" t="str">
        <f ca="1">IFERROR(__xludf.DUMMYFUNCTION("GOOGLETRANSLATE(D1441,""auto"",""en"")"),"The theater mode of the display screen panel switch graphics user interface")</f>
        <v>The theater mode of the display screen panel switch graphics user interface</v>
      </c>
    </row>
    <row r="1442" spans="1:5" ht="15" x14ac:dyDescent="0.25">
      <c r="A1442" s="5" t="s">
        <v>4178</v>
      </c>
      <c r="B1442" s="6" t="s">
        <v>4179</v>
      </c>
      <c r="C1442" s="3" t="str">
        <f ca="1">IFERROR(__xludf.DUMMYFUNCTION("GOOGLETRANSLATE(B1442,""auto"",""en"")"),"1. Design product name: The theater mode of the display screen panel switch the graphic user interface.
 2. Design products in this exterior: used to display graphic user interface and interaction.
 3. Design of the design of the product in appearance"&amp;": lies in the interface content of the graphic user interface.
 4. Pictures or photos that can most indicate design points: main view.
 5. Rear view, left view, right view, downward view, and the main point of viewing the viewing map, omittime view, l"&amp;"eft view, right view, pult view, upper view.
 6. The purpose of the graphical user interface: The graphic user interface for the swap operation of the theater mode window.
 7. Human -computer interaction method of graphics user interface: The main vie"&amp;"w is to open the theater mode window interface, the user bowed his head to enter the interface change state Figure 1, and display the ""swap"" button under the window in the selection in the interface change state. The ""button enters the interface change"&amp;" state Figure 2, in the interface change state Figure 2 will display the prompt box of the"" swap ""window; click the"" Converse ""button to enter the interface changes. The window starts to interchange with the window that has entered the theater mode be"&amp;"fore; in the interface change state diagram 4 &amp; nbsp; The window of the mode enters the interface change state 5 after the interchange is completed.
 8. The display screen panel and graphic user interface are applied to electronic devices, that is, comp"&amp;"uters, laptops, tablets, mobile phones, smartphones, smart glasses, virtual reality glasses, enhanced reality glasses, hybrid glasses, watches, smart watches, fitness, fitness Monitor, headset headset, smart speakers, TV, set -top box.")</f>
        <v>1. Design product name: The theater mode of the display screen panel switch the graphic user interface.
 2. Design products in this exterior: used to display graphic user interface and interaction.
 3. Design of the design of the product in appearance: lies in the interface content of the graphic user interface.
 4. Pictures or photos that can most indicate design points: main view.
 5. Rear view, left view, right view, downward view, and the main point of viewing the viewing map, omittime view, left view, right view, pult view, upper view.
 6. The purpose of the graphical user interface: The graphic user interface for the swap operation of the theater mode window.
 7. Human -computer interaction method of graphics user interface: The main view is to open the theater mode window interface, the user bowed his head to enter the interface change state Figure 1, and display the "swap" button under the window in the selection in the interface change state. The "button enters the interface change state Figure 2, in the interface change state Figure 2 will display the prompt box of the" swap "window; click the" Converse "button to enter the interface changes. The window starts to interchange with the window that has entered the theater mode before; in the interface change state diagram 4 &amp; nbsp; The window of the mode enters the interface change state 5 after the interchange is completed.
 8. The display screen panel and graphic user interface are applied to electronic devices, that is, computers, laptops, tablets, mobile phones, smartphones, smart glasses, virtual reality glasses, enhanced reality glasses, hybrid glasses, watches, smart watches, fitness, fitness Monitor, headset headset, smart speakers, TV, set -top box.</v>
      </c>
      <c r="D1442" s="6" t="s">
        <v>4177</v>
      </c>
      <c r="E1442" s="4" t="str">
        <f ca="1">IFERROR(__xludf.DUMMYFUNCTION("GOOGLETRANSLATE(D1442,""auto"",""en"")"),"The theater mode of the display screen panel switch graphics user interface")</f>
        <v>The theater mode of the display screen panel switch graphics user interface</v>
      </c>
    </row>
    <row r="1443" spans="1:5" ht="15" x14ac:dyDescent="0.25">
      <c r="A1443" s="5" t="s">
        <v>4180</v>
      </c>
      <c r="B1443" s="6" t="s">
        <v>4181</v>
      </c>
      <c r="C1443" s="3" t="str">
        <f ca="1">IFERROR(__xludf.DUMMYFUNCTION("GOOGLETRANSLATE(B1443,""auto"",""en"")"),"The present invention provides a personalized career prediction device for the athlete's life cycle, including the data storage unit of the storage athlete information; a embedded unit to extract the athlete's athlete's reward performance information and "&amp;"historical information through the athlete information, And enter the word vector into the convolutional neural network (CNN) model to generate the professional information of the athlete, thereby generating the word embedded vector. It provides customize"&amp;"d professional prediction devices for athletes' life cycle, which is characterized by the probability value of at least one or more professional roads that the professional information can move forward for the professional information.")</f>
        <v>The present invention provides a personalized career prediction device for the athlete's life cycle, including the data storage unit of the storage athlete information; a embedded unit to extract the athlete's athlete's reward performance information and historical information through the athlete information, And enter the word vector into the convolutional neural network (CNN) model to generate the professional information of the athlete, thereby generating the word embedded vector. It provides customized professional prediction devices for athletes' life cycle, which is characterized by the probability value of at least one or more professional roads that the professional information can move forward for the professional information.</v>
      </c>
      <c r="D1443" s="6" t="s">
        <v>4182</v>
      </c>
      <c r="E1443" s="4" t="str">
        <f ca="1">IFERROR(__xludf.DUMMYFUNCTION("GOOGLETRANSLATE(D1443,""auto"",""en"")"),"Occupational prediction device customized for the athlete's life cycle, the professional prediction method of using the device, and the computer -readable medium that records the computer program provided by the device")</f>
        <v>Occupational prediction device customized for the athlete's life cycle, the professional prediction method of using the device, and the computer -readable medium that records the computer program provided by the device</v>
      </c>
    </row>
    <row r="1444" spans="1:5" ht="15" x14ac:dyDescent="0.25">
      <c r="A1444" s="5" t="s">
        <v>4183</v>
      </c>
      <c r="B1444" s="6" t="s">
        <v>4184</v>
      </c>
      <c r="C1444" s="3" t="str">
        <f ca="1">IFERROR(__xludf.DUMMYFUNCTION("GOOGLETRANSLATE(B1444,""auto"",""en"")"),"1. Design product name: The theater mode of the display screen panel switch the graphic user interface.
 2. Design products in this exterior: used to display graphic user interface and interaction.
 3. Design of the design of the product in appearance"&amp;": lies in the interface content of the graphic user interface.
 4. Pictures or photos that can best show design: Design 1 main view.
 5. There are no main points of design after each design view, left view, right view, downward view, and viewing map, "&amp;"omitting the design of each design, left view, right view, downward view, and upper view.
 6. Specify design 1 is the basic design.
 7. The purpose of the graphical user interface: It is used to open the graphic user interface operated by the new wind"&amp;"ow in the theater mode.
 8. Human -computer interaction method of graphics user interface: Design 1: The main view is to open the interface of multiple windows, open the icon interface to enter the interface change state Figure 1, display the icon inter"&amp;"face in the interface change state figure 1; click any in the icon interface anytime in the icon interface. The icon enter the interface change state Figure 2, in the interface change state 2 &amp; nbsp; display the new window that can be dragged freely at wi"&amp;"ll; after determining the location and size of the new window, click the new window and enter the interface change status diagram 3. The ""swap"" button is displayed below the new window.
 Design 2: The main view is to open the interface of multiple win"&amp;"dows, click on any window except the theater mode window to enter the interface change state. Address bar; enter the address in the address bar and click the ""+"" button to enter the interface change state Figure 2. In the interface change state 2, the n"&amp;"ew window that can be dragged and placed at will; Enter the interface change state Figure 3, and the ""swap"" button is displayed below the new window in the interface change state.
 9. The display screen panel and graphic user interface are applied to "&amp;"electronic devices, that is, computers, laptops, tablets, mobile phones, smartphones, smart glasses, virtual reality glasses, augmented reality glasses, hybrid reality glasses, watches, smart watches, fitness, fitness Monitor, headset headset, smart speak"&amp;"ers, TV, set -top box.")</f>
        <v>1. Design product name: The theater mode of the display screen panel switch the graphic user interface.
 2. Design products in this exterior: used to display graphic user interface and interaction.
 3. Design of the design of the product in appearance: lies in the interface content of the graphic user interface.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It is used to open the graphic user interface operated by the new window in the theater mode.
 8. Human -computer interaction method of graphics user interface: Design 1: The main view is to open the interface of multiple windows, open the icon interface to enter the interface change state Figure 1, display the icon interface in the interface change state figure 1; click any in the icon interface anytime in the icon interface. The icon enter the interface change state Figure 2, in the interface change state 2 &amp; nbsp; display the new window that can be dragged freely at will; after determining the location and size of the new window, click the new window and enter the interface change status diagram 3. The "swap" button is displayed below the new window.
 Design 2: The main view is to open the interface of multiple windows, click on any window except the theater mode window to enter the interface change state. Address bar; enter the address in the address bar and click the "+" button to enter the interface change state Figure 2. In the interface change state 2, the new window that can be dragged and placed at will; Enter the interface change state Figure 3, and the "swap" button is displayed below the new window in the interface change state.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smart speakers, TV, set -top box.</v>
      </c>
      <c r="D1444" s="6" t="s">
        <v>4177</v>
      </c>
      <c r="E1444" s="4" t="str">
        <f ca="1">IFERROR(__xludf.DUMMYFUNCTION("GOOGLETRANSLATE(D1444,""auto"",""en"")"),"The theater mode of the display screen panel switch graphics user interface")</f>
        <v>The theater mode of the display screen panel switch graphics user interface</v>
      </c>
    </row>
    <row r="1445" spans="1:5" ht="15" x14ac:dyDescent="0.25">
      <c r="A1445" s="5" t="s">
        <v>4185</v>
      </c>
      <c r="B1445" s="6" t="s">
        <v>4186</v>
      </c>
      <c r="C1445" s="3" t="str">
        <f ca="1">IFERROR(__xludf.DUMMYFUNCTION("GOOGLETRANSLATE(B1445,""auto"",""en"")"),"A method for transmission and reposting based on drones to automatically generate sports events, including the use of drones (120) data records or reposting data captured by drone computer vision system to artificial neural networks. The network (ANN) arc"&amp;"hitecture (108) sends data classification and processing as an event that is interested in, and sends it to the second Ann architecture (110) and video editing software (100) in the format of the indicator. Metadata is a combination of any format, as well"&amp;" as identifiers, identification codes or references. It points to different databases, sets, documents, tables, or analogs by expressing development software (106). Language structure, from words to phrases, words vectors, labels, synthetic phrases and de"&amp;"rived words.")</f>
        <v>A method for transmission and reposting based on drones to automatically generate sports events, including the use of drones (120) data records or reposting data captured by drone computer vision system to artificial neural networks. The network (ANN) architecture (108) sends data classification and processing as an event that is interested in, and sends it to the second Ann architecture (110) and video editing software (100) in the format of the indicator. Metadata is a combination of any format, as well as identifiers, identification codes or references. It points to different databases, sets, documents, tables, or analogs by expressing development software (106). Language structure, from words to phrases, words vectors, labels, synthetic phrases and derived words.</v>
      </c>
      <c r="D1445" s="6" t="s">
        <v>4187</v>
      </c>
      <c r="E1445" s="4" t="str">
        <f ca="1">IFERROR(__xludf.DUMMYFUNCTION("GOOGLETRANSLATE(D1445,""auto"",""en"")"),"Auto -generating video video automatically generated by drone recording image transmission and re -transmission")</f>
        <v>Auto -generating video video automatically generated by drone recording image transmission and re -transmission</v>
      </c>
    </row>
    <row r="1446" spans="1:5" ht="15" x14ac:dyDescent="0.25">
      <c r="A1446" s="5" t="s">
        <v>4188</v>
      </c>
      <c r="B1446" s="6" t="s">
        <v>4189</v>
      </c>
      <c r="C1446" s="3" t="str">
        <f ca="1">IFERROR(__xludf.DUMMYFUNCTION("GOOGLETRANSLATE(B1446,""auto"",""en"")"),"[0001] The present invention involves a smart mirror. More specifically, it is a smart health mirror. It is a fitness mirror combined with artificial intelligence. It is equipped with a camera on the mirror. Exercise in the right posture.")</f>
        <v>[0001] The present invention involves a smart mirror. More specifically, it is a smart health mirror. It is a fitness mirror combined with artificial intelligence. It is equipped with a camera on the mirror. Exercise in the right posture.</v>
      </c>
      <c r="D1446" s="6" t="s">
        <v>4190</v>
      </c>
      <c r="E1446" s="4" t="str">
        <f ca="1">IFERROR(__xludf.DUMMYFUNCTION("GOOGLETRANSLATE(D1446,""auto"",""en"")"),"Smart health mirror")</f>
        <v>Smart health mirror</v>
      </c>
    </row>
    <row r="1447" spans="1:5" ht="15" x14ac:dyDescent="0.25">
      <c r="A1447" s="5" t="s">
        <v>4191</v>
      </c>
      <c r="B1447" s="6" t="s">
        <v>4192</v>
      </c>
      <c r="C1447" s="3" t="str">
        <f ca="1">IFERROR(__xludf.DUMMYFUNCTION("GOOGLETRANSLATE(B1447,""auto"",""en"")"),"This utility model discloses the IoT wireless transmission of anchor stress sensor for the IoT under the coal mine, including the installation substrate, which is symmetrically opened between the front and rear walls of the center of the installation subs"&amp;"trate. Bolt, the two -sided bolt front wall fixed connection with a stress sensor body is conducive to the installation and disassembly of the stress sensor body. This utility model adopts a good installation mechanism design. When the actual overall and "&amp;"the sensor ontology is installed and disassembled, its convenience and convenience is good, the overall operation convenience is improved, and the overall installation performance is good. It is convenient for layout and easy -to -loss sensing.")</f>
        <v>This utility model discloses the IoT wireless transmission of anchor stress sensor for the IoT under the coal mine, including the installation substrate, which is symmetrically opened between the front and rear walls of the center of the installation substrate. Bolt, the two -sided bolt front wall fixed connection with a stress sensor body is conducive to the installation and disassembly of the stress sensor body. This utility model adopts a good installation mechanism design. When the actual overall and the sensor ontology is installed and disassembled, its convenience and convenience is good, the overall operation convenience is improved, and the overall installation performance is good. It is convenient for layout and easy -to -loss sensing.</v>
      </c>
      <c r="D1447" s="6" t="s">
        <v>4193</v>
      </c>
      <c r="E1447" s="4" t="str">
        <f ca="1">IFERROR(__xludf.DUMMYFUNCTION("GOOGLETRANSLATE(D1447,""auto"",""en"")"),"IoT wireless transmission anchor stress sensor for the IoT under the coal mines")</f>
        <v>IoT wireless transmission anchor stress sensor for the IoT under the coal mines</v>
      </c>
    </row>
    <row r="1448" spans="1:5" ht="15" x14ac:dyDescent="0.25">
      <c r="A1448" s="5" t="s">
        <v>4194</v>
      </c>
      <c r="B1448" s="6" t="s">
        <v>4195</v>
      </c>
      <c r="C1448" s="3" t="str">
        <f ca="1">IFERROR(__xludf.DUMMYFUNCTION("GOOGLETRANSLATE(B1448,""auto"",""en"")"),"The present invention provides a sports effect evaluation method and sports effect evaluation system. It is mainly used in the motion management unit evaluating the movement effect of users engaged in sports. The above evaluation method first obtains the "&amp;"operation information of the exercise equipment after being operated. The operation information corresponds to the user corresponding to the user. User information, then accumulate a large amount of operation information, establish an efficacy assessment "&amp;"model by artificial intelligence calculation, and then obtain the user's sports recommendation information based on the efficacy evaluation model comparison. Sports recommendation information that truly effectively improves the effect of exercise. Users w"&amp;"ith different physical states can have exclusive and effective exercise evaluation results and countermeasures to improve the efficiency, effect and accuracy of sports and fitness.")</f>
        <v>The present invention provides a sports effect evaluation method and sports effect evaluation system. It is mainly used in the motion management unit evaluating the movement effect of users engaged in sports. The above evaluation method first obtains the operation information of the exercise equipment after being operated. The operation information corresponds to the user corresponding to the user. User information, then accumulate a large amount of operation information, establish an efficacy assessment model by artificial intelligence calculation, and then obtain the user's sports recommendation information based on the efficacy evaluation model comparison. Sports recommendation information that truly effectively improves the effect of exercise. Users with different physical states can have exclusive and effective exercise evaluation results and countermeasures to improve the efficiency, effect and accuracy of sports and fitness.</v>
      </c>
      <c r="D1448" s="6" t="s">
        <v>4196</v>
      </c>
      <c r="E1448" s="4" t="str">
        <f ca="1">IFERROR(__xludf.DUMMYFUNCTION("GOOGLETRANSLATE(D1448,""auto"",""en"")"),"Sport effect evaluation method and sports effect assessment system")</f>
        <v>Sport effect evaluation method and sports effect assessment system</v>
      </c>
    </row>
    <row r="1449" spans="1:5" ht="15" x14ac:dyDescent="0.25">
      <c r="A1449" s="5" t="s">
        <v>4197</v>
      </c>
      <c r="B1449" s="6" t="s">
        <v>4198</v>
      </c>
      <c r="C1449" s="3" t="str">
        <f ca="1">IFERROR(__xludf.DUMMYFUNCTION("GOOGLETRANSLATE(B1449,""auto"",""en"")"),"This publicly provides methods, devices, equipment, media and products for detecting the skeleton, involving the field of artificial intelligence technology, especially in the field of computer vision and deep learning technology, which can be applied to "&amp;"sports training and other scenarios. The specific implementation scheme is: obtain the target image; determine the location information corresponding to the key point of the benchmark skeleton in the target image; based on the location information corresp"&amp;"onding to the key point of the benchmark skeleton, determine the position information corresponding to the key points of each skeleton in the target image; based on the various skeletons The position information corresponding to the key point and the defa"&amp;"ult skeleton key point connection information to generate the target skeleton corresponding to the target image. This implementation method can improve the accuracy of skeleton detection.")</f>
        <v>This publicly provides methods, devices, equipment, media and products for detecting the skeleton, involving the field of artificial intelligence technology, especially in the field of computer vision and deep learning technology, which can be applied to sports training and other scenarios. The specific implementation scheme is: obtain the target image; determine the location information corresponding to the key point of the benchmark skeleton in the target image; based on the location information corresponding to the key point of the benchmark skeleton, determine the position information corresponding to the key points of each skeleton in the target image; based on the various skeletons The position information corresponding to the key point and the default skeleton key point connection information to generate the target skeleton corresponding to the target image. This implementation method can improve the accuracy of skeleton detection.</v>
      </c>
      <c r="D1449" s="6" t="s">
        <v>4199</v>
      </c>
      <c r="E1449" s="4" t="str">
        <f ca="1">IFERROR(__xludf.DUMMYFUNCTION("GOOGLETRANSLATE(D1449,""auto"",""en"")"),"Methods, devices, equipment, media and products for skeleton")</f>
        <v>Methods, devices, equipment, media and products for skeleton</v>
      </c>
    </row>
    <row r="1450" spans="1:5" ht="15" x14ac:dyDescent="0.25">
      <c r="A1450" s="5" t="s">
        <v>4200</v>
      </c>
      <c r="B1450" s="6" t="s">
        <v>4201</v>
      </c>
      <c r="C1450" s="3" t="str">
        <f ca="1">IFERROR(__xludf.DUMMYFUNCTION("GOOGLETRANSLATE(B1450,""auto"",""en"")"),"A method is provided, including: the gameplay data of the first session from video games, the first session defines interactive gameplay for users; use gameplay data training machine learning model, where the training makes machine learning model imitates"&amp;" imitations Users' interactive gameplay; after training, determine the classification of machine learning models by exposing the machine learning model to one or more scenes of video games, and evaluate the action of the machine learning model to respond "&amp;"to one or more scenes; and and more; and The classification of machine learning models provides users with coach recommendations.")</f>
        <v>A method is provided, including: the gameplay data of the first session from video games, the first session defines interactive gameplay for users; use gameplay data training machine learning model, where the training makes machine learning model imitates imitations Users' interactive gameplay; after training, determine the classification of machine learning models by exposing the machine learning model to one or more scenes of video games, and evaluate the action of the machine learning model to respond to one or more scenes; and and more; and The classification of machine learning models provides users with coach recommendations.</v>
      </c>
      <c r="D1450" s="6" t="s">
        <v>4202</v>
      </c>
      <c r="E1450" s="4" t="str">
        <f ca="1">IFERROR(__xludf.DUMMYFUNCTION("GOOGLETRANSLATE(D1450,""auto"",""en"")"),"AI modeling for video game guidance and pairing")</f>
        <v>AI modeling for video game guidance and pairing</v>
      </c>
    </row>
    <row r="1451" spans="1:5" ht="15" x14ac:dyDescent="0.25">
      <c r="A1451" s="5" t="s">
        <v>4203</v>
      </c>
      <c r="B1451" s="6" t="s">
        <v>4204</v>
      </c>
      <c r="C1451" s="3" t="str">
        <f ca="1">IFERROR(__xludf.DUMMYFUNCTION("GOOGLETRANSLATE(B1451,""auto"",""en"")"),"This publicly disclosed a morning run data management method and device. First of all, in response to the request to receive the morning running data to establish a target morning running data. Based on the preset attribute information, at least one morni"&amp;"ng running rules are configured on the page, and each target personnel are received in real time in real time. At the preset location point, a set of morning run data detected by the terminal equipment; finally based on the morning running data, generate "&amp;"the first target morning run data of the target personnel, and based on the target of the target personnel, Morning running data of the second target unit. Through online management classes and students' data, as well as real -time acquisition of each stu"&amp;"dent's running data based on the Internet of Things technology, real -time management of running data is realized, and the management efficiency of data is improved.")</f>
        <v>This publicly disclosed a morning run data management method and device. First of all, in response to the request to receive the morning running data to establish a target morning running data. Based on the preset attribute information, at least one morning running rules are configured on the page, and each target personnel are received in real time in real time. At the preset location point, a set of morning run data detected by the terminal equipment; finally based on the morning running data, generate the first target morning run data of the target personnel, and based on the target of the target personnel, Morning running data of the second target unit. Through online management classes and students' data, as well as real -time acquisition of each student's running data based on the Internet of Things technology, real -time management of running data is realized, and the management efficiency of data is improved.</v>
      </c>
      <c r="D1451" s="6" t="s">
        <v>4205</v>
      </c>
      <c r="E1451" s="4" t="str">
        <f ca="1">IFERROR(__xludf.DUMMYFUNCTION("GOOGLETRANSLATE(D1451,""auto"",""en"")"),"Morning run data management method and device")</f>
        <v>Morning run data management method and device</v>
      </c>
    </row>
    <row r="1452" spans="1:5" ht="15" x14ac:dyDescent="0.25">
      <c r="A1452" s="5" t="s">
        <v>4206</v>
      </c>
      <c r="B1452" s="6" t="s">
        <v>4207</v>
      </c>
      <c r="C1452" s="3" t="str">
        <f ca="1">IFERROR(__xludf.DUMMYFUNCTION("GOOGLETRANSLATE(B1452,""auto"",""en"")"),"Traditionally, learning voice synthesis and voice recognition have been studied as two independent tasks. This separation hinders the development of comprehensive comprehensive and identification, and some of the comprehensive and some learning recognitio"&amp;"n must help each other in the entire lifelong learning process. The present invention is a paradigm change -we regard the two aspects of synthesis and recognition as the two aspects of life -long learning robots. In addition, compared with the existing id"&amp;"entification or synthetic system, babies do not need mothers to directly supervise their channels in the process of learning. We believe that the non -symbolic status/movement generated at the fine -grained time level can help learners get the necessary t"&amp;"ime context. Here, we have solved a new and challenging problem -how to enable the autonomous learning system to develop an artificial motor to dynamically generate a dynamic movement (eg, frame -by -frame) action without manual handmade handmade symbols "&amp;"state. The artificial motor here corresponds to the combination of a variety of robotic effects, including but not limited to speaking, singing, dancing, cycling, swimming and driving cars. Self -generated state/movements are muscle -like, high -dimension"&amp;"al, dense time and global smooth (MHTG), so these states/actions directly participate in concurrent synthesis and recognition of each time frame. Human teachers do not need to supervise the ends of the movement of learners. CANDID COVARIANCE-FREE Incremen"&amp;"tal (CCI) main component analysis (PCA) is used to develop this artificial speaking motor, which is PCA feature drive motor. Since each life must develop normally, each deverteropmental network-2 (DN-2) will reach the same network (maximum, ml), regardles"&amp;"s of the weight of the random initialization, ML is not only suitable for function approxigue device device It is also suitable for the emergence of the Turing machine. The sound of machine synthesis was evaluated by neural networks and humans through ide"&amp;"ntification experiments. Our experimental results show the learning synthesis and learning recognition through synthesis. The key step of the present invention corresponds to our goals, that is, a huge gap between the reduction directly from the physical "&amp;"world to achieve completely autonomous machine learning.")</f>
        <v>Traditionally, learning voice synthesis and voice recognition have been studied as two independent tasks. This separation hinders the development of comprehensive comprehensive and identification, and some of the comprehensive and some learning recognition must help each other in the entire lifelong learning process. The present invention is a paradigm change -we regard the two aspects of synthesis and recognition as the two aspects of life -long learning robots. In addition, compared with the existing identification or synthetic system, babies do not need mothers to directly supervise their channels in the process of learning. We believe that the non -symbolic status/movement generated at the fine -grained time level can help learners get the necessary time context. Here, we have solved a new and challenging problem -how to enable the autonomous learning system to develop an artificial motor to dynamically generate a dynamic movement (eg, frame -by -frame) action without manual handmade handmade symbols state. The artificial motor here corresponds to the combination of a variety of robotic effects, including but not limited to speaking, singing, dancing, cycling, swimming and driving cars. Self -generated state/movements are muscle -like, high -dimensional, dense time and global smooth (MHTG), so these states/actions directly participate in concurrent synthesis and recognition of each time frame. Human teachers do not need to supervise the ends of the movement of learners. CANDID COVARIANCE-FREE Incremental (CCI) main component analysis (PCA) is used to develop this artificial speaking motor, which is PCA feature drive motor. Since each life must develop normally, each deverteropmental network-2 (DN-2) will reach the same network (maximum, ml), regardless of the weight of the random initialization, ML is not only suitable for function approxigue device device It is also suitable for the emergence of the Turing machine. The sound of machine synthesis was evaluated by neural networks and humans through identification experiments. Our experimental results show the learning synthesis and learning recognition through synthesis. The key step of the present invention corresponds to our goals, that is, a huge gap between the reduction directly from the physical world to achieve completely autonomous machine learning.</v>
      </c>
      <c r="D1452" s="6" t="s">
        <v>4208</v>
      </c>
      <c r="E1452" s="4" t="str">
        <f ca="1">IFERROR(__xludf.DUMMYFUNCTION("GOOGLETRANSLATE(D1452,""auto"",""en"")"),"Learn to identify and synthesize robots while developing motors")</f>
        <v>Learn to identify and synthesize robots while developing motors</v>
      </c>
    </row>
    <row r="1453" spans="1:5" ht="15" x14ac:dyDescent="0.25">
      <c r="A1453" s="5" t="s">
        <v>4209</v>
      </c>
      <c r="B1453" s="6" t="s">
        <v>4210</v>
      </c>
      <c r="C1453" s="3" t="str">
        <f ca="1">IFERROR(__xludf.DUMMYFUNCTION("GOOGLETRANSLATE(B1453,""auto"",""en"")"),"A swimming pool monitoring system, using multiple sensor systems to detect the existence of objects within the limited range of the swimming pool before the object reaches the edge of the swimming pool. Objects can be humans or animals. Sensor systems may"&amp;" include ranging sensors, audio sensors, olfactory sensors and video imaging sensors. The sensor is monitored by a computer system, and the system stores data authorized by objects authorized around the pool. The system compares the detected objects with "&amp;"the stored data, providing alarm or alarm when detecting unauthorized or unknown objects within the scope of monitoring. The system can determine the distance between the object and the edge of the pool, and provide adjustable alerts when the object is cl"&amp;"ose to the edge of the swimming pool. The system uses facial recognition and voice recognition to detect the authorized objects and distinguishes unauthorized and unknown objects to establish alarm or alarm level conveyed by speakers, SMS or emails. The s"&amp;"ystem can accept update data from any sensor to identify data from additional authorization or unauthorized objects to the system database.")</f>
        <v>A swimming pool monitoring system, using multiple sensor systems to detect the existence of objects within the limited range of the swimming pool before the object reaches the edge of the swimming pool. Objects can be humans or animals. Sensor systems may include ranging sensors, audio sensors, olfactory sensors and video imaging sensors. The sensor is monitored by a computer system, and the system stores data authorized by objects authorized around the pool. The system compares the detected objects with the stored data, providing alarm or alarm when detecting unauthorized or unknown objects within the scope of monitoring. The system can determine the distance between the object and the edge of the pool, and provide adjustable alerts when the object is close to the edge of the swimming pool. The system uses facial recognition and voice recognition to detect the authorized objects and distinguishes unauthorized and unknown objects to establish alarm or alarm level conveyed by speakers, SMS or emails. The system can accept update data from any sensor to identify data from additional authorization or unauthorized objects to the system database.</v>
      </c>
      <c r="D1453" s="6" t="s">
        <v>4211</v>
      </c>
      <c r="E1453" s="4" t="str">
        <f ca="1">IFERROR(__xludf.DUMMYFUNCTION("GOOGLETRANSLATE(D1453,""auto"",""en"")"),"Swimming pool intelligent monitoring system")</f>
        <v>Swimming pool intelligent monitoring system</v>
      </c>
    </row>
    <row r="1454" spans="1:5" ht="15" x14ac:dyDescent="0.25">
      <c r="A1454" s="5" t="s">
        <v>4212</v>
      </c>
      <c r="B1454" s="6" t="s">
        <v>4213</v>
      </c>
      <c r="C1454" s="3" t="str">
        <f ca="1">IFERROR(__xludf.DUMMYFUNCTION("GOOGLETRANSLATE(B1454,""auto"",""en"")"),"In order to monitor the state of patients, the concepts of Internet of Things and machine learning are widely used in medical diagnosis and treatment. The Internet of Things has been used to create a system. By using the function of the wearable sensor sy"&amp;"stem equipped with sensors, it reminds the patient's companions when abnormal conditions occur. Machine learning has been used to help the field of medical diagnosis, the method is to use trained models to detect any abnormalities in the patient's state. "&amp;"This framework aims to monitor the health of patients by using pulse blood oxygenometer and temperature sensor. The Internet of Things sensor is used to collect the required information, and the cloud Internet of Things is used to analyze, classify, and s"&amp;"hare it between users and medical care service providers. Medical information. Use the Z-WAVE device to store data in the cloud IoT, collect data from different sensors used to monitor patients, transmit them to the hospital, and use AI and ML-based techn"&amp;"ical analysis data to store them in the hospital database-based database of the hospital. FKNN -based classification methods based on continuous technology are used to classify users as categories of infection or undesirable infection. Wearables and we us"&amp;"e similar coefficients to distinguish according to the symptoms of patients, and use fuzzy K recently classified as categories of infection or undesirable infection. If any omissions happen immediately, patients can get customized attention through wearab"&amp;"le devices (such as fitness bracelets) and other wireless connection devices (such as blood pressure and heart rate monitoring cuffs, blood glucose meters, etc.). These small tools can be programmed to remind you to pay attention to calorie counting, exer"&amp;"cise, dating, blood pressure changes, and so on. The Internet of Things allows people to understand their own health in real time, thereby completely changing people's lives, especially the lives of elderly patients. This has a significant impact on singl"&amp;"e people and their families. If a person's daily activities are interrupted or changed, the alarm mechanism will provide information to family members, doctors, ambulances and related health providers.")</f>
        <v>In order to monitor the state of patients, the concepts of Internet of Things and machine learning are widely used in medical diagnosis and treatment. The Internet of Things has been used to create a system. By using the function of the wearable sensor system equipped with sensors, it reminds the patient's companions when abnormal conditions occur. Machine learning has been used to help the field of medical diagnosis, the method is to use trained models to detect any abnormalities in the patient's state. This framework aims to monitor the health of patients by using pulse blood oxygenometer and temperature sensor. The Internet of Things sensor is used to collect the required information, and the cloud Internet of Things is used to analyze, classify, and share it between users and medical care service providers. Medical information. Use the Z-WAVE device to store data in the cloud IoT, collect data from different sensors used to monitor patients, transmit them to the hospital, and use AI and ML-based technical analysis data to store them in the hospital database-based database of the hospital. FKNN -based classification methods based on continuous technology are used to classify users as categories of infection or undesirable infection. Wearables and we use similar coefficients to distinguish according to the symptoms of patients, and use fuzzy K recently classified as categories of infection or undesirable infection. If any omissions happen immediately, patients can get customized attention through wearable devices (such as fitness bracelets) and other wireless connection devices (such as blood pressure and heart rate monitoring cuffs, blood glucose meters, etc.). These small tools can be programmed to remind you to pay attention to calorie counting, exercise, dating, blood pressure changes, and so on. The Internet of Things allows people to understand their own health in real time, thereby completely changing people's lives, especially the lives of elderly patients. This has a significant impact on single people and their families. If a person's daily activities are interrupted or changed, the alarm mechanism will provide information to family members, doctors, ambulances and related health providers.</v>
      </c>
      <c r="D1454" s="6" t="s">
        <v>4214</v>
      </c>
      <c r="E1454" s="4" t="str">
        <f ca="1">IFERROR(__xludf.DUMMYFUNCTION("GOOGLETRANSLATE(D1454,""auto"",""en"")"),"The IoT -based remote intelligent healthcare system for testing and preventing patient health monitoring")</f>
        <v>The IoT -based remote intelligent healthcare system for testing and preventing patient health monitoring</v>
      </c>
    </row>
    <row r="1455" spans="1:5" ht="15" x14ac:dyDescent="0.25">
      <c r="A1455" s="5" t="s">
        <v>4215</v>
      </c>
      <c r="B1455" s="6" t="s">
        <v>4216</v>
      </c>
      <c r="C1455" s="3" t="str">
        <f ca="1">IFERROR(__xludf.DUMMYFUNCTION("GOOGLETRANSLATE(B1455,""auto"",""en"")"),"本发明涉及一种智能教练方法，包括：主动教练步骤和双向教练步骤；主动教练步骤为基于用户输入已知数据，在知识图谱中进行实体识别和关系识别后，采用启发教练技术对用户进行主动The coach -type inspiration, issuing multiple open questions, users answered based on open questions, and found ideas based on open questions to find the final answer; afte"&amp;"r entering the known data for the user in two -way coach steps, the user conducts coaching questions. The system finds the final answer and answers based on the knowledge map; or the coaching system conducts coaching questions based on the knowledge map, "&amp;"inspires users to think and answer questions, and find the final answer. The present invention also provides a smart coaching device, electronic device and storage medium. The present invention realizes a coaching question to assist users in the final cla"&amp;"rification and get the final answer.")</f>
        <v>本发明涉及一种智能教练方法，包括：主动教练步骤和双向教练步骤；主动教练步骤为基于用户输入已知数据，在知识图谱中进行实体识别和关系识别后，采用启发教练技术对用户进行主动The coach -type inspiration, issuing multiple open questions, users answered based on open questions, and found ideas based on open questions to find the final answer; after entering the known data for the user in two -way coach steps, the user conducts coaching questions. The system finds the final answer and answers based on the knowledge map; or the coaching system conducts coaching questions based on the knowledge map, inspires users to think and answer questions, and find the final answer. The present invention also provides a smart coaching device, electronic device and storage medium. The present invention realizes a coaching question to assist users in the final clarification and get the final answer.</v>
      </c>
      <c r="D1455" s="6" t="s">
        <v>4217</v>
      </c>
      <c r="E1455" s="4" t="str">
        <f ca="1">IFERROR(__xludf.DUMMYFUNCTION("GOOGLETRANSLATE(D1455,""auto"",""en"")"),"A intelligent coach method and device, electronic equipment and storage medium")</f>
        <v>A intelligent coach method and device, electronic equipment and storage medium</v>
      </c>
    </row>
    <row r="1456" spans="1:5" ht="15" x14ac:dyDescent="0.25">
      <c r="A1456" s="5" t="s">
        <v>4218</v>
      </c>
      <c r="B1456" s="6" t="s">
        <v>1826</v>
      </c>
      <c r="C1456" s="3" t="str">
        <f ca="1">IFERROR(__xludf.DUMMYFUNCTION("GOOGLETRANSLATE(B1456,""auto"",""en"")"),"An artificial intelligence adjustment odds based on baseball or cricket lineup. Specific examples include a hitter who may be pitching for the next player, and when a ball player approaches the third hitter he faces (he can be replaced by the minimum limi"&amp;"t).")</f>
        <v>An artificial intelligence adjustment odds based on baseball or cricket lineup. Specific examples include a hitter who may be pitching for the next player, and when a ball player approaches the third hitter he faces (he can be replaced by the minimum limit).</v>
      </c>
      <c r="D1456" s="6" t="s">
        <v>1827</v>
      </c>
      <c r="E1456" s="4" t="str">
        <f ca="1">IFERROR(__xludf.DUMMYFUNCTION("GOOGLETRANSLATE(D1456,""auto"",""en"")"),"Specker -specific odds manipulation")</f>
        <v>Specker -specific odds manipulation</v>
      </c>
    </row>
    <row r="1457" spans="1:5" ht="15" x14ac:dyDescent="0.25">
      <c r="A1457" s="5" t="s">
        <v>4219</v>
      </c>
      <c r="B1457" s="6" t="s">
        <v>4220</v>
      </c>
      <c r="C1457" s="3" t="str">
        <f ca="1">IFERROR(__xludf.DUMMYFUNCTION("GOOGLETRANSLATE(B1457,""auto"",""en"")"),"The present invention disclosed a prediction method based on a free throw -free throw of the human body gesture. First, enter the player's serve video, pre -process the video frame by frame, and then identify the human posture in the key fragment; use the"&amp;" moderate network to the video to the video to the video to the video. The characteristics of the human body line in China; through the calculation method of the attitude distance of the inter -frame, the player traces the player in the video. At the same"&amp;" time, the image is divided into the image through the ultra -pixel method. ; Further convert the extracted human posture coordinate position to the angle feature through the feature conversion method; finally use the support vector machine as an algorith"&amp;"m predicting the basketball penalty results to predict the player's serving.")</f>
        <v>The present invention disclosed a prediction method based on a free throw -free throw of the human body gesture. First, enter the player's serve video, pre -process the video frame by frame, and then identify the human posture in the key fragment; use the moderate network to the video to the video to the video to the video. The characteristics of the human body line in China; through the calculation method of the attitude distance of the inter -frame, the player traces the player in the video. At the same time, the image is divided into the image through the ultra -pixel method. ; Further convert the extracted human posture coordinate position to the angle feature through the feature conversion method; finally use the support vector machine as an algorithm predicting the basketball penalty results to predict the player's serving.</v>
      </c>
      <c r="D1457" s="6" t="s">
        <v>4221</v>
      </c>
      <c r="E1457" s="4" t="str">
        <f ca="1">IFERROR(__xludf.DUMMYFUNCTION("GOOGLETRANSLATE(D1457,""auto"",""en"")"),"A prediction method based on a free throws based on human posture")</f>
        <v>A prediction method based on a free throws based on human posture</v>
      </c>
    </row>
    <row r="1458" spans="1:5" ht="15" x14ac:dyDescent="0.25">
      <c r="A1458" s="5" t="s">
        <v>4222</v>
      </c>
      <c r="B1458" s="6" t="s">
        <v>4223</v>
      </c>
      <c r="C1458" s="3" t="str">
        <f ca="1">IFERROR(__xludf.DUMMYFUNCTION("GOOGLETRANSLATE(B1458,""auto"",""en"")"),"Our intelligent method and system that uses deep learning programming processing errors is a network repair application that can mechanically verify the fundamental interpretation of wireless operators' network difficulties, and generate network restorati"&amp;"on priority The answer to the fundamental reason for the client or network trouble. Initially, the device platform can receive the performance knowledge of network elements of user equipment and wireless operators from multiple data sources. Network repai"&amp;"r applications can use trained machine learning models to analyze performance knowledge to predict one or the root cause of the difficulty of the symptoms indicated by the touch support performance knowledge. These results are then compared with classic s"&amp;"upport vector machines and kernel statistical programs. The super reuse of these strategies is adjusted according to the verification set of coach knowledge before the test. In addition, the most convenient pre -processing, using native, vertical, horizon"&amp;"tal, and two -dimensional (global) Mahanalobis zoom, ripple transformation, and variable selection per filter.")</f>
        <v>Our intelligent method and system that uses deep learning programming processing errors is a network repair application that can mechanically verify the fundamental interpretation of wireless operators' network difficulties, and generate network restoration priority The answer to the fundamental reason for the client or network trouble. Initially, the device platform can receive the performance knowledge of network elements of user equipment and wireless operators from multiple data sources. Network repair applications can use trained machine learning models to analyze performance knowledge to predict one or the root cause of the difficulty of the symptoms indicated by the touch support performance knowledge. These results are then compared with classic support vector machines and kernel statistical programs. The super reuse of these strategies is adjusted according to the verification set of coach knowledge before the test. In addition, the most convenient pre -processing, using native, vertical, horizontal, and two -dimensional (global) Mahanalobis zoom, ripple transformation, and variable selection per filter.</v>
      </c>
      <c r="D1458" s="6" t="s">
        <v>4224</v>
      </c>
      <c r="E1458" s="4" t="str">
        <f ca="1">IFERROR(__xludf.DUMMYFUNCTION("GOOGLETRANSLATE(D1458,""auto"",""en"")"),"Use deep learning programming to process the intelligent method and system of errors")</f>
        <v>Use deep learning programming to process the intelligent method and system of errors</v>
      </c>
    </row>
    <row r="1459" spans="1:5" ht="15" x14ac:dyDescent="0.25">
      <c r="A1459" s="5" t="s">
        <v>4225</v>
      </c>
      <c r="B1459" s="6" t="s">
        <v>4226</v>
      </c>
      <c r="C1459" s="3" t="str">
        <f ca="1">IFERROR(__xludf.DUMMYFUNCTION("GOOGLETRANSLATE(B1459,""auto"",""en"")"),"A disinfection shoe cabinet control system based on the Internet of Things, including cabinets, storage components, control components, frame components, setting components, control components, and frame components in the cabinet; The drawer drive, the dr"&amp;"awer is connected to the cabinet through the sliding structure set at both ends, and the drawer drive is fixed with the drawer; the control component includes the Internet of Things processor; The network processor connects the external network, and the e"&amp;"lectronic device can control the operation of the cabinet through the network. The Internet of Things processor can control the cabinet, and the IoT processor is connected to the external network. Electronic equipment controls the cabinet through the netw"&amp;"ork. Users can control the operation of the cabinet on the electronic equipment. Under the instructions, the specified operation is performed. Users do not need to do practical operation in front of the cabinet to improve the use of disinfection shoe cabi"&amp;"nets.")</f>
        <v>A disinfection shoe cabinet control system based on the Internet of Things, including cabinets, storage components, control components, frame components, setting components, control components, and frame components in the cabinet; The drawer drive, the drawer is connected to the cabinet through the sliding structure set at both ends, and the drawer drive is fixed with the drawer; the control component includes the Internet of Things processor; The network processor connects the external network, and the electronic device can control the operation of the cabinet through the network. The Internet of Things processor can control the cabinet, and the IoT processor is connected to the external network. Electronic equipment controls the cabinet through the network. Users can control the operation of the cabinet on the electronic equipment. Under the instructions, the specified operation is performed. Users do not need to do practical operation in front of the cabinet to improve the use of disinfection shoe cabinets.</v>
      </c>
      <c r="D1459" s="6" t="s">
        <v>4227</v>
      </c>
      <c r="E1459" s="4" t="str">
        <f ca="1">IFERROR(__xludf.DUMMYFUNCTION("GOOGLETRANSLATE(D1459,""auto"",""en"")"),"A disinfection shoe cabinet control system based on the Internet of Things")</f>
        <v>A disinfection shoe cabinet control system based on the Internet of Things</v>
      </c>
    </row>
    <row r="1460" spans="1:5" ht="15" x14ac:dyDescent="0.25">
      <c r="A1460" s="5" t="s">
        <v>4228</v>
      </c>
      <c r="B1460" s="6" t="s">
        <v>4229</v>
      </c>
      <c r="C1460" s="3" t="str">
        <f ca="1">IFERROR(__xludf.DUMMYFUNCTION("GOOGLETRANSLATE(B1460,""auto"",""en"")"),"It is obvious when meeting the ability of individuals in psychological support and intervention. The huge shame brought by psychological problems/mental illnesses makes it more difficult for people all over the world to contact psychologists/psychologists"&amp;". Except for stigma, people do not know psychological signs/symptoms and emergency intervention measures related to mental illness. Since then, people have discovered an artificial intelligence system to interact with people on their psychological symptom"&amp;"s. This is an AI -based built -in system that allows users to express their needs on a single platform. The application performs the function of diagnosis to the treatment of users. Of course, many unproperly noticed mental illness cases have not been rep"&amp;"orted. The shame related to mental illness makes it more difficult to get closer to psychiatrists/therapists. This application will help people receive treatment without facing any social stigma. This will help develop a very transparent database. Governm"&amp;"ent organizations can access the database to develop statistics on the popularity and incidence of all psychological diseases. Patients who have been treated can use the application for further intervention. Unlike other applications available in the mark"&amp;"et, this application is completely based on AL. How long their symptoms lasted, and further helped them track their continuous psychological health. The system will update and update/improve the system based on the latest research and update/improvement s"&amp;"ystem. Diagnosis will be performed according to the symptoms of the patient. The record response and the user is advised to further intervene. The record of response will further help improve the quality of diagnosis. The sensor and camera of a laptop/sma"&amp;"rtphone will be used to perceive the emotional and vital signs of patients. The application will also be connected to a smart watch to configure the user's life signs. The automatic suggestion of the user status based on the current record will be popped "&amp;"up. For example, breathing exercises and drug pop -up windows. Treatment time arrangement. Patients who are ongoing can enter their detailed information and continue to treat online. This will in turn help new and old patients to use the application. A va"&amp;"riety of health applications have become part of people's daily life. Applications that we have talked with doctors, make an appointment, and take care of our health have always been the focus. Applications to take care of our menstrual health, sports act"&amp;"ivities, and diet plans, and less explore the fields of mental illness/problems. Observe a blank space in the mental health method. During the popularity period, the delay was realized in a larger wavelength. When people are locked at home without interac"&amp;"ting with the outside world. When the population is involuntarily trapped in trouble. It takes a few months to return to normal. Some people may have a good environment at home, and some people may not. Some people may have mental illness. Some people may"&amp;" be addicted to alcohol/medicine. Throughout the history of great epidemic, we found that at the time and now with COVID-19, mental illness increased. 1 According to reports, cases of mental illness have increased. People who have already suffered from th"&amp;"ese diseases have no space to approach and contact psychiatrists. Due to the blockade, people who never have any symptoms also have anxiety and panic disorder. In addition, patients will obtain suggestions on virtual treatment and treatment sessions, and "&amp;"they can operate from the same interface. Earlier treatment is a separate part of the application, either designated for anxiety and depression, or just a application that provides treatment and consultation. The invention will allow users to complete the"&amp;" entire process at one time. AL -based therapies will be provided virtually again. The application will record the time and dosage of the drug and therapy. The application will then send information about their drugs and treatment to users. Data will be c"&amp;"ollected from patients for undergoing treatment and treatment or any other possible intervention measures that have undergone or adopted or applied for current psychological conditions. AL will accept feedback and suggest to improve intervention measures."&amp;" Then convert the complete information to a database and then use it for statistics. This information can be processed into valuable data, and organizations and governments can use it for further intervention purposes. The universality of mental health pr"&amp;"oblems at all levels in the community is easy to identify. Because mental illness is related to social taboos, people who may not have been in statistical data have now become part of the complete analysis of data. The application will help extract the tr"&amp;"ue statistics of the population. Generally, we only consider what we have considered, and we cannot go deep into the real data. People can be easily tracked and intervened in their conditions. Early intervention is easy to achieve for people who suffer pe"&amp;"ople or people who do not understand the situation. This application will provide people with health education tips and ideas by providing people with new and latest treatment methods, thereby increasing people's consciousness. 2 The diagnosis and treatme"&amp;"nt system map based on A:/ VirtualTherapies Pharmacology Therapy diagnostic camera fingerprint sensor database complete psychological health users can use applications in smartphones, tablets, and PC alarms. The architecture of the proposed invention 1.")</f>
        <v>It is obvious when meeting the ability of individuals in psychological support and intervention. The huge shame brought by psychological problems/mental illnesses makes it more difficult for people all over the world to contact psychologists/psychologists. Except for stigma, people do not know psychological signs/symptoms and emergency intervention measures related to mental illness. Since then, people have discovered an artificial intelligence system to interact with people on their psychological symptoms. This is an AI -based built -in system that allows users to express their needs on a single platform. The application performs the function of diagnosis to the treatment of users. Of course, many unproperly noticed mental illness cases have not been reported. The shame related to mental illness makes it more difficult to get closer to psychiatrists/therapists. This application will help people receive treatment without facing any social stigma. This will help develop a very transparent database. Government organizations can access the database to develop statistics on the popularity and incidence of all psychological diseases. Patients who have been treated can use the application for further intervention. Unlike other applications available in the market, this application is completely based on AL. How long their symptoms lasted, and further helped them track their continuous psychological health. The system will update and update/improve the system based on the latest research and update/improvement system. Diagnosis will be performed according to the symptoms of the patient. The record response and the user is advised to further intervene. The record of response will further help improve the quality of diagnosis. The sensor and camera of a laptop/smartphone will be used to perceive the emotional and vital signs of patients. The application will also be connected to a smart watch to configure the user's life signs. The automatic suggestion of the user status based on the current record will be popped up. For example, breathing exercises and drug pop -up windows. Treatment time arrangement. Patients who are ongoing can enter their detailed information and continue to treat online. This will in turn help new and old patients to use the application. A variety of health applications have become part of people's daily life. Applications that we have talked with doctors, make an appointment, and take care of our health have always been the focus. Applications to take care of our menstrual health, sports activities, and diet plans, and less explore the fields of mental illness/problems. Observe a blank space in the mental health method. During the popularity period, the delay was realized in a larger wavelength. When people are locked at home without interacting with the outside world. When the population is involuntarily trapped in trouble. It takes a few months to return to normal. Some people may have a good environment at home, and some people may not. Some people may have mental illness. Some people may be addicted to alcohol/medicine. Throughout the history of great epidemic, we found that at the time and now with COVID-19, mental illness increased. 1 According to reports, cases of mental illness have increased. People who have already suffered from these diseases have no space to approach and contact psychiatrists. Due to the blockade, people who never have any symptoms also have anxiety and panic disorder. In addition, patients will obtain suggestions on virtual treatment and treatment sessions, and they can operate from the same interface. Earlier treatment is a separate part of the application, either designated for anxiety and depression, or just a application that provides treatment and consultation. The invention will allow users to complete the entire process at one time. AL -based therapies will be provided virtually again. The application will record the time and dosage of the drug and therapy. The application will then send information about their drugs and treatment to users. Data will be collected from patients for undergoing treatment and treatment or any other possible intervention measures that have undergone or adopted or applied for current psychological conditions. AL will accept feedback and suggest to improve intervention measures. Then convert the complete information to a database and then use it for statistics. This information can be processed into valuable data, and organizations and governments can use it for further intervention purposes. The universality of mental health problems at all levels in the community is easy to identify. Because mental illness is related to social taboos, people who may not have been in statistical data have now become part of the complete analysis of data. The application will help extract the true statistics of the population. Generally, we only consider what we have considered, and we cannot go deep into the real data. People can be easily tracked and intervened in their conditions. Early intervention is easy to achieve for people who suffer people or people who do not understand the situation. This application will provide people with health education tips and ideas by providing people with new and latest treatment methods, thereby increasing people's consciousness. 2 The diagnosis and treatment system map based on A:/ VirtualTherapies Pharmacology Therapy diagnostic camera fingerprint sensor database complete psychological health users can use applications in smartphones, tablets, and PC alarms. The architecture of the proposed invention 1.</v>
      </c>
      <c r="D1460" s="6" t="s">
        <v>4230</v>
      </c>
      <c r="E1460" s="4" t="str">
        <f ca="1">IFERROR(__xludf.DUMMYFUNCTION("GOOGLETRANSLATE(D1460,""auto"",""en"")"),"Psychological disease diagnosis and treatment system based on artificial intelligence")</f>
        <v>Psychological disease diagnosis and treatment system based on artificial intelligence</v>
      </c>
    </row>
    <row r="1461" spans="1:5" ht="15" x14ac:dyDescent="0.25">
      <c r="A1461" s="5" t="s">
        <v>4231</v>
      </c>
      <c r="B1461" s="6" t="s">
        <v>4232</v>
      </c>
      <c r="C1461" s="3" t="str">
        <f ca="1">IFERROR(__xludf.DUMMYFUNCTION("GOOGLETRANSLATE(B1461,""auto"",""en"")"),"The present invention disclosed a smart sports and fitness museum control system that uses IoT technology, which involves the field of IoT technology, including network login modules to confirm the data of trainers and provide nearby fitness venue positio"&amp;"ns and equipment names; data storage Module is used to store the training data of trainers; data analysis modules. The invention can confirm the data of the trainer through the setting of the network login module and provide the location and equipment nam"&amp;"e of the nearby fitness venue on the Internet. The data storage module can store the trainer's data, and analyze the previous data through the data analysis module to analyze the previous data At the same time, provide corresponding courses and correspond"&amp;"ing guidance methods. The assistance module is used to rescue the trainer who occurs. The data transmission module can record the current training data and convey the current data to the data storage module for storage. By wearing a bracelet settings, tra"&amp;"ining data can be shared.")</f>
        <v>The present invention disclosed a smart sports and fitness museum control system that uses IoT technology, which involves the field of IoT technology, including network login modules to confirm the data of trainers and provide nearby fitness venue positions and equipment names; data storage Module is used to store the training data of trainers; data analysis modules. The invention can confirm the data of the trainer through the setting of the network login module and provide the location and equipment name of the nearby fitness venue on the Internet. The data storage module can store the trainer's data, and analyze the previous data through the data analysis module to analyze the previous data At the same time, provide corresponding courses and corresponding guidance methods. The assistance module is used to rescue the trainer who occurs. The data transmission module can record the current training data and convey the current data to the data storage module for storage. By wearing a bracelet settings, training data can be shared.</v>
      </c>
      <c r="D1461" s="6" t="s">
        <v>4233</v>
      </c>
      <c r="E1461" s="4" t="str">
        <f ca="1">IFERROR(__xludf.DUMMYFUNCTION("GOOGLETRANSLATE(D1461,""auto"",""en"")"),"A smart sports and fitness gallery control system that uses IoT technology")</f>
        <v>A smart sports and fitness gallery control system that uses IoT technology</v>
      </c>
    </row>
    <row r="1462" spans="1:5" ht="15" x14ac:dyDescent="0.25">
      <c r="A1462" s="5" t="s">
        <v>4234</v>
      </c>
      <c r="B1462" s="6" t="s">
        <v>4235</v>
      </c>
      <c r="C1462" s="3" t="str">
        <f ca="1">IFERROR(__xludf.DUMMYFUNCTION("GOOGLETRANSLATE(B1462,""auto"",""en"")"),"This utility model belongs to the field of intelligent fitness bracelet technology. It is specifically a smart fitness bracelet based on IoT technology, including the bracelet body, control box and processor. The front surface of the control box is set wi"&amp;"th display screens and speakers, and the control button is set on one side of the control box. Instrumental electrical connection WIFI module, the WiFi module electrical output connecting the Internet of Things, the processor electrical connection physica"&amp;"l monitoring chip and RFID chip, the electrical connection of the RFID chip electrical connection RFID reader, the processor of the processor Enter the connection display and speakers. The structure is reasonable. In the process of use, the function is ri"&amp;"ch, practical, and more intelligent.")</f>
        <v>This utility model belongs to the field of intelligent fitness bracelet technology. It is specifically a smart fitness bracelet based on IoT technology, including the bracelet body, control box and processor. The front surface of the control box is set with display screens and speakers, and the control button is set on one side of the control box. Instrumental electrical connection WIFI module, the WiFi module electrical output connecting the Internet of Things, the processor electrical connection physical monitoring chip and RFID chip, the electrical connection of the RFID chip electrical connection RFID reader, the processor of the processor Enter the connection display and speakers. The structure is reasonable. In the process of use, the function is rich, practical, and more intelligent.</v>
      </c>
      <c r="D1462" s="6" t="s">
        <v>4236</v>
      </c>
      <c r="E1462" s="4" t="str">
        <f ca="1">IFERROR(__xludf.DUMMYFUNCTION("GOOGLETRANSLATE(D1462,""auto"",""en"")"),"A smart fitness bracelet based on IoT technology")</f>
        <v>A smart fitness bracelet based on IoT technology</v>
      </c>
    </row>
    <row r="1463" spans="1:5" ht="15" x14ac:dyDescent="0.25">
      <c r="A1463" s="5" t="s">
        <v>4237</v>
      </c>
      <c r="B1463" s="6" t="s">
        <v>4238</v>
      </c>
      <c r="C1463" s="3" t="str">
        <f ca="1">IFERROR(__xludf.DUMMYFUNCTION("GOOGLETRANSLATE(B1463,""auto"",""en"")"),"The present invention disclosed a model of energy consumption computing for human activity. The model is constructed by acceleration meter with the human ankle and hip. It also analyzes the predictive performance of the model of the model for low, medium "&amp;"and high. The experiment uses ENEX database as the benchmark database, and the energy consumption is estimated based on inertial data. It uses a three -axis acceleration meter and a SHIMMER sensor composed of a three -axis gyroscope for data collection. P"&amp;"lace the sensor on the hips and ankles of the subject during data collection. Ten subjects were tested on treadmills on three different speeds (3.2km/h, 4.8km/h, 6.4km/h), respectively. The experiments extracted the original signals on each sensor and pre"&amp;" -processed the original signal. Then perform feature extraction, cross -verification, and regression test. Eventually based on an artificial neural network, a model was established.")</f>
        <v>The present invention disclosed a model of energy consumption computing for human activity. The model is constructed by acceleration meter with the human ankle and hip. It also analyzes the predictive performance of the model of the model for low, medium and high. The experiment uses ENEX database as the benchmark database, and the energy consumption is estimated based on inertial data. It uses a three -axis acceleration meter and a SHIMMER sensor composed of a three -axis gyroscope for data collection. Place the sensor on the hips and ankles of the subject during data collection. Ten subjects were tested on treadmills on three different speeds (3.2km/h, 4.8km/h, 6.4km/h), respectively. The experiments extracted the original signals on each sensor and pre -processed the original signal. Then perform feature extraction, cross -verification, and regression test. Eventually based on an artificial neural network, a model was established.</v>
      </c>
      <c r="D1463" s="6" t="s">
        <v>4239</v>
      </c>
      <c r="E1463" s="4" t="str">
        <f ca="1">IFERROR(__xludf.DUMMYFUNCTION("GOOGLETRANSLATE(D1463,""auto"",""en"")"),"A daily walking and running body can be consumed by the daily walking of portable acceleration meter and gyroscope")</f>
        <v>A daily walking and running body can be consumed by the daily walking of portable acceleration meter and gyroscope</v>
      </c>
    </row>
    <row r="1464" spans="1:5" ht="15" x14ac:dyDescent="0.25">
      <c r="A1464" s="5" t="s">
        <v>4240</v>
      </c>
      <c r="B1464" s="6" t="s">
        <v>4241</v>
      </c>
      <c r="C1464" s="3" t="str">
        <f ca="1">IFERROR(__xludf.DUMMYFUNCTION("GOOGLETRANSLATE(B1464,""auto"",""en"")"),"The present invention provides a cloud computing monitoring device for fitness computing, involving cloud computing technology fields. The weight component is installed in the lower left corner of the inner left corner of the affiliated chassis. The setti"&amp;"ng module includes display screens, voice recognition modules and control chips, and display screens, and display screens , The voice recognition module and the control chip are embedded in the internal right top wall installed by the affiliated chassis. "&amp;"The output terminal of the voice recognition module is connected to the control chip input end, and the control chip output end is electrically connected to the display end of the display; the inner wall of the Longmen frame is There is a protective tube "&amp;"embedded at the center of the top, and the bottom end of the protective pipe is equipped with a rings, the bottom end of the ring is fixed and connected to the pull ring, and a signal transmission module is installed inside the ring. The embedded with a m"&amp;"onitoring button, and the monitoring button is connected to the electrical connection of the electrical transmission module through the cable, and the amount of exercise set by the user set by the user under the initial state according to the actual situa"&amp;"tion, which increases the degree of matching with users to exercise. Essence")</f>
        <v>The present invention provides a cloud computing monitoring device for fitness computing, involving cloud computing technology fields. The weight component is installed in the lower left corner of the inner left corner of the affiliated chassis. The setting module includes display screens, voice recognition modules and control chips, and display screens, and display screens , The voice recognition module and the control chip are embedded in the internal right top wall installed by the affiliated chassis. The output terminal of the voice recognition module is connected to the control chip input end, and the control chip output end is electrically connected to the display end of the display; the inner wall of the Longmen frame is There is a protective tube embedded at the center of the top, and the bottom end of the protective pipe is equipped with a rings, the bottom end of the ring is fixed and connected to the pull ring, and a signal transmission module is installed inside the ring. The embedded with a monitoring button, and the monitoring button is connected to the electrical connection of the electrical transmission module through the cable, and the amount of exercise set by the user set by the user under the initial state according to the actual situation, which increases the degree of matching with users to exercise. Essence</v>
      </c>
      <c r="D1464" s="6" t="s">
        <v>4242</v>
      </c>
      <c r="E1464" s="4" t="str">
        <f ca="1">IFERROR(__xludf.DUMMYFUNCTION("GOOGLETRANSLATE(D1464,""auto"",""en"")"),"A cloud computing monitoring device for fitness people in the disabled")</f>
        <v>A cloud computing monitoring device for fitness people in the disabled</v>
      </c>
    </row>
    <row r="1465" spans="1:5" ht="15" x14ac:dyDescent="0.25">
      <c r="A1465" s="5" t="s">
        <v>4243</v>
      </c>
      <c r="B1465" s="6" t="s">
        <v>4244</v>
      </c>
      <c r="C1465" s="3" t="str">
        <f ca="1">IFERROR(__xludf.DUMMYFUNCTION("GOOGLETRANSLATE(B1465,""auto"",""en"")"),"The present invention disclosed a sports and fitness exchange platform based on the Internet of Things, including an integrated platform that includes data enrollment modules to monitor personal signs of hand -held or wearable devices, exchange platforms,"&amp;" storage background, calorie intake and calorie intake and calorie. Consumption weighted modules, sports standard evaluation modules, expert online communication platform, the Internet of Things based on the Internet of Things sports and fitness communica"&amp;"tion platform establishes a communication area and display area through the communication platform. Filter the video before entering the library to avoid too much errors to interfere with fitness action. Monitor the standard actions of each fitness projec"&amp;"t through the filtering system of the video into the warehouse, and form a machine monitoring report online. Use video and machine monitoring reports to experts to experts Provide evaluation and guidance basis, and finally, you can also obtain sports proj"&amp;"ects and human signs data reports to consult and communicate with experts.")</f>
        <v>The present invention disclosed a sports and fitness exchange platform based on the Internet of Things, including an integrated platform that includes data enrollment modules to monitor personal signs of hand -held or wearable devices, exchange platforms, storage background, calorie intake and calorie intake and calorie. Consumption weighted modules, sports standard evaluation modules, expert online communication platform, the Internet of Things based on the Internet of Things sports and fitness communication platform establishes a communication area and display area through the communication platform. Filter the video before entering the library to avoid too much errors to interfere with fitness action. Monitor the standard actions of each fitness project through the filtering system of the video into the warehouse, and form a machine monitoring report online. Use video and machine monitoring reports to experts to experts Provide evaluation and guidance basis, and finally, you can also obtain sports projects and human signs data reports to consult and communicate with experts.</v>
      </c>
      <c r="D1465" s="6" t="s">
        <v>4245</v>
      </c>
      <c r="E1465" s="4" t="str">
        <f ca="1">IFERROR(__xludf.DUMMYFUNCTION("GOOGLETRANSLATE(D1465,""auto"",""en"")"),"A sports fitness exchange platform based on the Internet of Things")</f>
        <v>A sports fitness exchange platform based on the Internet of Things</v>
      </c>
    </row>
    <row r="1466" spans="1:5" ht="15" x14ac:dyDescent="0.25">
      <c r="A1466" s="5" t="s">
        <v>4246</v>
      </c>
      <c r="B1466" s="6" t="s">
        <v>4247</v>
      </c>
      <c r="C1466" s="3" t="str">
        <f ca="1">IFERROR(__xludf.DUMMYFUNCTION("GOOGLETRANSLATE(B1466,""auto"",""en"")"),"A system and method to predict the status of the competition through a machine learning platform. This system and methods include multimedia contents from the real -time data feed by the machine learning platform. The current matching status data correspo"&amp;"nding to the multimedia content by the machine learning platform, and the abnormal multimedia content and current matching status of the receiving by the machine learning platform predict The analysis of data is in multimedia content. The system and metho"&amp;"d may include the confidence scores that generate the possibility of abnormalities in multimedia content in the machine learning platform, and to solve the abnormalities by machine learning platform based on confidential scores. Solving abnormalities incl"&amp;"ude part of the multimedia content containing abnormal multimedia content, ignoring abnormalities, or correcting abnormalities.")</f>
        <v>A system and method to predict the status of the competition through a machine learning platform. This system and methods include multimedia contents from the real -time data feed by the machine learning platform. The current matching status data corresponding to the multimedia content by the machine learning platform, and the abnormal multimedia content and current matching status of the receiving by the machine learning platform predict The analysis of data is in multimedia content. The system and method may include the confidence scores that generate the possibility of abnormalities in multimedia content in the machine learning platform, and to solve the abnormalities by machine learning platform based on confidential scores. Solving abnormalities include part of the multimedia content containing abnormal multimedia content, ignoring abnormalities, or correcting abnormalities.</v>
      </c>
      <c r="D1466" s="6" t="s">
        <v>4248</v>
      </c>
      <c r="E1466" s="4" t="str">
        <f ca="1">IFERROR(__xludf.DUMMYFUNCTION("GOOGLETRANSLATE(D1466,""auto"",""en"")"),"Methods and systems used to match the status of self -corrections")</f>
        <v>Methods and systems used to match the status of self -corrections</v>
      </c>
    </row>
    <row r="1467" spans="1:5" ht="15" x14ac:dyDescent="0.25">
      <c r="A1467" s="5" t="s">
        <v>4249</v>
      </c>
      <c r="B1467" s="6" t="s">
        <v>4250</v>
      </c>
      <c r="C1467" s="3" t="str">
        <f ca="1">IFERROR(__xludf.DUMMYFUNCTION("GOOGLETRANSLATE(B1467,""auto"",""en"")"),"A system and method that is arranged to predict the status event of the competition through a machine learning platform. This system and method include multimedia contents from the real -time data feed by the machine learning platform. The current competi"&amp;"tion status data corresponding to the multimedia content is received by the machine learning platform, and the abnormal multimedia content and current currently received by the machine learning platform predict The analysis of the status data of the game "&amp;"is in multimedia content. The system and method can include the confidence scores that generate abnormal possibilities in multimedia content in the machine learning platform, and to solve abnormalities by machine learning platform based on confident score"&amp;"s. Solving abnormalities include an abnormal part in the extraction of multimedia content, ignoring abnormalities, or correcting abnormalities.")</f>
        <v>A system and method that is arranged to predict the status event of the competition through a machine learning platform. This system and method include multimedia contents from the real -time data feed by the machine learning platform. The current competition status data corresponding to the multimedia content is received by the machine learning platform, and the abnormal multimedia content and current currently received by the machine learning platform predict The analysis of the status data of the game is in multimedia content. The system and method can include the confidence scores that generate abnormal possibilities in multimedia content in the machine learning platform, and to solve abnormalities by machine learning platform based on confident scores. Solving abnormalities include an abnormal part in the extraction of multimedia content, ignoring abnormalities, or correcting abnormalities.</v>
      </c>
      <c r="D1467" s="6" t="s">
        <v>4251</v>
      </c>
      <c r="E1467" s="4" t="str">
        <f ca="1">IFERROR(__xludf.DUMMYFUNCTION("GOOGLETRANSLATE(D1467,""auto"",""en"")"),"Methods and systems of self -correction matching status")</f>
        <v>Methods and systems of self -correction matching status</v>
      </c>
    </row>
    <row r="1468" spans="1:5" ht="15" x14ac:dyDescent="0.25">
      <c r="A1468" s="5" t="s">
        <v>4252</v>
      </c>
      <c r="B1468" s="6" t="s">
        <v>4253</v>
      </c>
      <c r="C1468" s="3" t="str">
        <f ca="1">IFERROR(__xludf.DUMMYFUNCTION("GOOGLETRANSLATE(B1468,""auto"",""en"")"),"A system and method that is arranged to predict the status event of the competition through a machine learning platform. This system and methods include multimedia contents that are monitored by the machine learning platform to monitor the real -time data"&amp;" feedback, the current competition status data corresponding to the multimedia content of the machine learning platform, and the abnormal multimedia content and current currently received by the machine learning platform prediction. The analysis of the st"&amp;"atus data of the game is in multimedia content. The system and method can include the confidence scores that generate abnormal possibilities in multimedia content in the machine learning platform, and to solve abnormalities by machine learning platform ba"&amp;"sed on confident scores. Solving abnormalities include an abnormal part in the extraction of multimedia content, ignoring abnormalities, or correcting abnormalities.")</f>
        <v>A system and method that is arranged to predict the status event of the competition through a machine learning platform. This system and methods include multimedia contents that are monitored by the machine learning platform to monitor the real -time data feedback, the current competition status data corresponding to the multimedia content of the machine learning platform, and the abnormal multimedia content and current currently received by the machine learning platform prediction. The analysis of the status data of the game is in multimedia content. The system and method can include the confidence scores that generate abnormal possibilities in multimedia content in the machine learning platform, and to solve abnormalities by machine learning platform based on confident scores. Solving abnormalities include an abnormal part in the extraction of multimedia content, ignoring abnormalities, or correcting abnormalities.</v>
      </c>
      <c r="D1468" s="6" t="s">
        <v>4254</v>
      </c>
      <c r="E1468" s="4" t="str">
        <f ca="1">IFERROR(__xludf.DUMMYFUNCTION("GOOGLETRANSLATE(D1468,""auto"",""en"")"),"Methods and systems of self -correction status")</f>
        <v>Methods and systems of self -correction status</v>
      </c>
    </row>
    <row r="1469" spans="1:5" ht="15" x14ac:dyDescent="0.25">
      <c r="A1469" s="5" t="s">
        <v>4255</v>
      </c>
      <c r="B1469" s="6" t="s">
        <v>4247</v>
      </c>
      <c r="C1469" s="3" t="str">
        <f ca="1">IFERROR(__xludf.DUMMYFUNCTION("GOOGLETRANSLATE(B1469,""auto"",""en"")"),"A system and method to predict the status of the competition through a machine learning platform. This system and methods include multimedia contents from the real -time data feed by the machine learning platform. The current matching status data correspo"&amp;"nding to the multimedia content by the machine learning platform, and the abnormal multimedia content and current matching status of the receiving by the machine learning platform predict The analysis of data is in multimedia content. The system and metho"&amp;"d may include the confidence scores that generate the possibility of abnormalities in multimedia content in the machine learning platform, and to solve the abnormalities by machine learning platform based on confidential scores. Solving abnormalities incl"&amp;"ude part of the multimedia content containing abnormal multimedia content, ignoring abnormalities, or correcting abnormalities.")</f>
        <v>A system and method to predict the status of the competition through a machine learning platform. This system and methods include multimedia contents from the real -time data feed by the machine learning platform. The current matching status data corresponding to the multimedia content by the machine learning platform, and the abnormal multimedia content and current matching status of the receiving by the machine learning platform predict The analysis of data is in multimedia content. The system and method may include the confidence scores that generate the possibility of abnormalities in multimedia content in the machine learning platform, and to solve the abnormalities by machine learning platform based on confidential scores. Solving abnormalities include part of the multimedia content containing abnormal multimedia content, ignoring abnormalities, or correcting abnormalities.</v>
      </c>
      <c r="D1469" s="6" t="s">
        <v>4254</v>
      </c>
      <c r="E1469" s="4" t="str">
        <f ca="1">IFERROR(__xludf.DUMMYFUNCTION("GOOGLETRANSLATE(D1469,""auto"",""en"")"),"Methods and systems of self -correction status")</f>
        <v>Methods and systems of self -correction status</v>
      </c>
    </row>
    <row r="1470" spans="1:5" ht="15" x14ac:dyDescent="0.25">
      <c r="A1470" s="5" t="s">
        <v>4256</v>
      </c>
      <c r="B1470" s="6" t="s">
        <v>4257</v>
      </c>
      <c r="C1470" s="3" t="str">
        <f ca="1">IFERROR(__xludf.DUMMYFUNCTION("GOOGLETRANSLATE(B1470,""auto"",""en"")"),"A motion monitoring equipment used with a treadmill, including a control panel (101), which is suitable for the handle fixed on a treadmill (100) in order to from the Hol sensor ( 109) Receive signal treadmill (100) to detect the speed and/or distance tha"&amp;"t is fixed by the window (103) of the window (103) in the shell (102) to detect the treadmill belt (105). Provides the existence of users on the treadmill (100) with obstacles/occupying sensors (104) to detect the existence of the treadmill (100). Provide"&amp;" a microcontroller (113) to receive signals from the sensor (104 and 109) and store the data in the data memory, so that the computing system can access the data through the Internet of Things (IoT) Users from remote areas. Provide charging circuits (111)"&amp;" to charge the rechargeable battery (110) set in the device case.")</f>
        <v>A motion monitoring equipment used with a treadmill, including a control panel (101), which is suitable for the handle fixed on a treadmill (100) in order to from the Hol sensor ( 109) Receive signal treadmill (100) to detect the speed and/or distance that is fixed by the window (103) of the window (103) in the shell (102) to detect the treadmill belt (105). Provides the existence of users on the treadmill (100) with obstacles/occupying sensors (104) to detect the existence of the treadmill (100). Provide a microcontroller (113) to receive signals from the sensor (104 and 109) and store the data in the data memory, so that the computing system can access the data through the Internet of Things (IoT) Users from remote areas. Provide charging circuits (111) to charge the rechargeable battery (110) set in the device case.</v>
      </c>
      <c r="D1470" s="6" t="s">
        <v>4258</v>
      </c>
      <c r="E1470" s="4" t="str">
        <f ca="1">IFERROR(__xludf.DUMMYFUNCTION("GOOGLETRANSLATE(D1470,""auto"",""en"")"),"Sports monitoring equipment used with treadmills")</f>
        <v>Sports monitoring equipment used with treadmills</v>
      </c>
    </row>
    <row r="1471" spans="1:5" ht="15" x14ac:dyDescent="0.25">
      <c r="A1471" s="5" t="s">
        <v>4259</v>
      </c>
      <c r="B1471" s="6" t="s">
        <v>4260</v>
      </c>
      <c r="C1471" s="3" t="str">
        <f ca="1">IFERROR(__xludf.DUMMYFUNCTION("GOOGLETRANSLATE(B1471,""auto"",""en"")"),"This publicly provides a way to disassemble the videos of the game, which involves the field of artificial intelligence technology including video processing. The specific implementation methods include: the video frames to be processed by the game videos"&amp;" are divided to obtain multiple sections to be treated; based on the scoring region of the strips to be processed, determine the target disassembly of multiple to be processed. Fragment; generate the results of the video disassembly including the target s"&amp;"trip fragment. This publicly realizes the accurate demolition of the game video.")</f>
        <v>This publicly provides a way to disassemble the videos of the game, which involves the field of artificial intelligence technology including video processing. The specific implementation methods include: the video frames to be processed by the game videos are divided to obtain multiple sections to be treated; based on the scoring region of the strips to be processed, determine the target disassembly of multiple to be processed. Fragment; generate the results of the video disassembly including the target strip fragment. This publicly realizes the accurate demolition of the game video.</v>
      </c>
      <c r="D1471" s="6" t="s">
        <v>4261</v>
      </c>
      <c r="E1471" s="4" t="str">
        <f ca="1">IFERROR(__xludf.DUMMYFUNCTION("GOOGLETRANSLATE(D1471,""auto"",""en"")"),"Disassembling method and device of the game video")</f>
        <v>Disassembling method and device of the game video</v>
      </c>
    </row>
    <row r="1472" spans="1:5" ht="15" x14ac:dyDescent="0.25">
      <c r="A1472" s="5" t="s">
        <v>4262</v>
      </c>
      <c r="B1472" s="6" t="s">
        <v>4263</v>
      </c>
      <c r="C1472" s="3" t="str">
        <f ca="1">IFERROR(__xludf.DUMMYFUNCTION("GOOGLETRANSLATE(B1472,""auto"",""en"")"),"The present invention disclosed an intelligent regulation method of high -speed electric main shaft water cooling system. By establishing the structure of the RBF neural network, the four -layer GA‑GRNN neural network structure framework is established in"&amp;" the improvement of the RBF neural network. Structure, use genetic algorithms to search for a broad sense of neural network smooth factor σ global, simply find the global minimum value; adopt random initialization population, initialize the broader back t"&amp;"o the neural network smooth factor σ; Calculate the individual adaptation, the established high -speed electric main shaft thermal characteristics regulate the cooling medium flow model, so that the closer to the predictive output and the actual value, th"&amp;"e better, and the predictive temperature characteristics of the GRNN model to construct the adaptation function. Individual selection, crossing, and mutation operations can evolve the population group; repeatedly select the adaptive function to establish "&amp;"a model and the population and individual operations until the accuracy or maximum iteration stops. The present invention uses a genetic algorithm to carry out the optimal search of the global optimal search of the smooth return of the neural network, whi"&amp;"ch improves the predictive accuracy and generalization ability of GRNN, and improves the accuracy and robustness of their training.")</f>
        <v>The present invention disclosed an intelligent regulation method of high -speed electric main shaft water cooling system. By establishing the structure of the RBF neural network, the four -layer GA‑GRNN neural network structure framework is established in the improvement of the RBF neural network. Structure, use genetic algorithms to search for a broad sense of neural network smooth factor σ global, simply find the global minimum value; adopt random initialization population, initialize the broader back to the neural network smooth factor σ; Calculate the individual adaptation, the established high -speed electric main shaft thermal characteristics regulate the cooling medium flow model, so that the closer to the predictive output and the actual value, the better, and the predictive temperature characteristics of the GRNN model to construct the adaptation function. Individual selection, crossing, and mutation operations can evolve the population group; repeatedly select the adaptive function to establish a model and the population and individual operations until the accuracy or maximum iteration stops. The present invention uses a genetic algorithm to carry out the optimal search of the global optimal search of the smooth return of the neural network, which improves the predictive accuracy and generalization ability of GRNN, and improves the accuracy and robustness of their training.</v>
      </c>
      <c r="D1472" s="6" t="s">
        <v>4264</v>
      </c>
      <c r="E1472" s="4" t="str">
        <f ca="1">IFERROR(__xludf.DUMMYFUNCTION("GOOGLETRANSLATE(D1472,""auto"",""en"")"),"A high -speed electric main shaft water -cooled system intelligent regulation method")</f>
        <v>A high -speed electric main shaft water -cooled system intelligent regulation method</v>
      </c>
    </row>
    <row r="1473" spans="1:5" ht="15" x14ac:dyDescent="0.25">
      <c r="A1473" s="5" t="s">
        <v>4265</v>
      </c>
      <c r="B1473" s="6" t="s">
        <v>4266</v>
      </c>
      <c r="C1473" s="3" t="str">
        <f ca="1">IFERROR(__xludf.DUMMYFUNCTION("GOOGLETRANSLATE(B1473,""auto"",""en"")"),"The invention involves a standardized label system construction and automatic text labeling method, involving technical fields such as knowledge maps, semantic analysis, and text generation. In the construction method of the label system, the hidden Dilix"&amp;" distributed LDA is used for the theme cluster, and upper and lower information is used to extract the theme. It can ensure that the label of the same dimension is on the same layer, and there will not be a more chaotic situation such as ""sports, footbal"&amp;"l, running, and ball sports"". Applications such as systems also have a positive impact.")</f>
        <v>The invention involves a standardized label system construction and automatic text labeling method, involving technical fields such as knowledge maps, semantic analysis, and text generation. In the construction method of the label system, the hidden Dilix distributed LDA is used for the theme cluster, and upper and lower information is used to extract the theme. It can ensure that the label of the same dimension is on the same layer, and there will not be a more chaotic situation such as "sports, football, running, and ball sports". Applications such as systems also have a positive impact.</v>
      </c>
      <c r="D1473" s="6" t="s">
        <v>4267</v>
      </c>
      <c r="E1473" s="4" t="str">
        <f ca="1">IFERROR(__xludf.DUMMYFUNCTION("GOOGLETRANSLATE(D1473,""auto"",""en"")"),"A standardized label system construction and text automatic labeling method")</f>
        <v>A standardized label system construction and text automatic labeling method</v>
      </c>
    </row>
    <row r="1474" spans="1:5" ht="15" x14ac:dyDescent="0.25">
      <c r="A1474" s="5" t="s">
        <v>4268</v>
      </c>
      <c r="B1474" s="6" t="s">
        <v>4269</v>
      </c>
      <c r="C1474" s="3" t="str">
        <f ca="1">IFERROR(__xludf.DUMMYFUNCTION("GOOGLETRANSLATE(B1474,""auto"",""en"")"),"This article describes systems and methods for improving walking or running performances in various settings including sports training and physical therapy settings. Using software programs containing machine learning algorithms, the purpose is to input d"&amp;"ata from multiple sensors from the shoe categories to comprehensively and operate suggestions to improve performance. During the performance and after performance, you can visualize or hear it on a mobile computing device such as smartphones or smart watc"&amp;"hes or through the network interface on the home computer, and can merge historical performance data to each user's personality In the database. These systems include real -time suggestions for formal changes and personalized coaches, such as athletes see"&amp;"king to improve their performance. The systems and methods described in this article can also be used for damage prevention or rehabilitation in the medical environment.")</f>
        <v>This article describes systems and methods for improving walking or running performances in various settings including sports training and physical therapy settings. Using software programs containing machine learning algorithms, the purpose is to input data from multiple sensors from the shoe categories to comprehensively and operate suggestions to improve performance. During the performance and after performance, you can visualize or hear it on a mobile computing device such as smartphones or smart watches or through the network interface on the home computer, and can merge historical performance data to each user's personality In the database. These systems include real -time suggestions for formal changes and personalized coaches, such as athletes seeking to improve their performance. The systems and methods described in this article can also be used for damage prevention or rehabilitation in the medical environment.</v>
      </c>
      <c r="D1474" s="6" t="s">
        <v>4270</v>
      </c>
      <c r="E1474" s="4" t="str">
        <f ca="1">IFERROR(__xludf.DUMMYFUNCTION("GOOGLETRANSLATE(D1474,""auto"",""en"")"),"Systems and methods for improving physical properties")</f>
        <v>Systems and methods for improving physical properties</v>
      </c>
    </row>
    <row r="1475" spans="1:5" ht="15" x14ac:dyDescent="0.25">
      <c r="A1475" s="5" t="s">
        <v>4271</v>
      </c>
      <c r="B1475" s="6" t="s">
        <v>4272</v>
      </c>
      <c r="C1475" s="3" t="str">
        <f ca="1">IFERROR(__xludf.DUMMYFUNCTION("GOOGLETRANSLATE(B1475,""auto"",""en"")"),"1. The name of the product in appearance: Register the graphic user interface for the tea competition for mobile phones.
 2. Design products for designing products: used to apply for tea competitions and information filling.
 3. Design of the design o"&amp;"f the product in this exterior: lies in the interface content of the product graphics user interface.
 4. Pictures or photos that can best show design points: Figure 2 of the interface change state.
 5. Because the mobile phone is designed with the ex"&amp;"isting design, the back view, left view, right view, downward view, and view view.
 6. The purpose of graphical user interface: used to apply for tea competition and information filling.
 7. Human -computer interaction method of graphic user interface"&amp;": click the game option under the ""current event"" item, jump to the interface change state Figure 1; the interface change state Figure 1 click ""click to register"", jump to the interface to the interface Change status Figure 2; interface change state F"&amp;"igure 2 Enter the relevant information and click ""Submit"", jump to the interface change state Figure 3; the interface change state Figure 3 click ""Continue Registration"", jump to the interface change state figure 1; The interface change state Figure 3"&amp;" click ""I participate (send sample)"", jump to the interface change state Figure 4; in the interface change state Figure 4, click ""to send sample"", jump to the interface change state figure 5.")</f>
        <v>1. The name of the product in appearance: Register the graphic user interface for the tea competition for mobile phones.
 2. Design products for designing products: used to apply for tea competitions and information filling.
 3. Design of the design of the product in this exterior: lies in the interface content of the product graphics user interface.
 4. Pictures or photos that can best show design points: Figure 2 of the interface change state.
 5. Because the mobile phone is designed with the existing design, the back view, left view, right view, downward view, and view view.
 6. The purpose of graphical user interface: used to apply for tea competition and information filling.
 7. Human -computer interaction method of graphic user interface: click the game option under the "current event" item, jump to the interface change state Figure 1; the interface change state Figure 1 click "click to register", jump to the interface to the interface Change status Figure 2; interface change state Figure 2 Enter the relevant information and click "Submit", jump to the interface change state Figure 3; the interface change state Figure 3 click "Continue Registration", jump to the interface change state figure 1; The interface change state Figure 3 click "I participate (send sample)", jump to the interface change state Figure 4; in the interface change state Figure 4, click "to send sample", jump to the interface change state figure 5.</v>
      </c>
      <c r="D1475" s="6" t="s">
        <v>4273</v>
      </c>
      <c r="E1475" s="4" t="str">
        <f ca="1">IFERROR(__xludf.DUMMYFUNCTION("GOOGLETRANSLATE(D1475,""auto"",""en"")"),"Registration for graphic user interface for tea competition for mobile phones")</f>
        <v>Registration for graphic user interface for tea competition for mobile phones</v>
      </c>
    </row>
    <row r="1476" spans="1:5" ht="15" x14ac:dyDescent="0.25">
      <c r="A1476" s="5" t="s">
        <v>4274</v>
      </c>
      <c r="B1476" s="6" t="s">
        <v>4275</v>
      </c>
      <c r="C1476" s="3" t="str">
        <f ca="1">IFERROR(__xludf.DUMMYFUNCTION("GOOGLETRANSLATE(B1476,""auto"",""en"")"),"Field: Medicine. Material: The present invention refers to medicine, that is, rehabilitation medicine, which can be used for rehabilitation treatment of upper limb paralysis or paralysis patients with various causes. Putting the patient in front of the mi"&amp;"rror, the healthy limbs are completely in the mirror, the paralyzed limb is hidden, the patient uses a healthy hand to perform various actions, observe the actions of healthy hands and its reflection in the mirror, thereby obtaining the illusion of both h"&amp;"ands. In addition, exercise is also conducted, including the exercise of paralyzed upper limb soft tissue: with the help of the coach, the fascia stretching (MFS) and the equivalent relaxation (PIR) technology. The massage technology between the exercises"&amp;" can improve the supply of blood soft tissue, and Nutritional effects from paralyzed limb tissue formed and inflow. The action described in the execution claim aims to activate several central brain mechanisms. Visual information, including the most impor"&amp;"tant visual feedback of the brain, associates the stimulus and positive visual enhancement: the limbs are completely painlessly moved. This information stimulates that the neural network of the brain hemisphere is intact, but it cannot work properly after"&amp;" a brain accident. These neural networks are responsible for paralyzing the movement of the hand. Visual illusions include sports imagination, widely used in medicine and exercise, to master/improve exercise behavior. Mirror neurons are activated. When pe"&amp;"rforming a movement and observation of this action, these neurons are involved. In the injured hemisphere, some mirror neurons were retained, but this technology has mobilizing them. This method can reduce the asymmetry of double upper limb tension, promo"&amp;"te the movement of shoulder straps and close -end joints, improve blood supply, soft tissue nutrition, and form a paralyzed physical tissue. This has led to a reduction in spasm and pain syndrome, and the formation of paralyzed upper limbs actively moved."&amp;" Effect: This method provides higher efficiency for the rehabilitation therapy of patients with upper limb paralysis. 1 cl, 2 ex")</f>
        <v>Field: Medicine. Material: The present invention refers to medicine, that is, rehabilitation medicine, which can be used for rehabilitation treatment of upper limb paralysis or paralysis patients with various causes. Putting the patient in front of the mirror, the healthy limbs are completely in the mirror, the paralyzed limb is hidden, the patient uses a healthy hand to perform various actions, observe the actions of healthy hands and its reflection in the mirror, thereby obtaining the illusion of both hands. In addition, exercise is also conducted, including the exercise of paralyzed upper limb soft tissue: with the help of the coach, the fascia stretching (MFS) and the equivalent relaxation (PIR) technology. The massage technology between the exercises can improve the supply of blood soft tissue, and Nutritional effects from paralyzed limb tissue formed and inflow. The action described in the execution claim aims to activate several central brain mechanisms. Visual information, including the most important visual feedback of the brain, associates the stimulus and positive visual enhancement: the limbs are completely painlessly moved. This information stimulates that the neural network of the brain hemisphere is intact, but it cannot work properly after a brain accident. These neural networks are responsible for paralyzing the movement of the hand. Visual illusions include sports imagination, widely used in medicine and exercise, to master/improve exercise behavior. Mirror neurons are activated. When performing a movement and observation of this action, these neurons are involved. In the injured hemisphere, some mirror neurons were retained, but this technology has mobilizing them. This method can reduce the asymmetry of double upper limb tension, promote the movement of shoulder straps and close -end joints, improve blood supply, soft tissue nutrition, and form a paralyzed physical tissue. This has led to a reduction in spasm and pain syndrome, and the formation of paralyzed upper limbs actively moved. Effect: This method provides higher efficiency for the rehabilitation therapy of patients with upper limb paralysis. 1 cl, 2 ex</v>
      </c>
      <c r="D1476" s="6" t="s">
        <v>4276</v>
      </c>
      <c r="E1476" s="4" t="str">
        <f ca="1">IFERROR(__xludf.DUMMYFUNCTION("GOOGLETRANSLATE(D1476,""auto"",""en"")"),"Hand function recovery method for patients with upper limbs light paralysis")</f>
        <v>Hand function recovery method for patients with upper limbs light paralysis</v>
      </c>
    </row>
    <row r="1477" spans="1:5" ht="15" x14ac:dyDescent="0.25">
      <c r="A1477" s="5" t="s">
        <v>4277</v>
      </c>
      <c r="B1477" s="6" t="s">
        <v>4278</v>
      </c>
      <c r="C1477" s="3" t="str">
        <f ca="1">IFERROR(__xludf.DUMMYFUNCTION("GOOGLETRANSLATE(B1477,""auto"",""en"")"),"This utility model opens up a ball pick -up device for artificial intelligence children's pitch machines, involving the field of ball pick -up equipment technology, including portable mobile vehicles. The fixed connection on one side of the storage wareho"&amp;"use has a fixed warehouse. The internal installation of the fixed warehouse is installed with a base. The top of the base is equipped with a robotic arm. Inside the warehouse, reduce the frequency of children and staff to pick up the ball, meet the pleasu"&amp;"re of children's pitching, set up a buffer component to achieve the fixed buffer effect of basketball, extend the service life of the equipment, reduce the cost, set the settings, set up some Universal wheels, pressure sensors, heat dissipation fans, infr"&amp;"ared sensors and ultrasonic sensors, search and drop basketball and avoid obstacles through infrared sensors, improve overall operating efficiency, and reduce artificial labor intensity.")</f>
        <v>This utility model opens up a ball pick -up device for artificial intelligence children's pitch machines, involving the field of ball pick -up equipment technology, including portable mobile vehicles. The fixed connection on one side of the storage warehouse has a fixed warehouse. The internal installation of the fixed warehouse is installed with a base. The top of the base is equipped with a robotic arm. Inside the warehouse, reduce the frequency of children and staff to pick up the ball, meet the pleasure of children's pitching, set up a buffer component to achieve the fixed buffer effect of basketball, extend the service life of the equipment, reduce the cost, set the settings, set up some Universal wheels, pressure sensors, heat dissipation fans, infrared sensors and ultrasonic sensors, search and drop basketball and avoid obstacles through infrared sensors, improve overall operating efficiency, and reduce artificial labor intensity.</v>
      </c>
      <c r="D1477" s="6" t="s">
        <v>4279</v>
      </c>
      <c r="E1477" s="4" t="str">
        <f ca="1">IFERROR(__xludf.DUMMYFUNCTION("GOOGLETRANSLATE(D1477,""auto"",""en"")"),"An artificial intelligence children's pumping machine for picking up the ball")</f>
        <v>An artificial intelligence children's pumping machine for picking up the ball</v>
      </c>
    </row>
    <row r="1478" spans="1:5" ht="15" x14ac:dyDescent="0.25">
      <c r="A1478" s="5" t="s">
        <v>4280</v>
      </c>
      <c r="B1478" s="6" t="s">
        <v>4281</v>
      </c>
      <c r="C1478" s="3" t="str">
        <f ca="1">IFERROR(__xludf.DUMMYFUNCTION("GOOGLETRANSLATE(B1478,""auto"",""en"")"),"This utility model opens up a ping -ping -free kicker based on artificial intelligence, involving the technical field of table tennis player equipment, including the main body of the serve machine, which is fixed at the bottom of the main body of the kick"&amp;"er. Installed a base, the internal installation of the base is installed with a lifting adjustment component. The top of the top of the player's subject has a falling position. It meets the highly personalized needs of different height -oriented trainers "&amp;"at the time of use, improves the training effect, and sets up a limited -bit component. When the output of the electric telescopic rod needs The limit of limited limits is achieved, thereby improving training efficiency, and setting infrared sensors, univ"&amp;"ersal wheels, levers and beeurges to avoid device damage and power waste caused by the continued operation of the equipment.")</f>
        <v>This utility model opens up a ping -ping -free kicker based on artificial intelligence, involving the technical field of table tennis player equipment, including the main body of the serve machine, which is fixed at the bottom of the main body of the kicker. Installed a base, the internal installation of the base is installed with a lifting adjustment component. The top of the top of the player's subject has a falling position. It meets the highly personalized needs of different height -oriented trainers at the time of use, improves the training effect, and sets up a limited -bit component. When the output of the electric telescopic rod needs The limit of limited limits is achieved, thereby improving training efficiency, and setting infrared sensors, universal wheels, levers and beeurges to avoid device damage and power waste caused by the continued operation of the equipment.</v>
      </c>
      <c r="D1478" s="6" t="s">
        <v>4282</v>
      </c>
      <c r="E1478" s="4" t="str">
        <f ca="1">IFERROR(__xludf.DUMMYFUNCTION("GOOGLETRANSLATE(D1478,""auto"",""en"")"),"An artificial intelligence table tennis sendsing machine")</f>
        <v>An artificial intelligence table tennis sendsing machine</v>
      </c>
    </row>
    <row r="1479" spans="1:5" ht="15" x14ac:dyDescent="0.25">
      <c r="A1479" s="5" t="s">
        <v>4283</v>
      </c>
      <c r="B1479" s="6" t="s">
        <v>4284</v>
      </c>
      <c r="C1479" s="3" t="str">
        <f ca="1">IFERROR(__xludf.DUMMYFUNCTION("GOOGLETRANSLATE(B1479,""auto"",""en"")"),"The distributed machine learning system and other distributed computing systems are improved by computing logic in an extension module that is embedded in a network switch. Calculate the gradient of the system node processing or other computing data to pe"&amp;"rform collective operations, such as reducing operations. The intensive operation can include, for example, for the sum, average, according to the operation, etc. In this way, the extension module can take over the part or all of the distributed system du"&amp;"ring the set stage. The inner version of the module is located between the switch and the network. The data unit carrying the calculated data is calculated and processed by calculated logic, while other data units are transparent to enter and exit the swi"&amp;"tch through the module. Multiple modules can be connected to the switch, each module is coupled to different node groups, and the intermediate results are shared. It also describes the Sidecar version.")</f>
        <v>The distributed machine learning system and other distributed computing systems are improved by computing logic in an extension module that is embedded in a network switch. Calculate the gradient of the system node processing or other computing data to perform collective operations, such as reducing operations. The intensive operation can include, for example, for the sum, average, according to the operation, etc. In this way, the extension module can take over the part or all of the distributed system during the set stage. The inner version of the module is located between the switch and the network. The data unit carrying the calculated data is calculated and processed by calculated logic, while other data units are transparent to enter and exit the switch through the module. Multiple modules can be connected to the switch, each module is coupled to different node groups, and the intermediate results are shared. It also describes the Sidecar version.</v>
      </c>
      <c r="D1479" s="6" t="s">
        <v>4285</v>
      </c>
      <c r="E1479" s="4" t="str">
        <f ca="1">IFERROR(__xludf.DUMMYFUNCTION("GOOGLETRANSLATE(D1479,""auto"",""en"")"),"Distributed artificial intelligence extension module for network switches")</f>
        <v>Distributed artificial intelligence extension module for network switches</v>
      </c>
    </row>
    <row r="1480" spans="1:5" ht="15" x14ac:dyDescent="0.25">
      <c r="A1480" s="5" t="s">
        <v>4286</v>
      </c>
      <c r="B1480" s="6" t="s">
        <v>4287</v>
      </c>
      <c r="C1480" s="3" t="str">
        <f ca="1">IFERROR(__xludf.DUMMYFUNCTION("GOOGLETRANSLATE(B1480,""auto"",""en"")"),"A method that improves voice proficiency may include the following steps: receiving language sample input from ordinary users; by implementing machine learning models to promote analysis of language sample input, this model uses scoring agents based on pr"&amp;"edetermined language parameters for training. To generate guidance scores; receive coach score input from the scoring agency analysis of the user's voice ability; generate a report generated by the user based on the score -based machine learning model, wh"&amp;"ere the report is configured to improve the proficiency of the voice. In another embodiment, the scoring agent can be at least one of the machines, ordinary users, or at least one of the capabilities of user audio input based on language parameters.")</f>
        <v>A method that improves voice proficiency may include the following steps: receiving language sample input from ordinary users; by implementing machine learning models to promote analysis of language sample input, this model uses scoring agents based on predetermined language parameters for training. To generate guidance scores; receive coach score input from the scoring agency analysis of the user's voice ability; generate a report generated by the user based on the score -based machine learning model, where the report is configured to improve the proficiency of the voice. In another embodiment, the scoring agent can be at least one of the machines, ordinary users, or at least one of the capabilities of user audio input based on language parameters.</v>
      </c>
      <c r="D1480" s="6" t="s">
        <v>4288</v>
      </c>
      <c r="E1480" s="4" t="str">
        <f ca="1">IFERROR(__xludf.DUMMYFUNCTION("GOOGLETRANSLATE(D1480,""auto"",""en"")"),"Automated systems and methods for processing communication capacity data")</f>
        <v>Automated systems and methods for processing communication capacity data</v>
      </c>
    </row>
    <row r="1481" spans="1:5" ht="15" x14ac:dyDescent="0.25">
      <c r="A1481" s="5" t="s">
        <v>4289</v>
      </c>
      <c r="B1481" s="6" t="s">
        <v>4290</v>
      </c>
      <c r="C1481" s="3" t="str">
        <f ca="1">IFERROR(__xludf.DUMMYFUNCTION("GOOGLETRANSLATE(B1481,""auto"",""en"")"),"1. The name of the product in appearance: For mobile phone information display graphic user interface.
 2. The purpose of designing products in this exterior: The design of the product in this exterior is used to display information and run the program."&amp;"
 3. Design of the design of the product: The content of the graphic user interface in the screen is designed for the existing mobile phone. The text content in the interface is only used to indicate the content area. The text itself is not the protecti"&amp;"on content of the design.
 4. Pictures or photos that can most indicate design points: main view.
 5. The product hardware part is conventional design. The back view, left view, right view, down -view view, and retry view are omitted.
 6. The purpos"&amp;"e of the graphical user interface: The design of the product is used for entertainment and sports information display.
 7. Human -computer interaction method of graphical user interface: The options in the main view of the interface can be clicked on th"&amp;"e operation, and the ""run composition"" on the right side of the main screen interface interface to enter the interface change status diagram.")</f>
        <v>1. The name of the product in appearance: For mobile phone information display graphic user interface.
 2. The purpose of designing products in this exterior: The design of the product in this exterior is used to display information and run the program.
 3. Design of the design of the product: The content of the graphic user interface in the screen is designed for the existing mobile phone. The text content in the interface is only used to indicate the content area. The text itself is not the protection content of the design.
 4. Pictures or photos that can most indicate design points: main view.
 5. The product hardware part is conventional design. The back view, left view, right view, down -view view, and retry view are omitted.
 6. The purpose of the graphical user interface: The design of the product is used for entertainment and sports information display.
 7. Human -computer interaction method of graphical user interface: The options in the main view of the interface can be clicked on the operation, and the "run composition" on the right side of the main screen interface interface to enter the interface change status diagram.</v>
      </c>
      <c r="D1481" s="6" t="s">
        <v>4291</v>
      </c>
      <c r="E1481" s="4" t="str">
        <f ca="1">IFERROR(__xludf.DUMMYFUNCTION("GOOGLETRANSLATE(D1481,""auto"",""en"")"),"Information displaying graphical user interface for mobile phones")</f>
        <v>Information displaying graphical user interface for mobile phones</v>
      </c>
    </row>
    <row r="1482" spans="1:5" ht="15" x14ac:dyDescent="0.25">
      <c r="A1482" s="5" t="s">
        <v>4292</v>
      </c>
      <c r="B1482" s="6" t="s">
        <v>4293</v>
      </c>
      <c r="C1482" s="3" t="str">
        <f ca="1">IFERROR(__xludf.DUMMYFUNCTION("GOOGLETRANSLATE(B1482,""auto"",""en"")"),"It describes a method and system that uses artificial intelligence to analyze game events.")</f>
        <v>It describes a method and system that uses artificial intelligence to analyze game events.</v>
      </c>
      <c r="D1482" s="6" t="s">
        <v>4294</v>
      </c>
      <c r="E1482" s="4" t="str">
        <f ca="1">IFERROR(__xludf.DUMMYFUNCTION("GOOGLETRANSLATE(D1482,""auto"",""en"")"),"Automatic analysis of the methods and systems of sports events")</f>
        <v>Automatic analysis of the methods and systems of sports events</v>
      </c>
    </row>
    <row r="1483" spans="1:5" ht="15" x14ac:dyDescent="0.25">
      <c r="A1483" s="5" t="s">
        <v>4295</v>
      </c>
      <c r="B1483" s="6" t="s">
        <v>4296</v>
      </c>
      <c r="C1483" s="3" t="str">
        <f ca="1">IFERROR(__xludf.DUMMYFUNCTION("GOOGLETRANSLATE(B1483,""auto"",""en"")"),"1. Design product name: Display screen panel with driverless airport management graphic user interface.
 2. The purpose of designing products in this exterior: The design of the product in this exterior is used for running programs, touch interaction, d"&amp;"isplay information, and drone deployment.
 3. Design of the design of the product in this exterior: lies in the graphic user interface in the display screen panel.
 4. Pictures or photos that can best show design: Design 1 main view.
 5. Other views"&amp;" other than the main view are conventional design, omitting other views other than the main view.
 6. Specify design 1 is the basic design.
 7. The purpose of graphical user interface: deploy unmanned airports and operating equipment to the field, and"&amp;" control the operating equipment to automatically collect crop growth, plant environment and implement agricultural agriculture according to the task.
 8. Human -computer interaction method of graphics user interface: Click to design 1 Main view on the "&amp;"left task under the left side of the mission to enter the column of ""execution"" into the design 1 interface state change map; click to design 2 Main view on the left side of the mission below the bidding below the standard. The ""overdue"" column enters"&amp;" the changing status diagram of the design 2 interface; click to design the drone icon on the right map of the main screen to enter the design 3 interface change state diagram.
 9. Design 1 interface change status Reference diagram is a schematic diagra"&amp;"m after the interface shows the actual use of the interface diagram of the design 1 interface. Demonstration interfaces are used to add corresponding images and parameters in actual use.
 The display screen panel is used for mobile phones, smart TVs, re"&amp;"frigerators and integrated stoves, computers, laptops, tablets, smartphones, smart glasses, watches, smart watches, smart interactive tablets, educational machines, smart watches, smart watches, watches , Fitness monitor, headset headphones, smart speaker"&amp;"s, television, set -top boxes, game consoles, at least one of the display device for cars, GPS devices, navigators.")</f>
        <v>1. Design product name: Display screen panel with driverless airport management graphic user interface.
 2. The purpose of designing products in this exterior: The design of the product in this exterior is used for running programs, touch interaction, display information, and drone deployment.
 3. Design of the design of the product in this exterior: lies in the graphic user interface in the display screen panel.
 4. Pictures or photos that can best show design: Design 1 main view.
 5. Other views other than the main view are conventional design, omitting other views other than the main view.
 6. Specify design 1 is the basic design.
 7. The purpose of graphical user interface: deploy unmanned airports and operating equipment to the field, and control the operating equipment to automatically collect crop growth, plant environment and implement agricultural agriculture according to the task.
 8. Human -computer interaction method of graphics user interface: Click to design 1 Main view on the left task under the left side of the mission to enter the column of "execution" into the design 1 interface state change map; click to design 2 Main view on the left side of the mission below the bidding below the standard. The "overdue" column enters the changing status diagram of the design 2 interface; click to design the drone icon on the right map of the main screen to enter the design 3 interface change state diagram.
 9. Design 1 interface change status Reference diagram is a schematic diagram after the interface shows the actual use of the interface diagram of the design 1 interface. Demonstration interfaces are used to add corresponding images and parameters in actual use.
 The display screen panel is used for mobile phones, smart TVs, refrigerators and integrated stoves, computers, laptops, tablets, smartphones, smart glasses, watches, smart watches, smart interactive tablets, educational machines, smart watches, smart watches, watches , Fitness monitor, headset headphones, smart speakers, television, set -top boxes, game consoles, at least one of the display device for cars, GPS devices, navigators.</v>
      </c>
      <c r="D1483" s="6" t="s">
        <v>4297</v>
      </c>
      <c r="E1483" s="4" t="str">
        <f ca="1">IFERROR(__xludf.DUMMYFUNCTION("GOOGLETRANSLATE(D1483,""auto"",""en"")"),"Display screen panel with unmanned airport management graphic user interface")</f>
        <v>Display screen panel with unmanned airport management graphic user interface</v>
      </c>
    </row>
    <row r="1484" spans="1:5" ht="15" x14ac:dyDescent="0.25">
      <c r="A1484" s="5" t="s">
        <v>4298</v>
      </c>
      <c r="B1484" s="6" t="s">
        <v>4299</v>
      </c>
      <c r="C1484" s="3" t="str">
        <f ca="1">IFERROR(__xludf.DUMMYFUNCTION("GOOGLETRANSLATE(B1484,""auto"",""en"")"),"1. The name of the product in this exterior: a display screen panel with irrigation management graphical user interface.
 2. The purpose of designing products in this exterior: The design of the product is used for running programs, touch interaction or"&amp;" display information.
 3. Design of design products in this appearance: lies in the graphic user interface in the screen.
 4. Pictures or photos that can most indicate design points: main view.
 5. Other views except the main view are conventional d"&amp;"esign, omitting other views except the main view.
 6. The purpose of graphical user interface: used to configure or add the irrigation facilities of the plot to achieve intelligent control of farmland irrigation facilities.
 7. Human -computer interac"&amp;"tion method of graphical user interface: Click the ""new facility type"" below the management facility list in the main view to enter the interface change state diagram; click the icon in the menu in the middle position of the interface to add the corresp"&amp;"onding facilities, Among them, after selecting the icon, one of the color controls in the color column in the icon color column can achieve the configuration of the icon color.
 8. The display screen panel is used for mobile phones, refrigerators and in"&amp;"tegrated stoves, computers, laptops, tablets, smartphones, smart glasses, watches, smart watches, intelligent interactive tablets, educational machines, educational machines, smart watches, smart watches, smart watches, watches Fitness monitors, headphone"&amp;"s, smart speakers, TV, set -top boxes, game consoles, display devices for cars, GPS devices, navigators.")</f>
        <v>1. The name of the product in this exterior: a display screen panel with irrigation management graphical user interface.
 2. The purpose of designing products in this exterior: The design of the product is used for running programs, touch interaction or display information.
 3. Design of design products in this appearance: lies in the graphic user interface in the screen.
 4. Pictures or photos that can most indicate design points: main view.
 5. Other views except the main view are conventional design, omitting other views except the main view.
 6. The purpose of graphical user interface: used to configure or add the irrigation facilities of the plot to achieve intelligent control of farmland irrigation facilities.
 7. Human -computer interaction method of graphical user interface: Click the "new facility type" below the management facility list in the main view to enter the interface change state diagram; click the icon in the menu in the middle position of the interface to add the corresponding facilities, Among them, after selecting the icon, one of the color controls in the color column in the icon color column can achieve the configuration of the icon color.
 8. The display screen panel is used for mobile phones, refrigerators and integrated stoves, computers, laptops, tablets, smartphones, smart glasses, watches, smart watches, intelligent interactive tablets, educational machines, educational machines, smart watches, smart watches, smart watches, watches Fitness monitors, headphones, smart speakers, TV, set -top boxes, game consoles, display devices for cars, GPS devices, navigators.</v>
      </c>
      <c r="D1484" s="6" t="s">
        <v>4300</v>
      </c>
      <c r="E1484" s="4" t="str">
        <f ca="1">IFERROR(__xludf.DUMMYFUNCTION("GOOGLETRANSLATE(D1484,""auto"",""en"")"),"Display screen panel with irrigation management graphics user interface")</f>
        <v>Display screen panel with irrigation management graphics user interface</v>
      </c>
    </row>
    <row r="1485" spans="1:5" ht="15" x14ac:dyDescent="0.25">
      <c r="A1485" s="5" t="s">
        <v>4301</v>
      </c>
      <c r="B1485" s="6" t="s">
        <v>4302</v>
      </c>
      <c r="C1485" s="3" t="str">
        <f ca="1">IFERROR(__xludf.DUMMYFUNCTION("GOOGLETRANSLATE(B1485,""auto"",""en"")"),"1. The name of the product design products: display screen panel with agricultural equipment supervision graphic user interface.
 2. The purpose of designing products in this exterior: The design of the product is used for running programs, touch intera"&amp;"ction or display information.
 3. Design of design products in this appearance: lies in the graphic user interface in the screen.
 4. Pictures or photos that can most indicate design points: main view.
 5. Rear views, left view, right view, overdue "&amp;"view, and view view are conventional design. The back view, left view, right view, down -view view, upper -view view is omitted.
 6. The purpose of graphical user interface: For details of the operation of agricultural machinery equipment on the plot.
 "&amp;"
 7. Human -computer interaction method of graphical user interface: Click the button in the left column of the main view to view the corresponding information, such as clicking ""Cultivation Land (Second Time Explosion)"" to view the farm machinery equip"&amp;"ment cultivation process on the target plot specification.
 8. The reference diagram of the main interface is a reference map of the main view. The display screen panel is used for mobile phones, smart TVs, refrigerators and integrated stoves, computers"&amp;", tablets, smartphones, smart bracelets, smart bracelets, smartphones, smartphones, smartphones, smartphones, smartphones, smartphones Smart glasses, watches, smart watches, smart interactive tablets, educational machines, fitness monitor, headset headpho"&amp;"nes, smart speakers, TV, set -top boxes, game consoles, display devices for cars, GPS devices, navigators.")</f>
        <v>1. The name of the product design products: display screen panel with agricultural equipment supervision graphic user interface.
 2. The purpose of designing products in this exterior: The design of the product is used for running programs, touch interaction or display information.
 3. Design of design products in this appearance: lies in the graphic user interface in the screen.
 4. Pictures or photos that can most indicate design points: main view.
 5. Rear views, left view, right view, overdue view, and view view are conventional design. The back view, left view, right view, down -view view, upper -view view is omitted.
 6. The purpose of graphical user interface: For details of the operation of agricultural machinery equipment on the plot.
 7. Human -computer interaction method of graphical user interface: Click the button in the left column of the main view to view the corresponding information, such as clicking "Cultivation Land (Second Time Explosion)" to view the farm machinery equipment cultivation process on the target plot specification.
 8. The reference diagram of the main interface is a reference map of the main view. The display screen panel is used for mobile phones, smart TVs, refrigerators and integrated stoves, computers, tablets, smartphones, smart bracelets, smart bracelets, smartphones, smartphones, smartphones, smartphones, smartphones, smartphones Smart glasses, watches, smart watches, smart interactive tablets, educational machines, fitness monitor, headset headphones, smart speakers, TV, set -top boxes, game consoles, display devices for cars, GPS devices, navigators.</v>
      </c>
      <c r="D1485" s="6" t="s">
        <v>4303</v>
      </c>
      <c r="E1485" s="4" t="str">
        <f ca="1">IFERROR(__xludf.DUMMYFUNCTION("GOOGLETRANSLATE(D1485,""auto"",""en"")"),"Display screen panel with agricultural equipment supervision graphics user interface")</f>
        <v>Display screen panel with agricultural equipment supervision graphics user interface</v>
      </c>
    </row>
    <row r="1486" spans="1:5" ht="15" x14ac:dyDescent="0.25">
      <c r="A1486" s="5" t="s">
        <v>4304</v>
      </c>
      <c r="B1486" s="6" t="s">
        <v>4305</v>
      </c>
      <c r="C1486" s="3" t="str">
        <f ca="1">IFERROR(__xludf.DUMMYFUNCTION("GOOGLETRANSLATE(B1486,""auto"",""en"")"),"1. Design product name: Display screen panel with driverless airport management graphic user interface.
 2. The purpose of designing products in this exterior: The design of the product in this exterior is used for running programs, touch interaction, d"&amp;"isplay information, and drone deployment.
 3. Design of the design of the product in this exterior: lies in the graphic user interface in the display screen panel.
 4. Pictures or photos that can most indicate design points: main view.
 5. Rear view"&amp;"s, left view, right view, overdue view, and view view are conventional design. The back view, left view, right view, down -view view, upper -view view is omitted.
 6. The purpose of graphical user interface: deploy unmanned airports and operating equipm"&amp;"ent to the field, and control the operating equipment to automatically collect crop growth, planting environment, and implementing agriculture according to the task.
 7. Human -computer interaction method of graphics user interface: Click the column wit"&amp;"h ""execution"" under the mission of the main view on the left side of the main view to enter the interface status change diagram 1; The column enters the interface change state Figure 2; click on the interface change state Figure 2 The column under the l"&amp;"eft side of the left mission is ""overdue"" into the interface change state figure 3; click the interface changes to the red flag icon in the right map on the right. Figure 4 of the interface changes; click the ""Portal Station"" button on the left side o"&amp;"f the main view to enter the interface change state Figure 5; click the interface change state Figure 5 The column of one of the left list on the left enters the interface changes. The ""Portal Equipment"" button on the left side of the view enters the in"&amp;"terface change state. ""The button enters the interface change state Figure 9.
 8. The display screen panel is used for mobile phones, smart TVs, refrigerators and integrated stoves, computers, laptops, tablets, smartphones, smart glasses, watches, smar"&amp;"t watches, smart interactive tablets, smart interactive tablets, smart watches, smart watches, smart watches Education machines, fitness monitor, headset headphones, smart speakers, TV, set -top boxes, game consoles, at least one of the display device for"&amp;" cars, GPS devices, navigators.")</f>
        <v>1. Design product name: Display screen panel with driverless airport management graphic user interface.
 2. The purpose of designing products in this exterior: The design of the product in this exterior is used for running programs, touch interaction, display information, and drone deployment.
 3. Design of the design of the product in this exterior: lies in the graphic user interface in the display screen panel.
 4. Pictures or photos that can most indicate design points: main view.
 5. Rear views, left view, right view, overdue view, and view view are conventional design. The back view, left view, right view, down -view view, upper -view view is omitted.
 6. The purpose of graphical user interface: deploy unmanned airports and operating equipment to the field, and control the operating equipment to automatically collect crop growth, planting environment, and implementing agriculture according to the task.
 7. Human -computer interaction method of graphics user interface: Click the column with "execution" under the mission of the main view on the left side of the main view to enter the interface status change diagram 1; The column enters the interface change state Figure 2; click on the interface change state Figure 2 The column under the left side of the left mission is "overdue" into the interface change state figure 3; click the interface changes to the red flag icon in the right map on the right. Figure 4 of the interface changes; click the "Portal Station" button on the left side of the main view to enter the interface change state Figure 5; click the interface change state Figure 5 The column of one of the left list on the left enters the interface changes. The "Portal Equipment" button on the left side of the view enters the interface change state. "The button enters the interface change state Figure 9.
 8. The display screen panel is used for mobile phones, smart TVs, refrigerators and integrated stoves, computers, laptops, tablets, smartphones, smart glasses, watches, smart watches, smart interactive tablets, smart interactive tablets, smart watches, smart watches, smart watches Education machines, fitness monitor, headset headphones, smart speakers, TV, set -top boxes, game consoles, at least one of the display device for cars, GPS devices, navigators.</v>
      </c>
      <c r="D1486" s="6" t="s">
        <v>4297</v>
      </c>
      <c r="E1486" s="4" t="str">
        <f ca="1">IFERROR(__xludf.DUMMYFUNCTION("GOOGLETRANSLATE(D1486,""auto"",""en"")"),"Display screen panel with unmanned airport management graphic user interface")</f>
        <v>Display screen panel with unmanned airport management graphic user interface</v>
      </c>
    </row>
    <row r="1487" spans="1:5" ht="15" x14ac:dyDescent="0.25">
      <c r="A1487" s="5" t="s">
        <v>4306</v>
      </c>
      <c r="B1487" s="6" t="s">
        <v>4307</v>
      </c>
      <c r="C1487" s="3" t="str">
        <f ca="1">IFERROR(__xludf.DUMMYFUNCTION("GOOGLETRANSLATE(B1487,""auto"",""en"")"),"1. Design product name: Display screen panel with agricultural equipment supervision graphics interface.
 2. The purpose of designing products in this exterior: The design of the product is used for running programs, touch interaction or display informa"&amp;"tion.
 3. Design of design products in this appearance: lies in the graphic user interface in the screen.
 4. Pictures or photos that can most indicate design points: main view.
 5. Rear views, left view, right view, down -view view, and retry view "&amp;"are conventional design. The back view, left view, right view, push -view, upper view view is omitted.
 6. The purpose of the graphic user interface: used to allocate, add and manage agricultural equipment to configure appropriate agricultural equipment"&amp;" for the plot during different planting periods, and facilitate the configuration of agricultural equipment in the plot; of which, of which,, of which,, of which,, of which,, of which,, of which,, of which,, of which,, of which,, of which,, of which,, of "&amp;"which,, of which,, of which,, of which,, of which,, of which,, of which,, of which,, of which,, of which,, of which,, of which,, of which,, of which,, of which,, of which Agricultural equipment includes agricultural machinery, agricultural drone, self -dr"&amp;"iving instrument and agricultural machinery box.
 7. Human -computer interaction method of graphical user interface: After entering the application software including the graphic user interface, display the interface shown in the main view, click the """&amp;"Add Agricultural Machine Supervision"" button in the upper right corner of the interface shown in the main view. Essence
 8. The display screen panel is used for mobile phones, smart TVs, refrigerators and integrated stoves, computers, laptops, tablets,"&amp;" smartphones, smart glasses, watches, smart watches, smart interactive tablets, smart interactive tablets, smart watches, smart watches, smart watches Education machines, fitness monitor, headset headphones, smart speakers, TV, set -top boxes, game machin"&amp;"es, display devices for cars, GPS devices, navigators.")</f>
        <v>1. Design product name: Display screen panel with agricultural equipment supervision graphics interface.
 2. The purpose of designing products in this exterior: The design of the product is used for running programs, touch interaction or display information.
 3. Design of design products in this appearance: lies in the graphic user interface in the screen.
 4. Pictures or photos that can most indicate design points: main view.
 5. Rear views, left view, right view, down -view view, and retry view are conventional design. The back view, left view, right view, push -view, upper view view is omitted.
 6. The purpose of the graphic user interface: used to allocate, add and manage agricultural equipment to configure appropriate agricultural equipment for the plot during different planting periods, and facilitate the configuration of agricultural equipment in the plot; of which, of which,, of which,, of which,, of which,, of which,, of which,, of which,, of which,, of which,, of which,, of which,, of which,, of which,, of which,, of which,, of which,, of which,, of which,, of which,, of which,, of which,, of which,, of which,, of which,, of which,, of which,, of which Agricultural equipment includes agricultural machinery, agricultural drone, self -driving instrument and agricultural machinery box.
 7. Human -computer interaction method of graphical user interface: After entering the application software including the graphic user interface, display the interface shown in the main view, click the "Add Agricultural Machine Supervision" button in the upper right corner of the interface shown in the main view. Essence
 8. The display screen panel is used for mobile phones, smart TVs, refrigerators and integrated stoves, computers, laptops, tablets, smartphones, smart glasses, watches, smart watches, smart interactive tablets, smart interactive tablets, smart watches, smart watches, smart watches Education machines, fitness monitor, headset headphones, smart speakers, TV, set -top boxes, game machines, display devices for cars, GPS devices, navigators.</v>
      </c>
      <c r="D1487" s="6" t="s">
        <v>4308</v>
      </c>
      <c r="E1487" s="4" t="str">
        <f ca="1">IFERROR(__xludf.DUMMYFUNCTION("GOOGLETRANSLATE(D1487,""auto"",""en"")"),"Display screen panel with agricultural equipment supervision graphics interface")</f>
        <v>Display screen panel with agricultural equipment supervision graphics interface</v>
      </c>
    </row>
    <row r="1488" spans="1:5" ht="15" x14ac:dyDescent="0.25">
      <c r="A1488" s="5" t="s">
        <v>4309</v>
      </c>
      <c r="B1488" s="6" t="s">
        <v>4310</v>
      </c>
      <c r="C1488" s="3" t="str">
        <f ca="1">IFERROR(__xludf.DUMMYFUNCTION("GOOGLETRANSLATE(B1488,""auto"",""en"")"),"The present invention discloses an artificial intelligence -based running timing system and method. The system includes: data collection module, pre -processing module, personnel detection module, trajectory detection module, logical judgment module, numb"&amp;"er detection module, cross -line detection module, timing of time Module and grade output module; and are applied to running venues composed of the runway area and the score area. The n runners on the runway in the runway area wear different colors of num"&amp;"ber plates. Wear number plates with the same color, and is divided into the M camera area in turn in the runway area. There are two cameras on the runway in each camera area. One of the cameras is taken along the running direction and the other camera. Th"&amp;"ere are industrial control machines, displays and speakers in the performance area. The present invention can use artificial intelligence to achieve intelligent timing of running time, thereby reducing the teacher's on -site participation, fair grades, an"&amp;"d more accurate than artificial timing.")</f>
        <v>The present invention discloses an artificial intelligence -based running timing system and method. The system includes: data collection module, pre -processing module, personnel detection module, trajectory detection module, logical judgment module, number detection module, cross -line detection module, timing of time Module and grade output module; and are applied to running venues composed of the runway area and the score area. The n runners on the runway in the runway area wear different colors of number plates. Wear number plates with the same color, and is divided into the M camera area in turn in the runway area. There are two cameras on the runway in each camera area. One of the cameras is taken along the running direction and the other camera. There are industrial control machines, displays and speakers in the performance area. The present invention can use artificial intelligence to achieve intelligent timing of running time, thereby reducing the teacher's on -site participation, fair grades, and more accurate than artificial timing.</v>
      </c>
      <c r="D1488" s="6" t="s">
        <v>4311</v>
      </c>
      <c r="E1488" s="4" t="str">
        <f ca="1">IFERROR(__xludf.DUMMYFUNCTION("GOOGLETRANSLATE(D1488,""auto"",""en"")"),"An artificial intelligence -based running intelligent timing system and method and method")</f>
        <v>An artificial intelligence -based running intelligent timing system and method and method</v>
      </c>
    </row>
    <row r="1489" spans="1:5" ht="15" x14ac:dyDescent="0.25">
      <c r="A1489" s="5" t="s">
        <v>4312</v>
      </c>
      <c r="B1489" s="6" t="s">
        <v>4313</v>
      </c>
      <c r="C1489" s="3" t="str">
        <f ca="1">IFERROR(__xludf.DUMMYFUNCTION("GOOGLETRANSLATE(B1489,""auto"",""en"")"),"1. Design product name: Sports training robot.
 2. Design products in this exterior: smart robots used to assist sports training.
 3. Design of the design of the product in appearance: lies in the shape.
 4. Pictures or photos that can best show des"&amp;"ign: stereo.
 5. The bottom surface of the product is not easy to see or visible when using the product.")</f>
        <v>1. Design product name: Sports training robot.
 2. Design products in this exterior: smart robots used to assist sports training.
 3. Design of the design of the product in appearance: lies in the shape.
 4. Pictures or photos that can best show design: stereo.
 5. The bottom surface of the product is not easy to see or visible when using the product.</v>
      </c>
      <c r="D1489" s="6" t="s">
        <v>231</v>
      </c>
      <c r="E1489" s="4" t="str">
        <f ca="1">IFERROR(__xludf.DUMMYFUNCTION("GOOGLETRANSLATE(D1489,""auto"",""en"")"),"Sports training robot")</f>
        <v>Sports training robot</v>
      </c>
    </row>
    <row r="1490" spans="1:5" ht="15" x14ac:dyDescent="0.25">
      <c r="A1490" s="5" t="s">
        <v>4314</v>
      </c>
      <c r="B1490" s="6" t="s">
        <v>4315</v>
      </c>
      <c r="C1490" s="3" t="str">
        <f ca="1">IFERROR(__xludf.DUMMYFUNCTION("GOOGLETRANSLATE(B1490,""auto"",""en"")"),"The present invention belongs to the field of power station group control technology. A one -click control method of a step -level power station group has been disclosed, including steps: obtain historical regulation data, and the data entry of the histor"&amp;"ical regulation of the description is to form a tuning library; The tuning library is matched and associated, and the decree ID corresponding to the adjustment of the typical ticket in the tone library is associated; the specific operating items in the ty"&amp;"pical ticket are associated with the ID of the order of the order, and the establishment of the ticket rules is established; The present invention uses artificial intelligence technology to achieve intelligent votes, realize network orders, etc., and upda"&amp;"te the traditional scheduling business model as a new information regulatory management model with artificial intelligence as the core. Under the phone, the traditional scheduling business model is ordered.")</f>
        <v>The present invention belongs to the field of power station group control technology. A one -click control method of a step -level power station group has been disclosed, including steps: obtain historical regulation data, and the data entry of the historical regulation of the description is to form a tuning library; The tuning library is matched and associated, and the decree ID corresponding to the adjustment of the typical ticket in the tone library is associated; the specific operating items in the typical ticket are associated with the ID of the order of the order, and the establishment of the ticket rules is established; The present invention uses artificial intelligence technology to achieve intelligent votes, realize network orders, etc., and update the traditional scheduling business model as a new information regulatory management model with artificial intelligence as the core. Under the phone, the traditional scheduling business model is ordered.</v>
      </c>
      <c r="D1490" s="6" t="s">
        <v>4316</v>
      </c>
      <c r="E1490" s="4" t="str">
        <f ca="1">IFERROR(__xludf.DUMMYFUNCTION("GOOGLETRANSLATE(D1490,""auto"",""en"")"),"A one -click control method and platform of a step -level power station group")</f>
        <v>A one -click control method and platform of a step -level power station group</v>
      </c>
    </row>
    <row r="1491" spans="1:5" ht="15" x14ac:dyDescent="0.25">
      <c r="A1491" s="5" t="s">
        <v>4317</v>
      </c>
      <c r="B1491" s="6" t="s">
        <v>4318</v>
      </c>
      <c r="C1491" s="3" t="str">
        <f ca="1">IFERROR(__xludf.DUMMYFUNCTION("GOOGLETRANSLATE(B1491,""auto"",""en"")"),"This utility model opens a smart robot picking machine involving an artificial intelligence field. The intelligent robot picks up the ball, the outer surface of the traction car is fixed with a photovoltaic board, the internal fixed installation of the tr"&amp;"arta is equipped with a battery. The top of the battery is fixed with an integrated motherboard. The wheels, activity gears and rotation shafts, the number of walking wheels is two groups and fixedly fixed on the outside of the two ends of the axis. The o"&amp;"uter surface of the walking wheels is opened with a curved groove. Inside, there is a spring inside. The intelligent robot picking machine is automatically picking up the ball on the tennis court, and at the same time facilitated the tennis to enter the i"&amp;"nside of the bag storage bag.")</f>
        <v>This utility model opens a smart robot picking machine involving an artificial intelligence field. The intelligent robot picks up the ball, the outer surface of the traction car is fixed with a photovoltaic board, the internal fixed installation of the trarta is equipped with a battery. The top of the battery is fixed with an integrated motherboard. The wheels, activity gears and rotation shafts, the number of walking wheels is two groups and fixedly fixed on the outside of the two ends of the axis. The outer surface of the walking wheels is opened with a curved groove. Inside, there is a spring inside. The intelligent robot picking machine is automatically picking up the ball on the tennis court, and at the same time facilitated the tennis to enter the inside of the bag storage bag.</v>
      </c>
      <c r="D1491" s="6" t="s">
        <v>4319</v>
      </c>
      <c r="E1491" s="4" t="str">
        <f ca="1">IFERROR(__xludf.DUMMYFUNCTION("GOOGLETRANSLATE(D1491,""auto"",""en"")"),"A smart robot picking machine")</f>
        <v>A smart robot picking machine</v>
      </c>
    </row>
    <row r="1492" spans="1:5" ht="15" x14ac:dyDescent="0.25">
      <c r="A1492" s="5" t="s">
        <v>4320</v>
      </c>
      <c r="B1492" s="6" t="s">
        <v>4321</v>
      </c>
      <c r="C1492" s="3" t="str">
        <f ca="1">IFERROR(__xludf.DUMMYFUNCTION("GOOGLETRANSLATE(B1492,""auto"",""en"")"),"[0001] The present invention involves a fitness equipment epidemic prevention management system and method, and more specifically, to determine the fitness location by the sports information collected by the Internet of Things fitness sports information a"&amp;"ttached to people's commonly used fitness equipment, and whether it is managed whether it is managed fitness. When each fitness device is used, remind users to prevent users from using fitness equipment adjacent to the fitness equipment that are being use"&amp;"d, and if the fitness equipment meets certain historical conditions, it is reminded that the fitness device is an automatic request for disinfection equipment to request for disinfection equipment. Managers disinfected the infectious disease prevention ma"&amp;"nagement system and methods of fitness equipment that disinfected the corresponding fitness equipment.")</f>
        <v>[0001] The present invention involves a fitness equipment epidemic prevention management system and method, and more specifically, to determine the fitness location by the sports information collected by the Internet of Things fitness sports information attached to people's commonly used fitness equipment, and whether it is managed whether it is managed fitness. When each fitness device is used, remind users to prevent users from using fitness equipment adjacent to the fitness equipment that are being used, and if the fitness equipment meets certain historical conditions, it is reminded that the fitness device is an automatic request for disinfection equipment to request for disinfection equipment. Managers disinfected the infectious disease prevention management system and methods of fitness equipment that disinfected the corresponding fitness equipment.</v>
      </c>
      <c r="D1492" s="6" t="s">
        <v>4322</v>
      </c>
      <c r="E1492" s="4" t="str">
        <f ca="1">IFERROR(__xludf.DUMMYFUNCTION("GOOGLETRANSLATE(D1492,""auto"",""en"")"),"Fitness equipment epidemic prevention management system and method")</f>
        <v>Fitness equipment epidemic prevention management system and method</v>
      </c>
    </row>
    <row r="1493" spans="1:5" ht="15" x14ac:dyDescent="0.25">
      <c r="A1493" s="5" t="s">
        <v>4323</v>
      </c>
      <c r="B1493" s="6" t="s">
        <v>4324</v>
      </c>
      <c r="C1493" s="3" t="str">
        <f ca="1">IFERROR(__xludf.DUMMYFUNCTION("GOOGLETRANSLATE(B1493,""auto"",""en"")"),"[0001] The present invention involves an accessible information collection device and method that can be attached to the Internet of Things fitness sports. More specifically, it involves a detachable and attached fitness sports device (or ""fitness device"&amp;"""). Sport information collection devices and methods are used to collect wireless transmission user sports information on fitness devices when users use fitness devices for exercise.")</f>
        <v>[0001] The present invention involves an accessible information collection device and method that can be attached to the Internet of Things fitness sports. More specifically, it involves a detachable and attached fitness sports device (or "fitness device"). Sport information collection devices and methods are used to collect wireless transmission user sports information on fitness devices when users use fitness devices for exercise.</v>
      </c>
      <c r="D1493" s="6" t="s">
        <v>4325</v>
      </c>
      <c r="E1493" s="4" t="str">
        <f ca="1">IFERROR(__xludf.DUMMYFUNCTION("GOOGLETRANSLATE(D1493,""auto"",""en"")"),"It can be attached to the Internet of Things fitness sports information collection device and method")</f>
        <v>It can be attached to the Internet of Things fitness sports information collection device and method</v>
      </c>
    </row>
    <row r="1494" spans="1:5" ht="15" x14ac:dyDescent="0.25">
      <c r="A1494" s="5" t="s">
        <v>4326</v>
      </c>
      <c r="B1494" s="6" t="s">
        <v>4327</v>
      </c>
      <c r="C1494" s="3" t="str">
        <f ca="1">IFERROR(__xludf.DUMMYFUNCTION("GOOGLETRANSLATE(B1494,""auto"",""en"")"),"[0001] The present invention involves a fitness management system and method, and more specific, it involves a fitness sports equipment (or ""fitness equipment""), which is Essence Through the application of fitness sports information collection devices, "&amp;"transmitting sports information, including the amount of exercise, it involves a fitness sports management system and method, which can automatically record and manage sports management information, including sports information and physical response infor"&amp;"mation, allowing users to allow users to allow users View management information anytime, anywhere.")</f>
        <v>[0001] The present invention involves a fitness management system and method, and more specific, it involves a fitness sports equipment (or "fitness equipment"), which is Essence Through the application of fitness sports information collection devices, transmitting sports information, including the amount of exercise, it involves a fitness sports management system and method, which can automatically record and manage sports management information, including sports information and physical response information, allowing users to allow users to allow users View management information anytime, anywhere.</v>
      </c>
      <c r="D1494" s="6" t="s">
        <v>4328</v>
      </c>
      <c r="E1494" s="4" t="str">
        <f ca="1">IFERROR(__xludf.DUMMYFUNCTION("GOOGLETRANSLATE(D1494,""auto"",""en"")"),"Fitness sports management system and method")</f>
        <v>Fitness sports management system and method</v>
      </c>
    </row>
    <row r="1495" spans="1:5" ht="15" x14ac:dyDescent="0.25">
      <c r="A1495" s="5" t="s">
        <v>4329</v>
      </c>
      <c r="B1495" s="6" t="s">
        <v>4330</v>
      </c>
      <c r="C1495" s="3" t="str">
        <f ca="1">IFERROR(__xludf.DUMMYFUNCTION("GOOGLETRANSLATE(B1495,""auto"",""en"")"),"Examples include historical score data based on artificial intelligence and/or machine learning to generate sports analysis based on historical score data based on specific teams, athletes, events or other related data. Machine learning can be applied to "&amp;"historical data to increase betting odds. The odds module can analyze the correlation between the results of the event and the available parameters in advance to provide accurate and latest odds.")</f>
        <v>Examples include historical score data based on artificial intelligence and/or machine learning to generate sports analysis based on historical score data based on specific teams, athletes, events or other related data. Machine learning can be applied to historical data to increase betting odds. The odds module can analyze the correlation between the results of the event and the available parameters in advance to provide accurate and latest odds.</v>
      </c>
      <c r="D1495" s="6" t="s">
        <v>4331</v>
      </c>
      <c r="E1495" s="4" t="str">
        <f ca="1">IFERROR(__xludf.DUMMYFUNCTION("GOOGLETRANSLATE(D1495,""auto"",""en"")"),"Artificial intelligence and machine learning enhancement betting odds methods, systems and devices")</f>
        <v>Artificial intelligence and machine learning enhancement betting odds methods, systems and devices</v>
      </c>
    </row>
    <row r="1496" spans="1:5" ht="15" x14ac:dyDescent="0.25">
      <c r="A1496" s="5" t="s">
        <v>4332</v>
      </c>
      <c r="B1496" s="6" t="s">
        <v>4333</v>
      </c>
      <c r="C1496" s="3" t="str">
        <f ca="1">IFERROR(__xludf.DUMMYFUNCTION("GOOGLETRANSLATE(B1496,""auto"",""en"")"),"A method and device of the daily living behavior of users are classified by entering the CNN model and LSTM model collected by the acceleration meter sensor and gyroscope sensor to enter the data of deep learning training. The method of classifying daily "&amp;"activities based on the embodiment of the present invention includes: obtaining the motion sensor data through the wearable data collection unit; the processor executes the pre -processing task, and uses the motion sensor data as the training data or inpu"&amp;"t data of the CNN model and the LSTM model. ; Step, the motion sensor data completed by the processor by entering the pre -processing task is used as the training data, training the CNN model and LSTM model; Among them, the daily life movement of users, r"&amp;"unning movements, and sitting or standing movements in the falling movement, standing movement, and walking movement. Classification is any type; including. Therefore, you can not apply the collected data to a learning model. Instead, you can use the CNN "&amp;"model and each of each of the LSTM model to generate multiple predicted models, but the voting process of each prediction model is more accurately daily life. Classification of behavior. Yes")</f>
        <v>A method and device of the daily living behavior of users are classified by entering the CNN model and LSTM model collected by the acceleration meter sensor and gyroscope sensor to enter the data of deep learning training. The method of classifying daily activities based on the embodiment of the present invention includes: obtaining the motion sensor data through the wearable data collection unit; the processor executes the pre -processing task, and uses the motion sensor data as the training data or input data of the CNN model and the LSTM model. ; Step, the motion sensor data completed by the processor by entering the pre -processing task is used as the training data, training the CNN model and LSTM model; Among them, the daily life movement of users, running movements, and sitting or standing movements in the falling movement, standing movement, and walking movement. Classification is any type; including. Therefore, you can not apply the collected data to a learning model. Instead, you can use the CNN model and each of each of the LSTM model to generate multiple predicted models, but the voting process of each prediction model is more accurately daily life. Classification of behavior. Yes</v>
      </c>
      <c r="D1496" s="6" t="s">
        <v>4334</v>
      </c>
      <c r="E1496" s="4" t="str">
        <f ca="1">IFERROR(__xludf.DUMMYFUNCTION("GOOGLETRANSLATE(D1496,""auto"",""en"")"),"Based on the integration supervision of wearable equipment using the nameplate device, the method and device of the daily life movement are classified")</f>
        <v>Based on the integration supervision of wearable equipment using the nameplate device, the method and device of the daily life movement are classified</v>
      </c>
    </row>
    <row r="1497" spans="1:5" ht="15" x14ac:dyDescent="0.25">
      <c r="A1497" s="5" t="s">
        <v>4335</v>
      </c>
      <c r="B1497" s="6" t="s">
        <v>4336</v>
      </c>
      <c r="C1497" s="3" t="str">
        <f ca="1">IFERROR(__xludf.DUMMYFUNCTION("GOOGLETRANSLATE(B1497,""auto"",""en"")"),"In this era, people are busy with daily life and take care of the elderly with chronic dysfunction and mental health problems. Due to the limited medical facilities and human resources, it is difficult to manage patients and people who have serious basic "&amp;"diseases at any age group. The proposed ""Saksham"" system is encouraging to reduce social contact and supervision. It includes a system application module of medical containers, buttons, beeurges, sannuanas, LCDs, LEDs, and connecting communication devic"&amp;"es. It is a solution based on the Internet of Things, which can be programmed and controlled using mobile applications. The system can customize and set it according to the requirements of the end user. It reminds patients to take medicine at the dose by "&amp;"alarm and perform physical exercise and eating at the scheduled time. If the patient does not respond to the alarm, the recommended system will send alert message to the guardian. It enables the nursing staff to remotely monitor patients without disturbin"&amp;"g him/her own work.")</f>
        <v>In this era, people are busy with daily life and take care of the elderly with chronic dysfunction and mental health problems. Due to the limited medical facilities and human resources, it is difficult to manage patients and people who have serious basic diseases at any age group. The proposed "Saksham" system is encouraging to reduce social contact and supervision. It includes a system application module of medical containers, buttons, beeurges, sannuanas, LCDs, LEDs, and connecting communication devices. It is a solution based on the Internet of Things, which can be programmed and controlled using mobile applications. The system can customize and set it according to the requirements of the end user. It reminds patients to take medicine at the dose by alarm and perform physical exercise and eating at the scheduled time. If the patient does not respond to the alarm, the recommended system will send alert message to the guardian. It enables the nursing staff to remotely monitor patients without disturbing him/her own work.</v>
      </c>
      <c r="D1497" s="6" t="s">
        <v>4337</v>
      </c>
      <c r="E1497" s="4" t="str">
        <f ca="1">IFERROR(__xludf.DUMMYFUNCTION("GOOGLETRANSLATE(D1497,""auto"",""en"")"),"Saksham elderly medical cane")</f>
        <v>Saksham elderly medical cane</v>
      </c>
    </row>
    <row r="1498" spans="1:5" ht="15" x14ac:dyDescent="0.25">
      <c r="A1498" s="5" t="s">
        <v>4338</v>
      </c>
      <c r="B1498" s="6" t="s">
        <v>4339</v>
      </c>
      <c r="C1498" s="3" t="str">
        <f ca="1">IFERROR(__xludf.DUMMYFUNCTION("GOOGLETRANSLATE(B1498,""auto"",""en"")"),"Methods for detecting mob (10-12) in specific areas (5), including the following steps: -Seter multiple physical cameras around the area (5); The corresponding part of the panoramic view (23) (26) and the selected view (26) to distort the square view (27)"&amp;" to define one or more virtual camera view views (25); 10 -twist each one to distort each one The view (27) is sent to the deep learning neural network; -The test in the corresponding part of the area (5).")</f>
        <v>Methods for detecting mob (10-12) in specific areas (5), including the following steps: -Seter multiple physical cameras around the area (5); The corresponding part of the panoramic view (23) (26) and the selected view (26) to distort the square view (27) to define one or more virtual camera view views (25); 10 -twist each one to distort each one The view (27) is sent to the deep learning neural network; -The test in the corresponding part of the area (5).</v>
      </c>
      <c r="D1498" s="6" t="s">
        <v>4340</v>
      </c>
      <c r="E1498" s="4" t="str">
        <f ca="1">IFERROR(__xludf.DUMMYFUNCTION("GOOGLETRANSLATE(D1498,""auto"",""en"")"),"The method of detecting and.")</f>
        <v>The method of detecting and.</v>
      </c>
    </row>
    <row r="1499" spans="1:5" ht="15" x14ac:dyDescent="0.25">
      <c r="A1499" s="5" t="s">
        <v>4341</v>
      </c>
      <c r="B1499" s="6" t="s">
        <v>4342</v>
      </c>
      <c r="C1499" s="3" t="str">
        <f ca="1">IFERROR(__xludf.DUMMYFUNCTION("GOOGLETRANSLATE(B1499,""auto"",""en"")"),"One processor, including one or more circuits, the circuit uses at least one neural network at least in part of the accumulation of accumulation based on the status of the game 504 to generate a recommended 506 for players. The processor receives the inpu"&amp;"t data 502 and converts the data into multiple feature vectors corresponding to the public mode. Entering data can be the form of game event data, gameplay data, statistics, chat data, biological characteristics data, or player skills data. Multiple featu"&amp;"re vectors can be encoded into the potential space, and the potential space represents the gameplay time window that represents changes in the state. The neural network includes a confrontation network to accept potential space to generate recommendations"&amp;". A system, method, method, a group of instructions stored on it, and a readable medium that can be stored on it, and the player coaching system used to provide players with recommended players.")</f>
        <v>One processor, including one or more circuits, the circuit uses at least one neural network at least in part of the accumulation of accumulation based on the status of the game 504 to generate a recommended 506 for players. The processor receives the input data 502 and converts the data into multiple feature vectors corresponding to the public mode. Entering data can be the form of game event data, gameplay data, statistics, chat data, biological characteristics data, or player skills data. Multiple feature vectors can be encoded into the potential space, and the potential space represents the gameplay time window that represents changes in the state. The neural network includes a confrontation network to accept potential space to generate recommendations. A system, method, method, a group of instructions stored on it, and a readable medium that can be stored on it, and the player coaching system used to provide players with recommended players.</v>
      </c>
      <c r="D1499" s="6" t="s">
        <v>4343</v>
      </c>
      <c r="E1499" s="4" t="str">
        <f ca="1">IFERROR(__xludf.DUMMYFUNCTION("GOOGLETRANSLATE(D1499,""auto"",""en"")"),"Use one or more neural networks to generate recommendation")</f>
        <v>Use one or more neural networks to generate recommendation</v>
      </c>
    </row>
    <row r="1500" spans="1:5" ht="15" x14ac:dyDescent="0.25">
      <c r="A1500" s="5" t="s">
        <v>4344</v>
      </c>
      <c r="B1500" s="6" t="s">
        <v>4339</v>
      </c>
      <c r="C1500" s="3" t="str">
        <f ca="1">IFERROR(__xludf.DUMMYFUNCTION("GOOGLETRANSLATE(B1500,""auto"",""en"")"),"Methods for detecting mob (10-12) in specific areas (5), including the following steps: -Seter multiple physical cameras around the area (5); The corresponding part of the panoramic view (23) (26) and the selected view (26) to distort the square view (27)"&amp;" to define one or more virtual camera view views (25); 10 -twist each one to distort each one The view (27) is sent to the deep learning neural network; -The test in the corresponding part of the area (5).")</f>
        <v>Methods for detecting mob (10-12) in specific areas (5), including the following steps: -Seter multiple physical cameras around the area (5); The corresponding part of the panoramic view (23) (26) and the selected view (26) to distort the square view (27) to define one or more virtual camera view views (25); 10 -twist each one to distort each one The view (27) is sent to the deep learning neural network; -The test in the corresponding part of the area (5).</v>
      </c>
      <c r="D1500" s="6" t="s">
        <v>4340</v>
      </c>
      <c r="E1500" s="4" t="str">
        <f ca="1">IFERROR(__xludf.DUMMYFUNCTION("GOOGLETRANSLATE(D1500,""auto"",""en"")"),"The method of detecting and.")</f>
        <v>The method of detecting and.</v>
      </c>
    </row>
    <row r="1501" spans="1:5" ht="15" x14ac:dyDescent="0.25">
      <c r="A1501" s="5" t="s">
        <v>4345</v>
      </c>
      <c r="B1501" s="6" t="s">
        <v>4346</v>
      </c>
      <c r="C1501" s="3" t="str">
        <f ca="1">IFERROR(__xludf.DUMMYFUNCTION("GOOGLETRANSLATE(B1501,""auto"",""en"")"),"A method for detecting moving objects in a specific area, including providing multiple physical cameras around the area and using these cameras to synthesize panoramic video streams. When forming a panoramic video stream, it defines one or more virtual ca"&amp;"mera views by selecting the corresponding part of the panoramic view and distorting the selected part of the view to distort it into a square view. Each distorted view is input deep learning neural network, and then detects the corresponding part of the a"&amp;"rea.")</f>
        <v>A method for detecting moving objects in a specific area, including providing multiple physical cameras around the area and using these cameras to synthesize panoramic video streams. When forming a panoramic video stream, it defines one or more virtual camera views by selecting the corresponding part of the panoramic view and distorting the selected part of the view to distort it into a square view. Each distorted view is input deep learning neural network, and then detects the corresponding part of the area.</v>
      </c>
      <c r="D1501" s="6" t="s">
        <v>4347</v>
      </c>
      <c r="E1501" s="4" t="str">
        <f ca="1">IFERROR(__xludf.DUMMYFUNCTION("GOOGLETRANSLATE(D1501,""auto"",""en"")"),"Methods used to detect and/or track the movement objects in a specific area, and the sports video production system that implements this method")</f>
        <v>Methods used to detect and/or track the movement objects in a specific area, and the sports video production system that implements this method</v>
      </c>
    </row>
    <row r="1502" spans="1:5" ht="15" x14ac:dyDescent="0.25">
      <c r="A1502" s="5" t="s">
        <v>4348</v>
      </c>
      <c r="B1502" s="6" t="s">
        <v>4349</v>
      </c>
      <c r="C1502" s="3" t="str">
        <f ca="1">IFERROR(__xludf.DUMMYFUNCTION("GOOGLETRANSLATE(B1502,""auto"",""en"")"),"The present invention disclosed a key point intelligent tracking method based on computer vision. At the beginning of the test, the person measured was allowed to do some specific actions through video and audio prompts to obtain the key point feature inf"&amp;"ormation of the measured person. Video collection of human movements from multiple industrial synchronous cameras from multiple angles, using human posture algorithm to locate the scope of the key point of the human body on each picture, and then use the "&amp;"SIFT algorithm to finely position each key point. Click the 2D location information on the picture. Combined with the perspective information of multi -camera, the key points of multiple pictures 2D position information into 3D location information, combi"&amp;"ned with the characteristics of continuous capture of video, complete the 3D tracking positioning of multiple key points. The method of the present invention realizes the key point of sub -pixels, has the accuracy of millimeter level, has great applicatio"&amp;"n value for human action analysis such as sports and other human action, and is of great significance to improving the level of sports technology.")</f>
        <v>The present invention disclosed a key point intelligent tracking method based on computer vision. At the beginning of the test, the person measured was allowed to do some specific actions through video and audio prompts to obtain the key point feature information of the measured person. Video collection of human movements from multiple industrial synchronous cameras from multiple angles, using human posture algorithm to locate the scope of the key point of the human body on each picture, and then use the SIFT algorithm to finely position each key point. Click the 2D location information on the picture. Combined with the perspective information of multi -camera, the key points of multiple pictures 2D position information into 3D location information, combined with the characteristics of continuous capture of video, complete the 3D tracking positioning of multiple key points. The method of the present invention realizes the key point of sub -pixels, has the accuracy of millimeter level, has great application value for human action analysis such as sports and other human action, and is of great significance to improving the level of sports technology.</v>
      </c>
      <c r="D1502" s="6" t="s">
        <v>4350</v>
      </c>
      <c r="E1502" s="4" t="str">
        <f ca="1">IFERROR(__xludf.DUMMYFUNCTION("GOOGLETRANSLATE(D1502,""auto"",""en"")"),"A computer visual human body key point intelligent tracking method")</f>
        <v>A computer visual human body key point intelligent tracking method</v>
      </c>
    </row>
    <row r="1503" spans="1:5" ht="15" x14ac:dyDescent="0.25">
      <c r="A1503" s="5" t="s">
        <v>4351</v>
      </c>
      <c r="B1503" s="6" t="s">
        <v>4352</v>
      </c>
      <c r="C1503" s="3" t="str">
        <f ca="1">IFERROR(__xludf.DUMMYFUNCTION("GOOGLETRANSLATE(B1503,""auto"",""en"")"),"The purpose of the present invention is to achieve a new plasma diagnostic system. The system can diagnose plasma in real time using a spectrometer that is easy to obtain, and further the purpose of data input and learning of data input and learning. Spec"&amp;"ies of a plasma diagnostic treadmill system can quickly obtain plasma diagnostic results from the instrument results.
  According to the above goals, the present invention provides a plasma spectrum obtained from the spectrometer and the plasma diagnost"&amp;"ic variable calculated from spectrum computing as the input data of the treadmill and train it. It provides an input diagnostic system.")</f>
        <v>The purpose of the present invention is to achieve a new plasma diagnostic system. The system can diagnose plasma in real time using a spectrometer that is easy to obtain, and further the purpose of data input and learning of data input and learning. Species of a plasma diagnostic treadmill system can quickly obtain plasma diagnostic results from the instrument results.
  According to the above goals, the present invention provides a plasma spectrum obtained from the spectrometer and the plasma diagnostic variable calculated from spectrum computing as the input data of the treadmill and train it. It provides an input diagnostic system.</v>
      </c>
      <c r="D1503" s="6" t="s">
        <v>4353</v>
      </c>
      <c r="E1503" s="4" t="str">
        <f ca="1">IFERROR(__xludf.DUMMYFUNCTION("GOOGLETRANSLATE(D1503,""auto"",""en"")"),"Air plasma diagnosis system using nitrogen OES")</f>
        <v>Air plasma diagnosis system using nitrogen OES</v>
      </c>
    </row>
    <row r="1504" spans="1:5" ht="15" x14ac:dyDescent="0.25">
      <c r="A1504" s="5" t="s">
        <v>4354</v>
      </c>
      <c r="B1504" s="6" t="s">
        <v>4355</v>
      </c>
      <c r="C1504" s="3" t="str">
        <f ca="1">IFERROR(__xludf.DUMMYFUNCTION("GOOGLETRANSLATE(B1504,""auto"",""en"")"),"E -sports has become a popular type of players and audiences, and has promoted the global entertainment industry. The research of e -sports has developed to solving the demand for data -driven feedback. This feedback focuses on the evaluation, strategy an"&amp;"d prediction of network athletes. The focus of the project is to create and compare various models to predict the possible winners of professional competitions based on data recorded by various e -sports competitions. Professional games have the highest i"&amp;"ndustry and audience attention, but the number is limited. The project dominates deep learning and machine learning, where the forecast is carried out by the model we will build. This project can play an important role in measuring which model is most sui"&amp;"table for predicting the results of the game.")</f>
        <v>E -sports has become a popular type of players and audiences, and has promoted the global entertainment industry. The research of e -sports has developed to solving the demand for data -driven feedback. This feedback focuses on the evaluation, strategy and prediction of network athletes. The focus of the project is to create and compare various models to predict the possible winners of professional competitions based on data recorded by various e -sports competitions. Professional games have the highest industry and audience attention, but the number is limited. The project dominates deep learning and machine learning, where the forecast is carried out by the model we will build. This project can play an important role in measuring which model is most suitable for predicting the results of the game.</v>
      </c>
      <c r="D1504" s="6" t="s">
        <v>4356</v>
      </c>
      <c r="E1504" s="4" t="str">
        <f ca="1">IFERROR(__xludf.DUMMYFUNCTION("GOOGLETRANSLATE(D1504,""auto"",""en"")"),"Various model prediction analysis comparison of e -sports competitions")</f>
        <v>Various model prediction analysis comparison of e -sports competitions</v>
      </c>
    </row>
    <row r="1505" spans="1:5" ht="15" x14ac:dyDescent="0.25">
      <c r="A1505" s="5" t="s">
        <v>4357</v>
      </c>
      <c r="B1505" s="6" t="s">
        <v>4358</v>
      </c>
      <c r="C1505" s="3" t="str">
        <f ca="1">IFERROR(__xludf.DUMMYFUNCTION("GOOGLETRANSLATE(B1505,""auto"",""en"")"),"The present invention disclosed a sports remote measurement equipment based on computer vision artificial intelligence technology. It uses human face recognition algorithm to automatically identify the remote athletes of the athletes. Determine the locati"&amp;"on information of the remote athletes, combined with the projection ruler information, finally calculate the distance from the jump to the landing site, and automatically store it in the athlete's performance file. The degree of automation of the present "&amp;"invention is high, which greatly saves the labor cost of sports remote measurement. It can objectively and accurately record long -distance jumping. It is of great significance to improve the level of sports technology and has great application value.")</f>
        <v>The present invention disclosed a sports remote measurement equipment based on computer vision artificial intelligence technology. It uses human face recognition algorithm to automatically identify the remote athletes of the athletes. Determine the location information of the remote athletes, combined with the projection ruler information, finally calculate the distance from the jump to the landing site, and automatically store it in the athlete's performance file. The degree of automation of the present invention is high, which greatly saves the labor cost of sports remote measurement. It can objectively and accurately record long -distance jumping. It is of great significance to improve the level of sports technology and has great application value.</v>
      </c>
      <c r="D1505" s="6" t="s">
        <v>4359</v>
      </c>
      <c r="E1505" s="4" t="str">
        <f ca="1">IFERROR(__xludf.DUMMYFUNCTION("GOOGLETRANSLATE(D1505,""auto"",""en"")"),"A sports remote measurement equipment based on computer vision artificial intelligence")</f>
        <v>A sports remote measurement equipment based on computer vision artificial intelligence</v>
      </c>
    </row>
    <row r="1506" spans="1:5" ht="15" x14ac:dyDescent="0.25">
      <c r="A1506" s="5" t="s">
        <v>4360</v>
      </c>
      <c r="B1506" s="6" t="s">
        <v>4361</v>
      </c>
      <c r="C1506" s="3" t="str">
        <f ca="1">IFERROR(__xludf.DUMMYFUNCTION("GOOGLETRANSLATE(B1506,""auto"",""en"")"),"[658] Our invention enhanced immune system: The use of machine learning programming to predict immune and physical health is an early cancer name, because it can prevent additional complications and save patients' lives by treating diseases at the most cu"&amp;"re. During the present invention, we tend to propose an alternative artificial system model for association classification, which has competitive performance in cancer testing. [660] The model in the plan has its foundation in the biological system. It im"&amp;"itate the detection skills of the immune system to provide the correct antigen recognition. Wilcoxon test is used to determine important changes between our proposal and alternative classification algorithms that support the same bionic model. [662] The p"&amp;"resent invention is also used in mathematical testing, which proves the improved performance of the plan model display through an immune -based algorithm. The plan of the plan is tested, which is competitive compared to the well -known classification mode"&amp;"ls replaced. In addition, the model is on the verge of occasional process value. [664] The success of the model in the classification task shows that group intelligence helps to solve the shortcomings of this type. It is not limited to improving tasks 12 "&amp;"Total No of Sheet: 003 No of Fig: 03 Recognize 100 kinds of immune and physical antigen fitness fitness Use 102 machine learning programming to predict. Production of the initial 116 antibodies \ I4 production selection new +--cross RETSOLTR antibody muta"&amp;"tion calculation \ 12 affinity N14 106 106 11 08 No promotion and termination? Anti-antibody generation is 108 results Figure 1: Use machine learning programming for immune prediction.")</f>
        <v>[658] Our invention enhanced immune system: The use of machine learning programming to predict immune and physical health is an early cancer name, because it can prevent additional complications and save patients' lives by treating diseases at the most cure. During the present invention, we tend to propose an alternative artificial system model for association classification, which has competitive performance in cancer testing. [660] The model in the plan has its foundation in the biological system. It imitate the detection skills of the immune system to provide the correct antigen recognition. Wilcoxon test is used to determine important changes between our proposal and alternative classification algorithms that support the same bionic model. [662] The present invention is also used in mathematical testing, which proves the improved performance of the plan model display through an immune -based algorithm. The plan of the plan is tested, which is competitive compared to the well -known classification models replaced. In addition, the model is on the verge of occasional process value. [664] The success of the model in the classification task shows that group intelligence helps to solve the shortcomings of this type. It is not limited to improving tasks 12 Total No of Sheet: 003 No of Fig: 03 Recognize 100 kinds of immune and physical antigen fitness fitness Use 102 machine learning programming to predict. Production of the initial 116 antibodies \ I4 production selection new +--cross RETSOLTR antibody mutation calculation \ 12 affinity N14 106 106 11 08 No promotion and termination? Anti-antibody generation is 108 results Figure 1: Use machine learning programming for immune prediction.</v>
      </c>
      <c r="D1506" s="6" t="s">
        <v>4362</v>
      </c>
      <c r="E1506" s="4" t="str">
        <f ca="1">IFERROR(__xludf.DUMMYFUNCTION("GOOGLETRANSLATE(D1506,""auto"",""en"")"),"Use machine learning programming for immune and physical health prediction.")</f>
        <v>Use machine learning programming for immune and physical health prediction.</v>
      </c>
    </row>
    <row r="1507" spans="1:5" ht="15" x14ac:dyDescent="0.25">
      <c r="A1507" s="5" t="s">
        <v>4363</v>
      </c>
      <c r="B1507" s="6" t="s">
        <v>4364</v>
      </c>
      <c r="C1507" s="3" t="str">
        <f ca="1">IFERROR(__xludf.DUMMYFUNCTION("GOOGLETRANSLATE(B1507,""auto"",""en"")"),"The invention disclose a multi -perception of human -machine interaction systems and methods in commercial fitness scenarios, involving technical fields such as deep learning, machine vision and multi -sensor fusion. Essence This system includes informati"&amp;"on acquisition modules, information processing/recording modules and human -computer interaction modules, information acquisition module collection user ID information and sensor/human posture information, then information processing and records, and comp"&amp;"letion of error correction and data analysis. Finally, people pass through people through people. The interconnection module displays the processing result and performs user feedback at the same time. Each module of the system cooperates with each other t"&amp;"o complete the functions of information entry, information collection, information processing and display, and can be adjusted in time according to user needs, which can complete the intelligent transformation of commercial gyms and meet the daily needs o"&amp;"f the fitness.")</f>
        <v>The invention disclose a multi -perception of human -machine interaction systems and methods in commercial fitness scenarios, involving technical fields such as deep learning, machine vision and multi -sensor fusion. Essence This system includes information acquisition modules, information processing/recording modules and human -computer interaction modules, information acquisition module collection user ID information and sensor/human posture information, then information processing and records, and completion of error correction and data analysis. Finally, people pass through people through people. The interconnection module displays the processing result and performs user feedback at the same time. Each module of the system cooperates with each other to complete the functions of information entry, information collection, information processing and display, and can be adjusted in time according to user needs, which can complete the intelligent transformation of commercial gyms and meet the daily needs of the fitness.</v>
      </c>
      <c r="D1507" s="6" t="s">
        <v>4365</v>
      </c>
      <c r="E1507" s="4" t="str">
        <f ca="1">IFERROR(__xludf.DUMMYFUNCTION("GOOGLETRANSLATE(D1507,""auto"",""en"")"),"Multi -perception of human -machine interaction systems and methods in commercial fitness scenarios")</f>
        <v>Multi -perception of human -machine interaction systems and methods in commercial fitness scenarios</v>
      </c>
    </row>
    <row r="1508" spans="1:5" ht="15" x14ac:dyDescent="0.25">
      <c r="A1508" s="5" t="s">
        <v>4366</v>
      </c>
      <c r="B1508" s="6" t="s">
        <v>4367</v>
      </c>
      <c r="C1508" s="3" t="str">
        <f ca="1">IFERROR(__xludf.DUMMYFUNCTION("GOOGLETRANSLATE(B1508,""auto"",""en"")"),"The present invention provides a target loop recognition method and system, which is a computer vision technology field. Using the trained discrimination model, there are pictures of new arrows in the video frame of the arrow target; The training set trai"&amp;"ning is obtained. The training set includes the picture of multiple arrow targets and the labels of the arrow branches marked on the arrow target; combined with color segmentation and ellipse fitting, determine the target ring of the picture with new arro"&amp;"ws. Line; test and position the target arrow branch to determine the coordinates of the arrow; combine the target loop fitting line and an arrow point coordinate to determine the number of ring. The invention combines deep learning with image processing t"&amp;"o effectively improve the efficiency of reporting targets and improve the intuitiveness and appreciation of the archery competition; overcoming the time -consuming time, poor real -time, low safety and other issues of artificial reporting targets, improve"&amp;" the safety, improve safety, etc. The appreciation and efficiency of the archery project.")</f>
        <v>The present invention provides a target loop recognition method and system, which is a computer vision technology field. Using the trained discrimination model, there are pictures of new arrows in the video frame of the arrow target; The training set training is obtained. The training set includes the picture of multiple arrow targets and the labels of the arrow branches marked on the arrow target; combined with color segmentation and ellipse fitting, determine the target ring of the picture with new arrows. Line; test and position the target arrow branch to determine the coordinates of the arrow; combine the target loop fitting line and an arrow point coordinate to determine the number of ring. The invention combines deep learning with image processing to effectively improve the efficiency of reporting targets and improve the intuitiveness and appreciation of the archery competition; overcoming the time -consuming time, poor real -time, low safety and other issues of artificial reporting targets, improve the safety, improve safety, etc. The appreciation and efficiency of the archery project.</v>
      </c>
      <c r="D1508" s="6" t="s">
        <v>4368</v>
      </c>
      <c r="E1508" s="4" t="str">
        <f ca="1">IFERROR(__xludf.DUMMYFUNCTION("GOOGLETRANSLATE(D1508,""auto"",""en"")"),"Target ring recognition method and system")</f>
        <v>Target ring recognition method and system</v>
      </c>
    </row>
    <row r="1509" spans="1:5" ht="15" x14ac:dyDescent="0.25">
      <c r="A1509" s="5" t="s">
        <v>4369</v>
      </c>
      <c r="B1509" s="6" t="s">
        <v>4370</v>
      </c>
      <c r="C1509" s="3" t="str">
        <f ca="1">IFERROR(__xludf.DUMMYFUNCTION("GOOGLETRANSLATE(B1509,""auto"",""en"")"),"The invention involves a fitness mirror -based fitness and use method based on the Internet of Things. It solves the problem of single fitness mirrors in the existing technology and poor use effects. It includes intelligent fitness mirrors, information co"&amp;"llection components on smart fitness mirrors, and connecting information collection components to cloud service platforms, cloud service platforms connect to mobile data, and mobile terminals are connected to smart fitness mirrors through communication mo"&amp;"dules. Smart fitness mirrors There is a sports reminder device, and the back of the intelligent fitness mirror is equipped with an information storage module connected to the video display screen connected to the front of the smart fitness mirror. There i"&amp;"s a control component on the lower side of the video display screen, and the information storage module and setting are set on smart fitness The information recognition and extracting mechanism data connection on the mirror, and the intelligent fitness mi"&amp;"rror has a intelligent protective device. The advantage of the present invention is that: good use, rich function, and convenient operation, which improves fitness effects.")</f>
        <v>The invention involves a fitness mirror -based fitness and use method based on the Internet of Things. It solves the problem of single fitness mirrors in the existing technology and poor use effects. It includes intelligent fitness mirrors, information collection components on smart fitness mirrors, and connecting information collection components to cloud service platforms, cloud service platforms connect to mobile data, and mobile terminals are connected to smart fitness mirrors through communication modules. Smart fitness mirrors There is a sports reminder device, and the back of the intelligent fitness mirror is equipped with an information storage module connected to the video display screen connected to the front of the smart fitness mirror. There is a control component on the lower side of the video display screen, and the information storage module and setting are set on smart fitness The information recognition and extracting mechanism data connection on the mirror, and the intelligent fitness mirror has a intelligent protective device. The advantage of the present invention is that: good use, rich function, and convenient operation, which improves fitness effects.</v>
      </c>
      <c r="D1509" s="6" t="s">
        <v>4371</v>
      </c>
      <c r="E1509" s="4" t="str">
        <f ca="1">IFERROR(__xludf.DUMMYFUNCTION("GOOGLETRANSLATE(D1509,""auto"",""en"")"),"Fitness mirror connection based on the Internet of Things and its use method")</f>
        <v>Fitness mirror connection based on the Internet of Things and its use method</v>
      </c>
    </row>
    <row r="1510" spans="1:5" ht="15" x14ac:dyDescent="0.25">
      <c r="A1510" s="5" t="s">
        <v>4372</v>
      </c>
      <c r="B1510" s="6" t="s">
        <v>4373</v>
      </c>
      <c r="C1510" s="3" t="str">
        <f ca="1">IFERROR(__xludf.DUMMYFUNCTION("GOOGLETRANSLATE(B1510,""auto"",""en"")"),"1. Design product name: Fitness interactive graphics user interface for screen panels.
 2. Design products for designing products: used to display information and run programs. The screen panel is used for computers, mobile phones, tablets, treadmills, "&amp;"and intelligent interactive tablets.
 3. Design of the design of the product in this exterior: lies in the content of the graphic user interface in the screen, the screen panel is designed with the existing, and the text content in the interface is only"&amp;" used to indicate the content area. The text itself is not the protection content of this design.
 4. Pictures or photos that can most indicate design points: main view.
 5. The product hardware part is conventional design. The back view, left view, r"&amp;"ight view, down -view view, and retry view are omitted.
 6. The purpose of graphical user interface: The design of the product is used for entertainment interaction and fitness.
 7. Human -computer interaction method of graphical user interface: When "&amp;"you click at any position in the main view interface, to enter the interface change state Figure 1, and click any barrage above the main view interface to enter the interface to enter the change state. At the end of the end, to enter the interface change "&amp;"state Figure 3, click the interface change state Figure 3 Figure 3 In the lower right corner icon, you can enter the interface change state Figure 4.")</f>
        <v>1. Design product name: Fitness interactive graphics user interface for screen panels.
 2. Design products for designing products: used to display information and run programs. The screen panel is used for computers, mobile phones, tablets, treadmills, and intelligent interactive tablets.
 3. Design of the design of the product in this exterior: lies in the content of the graphic user interface in the screen, the screen panel is designed with the existing, and the text content in the interface is only used to indicate the content area. The text itself is not the protection content of this design.
 4. Pictures or photos that can most indicate design points: main view.
 5. The product hardware part is conventional design. The back view, left view, right view, down -view view, and retry view are omitted.
 6. The purpose of graphical user interface: The design of the product is used for entertainment interaction and fitness.
 7. Human -computer interaction method of graphical user interface: When you click at any position in the main view interface, to enter the interface change state Figure 1, and click any barrage above the main view interface to enter the interface to enter the change state. At the end of the end, to enter the interface change state Figure 3, click the interface change state Figure 3 Figure 3 In the lower right corner icon, you can enter the interface change state Figure 4.</v>
      </c>
      <c r="D1510" s="6" t="s">
        <v>4374</v>
      </c>
      <c r="E1510" s="4" t="str">
        <f ca="1">IFERROR(__xludf.DUMMYFUNCTION("GOOGLETRANSLATE(D1510,""auto"",""en"")"),"Fitness interactive graphics user interface for screen panels")</f>
        <v>Fitness interactive graphics user interface for screen panels</v>
      </c>
    </row>
    <row r="1511" spans="1:5" ht="15" x14ac:dyDescent="0.25">
      <c r="A1511" s="5" t="s">
        <v>4375</v>
      </c>
      <c r="B1511" s="6" t="s">
        <v>4376</v>
      </c>
      <c r="C1511" s="3" t="str">
        <f ca="1">IFERROR(__xludf.DUMMYFUNCTION("GOOGLETRANSLATE(B1511,""auto"",""en"")"),"1. Design product name: For mobile phone sports fitness graphic user interface.
 2. Design products in appearance: used to display information and run programs.
 3. Design of the design of the product: The content of the graphic user interface in the "&amp;"screen is designed for the existing mobile phone. The text content in the interface is only used to indicate the content area. The text itself is not the protection content of the design.
 4. Pictures or photos that can most indicate design points: main"&amp;" view.
 5. The product hardware part is conventional design. The back view, left view, right view, down -view view, and retry view are omitted.
 6. The purpose of graphical user interface: The design of the product is used for entertainment interactio"&amp;"n, exercise and fitness.
 7. Human -computer interaction method of graphic user interface: When clicking the applause at the bottom right of the main screen interface, you can enter the interface change state diagram 1. The change state figure 2, click "&amp;"at any position in the main view interface, the interface enters the changing state Figure 3 3 , Click the interface change state Figure 3 The upper right screen button in the interface 3, can enter the interface change state Figure 4, click the interface"&amp;" change state in the interface 4 to enter the interface change state diagram 5, click the interface change state Figure 5 Right right right Applause icon below to enter the interface change state Figure 6. Interface change state Figure 7.")</f>
        <v>1. Design product name: For mobile phone sports fitness graphic user interface.
 2. Design products in appearance: used to display information and run programs.
 3. Design of the design of the product: The content of the graphic user interface in the screen is designed for the existing mobile phone. The text content in the interface is only used to indicate the content area. The text itself is not the protection content of the design.
 4. Pictures or photos that can most indicate design points: main view.
 5. The product hardware part is conventional design. The back view, left view, right view, down -view view, and retry view are omitted.
 6. The purpose of graphical user interface: The design of the product is used for entertainment interaction, exercise and fitness.
 7. Human -computer interaction method of graphic user interface: When clicking the applause at the bottom right of the main screen interface, you can enter the interface change state diagram 1. The change state figure 2, click at any position in the main view interface, the interface enters the changing state Figure 3 3 , Click the interface change state Figure 3 The upper right screen button in the interface 3, can enter the interface change state Figure 4, click the interface change state in the interface 4 to enter the interface change state diagram 5, click the interface change state Figure 5 Right right right Applause icon below to enter the interface change state Figure 6. Interface change state Figure 7.</v>
      </c>
      <c r="D1511" s="6" t="s">
        <v>4377</v>
      </c>
      <c r="E1511" s="4" t="str">
        <f ca="1">IFERROR(__xludf.DUMMYFUNCTION("GOOGLETRANSLATE(D1511,""auto"",""en"")"),"Sports fitness graphics user interface for mobile phones")</f>
        <v>Sports fitness graphics user interface for mobile phones</v>
      </c>
    </row>
    <row r="1512" spans="1:5" ht="15" x14ac:dyDescent="0.25">
      <c r="A1512" s="5" t="s">
        <v>4378</v>
      </c>
      <c r="B1512" s="6" t="s">
        <v>4379</v>
      </c>
      <c r="C1512" s="3" t="str">
        <f ca="1">IFERROR(__xludf.DUMMYFUNCTION("GOOGLETRANSLATE(B1512,""auto"",""en"")"),"1. The name of the product in appearance: for the fitness interactive graphics user interface for mobile phones.
 2. The purpose of designing products in this exterior: The design of the product in this exterior is used to display information and run th"&amp;"e program.
 3. Design of the design of the product in this appearance: lies in the graphic user interface content in the screen.
 4. Pictures or photos that can most indicate design points: main view.
 5. The product hardware part is conventional de"&amp;"sign. The back view, left view, right view, down -view view, and retry view are omitted.
 6. The purpose of graphical user interface: The design of the product is used for entertainment interaction and fitness.
 7. Human -computer interaction method o"&amp;"f graphics user interface: When clicking the calendar icon at the bottom right of the main screen interface, you can enter the interface change state. Click the icon of the barrage at the bottom left of the main view to enter the interface change state. F"&amp;"igure 3 Put away the barrage input box and close the barrage. State Figure 4 The horizontal screen icon button in the upper right corner of the right corner, you can enter the interface change state Figure 5, click the interface change state Figure 5 The "&amp;"lower right calendar icon can be entered. Barrage, you can enter the interface change state Figure 7, click the interface change state in any position in the interface to enter the interface change state Figure 8, click the interface changes to the below "&amp;"the barrage icon below the interface, enter the interface change state. 9 Put away the barrage input box and close the barrage.
 8. The mobile phone is designed with the existing, and the gray area in the interface is the content screen area.")</f>
        <v>1. The name of the product in appearance: for the fitness interactive graphics user interface for mobile phones.
 2. The purpose of designing products in this exterior: The design of the product in this exterior is used to display information and run the program.
 3. Design of the design of the product in this appearance: lies in the graphic user interface content in the screen.
 4. Pictures or photos that can most indicate design points: main view.
 5. The product hardware part is conventional design. The back view, left view, right view, down -view view, and retry view are omitted.
 6. The purpose of graphical user interface: The design of the product is used for entertainment interaction and fitness.
 7. Human -computer interaction method of graphics user interface: When clicking the calendar icon at the bottom right of the main screen interface, you can enter the interface change state. Click the icon of the barrage at the bottom left of the main view to enter the interface change state. Figure 3 Put away the barrage input box and close the barrage. State Figure 4 The horizontal screen icon button in the upper right corner of the right corner, you can enter the interface change state Figure 5, click the interface change state Figure 5 The lower right calendar icon can be entered. Barrage, you can enter the interface change state Figure 7, click the interface change state in any position in the interface to enter the interface change state Figure 8, click the interface changes to the below the barrage icon below the interface, enter the interface change state. 9 Put away the barrage input box and close the barrage.
 8. The mobile phone is designed with the existing, and the gray area in the interface is the content screen area.</v>
      </c>
      <c r="D1512" s="6" t="s">
        <v>4380</v>
      </c>
      <c r="E1512" s="4" t="str">
        <f ca="1">IFERROR(__xludf.DUMMYFUNCTION("GOOGLETRANSLATE(D1512,""auto"",""en"")"),"Fitness interactive graphic user interface for mobile phones")</f>
        <v>Fitness interactive graphic user interface for mobile phones</v>
      </c>
    </row>
    <row r="1513" spans="1:5" ht="15" x14ac:dyDescent="0.25">
      <c r="A1513" s="5" t="s">
        <v>4381</v>
      </c>
      <c r="B1513" s="6" t="s">
        <v>4382</v>
      </c>
      <c r="C1513" s="3" t="str">
        <f ca="1">IFERROR(__xludf.DUMMYFUNCTION("GOOGLETRANSLATE(B1513,""auto"",""en"")"),"According to an embodiment of the present invention, a method of providing sports images performed by the server, (A) Learn multiple training data with a preset machine learning model, and output specific situation data when entering specific sports image"&amp;"s to build motion to build motion. Image classification model; (b) use the motion image classification model based on the context data to classify the sports image data stored in the motion image database based on the context data; (C) respond to the sear"&amp;"ch data entered by the user terminal After one case data, extract at least one type of motion image data based on the identification data, and show users the data terminally. Providing; where the training data includes input data and output data, the inpu"&amp;"t data is randomly extracted from the server image database from the motion image database. The output data is the data described by the extraction data for the extraction of the extrusion data. At least one string data.")</f>
        <v>According to an embodiment of the present invention, a method of providing sports images performed by the server, (A) Learn multiple training data with a preset machine learning model, and output specific situation data when entering specific sports images to build motion to build motion. Image classification model; (b) use the motion image classification model based on the context data to classify the sports image data stored in the motion image database based on the context data; (C) respond to the search data entered by the user terminal After one case data, extract at least one type of motion image data based on the identification data, and show users the data terminally. Providing; where the training data includes input data and output data, the input data is randomly extracted from the server image database from the motion image database. The output data is the data described by the extraction data for the extraction of the extrusion data. At least one string data.</v>
      </c>
      <c r="D1513" s="6" t="s">
        <v>4383</v>
      </c>
      <c r="E1513" s="4" t="str">
        <f ca="1">IFERROR(__xludf.DUMMYFUNCTION("GOOGLETRANSLATE(D1513,""auto"",""en"")"),"Methods and devices of sports video classification models based on deep learning to provide sports videos to provide sports videos")</f>
        <v>Methods and devices of sports video classification models based on deep learning to provide sports videos to provide sports videos</v>
      </c>
    </row>
    <row r="1514" spans="1:5" ht="15" x14ac:dyDescent="0.25">
      <c r="A1514" s="5" t="s">
        <v>4384</v>
      </c>
      <c r="B1514" s="6" t="s">
        <v>4385</v>
      </c>
      <c r="C1514" s="3" t="str">
        <f ca="1">IFERROR(__xludf.DUMMYFUNCTION("GOOGLETRANSLATE(B1514,""auto"",""en"")"),"1. Design product name: Telephone watch with running information graphics user interface.
 2. The purpose of designing products in this exterior: The design of the product in this exterior is used for calling, real -time positioning, micro -voice chat a"&amp;"nd making friends.
 3. Design of the design of the product in this exterior: lies in the content of the graphic user interface in the product screen, the telephone watch is the existing design.
 4. Pictures or photos that can most indicate the main po"&amp;"int of design: Design 1 The main screen interface placed the big picture.
 5. The rear view, left view, right view, downward view, and retribution of this appearance design are commonly designed. The rear view, left view, right view, down -view view, up"&amp;"per view.
 6. Specify design 1 is the basic design.
 7. The purpose of the graphical user interface: The graphic user interface of the product is used to provide users with the choice of different running modes and display the running results.
 8. H"&amp;"uman -computer interaction method of graphics user interface: Design 1 Mainly -the -regula interface amplification diagram shows three different running modes. Design 1 interface changes. Three different running modes of speed 50 steps, 300m, and 400m.
"&amp;" By clicking one of the models, the user switch to the design 1 interface to switch to the design 1 interface change state. Figure 1.
 During the user running process, the interface is switched from the changing state of the design 1 interface to the de"&amp;"sign 1 interface change state Figure 2. Among them, the design 1 interface change status refers to the reference map of the design 1 interface change state. Restriction, time, heart rate.
 After the user runs, the interface is switched from the change o"&amp;"f the interface of the design 1 interface to the design 1 interface change state Figure 3. Among them, the design 1 interface change status reference Figure 3 is the reference map of the design 1 interface change status. Reference Figure 3 shows the inter"&amp;"face diagram in the running results in the speed 50 -step battle mode.
 The human -computer interaction method of design 2 is the same as the human -machine interaction method of design 1. There are slight differences in the interface, so I do not repea"&amp;"t it here.
 9. Design 2 Request to protect color.")</f>
        <v>1. Design product name: Telephone watch with running information graphics user interface.
 2. The purpose of designing products in this exterior: The design of the product in this exterior is used for calling, real -time positioning, micro -voice chat and making friends.
 3. Design of the design of the product in this exterior: lies in the content of the graphic user interface in the product screen, the telephone watch is the existing design.
 4. Pictures or photos that can most indicate the main point of design: Design 1 The main screen interface placed the big picture.
 5. The rear view, left view, right view, downward view, and retribution of this appearance design are commonly designed. The rear view, left view, right view, down -view view, upper view.
 6. Specify design 1 is the basic design.
 7. The purpose of the graphical user interface: The graphic user interface of the product is used to provide users with the choice of different running modes and display the running results.
 8. Human -computer interaction method of graphics user interface: Design 1 Mainly -the -regula interface amplification diagram shows three different running modes. Design 1 interface changes. Three different running modes of speed 50 steps, 300m, and 400m.
 By clicking one of the models, the user switch to the design 1 interface to switch to the design 1 interface change state. Figure 1.
 During the user running process, the interface is switched from the changing state of the design 1 interface to the design 1 interface change state Figure 2. Among them, the design 1 interface change status refers to the reference map of the design 1 interface change state. Restriction, time, heart rate.
 After the user runs, the interface is switched from the change of the interface of the design 1 interface to the design 1 interface change state Figure 3. Among them, the design 1 interface change status reference Figure 3 is the reference map of the design 1 interface change status. Reference Figure 3 shows the interface diagram in the running results in the speed 50 -step battle mode.
 The human -computer interaction method of design 2 is the same as the human -machine interaction method of design 1. There are slight differences in the interface, so I do not repeat it here.
 9. Design 2 Request to protect color.</v>
      </c>
      <c r="D1514" s="6" t="s">
        <v>4386</v>
      </c>
      <c r="E1514" s="4" t="str">
        <f ca="1">IFERROR(__xludf.DUMMYFUNCTION("GOOGLETRANSLATE(D1514,""auto"",""en"")"),"Telephone watch with running information graphics user interface")</f>
        <v>Telephone watch with running information graphics user interface</v>
      </c>
    </row>
    <row r="1515" spans="1:5" ht="15" x14ac:dyDescent="0.25">
      <c r="A1515" s="5" t="s">
        <v>4387</v>
      </c>
      <c r="B1515" s="6" t="s">
        <v>4388</v>
      </c>
      <c r="C1515" s="3" t="str">
        <f ca="1">IFERROR(__xludf.DUMMYFUNCTION("GOOGLETRANSLATE(B1515,""auto"",""en"")"),"1. Design product name: Telephone watch with running information graphics user interface.
 2. The purpose of designing products in this exterior: The design of the product in this exterior is used for calling, real -time positioning, micro -voice chat a"&amp;"nd making friends.
 3. Design of the design of the product in this exterior: lies in the content of the graphic user interface in the product screen, the telephone watch is the existing design.
 4. Pictures or photos that can most indicate the main po"&amp;"int of design: Design 1 The main screen interface placed the big picture.
 5. The rear view, left view, right view, downward view, and retribution of this appearance design are commonly designed. The rear view, left view, right view, down -view view, up"&amp;"per view.
 6. Specify design 1 is the basic design.
 7. The purpose of the graphical user interface: The graphic user interface of the product is used to provide users with the choice of different running modes and display the running results.
 8. H"&amp;"uman -computer interaction method of graphics user interface: Design 1 Mainly -the -regula interface amplification diagram shows three different running modes. Design 1 interface changes. Run, 50 steps, and 300M three different running modes.
 By clicki"&amp;"ng one of the models, the user switch to the design 1 interface to switch to the design 1 interface change state. Figure 1.
 During the user running process, the interface is switched from the changing state of the design 1 interface to the design 1 int"&amp;"erface change state Figure 2. Among them, the design 1 interface change status refers to the reference map of the design 1 interface change state. Killing, energy value, time, heart rate.
 After the user runs, the interface is switched from the change o"&amp;"f the interface of the design 1 interface to the design 1 interface change state Figure 3. Among them, the design 1 interface change status reference Figure 3 is the reference map of the design 1 interface changes. Total kilometers.
 The human -computer"&amp;" interaction method of design 2 is the same as the human -machine interaction method of design 1. There are slight differences in the interface, so I do not repeat it here.
 9. Design 2 Request to protect color.")</f>
        <v>1. Design product name: Telephone watch with running information graphics user interface.
 2. The purpose of designing products in this exterior: The design of the product in this exterior is used for calling, real -time positioning, micro -voice chat and making friends.
 3. Design of the design of the product in this exterior: lies in the content of the graphic user interface in the product screen, the telephone watch is the existing design.
 4. Pictures or photos that can most indicate the main point of design: Design 1 The main screen interface placed the big picture.
 5. The rear view, left view, right view, downward view, and retribution of this appearance design are commonly designed. The rear view, left view, right view, down -view view, upper view.
 6. Specify design 1 is the basic design.
 7. The purpose of the graphical user interface: The graphic user interface of the product is used to provide users with the choice of different running modes and display the running results.
 8. Human -computer interaction method of graphics user interface: Design 1 Mainly -the -regula interface amplification diagram shows three different running modes. Design 1 interface changes. Run, 50 steps, and 300M three different running modes.
 By clicking one of the models, the user switch to the design 1 interface to switch to the design 1 interface change state. Figure 1.
 During the user running process, the interface is switched from the changing state of the design 1 interface to the design 1 interface change state Figure 2. Among them, the design 1 interface change status refers to the reference map of the design 1 interface change state. Killing, energy value, time, heart rate.
 After the user runs, the interface is switched from the change of the interface of the design 1 interface to the design 1 interface change state Figure 3. Among them, the design 1 interface change status reference Figure 3 is the reference map of the design 1 interface changes. Total kilometers.
 The human -computer interaction method of design 2 is the same as the human -machine interaction method of design 1. There are slight differences in the interface, so I do not repeat it here.
 9. Design 2 Request to protect color.</v>
      </c>
      <c r="D1515" s="6" t="s">
        <v>4386</v>
      </c>
      <c r="E1515" s="4" t="str">
        <f ca="1">IFERROR(__xludf.DUMMYFUNCTION("GOOGLETRANSLATE(D1515,""auto"",""en"")"),"Telephone watch with running information graphics user interface")</f>
        <v>Telephone watch with running information graphics user interface</v>
      </c>
    </row>
    <row r="1516" spans="1:5" ht="15" x14ac:dyDescent="0.25">
      <c r="A1516" s="5" t="s">
        <v>4389</v>
      </c>
      <c r="B1516" s="6" t="s">
        <v>4390</v>
      </c>
      <c r="C1516" s="3" t="str">
        <f ca="1">IFERROR(__xludf.DUMMYFUNCTION("GOOGLETRANSLATE(B1516,""auto"",""en"")"),"1. The name of the product in appearance: telephone watch with energy obtaining graphic user interface.
 2. The purpose of designing products in this exterior: The design of the product in this exterior is used for calling, real -time positioning, micro"&amp;" -voice chat and making friends.
 3. Design of the design of the product in this exterior: lies in the content of the graphic user interface in the product screen, the telephone watch is the existing design.
 4. Pictures or photos that can most indica"&amp;"te the main point of design: Design 1 The main screen interface placed the big picture.
 5. Specify design 1 is the basic design.
 6. The purpose of the graphical user interface: The graphic user interface of the product is used to provide users with "&amp;"different sports methods to obtain energy and display energy acquisition results.
 7. Human -computer interaction method of graphics user interface: Design 1 Mainly interface amplification diagram is the energy obtaining entrance interface of the energy"&amp;" ring. Design 1 interface change status Reference Figure 1 is the reference diagram of designing the main interface.
 The user switches the interface from the design 1 interface to the design 1 interface change state by clicking ""to get energy"" by cli"&amp;"cking ""to get energy"". Figure 1 in design 1 interface changes. Figure 1 shows three different exercise methods.
 The user uses ""running"" to make the interface change from the design 1 interface change state. 1 Switch to the design 1 interface change"&amp;" state Figure 2, design 1 interface change reference Figure 2 is the reference map of the design 1 interface change state. Killing, energy value, time, heart rate.
 After the user runs, the interface is switched from the design 1 interface change state "&amp;"to the design 1 interface change state. Figure 3, design 1 interface change status reference Figure 3 is the reference figure of design 1 interface change state. 3.
 The human -computer interaction method of design 2 is the same as the human -computer i"&amp;"nteraction method of design 1, so it is omitted.
 8. Design 2 Request to protect color.")</f>
        <v>1. The name of the product in appearance: telephone watch with energy obtaining graphic user interface.
 2. The purpose of designing products in this exterior: The design of the product in this exterior is used for calling, real -time positioning, micro -voice chat and making friends.
 3. Design of the design of the product in this exterior: lies in the content of the graphic user interface in the product screen, the telephone watch is the existing design.
 4. Pictures or photos that can most indicate the main point of design: Design 1 The main screen interface placed the big picture.
 5. Specify design 1 is the basic design.
 6. The purpose of the graphical user interface: The graphic user interface of the product is used to provide users with different sports methods to obtain energy and display energy acquisition results.
 7. Human -computer interaction method of graphics user interface: Design 1 Mainly interface amplification diagram is the energy obtaining entrance interface of the energy ring. Design 1 interface change status Reference Figure 1 is the reference diagram of designing the main interface.
 The user switches the interface from the design 1 interface to the design 1 interface change state by clicking "to get energy" by clicking "to get energy". Figure 1 in design 1 interface changes. Figure 1 shows three different exercise methods.
 The user uses "running" to make the interface change from the design 1 interface change state. 1 Switch to the design 1 interface change state Figure 2, design 1 interface change reference Figure 2 is the reference map of the design 1 interface change state. Killing, energy value, time, heart rate.
 After the user runs, the interface is switched from the design 1 interface change state to the design 1 interface change state. Figure 3, design 1 interface change status reference Figure 3 is the reference figure of design 1 interface change state. 3.
 The human -computer interaction method of design 2 is the same as the human -computer interaction method of design 1, so it is omitted.
 8. Design 2 Request to protect color.</v>
      </c>
      <c r="D1516" s="6" t="s">
        <v>4391</v>
      </c>
      <c r="E1516" s="4" t="str">
        <f ca="1">IFERROR(__xludf.DUMMYFUNCTION("GOOGLETRANSLATE(D1516,""auto"",""en"")"),"Bring energy to obtain a telephone watch with graphical user interface")</f>
        <v>Bring energy to obtain a telephone watch with graphical user interface</v>
      </c>
    </row>
    <row r="1517" spans="1:5" ht="15" x14ac:dyDescent="0.25">
      <c r="A1517" s="5" t="s">
        <v>4392</v>
      </c>
      <c r="B1517" s="6" t="s">
        <v>4393</v>
      </c>
      <c r="C1517" s="3" t="str">
        <f ca="1">IFERROR(__xludf.DUMMYFUNCTION("GOOGLETRANSLATE(B1517,""auto"",""en"")"),"The equipment system, architecture, and incentive -based method are disclosed to cooperate to build larger data bodies. These data can be reliably used to discover new and faster correlations, diagnose diseases (use artificial intelligence technology) and"&amp;" design pairs of design pairs Effective response of health issues (in order to prevent diseases, prevent or minimize the deterioration of the disease, improve environmental performance and/or prevent safety accidents). This method includes using the follo"&amp;"wing activities related to the following: emergency health needs (such as COVID), increasing the willingness and business incentive measures of education public to encourage different types of users to enable and apply consumer technology to help provide "&amp;"the required data when performing functions. Related methods: personal safety, better management business risks and proof of business cases that prove business improvement and healthier environment. With the popularization of personal condition monitoring"&amp;" technology, due to the continuous new availability of privacy design data interfaces, education and service products, and the continuous success of AI -driven health research and development, these systems are mainly improved and expanded research on the"&amp;" nomination of the wearer. And emergency assistance products. This kind of help provided by electronic methods is just like many possible education interventions. It is provided in a reasonable time when the equipment is worn and opened when the equipment"&amp;" is worn and opened (for example, when the wearer visits the gym and leisure area, in exercise In the case of unsafe heartbeat), meal time, etc.). This framework and architecture ensure that the sources of different professional knowledge that are appropr"&amp;"iately determined by the implementation of audit control and properly determined are consistent with each other NFP, FP, public or private target operations, and deliver the results in a responsible manner.")</f>
        <v>The equipment system, architecture, and incentive -based method are disclosed to cooperate to build larger data bodies. These data can be reliably used to discover new and faster correlations, diagnose diseases (use artificial intelligence technology) and design pairs of design pairs Effective response of health issues (in order to prevent diseases, prevent or minimize the deterioration of the disease, improve environmental performance and/or prevent safety accidents). This method includes using the following activities related to the following: emergency health needs (such as COVID), increasing the willingness and business incentive measures of education public to encourage different types of users to enable and apply consumer technology to help provide the required data when performing functions. Related methods: personal safety, better management business risks and proof of business cases that prove business improvement and healthier environment. With the popularization of personal condition monitoring technology, due to the continuous new availability of privacy design data interfaces, education and service products, and the continuous success of AI -driven health research and development, these systems are mainly improved and expanded research on the nomination of the wearer. And emergency assistance products. This kind of help provided by electronic methods is just like many possible education interventions. It is provided in a reasonable time when the equipment is worn and opened when the equipment is worn and opened (for example, when the wearer visits the gym and leisure area, in exercise In the case of unsafe heartbeat), meal time, etc.). This framework and architecture ensure that the sources of different professional knowledge that are appropriately determined by the implementation of audit control and properly determined are consistent with each other NFP, FP, public or private target operations, and deliver the results in a responsible manner.</v>
      </c>
      <c r="D1517" s="6" t="s">
        <v>4394</v>
      </c>
      <c r="E1517" s="4" t="str">
        <f ca="1">IFERROR(__xludf.DUMMYFUNCTION("GOOGLETRANSLATE(D1517,""auto"",""en"")"),"What is open is the equipment system, architecture, and incentive -based method, which is used to cooperate to build larger data bodies. These data bodies can be reliably used to discover new and faster correlations, diagnose diseases (use AI technology) "&amp;"and design design Effective response to health issues (in order to prevent diseases, prevent or minimize the decline in status, improve environmental performance and/or prevent safety accidents).")</f>
        <v>What is open is the equipment system, architecture, and incentive -based method, which is used to cooperate to build larger data bodies. These data bodies can be reliably used to discover new and faster correlations, diagnose diseases (use AI technology) and design design Effective response to health issues (in order to prevent diseases, prevent or minimize the decline in status, improve environmental performance and/or prevent safety accidents).</v>
      </c>
    </row>
    <row r="1518" spans="1:5" ht="15" x14ac:dyDescent="0.25">
      <c r="A1518" s="5" t="s">
        <v>4395</v>
      </c>
      <c r="B1518" s="6" t="s">
        <v>4396</v>
      </c>
      <c r="C1518" s="3" t="str">
        <f ca="1">IFERROR(__xludf.DUMMYFUNCTION("GOOGLETRANSLATE(B1518,""auto"",""en"")"),"A swimming auxiliary device, including the wearable body with pocket 1, is installed above the pocket 1 to install the artificial intelligence (AI) camera module 2. The telescopic strap device installed on one end of the pocket 1 3. The sensor embedded in"&amp;" the pocket refers to Figure 1 , Water flow meter 4 is connected to Pocket 1, displaying panel 5 is arranged above Pocket 1 to receive the expected distance and the expected time cycle. The distance between the time, the coupling of the fins and the main "&amp;"body, and the first part 6 and part of the second part of the mobility hinge 8, some of which (6, 7) are manufactured through the stretching layer and multiple telescopic rods. Arranged in the second part 7 to ""U"" configuration, and a control unit.")</f>
        <v>A swimming auxiliary device, including the wearable body with pocket 1, is installed above the pocket 1 to install the artificial intelligence (AI) camera module 2. The telescopic strap device installed on one end of the pocket 1 3. The sensor embedded in the pocket refers to Figure 1 , Water flow meter 4 is connected to Pocket 1, displaying panel 5 is arranged above Pocket 1 to receive the expected distance and the expected time cycle. The distance between the time, the coupling of the fins and the main body, and the first part 6 and part of the second part of the mobility hinge 8, some of which (6, 7) are manufactured through the stretching layer and multiple telescopic rods. Arranged in the second part 7 to "U" configuration, and a control unit.</v>
      </c>
      <c r="D1518" s="6" t="s">
        <v>1420</v>
      </c>
      <c r="E1518" s="4" t="str">
        <f ca="1">IFERROR(__xludf.DUMMYFUNCTION("GOOGLETRANSLATE(D1518,""auto"",""en"")"),"Swimming auxiliary device")</f>
        <v>Swimming auxiliary device</v>
      </c>
    </row>
    <row r="1519" spans="1:5" ht="15" x14ac:dyDescent="0.25">
      <c r="A1519" s="5" t="s">
        <v>4397</v>
      </c>
      <c r="B1519" s="6" t="s">
        <v>4398</v>
      </c>
      <c r="C1519" s="3" t="str">
        <f ca="1">IFERROR(__xludf.DUMMYFUNCTION("GOOGLETRANSLATE(B1519,""auto"",""en"")"),"Capture the shape and size of the horseshoe by image and the readable method of the readable media. The present invention involves a method of applying the correct size of a horseshoe iron from an application (readable medium) used for mobile devices (rea"&amp;"dable medium) used for rampant and animal welfare. The measurement value, through photography images (palms and feet positions, sides, and front), help horseshoe blacksmiths, veterinary, animal husbandry technicians, horses -traditions, competition refere"&amp;"es and horses to choose the balance of these hoofs.")</f>
        <v>Capture the shape and size of the horseshoe by image and the readable method of the readable media. The present invention involves a method of applying the correct size of a horseshoe iron from an application (readable medium) used for mobile devices (readable medium) used for rampant and animal welfare. The measurement value, through photography images (palms and feet positions, sides, and front), help horseshoe blacksmiths, veterinary, animal husbandry technicians, horses -traditions, competition referees and horses to choose the balance of these hoofs.</v>
      </c>
      <c r="D1519" s="6" t="s">
        <v>4399</v>
      </c>
      <c r="E1519" s="4" t="str">
        <f ca="1">IFERROR(__xludf.DUMMYFUNCTION("GOOGLETRANSLATE(D1519,""auto"",""en"")"),"Capture the shape and size of the horseshoe through the image and the recognition method of the readable medium of mobile devices")</f>
        <v>Capture the shape and size of the horseshoe through the image and the recognition method of the readable medium of mobile devices</v>
      </c>
    </row>
    <row r="1520" spans="1:5" ht="15" x14ac:dyDescent="0.25">
      <c r="A1520" s="5" t="s">
        <v>4400</v>
      </c>
      <c r="B1520" s="6" t="s">
        <v>4401</v>
      </c>
      <c r="C1520" s="3" t="str">
        <f ca="1">IFERROR(__xludf.DUMMYFUNCTION("GOOGLETRANSLATE(B1520,""auto"",""en"")"),"1. Design product name: Machine car.
 2. Design products in appearance: Movement through remote control or artificial intelligence control, for entertainment, education or competition.
 This product includes a small car model that can be spliced ​​thr"&amp;"ough wooden boards, cardboards, electronic modules, etc., and can be moved with batteries.
 3. Design of the design of the product in appearance: lies in the shape.
 4. Pictures or photos that can best show design: stereo.")</f>
        <v>1. Design product name: Machine car.
 2. Design products in appearance: Movement through remote control or artificial intelligence control, for entertainment, education or competition.
 This product includes a small car model that can be spliced ​​through wooden boards, cardboards, electronic modules, etc., and can be moved with batteries.
 3. Design of the design of the product in appearance: lies in the shape.
 4. Pictures or photos that can best show design: stereo.</v>
      </c>
      <c r="D1520" s="6" t="s">
        <v>4402</v>
      </c>
      <c r="E1520" s="4" t="str">
        <f ca="1">IFERROR(__xludf.DUMMYFUNCTION("GOOGLETRANSLATE(D1520,""auto"",""en"")"),"Machine car")</f>
        <v>Machine car</v>
      </c>
    </row>
    <row r="1521" spans="1:5" ht="15" x14ac:dyDescent="0.25">
      <c r="A1521" s="5" t="s">
        <v>4403</v>
      </c>
      <c r="B1521" s="6" t="s">
        <v>4404</v>
      </c>
      <c r="C1521" s="3" t="str">
        <f ca="1">IFERROR(__xludf.DUMMYFUNCTION("GOOGLETRANSLATE(B1521,""auto"",""en"")"),"The user calculates the user interface through the user's user interface to execute the application code through the user's user interface to cause the IUI display. IUI includes action list, which includes one or more action items corresponding to one or "&amp;"more team members corresponding to the team. The operating items are automatically sorted according to one or more operations. At least one in the action project corresponds to the opportunity for counseling and responding to it. The guidance opportunity "&amp;"is automatically identified using the recommended model. The recommended model uses machine learning at least partly based on performance data corresponding to multiple key performance indicators. Use the recommended model and determine the recommendation"&amp;" of the coach opportunity based on performance data. Recommended models use information about previous coaching opportunities and the corresponding results indicators of a group of teams for training.")</f>
        <v>The user calculates the user interface through the user's user interface to execute the application code through the user's user interface to cause the IUI display. IUI includes action list, which includes one or more action items corresponding to one or more team members corresponding to the team. The operating items are automatically sorted according to one or more operations. At least one in the action project corresponds to the opportunity for counseling and responding to it. The guidance opportunity is automatically identified using the recommended model. The recommended model uses machine learning at least partly based on performance data corresponding to multiple key performance indicators. Use the recommended model and determine the recommendation of the coach opportunity based on performance data. Recommended models use information about previous coaching opportunities and the corresponding results indicators of a group of teams for training.</v>
      </c>
      <c r="D1521" s="6" t="s">
        <v>4405</v>
      </c>
      <c r="E1521" s="4" t="str">
        <f ca="1">IFERROR(__xludf.DUMMYFUNCTION("GOOGLETRANSLATE(D1521,""auto"",""en"")"),"Self -training machine learning system for generating and providing action recommendations")</f>
        <v>Self -training machine learning system for generating and providing action recommendations</v>
      </c>
    </row>
    <row r="1522" spans="1:5" ht="15" x14ac:dyDescent="0.25">
      <c r="A1522" s="5" t="s">
        <v>4406</v>
      </c>
      <c r="B1522" s="6" t="s">
        <v>4407</v>
      </c>
      <c r="C1522" s="3" t="str">
        <f ca="1">IFERROR(__xludf.DUMMYFUNCTION("GOOGLETRANSLATE(B1522,""auto"",""en"")"),"1. The name of the product of the design of the product: Select graphical user interface for labels used for display screen panels.
 2. Design products in this exterior: used to display information.
 3. Design of design products in this appearance: li"&amp;"es in the graphic user interface in the screen.
 4. Pictures or photos that can best show design: Design 1 main view.
 5. Specify design 1 is the basic design.
 6. The purpose of the graphical user interface: The interface is used to select the labe"&amp;"l.
 7. Human -computer interaction method of graphics user interface: Design 1 to Design 4 Main views as the label selection interface. In design 1 to design 4 main views, users can view the selected labels that are selected from the upper part The corr"&amp;"esponding label control is selected, or the circular tag control that has not been selected from the lower part of the interface to the lower part of the interface is long to the upper area of ​​the interface. Or long press and drag down the upper part of"&amp;" the interface to select the rounded rectangular label control to the lower area of ​​the interface, and you can cancel the tag.
 Design 5 and design 6 main views are the label selection interface. In design 5 and design 6 main view view, users can long"&amp;" press the circular tag control control of the lower part of the dragging interface to the upper part of the interface.
 Design 7 Main view is the label selection interface. When the user long presss the ""fitness"" circular label control of the lower p"&amp;"art of the interface to the upper area of ​​the interface, it shows the interface change of the design 7 main view to the design 7 interface. Effect.
 Design 8 main views as the label selection interface. When the user long presss the ""tourism"" rounde"&amp;"d rectangular tag control control to the upper part of the interface to the lower area of ​​the lower part of the interface, it presents the interface of the design 8 main view to the design 8 interface state. Change effect.
 8. The display screen panel"&amp;" can be used for mobile phones, computers, tablets, vehicle central control screens, smart TVs.")</f>
        <v>1. The name of the product of the design of the product: Select graphical user interface for labels used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interface is used to select the label.
 7. Human -computer interaction method of graphics user interface: Design 1 to Design 4 Main views as the label selection interface. In design 1 to design 4 main views, users can view the selected labels that are selected from the upper part The corresponding label control is selected, or the circular tag control that has not been selected from the lower part of the interface to the lower part of the interface is long to the upper area of ​​the interface. Or long press and drag down the upper part of the interface to select the rounded rectangular label control to the lower area of ​​the interface, and you can cancel the tag.
 Design 5 and design 6 main views are the label selection interface. In design 5 and design 6 main view view, users can long press the circular tag control control of the lower part of the dragging interface to the upper part of the interface.
 Design 7 Main view is the label selection interface. When the user long presss the "fitness" circular label control of the lower part of the interface to the upper area of ​​the interface, it shows the interface change of the design 7 main view to the design 7 interface. Effect.
 Design 8 main views as the label selection interface. When the user long presss the "tourism" rounded rectangular tag control control to the upper part of the interface to the lower area of ​​the lower part of the interface, it presents the interface of the design 8 main view to the design 8 interface state. Change effect.
 8. The display screen panel can be used for mobile phones, computers, tablets, vehicle central control screens, smart TVs.</v>
      </c>
      <c r="D1522" s="6" t="s">
        <v>4408</v>
      </c>
      <c r="E1522" s="4" t="str">
        <f ca="1">IFERROR(__xludf.DUMMYFUNCTION("GOOGLETRANSLATE(D1522,""auto"",""en"")"),"Tags used for display screen panels Select graphical user interface")</f>
        <v>Tags used for display screen panels Select graphical user interface</v>
      </c>
    </row>
    <row r="1523" spans="1:5" ht="15" x14ac:dyDescent="0.25">
      <c r="A1523" s="5" t="s">
        <v>4409</v>
      </c>
      <c r="B1523" s="6" t="s">
        <v>4410</v>
      </c>
      <c r="C1523" s="3" t="str">
        <f ca="1">IFERROR(__xludf.DUMMYFUNCTION("GOOGLETRANSLATE(B1523,""auto"",""en"")"),"Trained machine learning models can be used to analyze signals obtained by in -ear or body surface equipment. You can analyze signals to determine activities related to eating, chewing, drinking water, coughing or sneezing. In addition, it can be analyzed"&amp;" in combination with machine learning models to analyze the data from the ear -in -ear thermometer or other data sensors to provide users with data or recommendations or startups to users on the user device.")</f>
        <v>Trained machine learning models can be used to analyze signals obtained by in -ear or body surface equipment. You can analyze signals to determine activities related to eating, chewing, drinking water, coughing or sneezing. In addition, it can be analyzed in combination with machine learning models to analyze the data from the ear -in -ear thermometer or other data sensors to provide users with data or recommendations or startups to users on the user device.</v>
      </c>
      <c r="D1523" s="6" t="s">
        <v>4411</v>
      </c>
      <c r="E1523" s="4" t="str">
        <f ca="1">IFERROR(__xludf.DUMMYFUNCTION("GOOGLETRANSLATE(D1523,""auto"",""en"")"),"Use the in -ear microphone in the headset as a fitness and health tracker")</f>
        <v>Use the in -ear microphone in the headset as a fitness and health tracker</v>
      </c>
    </row>
    <row r="1524" spans="1:5" ht="15" x14ac:dyDescent="0.25">
      <c r="A1524" s="5" t="s">
        <v>4412</v>
      </c>
      <c r="B1524" s="6" t="s">
        <v>4413</v>
      </c>
      <c r="C1524" s="3" t="str">
        <f ca="1">IFERROR(__xludf.DUMMYFUNCTION("GOOGLETRANSLATE(B1524,""auto"",""en"")"),"The invention discloses a smart campus -based smart campus to build physical education management methods, systems and computer storage media. Through the statistical campus class, various sports project courses in the campus class, the number of middle s"&amp;"chool students' forecast names, compare and screen various sports project courses with exceeding standards At the same time, the number of registration students who have studied the corresponding courses in various physical education courses with excellen"&amp;"t statistical forecast celebrities are compared with the standards for applicants for the corresponding physical education curriculum. Each registration students who have studied the corresponding courses in middle school and screened them in order in ord"&amp;"er. In various physical education courses, the surplus students' compliance matching coefficients are composed of the surplus students and supplemented in order.")</f>
        <v>The invention discloses a smart campus -based smart campus to build physical education management methods, systems and computer storage media. Through the statistical campus class, various sports project courses in the campus class, the number of middle school students' forecast names, compare and screen various sports project courses with exceeding standards At the same time, the number of registration students who have studied the corresponding courses in various physical education courses with excellent statistical forecast celebrities are compared with the standards for applicants for the corresponding physical education curriculum. Each registration students who have studied the corresponding courses in middle school and screened them in order in order. In various physical education courses, the surplus students' compliance matching coefficients are composed of the surplus students and supplemented in order.</v>
      </c>
      <c r="D1524" s="6" t="s">
        <v>4414</v>
      </c>
      <c r="E1524" s="4" t="str">
        <f ca="1">IFERROR(__xludf.DUMMYFUNCTION("GOOGLETRANSLATE(D1524,""auto"",""en"")"),"An artificial intelligence -based smart campus construction physical education management method, system and computer storage medium")</f>
        <v>An artificial intelligence -based smart campus construction physical education management method, system and computer storage medium</v>
      </c>
    </row>
    <row r="1525" spans="1:5" ht="15" x14ac:dyDescent="0.25">
      <c r="A1525" s="5" t="s">
        <v>4415</v>
      </c>
      <c r="B1525" s="6" t="s">
        <v>4416</v>
      </c>
      <c r="C1525" s="3" t="str">
        <f ca="1">IFERROR(__xludf.DUMMYFUNCTION("GOOGLETRANSLATE(B1525,""auto"",""en"")"),"This application provides a method, electronic equipment, and system that controls the treadmill, which can be used for artificial intelligence (AI) terminal. This method includes: the heart rate value of users sent by electronic equipment receiving weara"&amp;"ble devices; the user information stored in electronic equipment based on the user information stored in the electronic device to determine the user's running purpose and the recovery time of the running; Determine the first target heart rate range; the e"&amp;"lectronic equipment adjusts the running shown in accordance with the heart rate and the first target heart rate range. Examples of this application will help improve the degree of intelligence of electronic devices (such as smart terminal devices, such as"&amp;" mobile phones), and at the same time can improve the user experience of users when using treadmills.")</f>
        <v>This application provides a method, electronic equipment, and system that controls the treadmill, which can be used for artificial intelligence (AI) terminal. This method includes: the heart rate value of users sent by electronic equipment receiving wearable devices; the user information stored in electronic equipment based on the user information stored in the electronic device to determine the user's running purpose and the recovery time of the running; Determine the first target heart rate range; the electronic equipment adjusts the running shown in accordance with the heart rate and the first target heart rate range. Examples of this application will help improve the degree of intelligence of electronic devices (such as smart terminal devices, such as mobile phones), and at the same time can improve the user experience of users when using treadmills.</v>
      </c>
      <c r="D1525" s="6" t="s">
        <v>4417</v>
      </c>
      <c r="E1525" s="4" t="str">
        <f ca="1">IFERROR(__xludf.DUMMYFUNCTION("GOOGLETRANSLATE(D1525,""auto"",""en"")"),"A method of controlling treadmills, electronic equipment and systems")</f>
        <v>A method of controlling treadmills, electronic equipment and systems</v>
      </c>
    </row>
    <row r="1526" spans="1:5" ht="15" x14ac:dyDescent="0.25">
      <c r="A1526" s="5" t="s">
        <v>4418</v>
      </c>
      <c r="B1526" s="6" t="s">
        <v>4419</v>
      </c>
      <c r="C1526" s="3" t="str">
        <f ca="1">IFERROR(__xludf.DUMMYFUNCTION("GOOGLETRANSLATE(B1526,""auto"",""en"")"),"This application disclosed a virtual racing control method based on artificial intelligence (AI). This method includes: control the first virtual car through the client to drive on the virtual map of a certain round of racing games. The first virtual car "&amp;"is chasing the car, and the first account is the account participating in the round of the game. Racing games; when the client shows that when the first virtual racing hit the second virtual racing on the virtual map, the battery life of the second virtua"&amp;"l car decreases, and the second virtual car is a running car. When the battery life of the second virtual car is not greater than the preset threshold, the second virtual car has exited the car game on the client.")</f>
        <v>This application disclosed a virtual racing control method based on artificial intelligence (AI). This method includes: control the first virtual car through the client to drive on the virtual map of a certain round of racing games. The first virtual car is chasing the car, and the first account is the account participating in the round of the game. Racing games; when the client shows that when the first virtual racing hit the second virtual racing on the virtual map, the battery life of the second virtual car decreases, and the second virtual car is a running car. When the battery life of the second virtual car is not greater than the preset threshold, the second virtual car has exited the car game on the client.</v>
      </c>
      <c r="D1526" s="6" t="s">
        <v>979</v>
      </c>
      <c r="E1526" s="4" t="str">
        <f ca="1">IFERROR(__xludf.DUMMYFUNCTION("GOOGLETRANSLATE(D1526,""auto"",""en"")"),"The control method, device, storage medium and device of virtual racing")</f>
        <v>The control method, device, storage medium and device of virtual racing</v>
      </c>
    </row>
    <row r="1527" spans="1:5" ht="15" x14ac:dyDescent="0.25">
      <c r="A1527" s="5" t="s">
        <v>4420</v>
      </c>
      <c r="B1527" s="6" t="s">
        <v>4421</v>
      </c>
      <c r="C1527" s="3" t="str">
        <f ca="1">IFERROR(__xludf.DUMMYFUNCTION("GOOGLETRANSLATE(B1527,""auto"",""en"")"),"In the embodiment of this application, the automatic generation method, system, and server of the penalty instructions of the ball competition are provided. Video data, the video data is processed through a computer visual algorithm to obtain the game inf"&amp;"ormation; then identify the illegal operations of the ball competition and the illegal operation of the game according to the game information; finally Personnel generates a penalty instruction. Because the computer vision algorithm can accurately identif"&amp;"y the three -dimensional posture of the competition, the location of the competition person, the position of the ball, the movement trajectory of the game, the game of the game, and the game time of the game, the game can be accurately identified. The gam"&amp;"e information is illegally identified, and the automatic and accurate punishment of the ball competition will be achieved, and the ornamental and fairness of the ball competition will be enhanced.")</f>
        <v>In the embodiment of this application, the automatic generation method, system, and server of the penalty instructions of the ball competition are provided. Video data, the video data is processed through a computer visual algorithm to obtain the game information; then identify the illegal operations of the ball competition and the illegal operation of the game according to the game information; finally Personnel generates a penalty instruction. Because the computer vision algorithm can accurately identify the three -dimensional posture of the competition, the location of the competition person, the position of the ball, the movement trajectory of the game, the game of the game, and the game time of the game, the game can be accurately identified. The game information is illegally identified, and the automatic and accurate punishment of the ball competition will be achieved, and the ornamental and fairness of the ball competition will be enhanced.</v>
      </c>
      <c r="D1527" s="6" t="s">
        <v>4422</v>
      </c>
      <c r="E1527" s="4" t="str">
        <f ca="1">IFERROR(__xludf.DUMMYFUNCTION("GOOGLETRANSLATE(D1527,""auto"",""en"")"),"Auto -generate method, system and server of the penalty instructions of the ball competition")</f>
        <v>Auto -generate method, system and server of the penalty instructions of the ball competition</v>
      </c>
    </row>
    <row r="1528" spans="1:5" ht="15" x14ac:dyDescent="0.25">
      <c r="A1528" s="5" t="s">
        <v>4423</v>
      </c>
      <c r="B1528" s="6" t="s">
        <v>4424</v>
      </c>
      <c r="C1528" s="3" t="str">
        <f ca="1">IFERROR(__xludf.DUMMYFUNCTION("GOOGLETRANSLATE(B1528,""auto"",""en"")"),"The embodiment of this application provides an action standard mining method, device, electronic equipment and computer storage medium. This method includes: obtain video data and label results; where the video data includes multiple target action video d"&amp;"ata, the marking result is used to characterize whether the action corresponds to the action of each frame in the target action video data; The movement posture vector of each frame of the image data in the target action video; where the movement posture "&amp;"vector is used to characterize the human body's movement posture; the movement posture vector and the marking result enter the pre -set action standard mining model set, and generate the action evaluation data. Adopt the action standard mining method prov"&amp;"ided by this application. Through video data and marking results, based on machine learning algorithms, it can automatically dig out standardized, quantified and meaningful action evaluation data, thereby improving the standardization of sports evaluation"&amp;".")</f>
        <v>The embodiment of this application provides an action standard mining method, device, electronic equipment and computer storage medium. This method includes: obtain video data and label results; where the video data includes multiple target action video data, the marking result is used to characterize whether the action corresponds to the action of each frame in the target action video data; The movement posture vector of each frame of the image data in the target action video; where the movement posture vector is used to characterize the human body's movement posture; the movement posture vector and the marking result enter the pre -set action standard mining model set, and generate the action evaluation data. Adopt the action standard mining method provided by this application. Through video data and marking results, based on machine learning algorithms, it can automatically dig out standardized, quantified and meaningful action evaluation data, thereby improving the standardization of sports evaluation.</v>
      </c>
      <c r="D1528" s="6" t="s">
        <v>4425</v>
      </c>
      <c r="E1528" s="4" t="str">
        <f ca="1">IFERROR(__xludf.DUMMYFUNCTION("GOOGLETRANSLATE(D1528,""auto"",""en"")"),"Action standard mining method, device, electronic equipment and computer storage media")</f>
        <v>Action standard mining method, device, electronic equipment and computer storage media</v>
      </c>
    </row>
    <row r="1529" spans="1:5" ht="15" x14ac:dyDescent="0.25">
      <c r="A1529" s="5" t="s">
        <v>4426</v>
      </c>
      <c r="B1529" s="6" t="s">
        <v>4427</v>
      </c>
      <c r="C1529" s="3" t="str">
        <f ca="1">IFERROR(__xludf.DUMMYFUNCTION("GOOGLETRANSLATE(B1529,""auto"",""en"")"),"Provides a system for automatic monitoring of activities in the region of the movement activity. The network device includes artificial intelligence that automatically recognizes objects and postures from a video received from a camera received in the act"&amp;"ivity area. Artificial intelligence automatically edit videos based on the objects and gestures recognized from the video, and generate video files including predetermined objects and gestures. Artificial intelligence can generate a video including a spec"&amp;"ific athlete, and can automatically provide the video to athletes or third parties.")</f>
        <v>Provides a system for automatic monitoring of activities in the region of the movement activity. The network device includes artificial intelligence that automatically recognizes objects and postures from a video received from a camera received in the activity area. Artificial intelligence automatically edit videos based on the objects and gestures recognized from the video, and generate video files including predetermined objects and gestures. Artificial intelligence can generate a video including a specific athlete, and can automatically provide the video to athletes or third parties.</v>
      </c>
      <c r="D1529" s="6" t="s">
        <v>4428</v>
      </c>
      <c r="E1529" s="4" t="str">
        <f ca="1">IFERROR(__xludf.DUMMYFUNCTION("GOOGLETRANSLATE(D1529,""auto"",""en"")"),"Autonomous activity monitoring system and method")</f>
        <v>Autonomous activity monitoring system and method</v>
      </c>
    </row>
    <row r="1530" spans="1:5" ht="15" x14ac:dyDescent="0.25">
      <c r="A1530" s="5" t="s">
        <v>4429</v>
      </c>
      <c r="B1530" s="6" t="s">
        <v>4430</v>
      </c>
      <c r="C1530" s="3" t="str">
        <f ca="1">IFERROR(__xludf.DUMMYFUNCTION("GOOGLETRANSLATE(B1530,""auto"",""en"")"),"1. Design product name: Health customized graphic user interface for display screen panels.
 2. The purpose of designing products in this exterior: This design product is used for mobile phones, desktop computers, laptops, tablets, TVs, refrigerators wi"&amp;"th display screens, air conditioners with display screens, washing machines with display screens, and display screens with display screens, screens with display screens Water heater, range hood with display screen, dishwasher with display screens, integra"&amp;"ted stoves with display screens, steamed ovens with display screens, watches, robots with display screens, car navigators, and display -screen cars display Device, GPS devices, smart bracelets, smart glasses, personal digital assistants, smart speakers wi"&amp;"th display screens, set -top boxes with display screens, gaming machines, and fitness monitors. Through face recognition interaction, users are recommended to customize health The operation of recipes.
 3. Design of the design of the product in this ext"&amp;"erior: lies in the content of the graphic user interface in the screen.
 4. Pictures or photos that can most indicate design points: Design 1 interface change state Figure 4.
 5. No design points, omittind design 1 to design 8 rear views, left view, r"&amp;"ight view, down -view, upper view.
 6. Specify design 1 is the basic design.
 7. The purpose of the graphic user interface: By identifying the face of the person, scan the user's face and obtain the basic physical state report, and customize the uniqu"&amp;"e healthy recipe for the user according to user data.
 8. Human -computer interaction method of graphics user interface: Design 1 The main view is the interface when the application is opened. Click the button at the bottom of the main view of the main "&amp;"view, and the interface is transformed into a design 1 interface change state. Identify and display the horizontal of the face of the person recognized to the bottom of the design 1 interface changes. The bottom of the interface is selected. When the desi"&amp;"gn 1 interface changes state, the person at the bottom of the person face is transformed to the design 1 interface change state. 2 At this time, the static facing the camera preset (such as 15 seconds), scanning the user, a circle of progress around the a"&amp;"vatar is gradually lit, the progress bar around the avatar is completely lit. Design 1 interface change state Figure 2 transforms to design 1 interface change state Figure 3. In the design 1 interface change state Figure 3 Select the user's ""gender, age,"&amp;" height, weight"" parameter The button, the interface is transformed to the design 1 interface change state Figure 4, the test result is parameter items such as ""blood oxygen saturation, respiratory rate, heart rate, and blood pressure"". Click the desig"&amp;"n 1 interface change state. 4 The recommended recipe button, interface transformation For designing 1 interface change state Figure 5, showing the recipe picture suggestions under the corresponding items.
 Design 2 main view is the face recognition of t"&amp;"he character in the interface, and the horizontal arrangement of the face of the identified person's face is displayed at the bottom of the design 2 main view. Design 2 interface changes. Figure 1. At this time, the static is facing the camera to scan the"&amp;" user. A circle of progress around the avatar is gradually lit. A circle of progress around the avatar is completely lit. 2 Interface Change State Figure 1 Convert to design 2 interface change state Figure 2. In the design 2 interface change state Figure "&amp;"2 Select the user's ""gender, age, height, weight, weight"" parameter, click the design 2 interface changes in the state of the button at the bottom of the bottom of the interface status. The interface is transformed into a design 2 interface change state"&amp;" Figure 3, and the test results are parameter items such as ""blood oxygen saturation, respiratory rate, heart rate and blood pressure"". Click the design 2 interface changes. Design 2 interface change status Figure 4 shows that the recipe picture suggest"&amp;"ions corresponding to the test result.
 Design 3 The main view is the user scan interface. At this time, the user faces the camera. A circle of progress around the avatar is gradually lit. A circle of progress around the avatar is completely lit. Scan i"&amp;"s complete. In order to design 3 interface change state Figure 1, in the design 3 interface change state Figure 1 Select the user's ""gender, age, height, weight, weight"" parameter, click the design of the design 3 interface to change the bottom button, "&amp;"and the interface is transformed into the design 3 interface interface. Change status Figure 2, display test results, is parameter items such as ""blood oxygen saturation, respiratory rate, heart rate and blood pressure"". Click the design 3 interface cha"&amp;"nge state. 2 The recommended recipe button at the top of the top. Show the recipe picture suggestions under the corresponding item.
 Design 4 main views can select the user's ""gender, age, height, weight"" parameter, click the button at the bottom of t"&amp;"he main view of the main view, the interface is transformed to the design 4 interface change status. Parameter items such as rate, heart rate, and blood pressure, click on design 4 interface change state. Figure 1 The recommended recipe button at the top "&amp;"of the interface, the interface is transformed into the design 4 interface change state Figure 2, showing the recipe picture suggestion under the corresponding item.
 Design 5 Main view is the user test results interface, that is, the parameter items su"&amp;"ch as ""blood oxygen saturation, breathing rate, heart rate, and blood pressure"" are displayed. Click on the recommended recipe button on the top of the main vision map. Display the recipe picture suggestions under the corresponding item.
 Design 6 mai"&amp;"n views can choose the user's ""gender, age, height, weight"" parameter, click or slide to design at any button in the 6 main view, you can jump to the next interface.
 Design 7 main view is the user test results interface, that is, the parameter items "&amp;"such as ""blood oxygen saturation, breathing rate, heart rate, and blood pressure"" are displayed. Click or slide to design the 7 main view of the 7 main view button to jump to the next interface.
 The design 8 main view is the health recipe proposal in"&amp;"terface. Click or slide to design the 8 main view of the 8 main view to jump to the next interface.
 Among them, the ""gray tape plus character contour"" in the interface is expressed as a portrait, and ""gray block"" is expressed as a picture.")</f>
        <v>1. Design product name: Health customized graphic user interface for display screen panels.
 2. The purpose of designing products in this exterior: This design product is used for mobile phones, desktop computers, laptops, tablets, TVs, refrigerators with display screens, air conditioners with display screens, washing machines with display screens, and display screens with display screens, screens with display screens Water heater, range hood with display screen, dishwasher with display screens, integrated stoves with display screens, steamed ovens with display screens, watches, robots with display screens, car navigators, and display -screen cars display Device, GPS devices, smart bracelets, smart glasses, personal digital assistants, smart speakers with display screens, set -top boxes with display screens, gaming machines, and fitness monitors. Through face recognition interaction, users are recommended to customize health The operation of recipes.
 3. Design of the design of the product in this exterior: lies in the content of the graphic user interface in the screen.
 4. Pictures or photos that can most indicate design points: Design 1 interface change state Figure 4.
 5. No design points, omittind design 1 to design 8 rear views, left view, right view, down -view, upper view.
 6. Specify design 1 is the basic design.
 7. The purpose of the graphic user interface: By identifying the face of the person, scan the user's face and obtain the basic physical state report, and customize the unique healthy recipe for the user according to user data.
 8. Human -computer interaction method of graphics user interface: Design 1 The main view is the interface when the application is opened. Click the button at the bottom of the main view of the main view, and the interface is transformed into a design 1 interface change state. Identify and display the horizontal of the face of the person recognized to the bottom of the design 1 interface changes. The bottom of the interface is selected. When the design 1 interface changes state, the person at the bottom of the person face is transformed to the design 1 interface change state. 2 At this time, the static facing the camera preset (such as 15 seconds), scanning the user, a circle of progress around the avatar is gradually lit, the progress bar around the avatar is completely lit. Design 1 interface change state Figure 2 transforms to design 1 interface change state Figure 3. In the design 1 interface change state Figure 3 Select the user's "gender, age, height, weight" parameter The button, the interface is transformed to the design 1 interface change state Figure 4, the test result is parameter items such as "blood oxygen saturation, respiratory rate, heart rate, and blood pressure". Click the design 1 interface change state. 4 The recommended recipe button, interface transformation For designing 1 interface change state Figure 5, showing the recipe picture suggestions under the corresponding items.
 Design 2 main view is the face recognition of the character in the interface, and the horizontal arrangement of the face of the identified person's face is displayed at the bottom of the design 2 main view. Design 2 interface changes. Figure 1. At this time, the static is facing the camera to scan the user. A circle of progress around the avatar is gradually lit. A circle of progress around the avatar is completely lit. 2 Interface Change State Figure 1 Convert to design 2 interface change state Figure 2. In the design 2 interface change state Figure 2 Select the user's "gender, age, height, weight, weight" parameter, click the design 2 interface changes in the state of the button at the bottom of the bottom of the interface status. The interface is transformed into a design 2 interface change state Figure 3, and the test results are parameter items such as "blood oxygen saturation, respiratory rate, heart rate and blood pressure". Click the design 2 interface changes. Design 2 interface change status Figure 4 shows that the recipe picture suggestions corresponding to the test result.
 Design 3 The main view is the user scan interface. At this time, the user faces the camera. A circle of progress around the avatar is gradually lit. A circle of progress around the avatar is completely lit. Scan is complete. In order to design 3 interface change state Figure 1, in the design 3 interface change state Figure 1 Select the user's "gender, age, height, weight, weight" parameter, click the design of the design 3 interface to change the bottom button, and the interface is transformed into the design 3 interface interface. Change status Figure 2, display test results, is parameter items such as "blood oxygen saturation, respiratory rate, heart rate and blood pressure". Click the design 3 interface change state. 2 The recommended recipe button at the top of the top. Show the recipe picture suggestions under the corresponding item.
 Design 4 main views can select the user's "gender, age, height, weight" parameter, click the button at the bottom of the main view of the main view, the interface is transformed to the design 4 interface change status. Parameter items such as rate, heart rate, and blood pressure, click on design 4 interface change state. Figure 1 The recommended recipe button at the top of the interface, the interface is transformed into the design 4 interface change state Figure 2, showing the recipe picture suggestion under the corresponding item.
 Design 5 Main view is the user test results interface, that is, the parameter items such as "blood oxygen saturation, breathing rate, heart rate, and blood pressure" are displayed. Click on the recommended recipe button on the top of the main vision map. Display the recipe picture suggestions under the corresponding item.
 Design 6 main views can choose the user's "gender, age, height, weight" parameter, click or slide to design at any button in the 6 main view, you can jump to the next interface.
 Design 7 main view is the user test results interface, that is, the parameter items such as "blood oxygen saturation, breathing rate, heart rate, and blood pressure" are displayed. Click or slide to design the 7 main view of the 7 main view button to jump to the next interface.
 The design 8 main view is the health recipe proposal interface. Click or slide to design the 8 main view of the 8 main view to jump to the next interface.
 Among them, the "gray tape plus character contour" in the interface is expressed as a portrait, and "gray block" is expressed as a picture.</v>
      </c>
      <c r="D1530" s="6" t="s">
        <v>4431</v>
      </c>
      <c r="E1530" s="4" t="str">
        <f ca="1">IFERROR(__xludf.DUMMYFUNCTION("GOOGLETRANSLATE(D1530,""auto"",""en"")"),"Used for health customized graphic user interface for display screen panels")</f>
        <v>Used for health customized graphic user interface for display screen panels</v>
      </c>
    </row>
    <row r="1531" spans="1:5" ht="15" x14ac:dyDescent="0.25">
      <c r="A1531" s="5" t="s">
        <v>4432</v>
      </c>
      <c r="B1531" s="6" t="s">
        <v>4433</v>
      </c>
      <c r="C1531" s="3" t="str">
        <f ca="1">IFERROR(__xludf.DUMMYFUNCTION("GOOGLETRANSLATE(B1531,""auto"",""en"")"),"The system that predicts the results of the player's emotional status in the invention includes the variable database, which is used to store internal variables, including the game records of each player and the emotional state of each player, and the ext"&amp;"ernal variables, including the game records of each team; Data collectors can generate original sports data by climbing the scheduled webpage collection sports; the data classifier uses the predetermined emotional state model based on the emotional word i"&amp;"ncluded in the original sports data to calculate the emotional state of each athlete; and the matching results prediction prediction The device, which calculates the predicted value of the matching result by input the internal and external variables into "&amp;"the emotional model of the recursive neural network learning.")</f>
        <v>The system that predicts the results of the player's emotional status in the invention includes the variable database, which is used to store internal variables, including the game records of each player and the emotional state of each player, and the external variables, including the game records of each team; Data collectors can generate original sports data by climbing the scheduled webpage collection sports; the data classifier uses the predetermined emotional state model based on the emotional word included in the original sports data to calculate the emotional state of each athlete; and the matching results prediction prediction The device, which calculates the predicted value of the matching result by input the internal and external variables into the emotional model of the recursive neural network learning.</v>
      </c>
      <c r="D1531" s="6" t="s">
        <v>4434</v>
      </c>
      <c r="E1531" s="4" t="str">
        <f ca="1">IFERROR(__xludf.DUMMYFUNCTION("GOOGLETRANSLATE(D1531,""auto"",""en"")"),"Use the player's emotional state to predict the system and method of the results of the competition")</f>
        <v>Use the player's emotional state to predict the system and method of the results of the competition</v>
      </c>
    </row>
    <row r="1532" spans="1:5" ht="15" x14ac:dyDescent="0.25">
      <c r="A1532" s="5" t="s">
        <v>4435</v>
      </c>
      <c r="B1532" s="6" t="s">
        <v>4436</v>
      </c>
      <c r="C1532" s="3" t="str">
        <f ca="1">IFERROR(__xludf.DUMMYFUNCTION("GOOGLETRANSLATE(B1532,""auto"",""en"")"),"1. Design product name: Display screen panel with a graphical user interface with information display.
 2. The purpose of designing products in this exterior: The design of the product in this exterior is used to display information.
 3. Design of the"&amp;" design of the product in this exterior: lies in the interface content of the graphic user interface in the screen.
 4. Pictures or photos that can most indicate design points: main view.
 5. There is no design point for the omitted view, omittime, le"&amp;"ft view, left view, right view, down -view, viewing view.
 6. The purpose of the graphical user interface: used to show the user's fitness course information and personal fitness data information.
 7. Human -computer interaction method of graphical us"&amp;"er interface: The main visual map interface is the fitness interface personal center display interface, which can display personal training information content. Control the remote control to make the main view interface pull down.
 8. The display screen"&amp;" panel can be used for mobile phones, computers, tablets, vehicle central control screens, smart TVs, projectors.")</f>
        <v>1. Design product name: Display screen panel with a graphical user interface with information display.
 2. The purpose of designing products in this exterior: The design of the product in this exterior is used to display information.
 3. Design of the design of the product in this exterior: lies in the interface content of the graphic user interface in the screen.
 4. Pictures or photos that can most indicate design points: main view.
 5. There is no design point for the omitted view, omittime, left view, left view, right view, down -view, viewing view.
 6. The purpose of the graphical user interface: used to show the user's fitness course information and personal fitness data information.
 7. Human -computer interaction method of graphical user interface: The main visual map interface is the fitness interface personal center display interface, which can display personal training information content. Control the remote control to make the main view interface pull down.
 8. The display screen panel can be used for mobile phones, computers, tablets, vehicle central control screens, smart TVs, projectors.</v>
      </c>
      <c r="D1532" s="6" t="s">
        <v>4437</v>
      </c>
      <c r="E1532" s="4" t="str">
        <f ca="1">IFERROR(__xludf.DUMMYFUNCTION("GOOGLETRANSLATE(D1532,""auto"",""en"")"),"The display screen panel with the graphical user interface with information display")</f>
        <v>The display screen panel with the graphical user interface with information display</v>
      </c>
    </row>
    <row r="1533" spans="1:5" ht="15" x14ac:dyDescent="0.25">
      <c r="A1533" s="5" t="s">
        <v>4438</v>
      </c>
      <c r="B1533" s="6" t="s">
        <v>4439</v>
      </c>
      <c r="C1533" s="3" t="str">
        <f ca="1">IFERROR(__xludf.DUMMYFUNCTION("GOOGLETRANSLATE(B1533,""auto"",""en"")"),"A system for monitoring, recording and processing activities, including one or more cameras for automatic recording activity videos. The remote media system is located at the event location. Online media processor and service communication are coupled to "&amp;"the remote media system. The remote media system includes one or more cameras that support artificial intelligence. The camera supporting artificial intelligence is configured as a recording activity. The network media processor is configured as a camera "&amp;"excitement request for receiving AI and confirming the record request. The system can automatically manage the skill competition.")</f>
        <v>A system for monitoring, recording and processing activities, including one or more cameras for automatic recording activity videos. The remote media system is located at the event location. Online media processor and service communication are coupled to the remote media system. The remote media system includes one or more cameras that support artificial intelligence. The camera supporting artificial intelligence is configured as a recording activity. The network media processor is configured as a camera excitement request for receiving AI and confirming the record request. The system can automatically manage the skill competition.</v>
      </c>
      <c r="D1533" s="6" t="s">
        <v>15</v>
      </c>
      <c r="E1533" s="4" t="str">
        <f ca="1">IFERROR(__xludf.DUMMYFUNCTION("GOOGLETRANSLATE(D1533,""auto"",""en"")"),"Autonomous golf competition system and method")</f>
        <v>Autonomous golf competition system and method</v>
      </c>
    </row>
    <row r="1534" spans="1:5" ht="15" x14ac:dyDescent="0.25">
      <c r="A1534" s="5" t="s">
        <v>4440</v>
      </c>
      <c r="B1534" s="6" t="s">
        <v>4441</v>
      </c>
      <c r="C1534" s="3" t="str">
        <f ca="1">IFERROR(__xludf.DUMMYFUNCTION("GOOGLETRANSLATE(B1534,""auto"",""en"")"),"A system for monitoring, recording and processing activities, including one or more cameras for videos for automatic recording activities. The remote media system is located at the event location. Online media processors and services communicate with remo"&amp;"te media systems. The remote media system includes one or more cameras that enable artificial intelligence. The camera configuration supports artificial intelligence to record activities. The network media processor is configured to activate the activatio"&amp;"n request for the camera supporting AI and verify the record request. The system can automatically manage skill -based competitions.")</f>
        <v>A system for monitoring, recording and processing activities, including one or more cameras for videos for automatic recording activities. The remote media system is located at the event location. Online media processors and services communicate with remote media systems. The remote media system includes one or more cameras that enable artificial intelligence. The camera configuration supports artificial intelligence to record activities. The network media processor is configured to activate the activation request for the camera supporting AI and verify the record request. The system can automatically manage skill -based competitions.</v>
      </c>
      <c r="D1534" s="6" t="s">
        <v>15</v>
      </c>
      <c r="E1534" s="4" t="str">
        <f ca="1">IFERROR(__xludf.DUMMYFUNCTION("GOOGLETRANSLATE(D1534,""auto"",""en"")"),"Autonomous golf competition system and method")</f>
        <v>Autonomous golf competition system and method</v>
      </c>
    </row>
    <row r="1535" spans="1:5" ht="15" x14ac:dyDescent="0.25">
      <c r="A1535" s="5" t="s">
        <v>4442</v>
      </c>
      <c r="B1535" s="6" t="s">
        <v>4443</v>
      </c>
      <c r="C1535" s="3" t="str">
        <f ca="1">IFERROR(__xludf.DUMMYFUNCTION("GOOGLETRANSLATE(B1535,""auto"",""en"")"),"The present invention disclosed a smart campus access control system based on artificial intelligence, including monitoring hosts, network server and smart camera devices. The network server includes data receiving modules, data comparison verification mo"&amp;"dules, verification results sending modules, data packaging modules, data storage units and data sending modules. The module is used to download the data in the data storage unit through the network dedicated line to the monitoring host. The data packagin"&amp;"g module is used to decod and restore the packets that have been encapsulated on the monitoring host; At the same time, it is ensured that the specific operations of the user can be queried in time, which greatly improves the data storage security of the "&amp;"smart campus access control system.")</f>
        <v>The present invention disclosed a smart campus access control system based on artificial intelligence, including monitoring hosts, network server and smart camera devices. The network server includes data receiving modules, data comparison verification modules, verification results sending modules, data packaging modules, data storage units and data sending modules. The module is used to download the data in the data storage unit through the network dedicated line to the monitoring host. The data packaging module is used to decod and restore the packets that have been encapsulated on the monitoring host; At the same time, it is ensured that the specific operations of the user can be queried in time, which greatly improves the data storage security of the smart campus access control system.</v>
      </c>
      <c r="D1535" s="6" t="s">
        <v>4444</v>
      </c>
      <c r="E1535" s="4" t="str">
        <f ca="1">IFERROR(__xludf.DUMMYFUNCTION("GOOGLETRANSLATE(D1535,""auto"",""en"")"),"A smart campus access control system based on artificial intelligence")</f>
        <v>A smart campus access control system based on artificial intelligence</v>
      </c>
    </row>
    <row r="1536" spans="1:5" ht="15" x14ac:dyDescent="0.25">
      <c r="A1536" s="5" t="s">
        <v>4445</v>
      </c>
      <c r="B1536" s="6" t="s">
        <v>4446</v>
      </c>
      <c r="C1536" s="3" t="str">
        <f ca="1">IFERROR(__xludf.DUMMYFUNCTION("GOOGLETRANSLATE(B1536,""auto"",""en"")"),"This public involves a system and method for predicting the results of badminton games. The system of the present invention includes: data collection unit; data processing unit; feature selection unit; and a prediction model. The purpose of this disclosur"&amp;"e is to propose different machine learning models to analyze the complex data of various badminton games from 2016 to 2019 to predict the results of badminton games. In this public, three types of machine learning models have been proposed NB-CBFW, Chirp "&amp;"and Hyper Pipes to predict the 2019 Australian Open, the 2019 Malaysia Open, the 2019 German Open and the 2019 Singapore Open Badminton Championship result. Results The predicted performance was measured by accuracy, RMSE, TPR, TNR, PPV, NPV, and ROC. The"&amp;" 16 test datasets were analyzed for results prediction. Compared with Chirp and Hyper Pipes, the results of NB-CBFW prediction are much better. 14 RC M M ET D FA OL AI")</f>
        <v>This public involves a system and method for predicting the results of badminton games. The system of the present invention includes: data collection unit; data processing unit; feature selection unit; and a prediction model. The purpose of this disclosure is to propose different machine learning models to analyze the complex data of various badminton games from 2016 to 2019 to predict the results of badminton games. In this public, three types of machine learning models have been proposed NB-CBFW, Chirp and Hyper Pipes to predict the 2019 Australian Open, the 2019 Malaysia Open, the 2019 German Open and the 2019 Singapore Open Badminton Championship result. Results The predicted performance was measured by accuracy, RMSE, TPR, TNR, PPV, NPV, and ROC. The 16 test datasets were analyzed for results prediction. Compared with Chirp and Hyper Pipes, the results of NB-CBFW prediction are much better. 14 RC M M ET D FA OL AI</v>
      </c>
      <c r="D1536" s="6" t="s">
        <v>4447</v>
      </c>
      <c r="E1536" s="4" t="str">
        <f ca="1">IFERROR(__xludf.DUMMYFUNCTION("GOOGLETRANSLATE(D1536,""auto"",""en"")"),"A system and method of predicting the results of badminton games")</f>
        <v>A system and method of predicting the results of badminton games</v>
      </c>
    </row>
    <row r="1537" spans="1:5" ht="15" x14ac:dyDescent="0.25">
      <c r="A1537" s="5" t="s">
        <v>4448</v>
      </c>
      <c r="B1537" s="6" t="s">
        <v>4449</v>
      </c>
      <c r="C1537" s="3" t="str">
        <f ca="1">IFERROR(__xludf.DUMMYFUNCTION("GOOGLETRANSLATE(B1537,""auto"",""en"")"),"This utility model opens a teaching training platform with artificial intelligence, including the base, which is set with a mobile display blackboard at the top of the base. There is a first mobile camera, which is fixed to the outer wall of the top of th"&amp;"e base with a second mobile camera. The top wall of the top of the base is set with a third mobile camera. Through the first mobile camera, the second mobile camera, and the third mobile camera, you can perform panoramic VR shooting. This can solve the pr"&amp;"oblems that the practical courses can not see the specific operations and operation details because the number of people cannot be close to the teacher. The shot data is transformed and output to the student's VR instrument. The first mobile camera, the s"&amp;"econd mobile camera, and the third mobile camera have the same structure and different positions. Mobile display blackboards can be used as projection screen for offline teaching, which is in line with modern teaching.")</f>
        <v>This utility model opens a teaching training platform with artificial intelligence, including the base, which is set with a mobile display blackboard at the top of the base. There is a first mobile camera, which is fixed to the outer wall of the top of the base with a second mobile camera. The top wall of the top of the base is set with a third mobile camera. Through the first mobile camera, the second mobile camera, and the third mobile camera, you can perform panoramic VR shooting. This can solve the problems that the practical courses can not see the specific operations and operation details because the number of people cannot be close to the teacher. The shot data is transformed and output to the student's VR instrument. The first mobile camera, the second mobile camera, and the third mobile camera have the same structure and different positions. Mobile display blackboards can be used as projection screen for offline teaching, which is in line with modern teaching.</v>
      </c>
      <c r="D1537" s="6" t="s">
        <v>4450</v>
      </c>
      <c r="E1537" s="4" t="str">
        <f ca="1">IFERROR(__xludf.DUMMYFUNCTION("GOOGLETRANSLATE(D1537,""auto"",""en"")"),"A teaching training platform with artificial intelligence")</f>
        <v>A teaching training platform with artificial intelligence</v>
      </c>
    </row>
    <row r="1538" spans="1:5" ht="15" x14ac:dyDescent="0.25">
      <c r="A1538" s="5" t="s">
        <v>4451</v>
      </c>
      <c r="B1538" s="6" t="s">
        <v>4452</v>
      </c>
      <c r="C1538" s="3" t="str">
        <f ca="1">IFERROR(__xludf.DUMMYFUNCTION("GOOGLETRANSLATE(B1538,""auto"",""en"")"),"The invention involves an automatic explanation device and method of a football game, which is the field of machine learning technology. This method first builds the basic information of players and teams and the player team database of recent news; then "&amp;"use video event detection technology and video tracking technology The game information information; then according to the situation of the game, selectively output the player team introduction, player team news abstract, competition commentary, end words"&amp;" and other types of football commentary words. ; Finally, use voice synthesis technology to transfer the text text to the corresponding audio. This method realizes the automatic commentary of football games through natural language processing, computer vi"&amp;"sion, voice synthesis and other technologies, saving the labor costs invested by the commentator, and allowing fans to appreciate more commentary games.")</f>
        <v>The invention involves an automatic explanation device and method of a football game, which is the field of machine learning technology. This method first builds the basic information of players and teams and the player team database of recent news; then use video event detection technology and video tracking technology The game information information; then according to the situation of the game, selectively output the player team introduction, player team news abstract, competition commentary, end words and other types of football commentary words. ; Finally, use voice synthesis technology to transfer the text text to the corresponding audio. This method realizes the automatic commentary of football games through natural language processing, computer vision, voice synthesis and other technologies, saving the labor costs invested by the commentator, and allowing fans to appreciate more commentary games.</v>
      </c>
      <c r="D1538" s="6" t="s">
        <v>4453</v>
      </c>
      <c r="E1538" s="4" t="str">
        <f ca="1">IFERROR(__xludf.DUMMYFUNCTION("GOOGLETRANSLATE(D1538,""auto"",""en"")"),"An automatic explanation device and method of a football game")</f>
        <v>An automatic explanation device and method of a football game</v>
      </c>
    </row>
    <row r="1539" spans="1:5" ht="15" x14ac:dyDescent="0.25">
      <c r="A1539" s="5" t="s">
        <v>4454</v>
      </c>
      <c r="B1539" s="6" t="s">
        <v>4455</v>
      </c>
      <c r="C1539" s="3" t="str">
        <f ca="1">IFERROR(__xludf.DUMMYFUNCTION("GOOGLETRANSLATE(B1539,""auto"",""en"")"),"This utility model discloses a fitness course storage device, including the base, which is provided with a shell above the base. There are multiple collisions on one side of the shell. There is a patch, which is equipped with a sensor device on the patch."&amp;" Unit electrical connection. This fitness course storage device can record the fitness action through the sensing device and the sensing device, and connect the information receiving unit to receive the information of the sensing device. Storage, users ca"&amp;"n follow the sports trajectory for fitness. This storage device has a simple structure, convenient use, good human -computer interaction effect, and can be corrected in time in time.")</f>
        <v>This utility model discloses a fitness course storage device, including the base, which is provided with a shell above the base. There are multiple collisions on one side of the shell. There is a patch, which is equipped with a sensor device on the patch. Unit electrical connection. This fitness course storage device can record the fitness action through the sensing device and the sensing device, and connect the information receiving unit to receive the information of the sensing device. Storage, users can follow the sports trajectory for fitness. This storage device has a simple structure, convenient use, good human -computer interaction effect, and can be corrected in time in time.</v>
      </c>
      <c r="D1539" s="6" t="s">
        <v>4456</v>
      </c>
      <c r="E1539" s="4" t="str">
        <f ca="1">IFERROR(__xludf.DUMMYFUNCTION("GOOGLETRANSLATE(D1539,""auto"",""en"")"),"A fitness course storage device")</f>
        <v>A fitness course storage device</v>
      </c>
    </row>
    <row r="1540" spans="1:5" ht="15" x14ac:dyDescent="0.25">
      <c r="A1540" s="5" t="s">
        <v>4457</v>
      </c>
      <c r="B1540" s="6" t="s">
        <v>4458</v>
      </c>
      <c r="C1540" s="3" t="str">
        <f ca="1">IFERROR(__xludf.DUMMYFUNCTION("GOOGLETRANSLATE(B1540,""auto"",""en"")"),"Abstract This public involves a method of identification and generalization of imperial penguin optimization events formed by the highlights of the cricket. This method includes: extract audio features to extract wonderful fragments from cricket videos; t"&amp;"o calculate the color difference between the color tone between adjacent frames to detect the key frames or short boundaries of each exciting editing, to minimize the calculation time Complexity; distinguish back frames and real frames by positioning the "&amp;"score card area; extract low -level features, such as color and edges to determine the stadium view, boundary view, player, field guards, referees, players gather and audience; use action action The recognition device detects the player's dispute/reaction"&amp;" during the three-pillar door, border, injury and referee and players; by proposing deep neural networks with deep neural networks with Emperor Penguin Optimization (HDNN-EPO) Concept; and generate highlights, arrange exciting editing selected in the orde"&amp;"r of time. 25 (%J 00 RJ;: I 00 R-I R-Ee .fl E ATO 0 WC 0 B0 E 0 E to 00 CL 0 EN M ~ 0 x C, -m C0 C'e Wa 0 R2 C 2 ~ .C-'CF ~ 0 0 0 0 0 0 0 TOU L n 0. -0 ""-ae = C = (.0 ENOT C ~ A, 2")</f>
        <v>Abstract This public involves a method of identification and generalization of imperial penguin optimization events formed by the highlights of the cricket. This method includes: extract audio features to extract wonderful fragments from cricket videos; to calculate the color difference between the color tone between adjacent frames to detect the key frames or short boundaries of each exciting editing, to minimize the calculation time Complexity; distinguish back frames and real frames by positioning the score card area; extract low -level features, such as color and edges to determine the stadium view, boundary view, player, field guards, referees, players gather and audience; use action action The recognition device detects the player's dispute/reaction during the three-pillar door, border, injury and referee and players; by proposing deep neural networks with deep neural networks with Emperor Penguin Optimization (HDNN-EPO) Concept; and generate highlights, arrange exciting editing selected in the order of time. 25 (%J 00 RJ;: I 00 R-I R-Ee .fl E ATO 0 WC 0 B0 E 0 E to 00 CL 0 EN M ~ 0 x C, -m C0 C'e Wa 0 R2 C 2 ~ .C-'CF ~ 0 0 0 0 0 0 0 TOU L n 0. -0 "-ae = C = (.0 ENOT C ~ A, 2</v>
      </c>
      <c r="D1540" s="6" t="s">
        <v>4459</v>
      </c>
      <c r="E1540" s="4" t="str">
        <f ca="1">IFERROR(__xludf.DUMMYFUNCTION("GOOGLETRANSLATE(D1540,""auto"",""en"")"),"A kind of highlight generation method for the identification and summary of Emperor Penguin Optimization Event")</f>
        <v>A kind of highlight generation method for the identification and summary of Emperor Penguin Optimization Event</v>
      </c>
    </row>
    <row r="1541" spans="1:5" ht="15" x14ac:dyDescent="0.25">
      <c r="A1541" s="5" t="s">
        <v>4460</v>
      </c>
      <c r="B1541" s="6" t="s">
        <v>4461</v>
      </c>
      <c r="C1541" s="3" t="str">
        <f ca="1">IFERROR(__xludf.DUMMYFUNCTION("GOOGLETRANSLATE(B1541,""auto"",""en"")"),"The present invention involves a smart treadmill and its speed adjustment method. It belongs to the field of treadmills, including chassis and brackets. The running table is installed in the chassis. The treadmill is equipped with a power roller. The powe"&amp;"r roller is set with speed sensors. There is a console on the top of the bracket. The console is equipped with a touch display, the operation button area, the touch display screen is set to have a human -machine interaction interface, and a wearable data "&amp;"collection terminal is set. The data collection terminal is set. Stepomat. By monitoring the user's heart rate, blood oxygen, steps, heat mass and other exercise indicators, the user's movement information is obtained through the calculation of the MCU pr"&amp;"ocessor, and the operating speed of the treadmill power drum is controlled through the speed regulator to allow users to allow users to allow users to allow users to allow users to allow users Read the best exercise effect.")</f>
        <v>The present invention involves a smart treadmill and its speed adjustment method. It belongs to the field of treadmills, including chassis and brackets. The running table is installed in the chassis. The treadmill is equipped with a power roller. The power roller is set with speed sensors. There is a console on the top of the bracket. The console is equipped with a touch display, the operation button area, the touch display screen is set to have a human -machine interaction interface, and a wearable data collection terminal is set. The data collection terminal is set. Stepomat. By monitoring the user's heart rate, blood oxygen, steps, heat mass and other exercise indicators, the user's movement information is obtained through the calculation of the MCU processor, and the operating speed of the treadmill power drum is controlled through the speed regulator to allow users to allow users to allow users to allow users to allow users to allow users Read the best exercise effect.</v>
      </c>
      <c r="D1541" s="6" t="s">
        <v>4462</v>
      </c>
      <c r="E1541" s="4" t="str">
        <f ca="1">IFERROR(__xludf.DUMMYFUNCTION("GOOGLETRANSLATE(D1541,""auto"",""en"")"),"A smart treadmill and its speed adjustment method")</f>
        <v>A smart treadmill and its speed adjustment method</v>
      </c>
    </row>
    <row r="1542" spans="1:5" ht="15" x14ac:dyDescent="0.25">
      <c r="A1542" s="5" t="s">
        <v>4463</v>
      </c>
      <c r="B1542" s="6" t="s">
        <v>4464</v>
      </c>
      <c r="C1542" s="3" t="str">
        <f ca="1">IFERROR(__xludf.DUMMYFUNCTION("GOOGLETRANSLATE(B1542,""auto"",""en"")"),"A kind of physical and mental pressure decompression adjustment training system that improves psychological energy efficiency, including servers, control terminals, and control devices that pass through electrical connections in turn. Control terminals in"&amp;"clude intelligent robots. Smart robots are used to use text, behavioral action or voice mode with users. Human -machine interaction, feedback and execution of the instructions issued by the user; the server is used to receive the settings of the terminal,"&amp;" customize the function module of the control terminal, and provide support for it, analyze and summarize the data of the control terminal, control based The terminal data of the terminal issues a healthy state analysis report and gives suggestions, recor"&amp;"ds the data of the control terminal, stores, and provides logical support for the control terminal. The creation of the present invention aims to create a relaxed fitness atmosphere. The environment simulation module simulates the environment close to nat"&amp;"ure, the music playback control module play the relaxed and happy background music and the incense control module at the fog to produce rosewood or the freshness close to nature. odor.")</f>
        <v>A kind of physical and mental pressure decompression adjustment training system that improves psychological energy efficiency, including servers, control terminals, and control devices that pass through electrical connections in turn. Control terminals include intelligent robots. Smart robots are used to use text, behavioral action or voice mode with users. Human -machine interaction, feedback and execution of the instructions issued by the user; the server is used to receive the settings of the terminal, customize the function module of the control terminal, and provide support for it, analyze and summarize the data of the control terminal, control based The terminal data of the terminal issues a healthy state analysis report and gives suggestions, records the data of the control terminal, stores, and provides logical support for the control terminal. The creation of the present invention aims to create a relaxed fitness atmosphere. The environment simulation module simulates the environment close to nature, the music playback control module play the relaxed and happy background music and the incense control module at the fog to produce rosewood or the freshness close to nature. odor.</v>
      </c>
      <c r="D1542" s="6" t="s">
        <v>4465</v>
      </c>
      <c r="E1542" s="4" t="str">
        <f ca="1">IFERROR(__xludf.DUMMYFUNCTION("GOOGLETRANSLATE(D1542,""auto"",""en"")"),"A kind of physical, mental and mental reducing training system that improves psychological energy efficiency")</f>
        <v>A kind of physical, mental and mental reducing training system that improves psychological energy efficiency</v>
      </c>
    </row>
    <row r="1543" spans="1:5" ht="15" x14ac:dyDescent="0.25">
      <c r="A1543" s="5" t="s">
        <v>4466</v>
      </c>
      <c r="B1543" s="6" t="s">
        <v>4467</v>
      </c>
      <c r="C1543" s="3" t="str">
        <f ca="1">IFERROR(__xludf.DUMMYFUNCTION("GOOGLETRANSLATE(B1543,""auto"",""en"")"),"A intelligent sports video and data generation system, using the artificial intelligence detection engine in the motion detection device, the order of the global timestamp information to the multiple sports detection equipment broadcasts, so that the reco"&amp;"rded data of the record can be aligned with the video data. Among them, videos or data sets that can be spliced ​​together based on the parameters input queries.")</f>
        <v>A intelligent sports video and data generation system, using the artificial intelligence detection engine in the motion detection device, the order of the global timestamp information to the multiple sports detection equipment broadcasts, so that the recorded data of the record can be aligned with the video data. Among them, videos or data sets that can be spliced ​​together based on the parameters input queries.</v>
      </c>
      <c r="D1543" s="6" t="s">
        <v>4468</v>
      </c>
      <c r="E1543" s="4" t="str">
        <f ca="1">IFERROR(__xludf.DUMMYFUNCTION("GOOGLETRANSLATE(D1543,""auto"",""en"")"),"Generate intelligent sports videos and data from artificial intelligence recognition events")</f>
        <v>Generate intelligent sports videos and data from artificial intelligence recognition events</v>
      </c>
    </row>
    <row r="1544" spans="1:5" ht="15" x14ac:dyDescent="0.25">
      <c r="A1544" s="5" t="s">
        <v>4469</v>
      </c>
      <c r="B1544" s="6" t="s">
        <v>4467</v>
      </c>
      <c r="C1544" s="3" t="str">
        <f ca="1">IFERROR(__xludf.DUMMYFUNCTION("GOOGLETRANSLATE(B1544,""auto"",""en"")"),"A intelligent sports video and data generation system, using the artificial intelligence detection engine in the motion detection device, the order of the global timestamp information to the multiple sports detection equipment broadcasts, so that the reco"&amp;"rded data of the record can be aligned with the video data. Among them, videos or data sets that can be spliced ​​together based on the parameters input queries.")</f>
        <v>A intelligent sports video and data generation system, using the artificial intelligence detection engine in the motion detection device, the order of the global timestamp information to the multiple sports detection equipment broadcasts, so that the recorded data of the record can be aligned with the video data. Among them, videos or data sets that can be spliced ​​together based on the parameters input queries.</v>
      </c>
      <c r="D1544" s="6" t="s">
        <v>4468</v>
      </c>
      <c r="E1544" s="4" t="str">
        <f ca="1">IFERROR(__xludf.DUMMYFUNCTION("GOOGLETRANSLATE(D1544,""auto"",""en"")"),"Generate intelligent sports videos and data from artificial intelligence recognition events")</f>
        <v>Generate intelligent sports videos and data from artificial intelligence recognition events</v>
      </c>
    </row>
    <row r="1545" spans="1:5" ht="15" x14ac:dyDescent="0.25">
      <c r="A1545" s="5" t="s">
        <v>4470</v>
      </c>
      <c r="B1545" s="6" t="s">
        <v>4471</v>
      </c>
      <c r="C1545" s="3" t="str">
        <f ca="1">IFERROR(__xludf.DUMMYFUNCTION("GOOGLETRANSLATE(B1545,""auto"",""en"")"),"This article revealed the system and method of the formation of the team on the field. One group of events of multiple events for a computing system retrieves multiple events. Each group of incident data corresponds to a clip of the event. Deep neural net"&amp;"work learning such as hybrid density networks is based on one or more groups of events to predict the best arrangement of players in each part of the event. Deep neural networks learn the distribution of players in each market segment based on the corresp"&amp;"onding event data and the best arrangement of players. The computing system is based on learning to generate a full training model. The computing system receives the target event data corresponding to the target event. The computing system generates the e"&amp;"xpected location of each player based on the training model based on the target event data.")</f>
        <v>This article revealed the system and method of the formation of the team on the field. One group of events of multiple events for a computing system retrieves multiple events. Each group of incident data corresponds to a clip of the event. Deep neural network learning such as hybrid density networks is based on one or more groups of events to predict the best arrangement of players in each part of the event. Deep neural networks learn the distribution of players in each market segment based on the corresponding event data and the best arrangement of players. The computing system is based on learning to generate a full training model. The computing system receives the target event data corresponding to the target event. The computing system generates the expected location of each player based on the training model based on the target event data.</v>
      </c>
      <c r="D1545" s="6" t="s">
        <v>4472</v>
      </c>
      <c r="E1545" s="4" t="str">
        <f ca="1">IFERROR(__xludf.DUMMYFUNCTION("GOOGLETRANSLATE(D1545,""auto"",""en"")"),"Sports formation prediction system and method")</f>
        <v>Sports formation prediction system and method</v>
      </c>
    </row>
    <row r="1546" spans="1:5" ht="15" x14ac:dyDescent="0.25">
      <c r="A1546" s="5" t="s">
        <v>4473</v>
      </c>
      <c r="B1546" s="6" t="s">
        <v>4474</v>
      </c>
      <c r="C1546" s="3" t="str">
        <f ca="1">IFERROR(__xludf.DUMMYFUNCTION("GOOGLETRANSLATE(B1546,""auto"",""en"")"),"This article revealed the system and method of the formation of the team on the field. One group of events of multiple events for a computing system retrieves multiple events. Each group of incident data corresponds to a clip of the event. Deep neural net"&amp;"work learning such as hybrid density networks is based on the best arrangement of players in each part of the event based on one or more sets of events. Deep neural networks learn the distribution of players in each market segment based on the correspondi"&amp;"ng event data and the best arrangement of players. The computing system is based on learning to generate a full training model. The computing system receives the target event data corresponding to the target event. The computing system generates the expec"&amp;"ted location of each player based on the training model based on the target event data.")</f>
        <v>This article revealed the system and method of the formation of the team on the field. One group of events of multiple events for a computing system retrieves multiple events. Each group of incident data corresponds to a clip of the event. Deep neural network learning such as hybrid density networks is based on the best arrangement of players in each part of the event based on one or more sets of events. Deep neural networks learn the distribution of players in each market segment based on the corresponding event data and the best arrangement of players. The computing system is based on learning to generate a full training model. The computing system receives the target event data corresponding to the target event. The computing system generates the expected location of each player based on the training model based on the target event data.</v>
      </c>
      <c r="D1546" s="6" t="s">
        <v>4475</v>
      </c>
      <c r="E1546" s="4" t="str">
        <f ca="1">IFERROR(__xludf.DUMMYFUNCTION("GOOGLETRANSLATE(D1546,""auto"",""en"")"),"Systems and methods used to predict the formation of sports symbols")</f>
        <v>Systems and methods used to predict the formation of sports symbols</v>
      </c>
    </row>
    <row r="1547" spans="1:5" ht="15" x14ac:dyDescent="0.25">
      <c r="A1547" s="5" t="s">
        <v>4476</v>
      </c>
      <c r="B1547" s="6" t="s">
        <v>4477</v>
      </c>
      <c r="C1547" s="3" t="str">
        <f ca="1">IFERROR(__xludf.DUMMYFUNCTION("GOOGLETRANSLATE(B1547,""auto"",""en"")"),"This article revealed the method and system of the main body and action prediction based on the multi -subject tracking data. The computing system retrieves tracking data from data storage. The computing system generates the training neural network throug"&amp;"h the following operations: based on the tracking data, it is expressed by the matrix of each data frame into the data containing the data containing in the frame; Each action start frame and end frame and each action -related actor. Computing system rece"&amp;"iving target tracking data associated with the event. The target tracking data includes multiple actors and multiple actions. The computing system generates frames and targets to end frames and targets and corresponding actors through the trained neural n"&amp;"etwork.")</f>
        <v>This article revealed the method and system of the main body and action prediction based on the multi -subject tracking data. The computing system retrieves tracking data from data storage. The computing system generates the training neural network through the following operations: based on the tracking data, it is expressed by the matrix of each data frame into the data containing the data containing in the frame; Each action start frame and end frame and each action -related actor. Computing system receiving target tracking data associated with the event. The target tracking data includes multiple actors and multiple actions. The computing system generates frames and targets to end frames and targets and corresponding actors through the trained neural network.</v>
      </c>
      <c r="D1547" s="6" t="s">
        <v>4478</v>
      </c>
      <c r="E1547" s="4" t="str">
        <f ca="1">IFERROR(__xludf.DUMMYFUNCTION("GOOGLETRANSLATE(D1547,""auto"",""en"")"),"Merk semi-monitoring action based on tracking data in sports-inspection")</f>
        <v>Merk semi-monitoring action based on tracking data in sports-inspection</v>
      </c>
    </row>
    <row r="1548" spans="1:5" ht="15" x14ac:dyDescent="0.25">
      <c r="A1548" s="5" t="s">
        <v>4479</v>
      </c>
      <c r="B1548" s="6" t="s">
        <v>4480</v>
      </c>
      <c r="C1548" s="3" t="str">
        <f ca="1">IFERROR(__xludf.DUMMYFUNCTION("GOOGLETRANSLATE(B1548,""auto"",""en"")"),"Use the intelligent sports video and data generation system of the artificial intelligence detection engine in the motion detection equipment to broadcast the command containing the global timestamp information to multiple sports detection devices, so tha"&amp;"t the recorded movement data of the record can be aligned with the video data time. Form videos or data sets that are automatically spliced ​​according to the parameters entering the query.")</f>
        <v>Use the intelligent sports video and data generation system of the artificial intelligence detection engine in the motion detection equipment to broadcast the command containing the global timestamp information to multiple sports detection devices, so that the recorded movement data of the record can be aligned with the video data time. Form videos or data sets that are automatically spliced ​​according to the parameters entering the query.</v>
      </c>
      <c r="D1548" s="6" t="s">
        <v>4481</v>
      </c>
      <c r="E1548" s="4" t="str">
        <f ca="1">IFERROR(__xludf.DUMMYFUNCTION("GOOGLETRANSLATE(D1548,""auto"",""en"")"),"Smart sports videos and data generation of artificial intelligence identification incidents")</f>
        <v>Smart sports videos and data generation of artificial intelligence identification incidents</v>
      </c>
    </row>
    <row r="1549" spans="1:5" ht="15" x14ac:dyDescent="0.25">
      <c r="A1549" s="5" t="s">
        <v>4482</v>
      </c>
      <c r="B1549" s="6" t="s">
        <v>4483</v>
      </c>
      <c r="C1549" s="3" t="str">
        <f ca="1">IFERROR(__xludf.DUMMYFUNCTION("GOOGLETRANSLATE(B1549,""auto"",""en"")"),"This article revealed the system and method of the team's team on the surface of the game. The computing system retrieves one or more of the data sets of multiple events. The data set of each event corresponds to the segment of the event. The deep neural "&amp;"network of a hybrid density network is based on the best arrangement of athletes in each fragment of the event based on one or more datasets of the event. Deep neural network is based on the corresponding race data and the best arrangement of athletes to "&amp;"learn the distribution of athletes in each fragment. The computing system is based on learning to generate a full training model. The computing system accepts target events corresponding to target events. The computing system generates the expectations of"&amp;" each athlete based on the trained forecast model based on the trained model.")</f>
        <v>This article revealed the system and method of the team's team on the surface of the game. The computing system retrieves one or more of the data sets of multiple events. The data set of each event corresponds to the segment of the event. The deep neural network of a hybrid density network is based on the best arrangement of athletes in each fragment of the event based on one or more datasets of the event. Deep neural network is based on the corresponding race data and the best arrangement of athletes to learn the distribution of athletes in each fragment. The computing system is based on learning to generate a full training model. The computing system accepts target events corresponding to target events. The computing system generates the expectations of each athlete based on the trained forecast model based on the trained model.</v>
      </c>
      <c r="D1549" s="6" t="s">
        <v>4484</v>
      </c>
      <c r="E1549" s="4" t="str">
        <f ca="1">IFERROR(__xludf.DUMMYFUNCTION("GOOGLETRANSLATE(D1549,""auto"",""en"")"),"Used to predict the system and method of formation in sports sports")</f>
        <v>Used to predict the system and method of formation in sports sports</v>
      </c>
    </row>
    <row r="1550" spans="1:5" ht="15" x14ac:dyDescent="0.25">
      <c r="A1550" s="5" t="s">
        <v>4485</v>
      </c>
      <c r="B1550" s="6" t="s">
        <v>4467</v>
      </c>
      <c r="C1550" s="3" t="str">
        <f ca="1">IFERROR(__xludf.DUMMYFUNCTION("GOOGLETRANSLATE(B1550,""auto"",""en"")"),"A intelligent sports video and data generation system, using the artificial intelligence detection engine in the motion detection device, the order of the global timestamp information to the multiple sports detection equipment broadcasts, so that the reco"&amp;"rded data of the record can be aligned with the video data. Among them, videos or data sets that can be spliced ​​together based on the parameters input queries.")</f>
        <v>A intelligent sports video and data generation system, using the artificial intelligence detection engine in the motion detection device, the order of the global timestamp information to the multiple sports detection equipment broadcasts, so that the recorded data of the record can be aligned with the video data. Among them, videos or data sets that can be spliced ​​together based on the parameters input queries.</v>
      </c>
      <c r="D1550" s="6" t="s">
        <v>4481</v>
      </c>
      <c r="E1550" s="4" t="str">
        <f ca="1">IFERROR(__xludf.DUMMYFUNCTION("GOOGLETRANSLATE(D1550,""auto"",""en"")"),"Smart sports videos and data generation of artificial intelligence identification incidents")</f>
        <v>Smart sports videos and data generation of artificial intelligence identification incidents</v>
      </c>
    </row>
    <row r="1551" spans="1:5" ht="15" x14ac:dyDescent="0.25">
      <c r="A1551" s="5" t="s">
        <v>4486</v>
      </c>
      <c r="B1551" s="6" t="s">
        <v>4474</v>
      </c>
      <c r="C1551" s="3" t="str">
        <f ca="1">IFERROR(__xludf.DUMMYFUNCTION("GOOGLETRANSLATE(B1551,""auto"",""en"")"),"This article revealed the system and method of the formation of the team on the field. One group of events of multiple events for a computing system retrieves multiple events. Each group of incident data corresponds to a clip of the event. Deep neural net"&amp;"work learning such as hybrid density networks is based on the best arrangement of players in each part of the event based on one or more sets of events. Deep neural networks learn the distribution of players in each market segment based on the correspondi"&amp;"ng event data and the best arrangement of players. The computing system is based on learning to generate a full training model. The computing system receives the target event data corresponding to the target event. The computing system generates the expec"&amp;"ted location of each player based on the training model based on the target event data.")</f>
        <v>This article revealed the system and method of the formation of the team on the field. One group of events of multiple events for a computing system retrieves multiple events. Each group of incident data corresponds to a clip of the event. Deep neural network learning such as hybrid density networks is based on the best arrangement of players in each part of the event based on one or more sets of events. Deep neural networks learn the distribution of players in each market segment based on the corresponding event data and the best arrangement of players. The computing system is based on learning to generate a full training model. The computing system receives the target event data corresponding to the target event. The computing system generates the expected location of each player based on the training model based on the target event data.</v>
      </c>
      <c r="D1551" s="6" t="s">
        <v>4487</v>
      </c>
      <c r="E1551" s="4" t="str">
        <f ca="1">IFERROR(__xludf.DUMMYFUNCTION("GOOGLETRANSLATE(D1551,""auto"",""en"")"),"The system and method of predicting sports formation")</f>
        <v>The system and method of predicting sports formation</v>
      </c>
    </row>
    <row r="1552" spans="1:5" ht="15" x14ac:dyDescent="0.25">
      <c r="A1552" s="5" t="s">
        <v>4488</v>
      </c>
      <c r="B1552" s="6" t="s">
        <v>4489</v>
      </c>
      <c r="C1552" s="3" t="str">
        <f ca="1">IFERROR(__xludf.DUMMYFUNCTION("GOOGLETRANSLATE(B1552,""auto"",""en"")"),"Social media platforms for recruiting student athletes allow students of any age to create detailed personal information, upload videos and photos, and publish information to attract recruitment interest. Coaches, scouts, recruiters, etc. can also create "&amp;"personal information on the platform so that they can recruit student athletes. Artificial intelligence enables coaches and scouts to establish typical student athlete files, and receive notifications when student athletes match with typical archives. The"&amp;" coach can then provide scores for ""matching"", and provide feedback based on the close correlation of the prototype file and the close correlation of student athlete files. Artificial intelligence receives feedback rating input, and can learn to identif"&amp;"y better matching in the future.")</f>
        <v>Social media platforms for recruiting student athletes allow students of any age to create detailed personal information, upload videos and photos, and publish information to attract recruitment interest. Coaches, scouts, recruiters, etc. can also create personal information on the platform so that they can recruit student athletes. Artificial intelligence enables coaches and scouts to establish typical student athlete files, and receive notifications when student athletes match with typical archives. The coach can then provide scores for "matching", and provide feedback based on the close correlation of the prototype file and the close correlation of student athlete files. Artificial intelligence receives feedback rating input, and can learn to identify better matching in the future.</v>
      </c>
      <c r="D1552" s="6" t="s">
        <v>4490</v>
      </c>
      <c r="E1552" s="4" t="str">
        <f ca="1">IFERROR(__xludf.DUMMYFUNCTION("GOOGLETRANSLATE(D1552,""auto"",""en"")"),"Alpha reconnaissance star system and method")</f>
        <v>Alpha reconnaissance star system and method</v>
      </c>
    </row>
    <row r="1553" spans="1:5" ht="15" x14ac:dyDescent="0.25">
      <c r="A1553" s="5" t="s">
        <v>4491</v>
      </c>
      <c r="B1553" s="6" t="s">
        <v>4492</v>
      </c>
      <c r="C1553" s="3" t="str">
        <f ca="1">IFERROR(__xludf.DUMMYFUNCTION("GOOGLETRANSLATE(B1553,""auto"",""en"")"),"A game scoring device, wherein the game score is included in the audio input configured to receive the input voice signal. The game scoring device also includes a processor, which is configured to process digital data and converts voice signals into data "&amp;"for game scoring information. Further, the game scoring device includes physical input interfaces and displays to display game score information. The parameters of the game scoring information can be input through audio input and physical input interface."&amp;" The game scoring device achieves effective video game scores for competitions or competitions through voice recognition and voice input.")</f>
        <v>A game scoring device, wherein the game score is included in the audio input configured to receive the input voice signal. The game scoring device also includes a processor, which is configured to process digital data and converts voice signals into data for game scoring information. Further, the game scoring device includes physical input interfaces and displays to display game score information. The parameters of the game scoring information can be input through audio input and physical input interface. The game scoring device achieves effective video game scores for competitions or competitions through voice recognition and voice input.</v>
      </c>
      <c r="D1553" s="6" t="s">
        <v>4493</v>
      </c>
      <c r="E1553" s="4" t="str">
        <f ca="1">IFERROR(__xludf.DUMMYFUNCTION("GOOGLETRANSLATE(D1553,""auto"",""en"")"),"A game score device")</f>
        <v>A game score device</v>
      </c>
    </row>
    <row r="1554" spans="1:5" ht="15" x14ac:dyDescent="0.25">
      <c r="A1554" s="5" t="s">
        <v>4494</v>
      </c>
      <c r="B1554" s="6" t="s">
        <v>4495</v>
      </c>
      <c r="C1554" s="3" t="str">
        <f ca="1">IFERROR(__xludf.DUMMYFUNCTION("GOOGLETRANSLATE(B1554,""auto"",""en"")"),"A game score device, wherein the game score device includes an audio input configured to receive the input voice signal. The game scoring device also includes a processor to process digital data and converts voice signals into data scoring information. Fu"&amp;"rther, the game scoring device includes physical input interfaces and displays to display game score information. The parameters of the score information can be entered through the audio input interface and physical input interface. The scoring device of "&amp;"the competition can score efficient electronic competitions through voice recognition and voice input or competition.")</f>
        <v>A game score device, wherein the game score device includes an audio input configured to receive the input voice signal. The game scoring device also includes a processor to process digital data and converts voice signals into data scoring information. Further, the game scoring device includes physical input interfaces and displays to display game score information. The parameters of the score information can be entered through the audio input interface and physical input interface. The scoring device of the competition can score efficient electronic competitions through voice recognition and voice input or competition.</v>
      </c>
      <c r="D1554" s="6" t="s">
        <v>4496</v>
      </c>
      <c r="E1554" s="4" t="str">
        <f ca="1">IFERROR(__xludf.DUMMYFUNCTION("GOOGLETRANSLATE(D1554,""auto"",""en"")"),"A game scorer")</f>
        <v>A game scorer</v>
      </c>
    </row>
    <row r="1555" spans="1:5" ht="15" x14ac:dyDescent="0.25">
      <c r="A1555" s="5" t="s">
        <v>4497</v>
      </c>
      <c r="B1555" s="6" t="s">
        <v>4495</v>
      </c>
      <c r="C1555" s="3" t="str">
        <f ca="1">IFERROR(__xludf.DUMMYFUNCTION("GOOGLETRANSLATE(B1555,""auto"",""en"")"),"A game score device, wherein the game score device includes an audio input configured to receive the input voice signal. The game scoring device also includes a processor to process digital data and converts voice signals into data scoring information. Fu"&amp;"rther, the game scoring device includes physical input interfaces and displays to display game score information. The parameters of the score information can be entered through the audio input interface and physical input interface. The scoring device of "&amp;"the competition can score efficient electronic competitions through voice recognition and voice input or competition.")</f>
        <v>A game score device, wherein the game score device includes an audio input configured to receive the input voice signal. The game scoring device also includes a processor to process digital data and converts voice signals into data scoring information. Further, the game scoring device includes physical input interfaces and displays to display game score information. The parameters of the score information can be entered through the audio input interface and physical input interface. The scoring device of the competition can score efficient electronic competitions through voice recognition and voice input or competition.</v>
      </c>
      <c r="D1555" s="6" t="s">
        <v>4496</v>
      </c>
      <c r="E1555" s="4" t="str">
        <f ca="1">IFERROR(__xludf.DUMMYFUNCTION("GOOGLETRANSLATE(D1555,""auto"",""en"")"),"A game scorer")</f>
        <v>A game scorer</v>
      </c>
    </row>
    <row r="1556" spans="1:5" ht="15" x14ac:dyDescent="0.25">
      <c r="A1556" s="5" t="s">
        <v>4498</v>
      </c>
      <c r="B1556" s="6" t="s">
        <v>4495</v>
      </c>
      <c r="C1556" s="3" t="str">
        <f ca="1">IFERROR(__xludf.DUMMYFUNCTION("GOOGLETRANSLATE(B1556,""auto"",""en"")"),"A game score device, wherein the game score device includes an audio input configured to receive the input voice signal. The game scoring device also includes a processor to process digital data and converts voice signals into data scoring information. Fu"&amp;"rther, the game scoring device includes physical input interfaces and displays to display game score information. The parameters of the score information can be entered through the audio input interface and physical input interface. The scoring device of "&amp;"the competition can score efficient electronic competitions through voice recognition and voice input or competition.")</f>
        <v>A game score device, wherein the game score device includes an audio input configured to receive the input voice signal. The game scoring device also includes a processor to process digital data and converts voice signals into data scoring information. Further, the game scoring device includes physical input interfaces and displays to display game score information. The parameters of the score information can be entered through the audio input interface and physical input interface. The scoring device of the competition can score efficient electronic competitions through voice recognition and voice input or competition.</v>
      </c>
      <c r="D1556" s="6" t="s">
        <v>4496</v>
      </c>
      <c r="E1556" s="4" t="str">
        <f ca="1">IFERROR(__xludf.DUMMYFUNCTION("GOOGLETRANSLATE(D1556,""auto"",""en"")"),"A game scorer")</f>
        <v>A game scorer</v>
      </c>
    </row>
    <row r="1557" spans="1:5" ht="15" x14ac:dyDescent="0.25">
      <c r="A1557" s="5" t="s">
        <v>4499</v>
      </c>
      <c r="B1557" s="6" t="s">
        <v>4500</v>
      </c>
      <c r="C1557" s="3" t="str">
        <f ca="1">IFERROR(__xludf.DUMMYFUNCTION("GOOGLETRANSLATE(B1557,""auto"",""en"")"),"The present invention disclosed a sports training device based on the Internet of Things, including: fixed racks, positive hitting mechanisms, side hitting mechanisms, monitors, induction probes and controllers; Duan; the number of side -strike mechanisms"&amp;" is two, and the two side -by -side mechanisms are set on the left and right ends of the inner side of the fixed frame; The bottom of the display; the controller is installed outside the fixed stand. The Sports training device based on the Internet of Thi"&amp;"ngs can be automatically judged whether the athletes are valid for the athlete's karate strike exercise. There is no need to judge the coaches. It is more accurate. It is suitable for multiple athletes to train at the same time. Adjust the device in diffe"&amp;"rent directions and angles, no need to perform assistance exercises without external sparring workers, saving manpower and safer.")</f>
        <v>The present invention disclosed a sports training device based on the Internet of Things, including: fixed racks, positive hitting mechanisms, side hitting mechanisms, monitors, induction probes and controllers; Duan; the number of side -strike mechanisms is two, and the two side -by -side mechanisms are set on the left and right ends of the inner side of the fixed frame; The bottom of the display; the controller is installed outside the fixed stand. The Sports training device based on the Internet of Things can be automatically judged whether the athletes are valid for the athlete's karate strike exercise. There is no need to judge the coaches. It is more accurate. It is suitable for multiple athletes to train at the same time. Adjust the device in different directions and angles, no need to perform assistance exercises without external sparring workers, saving manpower and safer.</v>
      </c>
      <c r="D1557" s="6" t="s">
        <v>4501</v>
      </c>
      <c r="E1557" s="4" t="str">
        <f ca="1">IFERROR(__xludf.DUMMYFUNCTION("GOOGLETRANSLATE(D1557,""auto"",""en"")"),"A sports training device based on the Internet of Things")</f>
        <v>A sports training device based on the Internet of Things</v>
      </c>
    </row>
    <row r="1558" spans="1:5" ht="15" x14ac:dyDescent="0.25">
      <c r="A1558" s="5" t="s">
        <v>4502</v>
      </c>
      <c r="B1558" s="6" t="s">
        <v>4503</v>
      </c>
      <c r="C1558" s="3" t="str">
        <f ca="1">IFERROR(__xludf.DUMMYFUNCTION("GOOGLETRANSLATE(B1558,""auto"",""en"")"),"1.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realizing the function of display scree"&amp;"n panels, it can be used to display location information, and can be used to display users holding electronic devices and target items represented by white dots. The accurate location relationship, including the direction relationship indicated by the arr"&amp;"ow.
 6. Human -computer interaction method of graphical user interface: Graphic user interface can interact with light strike or rolling graphical user interface, or you can interact with a mobile display screen panel.
 7. The display screen panel can"&amp;" be applied to computers, laptops, tablets, mobile phones, smartphones, smart phones, smart glasses, watches, smart watches, fitness monitor, wearing headphones, personal digital assistants, smart speakers, TVs, TV , Projector, navigator, set -top box, ga"&amp;"me console, display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it can be used to display location information, and can be used to display users holding electronic devices and target items represented by white dots. The accurate location relationship, including the direction relationship indicated by the arrow.
 6. Human -computer interaction method of graphical user interface: Graphic user interface can interact with light strike or rolling graphical user interface, or you can interact with a mobile display screen panel.
 7. The display screen panel can be applied to computers, laptops, tablets, mobile phones, smartphones, smart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58" s="6" t="s">
        <v>4504</v>
      </c>
      <c r="E1558" s="4" t="str">
        <f ca="1">IFERROR(__xludf.DUMMYFUNCTION("GOOGLETRANSLATE(D1558,""auto"",""en"")"),"The graphical user interface of the display location information of the display screen panel")</f>
        <v>The graphical user interface of the display location information of the display screen panel</v>
      </c>
    </row>
    <row r="1559" spans="1:5" ht="15" x14ac:dyDescent="0.25">
      <c r="A1559" s="5" t="s">
        <v>4505</v>
      </c>
      <c r="B1559" s="6" t="s">
        <v>4506</v>
      </c>
      <c r="C1559" s="3" t="str">
        <f ca="1">IFERROR(__xludf.DUMMYFUNCTION("GOOGLETRANSLATE(B1559,""auto"",""en"")"),"1.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implementation of the display screen pa"&amp;"nel, and can be used to display location information.
 6. Human -computer interaction method of graphical user interface: Graphic user interface can interact with light strike or rolling graphical user interface, or you can interact with a mobile displa"&amp;"y screen panel.
 7. The display screen panel can be applied to computers, laptops, tablets, mobile phones, smartphones, smart phones, smart glasses, watches, smart watches, fitness monitor, wearing headphones, personal digital assistants, smart speakers"&amp;", TVs, TV , Projector, navigator, set -top box, game console, display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location information.
 6. Human -computer interaction method of graphical user interface: Graphic user interface can interact with light strike or rolling graphical user interface, or you can interact with a mobile display screen panel.
 7. The display screen panel can be applied to computers, laptops, tablets, mobile phones, smartphones, smart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59" s="6" t="s">
        <v>4504</v>
      </c>
      <c r="E1559" s="4" t="str">
        <f ca="1">IFERROR(__xludf.DUMMYFUNCTION("GOOGLETRANSLATE(D1559,""auto"",""en"")"),"The graphical user interface of the display location information of the display screen panel")</f>
        <v>The graphical user interface of the display location information of the display screen panel</v>
      </c>
    </row>
    <row r="1560" spans="1:5" ht="15" x14ac:dyDescent="0.25">
      <c r="A1560" s="5" t="s">
        <v>4507</v>
      </c>
      <c r="B1560" s="6" t="s">
        <v>4503</v>
      </c>
      <c r="C1560" s="3" t="str">
        <f ca="1">IFERROR(__xludf.DUMMYFUNCTION("GOOGLETRANSLATE(B1560,""auto"",""en"")"),"1.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realizing the function of display scree"&amp;"n panels, it can be used to display location information, and can be used to display users holding electronic devices and target items represented by white dots. The accurate location relationship, including the direction relationship indicated by the arr"&amp;"ow.
 6. Human -computer interaction method of graphical user interface: Graphic user interface can interact with light strike or rolling graphical user interface, or you can interact with a mobile display screen panel.
 7. The display screen panel can"&amp;" be applied to computers, laptops, tablets, mobile phones, smartphones, smart phones, smart glasses, watches, smart watches, fitness monitor, wearing headphones, personal digital assistants, smart speakers, TVs, TV , Projector, navigator, set -top box, ga"&amp;"me console, display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it can be used to display location information, and can be used to display users holding electronic devices and target items represented by white dots. The accurate location relationship, including the direction relationship indicated by the arrow.
 6. Human -computer interaction method of graphical user interface: Graphic user interface can interact with light strike or rolling graphical user interface, or you can interact with a mobile display screen panel.
 7. The display screen panel can be applied to computers, laptops, tablets, mobile phones, smartphones, smart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60" s="6" t="s">
        <v>4504</v>
      </c>
      <c r="E1560" s="4" t="str">
        <f ca="1">IFERROR(__xludf.DUMMYFUNCTION("GOOGLETRANSLATE(D1560,""auto"",""en"")"),"The graphical user interface of the display location information of the display screen panel")</f>
        <v>The graphical user interface of the display location information of the display screen panel</v>
      </c>
    </row>
    <row r="1561" spans="1:5" ht="15" x14ac:dyDescent="0.25">
      <c r="A1561" s="5" t="s">
        <v>4508</v>
      </c>
      <c r="B1561" s="6" t="s">
        <v>4509</v>
      </c>
      <c r="C1561" s="3" t="str">
        <f ca="1">IFERROR(__xludf.DUMMYFUNCTION("GOOGLETRANSLATE(B1561,""auto"",""en"")"),"1.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realizing the function of display scree"&amp;"n panels, it can be used to display location information, and can be used to display users holding electronic devices and target items represented by white dots. The accurate location relationship, including the direction relationship indicated by the arr"&amp;"ow.
 6. Human -computer interaction method of graphical user interface: Graphic user interface can interact with light strike or rolling graphical user interface, or you can interact with a mobile display screen panel.
 7. Change state description of "&amp;"the graphic user interface: The appearance of the graphic user interface changes from the main view from the main view to the change state.
 8. The display screen panel can be applied to computers, laptops, tablets, mobile phones, smartphones, smart mob"&amp;"ile phones, smart glasses, watches, smart watches, fitness monitor, wearing headphones, personal digital assistants, smart speakers, TVs, TV , Projector, navigator, set -top box, game console, display screen for vehicles; display screen panels are commonl"&amp;"y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it can be used to display location information, and can be used to display users holding electronic devices and target items represented by white dots. The accurate location relationship, including the direction relationship indicated by the arrow.
 6. Human -computer interaction method of graphical user interface: Graphic user interface can interact with light strike or rolling graphical user interface, or you can interact with a mobile display screen panel.
 7. Change state description of the graphic user interface: The appearance of the graphic user interface changes from the main view from the main view to the change state.
 8. The display screen panel can be applied to computers, laptops, tablets, mobile phones, smartphones, smart mobile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61" s="6" t="s">
        <v>4504</v>
      </c>
      <c r="E1561" s="4" t="str">
        <f ca="1">IFERROR(__xludf.DUMMYFUNCTION("GOOGLETRANSLATE(D1561,""auto"",""en"")"),"The graphical user interface of the display location information of the display screen panel")</f>
        <v>The graphical user interface of the display location information of the display screen panel</v>
      </c>
    </row>
    <row r="1562" spans="1:5" ht="15" x14ac:dyDescent="0.25">
      <c r="A1562" s="5" t="s">
        <v>4510</v>
      </c>
      <c r="B1562" s="6" t="s">
        <v>4511</v>
      </c>
      <c r="C1562" s="3" t="str">
        <f ca="1">IFERROR(__xludf.DUMMYFUNCTION("GOOGLETRANSLATE(B1562,""auto"",""en"")"),"1.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realizing the function of display scree"&amp;"n panels, it can be used to display location information, and can be used to display users holding electronic devices and target items represented by white dots. The accurate location relationship, including the direction relationship indicated by the arr"&amp;"ow.
 6. Human -computer interaction method of graphical user interface: Graphic user interface can interact with light strike or rolling graphical user interface, or you can interact with a mobile display screen panel.
 7. Change state description of "&amp;"the graphical user interface: The appearance of the graphical user interface is changed between the main view, the state of change, and the change state Figure 2 according to the position relationship between the screen panel and the target to be located."&amp;"
 8. The display screen panel can be applied to computers, laptops, tablets, mobile phones, smartphones, smart mobile phones, smart glasses, watches, smart watches, fitness monitor, wearing headphones, personal digital assistants, smart speakers, TVs, T"&amp;"V , Projector, navigator, set -top box, game console, display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it can be used to display location information, and can be used to display users holding electronic devices and target items represented by white dots. The accurate location relationship, including the direction relationship indicated by the arrow.
 6. Human -computer interaction method of graphical user interface: Graphic user interface can interact with light strike or rolling graphical user interface, or you can interact with a mobile display screen panel.
 7. Change state description of the graphical user interface: The appearance of the graphical user interface is changed between the main view, the state of change, and the change state Figure 2 according to the position relationship between the screen panel and the target to be located.
 8. The display screen panel can be applied to computers, laptops, tablets, mobile phones, smartphones, smart mobile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62" s="6" t="s">
        <v>4504</v>
      </c>
      <c r="E1562" s="4" t="str">
        <f ca="1">IFERROR(__xludf.DUMMYFUNCTION("GOOGLETRANSLATE(D1562,""auto"",""en"")"),"The graphical user interface of the display location information of the display screen panel")</f>
        <v>The graphical user interface of the display location information of the display screen panel</v>
      </c>
    </row>
    <row r="1563" spans="1:5" ht="15" x14ac:dyDescent="0.25">
      <c r="A1563" s="5" t="s">
        <v>4512</v>
      </c>
      <c r="B1563" s="6" t="s">
        <v>4513</v>
      </c>
      <c r="C1563" s="3" t="str">
        <f ca="1">IFERROR(__xludf.DUMMYFUNCTION("GOOGLETRANSLATE(B1563,""auto"",""en"")"),"1.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realizing the function of display scree"&amp;"n panels, it can be used to display location information, and can be used to display users holding electronic devices and target items represented by white dots. According to the precise location relationship, the white dot and the arrow indicate the visu"&amp;"al representation of the distance relationship between the user and the target item, and the arrow also indicates the direction relationship between the user and the items. As the user is getting closer to the target items, the white dot becomes the more "&amp;"becoming the more and more. The bigger and the arrows disappear.
 6. Human -computer interaction method of graphical user interface: Graphic user interface can interact with light strike or rolling graphical user interface, or you can interact with a mo"&amp;"bile display screen panel.
 7. Change state description of the graphic user interface: The appearance of the graphic user interface changes from the main view from the main view to the change state.
 8. The display screen panel can be applied to compu"&amp;"ters, laptops, tablets, mobile phones, smartphones, smart mobile phones, smart glasses, watches, smart watches, fitness monitor, wearing headphones, personal digital assistants, smart speakers, TVs, TV , Projector, navigator, set -top box, game console, d"&amp;"isplay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it can be used to display location information, and can be used to display users holding electronic devices and target items represented by white dots. According to the precise location relationship, the white dot and the arrow indicate the visual representation of the distance relationship between the user and the target item, and the arrow also indicates the direction relationship between the user and the items. As the user is getting closer to the target items, the white dot becomes the more becoming the more and more. The bigger and the arrows disappear.
 6. Human -computer interaction method of graphical user interface: Graphic user interface can interact with light strike or rolling graphical user interface, or you can interact with a mobile display screen panel.
 7. Change state description of the graphic user interface: The appearance of the graphic user interface changes from the main view from the main view to the change state.
 8. The display screen panel can be applied to computers, laptops, tablets, mobile phones, smartphones, smart mobile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63" s="6" t="s">
        <v>4504</v>
      </c>
      <c r="E1563" s="4" t="str">
        <f ca="1">IFERROR(__xludf.DUMMYFUNCTION("GOOGLETRANSLATE(D1563,""auto"",""en"")"),"The graphical user interface of the display location information of the display screen panel")</f>
        <v>The graphical user interface of the display location information of the display screen panel</v>
      </c>
    </row>
    <row r="1564" spans="1:5" ht="15" x14ac:dyDescent="0.25">
      <c r="A1564" s="5" t="s">
        <v>4514</v>
      </c>
      <c r="B1564" s="6" t="s">
        <v>4515</v>
      </c>
      <c r="C1564" s="3" t="str">
        <f ca="1">IFERROR(__xludf.DUMMYFUNCTION("GOOGLETRANSLATE(B1564,""auto"",""en"")"),"1. Design product name: The graphical user interface of the display location information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implementation of the display screen pa"&amp;"nel, and can be used to display location information.
 6. Human -computer interaction method of graphical user interface: Graphic user interface can interact with light strike or rolling graphical user interface, or to interact with mobile display scree"&amp;"n panels, requesting the protective graphic user interface to show that the hand -held electronic equipment can be used The accurate location relationship between the user and the target item indicated by the white dot.
 When the user is getting closer "&amp;"to the target item, the appearance of the graphic user interface changes from the main view to the change state diagram. 1. Chart Status Figure 2 and the change state. From the change of change state to the change state Figure 4.
 7. Change status of gr"&amp;"aphical user interface: The appearance of the graphical user interface is changed from the main view to the change state. Figure 1. Change state diagram 2, change status graph 3 and change state Figure 4.
 8. The display screen panel can be applied to c"&amp;"omputers, laptops, tablets, mobile phones, smartphones, smart mobile phones, smart glasses, watches, smart watches, fitness monitor, wearing headphones, personal digital assistants, smart speakers, TVs, TV , Projector, navigator, set -top box, game consol"&amp;"e, display screen for vehicles; display screen panels are commonly designed, so other views are omitted.")</f>
        <v>1. Design product name: The graphical user interface of the display location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location information.
 6. Human -computer interaction method of graphical user interface: Graphic user interface can interact with light strike or rolling graphical user interface, or to interact with mobile display screen panels, requesting the protective graphic user interface to show that the hand -held electronic equipment can be used The accurate location relationship between the user and the target item indicated by the white dot.
 When the user is getting closer to the target item, the appearance of the graphic user interface changes from the main view to the change state diagram. 1. Chart Status Figure 2 and the change state. From the change of change state to the change state Figure 4.
 7. Change status of graphical user interface: The appearance of the graphical user interface is changed from the main view to the change state. Figure 1. Change state diagram 2, change status graph 3 and change state Figure 4.
 8. The display screen panel can be applied to computers, laptops, tablets, mobile phones, smartphones, smart mobile phones, smart glasses, watches, smart watches, fitness monitor, wearing headphones, personal digital assistants, smart speakers, TVs, TV , Projector, navigator, set -top box, game console, display screen for vehicles; display screen panels are commonly designed, so other views are omitted.</v>
      </c>
      <c r="D1564" s="6" t="s">
        <v>4504</v>
      </c>
      <c r="E1564" s="4" t="str">
        <f ca="1">IFERROR(__xludf.DUMMYFUNCTION("GOOGLETRANSLATE(D1564,""auto"",""en"")"),"The graphical user interface of the display location information of the display screen panel")</f>
        <v>The graphical user interface of the display location information of the display screen panel</v>
      </c>
    </row>
    <row r="1565" spans="1:5" ht="15" x14ac:dyDescent="0.25">
      <c r="A1565" s="5" t="s">
        <v>4516</v>
      </c>
      <c r="B1565" s="6" t="s">
        <v>4517</v>
      </c>
      <c r="C1565" s="3" t="str">
        <f ca="1">IFERROR(__xludf.DUMMYFUNCTION("GOOGLETRANSLATE(B1565,""auto"",""en"")"),"This application disclosed a method, device, device, device, and readable storage medium that guide the application of the application, involving the field of voice recognition technology. The specific implementation method includes: the operation guide d"&amp;"ata sent by the first application, and provide the operating guide data to the user; receive the voice information entered by the user, determine the target operating guideline data that matches the voice information; Send to the first application, so tha"&amp;"t the first application guides the data according to the target operation to the next step. It does not require user memories. At the same time, it is convenient for the first application to obtain the specific operation behavior of the user, which is con"&amp;"ducive to conducting behavior analysis of users.")</f>
        <v>This application disclosed a method, device, device, device, and readable storage medium that guide the application of the application, involving the field of voice recognition technology. The specific implementation method includes: the operation guide data sent by the first application, and provide the operating guide data to the user; receive the voice information entered by the user, determine the target operating guideline data that matches the voice information; Send to the first application, so that the first application guides the data according to the target operation to the next step. It does not require user memories. At the same time, it is convenient for the first application to obtain the specific operation behavior of the user, which is conducive to conducting behavior analysis of users.</v>
      </c>
      <c r="D1565" s="6" t="s">
        <v>4518</v>
      </c>
      <c r="E1565" s="4" t="str">
        <f ca="1">IFERROR(__xludf.DUMMYFUNCTION("GOOGLETRANSLATE(D1565,""auto"",""en"")"),"Guide the methods, devices, instruments and readable storage media running in the application")</f>
        <v>Guide the methods, devices, instruments and readable storage media running in the application</v>
      </c>
    </row>
    <row r="1566" spans="1:5" ht="15" x14ac:dyDescent="0.25">
      <c r="A1566" s="5" t="s">
        <v>4519</v>
      </c>
      <c r="B1566" s="6" t="s">
        <v>4520</v>
      </c>
      <c r="C1566" s="3" t="str">
        <f ca="1">IFERROR(__xludf.DUMMYFUNCTION("GOOGLETRANSLATE(B1566,""auto"",""en"")"),"The invention involves the field of image processing technology, and a table tennis training device and training method, computer readable storage medium have been disclosed. The above table tennis training devices include processing units, serving units,"&amp;" and image acquisition units; the serve unit is used to automatically serve; the image collection unit is used to collect athlete image and training table tennis images; Images, based on athlete image recognition athlete identity information and analyzing"&amp;" the athlete's movement posture information, as well as the motion trajectory information of table tennis based on table tennis images, and based on the athlete's identity information, the athlete's motion posture information, the sports trajectory inform"&amp;"ation of the table tennis, At least one of them analyzes the training level information of the athletes, and matches the corresponding training course information according to the training level information, and sends the serve instructions. The table ten"&amp;"nis training device provided by the present invention can assist athletes for personalized training to improve the training effect.")</f>
        <v>The invention involves the field of image processing technology, and a table tennis training device and training method, computer readable storage medium have been disclosed. The above table tennis training devices include processing units, serving units, and image acquisition units; the serve unit is used to automatically serve; the image collection unit is used to collect athlete image and training table tennis images; Images, based on athlete image recognition athlete identity information and analyzing the athlete's movement posture information, as well as the motion trajectory information of table tennis based on table tennis images, and based on the athlete's identity information, the athlete's motion posture information, the sports trajectory information of the table tennis, At least one of them analyzes the training level information of the athletes, and matches the corresponding training course information according to the training level information, and sends the serve instructions. The table tennis training device provided by the present invention can assist athletes for personalized training to improve the training effect.</v>
      </c>
      <c r="D1566" s="6" t="s">
        <v>4521</v>
      </c>
      <c r="E1566" s="4" t="str">
        <f ca="1">IFERROR(__xludf.DUMMYFUNCTION("GOOGLETRANSLATE(D1566,""auto"",""en"")"),"Table tennis training devices and training methods, computer readable storage media")</f>
        <v>Table tennis training devices and training methods, computer readable storage media</v>
      </c>
    </row>
    <row r="1567" spans="1:5" ht="15" x14ac:dyDescent="0.25">
      <c r="A1567" s="5" t="s">
        <v>4522</v>
      </c>
      <c r="B1567" s="6" t="s">
        <v>4523</v>
      </c>
      <c r="C1567" s="3" t="str">
        <f ca="1">IFERROR(__xludf.DUMMYFUNCTION("GOOGLETRANSLATE(B1567,""auto"",""en"")"),"This utility model involves an IoT system that supports the realization of human sports and fitness for intelligent interaction. Among them, the system includes electrical energy storage modules and connects with sports power generation modules; Connect; "&amp;"sensor collection unit, connect to the MCU main controller; Bluetooth and WIFI module, connect to the MCU main controller; and mobile APP, realize data interactive connection with the Bluetooth and WIFI module of the phone, and the Bluetooth and WIFI modu"&amp;"le Essence The use of this practical new type of support to realize the IoT system based on human sports and fitness for intelligent interaction, which provides a new green healthy sports mode with no power supply, multiple motion modes, and human -machin"&amp;"e interaction. It has a strong entertainment entertainment Sexuality, interaction and fun, but also have great market potential and application value.")</f>
        <v>This utility model involves an IoT system that supports the realization of human sports and fitness for intelligent interaction. Among them, the system includes electrical energy storage modules and connects with sports power generation modules; Connect; sensor collection unit, connect to the MCU main controller; Bluetooth and WIFI module, connect to the MCU main controller; and mobile APP, realize data interactive connection with the Bluetooth and WIFI module of the phone, and the Bluetooth and WIFI module Essence The use of this practical new type of support to realize the IoT system based on human sports and fitness for intelligent interaction, which provides a new green healthy sports mode with no power supply, multiple motion modes, and human -machine interaction. It has a strong entertainment entertainment Sexuality, interaction and fun, but also have great market potential and application value.</v>
      </c>
      <c r="D1567" s="6" t="s">
        <v>4524</v>
      </c>
      <c r="E1567" s="4" t="str">
        <f ca="1">IFERROR(__xludf.DUMMYFUNCTION("GOOGLETRANSLATE(D1567,""auto"",""en"")"),"Support the realization of the Internet of Things system based on human sports and fitness for intelligent interaction")</f>
        <v>Support the realization of the Internet of Things system based on human sports and fitness for intelligent interaction</v>
      </c>
    </row>
    <row r="1568" spans="1:5" ht="15" x14ac:dyDescent="0.25">
      <c r="A1568" s="5" t="s">
        <v>4525</v>
      </c>
      <c r="B1568" s="6" t="s">
        <v>4526</v>
      </c>
      <c r="C1568" s="3" t="str">
        <f ca="1">IFERROR(__xludf.DUMMYFUNCTION("GOOGLETRANSLATE(B1568,""auto"",""en"")"),"A system of learning progress system with artificial intelligence was disclosed. Billiards study, including the score of the mother ball, the speed of the mother ball, the bridge distance, the puppet path, the location information of the mother ball and t"&amp;"he two target balls, to analyze and deeply learn the current actual billiard player's billiard game. The billiards learning progress system, the system uses a server that generates information and databases to learn, at least one camera used to obtain a b"&amp;"illiard table game image, including the position of the mother ball and the two target balls, and the billiards TABLE installed around the pill table table. , Transfer the position information of the parent ball and two target balls from the camera, and r"&amp;"eceive the billiard learning information including the storage of the mothers and the stadium information, including the location information, and the user's control device. You can easily understand the theory and technology of the billiards system in th"&amp;"e billiards or after the game. There is no need for the guidance of billiard experts, and you can get a sense of practice.")</f>
        <v>A system of learning progress system with artificial intelligence was disclosed. Billiards study, including the score of the mother ball, the speed of the mother ball, the bridge distance, the puppet path, the location information of the mother ball and the two target balls, to analyze and deeply learn the current actual billiard player's billiard game. The billiards learning progress system, the system uses a server that generates information and databases to learn, at least one camera used to obtain a billiard table game image, including the position of the mother ball and the two target balls, and the billiards TABLE installed around the pill table table. , Transfer the position information of the parent ball and two target balls from the camera, and receive the billiard learning information including the storage of the mothers and the stadium information, including the location information, and the user's control device. You can easily understand the theory and technology of the billiards system in the billiards or after the game. There is no need for the guidance of billiard experts, and you can get a sense of practice.</v>
      </c>
      <c r="D1568" s="6" t="s">
        <v>4527</v>
      </c>
      <c r="E1568" s="4" t="str">
        <f ca="1">IFERROR(__xludf.DUMMYFUNCTION("GOOGLETRANSLATE(D1568,""auto"",""en"")"),"Use artificial intelligence billiard learning progress system")</f>
        <v>Use artificial intelligence billiard learning progress system</v>
      </c>
    </row>
    <row r="1569" spans="1:5" ht="15" x14ac:dyDescent="0.25">
      <c r="A1569" s="5" t="s">
        <v>4528</v>
      </c>
      <c r="B1569" s="6" t="s">
        <v>4529</v>
      </c>
      <c r="C1569" s="3" t="str">
        <f ca="1">IFERROR(__xludf.DUMMYFUNCTION("GOOGLETRANSLATE(B1569,""auto"",""en"")"),"The present invention involves the field of education technology, especially an automatic interactive intelligent education management system, which are as follows: the intelligent education management system includes the intelligent information system in"&amp;"side the computer and the computer. Modules, light sensing modules, voice recognition modules; install electric curtains inside the classroom, have a teaching podium inside the classroom, and the top of the podium is provided with an empty cavity room ext"&amp;"ending to the internal desk. And at the top of the computer at the top of the electric lifting frame, the beneficial effect is that: through the set security identification module, students can prevent students from starting the computer without permissio"&amp;"n, which can play a good protective role in the computer. To prevent damage to the computer, and the electric curtains automatically cover the window, which can prevent students from seeing the blackboard inside the classroom due to reflection.")</f>
        <v>The present invention involves the field of education technology, especially an automatic interactive intelligent education management system, which are as follows: the intelligent education management system includes the intelligent information system inside the computer and the computer. Modules, light sensing modules, voice recognition modules; install electric curtains inside the classroom, have a teaching podium inside the classroom, and the top of the podium is provided with an empty cavity room extending to the internal desk. And at the top of the computer at the top of the electric lifting frame, the beneficial effect is that: through the set security identification module, students can prevent students from starting the computer without permission, which can play a good protective role in the computer. To prevent damage to the computer, and the electric curtains automatically cover the window, which can prevent students from seeing the blackboard inside the classroom due to reflection.</v>
      </c>
      <c r="D1569" s="6" t="s">
        <v>4530</v>
      </c>
      <c r="E1569" s="4" t="str">
        <f ca="1">IFERROR(__xludf.DUMMYFUNCTION("GOOGLETRANSLATE(D1569,""auto"",""en"")"),"A automatic interactive intelligent education management system")</f>
        <v>A automatic interactive intelligent education management system</v>
      </c>
    </row>
    <row r="1570" spans="1:5" ht="15" x14ac:dyDescent="0.25">
      <c r="A1570" s="5" t="s">
        <v>4531</v>
      </c>
      <c r="B1570" s="6" t="s">
        <v>4532</v>
      </c>
      <c r="C1570" s="3" t="str">
        <f ca="1">IFERROR(__xludf.DUMMYFUNCTION("GOOGLETRANSLATE(B1570,""auto"",""en"")"),"1. The name of the product of the design of the product: The display screen panel with running training and test graphic user interface (50 meters X8 run).
 2. Design products in appearance: used for running procedures and display.
 3. Design of the d"&amp;"esign of the product in this exterior: lies in the graphic user interface content displayed by the display screen.
 4. Pictures or photos that can most indicate design points: main view.
 5. The purpose of the graphical user interface: It is used for "&amp;"human -machine interaction and the function of the screen panel, and can be used to display information.
 6. Human -computer interaction method of graphical user interface: You can dynamically load the subsequent graphical user interface or run the appl"&amp;"ication by rolling the graphical user interface or lightning the icon in the graphical user interface.
 7. Change state description of the graphic user interface: The state of change status Figure 1 shows the ""Current Test"" page; click the ""Start Pre"&amp;"paration"" button, the interface jumps to the change state Figure 2, display the list of students on the left; ""The button, the interface jumps to the change state diagram, the interface display starts testing; the main view is the interface after the st"&amp;"udent is tested. Video; click the ""Catalog 1"" button on the right side of the navigation bar, the interface jumps to the change state Figure 4, display the ""teaching guidance"" page, you can learn the relevant knowledge on this page; click the navigati"&amp;"on bar ""Catalog 3"" button, the interface jump Transfer to change state Figure 5, show ""performance comparison"", including personal results comparison and two -person performance comparison; click the navigation bar ""Catalog 4"" button, jump to the ch"&amp;"ange state diagram, 6, display the ""performance list"", all all, all all, all of. Student performance details; click the Navigation Bar ""Catalog 5"" button, the interface jumps to the change state Figure 7, display ""group data"", the test intensity of "&amp;"the group test test; State Figure 8, display ""Personal Data"", all students' performance positioning, pictures, videos, and reports; click the Navigation Bar ""Catalog 7"" button, the interface jumps to the change state diagram 9, display the ""classroom"&amp;" report"", showing the comprehensive student test comprehensive student test comprehensive Data; click the Navigation Bar ""Catalog 8"" button, the interface jumps to the change state Figure 10, and display the ""performance standard"", you can view the c"&amp;"urrent results standard; click the navigation bar ""Catalog 9"" button, and the interface jumps to the change state diagram 11, Show the ""student leave"", and the students who ask leave are not included in the classroom report data.
 8. The display scr"&amp;"een panel and graphic user interface can be applied to computers, tablet computers, touch all -in -one machines, TV panels with display screen panels; display screen panels are commonly designed, so other views are omitted.")</f>
        <v>1. The name of the product of the design of the product: The display screen panel with running training and test graphic user interface (50 meters X8 run).
 2. Design products in appearance: used for running procedures and display.
 3. Design of the design of the product in this exterior: lies in the graphic user interface content displayed by the display screen.
 4. Pictures or photos that can most indicate design points: main view.
 5. The purpose of the graphical user interface: It is used for human -machine interaction and the function of the screen panel, and can be used to display information.
 6. Human -computer interaction method of graphical user interface: You can dynamically load the subsequent graphical user interface or run the application by rolling the graphical user interface or lightning the icon in the graphical user interface.
 7. Change state description of the graphic user interface: The state of change status Figure 1 shows the "Current Test" page; click the "Start Preparation" button, the interface jumps to the change state Figure 2, display the list of students on the left; "The button, the interface jumps to the change state diagram, the interface display starts testing; the main view is the interface after the student is tested. Video; click the "Catalog 1" button on the right side of the navigation bar, the interface jumps to the change state Figure 4, display the "teaching guidance" page, you can learn the relevant knowledge on this page; click the navigation bar "Catalog 3" button, the interface jump Transfer to change state Figure 5, show "performance comparison", including personal results comparison and two -person performance comparison; click the navigation bar "Catalog 4" button, jump to the change state diagram, 6, display the "performance list", all all, all all, all of. Student performance details; click the Navigation Bar "Catalog 5" button, the interface jumps to the change state Figure 7, display "group data", the test intensity of the group test test; State Figure 8, display "Personal Data", all students' performance positioning, pictures, videos, and reports; click the Navigation Bar "Catalog 7" button, the interface jumps to the change state diagram 9, display the "classroom report", showing the comprehensive student test comprehensive student test comprehensive Data; click the Navigation Bar "Catalog 8" button, the interface jumps to the change state Figure 10, and display the "performance standard", you can view the current results standard; click the navigation bar "Catalog 9" button, and the interface jumps to the change state diagram 11, Show the "student leave", and the students who ask leave are not included in the classroom report data.
 8. The display screen panel and graphic user interface can be applied to computers, tablet computers, touch all -in -one machines, TV panels with display screen panels; display screen panels are commonly designed, so other views are omitted.</v>
      </c>
      <c r="D1570" s="6" t="s">
        <v>4533</v>
      </c>
      <c r="E1570" s="4" t="str">
        <f ca="1">IFERROR(__xludf.DUMMYFUNCTION("GOOGLETRANSLATE(D1570,""auto"",""en"")"),"Display screen panel with running training and test graphics user interface (50 meters X8 run)")</f>
        <v>Display screen panel with running training and test graphics user interface (50 meters X8 run)</v>
      </c>
    </row>
    <row r="1571" spans="1:5" ht="15" x14ac:dyDescent="0.25">
      <c r="A1571" s="5" t="s">
        <v>4534</v>
      </c>
      <c r="B1571" s="6" t="s">
        <v>4535</v>
      </c>
      <c r="C1571" s="3" t="str">
        <f ca="1">IFERROR(__xludf.DUMMYFUNCTION("GOOGLETRANSLATE(B1571,""auto"",""en"")"),"The present invention disclosed a method and system based on improving neural networks, including: constructing data sets, initial feature extraction of video frames, timing correlation between the timing of video frame characteristics, generating audio o"&amp;"riginal data, network training and testing. The present invention uses the characteristics of computer shortcuts and economics to design a deep neural network structure and train it, realize intelligent processing and generate original audio data for spor"&amp;"ts videos, and then synthesize the soundtrack. The problem of difficulty and high time and economic costs. At the same time, a sports -driven intelligent music generation function system is established. It can accurately extract the input video data, gene"&amp;"rate high -quality music, and achieve music and sports scenes, generate generation, generate generation, generate generation, generate generation, generate generation, generate generation, generate generation, generate generation, generate generation, gen"&amp;"erate generation, generate generation, generate generation, generate generation, generate generation, generate generation, generate generation, generate generation to generate, generate generation, generate generation, generate generation, generate genera"&amp;"tion to generate, generate generation, generate generation to generate, generate generation to generate, generate generation to generate, generate generation, generate generation, generate generation, generate generation, generate generation, generate gen"&amp;"eration, generate generation, generate generation, generate generation, generate generation, generate generation, generate generation, generate generation, generate generation to generate, generate generate The subjective score of music is MOS &amp; GT; 3.5, "&amp;"to achieve rapid and batching soundtrack generation of videos such as sports and other subjects, which reduces the time and economic costs of music production by more than doubled.")</f>
        <v>The present invention disclosed a method and system based on improving neural networks, including: constructing data sets, initial feature extraction of video frames, timing correlation between the timing of video frame characteristics, generating audio original data, network training and testing. The present invention uses the characteristics of computer shortcuts and economics to design a deep neural network structure and train it, realize intelligent processing and generate original audio data for sports videos, and then synthesize the soundtrack. The problem of difficulty and high time and economic costs. At the same time, a sports -driven intelligent music generation function system is established. It can accurately extract the input video data, generate high -quality music, and achieve music and sports scenes, generate generation, generate generation, generate generation, generate generation, generate generation, generate generation, generate generation, generate generation, generate generation, generate generation, generate generation, generate generation, generate generation, generate generation, generate generation, generate generation, generate generation to generate, generate generation, generate generation, generate generation, generate generation to generate, generate generation, generate generation to generate, generate generation to generate, generate generation to generate, generate generation, generate generation, generate generation, generate generation, generate generation, generate generation, generate generation, generate generation, generate generation, generate generation, generate generation, generate generation, generate generation, generate generation to generate, generate generate The subjective score of music is MOS &amp; GT; 3.5, to achieve rapid and batching soundtrack generation of videos such as sports and other subjects, which reduces the time and economic costs of music production by more than doubled.</v>
      </c>
      <c r="D1571" s="6" t="s">
        <v>4536</v>
      </c>
      <c r="E1571" s="4" t="str">
        <f ca="1">IFERROR(__xludf.DUMMYFUNCTION("GOOGLETRANSLATE(D1571,""auto"",""en"")"),"An intelligent music generation method and system based on improving neural networks")</f>
        <v>An intelligent music generation method and system based on improving neural networks</v>
      </c>
    </row>
    <row r="1572" spans="1:5" ht="15" x14ac:dyDescent="0.25">
      <c r="A1572" s="5" t="s">
        <v>4537</v>
      </c>
      <c r="B1572" s="6" t="s">
        <v>4538</v>
      </c>
      <c r="C1572" s="3" t="str">
        <f ca="1">IFERROR(__xludf.DUMMYFUNCTION("GOOGLETRANSLATE(B1572,""auto"",""en"")"),"According to the exercise guidance method of the embodiment of the present invention, it is an artificial intelligence -based sports guidance method. The intelligent mirror and guidance server can be performed by communicating and assisting the user to pe"&amp;"rform sports. Among them, smart mirrors provide matching calibration images; smart mirror detection users Imitate the image of calibration images for calibration; the coaching server measures the scope and physical proportion of the joint activity of the "&amp;"user based on the calibration of the calibration image; The server generates a virtual coach based on the matching image; the smart mirror provides the receiving virtual coach to the user and detects the user's exercise image; the smart mirror evaluates t"&amp;"he user's motion performance by comparing the virtual coach and motion performance image.")</f>
        <v>According to the exercise guidance method of the embodiment of the present invention, it is an artificial intelligence -based sports guidance method. The intelligent mirror and guidance server can be performed by communicating and assisting the user to perform sports. Among them, smart mirrors provide matching calibration images; smart mirror detection users Imitate the image of calibration images for calibration; the coaching server measures the scope and physical proportion of the joint activity of the user based on the calibration of the calibration image; The server generates a virtual coach based on the matching image; the smart mirror provides the receiving virtual coach to the user and detects the user's exercise image; the smart mirror evaluates the user's motion performance by comparing the virtual coach and motion performance image.</v>
      </c>
      <c r="D1572" s="6" t="s">
        <v>4539</v>
      </c>
      <c r="E1572" s="4" t="str">
        <f ca="1">IFERROR(__xludf.DUMMYFUNCTION("GOOGLETRANSLATE(D1572,""auto"",""en"")"),"Motion guidance system, methods and procedures based on artificial intelligence -based")</f>
        <v>Motion guidance system, methods and procedures based on artificial intelligence -based</v>
      </c>
    </row>
    <row r="1573" spans="1:5" ht="15" x14ac:dyDescent="0.25">
      <c r="A1573" s="5" t="s">
        <v>4540</v>
      </c>
      <c r="B1573" s="6" t="s">
        <v>4541</v>
      </c>
      <c r="C1573" s="3" t="str">
        <f ca="1">IFERROR(__xludf.DUMMYFUNCTION("GOOGLETRANSLATE(B1573,""auto"",""en"")"),"A method recognition method based on local graphic convulsions network, involving intelligent media computing and computer vision fields; first of first, scattered samples of training video samples, and using the full graph features of the videos of video"&amp;" frames to extract the full graph characteristics Figure, and use Roi Align to extract the individual visual characteristics chart according to the location of the individual candidate box in the image; secondly establish an individual self -connection di"&amp;"agram model and the individual inter -connected graph model, and use the diagram network network to conduct the individual local characteristics in the diagram model. The transmission of interactive information is a relationship chart, and it integrates i"&amp;"t with the individual's visual characteristics; the training sample is pre -processed into the network, and the parameters of the model are updated with the loss function and the optimizer until the convergence is reached, and the completion Training; fin"&amp;"ally send the test data into the network to obtain the predictive results and classification accuracy of the model on the test data. The present invention helps improve the performance of group behavior recognition algorithms.")</f>
        <v>A method recognition method based on local graphic convulsions network, involving intelligent media computing and computer vision fields; first of first, scattered samples of training video samples, and using the full graph features of the videos of video frames to extract the full graph characteristics Figure, and use Roi Align to extract the individual visual characteristics chart according to the location of the individual candidate box in the image; secondly establish an individual self -connection diagram model and the individual inter -connected graph model, and use the diagram network network to conduct the individual local characteristics in the diagram model. The transmission of interactive information is a relationship chart, and it integrates it with the individual's visual characteristics; the training sample is pre -processed into the network, and the parameters of the model are updated with the loss function and the optimizer until the convergence is reached, and the completion Training; finally send the test data into the network to obtain the predictive results and classification accuracy of the model on the test data. The present invention helps improve the performance of group behavior recognition algorithms.</v>
      </c>
      <c r="D1573" s="6" t="s">
        <v>4542</v>
      </c>
      <c r="E1573" s="4" t="str">
        <f ca="1">IFERROR(__xludf.DUMMYFUNCTION("GOOGLETRANSLATE(D1573,""auto"",""en"")"),"A method of volleyball group behavior recognition method based on local graphic convolutional network")</f>
        <v>A method of volleyball group behavior recognition method based on local graphic convolutional network</v>
      </c>
    </row>
    <row r="1574" spans="1:5" ht="15" x14ac:dyDescent="0.25">
      <c r="A1574" s="5" t="s">
        <v>4543</v>
      </c>
      <c r="B1574" s="6" t="s">
        <v>4544</v>
      </c>
      <c r="C1574" s="3" t="str">
        <f ca="1">IFERROR(__xludf.DUMMYFUNCTION("GOOGLETRANSLATE(B1574,""auto"",""en"")"),"The invention provides a hybrid RAID controller device based on artificial intelligence. Artificial intelligence -based hybrid RAID controller devices include CPUs to perform instructions to run the overall operation of artificial intelligence -based hybr"&amp;"id RAID controller devices. In addition, artificial intelligence -based hybrid RAID controller devices include the XOR/CIPHER engine module to perform encryption and decryption to provide data security. Further, artificial intelligence -based hybrid RAID "&amp;"controller devices include DSP modules to perform data pre -processing for artificial intelligence reasoning engine modules. In addition, the artificial intelligence reasoning engine module is convenient for artificial intelligence -based hybrid RAID cont"&amp;"roller equipment for storage and processing. In addition, artificial intelligence -based hybrid RAID controller devices include multiple PCIE controllers connected to the SSD array. The XOR/CIPHER engine module is embedded in the XOR engine to perform the"&amp;" RAID coupling verification calculation to provide data redundancy.")</f>
        <v>The invention provides a hybrid RAID controller device based on artificial intelligence. Artificial intelligence -based hybrid RAID controller devices include CPUs to perform instructions to run the overall operation of artificial intelligence -based hybrid RAID controller devices. In addition, artificial intelligence -based hybrid RAID controller devices include the XOR/CIPHER engine module to perform encryption and decryption to provide data security. Further, artificial intelligence -based hybrid RAID controller devices include DSP modules to perform data pre -processing for artificial intelligence reasoning engine modules. In addition, the artificial intelligence reasoning engine module is convenient for artificial intelligence -based hybrid RAID controller equipment for storage and processing. In addition, artificial intelligence -based hybrid RAID controller devices include multiple PCIE controllers connected to the SSD array. The XOR/CIPHER engine module is embedded in the XOR engine to perform the RAID coupling verification calculation to provide data redundancy.</v>
      </c>
      <c r="D1574" s="6" t="s">
        <v>4545</v>
      </c>
      <c r="E1574" s="4" t="str">
        <f ca="1">IFERROR(__xludf.DUMMYFUNCTION("GOOGLETRANSLATE(D1574,""auto"",""en"")"),"Mixed RAID controller device based on artificial intelligence")</f>
        <v>Mixed RAID controller device based on artificial intelligence</v>
      </c>
    </row>
    <row r="1575" spans="1:5" ht="15" x14ac:dyDescent="0.25">
      <c r="A1575" s="5" t="s">
        <v>4546</v>
      </c>
      <c r="B1575" s="6" t="s">
        <v>4547</v>
      </c>
      <c r="C1575" s="3" t="str">
        <f ca="1">IFERROR(__xludf.DUMMYFUNCTION("GOOGLETRANSLATE(B1575,""auto"",""en"")"),"The invention provides a hybrid RAID controller device based on artificial intelligence. Artificial intelligence -based hybrid RAID controller devices include CPUs, which are used to perform instructions to run the overall operation of artificial intellig"&amp;"ence -based hybrid RAID controller devices. In addition, artificial intelligence -based hybrid RAID controller devices include the XOR/CIPHER engine module to perform encryption and decryption to provide data security. Further, artificial intelligence -ba"&amp;"sed hybrid RAID controller devices include DSP modules to pre -process data for artificial intelligence reasoning engine modules. In addition, the artificial intelligence reasoning engine module is conducive to artificial intelligence -based hybrid RAID c"&amp;"ontroller equipment for in -storage in -storage processing. In addition, artificial intelligence -based hybrid RAID controller devices include multiple PCIE controllers connected to the SSD array. The XOR/CIPHER engine module is embedded in the XOR engine"&amp;" to perform the RAID coupling verification calculation to provide data redundancy.")</f>
        <v>The invention provides a hybrid RAID controller device based on artificial intelligence. Artificial intelligence -based hybrid RAID controller devices include CPUs, which are used to perform instructions to run the overall operation of artificial intelligence -based hybrid RAID controller devices. In addition, artificial intelligence -based hybrid RAID controller devices include the XOR/CIPHER engine module to perform encryption and decryption to provide data security. Further, artificial intelligence -based hybrid RAID controller devices include DSP modules to pre -process data for artificial intelligence reasoning engine modules. In addition, the artificial intelligence reasoning engine module is conducive to artificial intelligence -based hybrid RAID controller equipment for in -storage in -storage processing. In addition, artificial intelligence -based hybrid RAID controller devices include multiple PCIE controllers connected to the SSD array. The XOR/CIPHER engine module is embedded in the XOR engine to perform the RAID coupling verification calculation to provide data redundancy.</v>
      </c>
      <c r="D1575" s="6" t="s">
        <v>4548</v>
      </c>
      <c r="E1575" s="4" t="str">
        <f ca="1">IFERROR(__xludf.DUMMYFUNCTION("GOOGLETRANSLATE(D1575,""auto"",""en"")"),"Mixed RAID controller device based on artificial intelligence")</f>
        <v>Mixed RAID controller device based on artificial intelligence</v>
      </c>
    </row>
    <row r="1576" spans="1:5" ht="15" x14ac:dyDescent="0.25">
      <c r="A1576" s="5" t="s">
        <v>4549</v>
      </c>
      <c r="B1576" s="6" t="s">
        <v>4550</v>
      </c>
      <c r="C1576" s="3" t="str">
        <f ca="1">IFERROR(__xludf.DUMMYFUNCTION("GOOGLETRANSLATE(B1576,""auto"",""en"")"),"This utility model opens up a fitness muscle increase bracelet based on IoT technology. It belongs to the field of multi -functional bracelets. A fitness bracelet based on IoT technology, including the shell, the middle part The screen and the left and ri"&amp;"ght ends of the shell are fixed with a nipple, and the nipples are fixed with a threaded block at one end of the shell. The front and rear ends of the shell are opened with the first sex. Hanging, the first hinge hinge has a crossbar, the crossbar is fixe"&amp;"d to the one end of the first hinge with a compressed spring, the lower end of the first groove is fixed with the second hinge, the second hinge hinge has a baffle, the middle part of the baffle is fixed to connect to the connection. The buckle, the outer"&amp;" screw of the thread block is connected to the tensile force device, which is characterized by the control of the stretch spring through the tensile device and the control of the compressed spring to achieve the muscle increase of the bracelet, so that th"&amp;"e wearer can have how much can the wearer have Smooth experience.")</f>
        <v>This utility model opens up a fitness muscle increase bracelet based on IoT technology. It belongs to the field of multi -functional bracelets. A fitness bracelet based on IoT technology, including the shell, the middle part The screen and the left and right ends of the shell are fixed with a nipple, and the nipples are fixed with a threaded block at one end of the shell. The front and rear ends of the shell are opened with the first sex. Hanging, the first hinge hinge has a crossbar, the crossbar is fixed to the one end of the first hinge with a compressed spring, the lower end of the first groove is fixed with the second hinge, the second hinge hinge has a baffle, the middle part of the baffle is fixed to connect to the connection. The buckle, the outer screw of the thread block is connected to the tensile force device, which is characterized by the control of the stretch spring through the tensile device and the control of the compressed spring to achieve the muscle increase of the bracelet, so that the wearer can have how much can the wearer have Smooth experience.</v>
      </c>
      <c r="D1576" s="6" t="s">
        <v>4551</v>
      </c>
      <c r="E1576" s="4" t="str">
        <f ca="1">IFERROR(__xludf.DUMMYFUNCTION("GOOGLETRANSLATE(D1576,""auto"",""en"")"),"A fitness bracelet based on IoT technology")</f>
        <v>A fitness bracelet based on IoT technology</v>
      </c>
    </row>
    <row r="1577" spans="1:5" ht="15" x14ac:dyDescent="0.25">
      <c r="A1577" s="5" t="s">
        <v>4552</v>
      </c>
      <c r="B1577" s="6" t="s">
        <v>4553</v>
      </c>
      <c r="C1577" s="3" t="str">
        <f ca="1">IFERROR(__xludf.DUMMYFUNCTION("GOOGLETRANSLATE(B1577,""auto"",""en"")"),"The present invention discloses an intelligent sports auxiliary training method and system based on E 公INK. The position and gesture of the sports staff, the running trajectory of the ball; the neural network model is used to detect or evaluate the positi"&amp;"on and posture of the sports personnel; Full action detection results or standard evaluation results, balls of the ball. The invention can be compatible with a variety of sports and provides a variety of functions such as automatic referee and automatic t"&amp;"raining evaluation, simulation coach, etc., to provide effective assistance training for sports personnel.")</f>
        <v>The present invention discloses an intelligent sports auxiliary training method and system based on E 公INK. The position and gesture of the sports staff, the running trajectory of the ball; the neural network model is used to detect or evaluate the position and posture of the sports personnel; Full action detection results or standard evaluation results, balls of the ball. The invention can be compatible with a variety of sports and provides a variety of functions such as automatic referee and automatic training evaluation, simulation coach, etc., to provide effective assistance training for sports personnel.</v>
      </c>
      <c r="D1577" s="6" t="s">
        <v>4554</v>
      </c>
      <c r="E1577" s="4" t="str">
        <f ca="1">IFERROR(__xludf.DUMMYFUNCTION("GOOGLETRANSLATE(D1577,""auto"",""en"")"),"E-Ink-based intelligent sports auxiliary training method and system")</f>
        <v>E-Ink-based intelligent sports auxiliary training method and system</v>
      </c>
    </row>
    <row r="1578" spans="1:5" ht="15" x14ac:dyDescent="0.25">
      <c r="A1578" s="5" t="s">
        <v>4555</v>
      </c>
      <c r="B1578" s="6" t="s">
        <v>4556</v>
      </c>
      <c r="C1578" s="3" t="str">
        <f ca="1">IFERROR(__xludf.DUMMYFUNCTION("GOOGLETRANSLATE(B1578,""auto"",""en"")"),"(1) Technical field: Artificial intelligence (2) Solve tasks: group exercise manipulation, difficult analysis of artworks (3) Solve task means: Use collected big data (target labels) to perform machine learning to increase the liquidity of preference weig"&amp;"ht.")</f>
        <v>(1) Technical field: Artificial intelligence (2) Solve tasks: group exercise manipulation, difficult analysis of artworks (3) Solve task means: Use collected big data (target labels) to perform machine learning to increase the liquidity of preference weight.</v>
      </c>
      <c r="D1578" s="6" t="s">
        <v>4557</v>
      </c>
      <c r="E1578" s="4" t="str">
        <f ca="1">IFERROR(__xludf.DUMMYFUNCTION("GOOGLETRANSLATE(D1578,""auto"",""en"")"),"Artistic content personalized strategy exhibition algorithm")</f>
        <v>Artistic content personalized strategy exhibition algorithm</v>
      </c>
    </row>
    <row r="1579" spans="1:5" ht="15" x14ac:dyDescent="0.25">
      <c r="A1579" s="5" t="s">
        <v>4558</v>
      </c>
      <c r="B1579" s="6" t="s">
        <v>4559</v>
      </c>
      <c r="C1579" s="3" t="str">
        <f ca="1">IFERROR(__xludf.DUMMYFUNCTION("GOOGLETRANSLATE(B1579,""auto"",""en"")"),"The invention is an intelligent interactive display system and method for fitness training. It consists of reflex device, camera, microphone and speaker with a touch screen. The device can be connected to a smartphone or any other sensor or digital device"&amp;". The display can measure the weight of the user based on the image, and can use artificial intelligence algorithms to recommend fitness plans to users. It also monitors the important parameters of the user and the posture of the user through wireless bio"&amp;"metric sensors, and contacted the community and the fitness coach to obtain a real -time experience.")</f>
        <v>The invention is an intelligent interactive display system and method for fitness training. It consists of reflex device, camera, microphone and speaker with a touch screen. The device can be connected to a smartphone or any other sensor or digital device. The display can measure the weight of the user based on the image, and can use artificial intelligence algorithms to recommend fitness plans to users. It also monitors the important parameters of the user and the posture of the user through wireless biometric sensors, and contacted the community and the fitness coach to obtain a real -time experience.</v>
      </c>
      <c r="D1579" s="6" t="s">
        <v>4560</v>
      </c>
      <c r="E1579" s="4" t="str">
        <f ca="1">IFERROR(__xludf.DUMMYFUNCTION("GOOGLETRANSLATE(D1579,""auto"",""en"")"),"A smart interactive display system and method of fitness training")</f>
        <v>A smart interactive display system and method of fitness training</v>
      </c>
    </row>
    <row r="1580" spans="1:5" ht="15" x14ac:dyDescent="0.25">
      <c r="A1580" s="5" t="s">
        <v>4561</v>
      </c>
      <c r="B1580" s="6" t="s">
        <v>4562</v>
      </c>
      <c r="C1580" s="3" t="str">
        <f ca="1">IFERROR(__xludf.DUMMYFUNCTION("GOOGLETRANSLATE(B1580,""auto"",""en"")"),"The present invention involves the field of Internet of Things equipment technology, especially for a 5G audio and video IoT smart home control device, including the base and control host; the front top of the base has touchpad, power button; signal line "&amp;"and router communication connection ; The built -in communication module and data processor; the base is connected to the router through the signal line; the central part of the base is equipped with a installation groove, and the middle part of the insta"&amp;"llation slot is set. Cooperate with the installation; the base is powered by the connector and control the host and transmits the signal; the control of the host is set to set multiple radio holes on the top of the host; the controller and multiple contro"&amp;"l buttons are set on the front bottom of the host; The smart home inside the house is controlled by gesture or voice instructions; or the control host will remove the specific operation of each smart home.")</f>
        <v>The present invention involves the field of Internet of Things equipment technology, especially for a 5G audio and video IoT smart home control device, including the base and control host; the front top of the base has touchpad, power button; signal line and router communication connection ; The built -in communication module and data processor; the base is connected to the router through the signal line; the central part of the base is equipped with a installation groove, and the middle part of the installation slot is set. Cooperate with the installation; the base is powered by the connector and control the host and transmits the signal; the control of the host is set to set multiple radio holes on the top of the host; the controller and multiple control buttons are set on the front bottom of the host; The smart home inside the house is controlled by gesture or voice instructions; or the control host will remove the specific operation of each smart home.</v>
      </c>
      <c r="D1580" s="6" t="s">
        <v>4563</v>
      </c>
      <c r="E1580" s="4" t="str">
        <f ca="1">IFERROR(__xludf.DUMMYFUNCTION("GOOGLETRANSLATE(D1580,""auto"",""en"")"),"One for 5G audio and video IoT smart home control device")</f>
        <v>One for 5G audio and video IoT smart home control device</v>
      </c>
    </row>
    <row r="1581" spans="1:5" ht="15" x14ac:dyDescent="0.25">
      <c r="A1581" s="5" t="s">
        <v>4564</v>
      </c>
      <c r="B1581" s="6" t="s">
        <v>4565</v>
      </c>
      <c r="C1581" s="3" t="str">
        <f ca="1">IFERROR(__xludf.DUMMYFUNCTION("GOOGLETRANSLATE(B1581,""auto"",""en"")"),"Example systems, equipment, media and methods are described as monitors using glasses equipment in augmented reality to present a virtual guidance fitness experience. Guide fitness applications to use inertial measurement units (IMU) and video data from o"&amp;"ne or more cameras to achieve and control the capture of sports data frames. This method includes detection and exercise (there is or no equipment), as well as detection and computing repeated times. Retrieve relevant data from the detected exercise or eq"&amp;"uipment and use it to plan a guiding fitness experience. The current representative count and the avatar are displayed on the display, used to play messages, perform animation demonstrations, use voice recognition response commands and queries, and show g"&amp;"uidance fitness instructions through text, audio and video.")</f>
        <v>Example systems, equipment, media and methods are described as monitors using glasses equipment in augmented reality to present a virtual guidance fitness experience. Guide fitness applications to use inertial measurement units (IMU) and video data from one or more cameras to achieve and control the capture of sports data frames. This method includes detection and exercise (there is or no equipment), as well as detection and computing repeated times. Retrieve relevant data from the detected exercise or equipment and use it to plan a guiding fitness experience. The current representative count and the avatar are displayed on the display, used to play messages, perform animation demonstrations, use voice recognition response commands and queries, and show guidance fitness instructions through text, audio and video.</v>
      </c>
      <c r="D1581" s="6" t="s">
        <v>4566</v>
      </c>
      <c r="E1581" s="4" t="str">
        <f ca="1">IFERROR(__xludf.DUMMYFUNCTION("GOOGLETRANSLATE(D1581,""auto"",""en"")"),"Virtual wines and tour guides with augmented reality experience")</f>
        <v>Virtual wines and tour guides with augmented reality experience</v>
      </c>
    </row>
    <row r="1582" spans="1:5" ht="15" x14ac:dyDescent="0.25">
      <c r="A1582" s="5" t="s">
        <v>4567</v>
      </c>
      <c r="B1582" s="6" t="s">
        <v>4568</v>
      </c>
      <c r="C1582" s="3" t="str">
        <f ca="1">IFERROR(__xludf.DUMMYFUNCTION("GOOGLETRANSLATE(B1582,""auto"",""en"")"),"Examples of the present invention disclose a real -time output method based on optical character recognition, including: a single -frame image that analyzes the live video source and obtains the video with N as the time interval; The scene where the singl"&amp;"e -frame image is located; according to the scene where the single -frame image is located, determine the key data area of ​​the text that needs to be obtained and cut; the image of the key areas of the text is processed in morphology; Determine; cut the "&amp;"text in the key areas of the competition to cut off the text to extract a single character; use the convolutional neural network to identify the single character; correction and output the data identified output data. The use of the present invention prov"&amp;"ides fast, high accuracy, stable, and automated e -sports competition data acquisition methods for the e -sports industry, which is conducive to tracking and analyzing the e -sports competition.")</f>
        <v>Examples of the present invention disclose a real -time output method based on optical character recognition, including: a single -frame image that analyzes the live video source and obtains the video with N as the time interval; The scene where the single -frame image is located; according to the scene where the single -frame image is located, determine the key data area of ​​the text that needs to be obtained and cut; the image of the key areas of the text is processed in morphology; Determine; cut the text in the key areas of the competition to cut off the text to extract a single character; use the convolutional neural network to identify the single character; correction and output the data identified output data. The use of the present invention provides fast, high accuracy, stable, and automated e -sports competition data acquisition methods for the e -sports industry, which is conducive to tracking and analyzing the e -sports competition.</v>
      </c>
      <c r="D1582" s="6" t="s">
        <v>4569</v>
      </c>
      <c r="E1582" s="4" t="str">
        <f ca="1">IFERROR(__xludf.DUMMYFUNCTION("GOOGLETRANSLATE(D1582,""auto"",""en"")"),"A real -time output method of e -sports competition based on optical character recognition")</f>
        <v>A real -time output method of e -sports competition based on optical character recognition</v>
      </c>
    </row>
    <row r="1583" spans="1:5" ht="15" x14ac:dyDescent="0.25">
      <c r="A1583" s="5" t="s">
        <v>4570</v>
      </c>
      <c r="B1583" s="6" t="s">
        <v>4571</v>
      </c>
      <c r="C1583" s="3" t="str">
        <f ca="1">IFERROR(__xludf.DUMMYFUNCTION("GOOGLETRANSLATE(B1583,""auto"",""en"")"),"1. Design product name: Display screen panel with basketball dribbling training and test graphic user interface.
 2. Design products in appearance: used for running procedures and display.
 3. Design of the design of the product in this exterior: lies"&amp;" in the graphic user interface content displayed by the display screen.
 4. Pictures or photos that can most indicate design points: main view.
 5. The purpose of the graphic user interface: for human -computer interaction and the function of the scre"&amp;"en panel, and can be used to display information, videos, reports to display basketball dribble shooting results, and the teaching guidance of basketball dribbling projects, Comparison of grades, performance lists, group data, personal data, classroom rep"&amp;"orts, grade standards, student leave, and real -time data for overall training.
 6. Human -computer interaction method of graphical user interface: You can dynamically load the subsequent graphical user interface or run the application by rolling the gr"&amp;"aphical user interface or lightning the icon in the graphical user interface.
 7. Change state description of the graphic user interface: The main view of the view ""Current Test"" page, click the ""Start Test"" button, the interface jumps to the change"&amp;" state Figure 1 to display the real -time position of the student test; After the interface, the student time information information information is displayed on the left side of the interface, and the picture information is displayed by students' time, s"&amp;"cores, and other data. Show; click the ""Catalog 1"" button on the right side of the navigation bar, the interface jumps to the change state Figure 4, display the ""teaching guidance"" page, you can learn the relevant knowledge on this page; click the nav"&amp;"igation bar ""Catalog 3"" button on this page; Turn to the change of state Figure 5 to show ""comparison of grade"", including the comparison of personal results and comparison of the two -person performance; click the navigation bar ""Catalog 4"" button,"&amp;" jump to the change status of the change to the state. Details; click the Navigation Bar ""Catalog 5"" button, the interface jumps to the change state Figure 7, display ""group data"", the test intensity of the group test test; click the navigation bar """&amp;"Catalog 6"" button, and the interface jumps to the change state diagram 8. Show ""Personal Data"", the grades, videos, and reports of all students; click the Navigation Bar ""Catalog 7"" button, jump to the change state diagram 9, display the ""classroom "&amp;"report"", display the comprehensive data of the student test; click the navigation; click the navigation; The column ""Catalog 8"" button, the interface jumps to the change state figure 10, display the ""performance standard"", you can view the current pe"&amp;"rformance standard; click the navigation ""Catalog 9"" button, the interface jump to the change state diagram 11, and display the ""student leave "", Students who asked for leave into class report data.
 8. The display screen panel and graphic user inte"&amp;"rface can be applied to computers, tablets, touch all -in -one machines, and televisions with display screen panels.
 9. The display screen panel is commonly designed, so other views are omitted.")</f>
        <v>1. Design product name: Display screen panel with basketball dribbling training and test graphic user interface.
 2. Design products in appearance: used for running procedures and display.
 3. Design of the design of the product in this exterior: lies in the graphic user interface content displayed by the display screen.
 4. Pictures or photos that can most indicate design points: main view.
 5. The purpose of the graphic user interface: for human -computer interaction and the function of the screen panel, and can be used to display information, videos, reports to display basketball dribble shooting results, and the teaching guidance of basketball dribbling projects, Comparison of grades, performance lists, group data, personal data, classroom reports, grade standards, student leave, and real -time data for overall training.
 6. Human -computer interaction method of graphical user interface: You can dynamically load the subsequent graphical user interface or run the application by rolling the graphical user interface or lightning the icon in the graphical user interface.
 7. Change state description of the graphic user interface: The main view of the view "Current Test" page, click the "Start Test" button, the interface jumps to the change state Figure 1 to display the real -time position of the student test; After the interface, the student time information information information is displayed on the left side of the interface, and the picture information is displayed by students' time, scores, and other data. Show; click the "Catalog 1" button on the right side of the navigation bar, the interface jumps to the change state Figure 4, display the "teaching guidance" page, you can learn the relevant knowledge on this page; click the navigation bar "Catalog 3" button on this page; Turn to the change of state Figure 5 to show "comparison of grade", including the comparison of personal results and comparison of the two -person performance; click the navigation bar "Catalog 4" button, jump to the change status of the change to the state. Details; click the Navigation Bar "Catalog 5" button, the interface jumps to the change state Figure 7, display "group data", the test intensity of the group test test; click the navigation bar "Catalog 6" button, and the interface jumps to the change state diagram 8. Show "Personal Data", the grades, videos, and reports of all students; click the Navigation Bar "Catalog 7" button, jump to the change state diagram 9, display the "classroom report", display the comprehensive data of the student test; click the navigation; click the navigation; The column "Catalog 8" button, the interface jumps to the change state figure 10, display the "performance standard", you can view the current performance standard; click the navigation "Catalog 9" button, the interface jump to the change state diagram 11, and display the "student leave ", Students who asked for leave into class report data.
 8. The display screen panel and graphic user interface can be applied to computers, tablets, touch all -in -one machines, and televisions with display screen panels.
 9. The display screen panel is commonly designed, so other views are omitted.</v>
      </c>
      <c r="D1583" s="6" t="s">
        <v>4572</v>
      </c>
      <c r="E1583" s="4" t="str">
        <f ca="1">IFERROR(__xludf.DUMMYFUNCTION("GOOGLETRANSLATE(D1583,""auto"",""en"")"),"Display screen panel with basketball dribbling training and test graphic user interface")</f>
        <v>Display screen panel with basketball dribbling training and test graphic user interface</v>
      </c>
    </row>
    <row r="1584" spans="1:5" ht="15" x14ac:dyDescent="0.25">
      <c r="A1584" s="5" t="s">
        <v>4573</v>
      </c>
      <c r="B1584" s="6" t="s">
        <v>4574</v>
      </c>
      <c r="C1584" s="3" t="str">
        <f ca="1">IFERROR(__xludf.DUMMYFUNCTION("GOOGLETRANSLATE(B1584,""auto"",""en"")"),"The present invention has disclosed a method of preventing chess artificial intelligence and cheating. It specifically includes the following steps: online users take the gameplay of the game at the chess power evaluation field as the statistical label, a"&amp;"nd offline users use the chess player to open the offline game as the statistical label. The DTM Permanent Library is scored, and the scoring sequence of the AI ​​situation chart is finally given; calculating the AI ​​sync of each step and each game of ch"&amp;"ess; the statistical users are effective for the average value of AI incentives after the winning rate incentive, and obtain the chess power to obtain the chess power ; Compare the chess player AI interval of the chess power of chess by the above algorith"&amp;"m to determine whether it is software cheating; at the same time, calculate the chess power of the user in the last 10/25/50 disk Cheating. The beneficial effect of the present invention is: relying on chess AI technology, comprehensive data analysis of j"&amp;"udging users' chess records, comparing the comparison of chess records and AI, automatically determine whether it is cheating users.")</f>
        <v>The present invention has disclosed a method of preventing chess artificial intelligence and cheating. It specifically includes the following steps: online users take the gameplay of the game at the chess power evaluation field as the statistical label, and offline users use the chess player to open the offline game as the statistical label. The DTM Permanent Library is scored, and the scoring sequence of the AI ​​situation chart is finally given; calculating the AI ​​sync of each step and each game of chess; the statistical users are effective for the average value of AI incentives after the winning rate incentive, and obtain the chess power to obtain the chess power ; Compare the chess player AI interval of the chess power of chess by the above algorithm to determine whether it is software cheating; at the same time, calculate the chess power of the user in the last 10/25/50 disk Cheating. The beneficial effect of the present invention is: relying on chess AI technology, comprehensive data analysis of judging users' chess records, comparing the comparison of chess records and AI, automatically determine whether it is cheating users.</v>
      </c>
      <c r="D1584" s="6" t="s">
        <v>4575</v>
      </c>
      <c r="E1584" s="4" t="str">
        <f ca="1">IFERROR(__xludf.DUMMYFUNCTION("GOOGLETRANSLATE(D1584,""auto"",""en"")"),"A chess artificial intelligence anti -cheating method")</f>
        <v>A chess artificial intelligence anti -cheating method</v>
      </c>
    </row>
    <row r="1585" spans="1:5" ht="15" x14ac:dyDescent="0.25">
      <c r="A1585" s="5" t="s">
        <v>4576</v>
      </c>
      <c r="B1585" s="6" t="s">
        <v>4577</v>
      </c>
      <c r="C1585" s="3" t="str">
        <f ca="1">IFERROR(__xludf.DUMMYFUNCTION("GOOGLETRANSLATE(B1585,""auto"",""en"")"),"1. The name of the product in appearance: intelligent fitness mirror.
 2. The purpose of designing products in this exterior: This design product is used in a smart mirror that can interact with human -computer interaction in the fitness field.
 3. De"&amp;"sign of the design of the product in appearance: lies in the shape of the product.
 4. Pictures or photos that can best show design: stereo.")</f>
        <v>1. The name of the product in appearance: intelligent fitness mirror.
 2. The purpose of designing products in this exterior: This design product is used in a smart mirror that can interact with human -computer interaction in the fitness field.
 3. Design of the design of the product in appearance: lies in the shape of the product.
 4. Pictures or photos that can best show design: stereo.</v>
      </c>
      <c r="D1585" s="6" t="s">
        <v>3789</v>
      </c>
      <c r="E1585" s="4" t="str">
        <f ca="1">IFERROR(__xludf.DUMMYFUNCTION("GOOGLETRANSLATE(D1585,""auto"",""en"")"),"Smart fitness mirror")</f>
        <v>Smart fitness mirror</v>
      </c>
    </row>
    <row r="1586" spans="1:5" ht="15" x14ac:dyDescent="0.25">
      <c r="A1586" s="5" t="s">
        <v>4578</v>
      </c>
      <c r="B1586" s="6" t="s">
        <v>4579</v>
      </c>
      <c r="C1586" s="3" t="str">
        <f ca="1">IFERROR(__xludf.DUMMYFUNCTION("GOOGLETRANSLATE(B1586,""auto"",""en"")"),"You can determine the risk of people's fall based on machine learning algorithms. You can use the fall risk information to inform the person and/or third -party monitoring personnel (such as doctors, physiotherapists, private coaches, etc.). This informat"&amp;"ion can be used to monitor and track changes that may be affected by changes in health, lifestyle or medical care. In addition, the risk of falling risk can help individuals be more careful in their risks when they fall. You can use machine learning algor"&amp;"ithms to estimate the risk of falling. The machine learning algorithm can process data from the load sensor by calculating the basic and high -end intermittent balance model (PEM) stability measurement.")</f>
        <v>You can determine the risk of people's fall based on machine learning algorithms. You can use the fall risk information to inform the person and/or third -party monitoring personnel (such as doctors, physiotherapists, private coaches, etc.). This information can be used to monitor and track changes that may be affected by changes in health, lifestyle or medical care. In addition, the risk of falling risk can help individuals be more careful in their risks when they fall. You can use machine learning algorithms to estimate the risk of falling. The machine learning algorithm can process data from the load sensor by calculating the basic and high -end intermittent balance model (PEM) stability measurement.</v>
      </c>
      <c r="D1586" s="6" t="s">
        <v>4580</v>
      </c>
      <c r="E1586" s="4" t="str">
        <f ca="1">IFERROR(__xludf.DUMMYFUNCTION("GOOGLETRANSLATE(D1586,""auto"",""en"")"),"Use machine learning algorithm to identify the risk of falling down")</f>
        <v>Use machine learning algorithm to identify the risk of falling down</v>
      </c>
    </row>
    <row r="1587" spans="1:5" ht="15" x14ac:dyDescent="0.25">
      <c r="A1587" s="5" t="s">
        <v>4581</v>
      </c>
      <c r="B1587" s="6" t="s">
        <v>4582</v>
      </c>
      <c r="C1587" s="3" t="str">
        <f ca="1">IFERROR(__xludf.DUMMYFUNCTION("GOOGLETRANSLATE(B1587,""auto"",""en"")"),"1. Design product name: Banding with recording and data monitoring graphical user interface.
 2. Design products in appearance: used to display images.
 3. Design of the design of the product in appearance: lies in the graphic user interface.
 4. Pi"&amp;"ctures or photos that can most indicate design points: main view.
 5. The rear view is used to usual design, so it is omitted, and the back view is omitted; the left view is commonly designed, so omitted, omitted the left view; the right view is common "&amp;"design, so omitted, omitted the right view; the push -looking view is common design, so omitted, omitted, omittind Thinking view; viewing view is common design, so omitted, omitted the view.
 6. The purpose of graphical user interface: used for recordin"&amp;"g and monitoring multiple data.
 7. Human -computer interaction method of graphical user interface: The top of the main view shows the status of Bluetooth connection, notification bubbles, and battery power display bar. There is time, date, and step inf"&amp;"ormation bar in the middle of the main view. Change status Figure 1; change status Figure 1 shows the title of ""Recording"" and the ""Recording"" button. Click the ""Recording"" button to jump to the change state Figure 2; The recording duration and the "&amp;"""pause"" button, click the ""Passing"" button to jump to the change state Figure 3; the change state Figure 3 has the ""completion"" and ""continuing"" button. Click the ""Completed"" button to complete the recording, click the ""Continue"" button You ca"&amp;"n continue to recording; the upper sliding state Figure 2 jump to the change state Figure 4. The change status Figure 4 shows the title of ""exercise"" and the ""heat"", ""step"" and ""distance"" information consumed on the day. Click the change to change"&amp;" the change. The interface of the state Figure 4 jumps to the change state Figure 5; the change state Figure 5 shows the ""outdoor walk"" and the ""outdoor running"" button. 6 shows the current heart rate and exercise time, swipe to the right and jump to "&amp;"the change state. 7; the change status Figure 7 shows the title of ""Handling"" and the control button. There is a prompt message below the control button. Long press the control to control the control. The button jumps to the change state Figure 8; the c"&amp;"hange status Figure 8 shows the title of ""End"" and the ""End"" button. After long pressing the time to reach the set threshold, turn to the change state Figure 9; the change status Figure 9 shows the title of ""Sports Report"" and a detailed sports repo"&amp;"rt; Change status Figure 10 shows the title of ""Sleep"" and the last sleeping time information. 10 Jump to the change state Figure 12. The change status Figure 12 shows the title of ""heart rate"" and the recent measurement of the heart rate value. ""The"&amp;" title and"" Measurement ""text content, jump to the change state after the measurement is completed. Figure 15. The change status Figure 15 shows the title of ""more"". Click the change status Figure 15 to jump to the change state. Figure 16; the change "&amp;"state Figure 16 shows ""replacement dial"", ""second watch"", ""alarm clock"", ""alarm clock"", "" Brightness adjustment ""and other buttons, click to enter the corresponding features.")</f>
        <v>1. Design product name: Banding with recording and data monitoring graphical user interface.
 2. Design products in appearance: used to display images.
 3. Design of the design of the product in appearance: lies in the graphic user interface.
 4. Pictures or photos that can most indicate design points: main view.
 5. The rear view is used to usual design, so it is omitted, and the back view is omitted; the left view is commonly designed, so omitted, omitted the left view; the right view is common design, so omitted, omitted the right view; the push -looking view is common design, so omitted, omitted, omittind Thinking view; viewing view is common design, so omitted, omitted the view.
 6. The purpose of graphical user interface: used for recording and monitoring multiple data.
 7. Human -computer interaction method of graphical user interface: The top of the main view shows the status of Bluetooth connection, notification bubbles, and battery power display bar. There is time, date, and step information bar in the middle of the main view. Change status Figure 1; change status Figure 1 shows the title of "Recording" and the "Recording" button. Click the "Recording" button to jump to the change state Figure 2; The recording duration and the "pause" button, click the "Passing" button to jump to the change state Figure 3; the change state Figure 3 has the "completion" and "continuing" button. Click the "Completed" button to complete the recording, click the "Continue" button You can continue to recording; the upper sliding state Figure 2 jump to the change state Figure 4. The change status Figure 4 shows the title of "exercise" and the "heat", "step" and "distance" information consumed on the day. Click the change to change the change. The interface of the state Figure 4 jumps to the change state Figure 5; the change state Figure 5 shows the "outdoor walk" and the "outdoor running" button. 6 shows the current heart rate and exercise time, swipe to the right and jump to the change state. 7; the change status Figure 7 shows the title of "Handling" and the control button. There is a prompt message below the control button. Long press the control to control the control. The button jumps to the change state Figure 8; the change status Figure 8 shows the title of "End" and the "End" button. After long pressing the time to reach the set threshold, turn to the change state Figure 9; the change status Figure 9 shows the title of "Sports Report" and a detailed sports report; Change status Figure 10 shows the title of "Sleep" and the last sleeping time information. 10 Jump to the change state Figure 12. The change status Figure 12 shows the title of "heart rate" and the recent measurement of the heart rate value. "The title and" Measurement "text content, jump to the change state after the measurement is completed. Figure 15. The change status Figure 15 shows the title of "more". Click the change status Figure 15 to jump to the change state. Figure 16; the change state Figure 16 shows "replacement dial", "second watch", "alarm clock", "alarm clock", " Brightness adjustment "and other buttons, click to enter the corresponding features.</v>
      </c>
      <c r="D1587" s="6" t="s">
        <v>4583</v>
      </c>
      <c r="E1587" s="4" t="str">
        <f ca="1">IFERROR(__xludf.DUMMYFUNCTION("GOOGLETRANSLATE(D1587,""auto"",""en"")"),"Band with recording and data monitoring graphical user interface")</f>
        <v>Band with recording and data monitoring graphical user interface</v>
      </c>
    </row>
    <row r="1588" spans="1:5" ht="15" x14ac:dyDescent="0.25">
      <c r="A1588" s="5" t="s">
        <v>4584</v>
      </c>
      <c r="B1588" s="6" t="s">
        <v>4585</v>
      </c>
      <c r="C1588" s="3" t="str">
        <f ca="1">IFERROR(__xludf.DUMMYFUNCTION("GOOGLETRANSLATE(B1588,""auto"",""en"")"),"1. Design product name: Display screen panel with football rod shooting and test graphic user interface.
 2. Design products in appearance: used for running procedures and display.
 3. Design of the design of the product in this exterior: lies in the "&amp;"graphic user interface content displayed by the display screen.
 4. Pictures or photos that can most indicate design points: main view.
 5. The purpose of the graphical user interface: It is used for human -machine interaction and the function of the "&amp;"screen panel, and can be used to display information.
 6. Human -computer interaction method of graphical user interface: You can dynamically load the subsequent graphical user interface or run the application by rolling the graphical user interface or "&amp;"lightning the icon in the graphical user interface.
 7. Change state description of the graphic user interface: The main view of the view ""Current Test"" page, click the ""Start Test"" button, the interface jumps to the change state Figure 1 to display"&amp;" the real -time position of the student test; After the interface, the student's time, score, and other data information is displayed on the left side of the interface, and the picture shows the post information of the student; click the ""Report"" button"&amp;" below the picture, and the interface jumps to the change state. ; Click the ""Catalog 1"" button on the right side of the navigation bar, the interface jumps to the change state Figure 4, display the ""teaching guidance"" page, you can learn about the re"&amp;"levant knowledge on this page; To the state of change status 5, display ""performance comparison"", including the comparison of personal results and comparison between the two performances; click the Navigation Bar ""Catalog 4"" button, jump to the change"&amp;" state Figure 6, display the ""performance list"", all student performance details, details ; Click the Navigation Bar ""Catalog 5"" button, the interface jumps to the change state Figure 7, display ""group data"", the test intensity of the group test tes"&amp;"t; click the navigation bar ""Catalog 6"" button, the interface jump to the change state Figure 8 , Show ""Personal Data"", the performance positioning, pictures, videos, and reports of all students; click the Navigation Bar ""Catalog 7"" button, the inte"&amp;"rface jumps to the change state diagram 9, display the ""classroom report"", display the student test comprehensive data; click The Navigation Bar ""Catalog 8"" button, the interface jumps to the change state Figure 10, display the ""performance standard"&amp;""", you can view the current performance standard; click the navigation bar ""Catalog 9"" button, the interface jump to the change state. ""For leave"", the students who asked for leave did not count on the classroom report data.
 8. The display screen "&amp;"panel and graphic user interface can be applied to computers, tablet computers, touch all -in -one machines, TV panels with display screen panels; display screen panels are commonly designed, so other views are omitted.")</f>
        <v>1. Design product name: Display screen panel with football rod shooting and test graphic user interface.
 2. Design products in appearance: used for running procedures and display.
 3. Design of the design of the product in this exterior: lies in the graphic user interface content displayed by the display screen.
 4. Pictures or photos that can most indicate design points: main view.
 5. The purpose of the graphical user interface: It is used for human -machine interaction and the function of the screen panel, and can be used to display information.
 6. Human -computer interaction method of graphical user interface: You can dynamically load the subsequent graphical user interface or run the application by rolling the graphical user interface or lightning the icon in the graphical user interface.
 7. Change state description of the graphic user interface: The main view of the view "Current Test" page, click the "Start Test" button, the interface jumps to the change state Figure 1 to display the real -time position of the student test; After the interface, the student's time, score, and other data information is displayed on the left side of the interface, and the picture shows the post information of the student; click the "Report" button below the picture, and the interface jumps to the change state. ; Click the "Catalog 1" button on the right side of the navigation bar, the interface jumps to the change state Figure 4, display the "teaching guidance" page, you can learn about the relevant knowledge on this page; To the state of change status 5, display "performance comparison", including the comparison of personal results and comparison between the two performances; click the Navigation Bar "Catalog 4" button, jump to the change state Figure 6, display the "performance list", all student performance details, details ; Click the Navigation Bar "Catalog 5" button, the interface jumps to the change state Figure 7, display "group data", the test intensity of the group test test; click the navigation bar "Catalog 6" button, the interface jump to the change state Figure 8 , Show "Personal Data", the performance positioning, pictures, videos, and reports of all students; click the Navigation Bar "Catalog 7" button, the interface jumps to the change state diagram 9, display the "classroom report", display the student test comprehensive data; click The Navigation Bar "Catalog 8" button, the interface jumps to the change state Figure 10, display the "performance standard", you can view the current performance standard; click the navigation bar "Catalog 9" button, the interface jump to the change state. "For leave", the students who asked for leave did not count on the classroom report data.
 8. The display screen panel and graphic user interface can be applied to computers, tablet computers, touch all -in -one machines, TV panels with display screen panels; display screen panels are commonly designed, so other views are omitted.</v>
      </c>
      <c r="D1588" s="6" t="s">
        <v>4586</v>
      </c>
      <c r="E1588" s="4" t="str">
        <f ca="1">IFERROR(__xludf.DUMMYFUNCTION("GOOGLETRANSLATE(D1588,""auto"",""en"")"),"Display screen panel with football rod shooting and test graphic user interface")</f>
        <v>Display screen panel with football rod shooting and test graphic user interface</v>
      </c>
    </row>
    <row r="1589" spans="1:5" ht="15" x14ac:dyDescent="0.25">
      <c r="A1589" s="5" t="s">
        <v>4587</v>
      </c>
      <c r="B1589" s="6" t="s">
        <v>4588</v>
      </c>
      <c r="C1589" s="3" t="str">
        <f ca="1">IFERROR(__xludf.DUMMYFUNCTION("GOOGLETRANSLATE(B1589,""auto"",""en"")"),"The Crym Tg (Crym Tg) expressed Crym protein in skeletal muscles. Muscle function, calcium 2+ transients, contraction, fatigue, and running on treadmills or wheels have not changed significantly. Serum T 3 and thyroid hormone levels are not affected, alth"&amp;"ough T 3 tibial anterior muscle (TA) muscle levels rise rise. High, serum T 4 decreased. The respiratory exchange rate of Crym TG mice decreased, corresponding to 13.7%corresponding to fat utilization. Female Crym TG mice increased faster than high -fat o"&amp;"r high -simple carbohydrate diet. The machine learning algorithm reveals the morphological differences between Crym TG and the fibrous fiber of the fishery. RNA-SEQ and genetic entity enrichment analysis shows the genetic transformation of slower muscle f"&amp;"unction and β-oxidation. Therefore, high-level μ-lens protein is related to greater fat metabolism. These data indicate that Crym and μ-crystal protein can be used as a treatment of diabetes and obesity.")</f>
        <v>The Crym Tg (Crym Tg) expressed Crym protein in skeletal muscles. Muscle function, calcium 2+ transients, contraction, fatigue, and running on treadmills or wheels have not changed significantly. Serum T 3 and thyroid hormone levels are not affected, although T 3 tibial anterior muscle (TA) muscle levels rise rise. High, serum T 4 decreased. The respiratory exchange rate of Crym TG mice decreased, corresponding to 13.7%corresponding to fat utilization. Female Crym TG mice increased faster than high -fat or high -simple carbohydrate diet. The machine learning algorithm reveals the morphological differences between Crym TG and the fibrous fiber of the fishery. RNA-SEQ and genetic entity enrichment analysis shows the genetic transformation of slower muscle function and β-oxidation. Therefore, high-level μ-lens protein is related to greater fat metabolism. These data indicate that Crym and μ-crystal protein can be used as a treatment of diabetes and obesity.</v>
      </c>
      <c r="D1589" s="6" t="s">
        <v>4589</v>
      </c>
      <c r="E1589" s="4" t="str">
        <f ca="1">IFERROR(__xludf.DUMMYFUNCTION("GOOGLETRANSLATE(D1589,""auto"",""en"")"),"Use Crym to adjust muscle physiology and energy metabolism")</f>
        <v>Use Crym to adjust muscle physiology and energy metabolism</v>
      </c>
    </row>
    <row r="1590" spans="1:5" ht="15" x14ac:dyDescent="0.25">
      <c r="A1590" s="5" t="s">
        <v>4590</v>
      </c>
      <c r="B1590" s="6" t="s">
        <v>4591</v>
      </c>
      <c r="C1590" s="3" t="str">
        <f ca="1">IFERROR(__xludf.DUMMYFUNCTION("GOOGLETRANSLATE(B1590,""auto"",""en"")"),"A system that is used to determine or determine the position or posture of the online position or/or time of the line that is over by at least one contestant or racer in sports competitions, including at least one device for taking pictures when taking pi"&amp;"ctures at the middle or finish line. When the competition is in progress, the type of image taken by the photos defines the input of the system, and the processing unit connected to the photography device to combine the receiving photo to complete the pro"&amp;"cessing of the image with the processing of artificial intelligence algorithms to automatically use one or one or one or one or Multi -cursor is placed in the photo to complete the image.")</f>
        <v>A system that is used to determine or determine the position or posture of the online position or/or time of the line that is over by at least one contestant or racer in sports competitions, including at least one device for taking pictures when taking pictures at the middle or finish line. When the competition is in progress, the type of image taken by the photos defines the input of the system, and the processing unit connected to the photography device to combine the receiving photo to complete the processing of the image with the processing of artificial intelligence algorithms to automatically use one or one or one or one or Multi -cursor is placed in the photo to complete the image.</v>
      </c>
      <c r="D1590" s="6" t="s">
        <v>4592</v>
      </c>
      <c r="E1590" s="4" t="str">
        <f ca="1">IFERROR(__xludf.DUMMYFUNCTION("GOOGLETRANSLATE(D1590,""auto"",""en"")"),"Systems and activation methods used to determine or determine the intersection of sports competitions and their activation methods")</f>
        <v>Systems and activation methods used to determine or determine the intersection of sports competitions and their activation methods</v>
      </c>
    </row>
    <row r="1591" spans="1:5" ht="15" x14ac:dyDescent="0.25">
      <c r="A1591" s="5" t="s">
        <v>4593</v>
      </c>
      <c r="B1591" s="6" t="s">
        <v>4594</v>
      </c>
      <c r="C1591" s="3" t="str">
        <f ca="1">IFERROR(__xludf.DUMMYFUNCTION("GOOGLETRANSLATE(B1591,""auto"",""en"")"),"The present invention involves the field of physiological health testing technology, especially a sports health detection system based on the Internet of Things, including server terminals, main bracelets, and multiple sub -bracelets. Student information;"&amp;" sub -ring is used to detect students 'blood oxygen saturation, blood sugar, body surface temperature, and positioning information; when the child bracelet detects students' real -time blood oxygen saturation, blood glucose, or body surface temperature is"&amp;" too low, the child bracelet passes through The server terminal sends the alarm information to the main ring; the main hand ring is also used to set the electronic fence by passing the server terminal to the handle ring; when the student wears the child b"&amp;"racelet appears outside the electronic fence, the sub -bracelet will send through the server terminal sent through the server terminal sends Prompt information to the main bracelet. The physical health test system based on the Internet of Things can monit"&amp;"or the physiological state of students in the sports process, and timely discover that students have physical discomfort during exercise, and issue alert information.")</f>
        <v>The present invention involves the field of physiological health testing technology, especially a sports health detection system based on the Internet of Things, including server terminals, main bracelets, and multiple sub -bracelets. Student information; sub -ring is used to detect students 'blood oxygen saturation, blood sugar, body surface temperature, and positioning information; when the child bracelet detects students' real -time blood oxygen saturation, blood glucose, or body surface temperature is too low, the child bracelet passes through The server terminal sends the alarm information to the main ring; the main hand ring is also used to set the electronic fence by passing the server terminal to the handle ring; when the student wears the child bracelet appears outside the electronic fence, the sub -bracelet will send through the server terminal sent through the server terminal sends Prompt information to the main bracelet. The physical health test system based on the Internet of Things can monitor the physiological state of students in the sports process, and timely discover that students have physical discomfort during exercise, and issue alert information.</v>
      </c>
      <c r="D1591" s="6" t="s">
        <v>4595</v>
      </c>
      <c r="E1591" s="4" t="str">
        <f ca="1">IFERROR(__xludf.DUMMYFUNCTION("GOOGLETRANSLATE(D1591,""auto"",""en"")"),"A physical health test system based on the Internet of Things -based")</f>
        <v>A physical health test system based on the Internet of Things -based</v>
      </c>
    </row>
    <row r="1592" spans="1:5" ht="15" x14ac:dyDescent="0.25">
      <c r="A1592" s="5" t="s">
        <v>4596</v>
      </c>
      <c r="B1592" s="6" t="s">
        <v>4597</v>
      </c>
      <c r="C1592" s="3" t="str">
        <f ca="1">IFERROR(__xludf.DUMMYFUNCTION("GOOGLETRANSLATE(B1592,""auto"",""en"")"),"The present invention involves a sports equipment management system based on the Internet of Things, including server terminals, student campus IC cards, and multiple sports equipment management cabinets; sports equipment management cabinets include cabin"&amp;"ets, storage compartment on the cabinet, connecting the storage grid connection on the storage grid There is a cabinet door; the cabinet door is equipped with an RFID reader, touch screen and electronic lock, and a lock box is provided on the storage grid"&amp;"; the cabinet is equipped with a controller, wireless communication module and power adapter; Pressure sensor; ultraviolet LED lights in the storage grid; light touch switch on the side side of the open mouth of the storage grid; each electronic component"&amp;" is connected. After the student campus IC card swipes the card, the server terminal verifies the students' identity and judges that the students will issue a unlocking command to the sports equipment management cabinet during the physical education time."&amp;" Students only allow sports equipment to borrow sports equipment during the physical education class. When users put sports equipment back to the sports equipment management cabinet, they disinfect sports equipment.")</f>
        <v>The present invention involves a sports equipment management system based on the Internet of Things, including server terminals, student campus IC cards, and multiple sports equipment management cabinets; sports equipment management cabinets include cabinets, storage compartment on the cabinet, connecting the storage grid connection on the storage grid There is a cabinet door; the cabinet door is equipped with an RFID reader, touch screen and electronic lock, and a lock box is provided on the storage grid; the cabinet is equipped with a controller, wireless communication module and power adapter; Pressure sensor; ultraviolet LED lights in the storage grid; light touch switch on the side side of the open mouth of the storage grid; each electronic component is connected. After the student campus IC card swipes the card, the server terminal verifies the students' identity and judges that the students will issue a unlocking command to the sports equipment management cabinet during the physical education time. Students only allow sports equipment to borrow sports equipment during the physical education class. When users put sports equipment back to the sports equipment management cabinet, they disinfect sports equipment.</v>
      </c>
      <c r="D1592" s="6" t="s">
        <v>4598</v>
      </c>
      <c r="E1592" s="4" t="str">
        <f ca="1">IFERROR(__xludf.DUMMYFUNCTION("GOOGLETRANSLATE(D1592,""auto"",""en"")"),"A sports equipment management system based on the Internet of Things")</f>
        <v>A sports equipment management system based on the Internet of Things</v>
      </c>
    </row>
    <row r="1593" spans="1:5" ht="15" x14ac:dyDescent="0.25">
      <c r="A1593" s="5" t="s">
        <v>4599</v>
      </c>
      <c r="B1593" s="6" t="s">
        <v>4600</v>
      </c>
      <c r="C1593" s="3" t="str">
        <f ca="1">IFERROR(__xludf.DUMMYFUNCTION("GOOGLETRANSLATE(B1593,""auto"",""en"")"),"The present invention disclosed a type of badminton -based badminton picking up robots based on computer visual judgments, including mobile cars, ball pick -up devices, correction devices, and collecting devices. The car body is also installed with a cont"&amp;"roller and an intelligent barrier avoidance system. The invention collects data through the camera to identify the ball situation on the venue. After identifying the badminton, the mobile car moves towards the direction of the identified badminton and blo"&amp;"ws through the hair dryer pipe. Badminton's skirt, which causes the head of the badminton to enter the opening first, so that the head of the badminton can be clamped by the holding parts, and the badminton is extracted to the inside of the car through th"&amp;"e promotion part. Collect time saving and effort.")</f>
        <v>The present invention disclosed a type of badminton -based badminton picking up robots based on computer visual judgments, including mobile cars, ball pick -up devices, correction devices, and collecting devices. The car body is also installed with a controller and an intelligent barrier avoidance system. The invention collects data through the camera to identify the ball situation on the venue. After identifying the badminton, the mobile car moves towards the direction of the identified badminton and blows through the hair dryer pipe. Badminton's skirt, which causes the head of the badminton to enter the opening first, so that the head of the badminton can be clamped by the holding parts, and the badminton is extracted to the inside of the car through the promotion part. Collect time saving and effort.</v>
      </c>
      <c r="D1593" s="6" t="s">
        <v>4601</v>
      </c>
      <c r="E1593" s="4" t="str">
        <f ca="1">IFERROR(__xludf.DUMMYFUNCTION("GOOGLETRANSLATE(D1593,""auto"",""en"")"),"A badminton -based badminton picking robot based on computer vision judgment")</f>
        <v>A badminton -based badminton picking robot based on computer vision judgment</v>
      </c>
    </row>
    <row r="1594" spans="1:5" ht="15" x14ac:dyDescent="0.25">
      <c r="A1594" s="5" t="s">
        <v>4602</v>
      </c>
      <c r="B1594" s="6" t="s">
        <v>4603</v>
      </c>
      <c r="C1594" s="3" t="str">
        <f ca="1">IFERROR(__xludf.DUMMYFUNCTION("GOOGLETRANSLATE(B1594,""auto"",""en"")"),"1. Design product name: Display screen panel with volleyball ball training and test graphic user interface.
 2. Design products in appearance: used for running procedures and display.
 3. Design of the design of the product in this exterior: lies in t"&amp;"he graphic user interface content displayed by the display screen.
 4. Pictures or photos that can most indicate design points: main view.
 5. The purpose of the graphical user interface: for human -machine interaction and the function of the screen p"&amp;"anel, and can be used to display information, the pictures, videos, reports of displaying volleyball places, and teaching of the volleyball padding project Guidance, performance comparison, performance list, group data, personal data, classroom reports, g"&amp;"rade standards, student leave, and real -time data for overall training.
 6. Human -computer interaction method of graphical user interface: You can dynamically load the subsequent graphical user interface or run the application by rolling the graphical"&amp;" user interface or lightning the icon in the graphical user interface.
 7. Change state description of the graphic user interface: The main view of the view shows the ""Current Test"" page, displaying the pictures of the student test, and the student pe"&amp;"rformance, score, and other data on the left side of the interface; click the ""Video"" button below the picture. Until the state of change, you can play the videos of exercise or test; click the ""Catalog"" button on the right navigation bar, jump to the"&amp;" change state Figure 2, and display the ""teaching guidance"" page. You can learn the volleyball pads on this page Knowledge of the ball items; click the Navigation Bar ""Catalog 3"" button, the interface jumps to the change state figure 3, and display """&amp;"performance comparison"", including the comparison of personal performance and comparison of the two people; click the navigation bar ""Catalog 4"" button, the interface jump Turn to change status Figure 4, display the ""performance list"", all students' "&amp;"performance details; click the navigation bar ""Catalog 5"" button, the interface jumps to the change state diagram 5, display the ""group data"", the test intensity of the group test test; Click the Navigation Bar ""Catalog 6"" button, the interface jump"&amp;"s to the change state Figure 6, display ""personal data"", all students' performance pictures, videos, and reports; click the navigation bar ""Catalog 7"" button, and the interface jumps to the change state diagram 7. Show the ""Class Report"" to show the"&amp;" comprehensive data of the student test; click the Navigation Bar ""Catalog 8"" button, the interface jumps to the change state Figure 8, display the ""performance standard"", you can view the current results standard; click the navigation bar ""Catalog"""&amp;" Catalog ""Catalog 9 ""button, the interface jumps to the change state figure 9, display"" student leave "", and students who ask leave will not be entered the classroom report data.
 8. The display screen panel and graphic user interface can be applied"&amp;" to computers, tablet computers, touch all -in -one machines, and televisions with display screen panels; 9. The display screen panel is commonly designed, so other views are omitted.")</f>
        <v>1. Design product name: Display screen panel with volleyball ball training and test graphic user interface.
 2. Design products in appearance: used for running procedures and display.
 3. Design of the design of the product in this exterior: lies in the graphic user interface content displayed by the display screen.
 4. Pictures or photos that can most indicate design points: main view.
 5. The purpose of the graphical user interface: for human -machine interaction and the function of the screen panel, and can be used to display information, the pictures, videos, reports of displaying volleyball places, and teaching of the volleyball padding project Guidance, performance comparison, performance list, group data, personal data, classroom reports, grade standards, student leave, and real -time data for overall training.
 6. Human -computer interaction method of graphical user interface: You can dynamically load the subsequent graphical user interface or run the application by rolling the graphical user interface or lightning the icon in the graphical user interface.
 7. Change state description of the graphic user interface: The main view of the view shows the "Current Test" page, displaying the pictures of the student test, and the student performance, score, and other data on the left side of the interface; click the "Video" button below the picture. Until the state of change, you can play the videos of exercise or test; click the "Catalog" button on the right navigation bar, jump to the change state Figure 2, and display the "teaching guidance" page. You can learn the volleyball pads on this page Knowledge of the ball items; click the Navigation Bar "Catalog 3" button, the interface jumps to the change state figure 3, and display "performance comparison", including the comparison of personal performance and comparison of the two people; click the navigation bar "Catalog 4" button, the interface jump Turn to change status Figure 4, display the "performance list", all students' performance details; click the navigation bar "Catalog 5" button, the interface jumps to the change state diagram 5, display the "group data", the test intensity of the group test test; Click the Navigation Bar "Catalog 6" button, the interface jumps to the change state Figure 6, display "personal data", all students' performance pictures, videos, and reports; click the navigation bar "Catalog 7" button, and the interface jumps to the change state diagram 7. Show the "Class Report" to show the comprehensive data of the student test; click the Navigation Bar "Catalog 8" button, the interface jumps to the change state Figure 8, display the "performance standard", you can view the current results standard; click the navigation bar "Catalog" Catalog "Catalog 9 "button, the interface jumps to the change state figure 9, display" student leave ", and students who ask leave will not be entered the classroom report data.
 8. The display screen panel and graphic user interface can be applied to computers, tablet computers, touch all -in -one machines, and televisions with display screen panels; 9. The display screen panel is commonly designed, so other views are omitted.</v>
      </c>
      <c r="D1594" s="6" t="s">
        <v>4604</v>
      </c>
      <c r="E1594" s="4" t="str">
        <f ca="1">IFERROR(__xludf.DUMMYFUNCTION("GOOGLETRANSLATE(D1594,""auto"",""en"")"),"Display screen panel with volleyball padding and test graphic user interface")</f>
        <v>Display screen panel with volleyball padding and test graphic user interface</v>
      </c>
    </row>
    <row r="1595" spans="1:5" ht="15" x14ac:dyDescent="0.25">
      <c r="A1595" s="5" t="s">
        <v>4605</v>
      </c>
      <c r="B1595" s="6" t="s">
        <v>4606</v>
      </c>
      <c r="C1595" s="3" t="str">
        <f ca="1">IFERROR(__xludf.DUMMYFUNCTION("GOOGLETRANSLATE(B1595,""auto"",""en"")"),"This utility model provides a strike test device. This utility model includes the host and the strike test platform, the host includes the central installation board, and the strike test platform includes a strike platform and a pressure sensor and signal"&amp;" amplification device connected to it. The module, voice module, power amplifier module, and power module, the power module is powered by the entire system, the voice module is used to convert the data transmitted by the main control module to sound audio"&amp;" signal, and transmits it to the amplifier module. Data report. The device uses the voice module for the results of the strike power to broadcast in real time, which improves the user's human -computer interaction experience. It adopts an integrated integ"&amp;"rated design and is simple to use. It can be used for testing the human body, especially the teaching work of blind students, guide blind students to exercise physical exercise, and promote the development of blind physical and mental development, and mov"&amp;"e towards society. It can also be used for other testing scenarios for human blowing power.")</f>
        <v>This utility model provides a strike test device. This utility model includes the host and the strike test platform, the host includes the central installation board, and the strike test platform includes a strike platform and a pressure sensor and signal amplification device connected to it. The module, voice module, power amplifier module, and power module, the power module is powered by the entire system, the voice module is used to convert the data transmitted by the main control module to sound audio signal, and transmits it to the amplifier module. Data report. The device uses the voice module for the results of the strike power to broadcast in real time, which improves the user's human -computer interaction experience. It adopts an integrated integrated design and is simple to use. It can be used for testing the human body, especially the teaching work of blind students, guide blind students to exercise physical exercise, and promote the development of blind physical and mental development, and move towards society. It can also be used for other testing scenarios for human blowing power.</v>
      </c>
      <c r="D1595" s="6" t="s">
        <v>4607</v>
      </c>
      <c r="E1595" s="4" t="str">
        <f ca="1">IFERROR(__xludf.DUMMYFUNCTION("GOOGLETRANSLATE(D1595,""auto"",""en"")"),"A blow power test device")</f>
        <v>A blow power test device</v>
      </c>
    </row>
    <row r="1596" spans="1:5" ht="15" x14ac:dyDescent="0.25">
      <c r="A1596" s="5" t="s">
        <v>4608</v>
      </c>
      <c r="B1596" s="6" t="s">
        <v>4609</v>
      </c>
      <c r="C1596" s="3" t="str">
        <f ca="1">IFERROR(__xludf.DUMMYFUNCTION("GOOGLETRANSLATE(B1596,""auto"",""en"")"),"The invention discloses a young male body fat rate prediction method based on the body fat rate prediction model based on the mixed data input. By establishing a model prediction model of convolutional neural network body network input -based in input, us"&amp;"e naked image and BMI data predictive body to predict the body Lipity rate, solving the previous body fat rate prediction model cannot be applicable to the problem of fitness groups and non -fitness groups at the same time. The results showed that the con"&amp;"structed mixed data input CNN regression model predicting accuracy is better than the linear regression model or annn regression model built by BMI as independent variables. It is suitable for young men's fitness groups and non -fitness groups. Essence")</f>
        <v>The invention discloses a young male body fat rate prediction method based on the body fat rate prediction model based on the mixed data input. By establishing a model prediction model of convolutional neural network body network input -based in input, use naked image and BMI data predictive body to predict the body Lipity rate, solving the previous body fat rate prediction model cannot be applicable to the problem of fitness groups and non -fitness groups at the same time. The results showed that the constructed mixed data input CNN regression model predicting accuracy is better than the linear regression model or annn regression model built by BMI as independent variables. It is suitable for young men's fitness groups and non -fitness groups. Essence</v>
      </c>
      <c r="D1596" s="6" t="s">
        <v>4610</v>
      </c>
      <c r="E1596" s="4" t="str">
        <f ca="1">IFERROR(__xludf.DUMMYFUNCTION("GOOGLETRANSLATE(D1596,""auto"",""en"")"),"Young male body fat rate prediction method based on the body fat rate prediction model input by hybrid data")</f>
        <v>Young male body fat rate prediction method based on the body fat rate prediction model input by hybrid data</v>
      </c>
    </row>
    <row r="1597" spans="1:5" ht="15" x14ac:dyDescent="0.25">
      <c r="A1597" s="5" t="s">
        <v>4611</v>
      </c>
      <c r="B1597" s="6" t="s">
        <v>4612</v>
      </c>
      <c r="C1597" s="3" t="str">
        <f ca="1">IFERROR(__xludf.DUMMYFUNCTION("GOOGLETRANSLATE(B1597,""auto"",""en"")"),"A coach matching system based on users who use artificial intelligence to exercise data. According to the various embodiments of the present invention, artificial intelligence -based coach matching system matching system matching coaches and home training"&amp;" customers use the user training customers to pay fees, and pay/free of charge to provide a platform to provide family training customers with The lecture content is paid to the trainer and fitness company paid the amount paid by the family training custo"&amp;"mers.")</f>
        <v>A coach matching system based on users who use artificial intelligence to exercise data. According to the various embodiments of the present invention, artificial intelligence -based coach matching system matching system matching coaches and home training customers use the user training customers to pay fees, and pay/free of charge to provide a platform to provide family training customers with The lecture content is paid to the trainer and fitness company paid the amount paid by the family training customers.</v>
      </c>
      <c r="D1597" s="6" t="s">
        <v>4613</v>
      </c>
      <c r="E1597" s="4" t="str">
        <f ca="1">IFERROR(__xludf.DUMMYFUNCTION("GOOGLETRANSLATE(D1597,""auto"",""en"")"),"User sports data coach matching system based on artificial intelligence")</f>
        <v>User sports data coach matching system based on artificial intelligence</v>
      </c>
    </row>
    <row r="1598" spans="1:5" ht="15" x14ac:dyDescent="0.25">
      <c r="A1598" s="5" t="s">
        <v>4614</v>
      </c>
      <c r="B1598" s="6" t="s">
        <v>4615</v>
      </c>
      <c r="C1598" s="3" t="str">
        <f ca="1">IFERROR(__xludf.DUMMYFUNCTION("GOOGLETRANSLATE(B1598,""auto"",""en"")"),"The invention discloses a method of automatic detection of drug labeling based on machine vision, which includes image collection, label positioning, label content recognition and judgment steps. , Identification and judgment of the unchanged label, ident"&amp;"ification and judgment of the variable content of the label, the specific operations of the identification and judgment of the variable content of the label include the production of the priority template, the dual -value segmentation processing of the va"&amp;"riable regional images 2. Use a neural network for character recognition and use the SoftMax classifier to output the identification results, and then judge and output the detection results based on whether the comparison content of the artificial pre -in"&amp;"put input is consistent with the comparison content of the manual input. The method described by the present invention can not only realize the color, appearance defects, and text content of the drug label, and have the advantages of high degree of automa"&amp;"tion, high speed and high accuracy.")</f>
        <v>The invention discloses a method of automatic detection of drug labeling based on machine vision, which includes image collection, label positioning, label content recognition and judgment steps. , Identification and judgment of the unchanged label, identification and judgment of the variable content of the label, the specific operations of the identification and judgment of the variable content of the label include the production of the priority template, the dual -value segmentation processing of the variable regional images 2. Use a neural network for character recognition and use the SoftMax classifier to output the identification results, and then judge and output the detection results based on whether the comparison content of the artificial pre -input input is consistent with the comparison content of the manual input. The method described by the present invention can not only realize the color, appearance defects, and text content of the drug label, and have the advantages of high degree of automation, high speed and high accuracy.</v>
      </c>
      <c r="D1598" s="6" t="s">
        <v>4616</v>
      </c>
      <c r="E1598" s="4" t="str">
        <f ca="1">IFERROR(__xludf.DUMMYFUNCTION("GOOGLETRANSLATE(D1598,""auto"",""en"")"),"A method for automatic detection of drug labeling based on machine vision")</f>
        <v>A method for automatic detection of drug labeling based on machine vision</v>
      </c>
    </row>
    <row r="1599" spans="1:5" ht="15" x14ac:dyDescent="0.25">
      <c r="A1599" s="5" t="s">
        <v>4617</v>
      </c>
      <c r="B1599" s="6" t="s">
        <v>4618</v>
      </c>
      <c r="C1599" s="3" t="str">
        <f ca="1">IFERROR(__xludf.DUMMYFUNCTION("GOOGLETRANSLATE(B1599,""auto"",""en"")"),"This publicly provides a model reasoning method, device, electronic equipment and storage media, involving the field of model reasoning. The specific implementation scheme is: use the application container engine mirror image to start the preset artificia"&amp;"l intelligence model; according to the type and reasoning needs of the input data, determine multiple target models in the preset artificial intelligence model; set the priority of the multiple target models to set the multiple target models Level; run th"&amp;"e multiple target models according to the priority operation to obtain the results of the reasoning. This public implementation example optimizes the overall operation of the reasoning process, improves the efficiency of model reasoning, based on differen"&amp;"t scenarios and specific reasoning needs, flexibly selects models used for reasoning, and automatically set the priority of the model execution during the reasoning process, so that the entire model reasoning reasoning The process is more accurate and eff"&amp;"icient.")</f>
        <v>This publicly provides a model reasoning method, device, electronic equipment and storage media, involving the field of model reasoning. The specific implementation scheme is: use the application container engine mirror image to start the preset artificial intelligence model; according to the type and reasoning needs of the input data, determine multiple target models in the preset artificial intelligence model; set the priority of the multiple target models to set the multiple target models Level; run the multiple target models according to the priority operation to obtain the results of the reasoning. This public implementation example optimizes the overall operation of the reasoning process, improves the efficiency of model reasoning, based on different scenarios and specific reasoning needs, flexibly selects models used for reasoning, and automatically set the priority of the model execution during the reasoning process, so that the entire model reasoning reasoning The process is more accurate and efficient.</v>
      </c>
      <c r="D1599" s="6" t="s">
        <v>4619</v>
      </c>
      <c r="E1599" s="4" t="str">
        <f ca="1">IFERROR(__xludf.DUMMYFUNCTION("GOOGLETRANSLATE(D1599,""auto"",""en"")"),"Model reasoning method, device, electronic equipment and storage media")</f>
        <v>Model reasoning method, device, electronic equipment and storage media</v>
      </c>
    </row>
    <row r="1600" spans="1:5" ht="15" x14ac:dyDescent="0.25">
      <c r="A1600" s="5" t="s">
        <v>4620</v>
      </c>
      <c r="B1600" s="6" t="s">
        <v>4621</v>
      </c>
      <c r="C1600" s="3" t="str">
        <f ca="1">IFERROR(__xludf.DUMMYFUNCTION("GOOGLETRANSLATE(B1600,""auto"",""en"")"),"The present invention disclosed a fast and high accuracy NAO football robot visual processing method. The specific implementation steps are as follows: First of all, you need to run the BHUMAN robot driver, and simultaneously run the software system to pe"&amp;"rform the image information between the robot, and then drive through the driver through the driver. Core algorithm processing and processing library The modular algorithm of the good packaging library to calculate and process the image; for the test mode"&amp;", first start the system guardianship process, and then call the GUI image tunnel test interface to display the image and information output of the image, and then drive the good packaging well to pack the good packaging. The core algorithm processing mod"&amp;"ule performs calculation and processing of images. Using computer vision, instruction set optimization technology, and rapid assembly processing and computing of image signals, so as to achieve high -performance robot visual processing algorithm processes"&amp;". The software system implemented by this visual processing method can be simply and quickly applied to the NAO robot, and and and and and and and and andesieres, and the NAO robot can be used. Greatly improve the accuracy and efficiency of the visual pro"&amp;"cessing of robotic football games.")</f>
        <v>The present invention disclosed a fast and high accuracy NAO football robot visual processing method. The specific implementation steps are as follows: First of all, you need to run the BHUMAN robot driver, and simultaneously run the software system to perform the image information between the robot, and then drive through the driver through the driver. Core algorithm processing and processing library The modular algorithm of the good packaging library to calculate and process the image; for the test mode, first start the system guardianship process, and then call the GUI image tunnel test interface to display the image and information output of the image, and then drive the good packaging well to pack the good packaging. The core algorithm processing module performs calculation and processing of images. Using computer vision, instruction set optimization technology, and rapid assembly processing and computing of image signals, so as to achieve high -performance robot visual processing algorithm processes. The software system implemented by this visual processing method can be simply and quickly applied to the NAO robot, and and and and and and and and andesieres, and the NAO robot can be used. Greatly improve the accuracy and efficiency of the visual processing of robotic football games.</v>
      </c>
      <c r="D1600" s="6" t="s">
        <v>4622</v>
      </c>
      <c r="E1600" s="4" t="str">
        <f ca="1">IFERROR(__xludf.DUMMYFUNCTION("GOOGLETRANSLATE(D1600,""auto"",""en"")"),"A fast and high accuracy NAO type football robot visual processing method")</f>
        <v>A fast and high accuracy NAO type football robot visual processing method</v>
      </c>
    </row>
    <row r="1601" spans="1:5" ht="15" x14ac:dyDescent="0.25">
      <c r="A1601" s="5" t="s">
        <v>4623</v>
      </c>
      <c r="B1601" s="6" t="s">
        <v>4624</v>
      </c>
      <c r="C1601" s="3" t="str">
        <f ca="1">IFERROR(__xludf.DUMMYFUNCTION("GOOGLETRANSLATE(B1601,""auto"",""en"")"),"People with risks of certain lifestyle diseases (such as diabetes, cardiovascular diseases and strokes) can be risked by various behaviors, clinical or social plans (such as calorie counting applications, fitness trackers, weight loss support groups, and "&amp;"clinical care. However Many people have encountered difficulties when completing these plans and eventually cannot restore health. Personal health can depend on various behaviors, genetics, society and other factors. In particular, behaviors and social fa"&amp;"ctors such as diet, exercise, sleep and pressure are As a result, the so -called lifestyle diseases such as heart disease, stroke, and type 2 diabetes are expanding. For those who have the risk of such diseases, it is common to reduce stress, sleep more, "&amp;"eat better and regular exercise to reduce risks. The concept may be well known. The invention helps to determine multiple dietary blood sugar values ​​associated with different sensor data and machine learning units. This system determines the user's heal"&amp;"th index based on the physiological parameters of perception. Proposal and convey to users' feedback based on the user's obedience.")</f>
        <v>People with risks of certain lifestyle diseases (such as diabetes, cardiovascular diseases and strokes) can be risked by various behaviors, clinical or social plans (such as calorie counting applications, fitness trackers, weight loss support groups, and clinical care. However Many people have encountered difficulties when completing these plans and eventually cannot restore health. Personal health can depend on various behaviors, genetics, society and other factors. In particular, behaviors and social factors such as diet, exercise, sleep and pressure are As a result, the so -called lifestyle diseases such as heart disease, stroke, and type 2 diabetes are expanding. For those who have the risk of such diseases, it is common to reduce stress, sleep more, eat better and regular exercise to reduce risks. The concept may be well known. The invention helps to determine multiple dietary blood sugar values ​​associated with different sensor data and machine learning units. This system determines the user's health index based on the physiological parameters of perception. Proposal and convey to users' feedback based on the user's obedience.</v>
      </c>
      <c r="D1601" s="6" t="s">
        <v>4625</v>
      </c>
      <c r="E1601" s="4" t="str">
        <f ca="1">IFERROR(__xludf.DUMMYFUNCTION("GOOGLETRANSLATE(D1601,""auto"",""en"")"),"Machine learning -based lifestyle guidance system monitoring health risks of lifestyle diseases")</f>
        <v>Machine learning -based lifestyle guidance system monitoring health risks of lifestyle diseases</v>
      </c>
    </row>
    <row r="1602" spans="1:5" ht="15" x14ac:dyDescent="0.25">
      <c r="A1602" s="5" t="s">
        <v>4626</v>
      </c>
      <c r="B1602" s="6" t="s">
        <v>4627</v>
      </c>
      <c r="C1602" s="3" t="str">
        <f ca="1">IFERROR(__xludf.DUMMYFUNCTION("GOOGLETRANSLATE(B1602,""auto"",""en"")"),"Auto -salt segments using deep learning technology include the problem of salt sinks in the seismic image data. More specifically, the present invention involves several new deep learning technologies. They are merged into a neural network and ranked 27th"&amp;" in the above competition (1%). The texture of salt sink is quite chaotic, the problem of salt section is complicated, and it is still very important now. The first way to solve this problem is to manually explain the earthquake image by Earth Physics exp"&amp;"erts. Over the years, some mathematical methods have been developed from the process of dynamicization, but the accuracy of these methods, especially in some complicated cases, is not enough, so some mixed methods are proposed. In addition, the four -dime"&amp;"nsional (or latency) earthquake survey may also include seismic information received multiple times during the three -dimensional survey. Unique earthquake pictures obtained in unique examples in the underground area.")</f>
        <v>Auto -salt segments using deep learning technology include the problem of salt sinks in the seismic image data. More specifically, the present invention involves several new deep learning technologies. They are merged into a neural network and ranked 27th in the above competition (1%). The texture of salt sink is quite chaotic, the problem of salt section is complicated, and it is still very important now. The first way to solve this problem is to manually explain the earthquake image by Earth Physics experts. Over the years, some mathematical methods have been developed from the process of dynamicization, but the accuracy of these methods, especially in some complicated cases, is not enough, so some mixed methods are proposed. In addition, the four -dimensional (or latency) earthquake survey may also include seismic information received multiple times during the three -dimensional survey. Unique earthquake pictures obtained in unique examples in the underground area.</v>
      </c>
      <c r="D1602" s="6" t="s">
        <v>4628</v>
      </c>
      <c r="E1602" s="4" t="str">
        <f ca="1">IFERROR(__xludf.DUMMYFUNCTION("GOOGLETRANSLATE(D1602,""auto"",""en"")"),"Automatic salt segmentation of deep learning technology")</f>
        <v>Automatic salt segmentation of deep learning technology</v>
      </c>
    </row>
    <row r="1603" spans="1:5" ht="15" x14ac:dyDescent="0.25">
      <c r="A1603" s="5" t="s">
        <v>4629</v>
      </c>
      <c r="B1603" s="6" t="s">
        <v>4630</v>
      </c>
      <c r="C1603" s="3" t="str">
        <f ca="1">IFERROR(__xludf.DUMMYFUNCTION("GOOGLETRANSLATE(B1603,""auto"",""en"")"),"1. Design product name: Display screen panel with basketball rod training and test graphic user interface.
 2. Design products in appearance: used for running procedures and display.
 3. Design of the design of the product in this exterior: lies in th"&amp;"e graphic user interface content displayed by the display screen.
 4. Pictures or photos that can most indicate design points: main view.
 5. The purpose of the graphical user interface: for human -machine interaction and the function of the screen pa"&amp;"nel, and can be used to display information, display pictures, videos, reports to display basketball rod training or testing , Reading comparison, performance list, group data, personal data, classroom reports, grade standards, student leave, and real -ti"&amp;"me data for overall training.
 6. Human -computer interaction method of graphical user interface: You can dynamically load the subsequent graphical user interface or run the application by rolling the graphical user interface or lightning the icon in th"&amp;"e graphical user interface.
 7. Change status of graphic user interface explanation: The main view shows the ""Current Test"" page, shows real -time and time -time information of student testing, click the ""Start Test"" button to start the test; Studen"&amp;"ts take a position during testing; after the test is completed, the interface jumps to the change state. Jump to the change state Figure 3 to display the comprehensive data display of the student testing; click the ""Directory 1"" button on the right navi"&amp;"gation bar, the interface jump to the change state Figure 4, display the ""teaching guidance"" page, play teaching guidance video, you can be at this time. Page Learn the related knowledge of the basketball winding pole project and warm -up related knowle"&amp;"dge; click the ""Directory 3"" button of the navigation bar, the interface jumps to the change state Figure 5 to show ""performance comparison"", including the comparison of personal results and the comparison of the two performances; click the navigation"&amp;" bar ""Directory 4"" button, the interface jumps to the change state diagram, 6, display the ""performance list"", all students' performance details; click the navigation bar ""Catalog 5"" button, the interface jumps to the change state Figure 7, display "&amp;"the ""group data"" , Test the intensity of the group testing of each group; click the ""Directory 6"" button for the navigation bar, the interface jumps to the change state Figure 8 to display ""personal data"", all students' performance pictures, videos,"&amp;" and reports; click the navigation bar ""Directory 7"" The button, the interface jump to the change state figure 9, display the ""classroom report"", display the comprehensive data of the student test; click the ""Directory 8"" button of the navigation ba"&amp;"r, the interface jump to the change state Figure 10, display the ""performance standard"", you can view the currently view the current Result standards; click the ""Catalog 9"" button for the navigation bar, jump to the change state Figure 11 to display "&amp;"""student leave"", and students who ask leave in the classroom report data.
 8. The display screen panel and graphic user interface can be applied to various electronic devices with display screen panels, such as mobile phones, computers, tablets, porta"&amp;"ble computers, desktop computers, TVs; display screen panels are commonly designed, so other views are omitted. Essence")</f>
        <v>1. Design product name: Display screen panel with basketball rod training and test graphic user interface.
 2. Design products in appearance: used for running procedures and display.
 3. Design of the design of the product in this exterior: lies in the graphic user interface content displayed by the display screen.
 4. Pictures or photos that can most indicate design points: main view.
 5. The purpose of the graphical user interface: for human -machine interaction and the function of the screen panel, and can be used to display information, display pictures, videos, reports to display basketball rod training or testing , Reading comparison, performance list, group data, personal data, classroom reports, grade standards, student leave, and real -time data for overall training.
 6. Human -computer interaction method of graphical user interface: You can dynamically load the subsequent graphical user interface or run the application by rolling the graphical user interface or lightning the icon in the graphical user interface.
 7. Change status of graphic user interface explanation: The main view shows the "Current Test" page, shows real -time and time -time information of student testing, click the "Start Test" button to start the test; Students take a position during testing; after the test is completed, the interface jumps to the change state. Jump to the change state Figure 3 to display the comprehensive data display of the student testing; click the "Directory 1" button on the right navigation bar, the interface jump to the change state Figure 4, display the "teaching guidance" page, play teaching guidance video, you can be at this time. Page Learn the related knowledge of the basketball winding pole project and warm -up related knowledge; click the "Directory 3" button of the navigation bar, the interface jumps to the change state Figure 5 to show "performance comparison", including the comparison of personal results and the comparison of the two performances; click the navigation bar "Directory 4" button, the interface jumps to the change state diagram, 6, display the "performance list", all students' performance details; click the navigation bar "Catalog 5" button, the interface jumps to the change state Figure 7, display the "group data" , Test the intensity of the group testing of each group; click the "Directory 6" button for the navigation bar, the interface jumps to the change state Figure 8 to display "personal data", all students' performance pictures, videos, and reports; click the navigation bar "Directory 7" The button, the interface jump to the change state figure 9, display the "classroom report", display the comprehensive data of the student test; click the "Directory 8" button of the navigation bar, the interface jump to the change state Figure 10, display the "performance standard", you can view the currently view the current Result standards; click the "Catalog 9" button for the navigation bar, jump to the change state Figure 11 to display "student leave", and students who ask leave in the classroom report data.
 8. The display screen panel and graphic user interface can be applied to various electronic devices with display screen panels, such as mobile phones, computers, tablets, portable computers, desktop computers, TVs; display screen panels are commonly designed, so other views are omitted. Essence</v>
      </c>
      <c r="D1603" s="6" t="s">
        <v>4631</v>
      </c>
      <c r="E1603" s="4" t="str">
        <f ca="1">IFERROR(__xludf.DUMMYFUNCTION("GOOGLETRANSLATE(D1603,""auto"",""en"")"),"Display screen panel with basketball rod training and test graphic user interface")</f>
        <v>Display screen panel with basketball rod training and test graphic user interface</v>
      </c>
    </row>
    <row r="1604" spans="1:5" ht="15" x14ac:dyDescent="0.25">
      <c r="A1604" s="5" t="s">
        <v>4632</v>
      </c>
      <c r="B1604" s="6" t="s">
        <v>4633</v>
      </c>
      <c r="C1604" s="3" t="str">
        <f ca="1">IFERROR(__xludf.DUMMYFUNCTION("GOOGLETRANSLATE(B1604,""auto"",""en"")"),"A language learning platform, including user interface and voice recognition engine. Video storage and uploading multiple interactive videos to help language learners learn non -mother tongue. Each interactive video includes multiple challenges that will "&amp;"be performed by language learners, where the voice recognition engine determines whether the language learner has successfully executed at least one challenge. Counseling tools provide language learners with access to one or more lectures, one or more gro"&amp;"up meetings or personalized counseling to help language learners learn non -mother tongue. Counseling tools use one or more counselors/coaches to interact with language learners to learn non -mother tongue, and one or more counselors/coaches use voice rec"&amp;"ognition tools to provide real -time assessment of language learners.")</f>
        <v>A language learning platform, including user interface and voice recognition engine. Video storage and uploading multiple interactive videos to help language learners learn non -mother tongue. Each interactive video includes multiple challenges that will be performed by language learners, where the voice recognition engine determines whether the language learner has successfully executed at least one challenge. Counseling tools provide language learners with access to one or more lectures, one or more group meetings or personalized counseling to help language learners learn non -mother tongue. Counseling tools use one or more counselors/coaches to interact with language learners to learn non -mother tongue, and one or more counselors/coaches use voice recognition tools to provide real -time assessment of language learners.</v>
      </c>
      <c r="D1604" s="6" t="s">
        <v>4634</v>
      </c>
      <c r="E1604" s="4" t="str">
        <f ca="1">IFERROR(__xludf.DUMMYFUNCTION("GOOGLETRANSLATE(D1604,""auto"",""en"")"),"A system and method of an interactive language learning platform")</f>
        <v>A system and method of an interactive language learning platform</v>
      </c>
    </row>
    <row r="1605" spans="1:5" ht="15" x14ac:dyDescent="0.25">
      <c r="A1605" s="5" t="s">
        <v>4635</v>
      </c>
      <c r="B1605" s="6" t="s">
        <v>4636</v>
      </c>
      <c r="C1605" s="3" t="str">
        <f ca="1">IFERROR(__xludf.DUMMYFUNCTION("GOOGLETRANSLATE(B1605,""auto"",""en"")"),"A language learning platform, including user interface and voice recognition engine. Video storage and upload multiple interactive videos to help language learners learn non -mother tongue. Each interactive video includes multiple challenges that will be "&amp;"performed by language learners, where the voice recognition engine determines whether the language learner has successfully executed at least one challenge. Counseling tools provide language learners with one or more lectures, one or more group meetings o"&amp;"r personalized counseling to help language learners learn non -mother tongue. Counseling tools use one or more counselors/coaches to interact with language learners to learn non -mother tongue, and one or more counselors/coaches use voice recognition tool"&amp;"s to evaluate the progress of language learners in real time.")</f>
        <v>A language learning platform, including user interface and voice recognition engine. Video storage and upload multiple interactive videos to help language learners learn non -mother tongue. Each interactive video includes multiple challenges that will be performed by language learners, where the voice recognition engine determines whether the language learner has successfully executed at least one challenge. Counseling tools provide language learners with one or more lectures, one or more group meetings or personalized counseling to help language learners learn non -mother tongue. Counseling tools use one or more counselors/coaches to interact with language learners to learn non -mother tongue, and one or more counselors/coaches use voice recognition tools to evaluate the progress of language learners in real time.</v>
      </c>
      <c r="D1605" s="6" t="s">
        <v>4634</v>
      </c>
      <c r="E1605" s="4" t="str">
        <f ca="1">IFERROR(__xludf.DUMMYFUNCTION("GOOGLETRANSLATE(D1605,""auto"",""en"")"),"A system and method of an interactive language learning platform")</f>
        <v>A system and method of an interactive language learning platform</v>
      </c>
    </row>
    <row r="1606" spans="1:5" ht="15" x14ac:dyDescent="0.25">
      <c r="A1606" s="5" t="s">
        <v>4637</v>
      </c>
      <c r="B1606" s="6" t="s">
        <v>4247</v>
      </c>
      <c r="C1606" s="3" t="str">
        <f ca="1">IFERROR(__xludf.DUMMYFUNCTION("GOOGLETRANSLATE(B1606,""auto"",""en"")"),"A system and method to predict the status of the competition through a machine learning platform. This system and methods include multimedia contents from the real -time data feed by the machine learning platform. The current matching status data correspo"&amp;"nding to the multimedia content by the machine learning platform, and the abnormal multimedia content and current matching status of the receiving by the machine learning platform predict The analysis of data is in multimedia content. The system and metho"&amp;"d may include the confidence scores that generate the possibility of abnormalities in multimedia content in the machine learning platform, and to solve the abnormalities by machine learning platform based on confidential scores. Solving abnormalities incl"&amp;"ude part of the multimedia content containing abnormal multimedia content, ignoring abnormalities, or correcting abnormalities.")</f>
        <v>A system and method to predict the status of the competition through a machine learning platform. This system and methods include multimedia contents from the real -time data feed by the machine learning platform. The current matching status data corresponding to the multimedia content by the machine learning platform, and the abnormal multimedia content and current matching status of the receiving by the machine learning platform predict The analysis of data is in multimedia content. The system and method may include the confidence scores that generate the possibility of abnormalities in multimedia content in the machine learning platform, and to solve the abnormalities by machine learning platform based on confidential scores. Solving abnormalities include part of the multimedia content containing abnormal multimedia content, ignoring abnormalities, or correcting abnormalities.</v>
      </c>
      <c r="D1606" s="6" t="s">
        <v>4248</v>
      </c>
      <c r="E1606" s="4" t="str">
        <f ca="1">IFERROR(__xludf.DUMMYFUNCTION("GOOGLETRANSLATE(D1606,""auto"",""en"")"),"Methods and systems used to match the status of self -corrections")</f>
        <v>Methods and systems used to match the status of self -corrections</v>
      </c>
    </row>
    <row r="1607" spans="1:5" ht="15" x14ac:dyDescent="0.25">
      <c r="A1607" s="5" t="s">
        <v>4638</v>
      </c>
      <c r="B1607" s="6" t="s">
        <v>4639</v>
      </c>
      <c r="C1607" s="3" t="str">
        <f ca="1">IFERROR(__xludf.DUMMYFUNCTION("GOOGLETRANSLATE(B1607,""auto"",""en"")"),"In today's world, whether it is day or night, women feel unsafe to travel alone. Today, women are attacked by men regardless of age. Women are facing various problems, including robbery/theft,*, obscenity, teasing, and various other difficulties. The only"&amp;" idea that plagues each girl is that even in scrapecular time, they can walk freely on the street without having to worry about their safety. This project pays attention to women's safety so that they will never feel helpless. The system consists of vario"&amp;"us modules such as GSM, GPS, memory card, vibration circuit, bee twiser, camera, ESP 32 module and other modules. There are many cases about women today. It is time for women to change. The project is based on women's protection. This article introduces a"&amp;" safe electronic jacket for women. In today's public transportation such as cars, buses and automatic human vehicles, women are harassed, abducted and harassed by drivers. There are special influences of women in each field, such as sports, dance, educati"&amp;"on, business, and politics. Women are in a leading position in various fields. Is the Indian girl really safe? We always get the answer. Therefore, the implementation of the electronic system is installed in a jacket, including GPS, GSM, camera, impact ci"&amp;"rcuit, bee, memory card, vibration sensor, and they are connected to the ESP 32 -board interface. The device uses the Global Positioning System (GPS) to help women in danger easily locate. It also uses a global mobile communication system (GSM) to send me"&amp;"ssages and calls to remind them of their respective emergency contacts, which have been stored in microcontrollers. Therefore, when any woman traveling out is unsafe about the surrounding environment, the equipment will come in handy.")</f>
        <v>In today's world, whether it is day or night, women feel unsafe to travel alone. Today, women are attacked by men regardless of age. Women are facing various problems, including robbery/theft,*, obscenity, teasing, and various other difficulties. The only idea that plagues each girl is that even in scrapecular time, they can walk freely on the street without having to worry about their safety. This project pays attention to women's safety so that they will never feel helpless. The system consists of various modules such as GSM, GPS, memory card, vibration circuit, bee twiser, camera, ESP 32 module and other modules. There are many cases about women today. It is time for women to change. The project is based on women's protection. This article introduces a safe electronic jacket for women. In today's public transportation such as cars, buses and automatic human vehicles, women are harassed, abducted and harassed by drivers. There are special influences of women in each field, such as sports, dance, education, business, and politics. Women are in a leading position in various fields. Is the Indian girl really safe? We always get the answer. Therefore, the implementation of the electronic system is installed in a jacket, including GPS, GSM, camera, impact circuit, bee, memory card, vibration sensor, and they are connected to the ESP 32 -board interface. The device uses the Global Positioning System (GPS) to help women in danger easily locate. It also uses a global mobile communication system (GSM) to send messages and calls to remind them of their respective emergency contacts, which have been stored in microcontrollers. Therefore, when any woman traveling out is unsafe about the surrounding environment, the equipment will come in handy.</v>
      </c>
      <c r="D1607" s="6" t="s">
        <v>4640</v>
      </c>
      <c r="E1607" s="4" t="str">
        <f ca="1">IFERROR(__xludf.DUMMYFUNCTION("GOOGLETRANSLATE(D1607,""auto"",""en"")"),"Use the Internet of Things to implement women's safe electronic jackets")</f>
        <v>Use the Internet of Things to implement women's safe electronic jackets</v>
      </c>
    </row>
    <row r="1608" spans="1:5" ht="15" x14ac:dyDescent="0.25">
      <c r="A1608" s="5" t="s">
        <v>4641</v>
      </c>
      <c r="B1608" s="6" t="s">
        <v>4642</v>
      </c>
      <c r="C1608" s="3" t="str">
        <f ca="1">IFERROR(__xludf.DUMMYFUNCTION("GOOGLETRANSLATE(B1608,""auto"",""en"")"),"1. The name of the product designed this product: increase the web window graphics user interface of the display screen panel.
 2. Design products in this exterior: for running programs and display information.
 3. Design of the design of the product "&amp;"in this exterior: lies in the interface content of the graphic user interface in the screen.
 4. Pictures or photos that can best show design: Design 1 main view.
 5. There are no main points of design after each design view, left view, right view, do"&amp;"wnward view, and viewing map, omitting the design of each design, left view, right view, downward view, and upper view.
 6. Specify design 1 is the basic design.
 7. The purpose of the graphical user interface: It is used to add web windows to the sam"&amp;"e interface and the graphical user interface that adjusts the location of the window and the size of the window.
 8. Human -computer interaction method of graphical user interface: Design 1 movement of the cursor and click.
 Design 2 ray movement and "&amp;"click.
 9. Change status of graphical user interface explanation: When the user clicks the webpage adding button in the bottom view of each design main view, enter the interface change state chart; the web page adding button in each design interface cha"&amp;"nges to the newly -built web window, Users can drag and drag the new web window and adjust the size of the window.
 10. The display screen panel and graphic user interface are used in computers, laptops, tablets, mobile phones, smart phones, smart glass"&amp;"es, virtual reality glasses, enhanced reality glasses, hybrid glasses, watches, smart watches, fitness monitor, head head, header head Wear headphones, smart speakers, television, set -top boxes.")</f>
        <v>1. The name of the product designed this product: increase the web window graphics user interface of the display screen panel.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It is used to add web windows to the same interface and the graphical user interface that adjusts the location of the window and the size of the window.
 8. Human -computer interaction method of graphical user interface: Design 1 movement of the cursor and click.
 Design 2 ray movement and click.
 9. Change status of graphical user interface explanation: When the user clicks the webpage adding button in the bottom view of each design main view, enter the interface change state chart; the web page adding button in each design interface changes to the newly -built web window, Users can drag and drag the new web window and adjust the size of the window.
 10. The display screen panel and graphic user interface are used in computers, laptops, tablets, mobile phones, smart phones, smart glasses, virtual reality glasses, enhanced reality glasses, hybrid glasses, watches, smart watches, fitness monitor, head head, header head Wear headphones, smart speakers, television, set -top boxes.</v>
      </c>
      <c r="D1608" s="6" t="s">
        <v>4643</v>
      </c>
      <c r="E1608" s="4" t="str">
        <f ca="1">IFERROR(__xludf.DUMMYFUNCTION("GOOGLETRANSLATE(D1608,""auto"",""en"")"),"Increase the web window graphical user interface of the display screen panel")</f>
        <v>Increase the web window graphical user interface of the display screen panel</v>
      </c>
    </row>
    <row r="1609" spans="1:5" ht="15" x14ac:dyDescent="0.25">
      <c r="A1609" s="5" t="s">
        <v>4644</v>
      </c>
      <c r="B1609" s="6" t="s">
        <v>4645</v>
      </c>
      <c r="C1609" s="3" t="str">
        <f ca="1">IFERROR(__xludf.DUMMYFUNCTION("GOOGLETRANSLATE(B1609,""auto"",""en"")"),"1. The name of the product of the design of the product: The web name of the display screen panel search graphic user interface.
 2. Design products in this exterior: for running programs and display information.
 3. Design of the design of the produc"&amp;"t in this exterior: lies in the interface content of the graphic user interface in the screen.
 4. Pictures or photos that can best show design: Design 1 main view.
 5. There are no main points of design after each design view, left view, right view, "&amp;"downward view, and viewing map, omitting the design of each design, left view, right view, downward view, and upper view.
 6. Specify design 1 is the basic design.
 7. The purpose of the graphical user interface: The graphic user interface for searchi"&amp;"ng the search operation after clicking the web address.
 8. Human -computer interaction methods of graphical user interface: movement of cursor, ray, click and click the controller.
 9. Change state description of graphic user interface: In each desig"&amp;"n, when the user moves the cursor or ray in the main view to the webpage name area of ​​the webpage in the interface, enter the interface change state. Search box area; click the interface change state Figure 1 The search box area enters the interface cha"&amp;"nge state Figure 2, in the interface change state Figure 2, the input URL is prompted, and then click the determined button on the control handle to enter the interface change state. The interface change state Figure 3 shows the webpage of the input URL.
"&amp;" 
 10. The display screen panel and graphic user interface are used in computers, laptops, tablets, mobile phones, smart phones, smart glasses, virtual reality glasses, enhanced reality glasses, hybrid glasses, watches, smart watches, fitness monitor, hea"&amp;"d head, header head Wear headphones, smart speakers, television, set -top boxes.")</f>
        <v>1. The name of the product of the design of the product: The web name of the display screen panel search graphic user interface.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 user interface for searching the search operation after clicking the web address.
 8. Human -computer interaction methods of graphical user interface: movement of cursor, ray, click and click the controller.
 9. Change state description of graphic user interface: In each design, when the user moves the cursor or ray in the main view to the webpage name area of ​​the webpage in the interface, enter the interface change state. Search box area; click the interface change state Figure 1 The search box area enters the interface change state Figure 2, in the interface change state Figure 2, the input URL is prompted, and then click the determined button on the control handle to enter the interface change state. The interface change state Figure 3 shows the webpage of the input URL.
 10. The display screen panel and graphic user interface are used in computers, laptops, tablets, mobile phones, smart phones, smart glasses, virtual reality glasses, enhanced reality glasses, hybrid glasses, watches, smart watches, fitness monitor, head head, header head Wear headphones, smart speakers, television, set -top boxes.</v>
      </c>
      <c r="D1609" s="6" t="s">
        <v>4646</v>
      </c>
      <c r="E1609" s="4" t="str">
        <f ca="1">IFERROR(__xludf.DUMMYFUNCTION("GOOGLETRANSLATE(D1609,""auto"",""en"")"),"The webpage name of the display screen panel search graphic user interface")</f>
        <v>The webpage name of the display screen panel search graphic user interface</v>
      </c>
    </row>
    <row r="1610" spans="1:5" ht="15" x14ac:dyDescent="0.25">
      <c r="A1610" s="5" t="s">
        <v>4647</v>
      </c>
      <c r="B1610" s="6" t="s">
        <v>4648</v>
      </c>
      <c r="C1610" s="3" t="str">
        <f ca="1">IFERROR(__xludf.DUMMYFUNCTION("GOOGLETRANSLATE(B1610,""auto"",""en"")"),"1. Design product name: Web search operation graphic user interface on the display screen panel.
 2. Design products in this exterior: for running programs and display information.
 3. Design of the design of the product in this exterior: lies in the "&amp;"interface content of the graphic user interface in the screen.
 4. Pictures or photos that can most indicate design points: main view.
 5. Rear view, left view, right view, downward view, and the main point of viewing the viewing map, omittime view, l"&amp;"eft view, right view, pult view, upper view.
 6. The purpose of the graphical user interface: For web search, the graphic user interface appears new page operation after searching.
 7. Human -computer interaction method of graphical user interface: th"&amp;"e movement of rays, clicking and clicking the controller.
 8. Change status of graphical user interface explanation: When the user moves the rays in the main view to the search box in the interface, enter the interface change state Figure 1; Status Figu"&amp;"re 2; Enter the interface change state change state in the search box in the interface change state. The interface changes state Figure 4; the interface change state Figure 5 is the interface that continues to turn upwards by the new web page displayed;
 "&amp;"
 9. The display screen panel and graphic user interface are used in computers, laptops, tablets, mobile phones, smart phones, smart glasses, virtual reality glasses, enhanced reality glasses, hybrid glasses, watches, smart watches, fitness monitor, head "&amp;"head, head head Wear headphones, smart speakers, television, set -top boxes.")</f>
        <v>1. Design product name: Web search operation graphic user interface on the display screen panel.
 2. Design products in this exterior: for running programs and display information.
 3. Design of the design of the product in this exterior: lies in the interface content of the graphic user interface in the screen.
 4. Pictures or photos that can most indicate design points: main view.
 5. Rear view, left view, right view, downward view, and the main point of viewing the viewing map, omittime view, left view, right view, pult view, upper view.
 6. The purpose of the graphical user interface: For web search, the graphic user interface appears new page operation after searching.
 7. Human -computer interaction method of graphical user interface: the movement of rays, clicking and clicking the controller.
 8. Change status of graphical user interface explanation: When the user moves the rays in the main view to the search box in the interface, enter the interface change state Figure 1; Status Figure 2; Enter the interface change state change state in the search box in the interface change state. The interface changes state Figure 4; the interface change state Figure 5 is the interface that continues to turn upwards by the new web page displayed;
 9. The display screen panel and graphic user interface are used in computers, laptops, tablets, mobile phones, smart phones, smart glasses, virtual reality glasses, enhanced reality glasses, hybrid glasses, watches, smart watches, fitness monitor, head head, head head Wear headphones, smart speakers, television, set -top boxes.</v>
      </c>
      <c r="D1610" s="6" t="s">
        <v>4649</v>
      </c>
      <c r="E1610" s="4" t="str">
        <f ca="1">IFERROR(__xludf.DUMMYFUNCTION("GOOGLETRANSLATE(D1610,""auto"",""en"")"),"Web search operation graphical user interface of display screen panel")</f>
        <v>Web search operation graphical user interface of display screen panel</v>
      </c>
    </row>
    <row r="1611" spans="1:5" ht="15" x14ac:dyDescent="0.25">
      <c r="A1611" s="5" t="s">
        <v>4650</v>
      </c>
      <c r="B1611" s="6" t="s">
        <v>4651</v>
      </c>
      <c r="C1611" s="3" t="str">
        <f ca="1">IFERROR(__xludf.DUMMYFUNCTION("GOOGLETRANSLATE(B1611,""auto"",""en"")"),"1. Design product name: Save the web icon graphical user interface of the display screen panel.
 2. The purpose of designing products in this exterior: used to display graphic user interface.
 3. Design of the design of the product in this exterior: l"&amp;"ies in the interface content of the graphic user interface in the screen.
 4. Pictures or photos that can most indicate design points: main view.
 5. Rear view, left view, right view, downward view, and the main point of viewing the viewing map, omitt"&amp;"ime view, left view, right view, pult view, upper view.
 6. The purpose of the graphical user interface: used to collect web pages as a graphical user interface as a web icon.
 7. Human -computer interaction method of graphical user interface: the mov"&amp;"ement and click of the rays.
 8. Change status of the graphical user interface explanation: When the user moves the rays in the main view to the web icon area of ​​the webpage, enter the interface change state Figure 1; Web collection operation area; cl"&amp;"ick the collection button of the webbage collection operation area to enter the interface changes when you enter the interface change state Figure 2; move the rays to the closing button to enter the interface change state Figure 3; click the closure butto"&amp;"n to enter the interface change state figure 4; Show saved web icon.
 9. The display screen panel and graphic user interface are applied to electronic devices, that is, computers, laptops, tablets, mobile phones, smartphones, smart glasses, virtual real"&amp;"ity glasses, augmented reality glasses, hybrid reality glasses, watches, smart watches, fitness, fitness Monitor, headset headset, personal digital assistant, smart speakers, TV, set -top box.")</f>
        <v>1. Design product name: Save the web icon graphical user interface of the display screen panel.
 2. The purpose of designing products in this exterior: used to display graphic user interface.
 3. Design of the design of the product in this exterior: lies in the interface content of the graphic user interface in the screen.
 4. Pictures or photos that can most indicate design points: main view.
 5. Rear view, left view, right view, downward view, and the main point of viewing the viewing map, omittime view, left view, right view, pult view, upper view.
 6. The purpose of the graphical user interface: used to collect web pages as a graphical user interface as a web icon.
 7. Human -computer interaction method of graphical user interface: the movement and click of the rays.
 8. Change status of the graphical user interface explanation: When the user moves the rays in the main view to the web icon area of ​​the webpage, enter the interface change state Figure 1; Web collection operation area; click the collection button of the webbage collection operation area to enter the interface changes when you enter the interface change state Figure 2; move the rays to the closing button to enter the interface change state Figure 3; click the closure button to enter the interface change state figure 4; Show saved web icon.
 9. The display screen panel and graphic user interface are applied to electronic devices, that is, computers, laptops, tablets, mobile phones, smartphones, smart glasses, virtual reality glasses, augmented reality glasses, hybrid reality glasses, watches, smart watches, fitness, fitness Monitor, headset headset, personal digital assistant, smart speakers, TV, set -top box.</v>
      </c>
      <c r="D1611" s="6" t="s">
        <v>4652</v>
      </c>
      <c r="E1611" s="4" t="str">
        <f ca="1">IFERROR(__xludf.DUMMYFUNCTION("GOOGLETRANSLATE(D1611,""auto"",""en"")"),"Save the webpage icon graphical user interface of the display screen panel")</f>
        <v>Save the webpage icon graphical user interface of the display screen panel</v>
      </c>
    </row>
    <row r="1612" spans="1:5" ht="15" x14ac:dyDescent="0.25">
      <c r="A1612" s="5" t="s">
        <v>4653</v>
      </c>
      <c r="B1612" s="6" t="s">
        <v>4654</v>
      </c>
      <c r="C1612" s="3" t="str">
        <f ca="1">IFERROR(__xludf.DUMMYFUNCTION("GOOGLETRANSLATE(B1612,""auto"",""en"")"),"1. Design product name: Save the web icon graphical user interface of the display screen panel.
 2. The purpose of designing products in this exterior: used to display graphic user interface.
 3. Design of the design of the product in this exterior: l"&amp;"ies in the interface content of the graphic user interface in the screen.
 4. Pictures or photos that can best show design: Design 1 main view.
 5. There are no main points of design after each design view, left view, right view, downward view, and vi"&amp;"ewing map, omitting the design of each design, left view, right view, downward view, and upper view.
 6. Specify design 1 is the basic design.
 7. The purpose of the graphical user interface: It is used for the graphical user interface used as a web p"&amp;"age collection as a web icon.
 8. Human -computer interaction method of graphical user interface: the movement and click of the rays.
 9. Change status of graphics user interface explanation: In design 1, when the user moves the rays in the main view "&amp;"to the interface icon area in the cross -shaped web icon area above the interface, enter the interface change state. The webpage icon area of ​​the top of the top becomes the web collection operation area; when you click on the collection button of the cr"&amp;"ossbar -shaped web collection operation area above the interface, enter the interface change state Figure 2; The closing button in the area enter the interface change state Figure 3; click the closure button to enter the interface change state Figure 4; t"&amp;"he interface change state Figure 4 The saved web icon is displayed.
 In the Design 2, when the user moves the rays in the main view to the interface change state Figure 1 in the interface change state in the interface in the interface; Web collection op"&amp;"eration area; click the collection button of the crossbar -shaped web collection operation area above the interface to enter the interface change state. Figure 2; click the home button on the handle connected to the electronic device electronics to enter "&amp;"the interface change state. The web interface of the collection is displayed at the same time and the home interface of the web icon is preserved.
 10. The display screen panel and graphic user interface are applied to electronic devices, that is, compu"&amp;"ters, laptops, tablets, mobile phones, smartphones, smart glasses, virtual reality glasses, enhanced reality glasses, hybrid glasses, watches, smart watches, fitness, fitness Monitor, headset headset, personal digital assistant, smart speakers, TV, set -t"&amp;"op box.")</f>
        <v>1. Design product name: Save the web icon graphical user interface of the display screen panel.
 2. The purpose of designing products in this exterior: used to display graphic user interface.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It is used for the graphical user interface used as a web page collection as a web icon.
 8. Human -computer interaction method of graphical user interface: the movement and click of the rays.
 9. Change status of graphics user interface explanation: In design 1, when the user moves the rays in the main view to the interface icon area in the cross -shaped web icon area above the interface, enter the interface change state. The webpage icon area of ​​the top of the top becomes the web collection operation area; when you click on the collection button of the crossbar -shaped web collection operation area above the interface, enter the interface change state Figure 2; The closing button in the area enter the interface change state Figure 3; click the closure button to enter the interface change state Figure 4; the interface change state Figure 4 The saved web icon is displayed.
 In the Design 2, when the user moves the rays in the main view to the interface change state Figure 1 in the interface change state in the interface in the interface; Web collection operation area; click the collection button of the crossbar -shaped web collection operation area above the interface to enter the interface change state. Figure 2; click the home button on the handle connected to the electronic device electronics to enter the interface change state. The web interface of the collection is displayed at the same time and the home interface of the web icon is preserved.
 10. The display screen panel and graphic user interface are applied to electronic devices, that is, computers, laptops, tablets, mobile phones, smartphones, smart glasses, virtual reality glasses, enhanced reality glasses, hybrid glasses, watches, smart watches, fitness, fitness Monitor, headset headset, personal digital assistant, smart speakers, TV, set -top box.</v>
      </c>
      <c r="D1612" s="6" t="s">
        <v>4652</v>
      </c>
      <c r="E1612" s="4" t="str">
        <f ca="1">IFERROR(__xludf.DUMMYFUNCTION("GOOGLETRANSLATE(D1612,""auto"",""en"")"),"Save the webpage icon graphical user interface of the display screen panel")</f>
        <v>Save the webpage icon graphical user interface of the display screen panel</v>
      </c>
    </row>
    <row r="1613" spans="1:5" ht="15" x14ac:dyDescent="0.25">
      <c r="A1613" s="5" t="s">
        <v>4655</v>
      </c>
      <c r="B1613" s="6" t="s">
        <v>4656</v>
      </c>
      <c r="C1613" s="3" t="str">
        <f ca="1">IFERROR(__xludf.DUMMYFUNCTION("GOOGLETRANSLATE(B1613,""auto"",""en"")"),"1. Design product name: Switch the screen mode of the display screen panel to switch the graphic user interface.
 2. Design products in this exterior: for running programs and display information.
 3. Design of the design of the product in this exteri"&amp;"or: lies in the interface content of the graphic user interface in the screen.
 4. Pictures or photos that can best show design: Design 1 main view.
 5. There are no main points of design after each design view, left view, right view, downward view, a"&amp;"nd viewing map, omitting the design of each design, left view, right view, downward view, and upper view.
 6. Specify design 1 is the basic design.
 7. The purpose of the graphical user interface: The graphic user interface is used for fast operations"&amp;" for switching screen mode switching.
 8. Human -computer interaction method of graphical user interface: Click the button in each design to switch the screen mode.
 9.该显示屏幕面板及图形用户界面应用于电子设备，即计算机、笔记本电脑、显示装置、通讯设备、平板电脑、手机、智能手机、可穿戴设备、智能眼镜、虚拟现实眼镜、增强现实眼镜、 H"&amp;"ybrid glasses, watches, smart watches, fitness monitors, headphones, smart speakers, TV, and set -top boxes.")</f>
        <v>1. Design product name: Switch the screen mode of the display screen panel to switch the graphic user interface.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 user interface is used for fast operations for switching screen mode switching.
 8. Human -computer interaction method of graphical user interface: Click the button in each design to switch the screen mode.
 9.该显示屏幕面板及图形用户界面应用于电子设备，即计算机、笔记本电脑、显示装置、通讯设备、平板电脑、手机、智能手机、可穿戴设备、智能眼镜、虚拟现实眼镜、增强现实眼镜、 Hybrid glasses, watches, smart watches, fitness monitors, headphones, smart speakers, TV, and set -top boxes.</v>
      </c>
      <c r="D1613" s="6" t="s">
        <v>4657</v>
      </c>
      <c r="E1613" s="4" t="str">
        <f ca="1">IFERROR(__xludf.DUMMYFUNCTION("GOOGLETRANSLATE(D1613,""auto"",""en"")"),"Switching screen mode of display screen panel to switch graphics user interface")</f>
        <v>Switching screen mode of display screen panel to switch graphics user interface</v>
      </c>
    </row>
    <row r="1614" spans="1:5" ht="15" x14ac:dyDescent="0.25">
      <c r="A1614" s="5" t="s">
        <v>4658</v>
      </c>
      <c r="B1614" s="6" t="s">
        <v>4659</v>
      </c>
      <c r="C1614" s="3" t="str">
        <f ca="1">IFERROR(__xludf.DUMMYFUNCTION("GOOGLETRANSLATE(B1614,""auto"",""en"")"),"1. The name of the product of the design of the product: The screen mode of the display screen panel operates the graphic user interface.
 2. Design products in this exterior: for running programs and display information.
 3. Design of the design of t"&amp;"he product in this exterior: lies in the interface content of the graphic user interface in the screen.
 4. Pictures or photos that can best show design: Design 1 main view.
 5. There are no main points of design after each design view, left view, rig"&amp;"ht view, downward view, and viewing map, omitting the design of each design, left view, right view, downward view, and upper view.
 6. Specify design 1 is the basic design.
 7. The purpose of the graphical user interface: The graphic user interface is"&amp;" used for the operation of the screen mode.
 8. Human -computer interaction methods of graphics user interface: Design 1. Design 2. Design 3 can slide left and right for operation.
 Design 4. Design 5. Design 6 can slide left and right and click to op"&amp;"erate.
 Design 7. Design 8. Design 9 can slide left and right and click to operate.
 9. The change of the graphic user interface explanation: Design 7, Design 8, Design 9 The main view of the interface after connecting to other devices enter the inter"&amp;"face change state diagram.
 10.该显示屏幕面板及图形用户界面应用于电子设备，即计算机、笔记本电脑、显示装置、通讯设备、平板电脑、手机、智能手机、可穿戴设备、智能眼镜、虚拟现实眼镜、增强现实眼镜、 Hybrid glasses, watches, smart watches, fitness monitors, headphones, smart speakers, TV, and set -top boxes.")</f>
        <v>1. The name of the product of the design of the product: The screen mode of the display screen panel operates the graphic user interface.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 user interface is used for the operation of the screen mode.
 8. Human -computer interaction methods of graphics user interface: Design 1. Design 2. Design 3 can slide left and right for operation.
 Design 4. Design 5. Design 6 can slide left and right and click to operate.
 Design 7. Design 8. Design 9 can slide left and right and click to operate.
 9. The change of the graphic user interface explanation: Design 7, Design 8, Design 9 The main view of the interface after connecting to other devices enter the interface change state diagram.
 10.该显示屏幕面板及图形用户界面应用于电子设备，即计算机、笔记本电脑、显示装置、通讯设备、平板电脑、手机、智能手机、可穿戴设备、智能眼镜、虚拟现实眼镜、增强现实眼镜、 Hybrid glasses, watches, smart watches, fitness monitors, headphones, smart speakers, TV, and set -top boxes.</v>
      </c>
      <c r="D1614" s="6" t="s">
        <v>4660</v>
      </c>
      <c r="E1614" s="4" t="str">
        <f ca="1">IFERROR(__xludf.DUMMYFUNCTION("GOOGLETRANSLATE(D1614,""auto"",""en"")"),"The screen mode of the display screen panel operates the graphical user interface")</f>
        <v>The screen mode of the display screen panel operates the graphical user interface</v>
      </c>
    </row>
    <row r="1615" spans="1:5" ht="15" x14ac:dyDescent="0.25">
      <c r="A1615" s="5" t="s">
        <v>4661</v>
      </c>
      <c r="B1615" s="6" t="s">
        <v>4662</v>
      </c>
      <c r="C1615" s="3" t="str">
        <f ca="1">IFERROR(__xludf.DUMMYFUNCTION("GOOGLETRANSLATE(B1615,""auto"",""en"")"),"The present invention disclose a method and device based on dual -mode deep network detection and semantic labeling, including: decoding the input sports videos to obtain audio data streams and image data streams. For audio data streams, first perform aud"&amp;"io scores. Frame processing, and then use deep neural network models to extract audio features; for image data streams, perform lens boundary detection, analyze the conversion mode according to the lens type, determine the border of interest in interest, "&amp;"and use the deep neural network to extract interesting events visual characteristics; Classify audio characteristics and visual characteristics, and obtain the results of interesting events and semantic marking results. The method of the present invention"&amp;" uses audio and video dual -model signs and deep neural network models to effectively determine the borders of the event in sports videos, and classify and identify event semantics to lay a solid foundation for content -based sports video abstracts and re"&amp;"trieval.")</f>
        <v>The present invention disclose a method and device based on dual -mode deep network detection and semantic labeling, including: decoding the input sports videos to obtain audio data streams and image data streams. For audio data streams, first perform audio scores. Frame processing, and then use deep neural network models to extract audio features; for image data streams, perform lens boundary detection, analyze the conversion mode according to the lens type, determine the border of interest in interest, and use the deep neural network to extract interesting events visual characteristics; Classify audio characteristics and visual characteristics, and obtain the results of interesting events and semantic marking results. The method of the present invention uses audio and video dual -model signs and deep neural network models to effectively determine the borders of the event in sports videos, and classify and identify event semantics to lay a solid foundation for content -based sports video abstracts and retrieval.</v>
      </c>
      <c r="D1615" s="6" t="s">
        <v>4663</v>
      </c>
      <c r="E1615" s="4" t="str">
        <f ca="1">IFERROR(__xludf.DUMMYFUNCTION("GOOGLETRANSLATE(D1615,""auto"",""en"")"),"Video event detection and semantic marking methods and devices based on dual -mode deep networks")</f>
        <v>Video event detection and semantic marking methods and devices based on dual -mode deep networks</v>
      </c>
    </row>
    <row r="1616" spans="1:5" ht="15" x14ac:dyDescent="0.25">
      <c r="A1616" s="5" t="s">
        <v>4664</v>
      </c>
      <c r="B1616" s="6" t="s">
        <v>4665</v>
      </c>
      <c r="C1616" s="3" t="str">
        <f ca="1">IFERROR(__xludf.DUMMYFUNCTION("GOOGLETRANSLATE(B1616,""auto"",""en"")"),"The present invention provides an action sequence verification method, device, storage medium, and terminal, including: obtaining the sequence of the action to verify; the feature extraction of the action sequence of the verification to obtain the corresp"&amp;"onding feature sequence; To obtain the characteristics of the overall sequence, to determine the action category of the action sequence to be verified; compare the characteristic sequence of the characteristic sequence and the characteristic sequence of t"&amp;"he standard action sequence of the verification sequence to determine whether it belongs to the same action sequence. The present invention verifies the action sequence by constructing a new neural network model. At the same time, the overall characterist"&amp;"ics and characteristic sequences of the action sequence are constrained on time, and the accuracy of the action verification is high. Whether people are completing the same action, test the standardized procedures of factories and workshops; scores and sc"&amp;"ores the field of sports and entertainment.")</f>
        <v>The present invention provides an action sequence verification method, device, storage medium, and terminal, including: obtaining the sequence of the action to verify; the feature extraction of the action sequence of the verification to obtain the corresponding feature sequence; To obtain the characteristics of the overall sequence, to determine the action category of the action sequence to be verified; compare the characteristic sequence of the characteristic sequence and the characteristic sequence of the standard action sequence of the verification sequence to determine whether it belongs to the same action sequence. The present invention verifies the action sequence by constructing a new neural network model. At the same time, the overall characteristics and characteristic sequences of the action sequence are constrained on time, and the accuracy of the action verification is high. Whether people are completing the same action, test the standardized procedures of factories and workshops; scores and scores the field of sports and entertainment.</v>
      </c>
      <c r="D1616" s="6" t="s">
        <v>4666</v>
      </c>
      <c r="E1616" s="4" t="str">
        <f ca="1">IFERROR(__xludf.DUMMYFUNCTION("GOOGLETRANSLATE(D1616,""auto"",""en"")"),"An action sequence verification method, device, storage medium and terminal")</f>
        <v>An action sequence verification method, device, storage medium and terminal</v>
      </c>
    </row>
    <row r="1617" spans="1:5" ht="15" x14ac:dyDescent="0.25">
      <c r="A1617" s="5" t="s">
        <v>4667</v>
      </c>
      <c r="B1617" s="6" t="s">
        <v>4668</v>
      </c>
      <c r="C1617" s="3" t="str">
        <f ca="1">IFERROR(__xludf.DUMMYFUNCTION("GOOGLETRANSLATE(B1617,""auto"",""en"")"),"This utility model has disclosed the self -service terminal of agricultural artificial intelligence financial financial financial financial financial, including the body, which is sliding at the top of the body. The left side of the body is fixed with a l"&amp;"eft baffle, which is inlaid in the inlaid of the left baffle with a camera, which is inlaid on both sides of the body. The camera is located above the display. The right side of the body is fixed with a right baffle, which is installed with a honeycomb al"&amp;"arm on the outside of the right baffle. When the light -sensitive resistance detects strong light, the electric push rod is activated to drive the shading plate forward to cover the light; when someone operates the robotic operation, the face recognition "&amp;"camera detects the human face within one meter. remind.")</f>
        <v>This utility model has disclosed the self -service terminal of agricultural artificial intelligence financial financial financial financial financial, including the body, which is sliding at the top of the body. The left side of the body is fixed with a left baffle, which is inlaid in the inlaid of the left baffle with a camera, which is inlaid on both sides of the body. The camera is located above the display. The right side of the body is fixed with a right baffle, which is installed with a honeycomb alarm on the outside of the right baffle. When the light -sensitive resistance detects strong light, the electric push rod is activated to drive the shading plate forward to cover the light; when someone operates the robotic operation, the face recognition camera detects the human face within one meter. remind.</v>
      </c>
      <c r="D1617" s="6" t="s">
        <v>4669</v>
      </c>
      <c r="E1617" s="4" t="str">
        <f ca="1">IFERROR(__xludf.DUMMYFUNCTION("GOOGLETRANSLATE(D1617,""auto"",""en"")"),"Self -service terminals for agricultural artificial intelligence financial financial financial self -help")</f>
        <v>Self -service terminals for agricultural artificial intelligence financial financial financial self -help</v>
      </c>
    </row>
    <row r="1618" spans="1:5" ht="15" x14ac:dyDescent="0.25">
      <c r="A1618" s="5" t="s">
        <v>4670</v>
      </c>
      <c r="B1618" s="6" t="s">
        <v>4671</v>
      </c>
      <c r="C1618" s="3" t="str">
        <f ca="1">IFERROR(__xludf.DUMMYFUNCTION("GOOGLETRANSLATE(B1618,""auto"",""en"")"),"This application provides a fitness plan generation method, device and electronic equipment, which involves the field of fitness technology. Among them, this method includes: obtain and according to the user's physical data, determine the initial populati"&amp;"on type of the user currently belongs, and then enter according to the preset population. Step knowledge map, determine and display the type of advanced crowd corresponding to the initial population type, in response to the user's selection operation, det"&amp;"ermine the advanced crowd selected by the user as the target group, and then determine the user's physical test based on the initial crowd type and target population type. Projects, then obtain the user's physical measurement project corresponding to the "&amp;"physical measurement data and user fitness preferences. Finally, generate training plans based on physical measurement data and fitness preferences. The technical solutions provided by this application can be in -depth understanding of users' physical fit"&amp;"ness and fitness preferences, which can more accurately determine the actual situation of the user, and then generate a fitness plan that can meet the user's personalized needs.")</f>
        <v>This application provides a fitness plan generation method, device and electronic equipment, which involves the field of fitness technology. Among them, this method includes: obtain and according to the user's physical data, determine the initial population type of the user currently belongs, and then enter according to the preset population. Step knowledge map, determine and display the type of advanced crowd corresponding to the initial population type, in response to the user's selection operation, determine the advanced crowd selected by the user as the target group, and then determine the user's physical test based on the initial crowd type and target population type. Projects, then obtain the user's physical measurement project corresponding to the physical measurement data and user fitness preferences. Finally, generate training plans based on physical measurement data and fitness preferences. The technical solutions provided by this application can be in -depth understanding of users' physical fitness and fitness preferences, which can more accurately determine the actual situation of the user, and then generate a fitness plan that can meet the user's personalized needs.</v>
      </c>
      <c r="D1618" s="6" t="s">
        <v>4672</v>
      </c>
      <c r="E1618" s="4" t="str">
        <f ca="1">IFERROR(__xludf.DUMMYFUNCTION("GOOGLETRANSLATE(D1618,""auto"",""en"")"),"Fitness plan generation method, device and electronic equipment")</f>
        <v>Fitness plan generation method, device and electronic equipment</v>
      </c>
    </row>
    <row r="1619" spans="1:5" ht="15" x14ac:dyDescent="0.25">
      <c r="A1619" s="5" t="s">
        <v>4673</v>
      </c>
      <c r="B1619" s="6" t="s">
        <v>518</v>
      </c>
      <c r="C1619" s="3" t="str">
        <f ca="1">IFERROR(__xludf.DUMMYFUNCTION("GOOGLETRANSLATE(B1619,""auto"",""en"")"),"-")</f>
        <v>-</v>
      </c>
      <c r="D1619" s="6" t="s">
        <v>4674</v>
      </c>
      <c r="E1619" s="4" t="str">
        <f ca="1">IFERROR(__xludf.DUMMYFUNCTION("GOOGLETRANSLATE(D1619,""auto"",""en"")"),"For machine learning that violates sports rules and other behaviors")</f>
        <v>For machine learning that violates sports rules and other behaviors</v>
      </c>
    </row>
    <row r="1620" spans="1:5" ht="15" x14ac:dyDescent="0.25">
      <c r="A1620" s="5" t="s">
        <v>4675</v>
      </c>
      <c r="B1620" s="6" t="s">
        <v>4676</v>
      </c>
      <c r="C1620" s="3" t="str">
        <f ca="1">IFERROR(__xludf.DUMMYFUNCTION("GOOGLETRANSLATE(B1620,""auto"",""en"")"),"A smart robot controlled based on the computer IoT, including the base, the base with a quantitative dumping device on the base, the lower side of the quantitative dumping device of the badminton, there are vertical pipes in the lower end of the stereotyp"&amp;"e, the bottom of the vertical tube has a horizontal plate, the lower side of the horizontal plate on the side of the horizontal plate There are the first half of the arc plate, the second half of the arc -shaped plate and the horizontal plate have the sec"&amp;"ond half arc -shaped plate, the second semi -round arc plate is inserted, and there is the first pressure detection department on the inside of the second half of the arc plate On the opposite side of the two semi -half arc -shaped plates, there are arc -"&amp;"shaped grooves, the bottom of the arc -shaped groove has a second pressure detection department, and a badminton category collection device on the lower side of the round arc plate. This device enhances the user's play experience after the detection of ba"&amp;"dminton, enabling users to choose the ball they need. At the same time, the secondary badminton is collected and repaired. Factory testing after badminton production is to screen out products to improve the quality of badminton products.")</f>
        <v>A smart robot controlled based on the computer IoT, including the base, the base with a quantitative dumping device on the base, the lower side of the quantitative dumping device of the badminton, there are vertical pipes in the lower end of the stereotype, the bottom of the vertical tube has a horizontal plate, the lower side of the horizontal plate on the side of the horizontal plate There are the first half of the arc plate, the second half of the arc -shaped plate and the horizontal plate have the second half arc -shaped plate, the second semi -round arc plate is inserted, and there is the first pressure detection department on the inside of the second half of the arc plate On the opposite side of the two semi -half arc -shaped plates, there are arc -shaped grooves, the bottom of the arc -shaped groove has a second pressure detection department, and a badminton category collection device on the lower side of the round arc plate. This device enhances the user's play experience after the detection of badminton, enabling users to choose the ball they need. At the same time, the secondary badminton is collected and repaired. Factory testing after badminton production is to screen out products to improve the quality of badminton products.</v>
      </c>
      <c r="D1620" s="6" t="s">
        <v>4677</v>
      </c>
      <c r="E1620" s="4" t="str">
        <f ca="1">IFERROR(__xludf.DUMMYFUNCTION("GOOGLETRANSLATE(D1620,""auto"",""en"")"),"A smart robot based on computer Internet of Things")</f>
        <v>A smart robot based on computer Internet of Things</v>
      </c>
    </row>
    <row r="1621" spans="1:5" ht="15" x14ac:dyDescent="0.25">
      <c r="A1621" s="5" t="s">
        <v>4678</v>
      </c>
      <c r="B1621" s="6" t="s">
        <v>4679</v>
      </c>
      <c r="C1621" s="3" t="str">
        <f ca="1">IFERROR(__xludf.DUMMYFUNCTION("GOOGLETRANSLATE(B1621,""auto"",""en"")"),"The various embodiments of automatic gait assessment are re -trained by machine learning and digital video data. Use video data to perform at least one machine learning routine to generate the location data of an anatomical sign of human or feet non -huma"&amp;"n objects in a video. Determine the attitude and/or characteristics of position data based on position data for the gait cycle. Determine the best gait cycle of the given body part or step attitude of the subject, and can be adjusted based on at least one"&amp;" over time. To minimize the gait cycle of the subject's gait cycle and the best gait cycle, the specific time point or stage of the gait cycle of the gait cycle is displayed on the display device.")</f>
        <v>The various embodiments of automatic gait assessment are re -trained by machine learning and digital video data. Use video data to perform at least one machine learning routine to generate the location data of an anatomical sign of human or feet non -human objects in a video. Determine the attitude and/or characteristics of position data based on position data for the gait cycle. Determine the best gait cycle of the given body part or step attitude of the subject, and can be adjusted based on at least one over time. To minimize the gait cycle of the subject's gait cycle and the best gait cycle, the specific time point or stage of the gait cycle of the gait cycle is displayed on the display device.</v>
      </c>
      <c r="D1621" s="6" t="s">
        <v>4680</v>
      </c>
      <c r="E1621" s="4" t="str">
        <f ca="1">IFERROR(__xludf.DUMMYFUNCTION("GOOGLETRANSLATE(D1621,""auto"",""en"")"),"Use machine learning and digital video data to re -train automatic gait assessment in running forms")</f>
        <v>Use machine learning and digital video data to re -train automatic gait assessment in running forms</v>
      </c>
    </row>
    <row r="1622" spans="1:5" ht="15" x14ac:dyDescent="0.25">
      <c r="A1622" s="5" t="s">
        <v>4681</v>
      </c>
      <c r="B1622" s="6" t="s">
        <v>4682</v>
      </c>
      <c r="C1622" s="3" t="str">
        <f ca="1">IFERROR(__xludf.DUMMYFUNCTION("GOOGLETRANSLATE(B1622,""auto"",""en"")"),"The present invention discloses a method and device that implements the formalization of automatic programming, including: obtain the scheduling instruction data of the device in the power system; according to the CNN instruction identification algorithm "&amp;"Results The specific operation of identification scheduling instructions; automatic programming is implemented based on the recognition results. The method of modifying the scheduling instruction information based on the convolutional neural network based"&amp;" on feature extraction, build an algorithm model, implement machine recognition for the scheduling instruction, and improve the efficiency of the scheduling operation of the distribution network.")</f>
        <v>The present invention discloses a method and device that implements the formalization of automatic programming, including: obtain the scheduling instruction data of the device in the power system; according to the CNN instruction identification algorithm Results The specific operation of identification scheduling instructions; automatic programming is implemented based on the recognition results. The method of modifying the scheduling instruction information based on the convolutional neural network based on feature extraction, build an algorithm model, implement machine recognition for the scheduling instruction, and improve the efficiency of the scheduling operation of the distribution network.</v>
      </c>
      <c r="D1622" s="6" t="s">
        <v>4683</v>
      </c>
      <c r="E1622" s="4" t="str">
        <f ca="1">IFERROR(__xludf.DUMMYFUNCTION("GOOGLETRANSLATE(D1622,""auto"",""en"")"),"A method and device that implements the formatting of automatic programming")</f>
        <v>A method and device that implements the formatting of automatic programming</v>
      </c>
    </row>
    <row r="1623" spans="1:5" ht="15" x14ac:dyDescent="0.25">
      <c r="A1623" s="5" t="s">
        <v>4684</v>
      </c>
      <c r="B1623" s="6" t="s">
        <v>4685</v>
      </c>
      <c r="C1623" s="3" t="str">
        <f ca="1">IFERROR(__xludf.DUMMYFUNCTION("GOOGLETRANSLATE(B1623,""auto"",""en"")"),"The present invention involves the field of artificial intelligence, providing a method of adjusting the speed of motion based on the Q‑learning algorithm, treadmill and prompt device, which includes the following steps: S1: Based on the establishment of "&amp;"sports exercise information in the first predetermined period period Sports exercise reward matrix, which includes speed and heart rate, the exercise exercise information includes the exercise exercise reward matrix as the training target within the sched"&amp;"ule of the scheduled constant heart rate, and evaluate the degree of the user's physical change effect under the change of the speed of each speed; S2: Based on the exercise exercise reward matrix and the Q‑learning algorithm to form the Q‑Learning matrix"&amp;", the Q‑Learning matrix assess the benefit of the user's physical change under each speed change; S3: adjust the user's movement speed according to the Q‑Learning matrix. Compared with the existing exercise intensity monitoring, it needs to rely on electr"&amp;"onic equipment. The present invention can be separated from wearable electronic devices to effectively save sports exercise equipment costs.")</f>
        <v>The present invention involves the field of artificial intelligence, providing a method of adjusting the speed of motion based on the Q‑learning algorithm, treadmill and prompt device, which includes the following steps: S1: Based on the establishment of sports exercise information in the first predetermined period period Sports exercise reward matrix, which includes speed and heart rate, the exercise exercise information includes the exercise exercise reward matrix as the training target within the schedule of the scheduled constant heart rate, and evaluate the degree of the user's physical change effect under the change of the speed of each speed; S2: Based on the exercise exercise reward matrix and the Q‑learning algorithm to form the Q‑Learning matrix, the Q‑Learning matrix assess the benefit of the user's physical change under each speed change; S3: adjust the user's movement speed according to the Q‑Learning matrix. Compared with the existing exercise intensity monitoring, it needs to rely on electronic equipment. The present invention can be separated from wearable electronic devices to effectively save sports exercise equipment costs.</v>
      </c>
      <c r="D1623" s="6" t="s">
        <v>4686</v>
      </c>
      <c r="E1623" s="4" t="str">
        <f ca="1">IFERROR(__xludf.DUMMYFUNCTION("GOOGLETRANSLATE(D1623,""auto"",""en"")"),"Methods, treadmills and prompt devices based on the q-Learning algorithm")</f>
        <v>Methods, treadmills and prompt devices based on the q-Learning algorithm</v>
      </c>
    </row>
    <row r="1624" spans="1:5" ht="15" x14ac:dyDescent="0.25">
      <c r="A1624" s="5" t="s">
        <v>4687</v>
      </c>
      <c r="B1624" s="6" t="s">
        <v>4688</v>
      </c>
      <c r="C1624" s="3" t="str">
        <f ca="1">IFERROR(__xludf.DUMMYFUNCTION("GOOGLETRANSLATE(B1624,""auto"",""en"")"),"It is used to detect the system and methods of swimmers in aquatic environment in a aquatic environment. In one embodiment, the pool system includes a set of cameras, one of which is an elevated camera located above the water surface of the pool to captur"&amp;"e the image of swimmers. The system also includes computer processors that implement computer vision platforms, such as GPUs, CPUs and game engines. The processor is configured to receive the image from the camera, determine the body location of the swimm"&amp;"er from the image, detect the definition posture of the swimmer's body position, and respond to the defined posture that is detected. The water flow of the pool or update projection to the surface of the inside of the pool is displayed.")</f>
        <v>It is used to detect the system and methods of swimmers in aquatic environment in a aquatic environment. In one embodiment, the pool system includes a set of cameras, one of which is an elevated camera located above the water surface of the pool to capture the image of swimmers. The system also includes computer processors that implement computer vision platforms, such as GPUs, CPUs and game engines. The processor is configured to receive the image from the camera, determine the body location of the swimmer from the image, detect the definition posture of the swimmer's body position, and respond to the defined posture that is detected. The water flow of the pool or update projection to the surface of the inside of the pool is displayed.</v>
      </c>
      <c r="D1624" s="6" t="s">
        <v>4689</v>
      </c>
      <c r="E1624" s="4" t="str">
        <f ca="1">IFERROR(__xludf.DUMMYFUNCTION("GOOGLETRANSLATE(D1624,""auto"",""en"")"),"Systems and methods for gesture detection and control in immersive and interactive water sink swimming pools")</f>
        <v>Systems and methods for gesture detection and control in immersive and interactive water sink swimming pools</v>
      </c>
    </row>
    <row r="1625" spans="1:5" ht="15" x14ac:dyDescent="0.25">
      <c r="A1625" s="5" t="s">
        <v>4690</v>
      </c>
      <c r="B1625" s="6" t="s">
        <v>4688</v>
      </c>
      <c r="C1625" s="3" t="str">
        <f ca="1">IFERROR(__xludf.DUMMYFUNCTION("GOOGLETRANSLATE(B1625,""auto"",""en"")"),"It is used to detect the system and methods of swimmers in aquatic environment in a aquatic environment. In one embodiment, the pool system includes a set of cameras, one of which is an elevated camera located above the water surface of the pool to captur"&amp;"e the image of swimmers. The system also includes computer processors that implement computer vision platforms, such as GPUs, CPUs and game engines. The processor is configured to receive the image from the camera, determine the body location of the swimm"&amp;"er from the image, detect the definition posture of the swimmer's body position, and respond to the defined posture that is detected. The water flow of the pool or update projection to the surface of the inside of the pool is displayed.")</f>
        <v>It is used to detect the system and methods of swimmers in aquatic environment in a aquatic environment. In one embodiment, the pool system includes a set of cameras, one of which is an elevated camera located above the water surface of the pool to capture the image of swimmers. The system also includes computer processors that implement computer vision platforms, such as GPUs, CPUs and game engines. The processor is configured to receive the image from the camera, determine the body location of the swimmer from the image, detect the definition posture of the swimmer's body position, and respond to the defined posture that is detected. The water flow of the pool or update projection to the surface of the inside of the pool is displayed.</v>
      </c>
      <c r="D1625" s="6" t="s">
        <v>4689</v>
      </c>
      <c r="E1625" s="4" t="str">
        <f ca="1">IFERROR(__xludf.DUMMYFUNCTION("GOOGLETRANSLATE(D1625,""auto"",""en"")"),"Systems and methods for gesture detection and control in immersive and interactive water sink swimming pools")</f>
        <v>Systems and methods for gesture detection and control in immersive and interactive water sink swimming pools</v>
      </c>
    </row>
    <row r="1626" spans="1:5" ht="15" x14ac:dyDescent="0.25">
      <c r="A1626" s="5" t="s">
        <v>4691</v>
      </c>
      <c r="B1626" s="6" t="s">
        <v>4692</v>
      </c>
      <c r="C1626" s="3" t="str">
        <f ca="1">IFERROR(__xludf.DUMMYFUNCTION("GOOGLETRANSLATE(B1626,""auto"",""en"")"),"The present invention can predict the winning percentage of the game based on the player's game performance ability, and provides performance information about the event movement of the character movement performed by the first player during the first gam"&amp;"e. Analyze the module, analyze the performance information of the first player and calculate its performance value, and compare the performance value required for the second game with the performance value calculated by the first game to determine the per"&amp;"formance of the second player's performance value. It can include the prediction module of the game win rate information that generates the first player.")</f>
        <v>The present invention can predict the winning percentage of the game based on the player's game performance ability, and provides performance information about the event movement of the character movement performed by the first player during the first game. Analyze the module, analyze the performance information of the first player and calculate its performance value, and compare the performance value required for the second game with the performance value calculated by the first game to determine the performance of the second player's performance value. It can include the prediction module of the game win rate information that generates the first player.</v>
      </c>
      <c r="D1626" s="6" t="s">
        <v>4693</v>
      </c>
      <c r="E1626" s="4" t="str">
        <f ca="1">IFERROR(__xludf.DUMMYFUNCTION("GOOGLETRANSLATE(D1626,""auto"",""en"")"),"Adopting the winning rate prediction system of artificial intelligence technology")</f>
        <v>Adopting the winning rate prediction system of artificial intelligence technology</v>
      </c>
    </row>
    <row r="1627" spans="1:5" ht="15" x14ac:dyDescent="0.25">
      <c r="A1627" s="5" t="s">
        <v>4694</v>
      </c>
      <c r="B1627" s="6" t="s">
        <v>4695</v>
      </c>
      <c r="C1627" s="3" t="str">
        <f ca="1">IFERROR(__xludf.DUMMYFUNCTION("GOOGLETRANSLATE(B1627,""auto"",""en"")"),"The invention -based intelligent device based on the Internet of Things uses RFID more than one parking available notification. Essence This problem is that the number of vehicles has continued to increase, and the lack of management of Bick, motorcycles,"&amp;" and modern car parking lots has caused service users to waste their important time and fuel and try to find available parking spaces to cause pollution. The present invention aims to develop a smart vehicle parking application using radio frequency ident"&amp;"ification and IoT/Wi-Fi. This application can detect the available parking location as a map plot, so that time for people and parking area management and users must save time. The visitor cannot automatically issue a warning web application when the park"&amp;"ing lot state changes or any type of modification. With the development of the Internet of Things, the idea of ​​smart cities seems to be realized now, and it is making consistent efforts in the Internet of Things field in order to maximize productivity a"&amp;"ccording to the requirements. The Internet of Things is solving excessive crowded vehicles, traffic congestion, insufficient parking facilities, and road safety issues. The invented parking method/system includes on -site design and deployment of IoT modu"&amp;"les. This module is used to monitor and indicate the availability state of each parking space. It also provides an application that allows the end user to check the availability of the parking space and book it according to the user's needs parking space."&amp;" The present invention is an integration method of RFID/IOT and NPR. It is original. It is smarter than the AvaiLavle cloud system. The intelligent robustness of the RFID/IOT sensor is 99%, and the accuracy of NPR has reached 98%in the detection time. 7.2"&amp;"4 seconds. 1 Total No of Sheet: 03 No of Fig: 03 (:] TART 0 DEFAULT Sting Unit and Also Display the Notification Digital Infrain Sensor and 'Idt Based NO M PAR. Ingavawei Status PRFGNTAALBEALBEDGIA Display and Map DisplayTMTOAILBE notify.")</f>
        <v>The invention -based intelligent device based on the Internet of Things uses RFID more than one parking available notification. Essence This problem is that the number of vehicles has continued to increase, and the lack of management of Bick, motorcycles, and modern car parking lots has caused service users to waste their important time and fuel and try to find available parking spaces to cause pollution. The present invention aims to develop a smart vehicle parking application using radio frequency identification and IoT/Wi-Fi. This application can detect the available parking location as a map plot, so that time for people and parking area management and users must save time. The visitor cannot automatically issue a warning web application when the parking lot state changes or any type of modification. With the development of the Internet of Things, the idea of ​​smart cities seems to be realized now, and it is making consistent efforts in the Internet of Things field in order to maximize productivity according to the requirements. The Internet of Things is solving excessive crowded vehicles, traffic congestion, insufficient parking facilities, and road safety issues. The invented parking method/system includes on -site design and deployment of IoT modules. This module is used to monitor and indicate the availability state of each parking space. It also provides an application that allows the end user to check the availability of the parking space and book it according to the user's needs parking space. The present invention is an integration method of RFID/IOT and NPR. It is original. It is smarter than the AvaiLavle cloud system. The intelligent robustness of the RFID/IOT sensor is 99%, and the accuracy of NPR has reached 98%in the detection time. 7.24 seconds. 1 Total No of Sheet: 03 No of Fig: 03 (:] TART 0 DEFAULT Sting Unit and Also Display the Notification Digital Infrain Sensor and 'Idt Based NO M PAR. Ingavawei Status PRFGNTAALBEALBEDGIA Display and Map DisplayTMTOAILBE notify.</v>
      </c>
      <c r="D1627" s="6" t="s">
        <v>4696</v>
      </c>
      <c r="E1627" s="4" t="str">
        <f ca="1">IFERROR(__xludf.DUMMYFUNCTION("GOOGLETRANSLATE(D1627,""auto"",""en"")"),"Multiple available parking spaces based on the IoT -based intelligent device uses RFIID")</f>
        <v>Multiple available parking spaces based on the IoT -based intelligent device uses RFIID</v>
      </c>
    </row>
    <row r="1628" spans="1:5" ht="15" x14ac:dyDescent="0.25">
      <c r="A1628" s="5" t="s">
        <v>4697</v>
      </c>
      <c r="B1628" s="6" t="s">
        <v>4698</v>
      </c>
      <c r="C1628" s="3" t="str">
        <f ca="1">IFERROR(__xludf.DUMMYFUNCTION("GOOGLETRANSLATE(B1628,""auto"",""en"")"),"1. Design product name: Graphical user interface for sports competitions for display screen panels.
 2. The purpose of designing products in this exterior: This design product is used for display information. The display screen panel is used for mobile "&amp;"phones, computers, tablets, and intelligent interactive tablets.
 3. Design of the design of the product in this exterior: lies in the content of the graphic user interface in the screen, the display screen panel is designed with the existing. The text "&amp;"content in the interface is only used to indicate the content area. The text itself is not the protection content of this design.
 4. Pictures or photos that can most indicate design points: Design 1 change status Figure 3.
 5. The product hardware pa"&amp;"rt is conventional design. The rear view, left view, right view, down -view view, and retry view of design 1 and design 2 are omitted.
 6. Specify design 1 is the basic design.
 7. The purpose of graphical user interface: The design of the product is "&amp;"used for entertainment interaction and competition.
 8. Human -computer interaction method of graphics user interface: Click to design 1 Module on the right side of the interface of the main screen, you can enter the design 1 change state Figure 1 View "&amp;"matching details, match the starting competition, enter the design 1 change status. 2. Design 1 change change State Figure 3, when the current team's competition wins, enter the design 1 change state Figure 4. When the current team fails, design 1 enter t"&amp;"he changing state Figure 5, click Design 2 Module on the right side of the interface of the main screen, and enter the design 2 to enter the design 2 to enter the design 2 to enter the design 2 to enter the design 2. Change status Figure 1 View matching t"&amp;"iming, when the matching is completed, entering the design 2 change state Figure 2 to play. When the current team's game win, to enter the design 2 change status Figure 3. When the current team fails, design 2 enters the design 2 to enter the 2 to enter t"&amp;"he 2 to enter the 2 to enter the 2 to enter the 2 to enter the 2 to enter the 2 to enter the 2 to enter the 2 to enter the 2 to enter the 2 to enter the 2 to enter the 2 to enter the 2 to enter the 2 to enter the 2 to enter the 2 to enter the 2 to enter t"&amp;"he 2 to enter the 2 to enter the 2 to enter the 2 to enter the 2 to enter the 2 to enter the 2 to enter the 2 to enter the 2 to enter the 2 to enter the 2 to enter the 2 to enter the 2 to enter 2 to enter the 2 enters. Change status Figure 4.")</f>
        <v>1. Design product name: Graphical user interface for sports competitions for display screen panels.
 2. The purpose of designing products in this exterior: This design product is used for display information. The display screen panel is used for mobile phones, computers, tablets, and intelligent interactive tablets.
 3. Design of the design of the product in this exterior: lies in the content of the graphic user interface in the screen, the display screen panel is designed with the existing. The text content in the interface is only used to indicate the content area. The text itself is not the protection content of this design.
 4. Pictures or photos that can most indicate design points: Design 1 change status Figure 3.
 5. The product hardware part is conventional design. The rear view, left view, right view, down -view view, and retry view of design 1 and design 2 are omitted.
 6. Specify design 1 is the basic design.
 7. The purpose of graphical user interface: The design of the product is used for entertainment interaction and competition.
 8. Human -computer interaction method of graphics user interface: Click to design 1 Module on the right side of the interface of the main screen, you can enter the design 1 change state Figure 1 View matching details, match the starting competition, enter the design 1 change status. 2. Design 1 change change State Figure 3, when the current team's competition wins, enter the design 1 change state Figure 4. When the current team fails, design 1 enter the changing state Figure 5, click Design 2 Module on the right side of the interface of the main screen, and enter the design 2 to enter the design 2 to enter the design 2 to enter the design 2 to enter the design 2. Change status Figure 1 View matching timing, when the matching is completed, entering the design 2 change state Figure 2 to play. When the current team's game win, to enter the design 2 change status Figure 3. When the current team fails, design 2 enters the design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the 2 to enter 2 to enter the 2 enters. Change status Figure 4.</v>
      </c>
      <c r="D1628" s="6" t="s">
        <v>4699</v>
      </c>
      <c r="E1628" s="4" t="str">
        <f ca="1">IFERROR(__xludf.DUMMYFUNCTION("GOOGLETRANSLATE(D1628,""auto"",""en"")"),"Graphical user interface for sports competition for display screen panels")</f>
        <v>Graphical user interface for sports competition for display screen panels</v>
      </c>
    </row>
    <row r="1629" spans="1:5" ht="15" x14ac:dyDescent="0.25">
      <c r="A1629" s="5" t="s">
        <v>4700</v>
      </c>
      <c r="B1629" s="6" t="s">
        <v>4701</v>
      </c>
      <c r="C1629" s="3" t="str">
        <f ca="1">IFERROR(__xludf.DUMMYFUNCTION("GOOGLETRANSLATE(B1629,""auto"",""en"")"),"1. Design product name: The screen jump dynamic graphical user interface for display screen panels.
 2. The purpose of designing products in this exterior: It is used to display information and run programs. The screen panel is used for treadmills, elli"&amp;"pse machines, dynamic bicycles, rowing machines, mountaineers, and fitness cars.
 3. Design of the design of the product in this appearance: lies in the graphic user interface content in the screen, the screen panel is the existing design.
 4. Picture"&amp;"s or photos that can most indicate design points: main view.
 5. The product hardware part is conventional design. The back view, left view, right view, down -view view, and retry view are omitted.
 6. The purpose of the graphical user interface: The "&amp;"design of the product is used to operate the screen panel to display the screen jumping effect.
 7. Human -computer interaction method of graphics user interface: When the user flipped the screen panel to reach the preset location or angle, a circle wil"&amp;"l appear in the center of the interface interface. The screen background content gradually disappears. Figure 2, when the changing state is displayed, the circle begins with irregular changes until it shows the change state. 7, the screen background color"&amp;" begins to gradually brighten, and the color of the circle gradually disappears until the change state diagram 8.")</f>
        <v>1. Design product name: The screen jump dynamic graphical user interface for display screen panels.
 2. The purpose of designing products in this exterior: It is used to display information and run programs. The screen panel is used for treadmills, ellipse machines, dynamic bicycles, rowing machines, mountaineers, and fitness cars.
 3. Design of the design of the product in this appearance: lies in the graphic user interface content in the screen, the screen panel is the existing design.
 4. Pictures or photos that can most indicate design points: main view.
 5. The product hardware part is conventional design. The back view, left view, right view, down -view view, and retry view are omitted.
 6. The purpose of the graphical user interface: The design of the product is used to operate the screen panel to display the screen jumping effect.
 7. Human -computer interaction method of graphics user interface: When the user flipped the screen panel to reach the preset location or angle, a circle will appear in the center of the interface interface. The screen background content gradually disappears. Figure 2, when the changing state is displayed, the circle begins with irregular changes until it shows the change state. 7, the screen background color begins to gradually brighten, and the color of the circle gradually disappears until the change state diagram 8.</v>
      </c>
      <c r="D1629" s="6" t="s">
        <v>4702</v>
      </c>
      <c r="E1629" s="4" t="str">
        <f ca="1">IFERROR(__xludf.DUMMYFUNCTION("GOOGLETRANSLATE(D1629,""auto"",""en"")"),"The screen jump dynamic graphics user interface for the screen panel")</f>
        <v>The screen jump dynamic graphics user interface for the screen panel</v>
      </c>
    </row>
    <row r="1630" spans="1:5" ht="15" x14ac:dyDescent="0.25">
      <c r="A1630" s="5" t="s">
        <v>4703</v>
      </c>
      <c r="B1630" s="6" t="s">
        <v>4704</v>
      </c>
      <c r="C1630" s="3" t="str">
        <f ca="1">IFERROR(__xludf.DUMMYFUNCTION("GOOGLETRANSLATE(B1630,""auto"",""en"")"),"1. Design product name: Graphical user interface for sports fitness display for display screen panels.
 2. The purpose of designing products in this exterior: This design product is used for display information and running programs. The display screen p"&amp;"anel is used for mobile phones, computers, tablets, elliptical machines, dynamic bicycles, rowing machines, climbing machines, fitness machines and intelligence. Interactive tablet.
 3. Design of the design of the product in this appearance: lies in the"&amp;" graphic user interface content in the screen, the display screen panel is the existing design.
 4. Pictures or photos that can most indicate design points: main view.
 5. The product hardware part is conventional design. The back view, left view, rig"&amp;"ht view, down -view view, and retry view are omitted.
 6. The purpose of the graphical user interface: The design of the product is used for the display of the sports data in the recording state.
 7. Human -computer interaction method of graphic user "&amp;"interface: When the main view data matching is successful, enter the changing state Figure 1, according to the changing state Figure 1 interface text prompt, click the button on the bicycle, the interface is from the change state figure 1 to the change st"&amp;"ate. Or click the changing state Figure 1 The green button in the middle of the bicycle handle to enter the changing state Figure 2. The changes in the state of the state display the relevant information during cycling. After the riding exercise is comple"&amp;"ted, enter the change state. Enter the state of change. Figure 4.")</f>
        <v>1. Design product name: Graphical user interface for sports fitness display for display screen panels.
 2. The purpose of designing products in this exterior: This design product is used for display information and running programs. The display screen panel is used for mobile phones, computers, tablets, elliptical machines, dynamic bicycles, rowing machines, climbing machines, fitness machines and intelligence. Interactive tablet.
 3. Design of the design of the product in this appearance: lies in the graphic user interface content in the screen, the display screen panel is the existing design.
 4. Pictures or photos that can most indicate design points: main view.
 5. The product hardware part is conventional design. The back view, left view, right view, down -view view, and retry view are omitted.
 6. The purpose of the graphical user interface: The design of the product is used for the display of the sports data in the recording state.
 7. Human -computer interaction method of graphic user interface: When the main view data matching is successful, enter the changing state Figure 1, according to the changing state Figure 1 interface text prompt, click the button on the bicycle, the interface is from the change state figure 1 to the change state. Or click the changing state Figure 1 The green button in the middle of the bicycle handle to enter the changing state Figure 2. The changes in the state of the state display the relevant information during cycling. After the riding exercise is completed, enter the change state. Enter the state of change. Figure 4.</v>
      </c>
      <c r="D1630" s="6" t="s">
        <v>4705</v>
      </c>
      <c r="E1630" s="4" t="str">
        <f ca="1">IFERROR(__xludf.DUMMYFUNCTION("GOOGLETRANSLATE(D1630,""auto"",""en"")"),"Graphical user interface for sports fitness display for display screen panels")</f>
        <v>Graphical user interface for sports fitness display for display screen panels</v>
      </c>
    </row>
    <row r="1631" spans="1:5" ht="15" x14ac:dyDescent="0.25">
      <c r="A1631" s="5" t="s">
        <v>4706</v>
      </c>
      <c r="B1631" s="6" t="s">
        <v>4707</v>
      </c>
      <c r="C1631" s="3" t="str">
        <f ca="1">IFERROR(__xludf.DUMMYFUNCTION("GOOGLETRANSLATE(B1631,""auto"",""en"")"),"An automatic testing technology based on deep learning, which involves the field of financial AI technology, includes the following specific modules: general interface module, receiving information provided by the chat system, and simply processing proces"&amp;"sing; text analysis and identification module, identification The intention of the user's ""bidding, the change of the bid, the withdrawal, and the newly increase"", and extract the corresponding element; reorganize the module, based on the records provid"&amp;"ed by the user provided by the user, and the records in the information and historical databases, and sort into a standard data form; execute the module, and Perform the specific operations of ""bidding, bidding, withdrawal, withdrawal""; memory modules, "&amp;"storage user bid information, and the beneficial effect of the present invention: realize the ""bid/renovation/withdrawal/additional investment/investment"" in automatic detection and chatting, etc. User intent, and implement related specific operations t"&amp;"hrough the program; reduce the cost of manpower, and adopt the fusion model of ""intent to identify+element extraction"", and integrate into the ""experience characteristics"" information in the financial field. At present, the accuracy of the recognition"&amp;" and analysis accuracy of the entire system is currently incorporated into the financial field. When it reaches more than 95 %, it basically meets commercial standards.")</f>
        <v>An automatic testing technology based on deep learning, which involves the field of financial AI technology, includes the following specific modules: general interface module, receiving information provided by the chat system, and simply processing processing; text analysis and identification module, identification The intention of the user's "bidding, the change of the bid, the withdrawal, and the newly increase", and extract the corresponding element; reorganize the module, based on the records provided by the user provided by the user, and the records in the information and historical databases, and sort into a standard data form; execute the module, and Perform the specific operations of "bidding, bidding, withdrawal, withdrawal"; memory modules, storage user bid information, and the beneficial effect of the present invention: realize the "bid/renovation/withdrawal/additional investment/investment" in automatic detection and chatting, etc. User intent, and implement related specific operations through the program; reduce the cost of manpower, and adopt the fusion model of "intent to identify+element extraction", and integrate into the "experience characteristics" information in the financial field. At present, the accuracy of the recognition and analysis accuracy of the entire system is currently incorporated into the financial field. When it reaches more than 95 %, it basically meets commercial standards.</v>
      </c>
      <c r="D1631" s="6" t="s">
        <v>4708</v>
      </c>
      <c r="E1631" s="4" t="str">
        <f ca="1">IFERROR(__xludf.DUMMYFUNCTION("GOOGLETRANSLATE(D1631,""auto"",""en"")"),"An automatic testing technology based on deep learning")</f>
        <v>An automatic testing technology based on deep learning</v>
      </c>
    </row>
    <row r="1632" spans="1:5" ht="15" x14ac:dyDescent="0.25">
      <c r="A1632" s="5" t="s">
        <v>4709</v>
      </c>
      <c r="B1632" s="6" t="s">
        <v>4710</v>
      </c>
      <c r="C1632" s="3" t="str">
        <f ca="1">IFERROR(__xludf.DUMMYFUNCTION("GOOGLETRANSLATE(B1632,""auto"",""en"")"),"The exercise recommendation system determines the exercise plan for users. The exercise and recommendation system receives the level of changes in the user's simplified files and the user selection. This configuration file includes the history of exercise"&amp;" performed by the user, available fitness equipment and exercise goals. The exercise recommendation system will input simplified input into the machine learning model. The machine learning model is configured to sort a set of exercises for users to perfor"&amp;"m. The exercise recommendation system modifies the ranking of exercise based on the variance level of the user. The sorting modification of the first -party difference level is greater than the sorting modification of the secondary difference level that i"&amp;"s less than the first -party difference level. The exercise recommendation system generates the exercise plan based on the modified ranking to display it to the user in the user interface.")</f>
        <v>The exercise recommendation system determines the exercise plan for users. The exercise and recommendation system receives the level of changes in the user's simplified files and the user selection. This configuration file includes the history of exercise performed by the user, available fitness equipment and exercise goals. The exercise recommendation system will input simplified input into the machine learning model. The machine learning model is configured to sort a set of exercises for users to perform. The exercise recommendation system modifies the ranking of exercise based on the variance level of the user. The sorting modification of the first -party difference level is greater than the sorting modification of the secondary difference level that is less than the first -party difference level. The exercise recommendation system generates the exercise plan based on the modified ranking to display it to the user in the user interface.</v>
      </c>
      <c r="D1632" s="6" t="s">
        <v>4711</v>
      </c>
      <c r="E1632" s="4" t="str">
        <f ca="1">IFERROR(__xludf.DUMMYFUNCTION("GOOGLETRANSLATE(D1632,""auto"",""en"")"),"Prediction exercises based on the variance selected by the user")</f>
        <v>Prediction exercises based on the variance selected by the user</v>
      </c>
    </row>
    <row r="1633" spans="1:5" ht="15" x14ac:dyDescent="0.25">
      <c r="A1633" s="5" t="s">
        <v>4712</v>
      </c>
      <c r="B1633" s="6" t="s">
        <v>4713</v>
      </c>
      <c r="C1633" s="3" t="str">
        <f ca="1">IFERROR(__xludf.DUMMYFUNCTION("GOOGLETRANSLATE(B1633,""auto"",""en"")"),"The invention disclosed a smart home fitness mirror based on the Internet of Things, including the main body of the mirror and the intelligent system of the mirror. There is a rear cover on one side, and the side cover plate is set with a positioning boar"&amp;"d. The surface of the positioning board is set with suction cups, which is set with a camera on the upper side of the mirror subject. Instrument, the side of the time index is set with an identity recognition module, which is connected to the electrical c"&amp;"onnection of the mirror intelligent system and the main body of the mirror. The design of the invention is scientific and reasonable. While performing exercise information analysis of users, the user's scores and correction suggestions for each movement m"&amp;"ovement are given. It has well guided users to perform standard fitness. The device can control it through the mobile phone to help it, so that it can help to help Users complete more training items.")</f>
        <v>The invention disclosed a smart home fitness mirror based on the Internet of Things, including the main body of the mirror and the intelligent system of the mirror. There is a rear cover on one side, and the side cover plate is set with a positioning board. The surface of the positioning board is set with suction cups, which is set with a camera on the upper side of the mirror subject. Instrument, the side of the time index is set with an identity recognition module, which is connected to the electrical connection of the mirror intelligent system and the main body of the mirror. The design of the invention is scientific and reasonable. While performing exercise information analysis of users, the user's scores and correction suggestions for each movement movement are given. It has well guided users to perform standard fitness. The device can control it through the mobile phone to help it, so that it can help to help Users complete more training items.</v>
      </c>
      <c r="D1633" s="6" t="s">
        <v>4714</v>
      </c>
      <c r="E1633" s="4" t="str">
        <f ca="1">IFERROR(__xludf.DUMMYFUNCTION("GOOGLETRANSLATE(D1633,""auto"",""en"")"),"A smart home fitness mirror based on the Internet of Things and its control method")</f>
        <v>A smart home fitness mirror based on the Internet of Things and its control method</v>
      </c>
    </row>
    <row r="1634" spans="1:5" ht="15" x14ac:dyDescent="0.25">
      <c r="A1634" s="5" t="s">
        <v>4715</v>
      </c>
      <c r="B1634" s="6" t="s">
        <v>4716</v>
      </c>
      <c r="C1634" s="3" t="str">
        <f ca="1">IFERROR(__xludf.DUMMYFUNCTION("GOOGLETRANSLATE(B1634,""auto"",""en"")"),"This utility model opens up a smart home fitness mirror based on the Internet of Things, including the main body of the magic mirror and the magic mirror intelligent system. There is a rear cover on the other side of the support frame, which is set on the"&amp;" side of the rear cover plate with a positioning board, which is set on the surface of the positioning board. There is a switch and time indicator on the side. The side of the time indicator is set with an identity recognition module, which is connected t"&amp;"o the electrical connection between the magic mirror intelligent system and the main body of the magic mirror. This utility model design is scientific and reasonable. At the same time, users perform exercise information analysis while giving users the sco"&amp;"res and correction suggestions of each movement of users. It has well guided users to perform standard fitness. The device can control it through the mobile phone to control it so that it can control it, so that it can be controlled by the mobile phone, s"&amp;"o that the device can control it through the mobile phone, so that the device can control it through the mobile phone, so that the device can control it through the mobile phone, so that the device can control it through the mobile phone, so that the devi"&amp;"ce can control it through the phone Help users complete more training items.")</f>
        <v>This utility model opens up a smart home fitness mirror based on the Internet of Things, including the main body of the magic mirror and the magic mirror intelligent system. There is a rear cover on the other side of the support frame, which is set on the side of the rear cover plate with a positioning board, which is set on the surface of the positioning board. There is a switch and time indicator on the side. The side of the time indicator is set with an identity recognition module, which is connected to the electrical connection between the magic mirror intelligent system and the main body of the magic mirror. This utility model design is scientific and reasonable. At the same time, users perform exercise information analysis while giving users the scores and correction suggestions of each movement of users. It has well guided users to perform standard fitness. The device can control it through the mobile phone to control it so that it can control it, so that it can be controlled by the mobile phone, so that the device can control it through the mobile phone, so that the device can control it through the mobile phone, so that the device can control it through the mobile phone, so that the device can control it through the mobile phone, so that the device can control it through the phone Help users complete more training items.</v>
      </c>
      <c r="D1634" s="6" t="s">
        <v>4717</v>
      </c>
      <c r="E1634" s="4" t="str">
        <f ca="1">IFERROR(__xludf.DUMMYFUNCTION("GOOGLETRANSLATE(D1634,""auto"",""en"")"),"A smart home fitness mirror based on the Internet of Things")</f>
        <v>A smart home fitness mirror based on the Internet of Things</v>
      </c>
    </row>
    <row r="1635" spans="1:5" ht="15" x14ac:dyDescent="0.25">
      <c r="A1635" s="5" t="s">
        <v>4718</v>
      </c>
      <c r="B1635" s="6" t="s">
        <v>4719</v>
      </c>
      <c r="C1635" s="3" t="str">
        <f ca="1">IFERROR(__xludf.DUMMYFUNCTION("GOOGLETRANSLATE(B1635,""auto"",""en"")"),"The invention disclosed a new energy vehicle auxiliary positioning parking charging system based on the Internet of Things, including the fitness analysis module, the gradual charging module, and reminding module. The situation analysis module is used to "&amp;"detect people's fitness quality. The insiders have used voice reminder to be tested to avoid leakage privacy without knowing it. The mobility frequency frequency calculation module, the infrared induction imaging module is connected to the human body cont"&amp;"our fiction module, the present invention has the characteristics of strong practicality.")</f>
        <v>The invention disclosed a new energy vehicle auxiliary positioning parking charging system based on the Internet of Things, including the fitness analysis module, the gradual charging module, and reminding module. The situation analysis module is used to detect people's fitness quality. The insiders have used voice reminder to be tested to avoid leakage privacy without knowing it. The mobility frequency frequency calculation module, the infrared induction imaging module is connected to the human body contour fiction module, the present invention has the characteristics of strong practicality.</v>
      </c>
      <c r="D1635" s="6" t="s">
        <v>4720</v>
      </c>
      <c r="E1635" s="4" t="str">
        <f ca="1">IFERROR(__xludf.DUMMYFUNCTION("GOOGLETRANSLATE(D1635,""auto"",""en"")"),"New energy vehicle auxiliary positioning parking and charging system based on the Internet of Things")</f>
        <v>New energy vehicle auxiliary positioning parking and charging system based on the Internet of Things</v>
      </c>
    </row>
    <row r="1636" spans="1:5" ht="15" x14ac:dyDescent="0.25">
      <c r="A1636" s="5" t="s">
        <v>4721</v>
      </c>
      <c r="B1636" s="6" t="s">
        <v>4719</v>
      </c>
      <c r="C1636" s="3" t="str">
        <f ca="1">IFERROR(__xludf.DUMMYFUNCTION("GOOGLETRANSLATE(B1636,""auto"",""en"")"),"The invention disclosed a new energy vehicle auxiliary positioning parking charging system based on the Internet of Things, including the fitness analysis module, the gradual charging module, and reminding module. The situation analysis module is used to "&amp;"detect people's fitness quality. The insiders have used voice reminder to be tested to avoid leakage privacy without knowing it. The mobility frequency frequency calculation module, the infrared induction imaging module is connected to the human body cont"&amp;"our fiction module, the present invention has the characteristics of strong practicality.")</f>
        <v>The invention disclosed a new energy vehicle auxiliary positioning parking charging system based on the Internet of Things, including the fitness analysis module, the gradual charging module, and reminding module. The situation analysis module is used to detect people's fitness quality. The insiders have used voice reminder to be tested to avoid leakage privacy without knowing it. The mobility frequency frequency calculation module, the infrared induction imaging module is connected to the human body contour fiction module, the present invention has the characteristics of strong practicality.</v>
      </c>
      <c r="D1636" s="6" t="s">
        <v>4722</v>
      </c>
      <c r="E1636" s="4" t="str">
        <f ca="1">IFERROR(__xludf.DUMMYFUNCTION("GOOGLETRANSLATE(D1636,""auto"",""en"")"),"A new energy vehicle auxiliary positioning parking and charging system based on the Internet of Things")</f>
        <v>A new energy vehicle auxiliary positioning parking and charging system based on the Internet of Things</v>
      </c>
    </row>
    <row r="1637" spans="1:5" ht="15" x14ac:dyDescent="0.25">
      <c r="A1637" s="5" t="s">
        <v>4723</v>
      </c>
      <c r="B1637" s="6" t="s">
        <v>4724</v>
      </c>
      <c r="C1637" s="3" t="str">
        <f ca="1">IFERROR(__xludf.DUMMYFUNCTION("GOOGLETRANSLATE(B1637,""auto"",""en"")"),"User query (such as user query processing online game system processing) is provided by the input of training machine learning models. The machine learning model can predict the candidate language of the user's query, and output the language confidence sc"&amp;"ore of the candidate language. The user inquiry also matches the storage query data associated with the game information association of a single language database in each candidate language. You can determine the score of the game according to the certain"&amp;"ty of each response. You can add competition and language trust scores to determine the weighted score. The weighted score of the application response is used to determine which game information searched in the database is used to form a response to the u"&amp;"ser's search results.")</f>
        <v>User query (such as user query processing online game system processing) is provided by the input of training machine learning models. The machine learning model can predict the candidate language of the user's query, and output the language confidence score of the candidate language. The user inquiry also matches the storage query data associated with the game information association of a single language database in each candidate language. You can determine the score of the game according to the certainty of each response. You can add competition and language trust scores to determine the weighted score. The weighted score of the application response is used to determine which game information searched in the database is used to form a response to the user's search results.</v>
      </c>
      <c r="D1637" s="6" t="s">
        <v>4725</v>
      </c>
      <c r="E1637" s="4" t="str">
        <f ca="1">IFERROR(__xludf.DUMMYFUNCTION("GOOGLETRANSLATE(D1637,""auto"",""en"")"),"Online game user input text language detection")</f>
        <v>Online game user input text language detection</v>
      </c>
    </row>
    <row r="1638" spans="1:5" ht="15" x14ac:dyDescent="0.25">
      <c r="A1638" s="5" t="s">
        <v>4726</v>
      </c>
      <c r="B1638" s="6" t="s">
        <v>4727</v>
      </c>
      <c r="C1638" s="3" t="str">
        <f ca="1">IFERROR(__xludf.DUMMYFUNCTION("GOOGLETRANSLATE(B1638,""auto"",""en"")"),"[0001] The present invention involves a device, method, and computer program used for equipment, methods, and computer programs that is used to collect and process digital information and/or track and explain the period of sports exercise during the sport"&amp;"s exercise period, including at least one pair Camera is used to obtain information related to the three -dimensional real image related to motion performance, which is used to process processors related to real image -related information from at least on"&amp;"e camera. The storage space is the virtual ball. The cameras, processors, and storage space are connected to each other to store and retrieve digital information. Therefore, the processor compares the actual image -related information of at least one came"&amp;"ra with the corresponding storage comparison data from memory space. Information related to classified work links.")</f>
        <v>[0001] The present invention involves a device, method, and computer program used for equipment, methods, and computer programs that is used to collect and process digital information and/or track and explain the period of sports exercise during the sports exercise period, including at least one pair Camera is used to obtain information related to the three -dimensional real image related to motion performance, which is used to process processors related to real image -related information from at least one camera. The storage space is the virtual ball. The cameras, processors, and storage space are connected to each other to store and retrieve digital information. Therefore, the processor compares the actual image -related information of at least one camera with the corresponding storage comparison data from memory space. Information related to classified work links.</v>
      </c>
      <c r="D1638" s="6" t="s">
        <v>4728</v>
      </c>
      <c r="E1638" s="4" t="str">
        <f ca="1">IFERROR(__xludf.DUMMYFUNCTION("GOOGLETRANSLATE(D1638,""auto"",""en"")"),"Equipment, methods and computer programs used to track and report sports -related events")</f>
        <v>Equipment, methods and computer programs used to track and report sports -related events</v>
      </c>
    </row>
    <row r="1639" spans="1:5" ht="15" x14ac:dyDescent="0.25">
      <c r="A1639" s="5" t="s">
        <v>4729</v>
      </c>
      <c r="B1639" s="6" t="s">
        <v>4730</v>
      </c>
      <c r="C1639" s="3" t="str">
        <f ca="1">IFERROR(__xludf.DUMMYFUNCTION("GOOGLETRANSLATE(B1639,""auto"",""en"")"),"1. The name of the product in appearance: for mobile phone sports, fitness dynamic graphic user interface.
 2. The purpose of designing products in this exterior: The design of the product in this exterior is used to display information and run the prog"&amp;"ram.
 3. Design of the design of the product in appearance: lies in the graphic user interface content in the screen, the mobile phone is designed for existing.
 4. Pictures or photos that are best to show design points: change status Figure 2.
 5. "&amp;"The product hardware part is conventional design. The back view, left view, right view, down -view view, and retry view are omitted.
 6. The purpose of graphical user interface: The design of the product is used for entertainment interaction and display"&amp;" of sports fitness.
 7. Human -computer interaction methods of graphical user interface: click the options in the interface of the main view, change state graph 1, and the change state Figure 2. Figure 1 and change state Figure 2.")</f>
        <v>1. The name of the product in appearance: for mobile phone sports, fitness dynamic graphic user interface.
 2. The purpose of designing products in this exterior: The design of the product in this exterior is used to display information and run the program.
 3. Design of the design of the product in appearance: lies in the graphic user interface content in the screen, the mobile phone is designed for existing.
 4. Pictures or photos that are best to show design points: change status Figure 2.
 5. The product hardware part is conventional design. The back view, left view, right view, down -view view, and retry view are omitted.
 6. The purpose of graphical user interface: The design of the product is used for entertainment interaction and display of sports fitness.
 7. Human -computer interaction methods of graphical user interface: click the options in the interface of the main view, change state graph 1, and the change state Figure 2. Figure 1 and change state Figure 2.</v>
      </c>
      <c r="D1639" s="6" t="s">
        <v>4731</v>
      </c>
      <c r="E1639" s="4" t="str">
        <f ca="1">IFERROR(__xludf.DUMMYFUNCTION("GOOGLETRANSLATE(D1639,""auto"",""en"")"),"Sports, fitness dynamic graphic user interface used for mobile phones")</f>
        <v>Sports, fitness dynamic graphic user interface used for mobile phones</v>
      </c>
    </row>
    <row r="1640" spans="1:5" ht="15" x14ac:dyDescent="0.25">
      <c r="A1640" s="5" t="s">
        <v>4732</v>
      </c>
      <c r="B1640" s="6" t="s">
        <v>4733</v>
      </c>
      <c r="C1640" s="3" t="str">
        <f ca="1">IFERROR(__xludf.DUMMYFUNCTION("GOOGLETRANSLATE(B1640,""auto"",""en"")"),"The present invention involves a business model using an online service system. The online service system uses mobile infrastructure (such as the messenger equipment of related users) to provide matching information as a service method based on a position"&amp;" matching sports users based on the modern society. Specifically, recruit users from the creation matching service stage, using mobile programs, SMS, etc., these users use the matching service phase, and customers who use these services to obtain the serv"&amp;"ice license to use the service stage and use matching services. People evaluate the service model together. The present invention is an advertising matching service that is analyzed by data. It is a star marketing service operating through advertising age"&amp;"nts or planning agencies. Providing services in the relevant advertising ecosystem is a business model that provides efficient management systems. It builds a system that can make the previously high -cost star marketing advertisements. , Services, conten"&amp;"t and other additional services, we provide an efficient management system so that you can choose and use online.")</f>
        <v>The present invention involves a business model using an online service system. The online service system uses mobile infrastructure (such as the messenger equipment of related users) to provide matching information as a service method based on a position matching sports users based on the modern society. Specifically, recruit users from the creation matching service stage, using mobile programs, SMS, etc., these users use the matching service phase, and customers who use these services to obtain the service license to use the service stage and use matching services. People evaluate the service model together. The present invention is an advertising matching service that is analyzed by data. It is a star marketing service operating through advertising agents or planning agencies. Providing services in the relevant advertising ecosystem is a business model that provides efficient management systems. It builds a system that can make the previously high -cost star marketing advertisements. , Services, content and other additional services, we provide an efficient management system so that you can choose and use online.</v>
      </c>
      <c r="D1640" s="6" t="s">
        <v>4734</v>
      </c>
      <c r="E1640" s="4" t="str">
        <f ca="1">IFERROR(__xludf.DUMMYFUNCTION("GOOGLETRANSLATE(D1640,""auto"",""en"")"),"Matching service system based on artificial intelligence and big data")</f>
        <v>Matching service system based on artificial intelligence and big data</v>
      </c>
    </row>
    <row r="1641" spans="1:5" ht="15" x14ac:dyDescent="0.25">
      <c r="A1641" s="5" t="s">
        <v>4735</v>
      </c>
      <c r="B1641" s="6" t="s">
        <v>518</v>
      </c>
      <c r="C1641" s="3" t="str">
        <f ca="1">IFERROR(__xludf.DUMMYFUNCTION("GOOGLETRANSLATE(B1641,""auto"",""en"")"),"-")</f>
        <v>-</v>
      </c>
      <c r="D1641" s="6" t="s">
        <v>4736</v>
      </c>
      <c r="E1641" s="4" t="str">
        <f ca="1">IFERROR(__xludf.DUMMYFUNCTION("GOOGLETRANSLATE(D1641,""auto"",""en"")"),"Use machine learning model to predict the risk of running related damage related to running")</f>
        <v>Use machine learning model to predict the risk of running related damage related to running</v>
      </c>
    </row>
    <row r="1642" spans="1:5" ht="15" x14ac:dyDescent="0.25">
      <c r="A1642" s="5" t="s">
        <v>4737</v>
      </c>
      <c r="B1642" s="6" t="s">
        <v>4738</v>
      </c>
      <c r="C1642" s="3" t="str">
        <f ca="1">IFERROR(__xludf.DUMMYFUNCTION("GOOGLETRANSLATE(B1642,""auto"",""en"")"),"Provides methods and systems for choosing the viewing port to enter the game. One example method includes identifying multiple virtual cameras to provide viewing ports to the game. This method includes the script of the access of bystander users, and the "&amp;"script recognizes the performance of bystander users in the game. This method includes the event data of the event during or recording the game on the spot. This method includes generating a power distribution disk interface for the surveyor users. The po"&amp;"wer distribution disk interface includes multiple viewports to provide optional views that enter the game. Multiple viewports are dynamically selected based on machine learning model processing events and script of bystander users. The machine learning mo"&amp;"del is configured to identify features from the event data and script to identify the attributes of bystander users. The attributes of bystander users are used to choose multiple viewports to enter the game.")</f>
        <v>Provides methods and systems for choosing the viewing port to enter the game. One example method includes identifying multiple virtual cameras to provide viewing ports to the game. This method includes the script of the access of bystander users, and the script recognizes the performance of bystander users in the game. This method includes the event data of the event during or recording the game on the spot. This method includes generating a power distribution disk interface for the surveyor users. The power distribution disk interface includes multiple viewports to provide optional views that enter the game. Multiple viewports are dynamically selected based on machine learning model processing events and script of bystander users. The machine learning model is configured to identify features from the event data and script to identify the attributes of bystander users. The attributes of bystander users are used to choose multiple viewports to enter the game.</v>
      </c>
      <c r="D1642" s="6" t="s">
        <v>4739</v>
      </c>
      <c r="E1642" s="4" t="str">
        <f ca="1">IFERROR(__xludf.DUMMYFUNCTION("GOOGLETRANSLATE(D1642,""auto"",""en"")"),"Select the operation customistor switch panel according to the user's viewport")</f>
        <v>Select the operation customistor switch panel according to the user's viewport</v>
      </c>
    </row>
    <row r="1643" spans="1:5" ht="15" x14ac:dyDescent="0.25">
      <c r="A1643" s="5" t="s">
        <v>4740</v>
      </c>
      <c r="B1643" s="6" t="s">
        <v>4741</v>
      </c>
      <c r="C1643" s="3" t="str">
        <f ca="1">IFERROR(__xludf.DUMMYFUNCTION("GOOGLETRANSLATE(B1643,""auto"",""en"")"),"1. Design product name: The graphic user interface of the display audio equipment information display of the screen panel.
 2. Design product use: The display screen panel is used to display the graphical user interface.
 3. Design of the design of th"&amp;"e product in appearance: lies in the graphic user interface.
 4. Pictures or photos that can most indicate design points: Local magnification.
 5. The purpose of the graphical user interface: for human -computer interaction and implementation of the f"&amp;"unction of the display screen panel, and can be used to display the type related to the type of audio equipment connected to the connected audio device, such as an electronic device that is paired, for example Such as headphones, headphones, etc.
 6. Hu"&amp;"man -computer interaction method of graphical user interface: Graphic user interface can interact with light strike or sliding graphics user interface.
 7. The display screen panel and graphic user interface can be applied to the following electronic de"&amp;"vices: computers, laptops, monitors for vehicles, tablets, mobile phones, smartphones, smart glasses, watches, smart watches, fitness monitor, fitness monitor , Headset headphones, personal digital assistants, smart speakers, television, monitor, projecto"&amp;"r, navigation equipment, set -top box, game machine; display screen panels are commonly designed, so omitted other views.")</f>
        <v>1. Design product name: The graphic user interface of the display audio equipment information display of the screen panel.
 2. Design product use: The display screen panel is used to display the graphical user interface.
 3. Design of the design of the product in appearance: lies in the graphic user interface.
 4. Pictures or photos that can most indicate design points: Local magnification.
 5. The purpose of the graphical user interface: for human -computer interaction and implementation of the function of the display screen panel, and can be used to display the type related to the type of audio equipment connected to the connected audio device, such as an electronic device that is paired, for example Such as headphones, headphones, etc.
 6. Human -computer interaction method of graphical user interface: Graphic user interface can interact with light strike or sliding graphics user interface.
 7. The display screen panel and graphic user interface can be applied to the following electronic devices: computers, laptops, monitors for vehicles, tablets, mobile phones, smartphones, smart glasses, watches, smart watches, fitness monitor, fitness monitor , Headset headphones, personal digital assistants, smart speakers, television, monitor, projector, navigation equipment, set -top box, game machine; display screen panels are commonly designed, so omitted other views.</v>
      </c>
      <c r="D1643" s="6" t="s">
        <v>4742</v>
      </c>
      <c r="E1643" s="4" t="str">
        <f ca="1">IFERROR(__xludf.DUMMYFUNCTION("GOOGLETRANSLATE(D1643,""auto"",""en"")"),"Graphic user interface of the display audio equipment information display of the screen panel")</f>
        <v>Graphic user interface of the display audio equipment information display of the screen panel</v>
      </c>
    </row>
    <row r="1644" spans="1:5" ht="15" x14ac:dyDescent="0.25">
      <c r="A1644" s="5" t="s">
        <v>4743</v>
      </c>
      <c r="B1644" s="6" t="s">
        <v>4744</v>
      </c>
      <c r="C1644" s="3" t="str">
        <f ca="1">IFERROR(__xludf.DUMMYFUNCTION("GOOGLETRANSLATE(B1644,""auto"",""en"")"),"This utility model belongs to the field of intelligent robotic coaching car technology, which involves a sensor device that is applied to the coaching car collection clutch and the brake pedal stepping journey, including the distance sensor and installati"&amp;"on bracket. Installed the bracket installed on the pedal arm, the distance sensor is an infrared spacing sensor, collecting the trampling itinerary data of the pedal through the distance sensor, transmit the data collected to the teaching software, compar"&amp;"e it with the standard data, and achieve precise teaching. Students can adjust according to the comparison data and adjust to the best intensity, so that it is easier to form muscle memory, which is convenient for students to find the feeling of controlli"&amp;"ng the pedal.")</f>
        <v>This utility model belongs to the field of intelligent robotic coaching car technology, which involves a sensor device that is applied to the coaching car collection clutch and the brake pedal stepping journey, including the distance sensor and installation bracket. Installed the bracket installed on the pedal arm, the distance sensor is an infrared spacing sensor, collecting the trampling itinerary data of the pedal through the distance sensor, transmit the data collected to the teaching software, compare it with the standard data, and achieve precise teaching. Students can adjust according to the comparison data and adjust to the best intensity, so that it is easier to form muscle memory, which is convenient for students to find the feeling of controlling the pedal.</v>
      </c>
      <c r="D1644" s="6" t="s">
        <v>4745</v>
      </c>
      <c r="E1644" s="4" t="str">
        <f ca="1">IFERROR(__xludf.DUMMYFUNCTION("GOOGLETRANSLATE(D1644,""auto"",""en"")"),"A sensor device applied to the coaching car collection clutch and the brake pedal stepping stroke")</f>
        <v>A sensor device applied to the coaching car collection clutch and the brake pedal stepping stroke</v>
      </c>
    </row>
    <row r="1645" spans="1:5" ht="15" x14ac:dyDescent="0.25">
      <c r="A1645" s="5" t="s">
        <v>4746</v>
      </c>
      <c r="B1645" s="6" t="s">
        <v>4747</v>
      </c>
      <c r="C1645" s="3" t="str">
        <f ca="1">IFERROR(__xludf.DUMMYFUNCTION("GOOGLETRANSLATE(B1645,""auto"",""en"")"),"A system and method for registering athletes to register athletes in sports events. Athletes are registered in sports events using image recognition technology. The number of athletes taken by the camera starts the image (106) When the athlete crosses the"&amp;" starting line. Compare the numbers to the personal data images of the athletes who start the image to identify the athletes and let them participate in the competition without the need for athletes to register for specific competitions in advance. Reinfo"&amp;"rcement recognition technology combined with mode recognition can be used to improve the accuracy of identity.")</f>
        <v>A system and method for registering athletes to register athletes in sports events. Athletes are registered in sports events using image recognition technology. The number of athletes taken by the camera starts the image (106) When the athlete crosses the starting line. Compare the numbers to the personal data images of the athletes who start the image to identify the athletes and let them participate in the competition without the need for athletes to register for specific competitions in advance. Reinforcement recognition technology combined with mode recognition can be used to improve the accuracy of identity.</v>
      </c>
      <c r="D1645" s="6" t="s">
        <v>4748</v>
      </c>
      <c r="E1645" s="4" t="str">
        <f ca="1">IFERROR(__xludf.DUMMYFUNCTION("GOOGLETRANSLATE(D1645,""auto"",""en"")"),"Sports event registration system and method")</f>
        <v>Sports event registration system and method</v>
      </c>
    </row>
    <row r="1646" spans="1:5" ht="15" x14ac:dyDescent="0.25">
      <c r="A1646" s="5" t="s">
        <v>4749</v>
      </c>
      <c r="B1646" s="6" t="s">
        <v>4750</v>
      </c>
      <c r="C1646" s="3" t="str">
        <f ca="1">IFERROR(__xludf.DUMMYFUNCTION("GOOGLETRANSLATE(B1646,""auto"",""en"")"),"This article revealed a system and method for calibrating broadcast video feedback. One computing system retrieval includes multiple broadcast video feedback of multiple video frames. The computing system generates multiple training datasets based on broa"&amp;"dcast video feedback and generates a single -formation matrix for each frame in multiple frames through neural network learning to generate training neural networks. The computing system receives the target sports event target broadcast video feedback. Th"&amp;"e computing system sends the target broadcast video into multiple target frames. The computing system generates the target matrix of each target frame through the neural network as a target frame in multiple target frames. The computing system can calibra"&amp;"te the target broadcast video feedback by using the corresponding target single matrix to distort each target frame.")</f>
        <v>This article revealed a system and method for calibrating broadcast video feedback. One computing system retrieval includes multiple broadcast video feedback of multiple video frames. The computing system generates multiple training datasets based on broadcast video feedback and generates a single -formation matrix for each frame in multiple frames through neural network learning to generate training neural networks. The computing system receives the target sports event target broadcast video feedback. The computing system sends the target broadcast video into multiple target frames. The computing system generates the target matrix of each target frame through the neural network as a target frame in multiple target frames. The computing system can calibrate the target broadcast video feedback by using the corresponding target single matrix to distort each target frame.</v>
      </c>
      <c r="D1646" s="6" t="s">
        <v>4751</v>
      </c>
      <c r="E1646" s="4" t="str">
        <f ca="1">IFERROR(__xludf.DUMMYFUNCTION("GOOGLETRANSLATE(D1646,""auto"",""en"")"),"The end -to -end camera calibration of the broadcast video")</f>
        <v>The end -to -end camera calibration of the broadcast video</v>
      </c>
    </row>
    <row r="1647" spans="1:5" ht="15" x14ac:dyDescent="0.25">
      <c r="A1647" s="5" t="s">
        <v>4752</v>
      </c>
      <c r="B1647" s="6" t="s">
        <v>4753</v>
      </c>
      <c r="C1647" s="3" t="str">
        <f ca="1">IFERROR(__xludf.DUMMYFUNCTION("GOOGLETRANSLATE(B1647,""auto"",""en"")"),"This article revealed a system and method for calibrating broadcast video feedback. One computing system retrieval includes multiple broadcast video feedback of multiple video frames. The computing system generates multiple training datasets based on broa"&amp;"dcast video feedback and generates the training neural network for each frame to generate the matrix of each frame through the neural network to generate the matrix of each frame. The computing system receives the target sports event target broadcast vide"&amp;"o feedback. The computing system sends the target broadcast video into multiple target frames. The computing system generates the target matrix of each target frame through the neural network as a target frame in multiple target frames. The computing syst"&amp;"em can calibrate the target broadcast video feedback by using the corresponding target single matrix to distort each target frame.")</f>
        <v>This article revealed a system and method for calibrating broadcast video feedback. One computing system retrieval includes multiple broadcast video feedback of multiple video frames. The computing system generates multiple training datasets based on broadcast video feedback and generates the training neural network for each frame to generate the matrix of each frame through the neural network to generate the matrix of each frame. The computing system receives the target sports event target broadcast video feedback. The computing system sends the target broadcast video into multiple target frames. The computing system generates the target matrix of each target frame through the neural network as a target frame in multiple target frames. The computing system can calibrate the target broadcast video feedback by using the corresponding target single matrix to distort each target frame.</v>
      </c>
      <c r="D1647" s="6" t="s">
        <v>4751</v>
      </c>
      <c r="E1647" s="4" t="str">
        <f ca="1">IFERROR(__xludf.DUMMYFUNCTION("GOOGLETRANSLATE(D1647,""auto"",""en"")"),"The end -to -end camera calibration of the broadcast video")</f>
        <v>The end -to -end camera calibration of the broadcast video</v>
      </c>
    </row>
    <row r="1648" spans="1:5" ht="15" x14ac:dyDescent="0.25">
      <c r="A1648" s="5" t="s">
        <v>4754</v>
      </c>
      <c r="B1648" s="6" t="s">
        <v>4755</v>
      </c>
      <c r="C1648" s="3" t="str">
        <f ca="1">IFERROR(__xludf.DUMMYFUNCTION("GOOGLETRANSLATE(B1648,""auto"",""en"")"),"This article is publicly used to predict the next tone system and method. The computing system retrieves the stadium information one by one and the context information related to each stadium in each stadium in the stadium information. The computing syste"&amp;"m converts the ball -round information and the context of the game into multiple graphics -based representations. Figure neural network learning is based on a number of graph -based representatives to generate type height type prediction for each sound he"&amp;"ight. The computing system is based on the trained neural network. Computing systems receive current pitching information based on the current pitching information based on graphics -based representation and current context information. The computing syst"&amp;"em predicts the next pitching type of the next pitching that the pitcher is going to throw through the trained graphics neural network.")</f>
        <v>This article is publicly used to predict the next tone system and method. The computing system retrieves the stadium information one by one and the context information related to each stadium in each stadium in the stadium information. The computing system converts the ball -round information and the context of the game into multiple graphics -based representations. Figure neural network learning is based on a number of graph -based representatives to generate type height type prediction for each sound height. The computing system is based on the trained neural network. Computing systems receive current pitching information based on the current pitching information based on graphics -based representation and current context information. The computing system predicts the next pitching type of the next pitching that the pitcher is going to throw through the trained graphics neural network.</v>
      </c>
      <c r="D1648" s="6" t="s">
        <v>4756</v>
      </c>
      <c r="E1648" s="4" t="str">
        <f ca="1">IFERROR(__xludf.DUMMYFUNCTION("GOOGLETRANSLATE(D1648,""auto"",""en"")"),"The next height prediction method based on the figure")</f>
        <v>The next height prediction method based on the figure</v>
      </c>
    </row>
    <row r="1649" spans="1:5" ht="15" x14ac:dyDescent="0.25">
      <c r="A1649" s="5" t="s">
        <v>4757</v>
      </c>
      <c r="B1649" s="6" t="s">
        <v>4755</v>
      </c>
      <c r="C1649" s="3" t="str">
        <f ca="1">IFERROR(__xludf.DUMMYFUNCTION("GOOGLETRANSLATE(B1649,""auto"",""en"")"),"This article is publicly used to predict the next tone system and method. The computing system retrieves the stadium information one by one and the context information related to each stadium in each stadium in the stadium information. The computing syste"&amp;"m converts the ball -round information and the context of the game into multiple graphics -based representations. Figure neural network learning is based on a number of graph -based representatives to generate type height type prediction for each sound he"&amp;"ight. The computing system is based on the trained neural network. Computing systems receive current pitching information based on the current pitching information based on graphics -based representation and current context information. The computing syst"&amp;"em predicts the next pitching type of the next pitching that the pitcher is going to throw through the trained graphics neural network.")</f>
        <v>This article is publicly used to predict the next tone system and method. The computing system retrieves the stadium information one by one and the context information related to each stadium in each stadium in the stadium information. The computing system converts the ball -round information and the context of the game into multiple graphics -based representations. Figure neural network learning is based on a number of graph -based representatives to generate type height type prediction for each sound height. The computing system is based on the trained neural network. Computing systems receive current pitching information based on the current pitching information based on graphics -based representation and current context information. The computing system predicts the next pitching type of the next pitching that the pitcher is going to throw through the trained graphics neural network.</v>
      </c>
      <c r="D1649" s="6" t="s">
        <v>4758</v>
      </c>
      <c r="E1649" s="4" t="str">
        <f ca="1">IFERROR(__xludf.DUMMYFUNCTION("GOOGLETRANSLATE(D1649,""auto"",""en"")"),"The next sound prediction method based on the figure")</f>
        <v>The next sound prediction method based on the figure</v>
      </c>
    </row>
    <row r="1650" spans="1:5" ht="15" x14ac:dyDescent="0.25">
      <c r="A1650" s="5" t="s">
        <v>4759</v>
      </c>
      <c r="B1650" s="6" t="s">
        <v>4760</v>
      </c>
      <c r="C1650" s="3" t="str">
        <f ca="1">IFERROR(__xludf.DUMMYFUNCTION("GOOGLETRANSLATE(B1650,""auto"",""en"")"),"1. Design product name: Dynamic graphic user interface of the charging information of the display screen panel.
 2. Design product use: The display screen panel is used to display the graphical user interface.
 3. Design of the design of the product i"&amp;"n appearance: lies in the graphic user interface.
 4. Pictures or photos that can most indicate design points: main view.
 5. The purpose of the graphical user interface: It is used for human -machine interaction and realizing the function of display "&amp;"screen panels, and can be used to display information when charging the state, including the state of displaying charging.
 6. Human -computer interaction method of graphical user interface: Graphic user interface can interact with light strike or slidi"&amp;"ng graphic user interface, or by making the device located near the wireless charging source.
 7. Change state description of the graphic user interface: The appearance of the graphic user interface is changed between the main view, the state of change "&amp;"status, and the change state.
 8. The display screen panel can be applied to computers, laptops, monitors for vehicles, tablets, mobile phones, smartphones, smart bracelets, smart glasses, watches, smart watches, fitness monitor, headset headphones, per"&amp;"sonal numbers, personal numbers Assistant, smart speakers, television, monitor, projector, navigator, set -top box, game machine; display screen panels are commonly designed, so other views are omitted.")</f>
        <v>1. Design product name: Dynamic graphic user interface of the charging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information when charging the state, including the state of displaying charging.
 6. Human -computer interaction method of graphical user interface: Graphic user interface can interact with light strike or sliding graphic user interface, or by making the device located near the wireless charging source.
 7. Change state description of the graphic user interface: The appearance of the graphic user interface is changed between the main view, the state of change status, and the change state.
 8. The display screen panel can be applied to computers, laptops, monitors for vehicles, tablets, mobile phones, smartphones, smart bracelets, smart glasses, watches, smart watches, fitness monitor, headset headphones, personal numbers, personal numbers Assistant, smart speakers, television, monitor, projector, navigator, set -top box, game machine; display screen panels are commonly designed, so other views are omitted.</v>
      </c>
      <c r="D1650" s="6" t="s">
        <v>4761</v>
      </c>
      <c r="E1650" s="4" t="str">
        <f ca="1">IFERROR(__xludf.DUMMYFUNCTION("GOOGLETRANSLATE(D1650,""auto"",""en"")"),"The dynamic graphic user interface of the charging information of the display screen panel")</f>
        <v>The dynamic graphic user interface of the charging information of the display screen panel</v>
      </c>
    </row>
    <row r="1651" spans="1:5" ht="15" x14ac:dyDescent="0.25">
      <c r="A1651" s="5" t="s">
        <v>4762</v>
      </c>
      <c r="B1651" s="6" t="s">
        <v>4763</v>
      </c>
      <c r="C1651" s="3" t="str">
        <f ca="1">IFERROR(__xludf.DUMMYFUNCTION("GOOGLETRANSLATE(B1651,""auto"",""en"")"),"1. Design product name: The graphical user interface of the display status information of the display screen panel.
 2. Design product use: The display screen panel is used to display the graphical user interface.
 3. Design of the design of the produ"&amp;"ct in appearance: lies in the graphic user interface.
 4. Pictures or photos that can most indicate design points: main view.
 5. The purpose of the graphical user interface: for human -machine interaction and implementation of the display screen pane"&amp;"l, and can be used to display status information, including information about device and magnetic accessories or information located near magnetic accessories.
 6. Human -computer interaction method of graphical user interface: Graphic user interface ca"&amp;"n interact with light strike or sliding graphic user interface, or by making the device located near the magnetic accessories.
 7. The display screen panel can be applied to computers, laptops, monitors for vehicles, tablets, mobile phones, smartphones,"&amp;" smart bracelets, smart glasses, watches, smart watches, fitness monitor, headset headphones, personal numbers, personal numbers Assistant, smart speakers, television, monitor, projector, navigator, set -top box, game machine; display screen panels are co"&amp;"mmonly designed, so other views are omitted.")</f>
        <v>1. Design product name: The graphical user interface of the display status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status information, including information about device and magnetic accessories or information located near magnetic accessories.
 6. Human -computer interaction method of graphical user interface: Graphic user interface can interact with light strike or sliding graphic user interface, or by making the device located near the magnetic accessories.
 7. The display screen panel can be applied to computers, laptops, monitors for vehicles, tablets, mobile phones, smartphones, smart bracelets, smart glasses, watches, smart watches, fitness monitor, headset headphones, personal numbers, personal numbers Assistant, smart speakers, television, monitor, projector, navigator, set -top box, game machine; display screen panels are commonly designed, so other views are omitted.</v>
      </c>
      <c r="D1651" s="6" t="s">
        <v>4764</v>
      </c>
      <c r="E1651" s="4" t="str">
        <f ca="1">IFERROR(__xludf.DUMMYFUNCTION("GOOGLETRANSLATE(D1651,""auto"",""en"")"),"Graphic user interface of display status information of the display screen panel")</f>
        <v>Graphic user interface of display status information of the display screen panel</v>
      </c>
    </row>
    <row r="1652" spans="1:5" ht="15" x14ac:dyDescent="0.25">
      <c r="A1652" s="5" t="s">
        <v>4765</v>
      </c>
      <c r="B1652" s="6" t="s">
        <v>4763</v>
      </c>
      <c r="C1652" s="3" t="str">
        <f ca="1">IFERROR(__xludf.DUMMYFUNCTION("GOOGLETRANSLATE(B1652,""auto"",""en"")"),"1. Design product name: The graphical user interface of the display status information of the display screen panel.
 2. Design product use: The display screen panel is used to display the graphical user interface.
 3. Design of the design of the produ"&amp;"ct in appearance: lies in the graphic user interface.
 4. Pictures or photos that can most indicate design points: main view.
 5. The purpose of the graphical user interface: for human -machine interaction and implementation of the display screen pane"&amp;"l, and can be used to display status information, including information about device and magnetic accessories or information located near magnetic accessories.
 6. Human -computer interaction method of graphical user interface: Graphic user interface ca"&amp;"n interact with light strike or sliding graphic user interface, or by making the device located near the magnetic accessories.
 7. The display screen panel can be applied to computers, laptops, monitors for vehicles, tablets, mobile phones, smartphones,"&amp;" smart bracelets, smart glasses, watches, smart watches, fitness monitor, headset headphones, personal numbers, personal numbers Assistant, smart speakers, television, monitor, projector, navigator, set -top box, game machine; display screen panels are co"&amp;"mmonly designed, so other views are omitted.")</f>
        <v>1. Design product name: The graphical user interface of the display status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status information, including information about device and magnetic accessories or information located near magnetic accessories.
 6. Human -computer interaction method of graphical user interface: Graphic user interface can interact with light strike or sliding graphic user interface, or by making the device located near the magnetic accessories.
 7. The display screen panel can be applied to computers, laptops, monitors for vehicles, tablets, mobile phones, smartphones, smart bracelets, smart glasses, watches, smart watches, fitness monitor, headset headphones, personal numbers, personal numbers Assistant, smart speakers, television, monitor, projector, navigator, set -top box, game machine; display screen panels are commonly designed, so other views are omitted.</v>
      </c>
      <c r="D1652" s="6" t="s">
        <v>4764</v>
      </c>
      <c r="E1652" s="4" t="str">
        <f ca="1">IFERROR(__xludf.DUMMYFUNCTION("GOOGLETRANSLATE(D1652,""auto"",""en"")"),"Graphic user interface of display status information of the display screen panel")</f>
        <v>Graphic user interface of display status information of the display screen panel</v>
      </c>
    </row>
    <row r="1653" spans="1:5" ht="15" x14ac:dyDescent="0.25">
      <c r="A1653" s="5" t="s">
        <v>4766</v>
      </c>
      <c r="B1653" s="6" t="s">
        <v>4767</v>
      </c>
      <c r="C1653" s="3" t="str">
        <f ca="1">IFERROR(__xludf.DUMMYFUNCTION("GOOGLETRANSLATE(B1653,""auto"",""en"")"),"This document proposes a system and method of applying machine learning and deep learning technology to improve service results by allowing new methods that allow service providers to match with customers. The system and methods involve the collection of "&amp;"data and potential preferences of service providers and clients, as well as data of attributes, as well as results related to results and results of competition quality. By using deep learning methods to analyze this data and determine potential variables"&amp;" and non -linear relationships, the system can predict that the matching of service providers and customers is most likely to lead to the required results. This system and method can be applied to any professional relationship of personality factors and r"&amp;"elationship compatibility, which can indicate the results of expectations. These include but are not limited to clinicians, educators, professional customers and salesperson -customer relationship.")</f>
        <v>This document proposes a system and method of applying machine learning and deep learning technology to improve service results by allowing new methods that allow service providers to match with customers. The system and methods involve the collection of data and potential preferences of service providers and clients, as well as data of attributes, as well as results related to results and results of competition quality. By using deep learning methods to analyze this data and determine potential variables and non -linear relationships, the system can predict that the matching of service providers and customers is most likely to lead to the required results. This system and method can be applied to any professional relationship of personality factors and relationship compatibility, which can indicate the results of expectations. These include but are not limited to clinicians, educators, professional customers and salesperson -customer relationship.</v>
      </c>
      <c r="D1653" s="6" t="s">
        <v>4768</v>
      </c>
      <c r="E1653" s="4" t="str">
        <f ca="1">IFERROR(__xludf.DUMMYFUNCTION("GOOGLETRANSLATE(D1653,""auto"",""en"")"),"Use artificial intelligence technology to improve service results")</f>
        <v>Use artificial intelligence technology to improve service results</v>
      </c>
    </row>
    <row r="1654" spans="1:5" ht="15" x14ac:dyDescent="0.25">
      <c r="A1654" s="5" t="s">
        <v>4769</v>
      </c>
      <c r="B1654" s="6" t="s">
        <v>4770</v>
      </c>
      <c r="C1654" s="3" t="str">
        <f ca="1">IFERROR(__xludf.DUMMYFUNCTION("GOOGLETRANSLATE(B1654,""auto"",""en"")"),"This article discloses a system and method for predicting the next pitching. Calculate the system to retrieve multiple events for multiple events and the background information associated with each pitching information in one time. The computing system co"&amp;"nverts the balloles and background information one by one to multiple figure -based representations. The neural network is based on a variety of figures based on the exponents of graphs to generate a pitch type prediction for each pitching. The computing "&amp;"system generates the neural network after training. The computing system receives the current pitching information of the current pitch and the current picture based on the background information of the current game. The computing system can predict the n"&amp;"ext pitching type of the next pitching of the current pitch throwing by the current pitch.")</f>
        <v>This article discloses a system and method for predicting the next pitching. Calculate the system to retrieve multiple events for multiple events and the background information associated with each pitching information in one time. The computing system converts the balloles and background information one by one to multiple figure -based representations. The neural network is based on a variety of figures based on the exponents of graphs to generate a pitch type prediction for each pitching. The computing system generates the neural network after training. The computing system receives the current pitching information of the current pitch and the current picture based on the background information of the current game. The computing system can predict the next pitching type of the next pitching of the current pitch throwing by the current pitch.</v>
      </c>
      <c r="D1654" s="6" t="s">
        <v>4771</v>
      </c>
      <c r="E1654" s="4" t="str">
        <f ca="1">IFERROR(__xludf.DUMMYFUNCTION("GOOGLETRANSLATE(D1654,""auto"",""en"")"),"The next pitching prediction method based on the figure")</f>
        <v>The next pitching prediction method based on the figure</v>
      </c>
    </row>
    <row r="1655" spans="1:5" ht="15" x14ac:dyDescent="0.25">
      <c r="A1655" s="5" t="s">
        <v>4772</v>
      </c>
      <c r="B1655" s="6" t="s">
        <v>4753</v>
      </c>
      <c r="C1655" s="3" t="str">
        <f ca="1">IFERROR(__xludf.DUMMYFUNCTION("GOOGLETRANSLATE(B1655,""auto"",""en"")"),"This article revealed a system and method for calibrating broadcast video feedback. One computing system retrieval includes multiple broadcast video feedback of multiple video frames. The computing system generates multiple training datasets based on broa"&amp;"dcast video feedback and generates the training neural network for each frame to generate the matrix of each frame through the neural network to generate the matrix of each frame. The computing system receives the target sports event target broadcast vide"&amp;"o feedback. The computing system sends the target broadcast video into multiple target frames. The computing system generates the target matrix of each target frame through the neural network as a target frame in multiple target frames. The computing syst"&amp;"em can calibrate the target broadcast video feedback by using the corresponding target single matrix to distort each target frame.")</f>
        <v>This article revealed a system and method for calibrating broadcast video feedback. One computing system retrieval includes multiple broadcast video feedback of multiple video frames. The computing system generates multiple training datasets based on broadcast video feedback and generates the training neural network for each frame to generate the matrix of each frame through the neural network to generate the matrix of each frame. The computing system receives the target sports event target broadcast video feedback. The computing system sends the target broadcast video into multiple target frames. The computing system generates the target matrix of each target frame through the neural network as a target frame in multiple target frames. The computing system can calibrate the target broadcast video feedback by using the corresponding target single matrix to distort each target frame.</v>
      </c>
      <c r="D1655" s="6" t="s">
        <v>4751</v>
      </c>
      <c r="E1655" s="4" t="str">
        <f ca="1">IFERROR(__xludf.DUMMYFUNCTION("GOOGLETRANSLATE(D1655,""auto"",""en"")"),"The end -to -end camera calibration of the broadcast video")</f>
        <v>The end -to -end camera calibration of the broadcast video</v>
      </c>
    </row>
    <row r="1656" spans="1:5" ht="15" x14ac:dyDescent="0.25">
      <c r="A1656" s="5" t="s">
        <v>4773</v>
      </c>
      <c r="B1656" s="6" t="s">
        <v>4755</v>
      </c>
      <c r="C1656" s="3" t="str">
        <f ca="1">IFERROR(__xludf.DUMMYFUNCTION("GOOGLETRANSLATE(B1656,""auto"",""en"")"),"This article is publicly used to predict the next tone system and method. The computing system retrieves the stadium information one by one and the context information related to each stadium in each stadium in the stadium information. The computing syste"&amp;"m converts the ball -round information and the context of the game into multiple graphics -based representations. Figure neural network learning is based on a number of graph -based representatives to generate type height type prediction for each sound he"&amp;"ight. The computing system is based on the trained neural network. Computing systems receive current pitching information based on the current pitching information based on graphics -based representation and current context information. The computing syst"&amp;"em predicts the next pitching type of the next pitching that the pitcher is going to throw through the trained graphics neural network.")</f>
        <v>This article is publicly used to predict the next tone system and method. The computing system retrieves the stadium information one by one and the context information related to each stadium in each stadium in the stadium information. The computing system converts the ball -round information and the context of the game into multiple graphics -based representations. Figure neural network learning is based on a number of graph -based representatives to generate type height type prediction for each sound height. The computing system is based on the trained neural network. Computing systems receive current pitching information based on the current pitching information based on graphics -based representation and current context information. The computing system predicts the next pitching type of the next pitching that the pitcher is going to throw through the trained graphics neural network.</v>
      </c>
      <c r="D1656" s="6" t="s">
        <v>4758</v>
      </c>
      <c r="E1656" s="4" t="str">
        <f ca="1">IFERROR(__xludf.DUMMYFUNCTION("GOOGLETRANSLATE(D1656,""auto"",""en"")"),"The next sound prediction method based on the figure")</f>
        <v>The next sound prediction method based on the figure</v>
      </c>
    </row>
    <row r="1657" spans="1:5" ht="15" x14ac:dyDescent="0.25">
      <c r="A1657" s="5" t="s">
        <v>4774</v>
      </c>
      <c r="B1657" s="6" t="s">
        <v>4775</v>
      </c>
      <c r="C1657" s="3" t="str">
        <f ca="1">IFERROR(__xludf.DUMMYFUNCTION("GOOGLETRANSLATE(B1657,""auto"",""en"")"),"The invention involves a monitoring speaker control system using IoT (IoT). More specifically, it involves a large number of people gathering in a large number of people in churches, gymnasiums, auditoriums, indoor performance halls, or outdoor performanc"&amp;"e halls, so that the audience can hear the audio system of performance or speech content. A control system, which is used to control the sound output of the speaker in the audio system of the conference facility, including multiple main speakers for outpu"&amp;"t and multiple monitor speakers for output monitor sounds. Therefore To them. Because the distance between the microphone and the distance between the monitoring speakers automatically calculate the sound according to the monitoring speaker control system"&amp;" of the present invention to control the sound, even if the performer performs or spoke when the stage moves on the stage, the sound of his/her magnifying sound passes through the passing sound of it. The audio system transmission can clearly hear the sou"&amp;"nd through the monitoring speaker, and to prevent the sound of the screaming phenomenon that appears when the performer's microphone is enlarged into the performer microphone. In addition, when multiple performers performed, each performer can hear his vo"&amp;"ice more clearly than the voice of other performers, which can improve the performance quality of the performer.")</f>
        <v>The invention involves a monitoring speaker control system using IoT (IoT). More specifically, it involves a large number of people gathering in a large number of people in churches, gymnasiums, auditoriums, indoor performance halls, or outdoor performance halls, so that the audience can hear the audio system of performance or speech content. A control system, which is used to control the sound output of the speaker in the audio system of the conference facility, including multiple main speakers for output and multiple monitor speakers for output monitor sounds. Therefore To them. Because the distance between the microphone and the distance between the monitoring speakers automatically calculate the sound according to the monitoring speaker control system of the present invention to control the sound, even if the performer performs or spoke when the stage moves on the stage, the sound of his/her magnifying sound passes through the passing sound of it. The audio system transmission can clearly hear the sound through the monitoring speaker, and to prevent the sound of the screaming phenomenon that appears when the performer's microphone is enlarged into the performer microphone. In addition, when multiple performers performed, each performer can hear his voice more clearly than the voice of other performers, which can improve the performance quality of the performer.</v>
      </c>
      <c r="D1657" s="6" t="s">
        <v>4776</v>
      </c>
      <c r="E1657" s="4" t="str">
        <f ca="1">IFERROR(__xludf.DUMMYFUNCTION("GOOGLETRANSLATE(D1657,""auto"",""en"")"),"Use the Internet of Things monitoring speaker control system")</f>
        <v>Use the Internet of Things monitoring speaker control system</v>
      </c>
    </row>
    <row r="1658" spans="1:5" ht="15" x14ac:dyDescent="0.25">
      <c r="A1658" s="5" t="s">
        <v>4777</v>
      </c>
      <c r="B1658" s="6" t="s">
        <v>4778</v>
      </c>
      <c r="C1658" s="3" t="str">
        <f ca="1">IFERROR(__xludf.DUMMYFUNCTION("GOOGLETRANSLATE(B1658,""auto"",""en"")"),"The present invention involves a user terminal owned by a user; the coach terminal owned by the coaches provided by the coach with exercise services; the survey information received from the user terminal is matched with one of the coach terminals, and ba"&amp;"sed on matching coaches that match the matching coach The user posture information measured by the terminal is used to develop user customization. It involves customized exercise prescriptions based on artificial intelligence systems, including recommende"&amp;"d posture correction and posture correction products.")</f>
        <v>The present invention involves a user terminal owned by a user; the coach terminal owned by the coaches provided by the coach with exercise services; the survey information received from the user terminal is matched with one of the coach terminals, and based on matching coaches that match the matching coach The user posture information measured by the terminal is used to develop user customization. It involves customized exercise prescriptions based on artificial intelligence systems, including recommended posture correction and posture correction products.</v>
      </c>
      <c r="D1658" s="6" t="s">
        <v>4779</v>
      </c>
      <c r="E1658" s="4" t="str">
        <f ca="1">IFERROR(__xludf.DUMMYFUNCTION("GOOGLETRANSLATE(D1658,""auto"",""en"")"),"Customized motion prescription system based on artificial intelligence")</f>
        <v>Customized motion prescription system based on artificial intelligence</v>
      </c>
    </row>
    <row r="1659" spans="1:5" ht="15" x14ac:dyDescent="0.25">
      <c r="A1659" s="5" t="s">
        <v>4780</v>
      </c>
      <c r="B1659" s="6" t="s">
        <v>4781</v>
      </c>
      <c r="C1659" s="3" t="str">
        <f ca="1">IFERROR(__xludf.DUMMYFUNCTION("GOOGLETRANSLATE(B1659,""auto"",""en"")"),"The invention can identify and track the target (kick, passing, football) in various race radar sensors installed in the experiencing football field, and then detect the vector information of various objects of the player object, including: including: inc"&amp;"luding: Generate the movement of the passing player, the action of the players' various body, and the trajectory information of the football, and run the virtual football game based on the generated vector information, so as to provide information about a"&amp;"ctual players. Not only is it accurate, but also played virtual football games based on the player's playback, which significantly increases the authenticity, interest and interest of virtual football games, and artificial intelligence -based experiential"&amp;" football games. The game operation server pre -learning the optimal kick detection, use the algorithm to analyze the target vector information and game information from the local server, detect the best kick information of the player, and transmit it to "&amp;"the local server. At the same time, the local server runs An artificial intelligence -based experience football game shows the best kick information received from the server at the display terminal. The player can refer to the best playback information ac"&amp;"cording to the current virtual football game environment, thereby improving the efficiency of playing football exercises And effect/Training Can Be Maximized and the Player This is an experiential football game operating system using lidar sensors and big"&amp;" data, which can increase participation by attracting interests and fun.")</f>
        <v>The invention can identify and track the target (kick, passing, football) in various race radar sensors installed in the experiencing football field, and then detect the vector information of various objects of the player object, including: including: including: Generate the movement of the passing player, the action of the players' various body, and the trajectory information of the football, and run the virtual football game based on the generated vector information, so as to provide information about actual players. Not only is it accurate, but also played virtual football games based on the player's playback, which significantly increases the authenticity, interest and interest of virtual football games, and artificial intelligence -based experiential football games. The game operation server pre -learning the optimal kick detection, use the algorithm to analyze the target vector information and game information from the local server, detect the best kick information of the player, and transmit it to the local server. At the same time, the local server runs An artificial intelligence -based experience football game shows the best kick information received from the server at the display terminal. The player can refer to the best playback information according to the current virtual football game environment, thereby improving the efficiency of playing football exercises And effect/Training Can Be Maximized and the Player This is an experiential football game operating system using lidar sensors and big data, which can increase participation by attracting interests and fun.</v>
      </c>
      <c r="D1659" s="6" t="s">
        <v>4782</v>
      </c>
      <c r="E1659" s="4" t="str">
        <f ca="1">IFERROR(__xludf.DUMMYFUNCTION("GOOGLETRANSLATE(D1659,""auto"",""en"")"),"Experience football competition operation system based on laser radar sensors and big data")</f>
        <v>Experience football competition operation system based on laser radar sensors and big data</v>
      </c>
    </row>
    <row r="1660" spans="1:5" ht="15" x14ac:dyDescent="0.25">
      <c r="A1660" s="5" t="s">
        <v>4783</v>
      </c>
      <c r="B1660" s="6" t="s">
        <v>4784</v>
      </c>
      <c r="C1660" s="3" t="str">
        <f ca="1">IFERROR(__xludf.DUMMYFUNCTION("GOOGLETRANSLATE(B1660,""auto"",""en"")"),"This application provides a method, device and computer storage medium based on computer vision for training action recognition. The method includes: the relationship between the human characteristics of the human body and the ground according to the vari"&amp;"ous related human characteristics of the technical actions, and the human body that forms technical actions that forms technical actions The location relationship between the characteristic points forms the digital description of the technical movement; t"&amp;"he video stream in the process of real -time capture of the computer vision, and the real -time extraordinary human characteristics of the training movement of the training movement from the video stream; The relationship between the human characteristics"&amp;" points of each associated human body and the ground, as well as the position relationship between the associated human characteristics of each association that forms the training action, forms a digital description of the training action; Whether the tra"&amp;"ining action is standardized. This application does not need to rely on professional coaches to conduct the standard of training action.")</f>
        <v>This application provides a method, device and computer storage medium based on computer vision for training action recognition. The method includes: the relationship between the human characteristics of the human body and the ground according to the various related human characteristics of the technical actions, and the human body that forms technical actions that forms technical actions The location relationship between the characteristic points forms the digital description of the technical movement; the video stream in the process of real -time capture of the computer vision, and the real -time extraordinary human characteristics of the training movement of the training movement from the video stream; The relationship between the human characteristics points of each associated human body and the ground, as well as the position relationship between the associated human characteristics of each association that forms the training action, forms a digital description of the training action; Whether the training action is standardized. This application does not need to rely on professional coaches to conduct the standard of training action.</v>
      </c>
      <c r="D1660" s="6" t="s">
        <v>4785</v>
      </c>
      <c r="E1660" s="4" t="str">
        <f ca="1">IFERROR(__xludf.DUMMYFUNCTION("GOOGLETRANSLATE(D1660,""auto"",""en"")"),"Methods and devices based on computer vision for training action recognition")</f>
        <v>Methods and devices based on computer vision for training action recognition</v>
      </c>
    </row>
    <row r="1661" spans="1:5" ht="15" x14ac:dyDescent="0.25">
      <c r="A1661" s="5" t="s">
        <v>4786</v>
      </c>
      <c r="B1661" s="6" t="s">
        <v>4787</v>
      </c>
      <c r="C1661" s="3" t="str">
        <f ca="1">IFERROR(__xludf.DUMMYFUNCTION("GOOGLETRANSLATE(B1661,""auto"",""en"")"),"A system for generating and maintaining virtual assistants, which helps the system's psychological methods to improve health and self -care. Through interaction with the assistant, patients can interact with the creation of personalized health improvement"&amp;" plans, and adjust the artificial intelligence analysis of data collected from patients through sensors or patients through sensors or patients. The system can dynamically improve health suggestions based on the patient's response to the system. A calcula"&amp;"tion method, statistical infer of the biological physical parameters defining the internal physical physical simulation environment of artificial intelligence, and infer the artificial neural network. The corresponding method depends on the internal biolo"&amp;"gical physical network. The network is calculated to copy the unique and healthy physiological process of patients, and use psychological technology to promote the healthy improvement of patients.")</f>
        <v>A system for generating and maintaining virtual assistants, which helps the system's psychological methods to improve health and self -care. Through interaction with the assistant, patients can interact with the creation of personalized health improvement plans, and adjust the artificial intelligence analysis of data collected from patients through sensors or patients through sensors or patients. The system can dynamically improve health suggestions based on the patient's response to the system. A calculation method, statistical infer of the biological physical parameters defining the internal physical physical simulation environment of artificial intelligence, and infer the artificial neural network. The corresponding method depends on the internal biological physical network. The network is calculated to copy the unique and healthy physiological process of patients, and use psychological technology to promote the healthy improvement of patients.</v>
      </c>
      <c r="D1661" s="6" t="s">
        <v>4788</v>
      </c>
      <c r="E1661" s="4" t="str">
        <f ca="1">IFERROR(__xludf.DUMMYFUNCTION("GOOGLETRANSLATE(D1661,""auto"",""en"")"),"Systems and methods for automation health and fitness recommendations")</f>
        <v>Systems and methods for automation health and fitness recommendations</v>
      </c>
    </row>
    <row r="1662" spans="1:5" ht="15" x14ac:dyDescent="0.25">
      <c r="A1662" s="5" t="s">
        <v>4789</v>
      </c>
      <c r="B1662" s="6" t="s">
        <v>4790</v>
      </c>
      <c r="C1662" s="3" t="str">
        <f ca="1">IFERROR(__xludf.DUMMYFUNCTION("GOOGLETRANSLATE(B1662,""auto"",""en"")"),"The biological characteristic authentication system is a mode of identification system for modern human certification system. It requires personal biological characteristics data. It automatically recognizes human beings with the help of records and diffe"&amp;"rent methods stored in databases. These biological characteristics are extracted from different biological areas of human beings, mainly human faces, fingerprints, iris, palm lines and sounds. A single biological authentication system with a single biolog"&amp;"ical modal modulus uses a single biological entity. Single -modal artificial certification system has low security, poor reliability, and lack of availability. Multi -model biological characteristics Human certification systems use a variety of ways to pe"&amp;"rform biological characteristics, which is more secure, reliable and sufficiently available. The invention open here is a security human authentication system that uses artificial neural networks with three -level multi -model biological characteristics, "&amp;"including: face (201); fingerprint (202); palm liner (203); pre -processing (204 (204) ); Feature extraction (205); competition score (206); fusion (207); classifier (208); database (209); certification (210); through three different ways to provide three"&amp;" levels of security system security systems with three levels of security systems. Essence The combination of unchanged feature transformation (SIFT) and accelerated robust features (SURF) disclosure of the invention in this article is used to classify th"&amp;"e features, characteristic level fusion, and artificial neural network (ANN) as a classifier to classify the features and improve certification speed. The certification rate of the present invention is 95.59%.")</f>
        <v>The biological characteristic authentication system is a mode of identification system for modern human certification system. It requires personal biological characteristics data. It automatically recognizes human beings with the help of records and different methods stored in databases. These biological characteristics are extracted from different biological areas of human beings, mainly human faces, fingerprints, iris, palm lines and sounds. A single biological authentication system with a single biological modal modulus uses a single biological entity. Single -modal artificial certification system has low security, poor reliability, and lack of availability. Multi -model biological characteristics Human certification systems use a variety of ways to perform biological characteristics, which is more secure, reliable and sufficiently available. The invention open here is a security human authentication system that uses artificial neural networks with three -level multi -model biological characteristics, including: face (201); fingerprint (202); palm liner (203); pre -processing (204 (204) ); Feature extraction (205); competition score (206); fusion (207); classifier (208); database (209); certification (210); through three different ways to provide three levels of security system security systems with three levels of security systems. Essence The combination of unchanged feature transformation (SIFT) and accelerated robust features (SURF) disclosure of the invention in this article is used to classify the features, characteristic level fusion, and artificial neural network (ANN) as a classifier to classify the features and improve certification speed. The certification rate of the present invention is 95.59%.</v>
      </c>
      <c r="D1662" s="6" t="s">
        <v>4791</v>
      </c>
      <c r="E1662" s="4" t="str">
        <f ca="1">IFERROR(__xludf.DUMMYFUNCTION("GOOGLETRANSLATE(D1662,""auto"",""en"")"),"Safety human certification system with artificial neural networks with three -level multi -model biological characteristics")</f>
        <v>Safety human certification system with artificial neural networks with three -level multi -model biological characteristics</v>
      </c>
    </row>
    <row r="1663" spans="1:5" ht="15" x14ac:dyDescent="0.25">
      <c r="A1663" s="5" t="s">
        <v>4792</v>
      </c>
      <c r="B1663" s="6" t="s">
        <v>4793</v>
      </c>
      <c r="C1663" s="3" t="str">
        <f ca="1">IFERROR(__xludf.DUMMYFUNCTION("GOOGLETRANSLATE(B1663,""auto"",""en"")"),"A method, device, electronic equipment and storage medium for training vertical dynamics models.
  The present invention involves the field of intelligent driving technology and deep learning technology. Specifically, obtain the vertical dynamic model o"&amp;"f the vehicle (S101), and obtain the historical driving data (S102) during the vehicle driving process. With historical acceleration, training data is generated according to historical stamping and historical running speed, and the input vertical dynamic "&amp;"model is entered to obtain mechanical vertical power students to form a prediction data model (S103); Data training vertical dynamics model (S105). The invention plan effectively reduces the control error in the actual control of the vehicle scene.
  【S"&amp;"election Figure】 Figure 1")</f>
        <v>A method, device, electronic equipment and storage medium for training vertical dynamics models.
  The present invention involves the field of intelligent driving technology and deep learning technology. Specifically, obtain the vertical dynamic model of the vehicle (S101), and obtain the historical driving data (S102) during the vehicle driving process. With historical acceleration, training data is generated according to historical stamping and historical running speed, and the input vertical dynamic model is entered to obtain mechanical vertical power students to form a prediction data model (S103); Data training vertical dynamics model (S105). The invention plan effectively reduces the control error in the actual control of the vehicle scene.
  【Selection Figure】 Figure 1</v>
      </c>
      <c r="D1663" s="6" t="s">
        <v>4794</v>
      </c>
      <c r="E1663" s="4" t="str">
        <f ca="1">IFERROR(__xludf.DUMMYFUNCTION("GOOGLETRANSLATE(D1663,""auto"",""en"")"),"Training methods, devices and equipment for vertical dynamics model")</f>
        <v>Training methods, devices and equipment for vertical dynamics model</v>
      </c>
    </row>
    <row r="1664" spans="1:5" ht="15" x14ac:dyDescent="0.25">
      <c r="A1664" s="5" t="s">
        <v>4795</v>
      </c>
      <c r="B1664" s="6" t="s">
        <v>4796</v>
      </c>
      <c r="C1664" s="3" t="str">
        <f ca="1">IFERROR(__xludf.DUMMYFUNCTION("GOOGLETRANSLATE(B1664,""auto"",""en"")"),"This application disclosed a disinfection shoe cabinet based on the Internet of Things, which belongs to the shoe cabinet for storage of sports shoes. The inner cabinet has an outer cylinder inside The outer side of the cylinder is connected through the s"&amp;"ide of the crosswood and the side cabinet. The adjacent outer cylinder is connected by connecting the horizontal plate. The upper part of the body has a top air inlet and side inlet. There are several bottom outlets at the bottom of the inner cabinet, and"&amp;" the bottom outlet is connected to the bottom out of the air duct. The driver of the tube and the outer cabinet is connected. UV lamps, ultraviolet lights, drivers and purification devices of ultraviolet lights, ultraviolet lights, and outer cabinets are "&amp;"set on the top of the outer cylinder. It can provide athletes that integrate disinfection functions in the track and field sports field to avoid bacterial breeding caused by air in the air in the way of storage of the athletes.")</f>
        <v>This application disclosed a disinfection shoe cabinet based on the Internet of Things, which belongs to the shoe cabinet for storage of sports shoes. The inner cabinet has an outer cylinder inside The outer side of the cylinder is connected through the side of the crosswood and the side cabinet. The adjacent outer cylinder is connected by connecting the horizontal plate. The upper part of the body has a top air inlet and side inlet. There are several bottom outlets at the bottom of the inner cabinet, and the bottom outlet is connected to the bottom out of the air duct. The driver of the tube and the outer cabinet is connected. UV lamps, ultraviolet lights, drivers and purification devices of ultraviolet lights, ultraviolet lights, and outer cabinets are set on the top of the outer cylinder. It can provide athletes that integrate disinfection functions in the track and field sports field to avoid bacterial breeding caused by air in the air in the way of storage of the athletes.</v>
      </c>
      <c r="D1664" s="6" t="s">
        <v>4797</v>
      </c>
      <c r="E1664" s="4" t="str">
        <f ca="1">IFERROR(__xludf.DUMMYFUNCTION("GOOGLETRANSLATE(D1664,""auto"",""en"")"),"Disinfected shoe cabinet based on the Internet of Things")</f>
        <v>Disinfected shoe cabinet based on the Internet of Things</v>
      </c>
    </row>
    <row r="1665" spans="1:5" ht="15" x14ac:dyDescent="0.25">
      <c r="A1665" s="5" t="s">
        <v>4798</v>
      </c>
      <c r="B1665" s="6" t="s">
        <v>4799</v>
      </c>
      <c r="C1665" s="3" t="str">
        <f ca="1">IFERROR(__xludf.DUMMYFUNCTION("GOOGLETRANSLATE(B1665,""auto"",""en"")"),"According to this disclosure, a method of operating an electronic equipment to check the operation of the plasma includes the value of at least one parameter of the plasma in a certain time unit, and the value of at least one parameter obtained in a certa"&amp;"in time unit. Based on the application of the value of the first machine learning algorithm, check the motion information corresponding to the multiple time interval in the unit of a certain time unit; The information time interval is distinguished from e"&amp;"ach other; and the operation information of the plasma is checked based on the operation information corresponding to each or more operation interval.")</f>
        <v>According to this disclosure, a method of operating an electronic equipment to check the operation of the plasma includes the value of at least one parameter of the plasma in a certain time unit, and the value of at least one parameter obtained in a certain time unit. Based on the application of the value of the first machine learning algorithm, check the motion information corresponding to the multiple time interval in the unit of a certain time unit; The information time interval is distinguished from each other; and the operation information of the plasma is checked based on the operation information corresponding to each or more operation interval.</v>
      </c>
      <c r="D1665" s="6" t="s">
        <v>4800</v>
      </c>
      <c r="E1665" s="4" t="str">
        <f ca="1">IFERROR(__xludf.DUMMYFUNCTION("GOOGLETRANSLATE(D1665,""auto"",""en"")"),"For electronic equipment and operation methods for checking plasma exercises")</f>
        <v>For electronic equipment and operation methods for checking plasma exercises</v>
      </c>
    </row>
    <row r="1666" spans="1:5" ht="15" x14ac:dyDescent="0.25">
      <c r="A1666" s="5" t="s">
        <v>4801</v>
      </c>
      <c r="B1666" s="6" t="s">
        <v>4802</v>
      </c>
      <c r="C1666" s="3" t="str">
        <f ca="1">IFERROR(__xludf.DUMMYFUNCTION("GOOGLETRANSLATE(B1666,""auto"",""en"")"),"The present invention involves a kind of ice exercise training system, including: main body 1, which has a skating rink configured in the first and second parts of the first and second parts. Performance unit based on artificial intelligence determines th"&amp;"e conditions of the skating rink and the movement of the user based on the movement of the exercise. The skating rink heavy -duty module 7,8 is used to help the ice -shaving layer. The communication module and the module used to transmit users and venue c"&amp;"ompetition information to display unit 4 and projection unit 6 to display visual signals about skill improvement from imaging unit 5 to receive outputs based on different training modes. It is used to train users to play games Then, then")</f>
        <v>The present invention involves a kind of ice exercise training system, including: main body 1, which has a skating rink configured in the first and second parts of the first and second parts. Performance unit based on artificial intelligence determines the conditions of the skating rink and the movement of the user based on the movement of the exercise. The skating rink heavy -duty module 7,8 is used to help the ice -shaving layer. The communication module and the module used to transmit users and venue competition information to display unit 4 and projection unit 6 to display visual signals about skill improvement from imaging unit 5 to receive outputs based on different training modes. It is used to train users to play games Then, then</v>
      </c>
      <c r="D1666" s="6" t="s">
        <v>4803</v>
      </c>
      <c r="E1666" s="4" t="str">
        <f ca="1">IFERROR(__xludf.DUMMYFUNCTION("GOOGLETRANSLATE(D1666,""auto"",""en"")"),"Ice Sports Training System")</f>
        <v>Ice Sports Training System</v>
      </c>
    </row>
    <row r="1667" spans="1:5" ht="15" x14ac:dyDescent="0.25">
      <c r="A1667" s="5" t="s">
        <v>4804</v>
      </c>
      <c r="B1667" s="6" t="s">
        <v>4805</v>
      </c>
      <c r="C1667" s="3" t="str">
        <f ca="1">IFERROR(__xludf.DUMMYFUNCTION("GOOGLETRANSLATE(B1667,""auto"",""en"")"),"The present invention disclosed an Internet -based swimming pool water quality online monitoring and control system, which is used in the field of water quality monitoring technology, including: sensor modules, data processing modules, central processing "&amp;"modules, data receiving modules, server, regulatory departments monitoring terminals And user monitoring group. The present invention obtains water quality data by setting multiple parameter sensors in the swimming pool, realizing multi -parameter and rea"&amp;"l -time monitoring, transmitting water quality parameter data by data processing, and realizing direct alarm prompts. The result is intuitive; based on the Internet of Things, through server and monitoring Terminal, realize remote centralized monitoring, "&amp;"save costs and responses rapidly.")</f>
        <v>The present invention disclosed an Internet -based swimming pool water quality online monitoring and control system, which is used in the field of water quality monitoring technology, including: sensor modules, data processing modules, central processing modules, data receiving modules, server, regulatory departments monitoring terminals And user monitoring group. The present invention obtains water quality data by setting multiple parameter sensors in the swimming pool, realizing multi -parameter and real -time monitoring, transmitting water quality parameter data by data processing, and realizing direct alarm prompts. The result is intuitive; based on the Internet of Things, through server and monitoring Terminal, realize remote centralized monitoring, save costs and responses rapidly.</v>
      </c>
      <c r="D1667" s="6" t="s">
        <v>4806</v>
      </c>
      <c r="E1667" s="4" t="str">
        <f ca="1">IFERROR(__xludf.DUMMYFUNCTION("GOOGLETRANSLATE(D1667,""auto"",""en"")"),"An online monitoring and control system based on the Internet of Things pool water quality")</f>
        <v>An online monitoring and control system based on the Internet of Things pool water quality</v>
      </c>
    </row>
    <row r="1668" spans="1:5" ht="15" x14ac:dyDescent="0.25">
      <c r="A1668" s="5" t="s">
        <v>4807</v>
      </c>
      <c r="B1668" s="6" t="s">
        <v>4808</v>
      </c>
      <c r="C1668" s="3" t="str">
        <f ca="1">IFERROR(__xludf.DUMMYFUNCTION("GOOGLETRANSLATE(B1668,""auto"",""en"")"),"A fitness device, including: Frame 1, Frame 1 set up multiple wheels 2, wheel 2 auxiliary framework 1 movement; electric sliding rail, set up a pair of electric roller wheels, rolling wheels on the frame 1; pedal for assisting users to exercise exercise B"&amp;"elt 3. Multiple manufacturing parts to allow users to walk on the surface and enable artificial intelligence (AI) camera 4 to capture the poses and active images of the user's execution and the actual time. It is used to align the knee pads 7, and a pair "&amp;"of pedal 8 that the user fell during exercise. The configuration has a telescopic rod 9 to stretch the legs to reaches the predetermined length to enhance the muscles.")</f>
        <v>A fitness device, including: Frame 1, Frame 1 set up multiple wheels 2, wheel 2 auxiliary framework 1 movement; electric sliding rail, set up a pair of electric roller wheels, rolling wheels on the frame 1; pedal for assisting users to exercise exercise Belt 3. Multiple manufacturing parts to allow users to walk on the surface and enable artificial intelligence (AI) camera 4 to capture the poses and active images of the user's execution and the actual time. It is used to align the knee pads 7, and a pair of pedal 8 that the user fell during exercise. The configuration has a telescopic rod 9 to stretch the legs to reaches the predetermined length to enhance the muscles.</v>
      </c>
      <c r="D1668" s="6" t="s">
        <v>4809</v>
      </c>
      <c r="E1668" s="4" t="str">
        <f ca="1">IFERROR(__xludf.DUMMYFUNCTION("GOOGLETRANSLATE(D1668,""auto"",""en"")"),"Exercise device")</f>
        <v>Exercise device</v>
      </c>
    </row>
    <row r="1669" spans="1:5" ht="15" x14ac:dyDescent="0.25">
      <c r="A1669" s="5" t="s">
        <v>4810</v>
      </c>
      <c r="B1669" s="6" t="s">
        <v>4811</v>
      </c>
      <c r="C1669" s="3" t="str">
        <f ca="1">IFERROR(__xludf.DUMMYFUNCTION("GOOGLETRANSLATE(B1669,""auto"",""en"")"),"A kind of tennis court maintenance equipment, including: body 1 with multiple wheel 2, where the wheel 2 auxiliary movement; artificial intelligence camera 3 used to capture stadium images; Scrape the pebbles, stones, and debris on the category, install a"&amp;" infrared (IR) sensor for detecting the height of the court. A pair of distribution units 6 and 7 are used to allocate the stadium maintenance agent. The main body of the fecal water mixture, connecting to the main body 1 to grab the vacuum unit 9 for gra"&amp;"b the residual waste, with the pressure that combines the volume required for the volume required on the third -pores to allocate the required acrylic patch adhesive 10 -binding. Flat, the flatter presses the patch on the pores.")</f>
        <v>A kind of tennis court maintenance equipment, including: body 1 with multiple wheel 2, where the wheel 2 auxiliary movement; artificial intelligence camera 3 used to capture stadium images; Scrape the pebbles, stones, and debris on the category, install a infrared (IR) sensor for detecting the height of the court. A pair of distribution units 6 and 7 are used to allocate the stadium maintenance agent. The main body of the fecal water mixture, connecting to the main body 1 to grab the vacuum unit 9 for grab the residual waste, with the pressure that combines the volume required for the volume required on the third -pores to allocate the required acrylic patch adhesive 10 -binding. Flat, the flatter presses the patch on the pores.</v>
      </c>
      <c r="D1669" s="6" t="s">
        <v>4812</v>
      </c>
      <c r="E1669" s="4" t="str">
        <f ca="1">IFERROR(__xludf.DUMMYFUNCTION("GOOGLETRANSLATE(D1669,""auto"",""en"")"),"Tennis court maintenance equipment")</f>
        <v>Tennis court maintenance equipment</v>
      </c>
    </row>
    <row r="1670" spans="1:5" ht="15" x14ac:dyDescent="0.25">
      <c r="A1670" s="5" t="s">
        <v>4813</v>
      </c>
      <c r="B1670" s="6" t="s">
        <v>4814</v>
      </c>
      <c r="C1670" s="3" t="str">
        <f ca="1">IFERROR(__xludf.DUMMYFUNCTION("GOOGLETRANSLATE(B1670,""auto"",""en"")"),"A badminton cleaning device, including Body 1 and Rotating Platform 2, where platform 2 can accommodate badminton to clean, artificial intelligence (AI) camera 3 and microcontroller communication to capture the image of different types of badminton, and d"&amp;"etermine the cleanliness of the badminton. Foam 4 installed on the retractable rod 5 is used to remove the dust on the badminton. Multiple distribution units 6 is used to allocate cleaning agents required, multiple extended bristles 7 are used for cleanin"&amp;"g badminton, humidity sensor 10 is to determine the badminton to determine the badminton. The moisture content is used to blow dry air to the badminton to remove water.")</f>
        <v>A badminton cleaning device, including Body 1 and Rotating Platform 2, where platform 2 can accommodate badminton to clean, artificial intelligence (AI) camera 3 and microcontroller communication to capture the image of different types of badminton, and determine the cleanliness of the badminton. Foam 4 installed on the retractable rod 5 is used to remove the dust on the badminton. Multiple distribution units 6 is used to allocate cleaning agents required, multiple extended bristles 7 are used for cleaning badminton, humidity sensor 10 is to determine the badminton to determine the badminton. The moisture content is used to blow dry air to the badminton to remove water.</v>
      </c>
      <c r="D1670" s="6" t="s">
        <v>4815</v>
      </c>
      <c r="E1670" s="4" t="str">
        <f ca="1">IFERROR(__xludf.DUMMYFUNCTION("GOOGLETRANSLATE(D1670,""auto"",""en"")"),"Grapho -cleaning device")</f>
        <v>Grapho -cleaning device</v>
      </c>
    </row>
    <row r="1671" spans="1:5" ht="15" x14ac:dyDescent="0.25">
      <c r="A1671" s="5" t="s">
        <v>4816</v>
      </c>
      <c r="B1671" s="6" t="s">
        <v>4817</v>
      </c>
      <c r="C1671" s="3" t="str">
        <f ca="1">IFERROR(__xludf.DUMMYFUNCTION("GOOGLETRANSLATE(B1671,""auto"",""en"")"),"Remote sensing life signs are provided through fixed fitness equipment. A new non -contact method described in this article uses radio frequency (RF) radar (such as ultra -broadband (UWB) radar) remote monitoring of the life signs (such as heartbeat and b"&amp;"reathing) and human activity information of the subject of fixed exercise equipment In some embodiments, radar sensors capture micro -scale chest movements (corresponding to life signs information) and macro -scale physical movements (corresponding to exe"&amp;"rcise of exercise). The signal processor receives the radar signal from the radar sensor and processs the radar signal to use the combined life signs motion model to rebuild the life information and/or the human activity information from the macro -scale "&amp;"physical movement from the micro -scale chest motion. Training.")</f>
        <v>Remote sensing life signs are provided through fixed fitness equipment. A new non -contact method described in this article uses radio frequency (RF) radar (such as ultra -broadband (UWB) radar) remote monitoring of the life signs (such as heartbeat and breathing) and human activity information of the subject of fixed exercise equipment In some embodiments, radar sensors capture micro -scale chest movements (corresponding to life signs information) and macro -scale physical movements (corresponding to exercise of exercise). The signal processor receives the radar signal from the radar sensor and processs the radar signal to use the combined life signs motion model to rebuild the life information and/or the human activity information from the macro -scale physical movement from the micro -scale chest motion. Training.</v>
      </c>
      <c r="D1671" s="6" t="s">
        <v>4818</v>
      </c>
      <c r="E1671" s="4" t="str">
        <f ca="1">IFERROR(__xludf.DUMMYFUNCTION("GOOGLETRANSLATE(D1671,""auto"",""en"")"),"Monitor the vital signs through remote sensing equipment on fixed exercise equipment")</f>
        <v>Monitor the vital signs through remote sensing equipment on fixed exercise equipment</v>
      </c>
    </row>
    <row r="1672" spans="1:5" ht="15" x14ac:dyDescent="0.25">
      <c r="A1672" s="5" t="s">
        <v>4819</v>
      </c>
      <c r="B1672" s="6" t="s">
        <v>4820</v>
      </c>
      <c r="C1672" s="3" t="str">
        <f ca="1">IFERROR(__xludf.DUMMYFUNCTION("GOOGLETRANSLATE(B1672,""auto"",""en"")"),"1. Design product name: Display screen panel with a dynamic graphic user interface with digital media operation settings.
 2. The purpose of designing products in this exterior: The design of the design of the product involves a display screen panel wit"&amp;"h a dynamic graphic user interface set by digital media operation settings, which can be used for mobile phones, tablets, computers, game consoles, TVs, e -books.
 3. Design of the design of the product in this exterior: The graphic user interface shown"&amp;" in the figure is.
 4. Pictures or photos that can most indicate design points: main view.
 5. The purpose of the graphical user interface: The graphic user interface shown in the design of this appearance is used to browse and play, execute and opera"&amp;"te various digital content.
 6. Human -computer interaction method of graphical user interface: When the user selects the image on the display panel by using the controller or uses the finger to touch, the graphic user interface changes from the main vi"&amp;"ew to the change state. When the selected image, the graphic user interface can change from the change state Figure 1 to the change state. 2. The state of change status 3, the change state diagram 4, the state of change state figure 5.
 The red and gray"&amp;" areas in Figure 3 in the state of use are the areas where the image is not required to protect the design of images, such as game images or movie images.
 If the status is used in Figure 3, when the user watchs the movie (refer to the gray area shown i"&amp;"n Figure 3 in the use status), you can remotely watch the game that friends are playing. Game screen).")</f>
        <v>1. Design product name: Display screen panel with a dynamic graphic user interface with digital media operation settings.
 2. The purpose of designing products in this exterior: The design of the design of the product involves a display screen panel with a dynamic graphic user interface set by digital media operation settings, which can be used for mobile phones, tablets, computers, game consoles, TVs, e -books.
 3. Design of the design of the product in this exterior: The graphic user interface shown in the figure is.
 4. Pictures or photos that can most indicate design points: main view.
 5. The purpose of the graphical user interface: The graphic user interface shown in the design of this appearance is used to browse and play, execute and operate various digital content.
 6. Human -computer interaction method of graphical user interface: When the user selects the image on the display panel by using the controller or uses the finger to touch, the graphic user interface changes from the main view to the change state. When the selected image, the graphic user interface can change from the change state Figure 1 to the change state. 2. The state of change status 3, the change state diagram 4, the state of change state figure 5.
 The red and gray areas in Figure 3 in the state of use are the areas where the image is not required to protect the design of images, such as game images or movie images.
 If the status is used in Figure 3, when the user watchs the movie (refer to the gray area shown in Figure 3 in the use status), you can remotely watch the game that friends are playing. Game screen).</v>
      </c>
      <c r="D1672" s="6" t="s">
        <v>4821</v>
      </c>
      <c r="E1672" s="4" t="str">
        <f ca="1">IFERROR(__xludf.DUMMYFUNCTION("GOOGLETRANSLATE(D1672,""auto"",""en"")"),"Display screen panel with a dynamic graphic user interface set with digital media operation settings")</f>
        <v>Display screen panel with a dynamic graphic user interface set with digital media operation settings</v>
      </c>
    </row>
    <row r="1673" spans="1:5" ht="15" x14ac:dyDescent="0.25">
      <c r="A1673" s="5" t="s">
        <v>4822</v>
      </c>
      <c r="B1673" s="6" t="s">
        <v>4823</v>
      </c>
      <c r="C1673" s="3" t="str">
        <f ca="1">IFERROR(__xludf.DUMMYFUNCTION("GOOGLETRANSLATE(B1673,""auto"",""en"")"),"1. The name of the product in this exterior: The display screen panel with a digital media operation setting a graphical user interface.
 2. The purpose of designing products in this exterior: The design of this design product involves a graphical user "&amp;"interface for display screen panels with digital media operation settings. It can be used for mobile phones, tablets, computers, game consoles, TVs, e -books.
 3. Design of the design of the product in this exterior: The graphic user interface shown in "&amp;"the figure is.
 4. Pictures or photos that can best show design: Design 1 main view.
 5. Specify design 1 is the basic design.
 6. The purpose of the graphical user interface: The graphic user interface shown in the design of this appearance is used"&amp;" to browse, play, execute and operate various digital content.
 7. Human -computer interaction method of graphics user interface: Design 1: When the user uses a controller or uses a finger to select the label on the display panel, the graphic user inter"&amp;"face changes from design 1 to design 1 change status diagram.
 By selecting the label (Games, Media) in Figure 1 in Figure 1, design 1 main view can be transformed to design 1 change status diagram.
 Design 1 The main view shows a group icon (such as "&amp;"""Games"") for selection.
 Design 1 changing status diagram shows a group icon for choosing a variety of videos or TV broadcasts.
 The set icon in which the mark 2 indicates can be rolled from one side to the other side, and the icon in the area indic"&amp;"ated by the mark 3 can be highlighted.
 Design 2: When the user uses the controller or uses the finger to select the label on the display panel, the graphic user interface changes from the design 2 main view to the design 2 change status diagram.
 By "&amp;"selecting the label (Games, Media) in Figure 1 in Figure 1, the design 2 main view can be converted to the design 2 change status diagram.
 Design 2 shows a group icon for selecting a variety of videos or TV broadcasts.
 Design 2 changing status diagr"&amp;"am shows a group icon (such as ""Games"") for selection.
 The set icon in which the mark 2 indicates can be rolled from one side to the other side, and the icon in the area indicated by the mark 3 can be highlighted.
 Design 3: When the user uses the "&amp;"controller or uses the finger to select the label on the display panel, the graphic user interface changes from the design 3 main view to the design 3 change state diagram.
 By selecting the label (Games, Media) in Figure 1 in Figure 1, the design 3 mai"&amp;"n view can be converted to the design 3 change status diagram.
 Design 3 main views show the group icon (such as ""Games"") for selection.
 Design 3 change status diagram shows a group icon for selecting various videos or TV broadcasts.
 The set ico"&amp;"n in which the mark 2 indicates can be rolled from one side to the other side, and the icon in the area indicated by the mark 3 can be highlighted.
 As shown in Figure 2 Design 3, when the user moves up and down from the head to move the viewpoint (acti"&amp;"on A) or move the viewpoint (action B) left and right, the image moves in the virtual space according to the movement of the viewpoint.
 Due to this movement, the image of this product is always located in front of users.
 Design 3 three -dimensional "&amp;"chart 1 and design 3 three -dimensional chart 2 are used to explain the position of the group icon in the virtual space, and the image is always displayed in front of the user, so users do not observe the image from the tilt direction.
 Design 4: When t"&amp;"he user uses the controller or uses the finger to select the label on the display panel, the graphic user interface changes from the design 4 main view to the design 4 change state diagram.
 By selecting the labels (Games, Media) in Figure 1 in Figure 1"&amp;", design 4 The main view can be converted to the design 4 change status Figure 1.
 Design 4 The main view shows a group icon (such as ""Games"") for selection.
 Design 4 changes status Figure 1 shows a group icon for selecting various videos or TV bro"&amp;"adcasts.
 The set icon in which the mark 2 indicates can be rolled from one side to the other side, and the icon in the area indicated by the mark 3 can be highlighted.
 Design 4 The image shown in the virtual space is fixed and displayed in specific "&amp;"coordinates, but because the user can only see a part of the image because it is displayed in a larger size near the user.
 As shown in Figure 2 Design 4, when the user moves the viewpoint (action A) or the left and right movement viewpoints (action B) "&amp;"through the movement of his head, the user can identify the entire image.
 Design 4 Change State Figure 2 and Design 4 Change Status Figure 3 is used to explain the position of the set icons in the virtual space.")</f>
        <v>1. The name of the product in this exterior: The display screen panel with a digital media operation setting a graphical user interface.
 2. The purpose of designing products in this exterior: The design of this design product involves a graphical user interface for display screen panels with digital media operation settings. It can be used for mobile phones, tablets, computers, game consoles, TVs, e -books.
 3. Design of the design of the product in this exterior: The graphic user interface shown in the figure is.
 4. Pictures or photos that can best show design: Design 1 main view.
 5. Specify design 1 is the basic design.
 6. The purpose of the graphical user interface: The graphic user interface shown in the design of this appearance is used to browse, play, execute and operate various digital content.
 7. Human -computer interaction method of graphics user interface: Design 1: When the user uses a controller or uses a finger to select the label on the display panel, the graphic user interface changes from design 1 to design 1 change status diagram.
 By selecting the label (Games, Media) in Figure 1 in Figure 1, design 1 main view can be transformed to design 1 change status diagram.
 Design 1 The main view shows a group icon (such as "Games") for selection.
 Design 1 changing status diagram shows a group icon for choosing a variety of videos or TV broadcasts.
 The set icon in which the mark 2 indicates can be rolled from one side to the other side, and the icon in the area indicated by the mark 3 can be highlighted.
 Design 2: When the user uses the controller or uses the finger to select the label on the display panel, the graphic user interface changes from the design 2 main view to the design 2 change status diagram.
 By selecting the label (Games, Media) in Figure 1 in Figure 1, the design 2 main view can be converted to the design 2 change status diagram.
 Design 2 shows a group icon for selecting a variety of videos or TV broadcasts.
 Design 2 changing status diagram shows a group icon (such as "Games") for selection.
 The set icon in which the mark 2 indicates can be rolled from one side to the other side, and the icon in the area indicated by the mark 3 can be highlighted.
 Design 3: When the user uses the controller or uses the finger to select the label on the display panel, the graphic user interface changes from the design 3 main view to the design 3 change state diagram.
 By selecting the label (Games, Media) in Figure 1 in Figure 1, the design 3 main view can be converted to the design 3 change status diagram.
 Design 3 main views show the group icon (such as "Games") for selection.
 Design 3 change status diagram shows a group icon for selecting various videos or TV broadcasts.
 The set icon in which the mark 2 indicates can be rolled from one side to the other side, and the icon in the area indicated by the mark 3 can be highlighted.
 As shown in Figure 2 Design 3, when the user moves up and down from the head to move the viewpoint (action A) or move the viewpoint (action B) left and right, the image moves in the virtual space according to the movement of the viewpoint.
 Due to this movement, the image of this product is always located in front of users.
 Design 3 three -dimensional chart 1 and design 3 three -dimensional chart 2 are used to explain the position of the group icon in the virtual space, and the image is always displayed in front of the user, so users do not observe the image from the tilt direction.
 Design 4: When the user uses the controller or uses the finger to select the label on the display panel, the graphic user interface changes from the design 4 main view to the design 4 change state diagram.
 By selecting the labels (Games, Media) in Figure 1 in Figure 1, design 4 The main view can be converted to the design 4 change status Figure 1.
 Design 4 The main view shows a group icon (such as "Games") for selection.
 Design 4 changes status Figure 1 shows a group icon for selecting various videos or TV broadcasts.
 The set icon in which the mark 2 indicates can be rolled from one side to the other side, and the icon in the area indicated by the mark 3 can be highlighted.
 Design 4 The image shown in the virtual space is fixed and displayed in specific coordinates, but because the user can only see a part of the image because it is displayed in a larger size near the user.
 As shown in Figure 2 Design 4, when the user moves the viewpoint (action A) or the left and right movement viewpoints (action B) through the movement of his head, the user can identify the entire image.
 Design 4 Change State Figure 2 and Design 4 Change Status Figure 3 is used to explain the position of the set icons in the virtual space.</v>
      </c>
      <c r="D1673" s="6" t="s">
        <v>4824</v>
      </c>
      <c r="E1673" s="4" t="str">
        <f ca="1">IFERROR(__xludf.DUMMYFUNCTION("GOOGLETRANSLATE(D1673,""auto"",""en"")"),"For display screen panels with digital media operation settings, the user interface")</f>
        <v>For display screen panels with digital media operation settings, the user interface</v>
      </c>
    </row>
    <row r="1674" spans="1:5" ht="15" x14ac:dyDescent="0.25">
      <c r="A1674" s="5" t="s">
        <v>4825</v>
      </c>
      <c r="B1674" s="6" t="s">
        <v>4826</v>
      </c>
      <c r="C1674" s="3" t="str">
        <f ca="1">IFERROR(__xludf.DUMMYFUNCTION("GOOGLETRANSLATE(B1674,""auto"",""en"")"),"1. Design product name: Display screen panel with a dynamic graphic user interface with digital media operation settings.
 2. The purpose of designing products in this exterior: The design of the design of the product involves a display screen panel wit"&amp;"h a dynamic graphic user interface set by digital media operation settings, which can be used for mobile phones, tablets, computers, game consoles, TVs, e -books.
 3. Design of the design of the product in this exterior: The graphic user interface shown"&amp;" in the figure is.
 4. Pictures or photos that can most indicate design points: main view.
 5. The purpose of the graphical user interface: The graphic user interface shown in the design of the appearance is used to browse, play, execute and operate v"&amp;"arious digital content.
 6. Human -computer interaction method of graphic user interface: When the user uses the controller or uses the finger to touch the icon on the display panel, the graphic user interface changes from the main view to the change st"&amp;"ate. 3. Change status diagram 4. Change state diagram 5, change state diagram 6, change state diagram 7, change state diagram 8, change state diagram of state, change state diagram 11, change state diagram 12, change state diagram diagram 13. Change statu"&amp;"s Figure 14. Change status Figure 15, change state figure 16, change state figure 17, changes state figure 18, change state diagram figures 23. Change status Figure 24. Change status Figure 25. Change status Figure 26.
 Specifically, when the user selec"&amp;"ts the icon, starts from the main view to the state diagram, and the brightness in the frame line of the bearing of the graph repeats and darkens. The corner began to move to the lower right corner and eventually disappeared from the lower right corner.
 "&amp;"
 In the reference diagram, in the internal area of ​​the frame line shown in the mark 1, the brightness gradually moved from the upper left corner of the graphic to the lower right corner and eventually disappeared from the lower right corner.
 In othe"&amp;"r words, the color brightness of the icon gradually increased from the upper left corner to the lower right corner, and then expanded to the entire icon, and then the brightness decreased from the upper left to the bottom right, and the brightness of the "&amp;"entire icon was returned to the original level.")</f>
        <v>1. Design product name: Display screen panel with a dynamic graphic user interface with digital media operation settings.
 2. The purpose of designing products in this exterior: The design of the design of the product involves a display screen panel with a dynamic graphic user interface set by digital media operation settings, which can be used for mobile phones, tablets, computers, game consoles, TVs, e -books.
 3. Design of the design of the product in this exterior: The graphic user interface shown in the figure is.
 4. Pictures or photos that can most indicate design points: main view.
 5. The purpose of the graphical user interface: The graphic user interface shown in the design of the appearance is used to browse, play, execute and operate various digital content.
 6. Human -computer interaction method of graphic user interface: When the user uses the controller or uses the finger to touch the icon on the display panel, the graphic user interface changes from the main view to the change state. 3. Change status diagram 4. Change state diagram 5, change state diagram 6, change state diagram 7, change state diagram 8, change state diagram of state, change state diagram 11, change state diagram 12, change state diagram diagram 13. Change status Figure 14. Change status Figure 15, change state figure 16, change state figure 17, changes state figure 18, change state diagram figures 23. Change status Figure 24. Change status Figure 25. Change status Figure 26.
 Specifically, when the user selects the icon, starts from the main view to the state diagram, and the brightness in the frame line of the bearing of the graph repeats and darkens. The corner began to move to the lower right corner and eventually disappeared from the lower right corner.
 In the reference diagram, in the internal area of ​​the frame line shown in the mark 1, the brightness gradually moved from the upper left corner of the graphic to the lower right corner and eventually disappeared from the lower right corner.
 In other words, the color brightness of the icon gradually increased from the upper left corner to the lower right corner, and then expanded to the entire icon, and then the brightness decreased from the upper left to the bottom right, and the brightness of the entire icon was returned to the original level.</v>
      </c>
      <c r="D1674" s="6" t="s">
        <v>4821</v>
      </c>
      <c r="E1674" s="4" t="str">
        <f ca="1">IFERROR(__xludf.DUMMYFUNCTION("GOOGLETRANSLATE(D1674,""auto"",""en"")"),"Display screen panel with a dynamic graphic user interface set with digital media operation settings")</f>
        <v>Display screen panel with a dynamic graphic user interface set with digital media operation settings</v>
      </c>
    </row>
    <row r="1675" spans="1:5" ht="15" x14ac:dyDescent="0.25">
      <c r="A1675" s="5" t="s">
        <v>4827</v>
      </c>
      <c r="B1675" s="6" t="s">
        <v>4828</v>
      </c>
      <c r="C1675" s="3" t="str">
        <f ca="1">IFERROR(__xludf.DUMMYFUNCTION("GOOGLETRANSLATE(B1675,""auto"",""en"")"),"1. Design product name: Display screen panel with a dynamic graphic user interface with digital media operation settings.
 2. The purpose of designing products in this exterior: The design of the design of the product involves a display screen panel wit"&amp;"h a dynamic graphic user interface set by digital media operation settings, which can be used for mobile phones, tablets, computers, game consoles, TVs, e -books.
 3. Design of the design of the product in appearance: lies in the graphic user interface."&amp;"
 4. Pictures or photos that can most indicate design points: main view.
 5. The purpose of the graphical user interface: The graphic user interface shown in the design of the appearance is used to browse, play, execute and operate various digital con"&amp;"tent.
 6. Human -computer interaction method of graphical user interface: When the user uses the controller or uses his fingers to touch the icon on the far right of the graphic user interface shown by the main view, the graphic user interface changes f"&amp;"rom the main view to the change state diagram 1 1 , Change Status 2, Change Status 3, Change Status 4, Change Statue Figure 5, Change Status 6, Change Statue Figure 7, Change State Figure 8, Change State Figure 9, Change State Figure 10, Change State Figu"&amp;"re 11 Figure 12, change state figure 13, change state figure 14, change state figure 15, change state figure 16, change state figure 17, change state figure 18.
 Specifically, from the main view to the changes of the state, the right -side icon in the g"&amp;"raphic user interface began to light up from the upper left corner, and then gradually moved to the lower right corner and finally disappeared from the lower right corner.
 In other words, from the main view to the state diagram of various changes, the "&amp;"brightness of the right side of the icon in the graphic user interface gradually increases from the upper left corner to the lower right corner, then expands to the entire icon, and then the brightness is reduced from the upper left to the lower right. Fi"&amp;"nally, the brightness of the entire icon returned to the original level.")</f>
        <v>1. Design product name: Display screen panel with a dynamic graphic user interface with digital media operation settings.
 2. The purpose of designing products in this exterior: The design of the design of the product involves a display screen panel with a dynamic graphic user interface set by digital media operation settings, which can be used for mobile phones, tablets, computers, game consoles, TVs, e -books.
 3. Design of the design of the product in appearance: lies in the graphic user interface.
 4. Pictures or photos that can most indicate design points: main view.
 5. The purpose of the graphical user interface: The graphic user interface shown in the design of the appearance is used to browse, play, execute and operate various digital content.
 6. Human -computer interaction method of graphical user interface: When the user uses the controller or uses his fingers to touch the icon on the far right of the graphic user interface shown by the main view, the graphic user interface changes from the main view to the change state diagram 1 1 , Change Status 2, Change Status 3, Change Status 4, Change Statue Figure 5, Change Status 6, Change Statue Figure 7, Change State Figure 8, Change State Figure 9, Change State Figure 10, Change State Figure 11 Figure 12, change state figure 13, change state figure 14, change state figure 15, change state figure 16, change state figure 17, change state figure 18.
 Specifically, from the main view to the changes of the state, the right -side icon in the graphic user interface began to light up from the upper left corner, and then gradually moved to the lower right corner and finally disappeared from the lower right corner.
 In other words, from the main view to the state diagram of various changes, the brightness of the right side of the icon in the graphic user interface gradually increases from the upper left corner to the lower right corner, then expands to the entire icon, and then the brightness is reduced from the upper left to the lower right. Finally, the brightness of the entire icon returned to the original level.</v>
      </c>
      <c r="D1675" s="6" t="s">
        <v>4821</v>
      </c>
      <c r="E1675" s="4" t="str">
        <f ca="1">IFERROR(__xludf.DUMMYFUNCTION("GOOGLETRANSLATE(D1675,""auto"",""en"")"),"Display screen panel with a dynamic graphic user interface set with digital media operation settings")</f>
        <v>Display screen panel with a dynamic graphic user interface set with digital media operation settings</v>
      </c>
    </row>
    <row r="1676" spans="1:5" ht="15" x14ac:dyDescent="0.25">
      <c r="A1676" s="5" t="s">
        <v>4829</v>
      </c>
      <c r="B1676" s="6" t="s">
        <v>4830</v>
      </c>
      <c r="C1676" s="3" t="str">
        <f ca="1">IFERROR(__xludf.DUMMYFUNCTION("GOOGLETRANSLATE(B1676,""auto"",""en"")"),"1. Design product name: Display screen panel with a dynamic graphic user interface with digital media operation settings.
 2. The purpose of designing products in this exterior: The design of the design of the product involves a display screen panel wit"&amp;"h a dynamic graphic user interface set by digital media operation settings, which can be used for mobile phones, tablets, computers, game consoles, TVs, e -books.
 3. Design of design products in this exterior: The graphical user interface as shown in t"&amp;"he figure is.
 4. Pictures or photos that can most indicate design points: main view.
 5. The purpose of the graphical user interface: The graphic user interface shown in the design of the appearance is used to browse, play, execute and operate variou"&amp;"s digital content.
 6. Human -computer interaction method of graphical user interface: When the user selects the image on the display panel by using the controller or uses the finger to touch the image, the graphic user interface changes from the main v"&amp;"iew to the change state. When the user moves to the right, the graphic user interface changes from the change state Figure 1 to the change state Figure 2.
 The graphic user interface can transition between the main view, the state of change status 1., a"&amp;"nd the change state Figure 2.")</f>
        <v>1. Design product name: Display screen panel with a dynamic graphic user interface with digital media operation settings.
 2. The purpose of designing products in this exterior: The design of the design of the product involves a display screen panel with a dynamic graphic user interface set by digital media operation settings, which can be used for mobile phones, tablets, computers, game consoles, TVs, e -books.
 3. Design of design products in this exterior: The graphical user interface as shown in the figure is.
 4. Pictures or photos that can most indicate design points: main view.
 5. The purpose of the graphical user interface: The graphic user interface shown in the design of the appearance is used to browse, play, execute and operate various digital content.
 6. Human -computer interaction method of graphical user interface: When the user selects the image on the display panel by using the controller or uses the finger to touch the image, the graphic user interface changes from the main view to the change state. When the user moves to the right, the graphic user interface changes from the change state Figure 1 to the change state Figure 2.
 The graphic user interface can transition between the main view, the state of change status 1., and the change state Figure 2.</v>
      </c>
      <c r="D1676" s="6" t="s">
        <v>4821</v>
      </c>
      <c r="E1676" s="4" t="str">
        <f ca="1">IFERROR(__xludf.DUMMYFUNCTION("GOOGLETRANSLATE(D1676,""auto"",""en"")"),"Display screen panel with a dynamic graphic user interface set with digital media operation settings")</f>
        <v>Display screen panel with a dynamic graphic user interface set with digital media operation settings</v>
      </c>
    </row>
    <row r="1677" spans="1:5" ht="15" x14ac:dyDescent="0.25">
      <c r="A1677" s="5" t="s">
        <v>4831</v>
      </c>
      <c r="B1677" s="6" t="s">
        <v>4832</v>
      </c>
      <c r="C1677" s="3" t="str">
        <f ca="1">IFERROR(__xludf.DUMMYFUNCTION("GOOGLETRANSLATE(B1677,""auto"",""en"")"),"1. Design product name: Display screen panel with a dynamic graphic user interface with digital media operation settings.
 2. The purpose of designing products in this exterior: The design of the design of the product involves a display screen panel wit"&amp;"h a dynamic graphic user interface set by digital media operation settings, which can be used for mobile phones, tablets, computers, game consoles, TVs, e -books.
 3. Design of design products in this exterior: The graphical user interface as shown in t"&amp;"he figure is.
 4. Pictures or photos that can most indicate design points: main view.
 5. The purpose of the graphical user interface: The graphic user interface designed in this design is used to watch, play, execute, execute, and operate various dig"&amp;"ital content on a variety of media such as games, static images, video, music, e -books and TV broadcasts Essence
 6. Human -computer interaction method of graphic user interface: When the user uses the controller or uses the finger to touch the icon on"&amp;" the display panel, the graphic user interface changes from the main view to the change state. 3. Change status diagram 4. Change state diagram 5, change state diagram 6, change state diagram 7, change state diagram 8, change state diagram of state, chang"&amp;"e state diagram 11, change state diagram 12, change state diagram diagram 13. Change status Figure 14, change state figure 15, change state figure 16, change state figure 17, change state figure 18, change state diagram 19, change state figure 20, change "&amp;"state figure 21.
 Specifically, the shining light began to move from the upper left corner of the center icon of the graphical user interface to gradually move to the lower right corner and finally disappear from the lower right corner.
 In other word"&amp;"s, the brightness of the color of the central icon of the graphic user interface gradually increases from the upper left corner to the lower right corner, then expands to the entire image, then began to reduce the brightness from the upper left to the bot"&amp;"tom right, and finally the brightness of the entire icon returned to the original original level.")</f>
        <v>1. Design product name: Display screen panel with a dynamic graphic user interface with digital media operation settings.
 2. The purpose of designing products in this exterior: The design of the design of the product involves a display screen panel with a dynamic graphic user interface set by digital media operation settings, which can be used for mobile phones, tablets, computers, game consoles, TVs, e -books.
 3. Design of design products in this exterior: The graphical user interface as shown in the figure is.
 4. Pictures or photos that can most indicate design points: main view.
 5. The purpose of the graphical user interface: The graphic user interface designed in this design is used to watch, play, execute, execute, and operate various digital content on a variety of media such as games, static images, video, music, e -books and TV broadcasts Essence
 6. Human -computer interaction method of graphic user interface: When the user uses the controller or uses the finger to touch the icon on the display panel, the graphic user interface changes from the main view to the change state. 3. Change status diagram 4. Change state diagram 5, change state diagram 6, change state diagram 7, change state diagram 8, change state diagram of state, change state diagram 11, change state diagram 12, change state diagram diagram 13. Change status Figure 14, change state figure 15, change state figure 16, change state figure 17, change state figure 18, change state diagram 19, change state figure 20, change state figure 21.
 Specifically, the shining light began to move from the upper left corner of the center icon of the graphical user interface to gradually move to the lower right corner and finally disappear from the lower right corner.
 In other words, the brightness of the color of the central icon of the graphic user interface gradually increases from the upper left corner to the lower right corner, then expands to the entire image, then began to reduce the brightness from the upper left to the bottom right, and finally the brightness of the entire icon returned to the original original level.</v>
      </c>
      <c r="D1677" s="6" t="s">
        <v>4821</v>
      </c>
      <c r="E1677" s="4" t="str">
        <f ca="1">IFERROR(__xludf.DUMMYFUNCTION("GOOGLETRANSLATE(D1677,""auto"",""en"")"),"Display screen panel with a dynamic graphic user interface set with digital media operation settings")</f>
        <v>Display screen panel with a dynamic graphic user interface set with digital media operation settings</v>
      </c>
    </row>
    <row r="1678" spans="1:5" ht="15" x14ac:dyDescent="0.25">
      <c r="A1678" s="5" t="s">
        <v>4833</v>
      </c>
      <c r="B1678" s="6" t="s">
        <v>4834</v>
      </c>
      <c r="C1678" s="3" t="str">
        <f ca="1">IFERROR(__xludf.DUMMYFUNCTION("GOOGLETRANSLATE(B1678,""auto"",""en"")"),"1. Design product name: Display screen panel for graphic user interface with digital media operation settings.
 2. The purpose of designing products in this exterior: The design of this design product involves a graphical user interface for display scre"&amp;"en panels with digital media operation settings. It can be used for mobile phones, tablets, computers, game consoles, TVs, e -books.
 3. Design of the design of the product in appearance: lies in the graphic user interface.
 4. Pictures or photos that"&amp;" can best show design: Design 1 main view.
 5. Specify design 1 is the basic design.
 6. The purpose of the graphical user interface: The graphic user interface shown in the design of this appearance is used to browse and play, execute and operate var"&amp;"ious digital content.
 7. Human -computer interaction method of graphics user interface: Design 1: When the user uses a controller or uses a finger to select the label on the display panel, the graphic user interface changes from design 1 to design 1 ch"&amp;"ange status diagram.
 Design 2: When the user uses the controller or uses the finger to select the label on the display panel, the graphic user interface changes from the design 2 main view to the design 2 change status diagram.")</f>
        <v>1. Design product name: Display screen panel for graphic user interface with digital media operation settings.
 2. The purpose of designing products in this exterior: The design of this design product involves a graphical user interface for display screen panels with digital media operation settings. It can be used for mobile phones, tablets, computers, game consoles, TVs, e -books.
 3. Design of the design of the product in appearance: lies in the graphic user interface.
 4. Pictures or photos that can best show design: Design 1 main view.
 5. Specify design 1 is the basic design.
 6. The purpose of the graphical user interface: The graphic user interface shown in the design of this appearance is used to browse and play, execute and operate various digital content.
 7. Human -computer interaction method of graphics user interface: Design 1: When the user uses a controller or uses a finger to select the label on the display panel, the graphic user interface changes from design 1 to design 1 change status diagram.
 Design 2: When the user uses the controller or uses the finger to select the label on the display panel, the graphic user interface changes from the design 2 main view to the design 2 change status diagram.</v>
      </c>
      <c r="D1678" s="6" t="s">
        <v>4835</v>
      </c>
      <c r="E1678" s="4" t="str">
        <f ca="1">IFERROR(__xludf.DUMMYFUNCTION("GOOGLETRANSLATE(D1678,""auto"",""en"")"),"The display screen panel for graphic user interface with digital media operation settings")</f>
        <v>The display screen panel for graphic user interface with digital media operation settings</v>
      </c>
    </row>
    <row r="1679" spans="1:5" ht="15" x14ac:dyDescent="0.25">
      <c r="A1679" s="5" t="s">
        <v>4836</v>
      </c>
      <c r="B1679" s="6" t="s">
        <v>4837</v>
      </c>
      <c r="C1679" s="3" t="str">
        <f ca="1">IFERROR(__xludf.DUMMYFUNCTION("GOOGLETRANSLATE(B1679,""auto"",""en"")"),"1. Design product name: Graphic user interface for display screen panels with digital media operation settings.
 2. The purpose of designing products in this exterior: The design of this design product involves a graphical user interface for display scr"&amp;"een panels with digital media operation settings. It can be used for mobile phones, tablets, computers, game consoles, TVs, e -books.
 3. Design of the design of the product in this exterior: The graphic user interface shown in the figure is.
 4. Pict"&amp;"ures or photos that can best show design: Design 1 main view.
 5. Specify design 1 is the basic design.
 6. The purpose of the graphical user interface: The graphic user interface shown in the design of this appearance is used to browse and play, exec"&amp;"ute and operate various digital content.
 7. Human -computer interaction method of graphical user interface: Design 1: When the user selects the image on the display panel by using the controller or using the finger, the graphic user interface changes f"&amp;"rom design 1 to design 1 change state. When sliding the right to the right in the design 1 main view, the graphic user interface changes from design 1 to design 1 change status. 2. When the user slide the image to the left in the design 1 main view, the g"&amp;"raphic user interface is from the design 1 master from the design 1 master. View changes to design 1 change state Figure 3.
 As shown in design 1 main view, the various contents to be selected in each area of ​​the content and various information relate"&amp;"d to them (Design 1 change status. Figure 1 includes the area of ​​the amplifier area called ""selected Content display area "").
 As shown in design 1 change state Figure 2 and design 1 change state. Figure 3 can be scrolled around a set of ""selected "&amp;"content display areas"".
 The high -light display area is the selected area. When the user selects and decides the selected area, the selected area will be expanded and changed to the state of the design 1 state. Various information related to the conte"&amp;"nt is displayed in the selected area.
 In areas other than displayed content, such as movie images or wallpaper images do not constitute a design image that requires protection.
 Design 2: When the user selects the image on the display panel by using "&amp;"the controller or using the finger, the graphic user interface changes from the design 2 main view to the design 2 changes. From the change of the graphic user interface from the design 2 main view to the design 2 changes. Figure 2. When the user slide th"&amp;"e image to the left in the design 2 main view, the graphic user interface changes from the design 2 main view to the design 2 changes. Figure 3.
 As shown in design 2 main views, the various contents to be selected in each area of ​​the content and vari"&amp;"ous information related to them (Design 2 changes status Figure 1 includes the area of ​​the amplifier area called ""selected Content display area "").
 As shown in design 2 changes in Figure 2 and Design 2 Change Status 3, a set of ""selected content d"&amp;"isplay areas"" can be rolled left and right.
 The high -light display area is the selected area. When the user selects and decides the selected area, the selected area will be expanded and changed to the state of the design 2 change state. Various infor"&amp;"mation related to the content is displayed in the selected area.
 In areas other than displayed content, such as movie images or wallpaper images do not constitute a design image that requires protection.
 Design 3: When the user selects the image on "&amp;"the display panel by using the controller or using the finger, the graphic user interface changes from the design 3 main view to the design 3 changes. From the design 3 main view of the graphic user interface to the change state of design 3. When the user"&amp;" slide the image to the left in the design 3 main view, the graphic user interface changes from the design 3 main view to the design 3 change state Figure 3.
 As shown in design 3 main views, the various contents to be selected in each area of ​​the con"&amp;"tent and various information related to them (Design 3 changes status Figure 1 includes the area of ​​the amplified area called ""selected Content display area "").
 As shown in the design 3 change status Figure 2 and design 3 change state, the set of "&amp;"""selected content display areas"" can be rolled left and right.
 The high -light display area is the selected area. When the user selects and decides the selected area, the selected area will be expanded and changed to the status of the design 3 change"&amp;" state. Various information related to the content is displayed in the selected area.
 In areas other than displayed content, such as movie images or wallpaper images do not constitute a design image that requires protection.
 Design 4: When the user "&amp;"selects the image on the display panel by using the controller or using the finger, the graphic user interface changes from the design 4 main view to the design 4 changes. From the change of the graphic user interface from the design 4 main view to the de"&amp;"sign 4 changes. Figure 2. When the user slide the image to the left in the design 4 main view, the graphic user interface changes from the design 4 main view to the design 4 changes. Figure 3.
 As shown in designing 4 main views, the various contents to"&amp;" be selected in each area of ​​the content and various information related to them (Design 4 changes status. Figure 1 is called ""selected Content display area "").
 As shown in the design 4 change state Figure 2 and design 4 change state, the set of """&amp;"selected content display areas"" can be rolled left and right.
 The high -light display area is the selected area. When the user selects and decides the selected area, the selected area will be expanded and changed to the state of the design 4 change st"&amp;"ate. Various information related to the content is displayed in the selected area.
 In areas other than displayed content, such as movie images or wallpaper images do not constitute a design image that requires protection.
 The part of the dotted line"&amp;" is only for explanation, which does not constitute the designed part of the required protection.
 The reference diagram in design 1 考4 shows the image in use and does not constitute the designed part requested.
 The appearance of the transition image"&amp;" transitions between the image shown in the main view and the changing state diagram.
 The themes of these designs include the process or cycle of the image to other images.")</f>
        <v>1. Design product name: Graphic user interface for display screen panels with digital media operation settings.
 2. The purpose of designing products in this exterior: The design of this design product involves a graphical user interface for display screen panels with digital media operation settings. It can be used for mobile phones, tablets, computers, game consoles, TVs, e -books.
 3. Design of the design of the product in this exterior: The graphic user interface shown in the figure is.
 4. Pictures or photos that can best show design: Design 1 main view.
 5. Specify design 1 is the basic design.
 6. The purpose of the graphical user interface: The graphic user interface shown in the design of this appearance is used to browse and play, execute and operate various digital content.
 7. Human -computer interaction method of graphical user interface: Design 1: When the user selects the image on the display panel by using the controller or using the finger, the graphic user interface changes from design 1 to design 1 change state. When sliding the right to the right in the design 1 main view, the graphic user interface changes from design 1 to design 1 change status. 2. When the user slide the image to the left in the design 1 main view, the graphic user interface is from the design 1 master from the design 1 master. View changes to design 1 change state Figure 3.
 As shown in design 1 main view, the various contents to be selected in each area of ​​the content and various information related to them (Design 1 change status. Figure 1 includes the area of ​​the amplifier area called "selected Content display area ").
 As shown in design 1 change state Figure 2 and design 1 change state. Figure 3 can be scrolled around a set of "selected content display areas".
 The high -light display area is the selected area. When the user selects and decides the selected area, the selected area will be expanded and changed to the state of the design 1 state. Various information related to the content is displayed in the selected area.
 In areas other than displayed content, such as movie images or wallpaper images do not constitute a design image that requires protection.
 Design 2: When the user selects the image on the display panel by using the controller or using the finger, the graphic user interface changes from the design 2 main view to the design 2 changes. From the change of the graphic user interface from the design 2 main view to the design 2 changes. Figure 2. When the user slide the image to the left in the design 2 main view, the graphic user interface changes from the design 2 main view to the design 2 changes. Figure 3.
 As shown in design 2 main views, the various contents to be selected in each area of ​​the content and various information related to them (Design 2 changes status Figure 1 includes the area of ​​the amplifier area called "selected Content display area ").
 As shown in design 2 changes in Figure 2 and Design 2 Change Status 3, a set of "selected content display areas" can be rolled left and right.
 The high -light display area is the selected area. When the user selects and decides the selected area, the selected area will be expanded and changed to the state of the design 2 change state. Various information related to the content is displayed in the selected area.
 In areas other than displayed content, such as movie images or wallpaper images do not constitute a design image that requires protection.
 Design 3: When the user selects the image on the display panel by using the controller or using the finger, the graphic user interface changes from the design 3 main view to the design 3 changes. From the design 3 main view of the graphic user interface to the change state of design 3. When the user slide the image to the left in the design 3 main view, the graphic user interface changes from the design 3 main view to the design 3 change state Figure 3.
 As shown in design 3 main views, the various contents to be selected in each area of ​​the content and various information related to them (Design 3 changes status Figure 1 includes the area of ​​the amplified area called "selected Content display area ").
 As shown in the design 3 change status Figure 2 and design 3 change state, the set of "selected content display areas" can be rolled left and right.
 The high -light display area is the selected area. When the user selects and decides the selected area, the selected area will be expanded and changed to the status of the design 3 change state. Various information related to the content is displayed in the selected area.
 In areas other than displayed content, such as movie images or wallpaper images do not constitute a design image that requires protection.
 Design 4: When the user selects the image on the display panel by using the controller or using the finger, the graphic user interface changes from the design 4 main view to the design 4 changes. From the change of the graphic user interface from the design 4 main view to the design 4 changes. Figure 2. When the user slide the image to the left in the design 4 main view, the graphic user interface changes from the design 4 main view to the design 4 changes. Figure 3.
 As shown in designing 4 main views, the various contents to be selected in each area of ​​the content and various information related to them (Design 4 changes status. Figure 1 is called "selected Content display area ").
 As shown in the design 4 change state Figure 2 and design 4 change state, the set of "selected content display areas" can be rolled left and right.
 The high -light display area is the selected area. When the user selects and decides the selected area, the selected area will be expanded and changed to the state of the design 4 change state. Various information related to the content is displayed in the selected area.
 In areas other than displayed content, such as movie images or wallpaper images do not constitute a design image that requires protection.
 The part of the dotted line is only for explanation, which does not constitute the designed part of the required protection.
 The reference diagram in design 1 考4 shows the image in use and does not constitute the designed part requested.
 The appearance of the transition image transitions between the image shown in the main view and the changing state diagram.
 The themes of these designs include the process or cycle of the image to other images.</v>
      </c>
      <c r="D1679" s="6" t="s">
        <v>4838</v>
      </c>
      <c r="E1679" s="4" t="str">
        <f ca="1">IFERROR(__xludf.DUMMYFUNCTION("GOOGLETRANSLATE(D1679,""auto"",""en"")"),"The graphical user interface for display screen panels with digital media operation settings")</f>
        <v>The graphical user interface for display screen panels with digital media operation settings</v>
      </c>
    </row>
    <row r="1680" spans="1:5" ht="15" x14ac:dyDescent="0.25">
      <c r="A1680" s="5" t="s">
        <v>4839</v>
      </c>
      <c r="B1680" s="6" t="s">
        <v>4840</v>
      </c>
      <c r="C1680" s="3" t="str">
        <f ca="1">IFERROR(__xludf.DUMMYFUNCTION("GOOGLETRANSLATE(B1680,""auto"",""en"")"),"The present invention disclosed a method and device based on deep learning. The method of using neural network prediction games includes the following steps: collecting player data about players in games that have been played in the past; pre -processing "&amp;"data for player data; and using data to create game prediction models. The pre -processing has been completed, including the steps of learning steps and using the prediction of the competition forecasting model to obtain the prediction value of the game r"&amp;"esults.")</f>
        <v>The present invention disclosed a method and device based on deep learning. The method of using neural network prediction games includes the following steps: collecting player data about players in games that have been played in the past; pre -processing data for player data; and using data to create game prediction models. The pre -processing has been completed, including the steps of learning steps and using the prediction of the competition forecasting model to obtain the prediction value of the game results.</v>
      </c>
      <c r="D1680" s="6" t="s">
        <v>4841</v>
      </c>
      <c r="E1680" s="4" t="str">
        <f ca="1">IFERROR(__xludf.DUMMYFUNCTION("GOOGLETRANSLATE(D1680,""auto"",""en"")"),"Sports lottery prediction methods and devices based on deep learning")</f>
        <v>Sports lottery prediction methods and devices based on deep learning</v>
      </c>
    </row>
    <row r="1681" spans="1:5" ht="15" x14ac:dyDescent="0.25">
      <c r="A1681" s="5" t="s">
        <v>4842</v>
      </c>
      <c r="B1681" s="6" t="s">
        <v>4843</v>
      </c>
      <c r="C1681" s="3" t="str">
        <f ca="1">IFERROR(__xludf.DUMMYFUNCTION("GOOGLETRANSLATE(B1681,""auto"",""en"")"),"The present invention disclosed a method and device based on deep learning. The method of using neural network predicting games includes the following steps: Player data from the game from the provider terminal receiving the game player played by the play"&amp;"er in the past, the data pre -processing of the player data, and using the player data to determine the game. Player data after data pre -processing, including the steps of training prediction models and the steps of the prediction value of the players 'r"&amp;"esults to obtain the players' results.")</f>
        <v>The present invention disclosed a method and device based on deep learning. The method of using neural network predicting games includes the following steps: Player data from the game from the provider terminal receiving the game player played by the player in the past, the data pre -processing of the player data, and using the player data to determine the game. Player data after data pre -processing, including the steps of training prediction models and the steps of the prediction value of the players 'results to obtain the players' results.</v>
      </c>
      <c r="D1681" s="6" t="s">
        <v>4844</v>
      </c>
      <c r="E1681" s="4" t="str">
        <f ca="1">IFERROR(__xludf.DUMMYFUNCTION("GOOGLETRANSLATE(D1681,""auto"",""en"")"),"Sports personal lottery prediction methods and devices based on deep learning")</f>
        <v>Sports personal lottery prediction methods and devices based on deep learning</v>
      </c>
    </row>
    <row r="1682" spans="1:5" ht="15" x14ac:dyDescent="0.25">
      <c r="A1682" s="5" t="s">
        <v>4845</v>
      </c>
      <c r="B1682" s="6" t="s">
        <v>4846</v>
      </c>
      <c r="C1682" s="3" t="str">
        <f ca="1">IFERROR(__xludf.DUMMYFUNCTION("GOOGLETRANSLATE(B1682,""auto"",""en"")"),"A javelin throwing training system, including: wearable body 1, configured to be adapted to the athlete's palm 2 and hand 3 in the athlete's palm 2 and the hand 3 in the gun site 4, the thermal imaging camera driven by artificial intelligence Determine th"&amp;"e playback technology, the connected microcontroller is used to receive the captured real -time image and compare it with the pre -entered image data and generate commands when the image does not match during the playback gun. In the wall 4 on the wall 4,"&amp;" display panel 7 is used to display the option set based on the player's skill level, and at least three sensors installed on the subject 1 to detect the speed and inclinedness of the junction gun throwing speed, inclinedness The angle of the benchmark, t"&amp;"he fatigue level of the player.")</f>
        <v>A javelin throwing training system, including: wearable body 1, configured to be adapted to the athlete's palm 2 and hand 3 in the athlete's palm 2 and the hand 3 in the gun site 4, the thermal imaging camera driven by artificial intelligence Determine the playback technology, the connected microcontroller is used to receive the captured real -time image and compare it with the pre -entered image data and generate commands when the image does not match during the playback gun. In the wall 4 on the wall 4, display panel 7 is used to display the option set based on the player's skill level, and at least three sensors installed on the subject 1 to detect the speed and inclinedness of the junction gun throwing speed, inclinedness The angle of the benchmark, the fatigue level of the player.</v>
      </c>
      <c r="D1682" s="6" t="s">
        <v>4847</v>
      </c>
      <c r="E1682" s="4" t="str">
        <f ca="1">IFERROR(__xludf.DUMMYFUNCTION("GOOGLETRANSLATE(D1682,""auto"",""en"")"),"Jianjian throw training system")</f>
        <v>Jianjian throw training system</v>
      </c>
    </row>
    <row r="1683" spans="1:5" ht="15" x14ac:dyDescent="0.25">
      <c r="A1683" s="5" t="s">
        <v>4848</v>
      </c>
      <c r="B1683" s="6" t="s">
        <v>4849</v>
      </c>
      <c r="C1683" s="3" t="str">
        <f ca="1">IFERROR(__xludf.DUMMYFUNCTION("GOOGLETRANSLATE(B1683,""auto"",""en"")"),"A column athlete training system, including tights with multiple sensors worn by users, is used to determine the physical fatigue experience of users when running on the runway. Pose, speed and leg movement. Running, the controller connection is used to c"&amp;"ollect information provided by the sensor and gait analysis module 2 to analyze the user's running technology. Multiple column frame 3 is equipped with an artificial intelligence -based armal imaging unit. Through the controller on the runway, start a spe"&amp;"cific number of column rack 3 at a specific height, to train users to provide graphic suggestions based on the primary, intermediate or expert level cross -column rack 3, projection unit 4 to improve running posture and column technology to help users hel"&amp;"p users Improve the results of the column competition.")</f>
        <v>A column athlete training system, including tights with multiple sensors worn by users, is used to determine the physical fatigue experience of users when running on the runway. Pose, speed and leg movement. Running, the controller connection is used to collect information provided by the sensor and gait analysis module 2 to analyze the user's running technology. Multiple column frame 3 is equipped with an artificial intelligence -based armal imaging unit. Through the controller on the runway, start a specific number of column rack 3 at a specific height, to train users to provide graphic suggestions based on the primary, intermediate or expert level cross -column rack 3, projection unit 4 to improve running posture and column technology to help users help users Improve the results of the column competition.</v>
      </c>
      <c r="D1683" s="6" t="s">
        <v>4850</v>
      </c>
      <c r="E1683" s="4" t="str">
        <f ca="1">IFERROR(__xludf.DUMMYFUNCTION("GOOGLETRANSLATE(D1683,""auto"",""en"")"),"Cross -column athlete training system")</f>
        <v>Cross -column athlete training system</v>
      </c>
    </row>
    <row r="1684" spans="1:5" ht="15" x14ac:dyDescent="0.25">
      <c r="A1684" s="5" t="s">
        <v>4851</v>
      </c>
      <c r="B1684" s="6" t="s">
        <v>4852</v>
      </c>
      <c r="C1684" s="3" t="str">
        <f ca="1">IFERROR(__xludf.DUMMYFUNCTION("GOOGLETRANSLATE(B1684,""auto"",""en"")"),"The swimming pool control system based on the embodiment of the present invention includes a swimming pool formed by the mobile container; and the control device that controls the swimming pool status stored in the internal space of the swimming pool. Amo"&amp;"ng them, the swimming pool status includes the water quality, water temperature and water level of the swimming pool water.")</f>
        <v>The swimming pool control system based on the embodiment of the present invention includes a swimming pool formed by the mobile container; and the control device that controls the swimming pool status stored in the internal space of the swimming pool. Among them, the swimming pool status includes the water quality, water temperature and water level of the swimming pool water.</v>
      </c>
      <c r="D1684" s="6" t="s">
        <v>4853</v>
      </c>
      <c r="E1684" s="4" t="str">
        <f ca="1">IFERROR(__xludf.DUMMYFUNCTION("GOOGLETRANSLATE(D1684,""auto"",""en"")"),"For the control system for mobile container pools for artificial intelligence for survival swimming education, its control unit can control the condition of the separated pool area")</f>
        <v>For the control system for mobile container pools for artificial intelligence for survival swimming education, its control unit can control the condition of the separated pool area</v>
      </c>
    </row>
    <row r="1685" spans="1:5" ht="15" x14ac:dyDescent="0.25">
      <c r="A1685" s="5" t="s">
        <v>4854</v>
      </c>
      <c r="B1685" s="6" t="s">
        <v>4852</v>
      </c>
      <c r="C1685" s="3" t="str">
        <f ca="1">IFERROR(__xludf.DUMMYFUNCTION("GOOGLETRANSLATE(B1685,""auto"",""en"")"),"The swimming pool control system based on the embodiment of the present invention includes a swimming pool formed by the mobile container; and the control device that controls the swimming pool status stored in the internal space of the swimming pool. Amo"&amp;"ng them, the swimming pool status includes the water quality, water temperature and water level of the swimming pool water.")</f>
        <v>The swimming pool control system based on the embodiment of the present invention includes a swimming pool formed by the mobile container; and the control device that controls the swimming pool status stored in the internal space of the swimming pool. Among them, the swimming pool status includes the water quality, water temperature and water level of the swimming pool water.</v>
      </c>
      <c r="D1685" s="6" t="s">
        <v>4855</v>
      </c>
      <c r="E1685" s="4" t="str">
        <f ca="1">IFERROR(__xludf.DUMMYFUNCTION("GOOGLETRANSLATE(D1685,""auto"",""en"")"),"Sensor units with measurement atmospheric temperature for survival swimming education based on artificial intelligence -based mobile container swimming pool control system")</f>
        <v>Sensor units with measurement atmospheric temperature for survival swimming education based on artificial intelligence -based mobile container swimming pool control system</v>
      </c>
    </row>
    <row r="1686" spans="1:5" ht="15" x14ac:dyDescent="0.25">
      <c r="A1686" s="5" t="s">
        <v>4856</v>
      </c>
      <c r="B1686" s="6" t="s">
        <v>4857</v>
      </c>
      <c r="C1686" s="3" t="str">
        <f ca="1">IFERROR(__xludf.DUMMYFUNCTION("GOOGLETRANSLATE(B1686,""auto"",""en"")"),"There is a technology that can perform 3D bone recognition on 2D images. At this time, because it is impossible to accurately identify the skeleton hidden in the two -dimensional image, part of the hidden two -dimensional images is used as the input to ge"&amp;"nerate a machine learning model. Because it is necessary to generate the image by itself, it is expensive to generate learning data.
  Obtain multiple two -dimensional images taken by the characters taken by multiple camera devices, detect the character"&amp;"istic points that represent the character's joints from multiple two -dimensional images, and combine the feature points into 3D images. Get the first bone data of the person, calculate the first bone directional data of the orientation between the joints"&amp;" from multiple first bone data, and calculate the first bone directional data to obtain the second bone positioning data through expansion, and use machine learning to use the first first. The second skeleton direction data is used as a characteristic val"&amp;"ue and the first skeleton direction data as the correct label to provide a training model generated by machine learning.")</f>
        <v>There is a technology that can perform 3D bone recognition on 2D images. At this time, because it is impossible to accurately identify the skeleton hidden in the two -dimensional image, part of the hidden two -dimensional images is used as the input to generate a machine learning model. Because it is necessary to generate the image by itself, it is expensive to generate learning data.
  Obtain multiple two -dimensional images taken by the characters taken by multiple camera devices, detect the characteristic points that represent the character's joints from multiple two -dimensional images, and combine the feature points into 3D images. Get the first bone data of the person, calculate the first bone directional data of the orientation between the joints from multiple first bone data, and calculate the first bone directional data to obtain the second bone positioning data through expansion, and use machine learning to use the first first. The second skeleton direction data is used as a characteristic value and the first skeleton direction data as the correct label to provide a training model generated by machine learning.</v>
      </c>
      <c r="D1686" s="6" t="s">
        <v>4858</v>
      </c>
      <c r="E1686" s="4" t="str">
        <f ca="1">IFERROR(__xludf.DUMMYFUNCTION("GOOGLETRANSLATE(D1686,""auto"",""en"")"),"Training model, gymnastic evaluation support system and bone recognition method")</f>
        <v>Training model, gymnastic evaluation support system and bone recognition method</v>
      </c>
    </row>
    <row r="1687" spans="1:5" ht="15" x14ac:dyDescent="0.25">
      <c r="A1687" s="5" t="s">
        <v>4859</v>
      </c>
      <c r="B1687" s="6" t="s">
        <v>4860</v>
      </c>
      <c r="C1687" s="3" t="str">
        <f ca="1">IFERROR(__xludf.DUMMYFUNCTION("GOOGLETRANSLATE(B1687,""auto"",""en"")"),"A basketball training device, including the robot body 1, the robot body 1 is composed of the climbing base of the universal wheel 4 with a comprehensive movement of the auxiliary body 1 2. The AI ​​(artificial intelligence) thermal image instrument 3 on "&amp;"the body 1 is composed of To capture the player's real -time activity to identify the user's game technology, control panel 5 is mapped on the body 1, displaying a set of options, users can choose according to their skills, and display appropriate methods"&amp;" and technologies to provide users with games. Installed the palm of the body 1 for the suction device 8, grab the basketball when playing with the user, set multiple nozzles 6 in the palm part, and use the pressure gas to discharge the ball to the edge o"&amp;"f the basketball.")</f>
        <v>A basketball training device, including the robot body 1, the robot body 1 is composed of the climbing base of the universal wheel 4 with a comprehensive movement of the auxiliary body 1 2. The AI ​​(artificial intelligence) thermal image instrument 3 on the body 1 is composed of To capture the player's real -time activity to identify the user's game technology, control panel 5 is mapped on the body 1, displaying a set of options, users can choose according to their skills, and display appropriate methods and technologies to provide users with games. Installed the palm of the body 1 for the suction device 8, grab the basketball when playing with the user, set multiple nozzles 6 in the palm part, and use the pressure gas to discharge the ball to the edge of the basketball.</v>
      </c>
      <c r="D1687" s="6" t="s">
        <v>2166</v>
      </c>
      <c r="E1687" s="4" t="str">
        <f ca="1">IFERROR(__xludf.DUMMYFUNCTION("GOOGLETRANSLATE(D1687,""auto"",""en"")"),"Basketball trainer")</f>
        <v>Basketball trainer</v>
      </c>
    </row>
    <row r="1688" spans="1:5" ht="15" x14ac:dyDescent="0.25">
      <c r="A1688" s="5" t="s">
        <v>4861</v>
      </c>
      <c r="B1688" s="6" t="s">
        <v>4862</v>
      </c>
      <c r="C1688" s="3" t="str">
        <f ca="1">IFERROR(__xludf.DUMMYFUNCTION("GOOGLETRANSLATE(B1688,""auto"",""en"")"),"A exercise device that enhances user interaction, including: subject 1 suitable for placing underwater and allowing users to perform exercise; allowing users to walk in the first and second directions in the first and second directions of the band; The re"&amp;"cognition module used to receive gestures under the perspective of artificial intelligence camera 3. The life detection sensor used to monitor the real -time health status of the user and the control unit associated with the sensor. , Ahead of the control"&amp;" unit used to track the control unit of the brain signal 4, and multiple cavities that are filled with water and allowed water to pass through the electronic valve 5, and the distribution units associated with the electronic valve through the pipeline Use"&amp;"d to allocate water in a user -defined manner.")</f>
        <v>A exercise device that enhances user interaction, including: subject 1 suitable for placing underwater and allowing users to perform exercise; allowing users to walk in the first and second directions in the first and second directions of the band; The recognition module used to receive gestures under the perspective of artificial intelligence camera 3. The life detection sensor used to monitor the real -time health status of the user and the control unit associated with the sensor. , Ahead of the control unit used to track the control unit of the brain signal 4, and multiple cavities that are filled with water and allowed water to pass through the electronic valve 5, and the distribution units associated with the electronic valve through the pipeline Used to allocate water in a user -defined manner.</v>
      </c>
      <c r="D1688" s="6" t="s">
        <v>4863</v>
      </c>
      <c r="E1688" s="4" t="str">
        <f ca="1">IFERROR(__xludf.DUMMYFUNCTION("GOOGLETRANSLATE(D1688,""auto"",""en"")"),"Exercise equipment that enhances user interaction")</f>
        <v>Exercise equipment that enhances user interaction</v>
      </c>
    </row>
    <row r="1689" spans="1:5" ht="15" x14ac:dyDescent="0.25">
      <c r="A1689" s="5" t="s">
        <v>4864</v>
      </c>
      <c r="B1689" s="6" t="s">
        <v>4865</v>
      </c>
      <c r="C1689" s="3" t="str">
        <f ca="1">IFERROR(__xludf.DUMMYFUNCTION("GOOGLETRANSLATE(B1689,""auto"",""en"")"),"The present invention disclosed a swimmer's drowning method, medium, and equipment. The methods include: historical video images to obtain the normal behavior of swimmers, and prepare the historical video images to generate training data; according to the"&amp;" training, according to the training The data is trained in the deep learning model to generate deep learning abnormal detection models; obtains video images to be detected, and pre -process the video image to be detected to generate Describes deep learni"&amp;"ng abnormal detection models to determine whether the swimmers corresponding to the video image to be detected by the output of the deep learning abnormal detection model can effectively improve the recognition rate of swimmers drowning, ensure the swimmi"&amp;"ng swimming process Life is safe.")</f>
        <v>The present invention disclosed a swimmer's drowning method, medium, and equipment. The methods include: historical video images to obtain the normal behavior of swimmers, and prepare the historical video images to generate training data; according to the training, according to the training The data is trained in the deep learning model to generate deep learning abnormal detection models; obtains video images to be detected, and pre -process the video image to be detected to generate Describes deep learning abnormal detection models to determine whether the swimmers corresponding to the video image to be detected by the output of the deep learning abnormal detection model can effectively improve the recognition rate of swimmers drowning, ensure the swimming swimming process Life is safe.</v>
      </c>
      <c r="D1689" s="6" t="s">
        <v>4866</v>
      </c>
      <c r="E1689" s="4" t="str">
        <f ca="1">IFERROR(__xludf.DUMMYFUNCTION("GOOGLETRANSLATE(D1689,""auto"",""en"")"),"Swimming drowning detection method")</f>
        <v>Swimming drowning detection method</v>
      </c>
    </row>
    <row r="1690" spans="1:5" ht="15" x14ac:dyDescent="0.25">
      <c r="A1690" s="5" t="s">
        <v>4867</v>
      </c>
      <c r="B1690" s="6" t="s">
        <v>4868</v>
      </c>
      <c r="C1690" s="3" t="str">
        <f ca="1">IFERROR(__xludf.DUMMYFUNCTION("GOOGLETRANSLATE(B1690,""auto"",""en"")"),"The invention involves a non -contact fitness monitoring method using smart speakers, which is a mobile computing application technology field. The present invention only rely on the speakers in smart speakers to emit high -frequency sounds beyond human e"&amp;"ar hearing. The microphone receives reflex signals to realize the identification of fitness movements and provide fine -grained fitness statistics and evaluations for users indoors. The cost of the present invention is low, strong anti -interference, no l"&amp;"eakage privacy problems, good user experience, and suitable for indoor monitoring environments such as family and offices. The high -frequency sound adopted by the present invention exceeds the frequency of most of the noise in life, and it is not vulnera"&amp;"ble to the interference of environmental noise, which greatly enhances the environmental robustness of the non -contact fitness monitoring method. The present invention can monitor and evaluate typical fitness actions, combine deep learning technology and"&amp;" incremental learning technology, and obtain accurate action information on smart speakers with limited perception ability, which has high accuracy.")</f>
        <v>The invention involves a non -contact fitness monitoring method using smart speakers, which is a mobile computing application technology field. The present invention only rely on the speakers in smart speakers to emit high -frequency sounds beyond human ear hearing. The microphone receives reflex signals to realize the identification of fitness movements and provide fine -grained fitness statistics and evaluations for users indoors. The cost of the present invention is low, strong anti -interference, no leakage privacy problems, good user experience, and suitable for indoor monitoring environments such as family and offices. The high -frequency sound adopted by the present invention exceeds the frequency of most of the noise in life, and it is not vulnerable to the interference of environmental noise, which greatly enhances the environmental robustness of the non -contact fitness monitoring method. The present invention can monitor and evaluate typical fitness actions, combine deep learning technology and incremental learning technology, and obtain accurate action information on smart speakers with limited perception ability, which has high accuracy.</v>
      </c>
      <c r="D1690" s="6" t="s">
        <v>4869</v>
      </c>
      <c r="E1690" s="4" t="str">
        <f ca="1">IFERROR(__xludf.DUMMYFUNCTION("GOOGLETRANSLATE(D1690,""auto"",""en"")"),"A non -contact fitness monitoring method using smart speakers")</f>
        <v>A non -contact fitness monitoring method using smart speakers</v>
      </c>
    </row>
    <row r="1691" spans="1:5" ht="15" x14ac:dyDescent="0.25">
      <c r="A1691" s="5" t="s">
        <v>4870</v>
      </c>
      <c r="B1691" s="6" t="s">
        <v>4871</v>
      </c>
      <c r="C1691" s="3" t="str">
        <f ca="1">IFERROR(__xludf.DUMMYFUNCTION("GOOGLETRANSLATE(B1691,""auto"",""en"")"),"The present invention uses the motion of the celles and the trajectory information of each billiards installed in the LIDAR sensor installed in the actual platform. At the same time, the collected big data is analyzed to obtain analysis data. Based on thi"&amp;"s, artificial intelligence provides users with the best playback information based on the location of each billiards on the position of the billiard table, which can maximize the efficiency and effect of billiards exercises, and provide users with interac"&amp;"tive service table ball exercises This is possible. It involves a big data collection system that uses a lidar sensor. It can increase the popularity by inducing the interests and participation of users, and an experiential table ball using collected big "&amp;"data and artificial intelligence. Practice system.")</f>
        <v>The present invention uses the motion of the celles and the trajectory information of each billiards installed in the LIDAR sensor installed in the actual platform. At the same time, the collected big data is analyzed to obtain analysis data. Based on this, artificial intelligence provides users with the best playback information based on the location of each billiards on the position of the billiard table, which can maximize the efficiency and effect of billiards exercises, and provide users with interactive service table ball exercises This is possible. It involves a big data collection system that uses a lidar sensor. It can increase the popularity by inducing the interests and participation of users, and an experiential table ball using collected big data and artificial intelligence. Practice system.</v>
      </c>
      <c r="D1691" s="6" t="s">
        <v>4872</v>
      </c>
      <c r="E1691" s="4" t="str">
        <f ca="1">IFERROR(__xludf.DUMMYFUNCTION("GOOGLETRANSLATE(D1691,""auto"",""en"")"),"Big data acquisition system using lidar sensor, and the collected big data and artificial intelligence billiard experimental exercise exercise system collected by the collected big data and artificial intelligence")</f>
        <v>Big data acquisition system using lidar sensor, and the collected big data and artificial intelligence billiard experimental exercise exercise system collected by the collected big data and artificial intelligence</v>
      </c>
    </row>
    <row r="1692" spans="1:5" ht="15" x14ac:dyDescent="0.25">
      <c r="A1692" s="5" t="s">
        <v>4873</v>
      </c>
      <c r="B1692" s="6" t="s">
        <v>4874</v>
      </c>
      <c r="C1692" s="3" t="str">
        <f ca="1">IFERROR(__xludf.DUMMYFUNCTION("GOOGLETRANSLATE(B1692,""auto"",""en"")"),"The present invention involves a drowning -proof life system, including: artificial intelligent image capture unit 2 installed on swimming pool 1, which is used to capture images of swimming in swimming in swimming pool 1; hot image capture unit 3 is also"&amp;" installed on the periphery of swimming pool 1. The periphery of Chishi 1 tracks the user's life signs and underwater positions, and the microcontroller of the capture unit 2,3 paired with the artificial and hot image capture unit 2,3, the microcontroller"&amp;" processing data from the image capture unit 2,3 Any abnormality related to gestures, signs of life or location, and the safety module installed on the walls of the swimming pool 1 and the base. After receiving the command from the micro -controller to re"&amp;"ceive the commands of different configurations, it is activated to provide the user when swimming to provide the user when the user provides the user when swimming. Safety.")</f>
        <v>The present invention involves a drowning -proof life system, including: artificial intelligent image capture unit 2 installed on swimming pool 1, which is used to capture images of swimming in swimming in swimming pool 1; hot image capture unit 3 is also installed on the periphery of swimming pool 1. The periphery of Chishi 1 tracks the user's life signs and underwater positions, and the microcontroller of the capture unit 2,3 paired with the artificial and hot image capture unit 2,3, the microcontroller processing data from the image capture unit 2,3 Any abnormality related to gestures, signs of life or location, and the safety module installed on the walls of the swimming pool 1 and the base. After receiving the command from the micro -controller to receive the commands of different configurations, it is activated to provide the user when swimming to provide the user when the user provides the user when swimming. Safety.</v>
      </c>
      <c r="D1692" s="6" t="s">
        <v>4875</v>
      </c>
      <c r="E1692" s="4" t="str">
        <f ca="1">IFERROR(__xludf.DUMMYFUNCTION("GOOGLETRANSLATE(D1692,""auto"",""en"")"),"Anti -drowning life system")</f>
        <v>Anti -drowning life system</v>
      </c>
    </row>
    <row r="1693" spans="1:5" ht="15" x14ac:dyDescent="0.25">
      <c r="A1693" s="5" t="s">
        <v>4876</v>
      </c>
      <c r="B1693" s="6" t="s">
        <v>4877</v>
      </c>
      <c r="C1693" s="3" t="str">
        <f ca="1">IFERROR(__xludf.DUMMYFUNCTION("GOOGLETRANSLATE(B1693,""auto"",""en"")"),"The invention disclosed a circular aquaculture fish intelligent feeding decision system based on the energy consumption analysis of fish group swimming. The system includes circulating water treatment system, feeder, circulating water breeding pool, PLC c"&amp;"ontroller, LED fill light light light , High -definition camera, computer, frequency conversion water pump; the system mainly uses machine vision and deep learning technology to analyze and evaluate the swimming energy consumption of circulating water far"&amp;"ming fish groups, and use the independently built ""full -scale swimming energy consumption"" model The real -time feeding needs of farming fish are predicted to achieve intelligent decisions of feeding in circulating hydraulic breeding. The system struct"&amp;"ure of the present invention is simple and simple and effective, which can greatly reduce the uncertainty brought by relying on artificial experience for feeding decision -making. , Meet the development needs of aquaculture welfare.")</f>
        <v>The invention disclosed a circular aquaculture fish intelligent feeding decision system based on the energy consumption analysis of fish group swimming. The system includes circulating water treatment system, feeder, circulating water breeding pool, PLC controller, LED fill light light light , High -definition camera, computer, frequency conversion water pump; the system mainly uses machine vision and deep learning technology to analyze and evaluate the swimming energy consumption of circulating water farming fish groups, and use the independently built "full -scale swimming energy consumption" model The real -time feeding needs of farming fish are predicted to achieve intelligent decisions of feeding in circulating hydraulic breeding. The system structure of the present invention is simple and simple and effective, which can greatly reduce the uncertainty brought by relying on artificial experience for feeding decision -making. , Meet the development needs of aquaculture welfare.</v>
      </c>
      <c r="D1693" s="6" t="s">
        <v>4878</v>
      </c>
      <c r="E1693" s="4" t="str">
        <f ca="1">IFERROR(__xludf.DUMMYFUNCTION("GOOGLETRANSLATE(D1693,""auto"",""en"")"),"Circular water breeding fish feeding decision system based on fish group swimming energy consumption analysis")</f>
        <v>Circular water breeding fish feeding decision system based on fish group swimming energy consumption analysis</v>
      </c>
    </row>
    <row r="1694" spans="1:5" ht="15" x14ac:dyDescent="0.25">
      <c r="A1694" s="5" t="s">
        <v>4879</v>
      </c>
      <c r="B1694" s="6" t="s">
        <v>4880</v>
      </c>
      <c r="C1694" s="3" t="str">
        <f ca="1">IFERROR(__xludf.DUMMYFUNCTION("GOOGLETRANSLATE(B1694,""auto"",""en"")"),"An adaptive training system for swimming, including the water flow regulator 1 installed in the swimming pool 2, where the regulator 1 produces artificial traffic to the water filled in the pool 2 at a predetermined speed to allow users to swim, AI (artif"&amp;"icial intelligence) Enable the camera module associated with the pool 2 to capture the image of the user during swimming, and extract details from the image to determine the level of swimming that the user owns. Water current speed pool 2 Depending on the"&amp;" user's ability, control panel 4 is paired with microcontroller, the panel 4 obtains the input of swimming style of the user's hope of practice from the user, and the database of the link to the microcontroller. Data from the ideal water flow speed corres"&amp;"ponding to the swimming style, as well as regulating water flow, and convenient for users to practice. Reference Figure 1")</f>
        <v>An adaptive training system for swimming, including the water flow regulator 1 installed in the swimming pool 2, where the regulator 1 produces artificial traffic to the water filled in the pool 2 at a predetermined speed to allow users to swim, AI (artificial intelligence) Enable the camera module associated with the pool 2 to capture the image of the user during swimming, and extract details from the image to determine the level of swimming that the user owns. Water current speed pool 2 Depending on the user's ability, control panel 4 is paired with microcontroller, the panel 4 obtains the input of swimming style of the user's hope of practice from the user, and the database of the link to the microcontroller. Data from the ideal water flow speed corresponding to the swimming style, as well as regulating water flow, and convenient for users to practice. Reference Figure 1</v>
      </c>
      <c r="D1694" s="6" t="s">
        <v>4881</v>
      </c>
      <c r="E1694" s="4" t="str">
        <f ca="1">IFERROR(__xludf.DUMMYFUNCTION("GOOGLETRANSLATE(D1694,""auto"",""en"")"),"Adaptive swimming training system")</f>
        <v>Adaptive swimming training system</v>
      </c>
    </row>
    <row r="1695" spans="1:5" ht="15" x14ac:dyDescent="0.25">
      <c r="A1695" s="5" t="s">
        <v>4882</v>
      </c>
      <c r="B1695" s="6" t="s">
        <v>4883</v>
      </c>
      <c r="C1695" s="3" t="str">
        <f ca="1">IFERROR(__xludf.DUMMYFUNCTION("GOOGLETRANSLATE(B1695,""auto"",""en"")"),"The invention uses the actual baseball player (position, movement direction, movement speed, etc.) and the ball movement information of each group of CUBES (s) and artificial intelligence algorithms. Analyze the big data used based on the statistics and s"&amp;"ituations of each athlete class, pattern information, and based on the online baseball game application mode information to be based on the detected category and situation application mode information. In addition to maximizing the realism and reality of "&amp;"online baseball games, to maximize the consensus of athlete characters and actual players, users reflect the various operations and struggles between the hitter and the pitcher, the speed and direction of the ball, which is a The enhanced big data collect"&amp;"ion system can enhance the interests of players by reflecting the various operations and struggles between the striker and the pitcher. Participate and fun, and enhance users to participate in online baseball games to provide users with services and onlin"&amp;"e baseball games.")</f>
        <v>The invention uses the actual baseball player (position, movement direction, movement speed, etc.) and the ball movement information of each group of CUBES (s) and artificial intelligence algorithms. Analyze the big data used based on the statistics and situations of each athlete class, pattern information, and based on the online baseball game application mode information to be based on the detected category and situation application mode information. In addition to maximizing the realism and reality of online baseball games, to maximize the consensus of athlete characters and actual players, users reflect the various operations and struggles between the hitter and the pitcher, the speed and direction of the ball, which is a The enhanced big data collection system can enhance the interests of players by reflecting the various operations and struggles between the striker and the pitcher. Participate and fun, and enhance users to participate in online baseball games to provide users with services and online baseball games.</v>
      </c>
      <c r="D1695" s="6" t="s">
        <v>4884</v>
      </c>
      <c r="E1695" s="4" t="str">
        <f ca="1">IFERROR(__xludf.DUMMYFUNCTION("GOOGLETRANSLATE(D1695,""auto"",""en"")"),"Big data acquisition system using lidar sensors and online baseball games with its online baseball game provides a system")</f>
        <v>Big data acquisition system using lidar sensors and online baseball games with its online baseball game provides a system</v>
      </c>
    </row>
    <row r="1696" spans="1:5" ht="15" x14ac:dyDescent="0.25">
      <c r="A1696" s="5" t="s">
        <v>4885</v>
      </c>
      <c r="B1696" s="6" t="s">
        <v>4886</v>
      </c>
      <c r="C1696" s="3" t="str">
        <f ca="1">IFERROR(__xludf.DUMMYFUNCTION("GOOGLETRANSLATE(B1696,""auto"",""en"")"),"The present invention discloses an artificial intelligence -based running intelligent chronograph method. The steps include: 1 camera collecting runners' running videos and counting the number of runners; 2 starters of the starting point for starting test"&amp;" at the starting point and judging whether there is a running running. Behavior; 3 During the runner of the runner, the camera conducts human tracking and human detection of all runners within the field of vision within their own effective area; 4 runners"&amp;" after running through multiple identity authentication methods, including face recognition, fingerprints, fingerprints, fingerprints Identification, iris recognition, and support on the spot. The invention can use artificial intelligence to achieve intel"&amp;"ligent timing of running time, saving time and effort, so as to ensure fair performance and improve timing accuracy.")</f>
        <v>The present invention discloses an artificial intelligence -based running intelligent chronograph method. The steps include: 1 camera collecting runners' running videos and counting the number of runners; 2 starters of the starting point for starting test at the starting point and judging whether there is a running running. Behavior; 3 During the runner of the runner, the camera conducts human tracking and human detection of all runners within the field of vision within their own effective area; 4 runners after running through multiple identity authentication methods, including face recognition, fingerprints, fingerprints, fingerprints Identification, iris recognition, and support on the spot. The invention can use artificial intelligence to achieve intelligent timing of running time, saving time and effort, so as to ensure fair performance and improve timing accuracy.</v>
      </c>
      <c r="D1696" s="6" t="s">
        <v>4887</v>
      </c>
      <c r="E1696" s="4" t="str">
        <f ca="1">IFERROR(__xludf.DUMMYFUNCTION("GOOGLETRANSLATE(D1696,""auto"",""en"")"),"A way of running intelligent timing based on artificial intelligence")</f>
        <v>A way of running intelligent timing based on artificial intelligence</v>
      </c>
    </row>
    <row r="1697" spans="1:5" ht="15" x14ac:dyDescent="0.25">
      <c r="A1697" s="5" t="s">
        <v>4888</v>
      </c>
      <c r="B1697" s="6" t="s">
        <v>4889</v>
      </c>
      <c r="C1697" s="3" t="str">
        <f ca="1">IFERROR(__xludf.DUMMYFUNCTION("GOOGLETRANSLATE(B1697,""auto"",""en"")"),"The present invention is a field of deep learning and graphic image processing. Specifically, a speed skating athlete action recognition method based on human gesture estimates, which includes the following steps: S1, the key node sequence of the athletes"&amp;" in the speed skating video; Enter the obtained posture sequence into the diagram convolutional action recognition network; S3, use the graphic convolution network to determine the action category of speed skating athletes; S4, display the movement postur"&amp;"e and action category to video, assist in the analysis of coaches. The method of this invention analyzes the movement posture of speed skating athletes by using deep neural networks, feedback to the coaches to help improve the athlete's sports level.")</f>
        <v>The present invention is a field of deep learning and graphic image processing. Specifically, a speed skating athlete action recognition method based on human gesture estimates, which includes the following steps: S1, the key node sequence of the athletes in the speed skating video; Enter the obtained posture sequence into the diagram convolutional action recognition network; S3, use the graphic convolution network to determine the action category of speed skating athletes; S4, display the movement posture and action category to video, assist in the analysis of coaches. The method of this invention analyzes the movement posture of speed skating athletes by using deep neural networks, feedback to the coaches to help improve the athlete's sports level.</v>
      </c>
      <c r="D1697" s="6" t="s">
        <v>4890</v>
      </c>
      <c r="E1697" s="4" t="str">
        <f ca="1">IFERROR(__xludf.DUMMYFUNCTION("GOOGLETRANSLATE(D1697,""auto"",""en"")"),"A method of action recognition of speed skating athletes based on human posture estimation")</f>
        <v>A method of action recognition of speed skating athletes based on human posture estimation</v>
      </c>
    </row>
    <row r="1698" spans="1:5" ht="15" x14ac:dyDescent="0.25">
      <c r="A1698" s="5" t="s">
        <v>4891</v>
      </c>
      <c r="B1698" s="6" t="s">
        <v>4892</v>
      </c>
      <c r="C1698" s="3" t="str">
        <f ca="1">IFERROR(__xludf.DUMMYFUNCTION("GOOGLETRANSLATE(B1698,""auto"",""en"")"),"The invention discloses a intelligent examination system for sports examinations. It includes at least cloud platforms, project hosts, issuances, verification examinations and collection equipment. The cloud platform connects with the project host. For th"&amp;"e composition of the host, the host of each test item is at least with the connection with the order of the examination, verification testing and the collection equipment, and the existing audio output equipment is issued. The present invention can achiev"&amp;"e the following functions through the cloud platform, combined with face recognition and image recognition technology: through image recognition, automatically scoring candidates to reduce human mistakes, reduce the probability of parents and students Inp"&amp;"ut costs.")</f>
        <v>The invention discloses a intelligent examination system for sports examinations. It includes at least cloud platforms, project hosts, issuances, verification examinations and collection equipment. The cloud platform connects with the project host. For the composition of the host, the host of each test item is at least with the connection with the order of the examination, verification testing and the collection equipment, and the existing audio output equipment is issued. The present invention can achieve the following functions through the cloud platform, combined with face recognition and image recognition technology: through image recognition, automatically scoring candidates to reduce human mistakes, reduce the probability of parents and students Input costs.</v>
      </c>
      <c r="D1698" s="6" t="s">
        <v>4893</v>
      </c>
      <c r="E1698" s="4" t="str">
        <f ca="1">IFERROR(__xludf.DUMMYFUNCTION("GOOGLETRANSLATE(D1698,""auto"",""en"")"),"A intelligent examination system for sports examinations dedicated")</f>
        <v>A intelligent examination system for sports examinations dedicated</v>
      </c>
    </row>
    <row r="1699" spans="1:5" ht="15" x14ac:dyDescent="0.25">
      <c r="A1699" s="5" t="s">
        <v>4894</v>
      </c>
      <c r="B1699" s="6" t="s">
        <v>4895</v>
      </c>
      <c r="C1699" s="3" t="str">
        <f ca="1">IFERROR(__xludf.DUMMYFUNCTION("GOOGLETRANSLATE(B1699,""auto"",""en"")"),"This utility model belongs to the field of intelligent testing equipment technology, especially for a table tennis formed by artificial intelligence monitoring device, including fixed blocks, which are opened on the fixed block. There is a thread rod, the"&amp;" top of the thread rod is installed with an underwriting plate, the top of the groove is provided with an upper squeezing plate. There is a slide, the sliding internal sliding in the slide is equipped with a slider, the top welding of the slider is welded"&amp;" with a vertical pole. The side slide of the vertical rod is equipped with a tight rod. , Simple and easy to use this practical new structure. Through the cooperation between the thread pole and the extrusion plate, it plays a role in a fast and desktop f"&amp;"ixation. At the same time, two adjustment rods can be set. More convenient.")</f>
        <v>This utility model belongs to the field of intelligent testing equipment technology, especially for a table tennis formed by artificial intelligence monitoring device, including fixed blocks, which are opened on the fixed block. There is a thread rod, the top of the thread rod is installed with an underwriting plate, the top of the groove is provided with an upper squeezing plate. There is a slide, the sliding internal sliding in the slide is equipped with a slider, the top welding of the slider is welded with a vertical pole. The side slide of the vertical rod is equipped with a tight rod. , Simple and easy to use this practical new structure. Through the cooperation between the thread pole and the extrusion plate, it plays a role in a fast and desktop fixation. At the same time, two adjustment rods can be set. More convenient.</v>
      </c>
      <c r="D1699" s="6" t="s">
        <v>4896</v>
      </c>
      <c r="E1699" s="4" t="str">
        <f ca="1">IFERROR(__xludf.DUMMYFUNCTION("GOOGLETRANSLATE(D1699,""auto"",""en"")"),"An artificial intelligence monitoring device that is easy to install")</f>
        <v>An artificial intelligence monitoring device that is easy to install</v>
      </c>
    </row>
    <row r="1700" spans="1:5" ht="15" x14ac:dyDescent="0.25">
      <c r="A1700" s="5" t="s">
        <v>4897</v>
      </c>
      <c r="B1700" s="6" t="s">
        <v>4898</v>
      </c>
      <c r="C1700" s="3" t="str">
        <f ca="1">IFERROR(__xludf.DUMMYFUNCTION("GOOGLETRANSLATE(B1700,""auto"",""en"")"),"The present invention is a smart home field. It specifically provides a linkage method for fitness equipment and washing machines to solve the problem of insufficient linkage between existing fitness equipment and washing machines and low degree of intell"&amp;"igence. For this purpose, the method of the present invention includes: when the user stops using fitness equipment, the user consumes energy on fitness equipment and compares energy consumption with the set threshold; if the energy consumption is greater"&amp;" than the set threshold, the washing machine will be based on the server according to the server. Run the washing program or run the washing program by yourself, and identify the user's voice commands through the voice objects in the washing machine, conf"&amp;"irm the relevant operations, and control the main control module of the washing machine; Speaking commands, at the same time, you can provide users with voice prompts. Through this method, the degree of linkage between fitness equipment and washing machin"&amp;"es can be enhanced and therefore simplify user operations and enhance user experience.")</f>
        <v>The present invention is a smart home field. It specifically provides a linkage method for fitness equipment and washing machines to solve the problem of insufficient linkage between existing fitness equipment and washing machines and low degree of intelligence. For this purpose, the method of the present invention includes: when the user stops using fitness equipment, the user consumes energy on fitness equipment and compares energy consumption with the set threshold; if the energy consumption is greater than the set threshold, the washing machine will be based on the server according to the server. Run the washing program or run the washing program by yourself, and identify the user's voice commands through the voice objects in the washing machine, confirm the relevant operations, and control the main control module of the washing machine; Speaking commands, at the same time, you can provide users with voice prompts. Through this method, the degree of linkage between fitness equipment and washing machines can be enhanced and therefore simplify user operations and enhance user experience.</v>
      </c>
      <c r="D1700" s="6" t="s">
        <v>4899</v>
      </c>
      <c r="E1700" s="4" t="str">
        <f ca="1">IFERROR(__xludf.DUMMYFUNCTION("GOOGLETRANSLATE(D1700,""auto"",""en"")"),"The linkage method of fitness equipment and washing machine")</f>
        <v>The linkage method of fitness equipment and washing machine</v>
      </c>
    </row>
    <row r="1701" spans="1:5" ht="15" x14ac:dyDescent="0.25">
      <c r="A1701" s="5" t="s">
        <v>4900</v>
      </c>
      <c r="B1701" s="6" t="s">
        <v>4901</v>
      </c>
      <c r="C1701" s="3" t="str">
        <f ca="1">IFERROR(__xludf.DUMMYFUNCTION("GOOGLETRANSLATE(B1701,""auto"",""en"")"),"The disclosed technology can be arbitrated with digital competitions based on self -verification using machine learning. Train neural networks to identify the results of digital competitions from digital competitions. The first computing device is used to"&amp;" subscribe to the first and second user group to the digital competition arbitration platform. The second computing device is used to use the digital classification accounts between the group to perform the digital contract, which is related to the result"&amp;"s of digital contracts. Neural networks are used to verify the results of the game. Verification is based on reports from the first user group and the second user group. The input image of the first user group submits the result, such as screenshots. The "&amp;"screenshot is accepted as a self -verification based on the results from the neural network and the results of not submitting from the second user group.")</f>
        <v>The disclosed technology can be arbitrated with digital competitions based on self -verification using machine learning. Train neural networks to identify the results of digital competitions from digital competitions. The first computing device is used to subscribe to the first and second user group to the digital competition arbitration platform. The second computing device is used to use the digital classification accounts between the group to perform the digital contract, which is related to the results of digital contracts. Neural networks are used to verify the results of the game. Verification is based on reports from the first user group and the second user group. The input image of the first user group submits the result, such as screenshots. The screenshot is accepted as a self -verification based on the results from the neural network and the results of not submitting from the second user group.</v>
      </c>
      <c r="D1701" s="6" t="s">
        <v>4902</v>
      </c>
      <c r="E1701" s="4" t="str">
        <f ca="1">IFERROR(__xludf.DUMMYFUNCTION("GOOGLETRANSLATE(D1701,""auto"",""en"")"),"Self -verification of digital competitions using machine learning")</f>
        <v>Self -verification of digital competitions using machine learning</v>
      </c>
    </row>
    <row r="1702" spans="1:5" ht="15" x14ac:dyDescent="0.25">
      <c r="A1702" s="5" t="s">
        <v>4903</v>
      </c>
      <c r="B1702" s="6" t="s">
        <v>4904</v>
      </c>
      <c r="C1702" s="3" t="str">
        <f ca="1">IFERROR(__xludf.DUMMYFUNCTION("GOOGLETRANSLATE(B1702,""auto"",""en"")"),"Provides a method to monitor users for physical exercise. This method includes radar measuring the use of radar sensors (110) to perform radar measurements for users (101). Radar sensor output indicates radar data for radar measurement. In addition, this "&amp;"method includes the type of physical exercise using a trained machine learning model based on radar data. In addition, this method includes the use of trained machine learning models based on radar data and determined physical exercise types to determine "&amp;"the quality of physical exercise. This method includes monitoring data of the execution quality of the physical exercise determined by the output (121).")</f>
        <v>Provides a method to monitor users for physical exercise. This method includes radar measuring the use of radar sensors (110) to perform radar measurements for users (101). Radar sensor output indicates radar data for radar measurement. In addition, this method includes the type of physical exercise using a trained machine learning model based on radar data. In addition, this method includes the use of trained machine learning models based on radar data and determined physical exercise types to determine the quality of physical exercise. This method includes monitoring data of the execution quality of the physical exercise determined by the output (121).</v>
      </c>
      <c r="D1702" s="6" t="s">
        <v>4905</v>
      </c>
      <c r="E1702" s="4" t="str">
        <f ca="1">IFERROR(__xludf.DUMMYFUNCTION("GOOGLETRANSLATE(D1702,""auto"",""en"")"),"Methods for monitoring users for physical exercise, equipment, local equipment and servers")</f>
        <v>Methods for monitoring users for physical exercise, equipment, local equipment and servers</v>
      </c>
    </row>
    <row r="1703" spans="1:5" ht="15" x14ac:dyDescent="0.25">
      <c r="A1703" s="5" t="s">
        <v>4906</v>
      </c>
      <c r="B1703" s="6" t="s">
        <v>4907</v>
      </c>
      <c r="C1703" s="3" t="str">
        <f ca="1">IFERROR(__xludf.DUMMYFUNCTION("GOOGLETRANSLATE(B1703,""auto"",""en"")"),"1. Design product name: The measurement dimension user interface of the measurement size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implementation of the display screen pa"&amp;"nel, and can be used to measure the size of the object.
 6. Human -machine interaction method of graphical user interface: Graphic user interface can interact through light strike, sliding or rolling graphical user interface or by moving the screen pane"&amp;"l in any direction.
 7. The display screen panel can be applied to computers, laptops, display devices, communication equipment, multimedia equipment, information terminals, portable communication equipment, portable multimedia devices, portable informa"&amp;"tion terminals, tablet computers, mobile phones, smartphones, wearable devices, watches , Smart watch, fitness monitor, headset headphones, personal digital assistants, smart speakers, display systems, TV, monitor, projector, displays, navigation equipmen"&amp;"t, set -top boxes, game machines for vehicles; Design, so omitting other views.")</f>
        <v>1. Design product name: The measurement dimension user interface of the measurement size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measure the size of the object.
 6. Human -machine interaction method of graphical user interface: Graphic user interface can interact through light strike, sliding or rolling graphical user interface or by moving the screen panel in any direction.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headphones, personal digital assistants, smart speakers, display systems, TV, monitor, projector, displays, navigation equipment, set -top boxes, game machines for vehicles; Design, so omitting other views.</v>
      </c>
      <c r="D1703" s="6" t="s">
        <v>4908</v>
      </c>
      <c r="E1703" s="4" t="str">
        <f ca="1">IFERROR(__xludf.DUMMYFUNCTION("GOOGLETRANSLATE(D1703,""auto"",""en"")"),"The graphical user interface of the measured size of the display screen panel")</f>
        <v>The graphical user interface of the measured size of the display screen panel</v>
      </c>
    </row>
    <row r="1704" spans="1:5" ht="15" x14ac:dyDescent="0.25">
      <c r="A1704" s="5" t="s">
        <v>4909</v>
      </c>
      <c r="B1704" s="6" t="s">
        <v>4910</v>
      </c>
      <c r="C1704" s="3" t="str">
        <f ca="1">IFERROR(__xludf.DUMMYFUNCTION("GOOGLETRANSLATE(B1704,""auto"",""en"")"),"1. The name of the product of the product: The icon of the display screen panel operates a dynamic graphic user interface.
 2. Design products in this exterior: for running programs and display information.
 3. Design of the design of the product in t"&amp;"his exterior: lies in the interface content of the graphic user interface in the screen.
 4. Pictures or photos that can best show design: Design 1 main view.
 5. There are no main points of design after each design view, left view, right view, downwa"&amp;"rd view, and viewing map, omitting the design of each design, left view, right view, downward view, and upper view.
 6. Specify design 1 is the basic design.
 7. The purpose of the graphical user interface: The graphic user interface is used in the op"&amp;"eration of the icon position in the interface, and the icon page can be placed according to the user's needs.
 8. Human -computer interaction method of graphical user interface: long press or drag.
 9. Change state description of the graphic user inte"&amp;"rface: In the design 1 and design 2, when the user has long pressed the icon in the main view, enter the interface change state. , The page turning icon displayed in the interface enters the interface change state Figure 2; the user continues to hover the"&amp;" icon on the right side of the interface. Status Figure 3; the user continues to hover the icon on the right side of the interface, and the display interface of the icon is turned to the blank interface of the icon arrangement into the interface change st"&amp;"ate. The icon arrangement area, enter the interface change state Figure 5, complete the dynamic operation of the icon movement to the blank interface.
 In the design 3 and design 4, when the user has long pressed the icon in the main view and dragged it"&amp;" into the interface changes state Figure 1; the user drags the icon to the left side of the interface and hovers. 2; The user continues to hover the icon on the left side of the interface. The page turning icon displayed on the left side of the interface "&amp;"is moved to the right and changes into a slender into the interface change state. Hanging on the left, the display interface of the icon is turned to the previous page interface of the icon arrangement into the interface change state Figure 4; the user dr"&amp;"ags the icon to the position required by the user, enter the interface change state Figure 5, the interface changes status diagram 6 To complete the dynamic operation of the icon movement to the previous page interface.
 In the design 5 and design 6, wh"&amp;"en the user has long pressed the icon in the main view of the main view, enter the interface change state Figure 1; the user drags the icon to the right side of the interface and hovers, enter the interface change state Figure 2; the user of the user; the"&amp;" user Continue to hover the icon on the right side of the interface, the page turning icon shown on the right side of the interface is moved to the left and changes into a slender into the interface change state. The display interface of the icon is turne"&amp;"d to the next page interface of the icon arrangement. Enter the interface change state. Figure 4; the user drags the icon to the position required by the user, enter the interface changes Dynamic operation.
 In the design 7 and design 8, when the user i"&amp;"s long pressed and dragged the icon in the main view of the mobile main view, enter the interface change state Figure 1; the user drags the icon to the left side of the interface and hovers, enter the interface change state Figure 2; The user continues to"&amp;" hover the icon on the left side of the interface, and the pages displayed on the left side of the interface are moved on the right side of the dragging icon and change into a slender into the interface change state. Then continue the icon hovering on the"&amp;" left side of the interface, the display interface of the icon turns to the previous page interface of the icon arrangement into the interface change state. The interface change state Figure 6 is the dynamic operation that completes the icon movement to t"&amp;"he previous page interface.
 10.该显示屏幕面板及图形用户界面应用于电子设备，即计算机、笔记本电脑、平板电脑、手机、智能手机、可穿戴设备、智能眼镜、虚拟现实眼镜、增强现实眼镜、混合现实眼镜、手表、 Smart watch, fitness monitor, headset headset, smart speaker, TV, set -top box.")</f>
        <v>1. The name of the product of the product: The icon of the display screen panel operates a dynamic graphic user interface.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There are no main points of design after each design view, left view, right view, downward view, and viewing map, omitting the design of each design, left view, right view, downward view, and upper view.
 6. Specify design 1 is the basic design.
 7. The purpose of the graphical user interface: The graphic user interface is used in the operation of the icon position in the interface, and the icon page can be placed according to the user's needs.
 8. Human -computer interaction method of graphical user interface: long press or drag.
 9. Change state description of the graphic user interface: In the design 1 and design 2, when the user has long pressed the icon in the main view, enter the interface change state. , The page turning icon displayed in the interface enters the interface change state Figure 2; the user continues to hover the icon on the right side of the interface. Status Figure 3; the user continues to hover the icon on the right side of the interface, and the display interface of the icon is turned to the blank interface of the icon arrangement into the interface change state. The icon arrangement area, enter the interface change state Figure 5, complete the dynamic operation of the icon movement to the blank interface.
 In the design 3 and design 4, when the user has long pressed the icon in the main view and dragged it into the interface changes state Figure 1; the user drags the icon to the left side of the interface and hovers. 2; The user continues to hover the icon on the left side of the interface. The page turning icon displayed on the left side of the interface is moved to the right and changes into a slender into the interface change state. Hanging on the left, the display interface of the icon is turned to the previous page interface of the icon arrangement into the interface change state Figure 4; the user drags the icon to the position required by the user, enter the interface change state Figure 5, the interface changes status diagram 6 To complete the dynamic operation of the icon movement to the previous page interface.
 In the design 5 and design 6, when the user has long pressed the icon in the main view of the main view, enter the interface change state Figure 1; the user drags the icon to the right side of the interface and hovers, enter the interface change state Figure 2; the user of the user; the user Continue to hover the icon on the right side of the interface, the page turning icon shown on the right side of the interface is moved to the left and changes into a slender into the interface change state. The display interface of the icon is turned to the next page interface of the icon arrangement. Enter the interface change state. Figure 4; the user drags the icon to the position required by the user, enter the interface changes Dynamic operation.
 In the design 7 and design 8, when the user is long pressed and dragged the icon in the main view of the mobile main view, enter the interface change state Figure 1; the user drags the icon to the left side of the interface and hovers, enter the interface change state Figure 2; The user continues to hover the icon on the left side of the interface, and the pages displayed on the left side of the interface are moved on the right side of the dragging icon and change into a slender into the interface change state. Then continue the icon hovering on the left side of the interface, the display interface of the icon turns to the previous page interface of the icon arrangement into the interface change state. The interface change state Figure 6 is the dynamic operation that completes the icon movement to the previous page interface.
 10.该显示屏幕面板及图形用户界面应用于电子设备，即计算机、笔记本电脑、平板电脑、手机、智能手机、可穿戴设备、智能眼镜、虚拟现实眼镜、增强现实眼镜、混合现实眼镜、手表、 Smart watch, fitness monitor, headset headset, smart speaker, TV, set -top box.</v>
      </c>
      <c r="D1704" s="6" t="s">
        <v>4911</v>
      </c>
      <c r="E1704" s="4" t="str">
        <f ca="1">IFERROR(__xludf.DUMMYFUNCTION("GOOGLETRANSLATE(D1704,""auto"",""en"")"),"The icon of the display screen panel operates the dynamic graphic user interface")</f>
        <v>The icon of the display screen panel operates the dynamic graphic user interface</v>
      </c>
    </row>
    <row r="1705" spans="1:5" ht="15" x14ac:dyDescent="0.25">
      <c r="A1705" s="5" t="s">
        <v>4912</v>
      </c>
      <c r="B1705" s="6" t="s">
        <v>4913</v>
      </c>
      <c r="C1705" s="3" t="str">
        <f ca="1">IFERROR(__xludf.DUMMYFUNCTION("GOOGLETRANSLATE(B1705,""auto"",""en"")"),"1. Design product name: The measurement dimension user interface of the measurement size of the display screen panel.
 2. Design product use: The display screen panel is used to display the graphical user interface.
 3. Design of the design of the pro"&amp;"duct in appearance: lies in the graphic user interface.
 4. Pictures or photos that can most indicate design points: main view.
 5. The purpose of the graphical user interface: for human -machine interaction and implementation of the display screen pa"&amp;"nel, and can be used to measure the size of the object.
 6. Human -machine interaction method of graphical user interface: Graphic user interface can interact through light strike, sliding or rolling graphical user interface or by moving the screen pane"&amp;"l in any direction.
 7. The display screen panel can be applied to computers, laptops, tablets, mobile phones, smartphones, smart mobile phones, smart glasses, watches, smart watches, fitness monitor, headset headphones, personal digital assistants, sma"&amp;"rt speakers, TVs, TV , Monitor, projector, display, navigation equipment, set -top boxes, game machines for vehicles; display screen panels are commonly designed, so other views are omitted.")</f>
        <v>1. Design product name: The measurement dimension user interface of the measurement size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measure the size of the object.
 6. Human -machine interaction method of graphical user interface: Graphic user interface can interact through light strike, sliding or rolling graphical user interface or by moving the screen panel in any direction.
 7. The display screen panel can be applied to computers, laptops, tablets, mobile phones, smartphones, smart mobile phones, smart glasses, watches, smart watches, fitness monitor, headset headphones, personal digital assistants, smart speakers, TVs, TV , Monitor, projector, display, navigation equipment, set -top boxes, game machines for vehicles; display screen panels are commonly designed, so other views are omitted.</v>
      </c>
      <c r="D1705" s="6" t="s">
        <v>4908</v>
      </c>
      <c r="E1705" s="4" t="str">
        <f ca="1">IFERROR(__xludf.DUMMYFUNCTION("GOOGLETRANSLATE(D1705,""auto"",""en"")"),"The graphical user interface of the measured size of the display screen panel")</f>
        <v>The graphical user interface of the measured size of the display screen panel</v>
      </c>
    </row>
    <row r="1706" spans="1:5" ht="15" x14ac:dyDescent="0.25">
      <c r="A1706" s="5" t="s">
        <v>4914</v>
      </c>
      <c r="B1706" s="6" t="s">
        <v>4915</v>
      </c>
      <c r="C1706" s="3" t="str">
        <f ca="1">IFERROR(__xludf.DUMMYFUNCTION("GOOGLETRANSLATE(B1706,""auto"",""en"")"),"This application provides a running posture detection method and wearable device, which is applied to the field of artificial intelligence and human -computer interaction. This method includes: During the use of the user's left foot wearing equipment runn"&amp;"ing, the wearable device detects the first running postal parameter of the user's left foot; The state in the middle; or, during the process of running the right foot wearing equipment running, the wearable device detects the second running parameter of t"&amp;"he user's right foot; Status during running; determine the user's balance according to the first running parameter parameter and the second running parameter; according to the balance, determine whether the user's running posture is correct. In this metho"&amp;"d, wearable devices can evaluate the user's running posture to guide the user's correct and healthy running.")</f>
        <v>This application provides a running posture detection method and wearable device, which is applied to the field of artificial intelligence and human -computer interaction. This method includes: During the use of the user's left foot wearing equipment running, the wearable device detects the first running postal parameter of the user's left foot; The state in the middle; or, during the process of running the right foot wearing equipment running, the wearable device detects the second running parameter of the user's right foot; Status during running; determine the user's balance according to the first running parameter parameter and the second running parameter; according to the balance, determine whether the user's running posture is correct. In this method, wearable devices can evaluate the user's running posture to guide the user's correct and healthy running.</v>
      </c>
      <c r="D1706" s="6" t="s">
        <v>4916</v>
      </c>
      <c r="E1706" s="4" t="str">
        <f ca="1">IFERROR(__xludf.DUMMYFUNCTION("GOOGLETRANSLATE(D1706,""auto"",""en"")"),"A running posture detection method and wearable equipment")</f>
        <v>A running posture detection method and wearable equipment</v>
      </c>
    </row>
    <row r="1707" spans="1:5" ht="15" x14ac:dyDescent="0.25">
      <c r="A1707" s="5" t="s">
        <v>4917</v>
      </c>
      <c r="B1707" s="6" t="s">
        <v>4918</v>
      </c>
      <c r="C1707" s="3" t="str">
        <f ca="1">IFERROR(__xludf.DUMMYFUNCTION("GOOGLETRANSLATE(B1707,""auto"",""en"")"),"1. Design product name: The measurement dimension user interface of the measurement size of the display screen panel.
 2. Design product use: The display screen panel is used to display the graphical user interface.
 3. Design of the design of the pro"&amp;"duct in appearance: lies in the graphic user interface.
 4. Pictures or photos that can best show design: Design 1 main view.
 5. Specify design 1 is the basic design.
 6. The purpose of the graphical user interface: for human -machine interaction a"&amp;"nd implementation of the display screen panel, and can be used to measure the size of the object.
 7. Human -computer interaction method of graphical user interface: Graphic user interface can interact with light strike, sliding or rolling graphical use"&amp;"r interface or by moving the screen panel in any direction.
 8. The display screen panel can be applied to computers, laptops, tablets, mobile phones, smart bracelets, smart glasses, watches, fitness monitor, headset headphones, personal digital assista"&amp;"nts, smart speakers, TV, monitor, projector, projector, projector, projector, projector, projector The display screen, navigation equipment, set -top boxes, and game consoles for vehicles; the display screen panel is commonly designed, so other views are "&amp;"omitted.")</f>
        <v>1. Design product name: The measurement dimension user interface of the measurement size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to measure the size of the object.
 7. Human -computer interaction method of graphical user interface: Graphic user interface can interact with light strike, sliding or rolling graphical user interface or by moving the screen panel in any direction.
 8. The display screen panel can be applied to computers, laptops, tablets, mobile phones, smart bracelets, smart glasses, watches, fitness monitor, headset headphones, personal digital assistants, smart speakers, TV, monitor, projector, projector, projector, projector, projector, projector The display screen, navigation equipment, set -top boxes, and game consoles for vehicles; the display screen panel is commonly designed, so other views are omitted.</v>
      </c>
      <c r="D1707" s="6" t="s">
        <v>4908</v>
      </c>
      <c r="E1707" s="4" t="str">
        <f ca="1">IFERROR(__xludf.DUMMYFUNCTION("GOOGLETRANSLATE(D1707,""auto"",""en"")"),"The graphical user interface of the measured size of the display screen panel")</f>
        <v>The graphical user interface of the measured size of the display screen panel</v>
      </c>
    </row>
    <row r="1708" spans="1:5" ht="15" x14ac:dyDescent="0.25">
      <c r="A1708" s="5" t="s">
        <v>4919</v>
      </c>
      <c r="B1708" s="6" t="s">
        <v>4920</v>
      </c>
      <c r="C1708" s="3" t="str">
        <f ca="1">IFERROR(__xludf.DUMMYFUNCTION("GOOGLETRANSLATE(B1708,""auto"",""en"")"),"The present invention disclosed a method of building a medical Q &amp; A system based on language models and physical matching, including S1. Data collection, s2. Deep neural network model design, S3. Training naming physical identification model and building"&amp;" a knowledge map, S4. Build a complete one Medical search and answer system. Collect online medical discussion posts and store them in elasticsearch after cleaning for data sets; use medical natural language processing of open source data of the data set,"&amp;" train medical -related naming physical identification models; collect the open data set composition of open source websites to form composition Medical knowledge diagram to expand the search process. Based on the medical Q &amp; A system method that matches "&amp;"the language model and physical matching, the present invention builds the Q &amp; A system after recalling, fine -grained, and comprehensive scores, combining a reasonable scoring mechanism to output a most suitable answer to make up for the retrieval questi"&amp;"on and answer system and the search and answer system and Knowledge map -type question and answer system defect.")</f>
        <v>The present invention disclosed a method of building a medical Q &amp; A system based on language models and physical matching, including S1. Data collection, s2. Deep neural network model design, S3. Training naming physical identification model and building a knowledge map, S4. Build a complete one Medical search and answer system. Collect online medical discussion posts and store them in elasticsearch after cleaning for data sets; use medical natural language processing of open source data of the data set, train medical -related naming physical identification models; collect the open data set composition of open source websites to form composition Medical knowledge diagram to expand the search process. Based on the medical Q &amp; A system method that matches the language model and physical matching, the present invention builds the Q &amp; A system after recalling, fine -grained, and comprehensive scores, combining a reasonable scoring mechanism to output a most suitable answer to make up for the retrieval question and answer system and the search and answer system and Knowledge map -type question and answer system defect.</v>
      </c>
      <c r="D1708" s="6" t="s">
        <v>4921</v>
      </c>
      <c r="E1708" s="4" t="str">
        <f ca="1">IFERROR(__xludf.DUMMYFUNCTION("GOOGLETRANSLATE(D1708,""auto"",""en"")"),"A method of building a medical Q &amp; A system based on language model and physical matching")</f>
        <v>A method of building a medical Q &amp; A system based on language model and physical matching</v>
      </c>
    </row>
    <row r="1709" spans="1:5" ht="15" x14ac:dyDescent="0.25">
      <c r="A1709" s="5" t="s">
        <v>4922</v>
      </c>
      <c r="B1709" s="6" t="s">
        <v>4923</v>
      </c>
      <c r="C1709" s="3" t="str">
        <f ca="1">IFERROR(__xludf.DUMMYFUNCTION("GOOGLETRANSLATE(B1709,""auto"",""en"")"),"The present invention involves a fitness action recognition evaluation method based on machine vision and deep learning, including the following steps: obtaining the fitness action video to be evaluated, setting the type of action; the human skeleton mode"&amp;"l of each frame of video images; the extraction action and standard action action action The closest frame video image is used as an image to be evaluated; the scoring rules standard for obtaining the action scores are established; the distance features a"&amp;"nd angle characteristics of the human skeleton model in the image to be evaluated are calculated. Rating the action. Compared with the existing technology, the present invention uses the bottom -up human posture identification algorithm to identify human "&amp;"fitness action, obtain relevant action scores, improve the accuracy and efficiency of obtaining scores, can effectively prompt the error movement, improve the improving the error movement, improve Fitness efficiency.")</f>
        <v>The present invention involves a fitness action recognition evaluation method based on machine vision and deep learning, including the following steps: obtaining the fitness action video to be evaluated, setting the type of action; the human skeleton model of each frame of video images; the extraction action and standard action action action The closest frame video image is used as an image to be evaluated; the scoring rules standard for obtaining the action scores are established; the distance features and angle characteristics of the human skeleton model in the image to be evaluated are calculated. Rating the action. Compared with the existing technology, the present invention uses the bottom -up human posture identification algorithm to identify human fitness action, obtain relevant action scores, improve the accuracy and efficiency of obtaining scores, can effectively prompt the error movement, improve the improving the error movement, improve Fitness efficiency.</v>
      </c>
      <c r="D1709" s="6" t="s">
        <v>4924</v>
      </c>
      <c r="E1709" s="4" t="str">
        <f ca="1">IFERROR(__xludf.DUMMYFUNCTION("GOOGLETRANSLATE(D1709,""auto"",""en"")"),"Fitness action recognition evaluation method based on machine vision and deep learning")</f>
        <v>Fitness action recognition evaluation method based on machine vision and deep learning</v>
      </c>
    </row>
    <row r="1710" spans="1:5" ht="15" x14ac:dyDescent="0.25">
      <c r="A1710" s="5" t="s">
        <v>4925</v>
      </c>
      <c r="B1710" s="6" t="s">
        <v>4926</v>
      </c>
      <c r="C1710" s="3" t="str">
        <f ca="1">IFERROR(__xludf.DUMMYFUNCTION("GOOGLETRANSLATE(B1710,""auto"",""en"")"),"The invention involves the field of sports equipment technology, and a method, device, computer equipment and storage medium based on image recognition and induction rebounds collecting and shooting the amount of shooting are disclosed. Through the creati"&amp;"on of the present invention, a new method can be provided based on image recognition and induction rebounds to collect and shoot the amount of shooting, that is, when applying to a shooting training place with binocular lens cameras and inductive rebounds"&amp;", you can make basketball by shooting surveillance videos. /Human image recognition and spatial positioning, determine the basketball trajectory in a single shot, and then calculate the mechanical energy of basketball based on the basketball trajectory. F"&amp;"inally The calories of the athletes are collected to solve the problem that the current shooting training venue cannot be collected to the athlete's shooting.")</f>
        <v>The invention involves the field of sports equipment technology, and a method, device, computer equipment and storage medium based on image recognition and induction rebounds collecting and shooting the amount of shooting are disclosed. Through the creation of the present invention, a new method can be provided based on image recognition and induction rebounds to collect and shoot the amount of shooting, that is, when applying to a shooting training place with binocular lens cameras and inductive rebounds, you can make basketball by shooting surveillance videos. /Human image recognition and spatial positioning, determine the basketball trajectory in a single shot, and then calculate the mechanical energy of basketball based on the basketball trajectory. Finally The calories of the athletes are collected to solve the problem that the current shooting training venue cannot be collected to the athlete's shooting.</v>
      </c>
      <c r="D1710" s="6" t="s">
        <v>4927</v>
      </c>
      <c r="E1710" s="4" t="str">
        <f ca="1">IFERROR(__xludf.DUMMYFUNCTION("GOOGLETRANSLATE(D1710,""auto"",""en"")"),"Methods, devices, computer equipment and storage media for collecting and shooting")</f>
        <v>Methods, devices, computer equipment and storage media for collecting and shooting</v>
      </c>
    </row>
    <row r="1711" spans="1:5" ht="15" x14ac:dyDescent="0.25">
      <c r="A1711" s="5" t="s">
        <v>4928</v>
      </c>
      <c r="B1711" s="6" t="s">
        <v>4929</v>
      </c>
      <c r="C1711" s="3" t="str">
        <f ca="1">IFERROR(__xludf.DUMMYFUNCTION("GOOGLETRANSLATE(B1711,""auto"",""en"")"),"A method for detecting the wandering incidents in the area of ​​interest includes: capture the human body entering the area of ​​interest; tracking the status of the human body; determining that the human body cannot detect it; Spots; Potal duration of th"&amp;"e timing floor area; when the duration exceeds the first predetermined threshold, the swimming event is detected.")</f>
        <v>A method for detecting the wandering incidents in the area of ​​interest includes: capture the human body entering the area of ​​interest; tracking the status of the human body; determining that the human body cannot detect it; Spots; Potal duration of the timing floor area; when the duration exceeds the first predetermined threshold, the swimming event is detected.</v>
      </c>
      <c r="D1711" s="6" t="s">
        <v>4930</v>
      </c>
      <c r="E1711" s="4" t="str">
        <f ca="1">IFERROR(__xludf.DUMMYFUNCTION("GOOGLETRANSLATE(D1711,""auto"",""en"")"),"Wandering and Wandering Computer Visual AI")</f>
        <v>Wandering and Wandering Computer Visual AI</v>
      </c>
    </row>
    <row r="1712" spans="1:5" ht="15" x14ac:dyDescent="0.25">
      <c r="A1712" s="5" t="s">
        <v>4931</v>
      </c>
      <c r="B1712" s="6" t="s">
        <v>4932</v>
      </c>
      <c r="C1712" s="3" t="str">
        <f ca="1">IFERROR(__xludf.DUMMYFUNCTION("GOOGLETRANSLATE(B1712,""auto"",""en"")"),"1. Design product name: The graphic user interface of the display of the active information of the display screen.
 2. Design product use: The display screen panel is used to display the graphical user interface.
 3. Design of the design of the produc"&amp;"t in appearance: lies in the graphic user interface.
 4. Pictures or photos that can best show design: Design 1 Local magnification.
 5. Specify design 1 is the basic design.
 6. The purpose of the graphical user interface: for human -machine intera"&amp;"ction and implementation of the display screen panel, and can be used to display activity information, including sports activities or sports information.
 7. Human -machine interaction method of graphical user interface: Graphic user interface can inter"&amp;"act through touch, light strike, sliding, or rolling graphical user interface.
 8. The display screen panel can be applied to computers, laptops, display devices, communication equipment, multimedia equipment, information terminals, portable communicati"&amp;"on equipment, portable multimedia devices, portable information terminals, tablet computers, mobile phones, smartphones, wearable devices, watches , Smart watch, fitness monitor, headset headset, personal digital assistant, smart speaker, TV, monitor, pro"&amp;"jector, display system, set -top box, game machine, navigator ; The display screen panel is commonly designed, so other views are omitted.")</f>
        <v>1. Design product name: The graphic user interface of the display of the active information of the display screen.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for human -machine interaction and implementation of the display screen panel, and can be used to display activity information, including sports activities or sports information.
 7. Human -machine interaction method of graphical user interface: Graphic user interface can interact through touch, light strike, sliding, or rolling graphical user interface.
 8.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712" s="6" t="s">
        <v>4933</v>
      </c>
      <c r="E1712" s="4" t="str">
        <f ca="1">IFERROR(__xludf.DUMMYFUNCTION("GOOGLETRANSLATE(D1712,""auto"",""en"")"),"The display user interface of the display of the active information information of the display screen")</f>
        <v>The display user interface of the display of the active information information of the display screen</v>
      </c>
    </row>
    <row r="1713" spans="1:5" ht="15" x14ac:dyDescent="0.25">
      <c r="A1713" s="5" t="s">
        <v>4934</v>
      </c>
      <c r="B1713" s="6" t="s">
        <v>4935</v>
      </c>
      <c r="C1713" s="3" t="str">
        <f ca="1">IFERROR(__xludf.DUMMYFUNCTION("GOOGLETRANSLATE(B1713,""auto"",""en"")"),"1. Design product name: The graphic user interface of the display of the active information of the display screen.
 2. Design product use: The display screen panel is used to display the graphical user interface.
 3. Design of the design of the produc"&amp;"t in appearance: lies in the graphic user interface.
 4. Pictures or photos that can most indicate design points: Local magnification.
 5. The purpose of the graphical user interface: used for human -machine interaction and realizing the function of d"&amp;"isplay screen panels, and can be used to display activity information, including the time that has passed during the training, the remaining time, heart rate, calories consumed, marching, and marching. distance.
 6. Human -computer interaction method of"&amp;" graphical user interface: Graphic user interface can interact through touch or strike the graphical user interface.
 7. The display screen panel can be applied to computers, laptops, display devices, communication equipment, multimedia equipment, infor"&amp;"mation terminals, portable communication equipment, portable multimedia devices, portable information terminals, tablet computers, mobile phones, smartphones, wearable devices, watches , Smart watch, fitness monitor, headset headset, personal digital assi"&amp;"stant, smart speaker, TV, monitor, projector, display system, set -top box, game machine, navigator ; The display screen panel is commonly designed, so other views are omitted.")</f>
        <v>1. Design product name: The graphic user interface of the display of the active information of the display screen.
 2. Design product use: The display screen panel is used to display the graphical user interface.
 3. Design of the design of the product in appearance: lies in the graphic user interface.
 4. Pictures or photos that can most indicate design points: Local magnification.
 5. The purpose of the graphical user interface: used for human -machine interaction and realizing the function of display screen panels, and can be used to display activity information, including the time that has passed during the training, the remaining time, heart rate, calories consumed, marching, and marching. distance.
 6. Human -computer interaction method of graphical user interface: Graphic user interface can interact through touch or strike the graphical user interface.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713" s="6" t="s">
        <v>4933</v>
      </c>
      <c r="E1713" s="4" t="str">
        <f ca="1">IFERROR(__xludf.DUMMYFUNCTION("GOOGLETRANSLATE(D1713,""auto"",""en"")"),"The display user interface of the display of the active information information of the display screen")</f>
        <v>The display user interface of the display of the active information information of the display screen</v>
      </c>
    </row>
    <row r="1714" spans="1:5" ht="15" x14ac:dyDescent="0.25">
      <c r="A1714" s="5" t="s">
        <v>4936</v>
      </c>
      <c r="B1714" s="6" t="s">
        <v>4937</v>
      </c>
      <c r="C1714" s="3" t="str">
        <f ca="1">IFERROR(__xludf.DUMMYFUNCTION("GOOGLETRANSLATE(B1714,""auto"",""en"")"),"1. Design product name: The graphic user interface of the display of the active information of the display screen.
 2. Design product use: The display screen panel is used to display the graphical user interface.
 3. Design of the design of the produc"&amp;"t in appearance: lies in the graphic user interface.
 4. Pictures or photos that can most indicate design points: Local magnification.
 5. The purpose of the graphical user interface: It is used for human -machine interaction and realizing the functio"&amp;"n of display screen panels, and can be used to display activity information, including sports activities or sports information.
 6. Human -computer interaction method of graphical user interface: Graphic user interface can interact through touch, light "&amp;"strike, sliding, or rolling graphical user interface.
 7. The display screen panel can be applied to computers, laptops, display devices, communication equipment, multimedia equipment, information terminals, portable communication equipment, portable mu"&amp;"ltimedia devices, portable information terminals, tablet computers, mobile phones, smartphones, wearable devices, watches , Smart watch, fitness monitor, headset headset, personal digital assistant, smart speaker, TV, monitor, projector, display system, s"&amp;"et -top box, game machine, navigator ; The display screen panel is commonly designed, so other views are omitted.")</f>
        <v>1. Design product name: The graphic user interface of the display of the active information of the display screen.
 2. Design product use: The display screen panel is used to display the graphical user interface.
 3. Design of the design of the product in appearance: lies in the graphic user interface.
 4. Pictures or photos that can most indicate design points: Local magnification.
 5. The purpose of the graphical user interface: It is used for human -machine interaction and realizing the function of display screen panels, and can be used to display activity information, including sports activities or sports information.
 6. Human -computer interaction method of graphical user interface: Graphic user interface can interact through touch, light strike, sliding, or rolling graphical user interface.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714" s="6" t="s">
        <v>4933</v>
      </c>
      <c r="E1714" s="4" t="str">
        <f ca="1">IFERROR(__xludf.DUMMYFUNCTION("GOOGLETRANSLATE(D1714,""auto"",""en"")"),"The display user interface of the display of the active information information of the display screen")</f>
        <v>The display user interface of the display of the active information information of the display screen</v>
      </c>
    </row>
    <row r="1715" spans="1:5" ht="15" x14ac:dyDescent="0.25">
      <c r="A1715" s="5" t="s">
        <v>4938</v>
      </c>
      <c r="B1715" s="6" t="s">
        <v>4939</v>
      </c>
      <c r="C1715" s="3" t="str">
        <f ca="1">IFERROR(__xludf.DUMMYFUNCTION("GOOGLETRANSLATE(B1715,""auto"",""en"")"),"1.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to display time and use it to display and track the time that has passed.
 6. Human -computer interaction method of graphic user interface: Graphic user interface can interact with light strike, touch, sliding or pressing graphic"&amp;"al user interface or by moving the screen panel in any direction or through the electronic device with the display screen panel to interact. Essence
 7. The display screen panel can be applied to computers, laptops, display devices, communication equipm"&amp;"ent, multimedia equipment, information terminals, portable communication equipment, portable multimedia devices, portable information terminals, tablet computers, mobile phones, smartphones, wearable devices, watches , Smart watch, fitness monitor, headse"&amp;"t headphones, personal digital assistants, smart speakers, television, monitor, projector, display system, displays, navigation equipment, set -top boxes, game machines for vehicles; Design, so omitting other views.")</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time and use it to display and track the time that has passed.
 6. Human -computer interaction method of graphic user interface: Graphic user interface can interact with light strike, touch, sliding or pressing graphical user interface or by moving the screen panel in any direction or through the electronic device with the display screen panel to interact. Essence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headphones, personal digital assistants, smart speakers, television, monitor, projector, display system, displays, navigation equipment, set -top boxes, game machines for vehicles; Design, so omitting other views.</v>
      </c>
      <c r="D1715" s="6" t="s">
        <v>4940</v>
      </c>
      <c r="E1715" s="4" t="str">
        <f ca="1">IFERROR(__xludf.DUMMYFUNCTION("GOOGLETRANSLATE(D1715,""auto"",""en"")"),"The graphic user interface of the display time of the display screen panel")</f>
        <v>The graphic user interface of the display time of the display screen panel</v>
      </c>
    </row>
    <row r="1716" spans="1:5" ht="15" x14ac:dyDescent="0.25">
      <c r="A1716" s="5" t="s">
        <v>4941</v>
      </c>
      <c r="B1716" s="6" t="s">
        <v>4942</v>
      </c>
      <c r="C1716" s="3" t="str">
        <f ca="1">IFERROR(__xludf.DUMMYFUNCTION("GOOGLETRANSLATE(B1716,""auto"",""en"")"),"1. Design product name: The display user interface of the display of the active information information of the display screen panel.
 2. Design product use: The display screen panel is used to display the graphical user interface.
 3. Design of the de"&amp;"sign of the product in appearance: lies in the graphic user interface.
 4. Pictures or photos that can most indicate design points: main view.
 5. The purpose of the graphical user interface: It is used for human -machine interaction and realizing the"&amp;" function of display screen panels, and can be used to display activity information, including sports activities or sports information.
 6. Human -computer interaction method of graphical user interface: Graphic user interface can interact through touch"&amp;", light strike, sliding, or rolling graphical user interface.
 7. The display screen panel can be applied to computers, laptops, tablets, mobile phones, smart bracelets, smart glasses, watches, fitness monitors, headphones, personal digital assistants, "&amp;"smart speakers, TV, monitor, projector, projector, projector, projector, projector, projector , Set -top box, game machine, navigator, display screen for vehicles; display screen panels are commonly designed, so omitted other views, light gray covered cir"&amp;"cles do not constitute part of the design of request protection, and can be such as images, such as images. content.")</f>
        <v>1. Design product name: The display user interface of the display of the active information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activity information, including sports activities or sports information.
 6. Human -computer interaction method of graphical user interface: Graphic user interface can interact through touch, light strike, sliding, or rolling graphical user interface.
 7. The display screen panel can be applied to computers, laptops, tablets, mobile phones, smart bracelets, smart glasses, watches, fitness monitors, headphones, personal digital assistants, smart speakers, TV, monitor, projector, projector, projector, projector, projector, projector , Set -top box, game machine, navigator, display screen for vehicles; display screen panels are commonly designed, so omitted other views, light gray covered circles do not constitute part of the design of request protection, and can be such as images, such as images. content.</v>
      </c>
      <c r="D1716" s="6" t="s">
        <v>4943</v>
      </c>
      <c r="E1716" s="4" t="str">
        <f ca="1">IFERROR(__xludf.DUMMYFUNCTION("GOOGLETRANSLATE(D1716,""auto"",""en"")"),"The graphic user interface of the display of the active information information of the display screen panel")</f>
        <v>The graphic user interface of the display of the active information information of the display screen panel</v>
      </c>
    </row>
    <row r="1717" spans="1:5" ht="15" x14ac:dyDescent="0.25">
      <c r="A1717" s="5" t="s">
        <v>4944</v>
      </c>
      <c r="B1717" s="6" t="s">
        <v>4945</v>
      </c>
      <c r="C1717" s="3" t="str">
        <f ca="1">IFERROR(__xludf.DUMMYFUNCTION("GOOGLETRANSLATE(B1717,""auto"",""en"")"),"1. Design product name: The display user interface of the display of the active information information of the display screen panel.
 2. Design product use: The display screen panel is used to display the graphical user interface.
 3. Design of the de"&amp;"sign of the product in appearance: lies in the graphic user interface.
 4. Pictures or photos that can best show design: Design 1 Local magnification.
 5. Specify design 1 is the basic design.
 6. The purpose of the graphical user interface: for hum"&amp;"an -machine interaction and implementation of the display screen panel, and can be used to display activity information, including sports activities or sports information.
 7. Human -machine interaction method of graphical user interface: Graphic user i"&amp;"nterface can interact through touch, light strike, sliding, or rolling graphical user interface.
 8. The display screen panel can be applied to computers, laptops, tablets, mobile phones, smart bracelets, smart glasses, watches, fitness monitor, headset"&amp;" headphones, personal digital assistants, smart speakers, TV, monitor, projector, projector, projector, projector, projector, projector , Top box, game consoles, navigators, display screens for vehicles; display screen panels are commonly designed, so the"&amp;"y omit other views.")</f>
        <v>1. Design product name: The display user interface of the display of the active information information of the display screen panel.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for human -machine interaction and implementation of the display screen panel, and can be used to display activity information, including sports activities or sports information.
 7. Human -machine interaction method of graphical user interface: Graphic user interface can interact through touch, light strike, sliding, or rolling graphical user interface.
 8. The display screen panel can be applied to computers, laptops, tablets, mobile phones, smart bracelets, smart glasses, watches, fitness monitor, headset headphones, personal digital assistants, smart speakers, TV, monitor, projector, projector, projector, projector, projector, projector , Top box, game consoles, navigators, display screens for vehicles; display screen panels are commonly designed, so they omit other views.</v>
      </c>
      <c r="D1717" s="6" t="s">
        <v>4943</v>
      </c>
      <c r="E1717" s="4" t="str">
        <f ca="1">IFERROR(__xludf.DUMMYFUNCTION("GOOGLETRANSLATE(D1717,""auto"",""en"")"),"The graphic user interface of the display of the active information information of the display screen panel")</f>
        <v>The graphic user interface of the display of the active information information of the display screen panel</v>
      </c>
    </row>
    <row r="1718" spans="1:5" ht="15" x14ac:dyDescent="0.25">
      <c r="A1718" s="5" t="s">
        <v>4946</v>
      </c>
      <c r="B1718" s="6" t="s">
        <v>4947</v>
      </c>
      <c r="C1718" s="3" t="str">
        <f ca="1">IFERROR(__xludf.DUMMYFUNCTION("GOOGLETRANSLATE(B1718,""auto"",""en"")"),"1. Design product name: The display user interface of the display of the active information information of the display screen panel.
 2. Design product use: The display screen panel is used to display the graphical user interface.
 3. Design of the de"&amp;"sign of the product in appearance: lies in the graphic user interface.
 4. Pictures or photos that can most indicate design points: Local magnification.
 5. The purpose of the graphical user interface: It is used for human -machine interaction and rea"&amp;"lizing the function of display screen panels, and can be used to display activity information, including sports activities or sports information.
 6. Human -computer interaction method of graphical user interface: Graphic user interface can interact thr"&amp;"ough touch, light strike, sliding, or rolling graphical user interface.
 7. The display screen panel can be applied to computers, laptops, tablets, mobile phones, smart bracelets, smart glasses, watches, fitness monitors, headphones, personal digital as"&amp;"sistants, smart speakers, TV, monitor, projector, projector, projector, projector, projector, projector , Top box, game consoles, navigators, display screens for vehicles; display screen panels are commonly designed, so they omit other views.")</f>
        <v>1. Design product name: The display user interface of the display of the active information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Local magnification.
 5. The purpose of the graphical user interface: It is used for human -machine interaction and realizing the function of display screen panels, and can be used to display activity information, including sports activities or sports information.
 6. Human -computer interaction method of graphical user interface: Graphic user interface can interact through touch, light strike, sliding, or rolling graphical user interface.
 7. The display screen panel can be applied to computers, laptops, tablets, mobile phones, smart bracelets, smart glasses, watches, fitness monitors, headphones, personal digital assistants, smart speakers, TV, monitor, projector, projector, projector, projector, projector, projector , Top box, game consoles, navigators, display screens for vehicles; display screen panels are commonly designed, so they omit other views.</v>
      </c>
      <c r="D1718" s="6" t="s">
        <v>4943</v>
      </c>
      <c r="E1718" s="4" t="str">
        <f ca="1">IFERROR(__xludf.DUMMYFUNCTION("GOOGLETRANSLATE(D1718,""auto"",""en"")"),"The graphic user interface of the display of the active information information of the display screen panel")</f>
        <v>The graphic user interface of the display of the active information information of the display screen panel</v>
      </c>
    </row>
    <row r="1719" spans="1:5" ht="15" x14ac:dyDescent="0.25">
      <c r="A1719" s="5" t="s">
        <v>4948</v>
      </c>
      <c r="B1719" s="6" t="s">
        <v>4949</v>
      </c>
      <c r="C1719" s="3" t="str">
        <f ca="1">IFERROR(__xludf.DUMMYFUNCTION("GOOGLETRANSLATE(B1719,""auto"",""en"")"),"The present invention disclosed a monitoring and early warning system with emergency places with image characteristics, including several early warning nodes and at least one monitoring duty room. The video recording module for video recording in the wate"&amp;"r surface, hydrological data collection module used to collect hydrological data of water body, and alarm module used to issue alerts in emergency situations includes a sophisticated speaker and LED signs. The duty room includes a server; the present inve"&amp;"ntion can recognize the people in the water in the water to monitor the information such as swimming, fishing, skating and other personnel in the usual monitoring, and use the convolutional neural network image recognition system Alarm through the alarm m"&amp;"odule, notifying the rescue of nearby personnel in time, improved the safety of nearby personnel, and achieved a real combination of flat war.")</f>
        <v>The present invention disclosed a monitoring and early warning system with emergency places with image characteristics, including several early warning nodes and at least one monitoring duty room. The video recording module for video recording in the water surface, hydrological data collection module used to collect hydrological data of water body, and alarm module used to issue alerts in emergency situations includes a sophisticated speaker and LED signs. The duty room includes a server; the present invention can recognize the people in the water in the water to monitor the information such as swimming, fishing, skating and other personnel in the usual monitoring, and use the convolutional neural network image recognition system Alarm through the alarm module, notifying the rescue of nearby personnel in time, improved the safety of nearby personnel, and achieved a real combination of flat war.</v>
      </c>
      <c r="D1719" s="6" t="s">
        <v>4950</v>
      </c>
      <c r="E1719" s="4" t="str">
        <f ca="1">IFERROR(__xludf.DUMMYFUNCTION("GOOGLETRANSLATE(D1719,""auto"",""en"")"),"A monitoring and early warning system with emergency places with image feature recognition functions")</f>
        <v>A monitoring and early warning system with emergency places with image feature recognition functions</v>
      </c>
    </row>
    <row r="1720" spans="1:5" ht="15" x14ac:dyDescent="0.25">
      <c r="A1720" s="5" t="s">
        <v>4951</v>
      </c>
      <c r="B1720" s="6" t="s">
        <v>4952</v>
      </c>
      <c r="C1720" s="3" t="str">
        <f ca="1">IFERROR(__xludf.DUMMYFUNCTION("GOOGLETRANSLATE(B1720,""auto"",""en"")"),"1.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for display time.
 6. Human -computer interaction method of graphic user interface: Graphic user interface can be moved, light -blow, press, slide, or rolled the graphical user interface or move the display screen panel in any di"&amp;"rection or operates electronic equipment with the display screen panel through the operation To interact.
 7. The display screen panel can be applied to computers, laptops, display devices, communication equipment, multimedia equipment, information term"&amp;"inals, portable communication equipment, portable multimedia devices, portable information terminals, tablet computers, mobile phones, smartphones, wearable devices, watches , Smart watch, fitness monitor, headset headphones, personal digital assistants, "&amp;"smart speakers, television, monitor, projector, display system, displays, navigation equipment, set -top boxes, game machines for vehicles; Design, so omitting other views.")</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for display time.
 6. Human -computer interaction method of graphic user interface: Graphic user interface can be moved, light -blow, press, slide, or rolled the graphical user interface or move the display screen panel in any direction or operates electronic equipment with the display screen panel through the operation To interact.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headphones, personal digital assistants, smart speakers, television, monitor, projector, display system, displays, navigation equipment, set -top boxes, game machines for vehicles; Design, so omitting other views.</v>
      </c>
      <c r="D1720" s="6" t="s">
        <v>4940</v>
      </c>
      <c r="E1720" s="4" t="str">
        <f ca="1">IFERROR(__xludf.DUMMYFUNCTION("GOOGLETRANSLATE(D1720,""auto"",""en"")"),"The graphic user interface of the display time of the display screen panel")</f>
        <v>The graphic user interface of the display time of the display screen panel</v>
      </c>
    </row>
    <row r="1721" spans="1:5" ht="15" x14ac:dyDescent="0.25">
      <c r="A1721" s="5" t="s">
        <v>4953</v>
      </c>
      <c r="B1721" s="6" t="s">
        <v>4954</v>
      </c>
      <c r="C1721" s="3" t="str">
        <f ca="1">IFERROR(__xludf.DUMMYFUNCTION("GOOGLETRANSLATE(B1721,""auto"",""en"")"),"1.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to display and select local time or other times.
 6. Human -computer interaction method of graphic user interface: Graphic user interface can be moved by lightly, rolling or sliding graphics user interface and/or/or in any direct"&amp;"ion to move the screen panel and/or/or through the operation of the electronic device with the display screen panel through the operation. To interact.
 7. The display screen panel can be applied to computers, laptops, display devices, communication equ"&amp;"ipment, multimedia equipment, information terminals, portable communication equipment, portable multimedia devices, portable information terminals, tablet computers, mobile phones, smartphones, wearable devices, watches , Smart watch, fitness monitor, hea"&amp;"dset headphones, personal digital assistants, smart speakers, television, monitor, projector, display system, displays, navigation equipment, set -top boxes, game machines for vehicles; Design, so omitting other views.")</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and select local time or other times.
 6. Human -computer interaction method of graphic user interface: Graphic user interface can be moved by lightly, rolling or sliding graphics user interface and/or/or in any direction to move the screen panel and/or/or through the operation of the electronic device with the display screen panel through the operation. To interact.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headphones, personal digital assistants, smart speakers, television, monitor, projector, display system, displays, navigation equipment, set -top boxes, game machines for vehicles; Design, so omitting other views.</v>
      </c>
      <c r="D1721" s="6" t="s">
        <v>4940</v>
      </c>
      <c r="E1721" s="4" t="str">
        <f ca="1">IFERROR(__xludf.DUMMYFUNCTION("GOOGLETRANSLATE(D1721,""auto"",""en"")"),"The graphic user interface of the display time of the display screen panel")</f>
        <v>The graphic user interface of the display time of the display screen panel</v>
      </c>
    </row>
    <row r="1722" spans="1:5" ht="15" x14ac:dyDescent="0.25">
      <c r="A1722" s="5" t="s">
        <v>4955</v>
      </c>
      <c r="B1722" s="6" t="s">
        <v>4956</v>
      </c>
      <c r="C1722" s="3" t="str">
        <f ca="1">IFERROR(__xludf.DUMMYFUNCTION("GOOGLETRANSLATE(B1722,""auto"",""en"")"),"1.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to display and select local time or other times.
 6. Human -computer interaction method of graphic user interface: Graphic user interface can be moved by lightly, rolling or sliding graphics user interface and/or/or in any direct"&amp;"ion to move the screen panel and/or/or through the operation of the electronic device with the display screen panel through the operation. To interact.
 7. The appearance of the graphic user interface is changed from the main view to the change state.
 "&amp;"
 显示屏幕面板可应用于计算机、笔记本电脑、显示装置、通讯设备、多媒体设备、信息终端、便携式通讯设备、便携式多媒体设备、便携式信息终端、平板电脑、手机、智能手机、可穿戴设备、手表、智能Witches, fitness monitors, headphones, personal digital assistants, smart speakers, television, monitor, projector, display system, display for vehicles, navigatio"&amp;"n equipment, set -top boxes, game machines; display screen panels are commonly designed, display screen panels Therefore, other views are omitted.")</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and select local time or other times.
 6. Human -computer interaction method of graphic user interface: Graphic user interface can be moved by lightly, rolling or sliding graphics user interface and/or/or in any direction to move the screen panel and/or/or through the operation of the electronic device with the display screen panel through the operation. To interact.
 7. The appearance of the graphic user interface is changed from the main view to the change state.
 显示屏幕面板可应用于计算机、笔记本电脑、显示装置、通讯设备、多媒体设备、信息终端、便携式通讯设备、便携式多媒体设备、便携式信息终端、平板电脑、手机、智能手机、可穿戴设备、手表、智能Witches, fitness monitors, headphones, personal digital assistants, smart speakers, television, monitor, projector, display system, display for vehicles, navigation equipment, set -top boxes, game machines; display screen panels are commonly designed, display screen panels Therefore, other views are omitted.</v>
      </c>
      <c r="D1722" s="6" t="s">
        <v>4940</v>
      </c>
      <c r="E1722" s="4" t="str">
        <f ca="1">IFERROR(__xludf.DUMMYFUNCTION("GOOGLETRANSLATE(D1722,""auto"",""en"")"),"The graphic user interface of the display time of the display screen panel")</f>
        <v>The graphic user interface of the display time of the display screen panel</v>
      </c>
    </row>
    <row r="1723" spans="1:5" ht="15" x14ac:dyDescent="0.25">
      <c r="A1723" s="5" t="s">
        <v>4957</v>
      </c>
      <c r="B1723" s="6" t="s">
        <v>4958</v>
      </c>
      <c r="C1723" s="3" t="str">
        <f ca="1">IFERROR(__xludf.DUMMYFUNCTION("GOOGLETRANSLATE(B1723,""auto"",""en"")"),"1. Design product name: Graphical user interface of customized visual communication features of the display screen panel.
 2. Design product use: The display screen panel is used to display the graphical user interface.
 3. Design of the design of the"&amp;" product in appearance: lies in the graphic user interface.
 4. Pictures or photos that can most indicate design points: main view.
 5. The purpose of graphical user interface: It is used for human -computer interaction and realizing the function of d"&amp;"isplay screen panels, and can be used to customize visual communication features including images, icons, stickers, facial posture, facial appearance and characteristics, accessories and emoji.
 6. Human -machine interaction method of graphical user int"&amp;"erface: Graphic user interface can interact with the electronic device with the display screen panel by touching, lightning, pressing, sliding, or rolling the graphical user interface and/or by operating.
 7. The appearance of the graphic user interface"&amp;" changes from the main view to the change state diagram 1 and the change state Figure 2 in turn.
 The display screen panel can be applied to computers, laptops, tablets, mobile phones, smartphones, smart mobile phones, smart glasses, watches, smart watc"&amp;"hes, fitness monitors, headset headphones, personal digital assistants, smart speakers, TV, surveillance, surveillance The device, projector, display for vehicles, navigation equipment, set -top boxes, game machines; display screen panels are commonly des"&amp;"igned, so they omit other views.")</f>
        <v>1. Design product name: Graphical user interface of customized visual communication features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graphical user interface: It is used for human -computer interaction and realizing the function of display screen panels, and can be used to customize visual communication features including images, icons, stickers, facial posture, facial appearance and characteristics, accessories and emoji.
 6. Human -machine interaction method of graphical user interface: Graphic user interface can interact with the electronic device with the display screen panel by touching, lightning, pressing, sliding, or rolling the graphical user interface and/or by operating.
 7. The appearance of the graphic user interface changes from the main view to the change state diagram 1 and the change state Figure 2 in turn.
 The display screen panel can be applied to computers, laptops, tablets, mobile phones, smartphones, smart mobile phones, smart glasses, watches, smart watches, fitness monitors, headset headphones, personal digital assistants, smart speakers, TV, surveillance, surveillance The device, projector, display for vehicles, navigation equipment, set -top boxes, game machines; display screen panels are commonly designed, so they omit other views.</v>
      </c>
      <c r="D1723" s="6" t="s">
        <v>4959</v>
      </c>
      <c r="E1723" s="4" t="str">
        <f ca="1">IFERROR(__xludf.DUMMYFUNCTION("GOOGLETRANSLATE(D1723,""auto"",""en"")"),"Graphic user interface of customized visual communication characteristics of display screen panel")</f>
        <v>Graphic user interface of customized visual communication characteristics of display screen panel</v>
      </c>
    </row>
    <row r="1724" spans="1:5" ht="15" x14ac:dyDescent="0.25">
      <c r="A1724" s="5" t="s">
        <v>4960</v>
      </c>
      <c r="B1724" s="6" t="s">
        <v>4961</v>
      </c>
      <c r="C1724" s="3" t="str">
        <f ca="1">IFERROR(__xludf.DUMMYFUNCTION("GOOGLETRANSLATE(B1724,""auto"",""en"")"),"1. Design product name: Graphical user interface of customized visual communication features of the display screen panel.
 2. Design product use: The display screen panel is used to display the graphical user interface.
 3. Design of the design of the"&amp;" product in appearance: lies in the graphic user interface.
 4. Pictures or photos that can most indicate design points: main view.
 5. The purpose of graphical user interface: It is used for human -computer interaction and realizing the function of d"&amp;"isplay screen panels, and can be used to customize visual communication features including images, icons, stickers, facial posture, facial appearance and characteristics, accessories and emoji.
 6. Human -machine interaction method of graphical user int"&amp;"erface: Graphic user interface can interact with the electronic device with the display screen panel by touching, lightning, pressing, sliding, or rolling the graphical user interface and/or by operating.
 7. The display screen panel can be applied to c"&amp;"omputers, laptops, tablets, mobile phones, smartphones, smart mobile phones, smart glasses, watches, smart watches, fitness monitor, headset headphones, personal digital assistants, smart speakers, TVs, TV , Monitor, projector, display, navigation equipme"&amp;"nt, set -top boxes, game machines for vehicles; display screen panels are commonly designed, so other views are omitted.")</f>
        <v>1. Design product name: Graphical user interface of customized visual communication features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graphical user interface: It is used for human -computer interaction and realizing the function of display screen panels, and can be used to customize visual communication features including images, icons, stickers, facial posture, facial appearance and characteristics, accessories and emoji.
 6. Human -machine interaction method of graphical user interface: Graphic user interface can interact with the electronic device with the display screen panel by touching, lightning, pressing, sliding, or rolling the graphical user interface and/or by operating.
 7. The display screen panel can be applied to computers, laptops, tablets, mobile phones, smartphones, smart mobile phones, smart glasses, watches, smart watches, fitness monitor, headset headphones, personal digital assistants, smart speakers, TVs, TV , Monitor, projector, display, navigation equipment, set -top boxes, game machines for vehicles; display screen panels are commonly designed, so other views are omitted.</v>
      </c>
      <c r="D1724" s="6" t="s">
        <v>4959</v>
      </c>
      <c r="E1724" s="4" t="str">
        <f ca="1">IFERROR(__xludf.DUMMYFUNCTION("GOOGLETRANSLATE(D1724,""auto"",""en"")"),"Graphic user interface of customized visual communication characteristics of display screen panel")</f>
        <v>Graphic user interface of customized visual communication characteristics of display screen panel</v>
      </c>
    </row>
    <row r="1725" spans="1:5" ht="15" x14ac:dyDescent="0.25">
      <c r="A1725" s="5" t="s">
        <v>4962</v>
      </c>
      <c r="B1725" s="6" t="s">
        <v>4963</v>
      </c>
      <c r="C1725" s="3" t="str">
        <f ca="1">IFERROR(__xludf.DUMMYFUNCTION("GOOGLETRANSLATE(B1725,""auto"",""en"")"),"1.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to display time and use it to display and track the time that has passed.
 6. Human -computer interaction method of graphic user interface: Graphic user interface can interact with light strike, touch, sliding or pressing graphic"&amp;"al user interface or by moving the screen panel in any direction or through the electronic device with the display screen panel to interact. Essence
 7. The display screen panel can be applied to computers, laptops, tablets, mobile phones, smartphones, "&amp;"smart mobile phones, smart glasses, watches, smart watches, fitness monitor, headset headphones, personal digital assistants, smart speakers, TVs, TV , Monitor, projector, display, navigation equipment, set -top boxes, game machines for vehicles; display "&amp;"screen panels are commonly designed, so other views are omitted.")</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time and use it to display and track the time that has passed.
 6. Human -computer interaction method of graphic user interface: Graphic user interface can interact with light strike, touch, sliding or pressing graphical user interface or by moving the screen panel in any direction or through the electronic device with the display screen panel to interact. Essence
 7. The display screen panel can be applied to computers, laptops, tablets, mobile phones, smartphones, smart mobile phones, smart glasses, watches, smart watches, fitness monitor, headset headphones, personal digital assistants, smart speakers, TVs, TV , Monitor, projector, display, navigation equipment, set -top boxes, game machines for vehicles; display screen panels are commonly designed, so other views are omitted.</v>
      </c>
      <c r="D1725" s="6" t="s">
        <v>4940</v>
      </c>
      <c r="E1725" s="4" t="str">
        <f ca="1">IFERROR(__xludf.DUMMYFUNCTION("GOOGLETRANSLATE(D1725,""auto"",""en"")"),"The graphic user interface of the display time of the display screen panel")</f>
        <v>The graphic user interface of the display time of the display screen panel</v>
      </c>
    </row>
    <row r="1726" spans="1:5" ht="15" x14ac:dyDescent="0.25">
      <c r="A1726" s="5" t="s">
        <v>4964</v>
      </c>
      <c r="B1726" s="6" t="s">
        <v>4965</v>
      </c>
      <c r="C1726" s="3" t="str">
        <f ca="1">IFERROR(__xludf.DUMMYFUNCTION("GOOGLETRANSLATE(B1726,""auto"",""en"")"),"This utility model opens up a intelligent security fitness guidance device, which includes interactive display device, camera device, device motion status collection device, server, action identification processor; interactive display device includes the "&amp;"main control board and display; the main control board is respectively Connect with display, camera device, device motion status collection device, server, action recognition processor connection; action recognition processor is used to identify user acti"&amp;"ons, interactive display devices are used to receive user touch operations, show real -time display recognition action data and correct movement data; servers Used to correct the recognition action data. This practical new model adopts 3D computer vision "&amp;"technology, establishes 3D human models to accurately record people's training posture in real time, and calculates the standard posture database through deep learning algorithms, and timely feedback from the fitness of the fitness to the fitness person's"&amp;" movement, realize the fitness user fitness Precise identification of action.")</f>
        <v>This utility model opens up a intelligent security fitness guidance device, which includes interactive display device, camera device, device motion status collection device, server, action identification processor; interactive display device includes the main control board and display; the main control board is respectively Connect with display, camera device, device motion status collection device, server, action recognition processor connection; action recognition processor is used to identify user actions, interactive display devices are used to receive user touch operations, show real -time display recognition action data and correct movement data; servers Used to correct the recognition action data. This practical new model adopts 3D computer vision technology, establishes 3D human models to accurately record people's training posture in real time, and calculates the standard posture database through deep learning algorithms, and timely feedback from the fitness of the fitness to the fitness person's movement, realize the fitness user fitness Precise identification of action.</v>
      </c>
      <c r="D1726" s="6" t="s">
        <v>4966</v>
      </c>
      <c r="E1726" s="4" t="str">
        <f ca="1">IFERROR(__xludf.DUMMYFUNCTION("GOOGLETRANSLATE(D1726,""auto"",""en"")"),"A intelligent security fitness guidance device")</f>
        <v>A intelligent security fitness guidance device</v>
      </c>
    </row>
    <row r="1727" spans="1:5" ht="15" x14ac:dyDescent="0.25">
      <c r="A1727" s="5" t="s">
        <v>4967</v>
      </c>
      <c r="B1727" s="6" t="s">
        <v>4968</v>
      </c>
      <c r="C1727" s="3" t="str">
        <f ca="1">IFERROR(__xludf.DUMMYFUNCTION("GOOGLETRANSLATE(B1727,""auto"",""en"")"),"The invention transmits X -rays from X -ray device to the inspection material, and uses the characteristics of the color of the most atomic sequence in the atomic cycle table that constitutes the material of the material to deepen the X -ray. -The ray col"&amp;"or of each dangerous substance. It involves a dangerous substance detection system and method that uses artificial intelligence, which can quickly detect airports, ports, military bases, activity venues, stadiums, exhibition halls, performance halls, gove"&amp;"rnment buildings, and VIP safety places through learning. According to the present invention, the dangerous material detection system of artificial intelligence includes: X -ray printer, which output X -ray to the inspection material; X -ray detector, use"&amp;" X -rays to generate X -ray images and output X -rays through the inspection objects and output X -rays Color; first match the ingredients, chemicals, large atomic sequence atoms, X -ray colors in the name of the storage body, and then match the storage s"&amp;"hape, ingredients, chemical, large atomic sequence atoms, X -ray color databases in dangerous substances; and X -rays Detector power connection, through deep learning algorithm, atoms, ingredients, chemicals, atomic sequences, and X -ray colors of primary"&amp;" matching objects. The X -ray color conducts deep learning through deep learning algorithms. X -ray images output by X -ray detector output are based on deep learning learning results. It may include a computer device that can identify the color of the X "&amp;"-ray and detect the hazardous substances.")</f>
        <v>The invention transmits X -rays from X -ray device to the inspection material, and uses the characteristics of the color of the most atomic sequence in the atomic cycle table that constitutes the material of the material to deepen the X -ray. -The ray color of each dangerous substance. It involves a dangerous substance detection system and method that uses artificial intelligence, which can quickly detect airports, ports, military bases, activity venues, stadiums, exhibition halls, performance halls, government buildings, and VIP safety places through learning. According to the present invention, the dangerous material detection system of artificial intelligence includes: X -ray printer, which output X -ray to the inspection material; X -ray detector, use X -rays to generate X -ray images and output X -rays through the inspection objects and output X -rays Color; first match the ingredients, chemicals, large atomic sequence atoms, X -ray colors in the name of the storage body, and then match the storage shape, ingredients, chemical, large atomic sequence atoms, X -ray color databases in dangerous substances; and X -rays Detector power connection, through deep learning algorithm, atoms, ingredients, chemicals, atomic sequences, and X -ray colors of primary matching objects. The X -ray color conducts deep learning through deep learning algorithms. X -ray images output by X -ray detector output are based on deep learning learning results. It may include a computer device that can identify the color of the X -ray and detect the hazardous substances.</v>
      </c>
      <c r="D1727" s="6" t="s">
        <v>2839</v>
      </c>
      <c r="E1727" s="4" t="str">
        <f ca="1">IFERROR(__xludf.DUMMYFUNCTION("GOOGLETRANSLATE(D1727,""auto"",""en"")"),"Use artificial intelligence dangerous goods detection system and method")</f>
        <v>Use artificial intelligence dangerous goods detection system and method</v>
      </c>
    </row>
    <row r="1728" spans="1:5" ht="15" x14ac:dyDescent="0.25">
      <c r="A1728" s="5" t="s">
        <v>4969</v>
      </c>
      <c r="B1728" s="6" t="s">
        <v>4970</v>
      </c>
      <c r="C1728" s="3" t="str">
        <f ca="1">IFERROR(__xludf.DUMMYFUNCTION("GOOGLETRANSLATE(B1728,""auto"",""en"")"),"This utility model involves a stadium face recognition device, including face recognition device, infrared temperature detector, infrared human detector, access control equipment and controllers. When someone is approaching, the controller is controlled b"&amp;"y the signal controller and infrared body temperature detector of the human body according to the signal controller output by the infrared human detector. When the human face image and body temperature meet the corresponding conditions, the controller can"&amp;" control the access control equipment to open, so that personnel can enter the stadium. Therefore, the useful new model of the stadium provided by the sports venue face recognition device is applicable to a dense public place such as a stadium. Based on h"&amp;"uman face image recognition, add body temperature testing to reduce the risk of virus infection, improve the monitoring effect, and meet the current epidemic situation. The general environment of prevention and control.")</f>
        <v>This utility model involves a stadium face recognition device, including face recognition device, infrared temperature detector, infrared human detector, access control equipment and controllers. When someone is approaching, the controller is controlled by the signal controller and infrared body temperature detector of the human body according to the signal controller output by the infrared human detector. When the human face image and body temperature meet the corresponding conditions, the controller can control the access control equipment to open, so that personnel can enter the stadium. Therefore, the useful new model of the stadium provided by the sports venue face recognition device is applicable to a dense public place such as a stadium. Based on human face image recognition, add body temperature testing to reduce the risk of virus infection, improve the monitoring effect, and meet the current epidemic situation. The general environment of prevention and control.</v>
      </c>
      <c r="D1728" s="6" t="s">
        <v>4971</v>
      </c>
      <c r="E1728" s="4" t="str">
        <f ca="1">IFERROR(__xludf.DUMMYFUNCTION("GOOGLETRANSLATE(D1728,""auto"",""en"")"),"A stadium face recognition device")</f>
        <v>A stadium face recognition device</v>
      </c>
    </row>
    <row r="1729" spans="1:5" ht="15" x14ac:dyDescent="0.25">
      <c r="A1729" s="5" t="s">
        <v>4972</v>
      </c>
      <c r="B1729" s="6" t="s">
        <v>4973</v>
      </c>
      <c r="C1729" s="3" t="str">
        <f ca="1">IFERROR(__xludf.DUMMYFUNCTION("GOOGLETRANSLATE(B1729,""auto"",""en"")"),"1. The name of the product of the product: The graphic user interface of the display health information of the display screen panel.
 2. Design product use: The display screen panel is used to display the graphical user interface.
 3. Design of the de"&amp;"sign of the product in appearance: lies in the graphic user interface.
 4. Pictures or photos that can most indicate design points: main view.
 5. The purpose of the graphical user interface: It is used for human -machine interaction and realizing the"&amp;" function of display screen panels, and can be used to display health information, including displaying blood oxygen data or other cardiovascular data.
 6. Human -computer interaction method of graphical user interface: Graphic user interface can intera"&amp;"ct by touching or rolling graphical user interface.
 7. The display screen panel can be applied to computers, laptops, tablets, mobile phones, smartphones, smart mobile phones, smart glasses, watches, smart watches, fitness monitor, headset headphones, "&amp;"personal digital assistants, smart speakers, TVs, TV , Monitor, projector, set -top box, game machine, navigator, display screen for vehicles; display screen panels are commonly designed, so other views are omitted.")</f>
        <v>1. The name of the product of the product: The graphic user interface of the display health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health information, including displaying blood oxygen data or other cardiovascular data.
 6. Human -computer interaction method of graphical user interface: Graphic user interface can interact by touching or rolling graphical user interface.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29" s="6" t="s">
        <v>4974</v>
      </c>
      <c r="E1729" s="4" t="str">
        <f ca="1">IFERROR(__xludf.DUMMYFUNCTION("GOOGLETRANSLATE(D1729,""auto"",""en"")"),"The graphic user interface of the display of health information of the display screen panel")</f>
        <v>The graphic user interface of the display of health information of the display screen panel</v>
      </c>
    </row>
    <row r="1730" spans="1:5" ht="15" x14ac:dyDescent="0.25">
      <c r="A1730" s="5" t="s">
        <v>4975</v>
      </c>
      <c r="B1730" s="6" t="s">
        <v>4976</v>
      </c>
      <c r="C1730" s="3" t="str">
        <f ca="1">IFERROR(__xludf.DUMMYFUNCTION("GOOGLETRANSLATE(B1730,""auto"",""en"")"),"1. The name of the product of the design of the product: The dynamic graphic user interface of the display health information of the display screen panel.
 2. Design product use: The display screen panel is used to display the graphical user interface.
"&amp;" 
 3. Design of the design of the product in appearance: lies in the graphic user interface.
 4. Pictures or photos that can most indicate design points: main view.
 5. The purpose of the graphical user interface: It is used for human -machine interac"&amp;"tion and realizing the function of display screen panels, and can be used to display health information, including displaying blood oxygen data or other cardiovascular data.
 6. Human -computer interaction method of graphical user interface: Graphic use"&amp;"r interface can interact by touching or rolling graphical user interface.
 7. Change state description of the graphic user interface: The appearance of the dynamic graphic user interface changes from the main view from the main view to the dynamic chang"&amp;"es. Figure 1. Dynamic change state figure 2 and dynamic change state Figure 3.
 8. The display screen panel can be applied to computers, laptops, tablets, mobile phones, smartphones, smart mobile phones, smart glasses, watches, smart watches, fitness mo"&amp;"nitor, headset headphones, personal digital assistants, smart speakers, TVs, TV , Monitor, projector, set -top box, game machine, navigator, display screen for vehicles; display screen panels are commonly designed, so other views are omitted.")</f>
        <v>1. The name of the product of the design of the product: The dynamic graphic user interface of the display health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health information, including displaying blood oxygen data or other cardiovascular data.
 6. Human -computer interaction method of graphical user interface: Graphic user interface can interact by touching or rolling graphical user interface.
 7. Change state description of the graphic user interface: The appearance of the dynamic graphic user interface changes from the main view from the main view to the dynamic changes. Figure 1. Dynamic change state figure 2 and dynamic change state Figure 3.
 8.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30" s="6" t="s">
        <v>4977</v>
      </c>
      <c r="E1730" s="4" t="str">
        <f ca="1">IFERROR(__xludf.DUMMYFUNCTION("GOOGLETRANSLATE(D1730,""auto"",""en"")"),"The dynamic graphic user interface of the display of health information of the display screen panel")</f>
        <v>The dynamic graphic user interface of the display of health information of the display screen panel</v>
      </c>
    </row>
    <row r="1731" spans="1:5" ht="15" x14ac:dyDescent="0.25">
      <c r="A1731" s="5" t="s">
        <v>4978</v>
      </c>
      <c r="B1731" s="6" t="s">
        <v>4979</v>
      </c>
      <c r="C1731" s="3" t="str">
        <f ca="1">IFERROR(__xludf.DUMMYFUNCTION("GOOGLETRANSLATE(B1731,""auto"",""en"")"),"1.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for display time.
 6. Human -computer interaction method of graphical user interface: Graphic user interface can interact through the touch graphical user interface for a period of time or interact with left or right.
 7. The d"&amp;"isplay screen panel can be applied to computers, laptops, tablets, mobile phones, smartphones, smart mobile phones, smart glasses, watches, smart watches, fitness monitor, headset headphones, personal digital assistants, smart speakers, TVs, TV , Monitor,"&amp;" projector, set -top box, game machine, navigator, display screen for vehicles; display screen panels are commonly designed, so other views are omitted.")</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for display time.
 6. Human -computer interaction method of graphical user interface: Graphic user interface can interact through the touch graphical user interface for a period of time or interact with left or right.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31" s="6" t="s">
        <v>4940</v>
      </c>
      <c r="E1731" s="4" t="str">
        <f ca="1">IFERROR(__xludf.DUMMYFUNCTION("GOOGLETRANSLATE(D1731,""auto"",""en"")"),"The graphic user interface of the display time of the display screen panel")</f>
        <v>The graphic user interface of the display time of the display screen panel</v>
      </c>
    </row>
    <row r="1732" spans="1:5" ht="15" x14ac:dyDescent="0.25">
      <c r="A1732" s="5" t="s">
        <v>4980</v>
      </c>
      <c r="B1732" s="6" t="s">
        <v>4973</v>
      </c>
      <c r="C1732" s="3" t="str">
        <f ca="1">IFERROR(__xludf.DUMMYFUNCTION("GOOGLETRANSLATE(B1732,""auto"",""en"")"),"1. The name of the product of the product: The graphic user interface of the display health information of the display screen panel.
 2. Design product use: The display screen panel is used to display the graphical user interface.
 3. Design of the de"&amp;"sign of the product in appearance: lies in the graphic user interface.
 4. Pictures or photos that can most indicate design points: main view.
 5. The purpose of the graphical user interface: It is used for human -machine interaction and realizing the"&amp;" function of display screen panels, and can be used to display health information, including displaying blood oxygen data or other cardiovascular data.
 6. Human -computer interaction method of graphical user interface: Graphic user interface can intera"&amp;"ct by touching or rolling graphical user interface.
 7. The display screen panel can be applied to computers, laptops, tablets, mobile phones, smartphones, smart mobile phones, smart glasses, watches, smart watches, fitness monitor, headset headphones, "&amp;"personal digital assistants, smart speakers, TVs, TV , Monitor, projector, set -top box, game machine, navigator, display screen for vehicles; display screen panels are commonly designed, so other views are omitted.")</f>
        <v>1. The name of the product of the product: The graphic user interface of the display health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health information, including displaying blood oxygen data or other cardiovascular data.
 6. Human -computer interaction method of graphical user interface: Graphic user interface can interact by touching or rolling graphical user interface.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32" s="6" t="s">
        <v>4974</v>
      </c>
      <c r="E1732" s="4" t="str">
        <f ca="1">IFERROR(__xludf.DUMMYFUNCTION("GOOGLETRANSLATE(D1732,""auto"",""en"")"),"The graphic user interface of the display of health information of the display screen panel")</f>
        <v>The graphic user interface of the display of health information of the display screen panel</v>
      </c>
    </row>
    <row r="1733" spans="1:5" ht="15" x14ac:dyDescent="0.25">
      <c r="A1733" s="5" t="s">
        <v>4981</v>
      </c>
      <c r="B1733" s="6" t="s">
        <v>4979</v>
      </c>
      <c r="C1733" s="3" t="str">
        <f ca="1">IFERROR(__xludf.DUMMYFUNCTION("GOOGLETRANSLATE(B1733,""auto"",""en"")"),"1.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for display time.
 6. Human -computer interaction method of graphical user interface: Graphic user interface can interact through the touch graphical user interface for a period of time or interact with left or right.
 7. The d"&amp;"isplay screen panel can be applied to computers, laptops, tablets, mobile phones, smartphones, smart mobile phones, smart glasses, watches, smart watches, fitness monitor, headset headphones, personal digital assistants, smart speakers, TVs, TV , Monitor,"&amp;" projector, set -top box, game machine, navigator, display screen for vehicles; display screen panels are commonly designed, so other views are omitted.")</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for display time.
 6. Human -computer interaction method of graphical user interface: Graphic user interface can interact through the touch graphical user interface for a period of time or interact with left or right.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33" s="6" t="s">
        <v>4940</v>
      </c>
      <c r="E1733" s="4" t="str">
        <f ca="1">IFERROR(__xludf.DUMMYFUNCTION("GOOGLETRANSLATE(D1733,""auto"",""en"")"),"The graphic user interface of the display time of the display screen panel")</f>
        <v>The graphic user interface of the display time of the display screen panel</v>
      </c>
    </row>
    <row r="1734" spans="1:5" ht="15" x14ac:dyDescent="0.25">
      <c r="A1734" s="5" t="s">
        <v>4982</v>
      </c>
      <c r="B1734" s="6" t="s">
        <v>4983</v>
      </c>
      <c r="C1734" s="3" t="str">
        <f ca="1">IFERROR(__xludf.DUMMYFUNCTION("GOOGLETRANSLATE(B1734,""auto"",""en"")"),"Based on the height of the subject, the water tank can be hygienic and the built -in Internet of Things function can be adjusted according to the height of the subject. Essence
  According to the height of the test, the spraying height is adjusted, and "&amp;"the overall water tank is separated to facilitate the maintenance of public disinfection sterilizers; a sensor installed on the shell and detects the fantastic operation; the water tank built in the shell is equipped with a liquid disinfection agent; the "&amp;"water tank has a built -in ultrasonic module. The disinfection liquid is used through the ultrasonic vibration; multiple nozzles are installed on the shell to spray the disinfectant of vaporization; it is characterized by the electronic control module, ac"&amp;"cording to the signal control of the sensor whether to spray or the activation of multiple spray holes.")</f>
        <v>Based on the height of the subject, the water tank can be hygienic and the built -in Internet of Things function can be adjusted according to the height of the subject. Essence
  According to the height of the test, the spraying height is adjusted, and the overall water tank is separated to facilitate the maintenance of public disinfection sterilizers; a sensor installed on the shell and detects the fantastic operation; the water tank built in the shell is equipped with a liquid disinfection agent; the water tank has a built -in ultrasonic module. The disinfection liquid is used through the ultrasonic vibration; multiple nozzles are installed on the shell to spray the disinfectant of vaporization; it is characterized by the electronic control module, according to the signal control of the sensor whether to spray or the activation of multiple spray holes.</v>
      </c>
      <c r="D1734" s="6" t="s">
        <v>4984</v>
      </c>
      <c r="E1734" s="4" t="str">
        <f ca="1">IFERROR(__xludf.DUMMYFUNCTION("GOOGLETRANSLATE(D1734,""auto"",""en"")"),"The water spraying height of the disinfection agent can be adjusted according to the target personal high, and the water tank is concentrated, which is easy to maintain")</f>
        <v>The water spraying height of the disinfection agent can be adjusted according to the target personal high, and the water tank is concentrated, which is easy to maintain</v>
      </c>
    </row>
    <row r="1735" spans="1:5" ht="15" x14ac:dyDescent="0.25">
      <c r="A1735" s="5" t="s">
        <v>4985</v>
      </c>
      <c r="B1735" s="6" t="s">
        <v>4986</v>
      </c>
      <c r="C1735" s="3" t="str">
        <f ca="1">IFERROR(__xludf.DUMMYFUNCTION("GOOGLETRANSLATE(B1735,""auto"",""en"")"),"As the new crown 19 epidemic duration lasts for a long time, non -face -to -face consumption trends are accelerating. With the changes in the mobile communication environment, the popularization of mobile media such as smartphones and tablets, and the e -"&amp;"commerce market has increased further. Therefore, the present invention plans to expand education services by selling laser shooting equipment nationwide and through laser shooting online training leaders. The purpose is to create a new type of sports and"&amp;" cultural community that focuses on sports safety education and can safely enjoy sports.")</f>
        <v>As the new crown 19 epidemic duration lasts for a long time, non -face -to -face consumption trends are accelerating. With the changes in the mobile communication environment, the popularization of mobile media such as smartphones and tablets, and the e -commerce market has increased further. Therefore, the present invention plans to expand education services by selling laser shooting equipment nationwide and through laser shooting online training leaders. The purpose is to create a new type of sports and cultural community that focuses on sports safety education and can safely enjoy sports.</v>
      </c>
      <c r="D1735" s="6" t="s">
        <v>4987</v>
      </c>
      <c r="E1735" s="4" t="str">
        <f ca="1">IFERROR(__xludf.DUMMYFUNCTION("GOOGLETRANSLATE(D1735,""auto"",""en"")"),"Big data -based artificial intelligence laser shooting education service platform")</f>
        <v>Big data -based artificial intelligence laser shooting education service platform</v>
      </c>
    </row>
    <row r="1736" spans="1:5" ht="15" x14ac:dyDescent="0.25">
      <c r="A1736" s="5" t="s">
        <v>4988</v>
      </c>
      <c r="B1736" s="6" t="s">
        <v>4989</v>
      </c>
      <c r="C1736" s="3" t="str">
        <f ca="1">IFERROR(__xludf.DUMMYFUNCTION("GOOGLETRANSLATE(B1736,""auto"",""en"")"),"1. Design product name: Custom dial graphical user interface of the display screen panel.
 2. Design product use: The display screen panel is used to display the graphical user interface.
 3. Design of the design of the product in appearance: lies in "&amp;"the graphic user interface.
 4. Pictures or photos that can most indicate design points: main view.
 5. The purpose of the graphical user interface: for human -machine interaction and implementation of the display screen panel, and can be used for cus"&amp;"tomized dials.
 6. Human -computer interaction method of graphical user interface: Graphic user interface can interact through touch, light strike or sliding graphic user interface.
 7. The display screen panel can be applied to computers, laptops, ta"&amp;"blets, mobile phones, smartphones, smart mobile phones, smart glasses, watches, smart watches, fitness monitor, headset headphones, personal digital assistants, smart speakers, TVs, TV , Monitor, projector, set -top box, game machine, navigator, display s"&amp;"creen for vehicles; display screen panels are commonly designed, so other views are omitted.")</f>
        <v>1. Design product name: Custom dial graphical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customized dials.
 6. Human -computer interaction method of graphical user interface: Graphic user interface can interact through touch, light strike or sliding graphic user interface.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36" s="6" t="s">
        <v>4990</v>
      </c>
      <c r="E1736" s="4" t="str">
        <f ca="1">IFERROR(__xludf.DUMMYFUNCTION("GOOGLETRANSLATE(D1736,""auto"",""en"")"),"Custom dial graphical user interface of display screen panel")</f>
        <v>Custom dial graphical user interface of display screen panel</v>
      </c>
    </row>
    <row r="1737" spans="1:5" ht="15" x14ac:dyDescent="0.25">
      <c r="A1737" s="5" t="s">
        <v>4991</v>
      </c>
      <c r="B1737" s="6" t="s">
        <v>4992</v>
      </c>
      <c r="C1737" s="3" t="str">
        <f ca="1">IFERROR(__xludf.DUMMYFUNCTION("GOOGLETRANSLATE(B1737,""auto"",""en"")"),"1. The name of the product of the design of the product: The dynamic graphic user interface of the display time of the display screen panel.
 2. Design product use: The display screen panel is used to display the graphical user interface.
 3. Design o"&amp;"f the design of the product in appearance: lies in the graphic user interface.
 4. Pictures or photos that can most indicate design points: main view.
 5. The purpose of the graphical user interface: for human -machine interaction and implementation o"&amp;"f the display screen panel, and can be used for display time, including display dials or simulation clocks.
 6. Human -machine interaction method of graphical user interface: Graphic user interface can interact with or swipe left or right by touching th"&amp;"e dynamic graphical user interface for a period of time.
 7. Change state description of the graphic user interface: The appearance of the dynamic graphic user interface changes from the main view from the main view to the dynamic changes. Figure 1. Dyn"&amp;"amic change state figure 2 and dynamic change state Figure 3.
 8. The display screen panel can be applied to computers, laptops, tablets, mobile phones, smart bracelets, smart glasses, watches, fitness monitor, headset headphones, personal digital assis"&amp;"tants, smart speakers, TV, monitor, projector, projector, projector, projector, projector, projector , Top box, game consoles, navigators, display screens for vehicles; display screen panels are commonly designed, so they omit other views.")</f>
        <v>1. The name of the product of the design of the product: The dynamic graphic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display time, including display dials or simulation clocks.
 6. Human -machine interaction method of graphical user interface: Graphic user interface can interact with or swipe left or right by touching the dynamic graphical user interface for a period of time.
 7. Change state description of the graphic user interface: The appearance of the dynamic graphic user interface changes from the main view from the main view to the dynamic changes. Figure 1. Dynamic change state figure 2 and dynamic change state Figure 3.
 8. The display screen panel can be applied to computers, laptops, tablets, mobile phones, smart bracelets, smart glasses, watches, fitness monitor, headset headphones, personal digital assistants, smart speakers, TV, monitor, projector, projector, projector, projector, projector, projector , Top box, game consoles, navigators, display screens for vehicles; display screen panels are commonly designed, so they omit other views.</v>
      </c>
      <c r="D1737" s="6" t="s">
        <v>4993</v>
      </c>
      <c r="E1737" s="4" t="str">
        <f ca="1">IFERROR(__xludf.DUMMYFUNCTION("GOOGLETRANSLATE(D1737,""auto"",""en"")"),"Dynamic graphic user interface of display time display time")</f>
        <v>Dynamic graphic user interface of display time display time</v>
      </c>
    </row>
    <row r="1738" spans="1:5" ht="15" x14ac:dyDescent="0.25">
      <c r="A1738" s="5" t="s">
        <v>4994</v>
      </c>
      <c r="B1738" s="6" t="s">
        <v>4995</v>
      </c>
      <c r="C1738" s="3" t="str">
        <f ca="1">IFERROR(__xludf.DUMMYFUNCTION("GOOGLETRANSLATE(B1738,""auto"",""en"")"),"1.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best show design: Design 1 main view.
 5. Specify design 1 is the basic design.
 6. The purpose of the graphical user interface: for human -machine interaction and implementa"&amp;"tion of the display screen panel, and can be used for display time, including display dials or simulation clocks.
 7. Human -computer interaction method of graphical user interface: Graphic user interface can interact with the graphic user interface for"&amp;" a period of time or interact with left or right.
 8. The display screen panel can be applied to computers, laptops, tablets, mobile phones, smart bracelets, smart glasses, watches, fitness monitor, headset headphones, personal digital assistants, smart"&amp;" speakers, TV, monitor, projector, projector, projector, projector, projector, projector , Top box, game consoles, navigators, display screens for vehicles; display screen panels are commonly designed, so they omit other views.")</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display time, including display dials or simulation clocks.
 7. Human -computer interaction method of graphical user interface: Graphic user interface can interact with the graphic user interface for a period of time or interact with left or right.
 8. The display screen panel can be applied to computers, laptops, tablets, mobile phones, smart bracelets, smart glasses, watches, fitness monitor, headset headphones, personal digital assistants, smart speakers, TV, monitor, projector, projector, projector, projector, projector, projector , Top box, game consoles, navigators, display screens for vehicles; display screen panels are commonly designed, so they omit other views.</v>
      </c>
      <c r="D1738" s="6" t="s">
        <v>4940</v>
      </c>
      <c r="E1738" s="4" t="str">
        <f ca="1">IFERROR(__xludf.DUMMYFUNCTION("GOOGLETRANSLATE(D1738,""auto"",""en"")"),"The graphic user interface of the display time of the display screen panel")</f>
        <v>The graphic user interface of the display time of the display screen panel</v>
      </c>
    </row>
    <row r="1739" spans="1:5" ht="15" x14ac:dyDescent="0.25">
      <c r="A1739" s="5" t="s">
        <v>4996</v>
      </c>
      <c r="B1739" s="6" t="s">
        <v>4997</v>
      </c>
      <c r="C1739" s="3" t="str">
        <f ca="1">IFERROR(__xludf.DUMMYFUNCTION("GOOGLETRANSLATE(B1739,""auto"",""en"")"),"1. The name of the product of the design of the product: The dynamic graphic user interface of the display time of the display screen panel.
 2. Design product use: The display screen panel is used to display the graphical user interface.
 3. Design o"&amp;"f the design of the product in appearance: lies in the graphic user interface.
 4. Pictures or photos that can most indicate design points: main view.
 5. The purpose of the graphical user interface: for human -machine interaction and implementation o"&amp;"f the display screen panel, and can be used for display time, including display dials or simulation clocks.
 6. Human -machine interaction method of graphical user interface: Graphic user interface can interact with or swipe left or right by touching th"&amp;"e dynamic graphical user interface for a period of time.
 7. Change state description of the graphic user interface: The appearance of the dynamic graphic user interface changes from the main view from the main view to the dynamic changes. Figure 1 and "&amp;"the dynamic change state Figure 2.
 8. The display screen panel can be applied to computers, laptops, tablets, mobile phones, smart bracelets, smart glasses, watches, fitness monitor, headset headphones, personal digital assistants, smart speakers, TV, "&amp;"monitor, projector, projector, projector, projector, projector, projector , Top box, game consoles, navigators, display screens for vehicles; display screen panels are commonly designed, so they omit other views.")</f>
        <v>1. The name of the product of the design of the product: The dynamic graphic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display time, including display dials or simulation clocks.
 6. Human -machine interaction method of graphical user interface: Graphic user interface can interact with or swipe left or right by touching the dynamic graphical user interface for a period of time.
 7. Change state description of the graphic user interface: The appearance of the dynamic graphic user interface changes from the main view from the main view to the dynamic changes. Figure 1 and the dynamic change state Figure 2.
 8. The display screen panel can be applied to computers, laptops, tablets, mobile phones, smart bracelets, smart glasses, watches, fitness monitor, headset headphones, personal digital assistants, smart speakers, TV, monitor, projector, projector, projector, projector, projector, projector , Top box, game consoles, navigators, display screens for vehicles; display screen panels are commonly designed, so they omit other views.</v>
      </c>
      <c r="D1739" s="6" t="s">
        <v>4993</v>
      </c>
      <c r="E1739" s="4" t="str">
        <f ca="1">IFERROR(__xludf.DUMMYFUNCTION("GOOGLETRANSLATE(D1739,""auto"",""en"")"),"Dynamic graphic user interface of display time display time")</f>
        <v>Dynamic graphic user interface of display time display time</v>
      </c>
    </row>
    <row r="1740" spans="1:5" ht="15" x14ac:dyDescent="0.25">
      <c r="A1740" s="5" t="s">
        <v>4998</v>
      </c>
      <c r="B1740" s="6" t="s">
        <v>4999</v>
      </c>
      <c r="C1740" s="3" t="str">
        <f ca="1">IFERROR(__xludf.DUMMYFUNCTION("GOOGLETRANSLATE(B1740,""auto"",""en"")"),"A predictive maximum oxygen volume (VO 2 MAX) describes the collection of machine learning algorithms in wearable devices. This method is associated with well -being, healthcare and artificial intelligence, including predicting the maximum oxygen volume ("&amp;"VO 2 MAX) to run a wearable device with memory restrictions at different speeds. The proposed method requires less than 5 kB of memory to run on wearable devices. Specifically, this method is equipped with the user's personal data data (age, gender, heigh"&amp;"t and weight), a set of heart rate (HR) and the speed reading during running. This method can estimate the maximum of VO 2.")</f>
        <v>A predictive maximum oxygen volume (VO 2 MAX) describes the collection of machine learning algorithms in wearable devices. This method is associated with well -being, healthcare and artificial intelligence, including predicting the maximum oxygen volume (VO 2 MAX) to run a wearable device with memory restrictions at different speeds. The proposed method requires less than 5 kB of memory to run on wearable devices. Specifically, this method is equipped with the user's personal data data (age, gender, height and weight), a set of heart rate (HR) and the speed reading during running. This method can estimate the maximum of VO 2.</v>
      </c>
      <c r="D1740" s="6" t="s">
        <v>5000</v>
      </c>
      <c r="E1740" s="4" t="str">
        <f ca="1">IFERROR(__xludf.DUMMYFUNCTION("GOOGLETRANSLATE(D1740,""auto"",""en"")"),"The method of predicting the maximum oxygen volume of wearable devices")</f>
        <v>The method of predicting the maximum oxygen volume of wearable devices</v>
      </c>
    </row>
    <row r="1741" spans="1:5" ht="15" x14ac:dyDescent="0.25">
      <c r="A1741" s="5" t="s">
        <v>5001</v>
      </c>
      <c r="B1741" s="6" t="s">
        <v>5002</v>
      </c>
      <c r="C1741" s="3" t="str">
        <f ca="1">IFERROR(__xludf.DUMMYFUNCTION("GOOGLETRANSLATE(B1741,""auto"",""en"")"),"1. Design product name: The display time user interface of the display time of the display screen panel.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It is used for human -machine interaction and realizing the function of display screen "&amp;"panels, and can be used for display time.
 6. Human -computer interaction method of graphical user interface: Graphic user interface can interact by operating electronic devices with the display screen panel, including by moving or raising electronic de"&amp;"vices or pressing the buttons on the electronic device to interact. The function of regulating and displaying time in interaction.
 7. The display screen panel can be applied to computers, laptops, tablets, mobile phones, smartphones, smart mobile phone"&amp;"s, smart glasses, watches, smart watches, fitness monitor, headset headphones, personal digital assistants, smart speakers, TVs, TV , Monitor, projector, set -top box, game machine, navigator, display screen for vehicles; display screen panels are commonl"&amp;"y designed, so other views are omitted.")</f>
        <v>1. Design product name: The display time user interface of the display time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for display time.
 6. Human -computer interaction method of graphical user interface: Graphic user interface can interact by operating electronic devices with the display screen panel, including by moving or raising electronic devices or pressing the buttons on the electronic device to interact. The function of regulating and displaying time in interaction.
 7. The display screen panel can be applied to computers, laptops, tablets, mobile phones, smartphones, smart mobile phones, smart glasses, watches, smart watches, fitness monitor, headset headphones, personal digital assistants, smart speakers, TVs, TV , Monitor, projector, set -top box, game machine, navigator, display screen for vehicles; display screen panels are commonly designed, so other views are omitted.</v>
      </c>
      <c r="D1741" s="6" t="s">
        <v>4940</v>
      </c>
      <c r="E1741" s="4" t="str">
        <f ca="1">IFERROR(__xludf.DUMMYFUNCTION("GOOGLETRANSLATE(D1741,""auto"",""en"")"),"The graphic user interface of the display time of the display screen panel")</f>
        <v>The graphic user interface of the display time of the display screen panel</v>
      </c>
    </row>
    <row r="1742" spans="1:5" ht="15" x14ac:dyDescent="0.25">
      <c r="A1742" s="5" t="s">
        <v>5003</v>
      </c>
      <c r="B1742" s="6" t="s">
        <v>5004</v>
      </c>
      <c r="C1742" s="3" t="str">
        <f ca="1">IFERROR(__xludf.DUMMYFUNCTION("GOOGLETRANSLATE(B1742,""auto"",""en"")"),"[0001] The present invention is composed of fitness equipment management server, multiple fitness equipment terminals, and multiple user terminals, and involves a sports prescription system suitable for fitness facilities such as fitness centers. Under th"&amp;"e case of unconsciousness, automatically detect the current users, read the user's motion historical information from the sports equipment management server, and measure the basic physical strength of the user's motion through the user terminal. Basic phy"&amp;"sical measurement information and maximum oxygen consumption (hereinafter referred to as VO2MAX) are formulated and quantified to determine the sports prescription tailored by each user, and feedback to users through real -time real time through each spor"&amp;"ts equipment terminal. The invention and the chest strap are coupled and worn on the chest to detect the user's electrocardiogram, the photoelectric volume notes (PPG), and the level of activity and body temperature. The user terminal has the module and t"&amp;"he user terminal receiver determines the motion prescription sports equipment management server. It uses biological signals, past exercise prescription data, personal basic information and basic physical information, storage according to motion prescripti"&amp;"on, personal basic information and basic physical information control movement movement exercise Equipment's sports equipment terminal. Receive and store the sports prescription data of users from the terminal of the sports equipment, and send the previou"&amp;"s exercise prescription data, personal basic information and basic physical quality information to the sports equipment terminal according to the request of the terminal of the motion equipment terminal. include:")</f>
        <v>[0001] The present invention is composed of fitness equipment management server, multiple fitness equipment terminals, and multiple user terminals, and involves a sports prescription system suitable for fitness facilities such as fitness centers. Under the case of unconsciousness, automatically detect the current users, read the user's motion historical information from the sports equipment management server, and measure the basic physical strength of the user's motion through the user terminal. Basic physical measurement information and maximum oxygen consumption (hereinafter referred to as VO2MAX) are formulated and quantified to determine the sports prescription tailored by each user, and feedback to users through real -time real time through each sports equipment terminal. The invention and the chest strap are coupled and worn on the chest to detect the user's electrocardiogram, the photoelectric volume notes (PPG), and the level of activity and body temperature. The user terminal has the module and the user terminal receiver determines the motion prescription sports equipment management server. It uses biological signals, past exercise prescription data, personal basic information and basic physical information, storage according to motion prescription, personal basic information and basic physical information control movement movement exercise Equipment's sports equipment terminal. Receive and store the sports prescription data of users from the terminal of the sports equipment, and send the previous exercise prescription data, personal basic information and basic physical quality information to the sports equipment terminal according to the request of the terminal of the motion equipment terminal. include:</v>
      </c>
      <c r="D1742" s="6" t="s">
        <v>5005</v>
      </c>
      <c r="E1742" s="4" t="str">
        <f ca="1">IFERROR(__xludf.DUMMYFUNCTION("GOOGLETRANSLATE(D1742,""auto"",""en"")"),"Movement method based on artificial intelligence")</f>
        <v>Movement method based on artificial intelligence</v>
      </c>
    </row>
    <row r="1743" spans="1:5" ht="15" x14ac:dyDescent="0.25">
      <c r="A1743" s="5" t="s">
        <v>5006</v>
      </c>
      <c r="B1743" s="6" t="s">
        <v>5007</v>
      </c>
      <c r="C1743" s="3" t="str">
        <f ca="1">IFERROR(__xludf.DUMMYFUNCTION("GOOGLETRANSLATE(B1743,""auto"",""en"")"),"The present invention involves a network server that stores online fitness management solutions. Among them, fitness investment operators terminal, fitness coach terminal, fitness client terminal cable or wireless connection, in an online state; when fitn"&amp;"ess customers enter, provide touch screens, videos, artificial intelligence voice voice Service, identify the identity of fitness customers, assist in filling in personal information, pay for customer membership, introduce fitness business places, and int"&amp;"roduce additional activities. An unmanned Kiosk system module can be available; Item or multiple functions, real -time fitness guiders and fitness customers can conduct exercise and teaching training anytime, anywhere, and transmit the results of the exer"&amp;"cise to the network server to view the fitness of the fitness. Support home training, online PT, exercise records and exercise quantity analysis, providing calorie consumption data, shopping mall operations, and sports videos to provide website modules to"&amp;" correct sports posture by updating; web modules that can analyze the size of the body, support outdoor fitness sports, and play fitness sports games; The invention involves a fusion fitness system composed of a comprehensive management module consisting "&amp;"of a comprehensive management module of the fitness center, customer member, fitness class, and management settlement.")</f>
        <v>The present invention involves a network server that stores online fitness management solutions. Among them, fitness investment operators terminal, fitness coach terminal, fitness client terminal cable or wireless connection, in an online state; when fitness customers enter, provide touch screens, videos, artificial intelligence voice voice Service, identify the identity of fitness customers, assist in filling in personal information, pay for customer membership, introduce fitness business places, and introduce additional activities. An unmanned Kiosk system module can be available; Item or multiple functions, real -time fitness guiders and fitness customers can conduct exercise and teaching training anytime, anywhere, and transmit the results of the exercise to the network server to view the fitness of the fitness. Support home training, online PT, exercise records and exercise quantity analysis, providing calorie consumption data, shopping mall operations, and sports videos to provide website modules to correct sports posture by updating; web modules that can analyze the size of the body, support outdoor fitness sports, and play fitness sports games; The invention involves a fusion fitness system composed of a comprehensive management module consisting of a comprehensive management module of the fitness center, customer member, fitness class, and management settlement.</v>
      </c>
      <c r="D1743" s="6" t="s">
        <v>5008</v>
      </c>
      <c r="E1743" s="4" t="str">
        <f ca="1">IFERROR(__xludf.DUMMYFUNCTION("GOOGLETRANSLATE(D1743,""auto"",""en"")"),"Integrate the fitness system, connect to customers through online fitness management solutions, and share and use fitness space to manage sports and health")</f>
        <v>Integrate the fitness system, connect to customers through online fitness management solutions, and share and use fitness space to manage sports and health</v>
      </c>
    </row>
    <row r="1744" spans="1:5" ht="15" x14ac:dyDescent="0.25">
      <c r="A1744" s="5" t="s">
        <v>5009</v>
      </c>
      <c r="B1744" s="6" t="s">
        <v>5010</v>
      </c>
      <c r="C1744" s="3" t="str">
        <f ca="1">IFERROR(__xludf.DUMMYFUNCTION("GOOGLETRANSLATE(B1744,""auto"",""en"")"),"The present invention involves an online connection refueling device and its related control methods. The control method of the refueling device of an embodiment includes the following steps: record and maintain the performance scheduling information used"&amp;" to control operation in the control server. The networking equipment of the Internet, transmits the control server's competitive schedule to a smartphone, receives the scheduling information sent by the smartphone, and transmits the scheduling informatio"&amp;"n to the pairing aerated equipment. In the puzzle device, collect and store it in the puzzle equipment, collect and store it in the pneumatic device. The transmission of performance scheduling information in the memory, detects the action corresponding to"&amp;" the performance scheduling information in the refueling device, and obtains action data based on the detected actions in the refueling equipment. It can include the determined steps, and the steps of transmitting the determined sports data from the cheer"&amp;"s to the external server through the smartphone.")</f>
        <v>The present invention involves an online connection refueling device and its related control methods. The control method of the refueling device of an embodiment includes the following steps: record and maintain the performance scheduling information used to control operation in the control server. The networking equipment of the Internet, transmits the control server's competitive schedule to a smartphone, receives the scheduling information sent by the smartphone, and transmits the scheduling information to the pairing aerated equipment. In the puzzle device, collect and store it in the puzzle equipment, collect and store it in the pneumatic device. The transmission of performance scheduling information in the memory, detects the action corresponding to the performance scheduling information in the refueling device, and obtains action data based on the detected actions in the refueling equipment. It can include the determined steps, and the steps of transmitting the determined sports data from the cheers to the external server through the smartphone.</v>
      </c>
      <c r="D1744" s="6" t="s">
        <v>5011</v>
      </c>
      <c r="E1744" s="4" t="str">
        <f ca="1">IFERROR(__xludf.DUMMYFUNCTION("GOOGLETRANSLATE(D1744,""auto"",""en"")"),"The control method of online brushing equipment and flashing equipment")</f>
        <v>The control method of online brushing equipment and flashing equipment</v>
      </c>
    </row>
    <row r="1745" spans="1:5" ht="15" x14ac:dyDescent="0.25">
      <c r="A1745" s="5" t="s">
        <v>5012</v>
      </c>
      <c r="B1745" s="6" t="s">
        <v>5013</v>
      </c>
      <c r="C1745" s="3" t="str">
        <f ca="1">IFERROR(__xludf.DUMMYFUNCTION("GOOGLETRANSLATE(B1745,""auto"",""en"")"),"A light field super -resolution reconstruction method based on residual learning and spatial transformation networks belongs to the computer vision field. According to the problem of low image space resolution of the light field image, the invention is re"&amp;"constructed by the image of low resolution. The 4+1 fusion model is designed to learn the characteristics of the light field image. In addition, in order to better extract the characteristics, the invention will have space in the invention. The positioner"&amp;" of the transformation network was improved. In specific operations, enter the image according to the relative position to the improved space transformation network, and the feature reconstruction and fusion through the convolutional neural network of the"&amp;" recursive structure. Insufficient use of adjacent viewpoint information, with advanced network structure design, make the model have a better reconstruction effect.")</f>
        <v>A light field super -resolution reconstruction method based on residual learning and spatial transformation networks belongs to the computer vision field. According to the problem of low image space resolution of the light field image, the invention is reconstructed by the image of low resolution. The 4+1 fusion model is designed to learn the characteristics of the light field image. In addition, in order to better extract the characteristics, the invention will have space in the invention. The positioner of the transformation network was improved. In specific operations, enter the image according to the relative position to the improved space transformation network, and the feature reconstruction and fusion through the convolutional neural network of the recursive structure. Insufficient use of adjacent viewpoint information, with advanced network structure design, make the model have a better reconstruction effect.</v>
      </c>
      <c r="D1745" s="6" t="s">
        <v>5014</v>
      </c>
      <c r="E1745" s="4" t="str">
        <f ca="1">IFERROR(__xludf.DUMMYFUNCTION("GOOGLETRANSLATE(D1745,""auto"",""en"")"),"A light field super -resolution reconstruction method based on residual learning and space transformation network")</f>
        <v>A light field super -resolution reconstruction method based on residual learning and space transformation network</v>
      </c>
    </row>
    <row r="1746" spans="1:5" ht="15" x14ac:dyDescent="0.25">
      <c r="A1746" s="5" t="s">
        <v>5015</v>
      </c>
      <c r="B1746" s="6" t="s">
        <v>5016</v>
      </c>
      <c r="C1746" s="3" t="str">
        <f ca="1">IFERROR(__xludf.DUMMYFUNCTION("GOOGLETRANSLATE(B1746,""auto"",""en"")"),"The present invention disclosed a 3D VR human -machine interaction all -around sports equipment, including the framework, which has a support for welding in the inner wall of the framework. The ring groove, the steel balls are set inside the ring slot, wh"&amp;"ich is connected to the outer surface of the steel ball with a support disk. The lower welding of the support disk has a supporting cylinder. There is a installation seat inner welded in the lower end of the lower end. There is a framework connection, and"&amp;" the other end of the disc refinction is connected to a universal treadmill. The invention involves a 3D VR human -machine interaction omnipotent sports equipment, which has a better user experience and the characteristics of not easy to loosen after the "&amp;"device adjustment.")</f>
        <v>The present invention disclosed a 3D VR human -machine interaction all -around sports equipment, including the framework, which has a support for welding in the inner wall of the framework. The ring groove, the steel balls are set inside the ring slot, which is connected to the outer surface of the steel ball with a support disk. The lower welding of the support disk has a supporting cylinder. There is a installation seat inner welded in the lower end of the lower end. There is a framework connection, and the other end of the disc refinction is connected to a universal treadmill. The invention involves a 3D VR human -machine interaction omnipotent sports equipment, which has a better user experience and the characteristics of not easy to loosen after the device adjustment.</v>
      </c>
      <c r="D1746" s="6" t="s">
        <v>5017</v>
      </c>
      <c r="E1746" s="4" t="str">
        <f ca="1">IFERROR(__xludf.DUMMYFUNCTION("GOOGLETRANSLATE(D1746,""auto"",""en"")"),"A 3D VR human -computer interaction all -around sports equipment")</f>
        <v>A 3D VR human -computer interaction all -around sports equipment</v>
      </c>
    </row>
    <row r="1747" spans="1:5" ht="15" x14ac:dyDescent="0.25">
      <c r="A1747" s="5" t="s">
        <v>5018</v>
      </c>
      <c r="B1747" s="6" t="s">
        <v>5019</v>
      </c>
      <c r="C1747" s="3" t="str">
        <f ca="1">IFERROR(__xludf.DUMMYFUNCTION("GOOGLETRANSLATE(B1747,""auto"",""en"")"),"A method of motion action counting based on the key points of bone bones. To obtain the key points of the human body through deep learning model algorithms, the sampling action affects the angle changes of the key point to complete the counting work. This"&amp;" method can objectively and efficiently complete the technical work of exercise, and effectively help users exercise autonomous exercise through online sports software. The main use of the HRNET model is used. Image -based AI processing, only need to coll"&amp;"ect sports videos, and do not need other sensors such as other sensors for data collection, simple and convenient. At the same time, the present invention completes the general action counting evaluation model based on angle changes. For the action of ope"&amp;"ning and closing, push -ups, squatting up, etc., you only need to modify the corresponding parameters. Reduce duplicate work and improve efficiency.")</f>
        <v>A method of motion action counting based on the key points of bone bones. To obtain the key points of the human body through deep learning model algorithms, the sampling action affects the angle changes of the key point to complete the counting work. This method can objectively and efficiently complete the technical work of exercise, and effectively help users exercise autonomous exercise through online sports software. The main use of the HRNET model is used. Image -based AI processing, only need to collect sports videos, and do not need other sensors such as other sensors for data collection, simple and convenient. At the same time, the present invention completes the general action counting evaluation model based on angle changes. For the action of opening and closing, push -ups, squatting up, etc., you only need to modify the corresponding parameters. Reduce duplicate work and improve efficiency.</v>
      </c>
      <c r="D1747" s="6" t="s">
        <v>5020</v>
      </c>
      <c r="E1747" s="4" t="str">
        <f ca="1">IFERROR(__xludf.DUMMYFUNCTION("GOOGLETRANSLATE(D1747,""auto"",""en"")"),"A method of motion action counting based on the key points of bone bones")</f>
        <v>A method of motion action counting based on the key points of bone bones</v>
      </c>
    </row>
    <row r="1748" spans="1:5" ht="15" x14ac:dyDescent="0.25">
      <c r="A1748" s="5" t="s">
        <v>5021</v>
      </c>
      <c r="B1748" s="6" t="s">
        <v>5022</v>
      </c>
      <c r="C1748" s="3" t="str">
        <f ca="1">IFERROR(__xludf.DUMMYFUNCTION("GOOGLETRANSLATE(B1748,""auto"",""en"")"),"The present invention disclosed the target attack priority evaluation method and system based on the fuzzy wavelet neural network. The simulation robot obtains the type of attack target, the ability to attack the target, the value of the attack target, th"&amp;"e difficulty of attack target, and the pixel area of ​​the attack target deck. ; Judging whether the attack target is within the range of the robot, if so, enter the next step; otherwise, return to the previous step; The pixel area of ​​the armor, based o"&amp;"n the training -based improved fuzzy waves neural network, obtained the priority of the shooting target to be shooting; according to the priority of the determined shooting target, determine the corresponding shooting instructions, and conduct the shootin"&amp;"g target to the shooting target according to the shooting instructions. shooting. Apply fuzzy neural networks to solve the problem of attack priority on the target during the simulation of robotics, and solve the uncertainty of the environmental informati"&amp;"on of complex competition.")</f>
        <v>The present invention disclosed the target attack priority evaluation method and system based on the fuzzy wavelet neural network. The simulation robot obtains the type of attack target, the ability to attack the target, the value of the attack target, the difficulty of attack target, and the pixel area of ​​the attack target deck. ; Judging whether the attack target is within the range of the robot, if so, enter the next step; otherwise, return to the previous step; The pixel area of ​​the armor, based on the training -based improved fuzzy waves neural network, obtained the priority of the shooting target to be shooting; according to the priority of the determined shooting target, determine the corresponding shooting instructions, and conduct the shooting target to the shooting target according to the shooting instructions. shooting. Apply fuzzy neural networks to solve the problem of attack priority on the target during the simulation of robotics, and solve the uncertainty of the environmental information of complex competition.</v>
      </c>
      <c r="D1748" s="6" t="s">
        <v>5023</v>
      </c>
      <c r="E1748" s="4" t="str">
        <f ca="1">IFERROR(__xludf.DUMMYFUNCTION("GOOGLETRANSLATE(D1748,""auto"",""en"")"),"Based on the target attack priority evaluation method and system of target attacks in the waves of waves")</f>
        <v>Based on the target attack priority evaluation method and system of target attacks in the waves of waves</v>
      </c>
    </row>
    <row r="1749" spans="1:5" ht="15" x14ac:dyDescent="0.25">
      <c r="A1749" s="5" t="s">
        <v>5024</v>
      </c>
      <c r="B1749" s="6" t="s">
        <v>5025</v>
      </c>
      <c r="C1749" s="3" t="str">
        <f ca="1">IFERROR(__xludf.DUMMYFUNCTION("GOOGLETRANSLATE(B1749,""auto"",""en"")"),"The present invention uses laser radar sensors to collect trajectory information (location, speed, etc.) of each football player and the ball of the ball of each preset cube (S), and then use the artificial intelligence algorithm to obtain them. Big data,"&amp;" detect mode information according to the level and situation of each player, and apply the detected ability level and context mode information to the corresponding player role of online football games, so that the player characters and actual players can"&amp;" be It increases the authenticity and authenticity of the online football game by maximizing the sense of overlapping, but it can also provide users -centered services by increasing users' participation in online football games, thereby increasing user in"&amp;"terests, participation and fun Essence An increased big data collection system and an online football game using the system provides a system.")</f>
        <v>The present invention uses laser radar sensors to collect trajectory information (location, speed, etc.) of each football player and the ball of the ball of each preset cube (S), and then use the artificial intelligence algorithm to obtain them. Big data, detect mode information according to the level and situation of each player, and apply the detected ability level and context mode information to the corresponding player role of online football games, so that the player characters and actual players can be It increases the authenticity and authenticity of the online football game by maximizing the sense of overlapping, but it can also provide users -centered services by increasing users' participation in online football games, thereby increasing user interests, participation and fun Essence An increased big data collection system and an online football game using the system provides a system.</v>
      </c>
      <c r="D1749" s="6" t="s">
        <v>5026</v>
      </c>
      <c r="E1749" s="4" t="str">
        <f ca="1">IFERROR(__xludf.DUMMYFUNCTION("GOOGLETRANSLATE(D1749,""auto"",""en"")"),"The big data collection system of the football game using the lidar sensor and the online football game using the system provides a system")</f>
        <v>The big data collection system of the football game using the lidar sensor and the online football game using the system provides a system</v>
      </c>
    </row>
    <row r="1750" spans="1:5" ht="15" x14ac:dyDescent="0.25">
      <c r="A1750" s="5" t="s">
        <v>5027</v>
      </c>
      <c r="B1750" s="6" t="s">
        <v>5028</v>
      </c>
      <c r="C1750" s="3" t="str">
        <f ca="1">IFERROR(__xludf.DUMMYFUNCTION("GOOGLETRANSLATE(B1750,""auto"",""en"")"),"A device, system and method for youth sports centers. The aforementioned can include: artificial intelligence (AI) engines that can integrate integrated with multiple third -party applications; can provide integrated application programming interface (API"&amp;"); linked on -site hardware (including cameras, scoring cards and audio systems) to AI The hardware integrated of the engine; and the graphic user interface (GUI), which is changed by the user type indicated by the AI ​​engine according to the AI ​​engine"&amp;" account, which presents at least one computing interface to the user. One of the third -party applications, video feedback from cameras, game scores from records, and game audio from audio systems, and specific players who are recognized by account recog"&amp;"nition in specific games.")</f>
        <v>A device, system and method for youth sports centers. The aforementioned can include: artificial intelligence (AI) engines that can integrate integrated with multiple third -party applications; can provide integrated application programming interface (API); linked on -site hardware (including cameras, scoring cards and audio systems) to AI The hardware integrated of the engine; and the graphic user interface (GUI), which is changed by the user type indicated by the AI ​​engine according to the AI ​​engine account, which presents at least one computing interface to the user. One of the third -party applications, video feedback from cameras, game scores from records, and game audio from audio systems, and specific players who are recognized by account recognition in specific games.</v>
      </c>
      <c r="D1750" s="6" t="s">
        <v>5029</v>
      </c>
      <c r="E1750" s="4" t="str">
        <f ca="1">IFERROR(__xludf.DUMMYFUNCTION("GOOGLETRANSLATE(D1750,""auto"",""en"")"),"Comprehensive Sports Center Application")</f>
        <v>Comprehensive Sports Center Application</v>
      </c>
    </row>
    <row r="1751" spans="1:5" ht="15" x14ac:dyDescent="0.25">
      <c r="A1751" s="5" t="s">
        <v>5030</v>
      </c>
      <c r="B1751" s="6" t="s">
        <v>5031</v>
      </c>
      <c r="C1751" s="3" t="str">
        <f ca="1">IFERROR(__xludf.DUMMYFUNCTION("GOOGLETRANSLATE(B1751,""auto"",""en"")"),"The present invention involves the field of human -computer interaction equipment technology, and has disclosed an intelligent support device that enhances stability and improves comfort, including racks. There is a tie rod at the rotation of the axis. A "&amp;"baffle is rotated from one end of the elastic cavity. Rotate the push rod through the rack. At this time, the elastic cavity can be compressed, so that the internal air inputs the inside of the airway. At this time, the metal tentacles are in contact with"&amp;" each other. The internal circuit is connected. When it is capable of using treadmills, the circulation speed of the air around the personnel is increased, the temperature of the personnel is reduced, and the effect of using comfort is improved.")</f>
        <v>The present invention involves the field of human -computer interaction equipment technology, and has disclosed an intelligent support device that enhances stability and improves comfort, including racks. There is a tie rod at the rotation of the axis. A baffle is rotated from one end of the elastic cavity. Rotate the push rod through the rack. At this time, the elastic cavity can be compressed, so that the internal air inputs the inside of the airway. At this time, the metal tentacles are in contact with each other. The internal circuit is connected. When it is capable of using treadmills, the circulation speed of the air around the personnel is increased, the temperature of the personnel is reduced, and the effect of using comfort is improved.</v>
      </c>
      <c r="D1751" s="6" t="s">
        <v>5032</v>
      </c>
      <c r="E1751" s="4" t="str">
        <f ca="1">IFERROR(__xludf.DUMMYFUNCTION("GOOGLETRANSLATE(D1751,""auto"",""en"")"),"An intelligent support device that enhances stability and improves comfort")</f>
        <v>An intelligent support device that enhances stability and improves comfort</v>
      </c>
    </row>
    <row r="1752" spans="1:5" ht="15" x14ac:dyDescent="0.25">
      <c r="A1752" s="5" t="s">
        <v>5033</v>
      </c>
      <c r="B1752" s="6" t="s">
        <v>5034</v>
      </c>
      <c r="C1752" s="3" t="str">
        <f ca="1">IFERROR(__xludf.DUMMYFUNCTION("GOOGLETRANSLATE(B1752,""auto"",""en"")"),"The outdoor swimming safety device based on the Internet of Things includes: water body flow velocity and temperature difference monitoring and alarm device, which are characterized by: the water flow rate and temperature difference monitoring and alarm d"&amp;"evice of the water supply (1) include, power supply module 3.3V level conversion conversion Circuit (2), control core module STM32F103C8T6 (3), water flow sensor module YF‑S201 (4), temperature sensor module DS18B20 (5), LBS positioning and communication "&amp;"module ZX618 (6), external display module LCD1602 (7),, 7), Key module (8), voice alarm module y3‑m3 (9); the power supply module includes TP4056 charging protective board (2‑1), polymer lithium battery 3.7V 180mAh (2‑2); Core module STM32F103C8T6 also in"&amp;"cludes crystalline circuit (3‑1), reset circuit (3‑2), BOOT selection circuit (3‑3), SWD debugging interface circuit (3‑4), STM32F103C8T6 chip (3‑5); The new application is applied to outdoor swimming safety devices.")</f>
        <v>The outdoor swimming safety device based on the Internet of Things includes: water body flow velocity and temperature difference monitoring and alarm device, which are characterized by: the water flow rate and temperature difference monitoring and alarm device of the water supply (1) include, power supply module 3.3V level conversion conversion Circuit (2), control core module STM32F103C8T6 (3), water flow sensor module YF‑S201 (4), temperature sensor module DS18B20 (5), LBS positioning and communication module ZX618 (6), external display module LCD1602 (7),, 7), Key module (8), voice alarm module y3‑m3 (9); the power supply module includes TP4056 charging protective board (2‑1), polymer lithium battery 3.7V 180mAh (2‑2); Core module STM32F103C8T6 also includes crystalline circuit (3‑1), reset circuit (3‑2), BOOT selection circuit (3‑3), SWD debugging interface circuit (3‑4), STM32F103C8T6 chip (3‑5); The new application is applied to outdoor swimming safety devices.</v>
      </c>
      <c r="D1752" s="6" t="s">
        <v>5035</v>
      </c>
      <c r="E1752" s="4" t="str">
        <f ca="1">IFERROR(__xludf.DUMMYFUNCTION("GOOGLETRANSLATE(D1752,""auto"",""en"")"),"Outdoor swimming security device based on the Internet of Things")</f>
        <v>Outdoor swimming security device based on the Internet of Things</v>
      </c>
    </row>
    <row r="1753" spans="1:5" ht="15" x14ac:dyDescent="0.25">
      <c r="A1753" s="5" t="s">
        <v>5036</v>
      </c>
      <c r="B1753" s="6" t="s">
        <v>5037</v>
      </c>
      <c r="C1753" s="3" t="str">
        <f ca="1">IFERROR(__xludf.DUMMYFUNCTION("GOOGLETRANSLATE(B1753,""auto"",""en"")"),"A game prediction method and device were disclosed. The prediction method of the competition includes the following steps: Collect the prospect data of the first game of each game, player data, and results status data as the original data; data pre -proce"&amp;"ssing the original data of the first time; and this method can include: From the pre -learning model prediction model based on the following original data to obtain the forecast information about the predicted competition in the second time, the second po"&amp;"int is the future time point of the first time. The first time in time that has been executed.")</f>
        <v>A game prediction method and device were disclosed. The prediction method of the competition includes the following steps: Collect the prospect data of the first game of each game, player data, and results status data as the original data; data pre -processing the original data of the first time; and this method can include: From the pre -learning model prediction model based on the following original data to obtain the forecast information about the predicted competition in the second time, the second point is the future time point of the first time. The first time in time that has been executed.</v>
      </c>
      <c r="D1753" s="6" t="s">
        <v>4841</v>
      </c>
      <c r="E1753" s="4" t="str">
        <f ca="1">IFERROR(__xludf.DUMMYFUNCTION("GOOGLETRANSLATE(D1753,""auto"",""en"")"),"Sports lottery prediction methods and devices based on deep learning")</f>
        <v>Sports lottery prediction methods and devices based on deep learning</v>
      </c>
    </row>
    <row r="1754" spans="1:5" ht="15" x14ac:dyDescent="0.25">
      <c r="A1754" s="5" t="s">
        <v>5038</v>
      </c>
      <c r="B1754" s="6" t="s">
        <v>5039</v>
      </c>
      <c r="C1754" s="3" t="str">
        <f ca="1">IFERROR(__xludf.DUMMYFUNCTION("GOOGLETRANSLATE(B1754,""auto"",""en"")"),"The present invention involves the field of Internet of Things technology, and it has disclosed an auxiliary fitness equipment based on the Internet of Things, including the base. The internal settings of the base have a regulatory mechanism. There are tw"&amp;"o pressure boxes on the top of the bottom beam, and the two stamped boxes are fixed between the beams. The right side of the pressure mechanism. The use of auxiliary fitness equipment based on the Internet of Things can play a role in protecting the exerc"&amp;"ise through auxiliary agencies, and prevent the exercise from pushing the barbells that cannot be pushed, which causes damage. The pressure box can keep the trainer that keeps the barbell pole in a balance when pushing the barbell lever. At the same time,"&amp;" it also plays a role in limiting the barbell tablet to prevent the barbell sheet from slipping from the surface of the barbell rod to cause harm to the people next to it.")</f>
        <v>The present invention involves the field of Internet of Things technology, and it has disclosed an auxiliary fitness equipment based on the Internet of Things, including the base. The internal settings of the base have a regulatory mechanism. There are two pressure boxes on the top of the bottom beam, and the two stamped boxes are fixed between the beams. The right side of the pressure mechanism. The use of auxiliary fitness equipment based on the Internet of Things can play a role in protecting the exercise through auxiliary agencies, and prevent the exercise from pushing the barbells that cannot be pushed, which causes damage. The pressure box can keep the trainer that keeps the barbell pole in a balance when pushing the barbell lever. At the same time, it also plays a role in limiting the barbell tablet to prevent the barbell sheet from slipping from the surface of the barbell rod to cause harm to the people next to it.</v>
      </c>
      <c r="D1754" s="6" t="s">
        <v>5040</v>
      </c>
      <c r="E1754" s="4" t="str">
        <f ca="1">IFERROR(__xludf.DUMMYFUNCTION("GOOGLETRANSLATE(D1754,""auto"",""en"")"),"A kind of auxiliary fitness equipment based on the Internet of Things")</f>
        <v>A kind of auxiliary fitness equipment based on the Internet of Things</v>
      </c>
    </row>
    <row r="1755" spans="1:5" ht="15" x14ac:dyDescent="0.25">
      <c r="A1755" s="5" t="s">
        <v>5041</v>
      </c>
      <c r="B1755" s="6" t="s">
        <v>5042</v>
      </c>
      <c r="C1755" s="3" t="str">
        <f ca="1">IFERROR(__xludf.DUMMYFUNCTION("GOOGLETRANSLATE(B1755,""auto"",""en"")"),"On the Internet of Things platform, the design and manufacturing low -cost respiratory monitoring system ""breathing is life"" on the Internet of Things platform, but the correct breathing is longevity and maintaining health. People who cannot breathe nor"&amp;"mally will eventually have physical, psychological and emotional problems. You need to understand the breathing mode of everyone in this large popular environment (COVID-19}. Therefore, this article starts designing and manufacturing respiratory monitors."&amp;" Compared with all other existing methods, this hardware is cheaper and smarter. By using this respiratory monitoring system, we can obtain continuous breathing mode, store data, and compare the data with the threshold. The output is connected to the Ardu"&amp;"ino UNO board, and the output is communicated with the doctor, nurse, and relatives. There may be deviations. The monitoring system is mainly composed of 3 parts: sensors, handling hardware circuits of sensor output, and W1Fi module interface with Arduino"&amp;" UNO board. The sensor design puts mercury into the rubber pipe, and the pipe end is connected with a copper stick. The sensor is used as the sensor as the The strain film is fixed in front of the chest, and the signal of the respiratory change is further"&amp;" processed by the hardware circuit. The signal uses the ESP8266-01 module and the Arduino interface. The data can be drawn in the system to directly monitor and observe the breathing curve. This instrument is available for available. In the field of medic"&amp;"al, sports, yoga schools and meditation.")</f>
        <v>On the Internet of Things platform, the design and manufacturing low -cost respiratory monitoring system "breathing is life" on the Internet of Things platform, but the correct breathing is longevity and maintaining health. People who cannot breathe normally will eventually have physical, psychological and emotional problems. You need to understand the breathing mode of everyone in this large popular environment (COVID-19}. Therefore, this article starts designing and manufacturing respiratory monitors. Compared with all other existing methods, this hardware is cheaper and smarter. By using this respiratory monitoring system, we can obtain continuous breathing mode, store data, and compare the data with the threshold. The output is connected to the Arduino UNO board, and the output is communicated with the doctor, nurse, and relatives. There may be deviations. The monitoring system is mainly composed of 3 parts: sensors, handling hardware circuits of sensor output, and W1Fi module interface with Arduino UNO board. The sensor design puts mercury into the rubber pipe, and the pipe end is connected with a copper stick. The sensor is used as the sensor as the The strain film is fixed in front of the chest, and the signal of the respiratory change is further processed by the hardware circuit. The signal uses the ESP8266-01 module and the Arduino interface. The data can be drawn in the system to directly monitor and observe the breathing curve. This instrument is available for available. In the field of medical, sports, yoga schools and meditation.</v>
      </c>
      <c r="D1755" s="6" t="s">
        <v>5043</v>
      </c>
      <c r="E1755" s="4" t="str">
        <f ca="1">IFERROR(__xludf.DUMMYFUNCTION("GOOGLETRANSLATE(D1755,""auto"",""en"")"),"Use Arduino UNO to design and manufacture low -cost respiratory monitoring systems on the IoT platform")</f>
        <v>Use Arduino UNO to design and manufacture low -cost respiratory monitoring systems on the IoT platform</v>
      </c>
    </row>
    <row r="1756" spans="1:5" ht="15" x14ac:dyDescent="0.25">
      <c r="A1756" s="5" t="s">
        <v>5044</v>
      </c>
      <c r="B1756" s="6" t="s">
        <v>5045</v>
      </c>
      <c r="C1756" s="3" t="str">
        <f ca="1">IFERROR(__xludf.DUMMYFUNCTION("GOOGLETRANSLATE(B1756,""auto"",""en"")"),"The embodiment of this application provides a community fitness recommendation method and system based on neural network learning algorithms. This method includes: build user body characteristics through user physical characteristics, build fitness equipm"&amp;"ent characteristics through fitness equipment characteristics, and build fitness methods through fitness methods; The characteristics of fitness methods, training community fitness recommendation neural networks; collecting user characteristics data, impo"&amp;"rting the community fitness recommendation neural network, predicting the user's matching fitness equipment and matching fitness methods; according to the matching fitness equipment and matching fitness fitness Methods to recommend fitness recommendations"&amp;". This application improves the accuracy and efficiency of community fitness recommendations through neural network learning algorithms.")</f>
        <v>The embodiment of this application provides a community fitness recommendation method and system based on neural network learning algorithms. This method includes: build user body characteristics through user physical characteristics, build fitness equipment characteristics through fitness equipment characteristics, and build fitness methods through fitness methods; The characteristics of fitness methods, training community fitness recommendation neural networks; collecting user characteristics data, importing the community fitness recommendation neural network, predicting the user's matching fitness equipment and matching fitness methods; according to the matching fitness equipment and matching fitness fitness Methods to recommend fitness recommendations. This application improves the accuracy and efficiency of community fitness recommendations through neural network learning algorithms.</v>
      </c>
      <c r="D1756" s="6" t="s">
        <v>5046</v>
      </c>
      <c r="E1756" s="4" t="str">
        <f ca="1">IFERROR(__xludf.DUMMYFUNCTION("GOOGLETRANSLATE(D1756,""auto"",""en"")"),"A community fitness recommendation method and system based on neural network learning algorithms")</f>
        <v>A community fitness recommendation method and system based on neural network learning algorithms</v>
      </c>
    </row>
    <row r="1757" spans="1:5" ht="15" x14ac:dyDescent="0.25">
      <c r="A1757" s="5" t="s">
        <v>5047</v>
      </c>
      <c r="B1757" s="6" t="s">
        <v>5048</v>
      </c>
      <c r="C1757" s="3" t="str">
        <f ca="1">IFERROR(__xludf.DUMMYFUNCTION("GOOGLETRANSLATE(B1757,""auto"",""en"")"),"The present invention uses artificial intelligence and big data to collect, store and manage celebrities, celebrities, or influentials (including entertainmentrs, athletes and politicians) on the Internet. The information follower provides the platform sy"&amp;"stem adopts artificial intelligence, and provides fashion -related details in non -contact methods, including the price, manufacturer, production year, work name and other operations of each fashion item selected by () In terms of installing and running a"&amp;" fashionable application, register as a fan terminal. If you enter information about celebrities you like and designated positions and time, you show the style of the style. Including price, manufacturers, detailed fashion information, production years, w"&amp;"ork names, color, alternative fashion information, custom application information, star voice greetings and detailed fashion information, pass information through multiple communication channels. Fan terminals are used to send or receive the styling bag f"&amp;"rames; a public communication network for modeling, which is used to access the subordinate terminal at the same time through multiple communication channels composed of one or more communication channels, and set it to send or receive styling grouping. T"&amp;"he communication path of the frame, where the other party is designated to connect through the switching of each communication channel; the public communication network is connected to any one or more communication channels and multiple communication chan"&amp;"nels selected by the follower terminal through the modeling public communication network Data packet frames use artificial intelligence to send and receive stars styling details and alternative fashion information through multiple communication details an"&amp;"d alternative fashion information. 'Fashionable styling, including celebrities, athletes, and politicians. It has the effects of collecting and managing existing information using big data and artificial intelligence (AI) technology and providing non -con"&amp;"tact methods to followers.")</f>
        <v>The present invention uses artificial intelligence and big data to collect, store and manage celebrities, celebrities, or influentials (including entertainmentrs, athletes and politicians) on the Internet. The information follower provides the platform system adopts artificial intelligence, and provides fashion -related details in non -contact methods, including the price, manufacturer, production year, work name and other operations of each fashion item selected by () In terms of installing and running a fashionable application, register as a fan terminal. If you enter information about celebrities you like and designated positions and time, you show the style of the style. Including price, manufacturers, detailed fashion information, production years, work names, color, alternative fashion information, custom application information, star voice greetings and detailed fashion information, pass information through multiple communication channels. Fan terminals are used to send or receive the styling bag frames; a public communication network for modeling, which is used to access the subordinate terminal at the same time through multiple communication channels composed of one or more communication channels, and set it to send or receive styling grouping. The communication path of the frame, where the other party is designated to connect through the switching of each communication channel; the public communication network is connected to any one or more communication channels and multiple communication channels selected by the follower terminal through the modeling public communication network Data packet frames use artificial intelligence to send and receive stars styling details and alternative fashion information through multiple communication details and alternative fashion information. 'Fashionable styling, including celebrities, athletes, and politicians. It has the effects of collecting and managing existing information using big data and artificial intelligence (AI) technology and providing non -contact methods to followers.</v>
      </c>
      <c r="D1757" s="6" t="s">
        <v>5049</v>
      </c>
      <c r="E1757" s="4" t="str">
        <f ca="1">IFERROR(__xludf.DUMMYFUNCTION("GOOGLETRANSLATE(D1757,""auto"",""en"")"),"Use artificial intelligence celebrities, fashion information followers to provide platform systems and their operation methods")</f>
        <v>Use artificial intelligence celebrities, fashion information followers to provide platform systems and their operation methods</v>
      </c>
    </row>
    <row r="1758" spans="1:5" ht="15" x14ac:dyDescent="0.25">
      <c r="A1758" s="5" t="s">
        <v>5050</v>
      </c>
      <c r="B1758" s="6" t="s">
        <v>5051</v>
      </c>
      <c r="C1758" s="3" t="str">
        <f ca="1">IFERROR(__xludf.DUMMYFUNCTION("GOOGLETRANSLATE(B1758,""auto"",""en"")"),"The embodiment of the invention embodiment of the interactive AI counseling muscle skeletal sports rehabilitation training system is connected to the cloud server through a wired/wireless network, which can be installed in the family. The user status info"&amp;"rmation measured by the user status information measurement unit, the intelligent display panel uses interactive chat robots to provide the various information required by users during exercise in real time, and use the smart display panel or intelligent "&amp;"display smart nerve motion device to dismantle the land power Or mechanical coupled to panels and allowing users to perform at least one in resistance exercise, aerobic movement, neuroma movement and flexible movement, intelligent resistance sports machin"&amp;"es, intelligent aerobic motion machines and interactive intelligent composite motion, including intelligent flexible exercise equipment Unit; when the user uses an interactive intelligent composite motion unit for AI -based interactive counseling/rehabili"&amp;"tation training, the movement status information measured by the user measured by the user status information measurement unit is received and analyzed, and the AI ​​-based session is based on AI. The interactive tutoring engine provides type guidance; an"&amp;"d expert terminal unit, and provides users who use interactive intelligent composite motion units with artificial intelligence -based interactive coach engines with artificial intelligence -based interactive coach engine Prescription content and services.")</f>
        <v>The embodiment of the invention embodiment of the interactive AI counseling muscle skeletal sports rehabilitation training system is connected to the cloud server through a wired/wireless network, which can be installed in the family. The user status information measured by the user status information measurement unit, the intelligent display panel uses interactive chat robots to provide the various information required by users during exercise in real time, and use the smart display panel or intelligent display smart nerve motion device to dismantle the land power Or mechanical coupled to panels and allowing users to perform at least one in resistance exercise, aerobic movement, neuroma movement and flexible movement, intelligent resistance sports machines, intelligent aerobic motion machines and interactive intelligent composite motion, including intelligent flexible exercise equipment Unit; when the user uses an interactive intelligent composite motion unit for AI -based interactive counseling/rehabilitation training, the movement status information measured by the user measured by the user status information measurement unit is received and analyzed, and the AI ​​-based session is based on AI. The interactive tutoring engine provides type guidance; and expert terminal unit, and provides users who use interactive intelligent composite motion units with artificial intelligence -based interactive coach engines with artificial intelligence -based interactive coach engine Prescription content and services.</v>
      </c>
      <c r="D1758" s="6" t="s">
        <v>5052</v>
      </c>
      <c r="E1758" s="4" t="str">
        <f ca="1">IFERROR(__xludf.DUMMYFUNCTION("GOOGLETRANSLATE(D1758,""auto"",""en"")"),"Muscle skeletal exercise and rehabilitation training system based on interactive AI coaches")</f>
        <v>Muscle skeletal exercise and rehabilitation training system based on interactive AI coaches</v>
      </c>
    </row>
    <row r="1759" spans="1:5" ht="15" x14ac:dyDescent="0.25">
      <c r="A1759" s="5" t="s">
        <v>5053</v>
      </c>
      <c r="B1759" s="6" t="s">
        <v>5054</v>
      </c>
      <c r="C1759" s="3" t="str">
        <f ca="1">IFERROR(__xludf.DUMMYFUNCTION("GOOGLETRANSLATE(B1759,""auto"",""en"")"),"A system 300 and method for biological monitoring athletes' health status, and provide warning 338 when determining excessive training status to reduce damage. Through the implementation of efficient system architecture, the use of micro -artificial intel"&amp;"ligence is very practical for the lack of Internet coverage or no movement.")</f>
        <v>A system 300 and method for biological monitoring athletes' health status, and provide warning 338 when determining excessive training status to reduce damage. Through the implementation of efficient system architecture, the use of micro -artificial intelligence is very practical for the lack of Internet coverage or no movement.</v>
      </c>
      <c r="D1759" s="6" t="s">
        <v>1366</v>
      </c>
      <c r="E1759" s="4" t="str">
        <f ca="1">IFERROR(__xludf.DUMMYFUNCTION("GOOGLETRANSLATE(D1759,""auto"",""en"")"),"Move intelligent damage minimization system and method")</f>
        <v>Move intelligent damage minimization system and method</v>
      </c>
    </row>
    <row r="1760" spans="1:5" ht="15" x14ac:dyDescent="0.25">
      <c r="A1760" s="5" t="s">
        <v>5055</v>
      </c>
      <c r="B1760" s="6" t="s">
        <v>5054</v>
      </c>
      <c r="C1760" s="3" t="str">
        <f ca="1">IFERROR(__xludf.DUMMYFUNCTION("GOOGLETRANSLATE(B1760,""auto"",""en"")"),"A system 300 and method for biological monitoring athletes' health status, and provide warning 338 when determining excessive training status to reduce damage. Through the implementation of efficient system architecture, the use of micro -artificial intel"&amp;"ligence is very practical for the lack of Internet coverage or no movement.")</f>
        <v>A system 300 and method for biological monitoring athletes' health status, and provide warning 338 when determining excessive training status to reduce damage. Through the implementation of efficient system architecture, the use of micro -artificial intelligence is very practical for the lack of Internet coverage or no movement.</v>
      </c>
      <c r="D1760" s="6" t="s">
        <v>1366</v>
      </c>
      <c r="E1760" s="4" t="str">
        <f ca="1">IFERROR(__xludf.DUMMYFUNCTION("GOOGLETRANSLATE(D1760,""auto"",""en"")"),"Move intelligent damage minimization system and method")</f>
        <v>Move intelligent damage minimization system and method</v>
      </c>
    </row>
    <row r="1761" spans="1:5" ht="15" x14ac:dyDescent="0.25">
      <c r="A1761" s="5" t="s">
        <v>5056</v>
      </c>
      <c r="B1761" s="6" t="s">
        <v>5057</v>
      </c>
      <c r="C1761" s="3" t="str">
        <f ca="1">IFERROR(__xludf.DUMMYFUNCTION("GOOGLETRANSLATE(B1761,""auto"",""en"")"),"A system 300 and method is used to monitor biology of the athlete's health, and provide warning 338 when determining excessive training to reduce damage. Through the implementation of efficient system architecture, the use of miniature artificial intellig"&amp;"ence is practical for the lack of Internet coverage or no movement.")</f>
        <v>A system 300 and method is used to monitor biology of the athlete's health, and provide warning 338 when determining excessive training to reduce damage. Through the implementation of efficient system architecture, the use of miniature artificial intelligence is practical for the lack of Internet coverage or no movement.</v>
      </c>
      <c r="D1761" s="6" t="s">
        <v>1366</v>
      </c>
      <c r="E1761" s="4" t="str">
        <f ca="1">IFERROR(__xludf.DUMMYFUNCTION("GOOGLETRANSLATE(D1761,""auto"",""en"")"),"Move intelligent damage minimization system and method")</f>
        <v>Move intelligent damage minimization system and method</v>
      </c>
    </row>
    <row r="1762" spans="1:5" ht="15" x14ac:dyDescent="0.25">
      <c r="A1762" s="5" t="s">
        <v>5058</v>
      </c>
      <c r="B1762" s="6" t="s">
        <v>5054</v>
      </c>
      <c r="C1762" s="3" t="str">
        <f ca="1">IFERROR(__xludf.DUMMYFUNCTION("GOOGLETRANSLATE(B1762,""auto"",""en"")"),"A system 300 and method for biological monitoring athletes' health status, and provide warning 338 when determining excessive training status to reduce damage. Through the implementation of efficient system architecture, the use of micro -artificial intel"&amp;"ligence is very practical for the lack of Internet coverage or no movement.")</f>
        <v>A system 300 and method for biological monitoring athletes' health status, and provide warning 338 when determining excessive training status to reduce damage. Through the implementation of efficient system architecture, the use of micro -artificial intelligence is very practical for the lack of Internet coverage or no movement.</v>
      </c>
      <c r="D1762" s="6" t="s">
        <v>1366</v>
      </c>
      <c r="E1762" s="4" t="str">
        <f ca="1">IFERROR(__xludf.DUMMYFUNCTION("GOOGLETRANSLATE(D1762,""auto"",""en"")"),"Move intelligent damage minimization system and method")</f>
        <v>Move intelligent damage minimization system and method</v>
      </c>
    </row>
    <row r="1763" spans="1:5" ht="15" x14ac:dyDescent="0.25">
      <c r="A1763" s="5" t="s">
        <v>5059</v>
      </c>
      <c r="B1763" s="6" t="s">
        <v>5060</v>
      </c>
      <c r="C1763" s="3" t="str">
        <f ca="1">IFERROR(__xludf.DUMMYFUNCTION("GOOGLETRANSLATE(B1763,""auto"",""en"")"),"According to the personalized mixed fitness coaching system of the implementation of the invention, the data collection unit is used to collect the user's physical information from the user terminal and the fitness center terminal, as well as the physical"&amp;" condition and lifestyle based on the body. Related information analysis unit, through artificial intelligence analysis users' physical information, analysis of physical condition information, user lifestyle information, creation of reasoning models, and "&amp;"based on generating reasoning models, suitable for fitness guidance information generation units to generate fitness units to generate fitness Guidance information, fitness guidance information provides customized fitness guidance content and solutions, i"&amp;"ncluding generating fitness guidance information, user current fitness status information, future fitness prediction information.")</f>
        <v>According to the personalized mixed fitness coaching system of the implementation of the invention, the data collection unit is used to collect the user's physical information from the user terminal and the fitness center terminal, as well as the physical condition and lifestyle based on the body. Related information analysis unit, through artificial intelligence analysis users' physical information, analysis of physical condition information, user lifestyle information, creation of reasoning models, and based on generating reasoning models, suitable for fitness guidance information generation units to generate fitness units to generate fitness Guidance information, fitness guidance information provides customized fitness guidance content and solutions, including generating fitness guidance information, user current fitness status information, future fitness prediction information.</v>
      </c>
      <c r="D1763" s="6" t="s">
        <v>5061</v>
      </c>
      <c r="E1763" s="4" t="str">
        <f ca="1">IFERROR(__xludf.DUMMYFUNCTION("GOOGLETRANSLATE(D1763,""auto"",""en"")"),"Personalized hybrid fitness coaching system and method")</f>
        <v>Personalized hybrid fitness coaching system and method</v>
      </c>
    </row>
    <row r="1764" spans="1:5" ht="15" x14ac:dyDescent="0.25">
      <c r="A1764" s="5" t="s">
        <v>5062</v>
      </c>
      <c r="B1764" s="6" t="s">
        <v>5063</v>
      </c>
      <c r="C1764" s="3" t="str">
        <f ca="1">IFERROR(__xludf.DUMMYFUNCTION("GOOGLETRANSLATE(B1764,""auto"",""en"")"),"A system 300 and method to monitor biology of athletes' health, and provide alert 338 when determining excessive training to reduce damage. Through the implementation of efficient system architecture, the use of miniature artificial intelligence can actua"&amp;"lly help the Internet cover poorly or does not exist.")</f>
        <v>A system 300 and method to monitor biology of athletes' health, and provide alert 338 when determining excessive training to reduce damage. Through the implementation of efficient system architecture, the use of miniature artificial intelligence can actually help the Internet cover poorly or does not exist.</v>
      </c>
      <c r="D1764" s="6" t="s">
        <v>5064</v>
      </c>
      <c r="E1764" s="4" t="str">
        <f ca="1">IFERROR(__xludf.DUMMYFUNCTION("GOOGLETRANSLATE(D1764,""auto"",""en"")"),"Mobile intelligent injury reduction system and method")</f>
        <v>Mobile intelligent injury reduction system and method</v>
      </c>
    </row>
    <row r="1765" spans="1:5" ht="15" x14ac:dyDescent="0.25">
      <c r="A1765" s="5" t="s">
        <v>5065</v>
      </c>
      <c r="B1765" s="6" t="s">
        <v>5066</v>
      </c>
      <c r="C1765" s="3" t="str">
        <f ca="1">IFERROR(__xludf.DUMMYFUNCTION("GOOGLETRANSLATE(B1765,""auto"",""en"")"),"A system 300 and a method of biological monitoring of athletes and warnings 338 When determining excessive training conditions to reduce damage. Through the implementation of efficient system architecture, the use of miniature artificial intelligence is p"&amp;"ractical for the lack of Internet coverage or no movement.")</f>
        <v>A system 300 and a method of biological monitoring of athletes and warnings 338 When determining excessive training conditions to reduce damage. Through the implementation of efficient system architecture, the use of miniature artificial intelligence is practical for the lack of Internet coverage or no movement.</v>
      </c>
      <c r="D1765" s="6" t="s">
        <v>5067</v>
      </c>
      <c r="E1765" s="4" t="str">
        <f ca="1">IFERROR(__xludf.DUMMYFUNCTION("GOOGLETRANSLATE(D1765,""auto"",""en"")"),"Move intelligent damage minimization system and method")</f>
        <v>Move intelligent damage minimization system and method</v>
      </c>
    </row>
    <row r="1766" spans="1:5" ht="15" x14ac:dyDescent="0.25">
      <c r="A1766" s="5" t="s">
        <v>5068</v>
      </c>
      <c r="B1766" s="6" t="s">
        <v>5069</v>
      </c>
      <c r="C1766" s="3" t="str">
        <f ca="1">IFERROR(__xludf.DUMMYFUNCTION("GOOGLETRANSLATE(B1766,""auto"",""en"")"),"The invention provides a tennis pickup robot and tennis pickup method. The tennis pickup robot setting has a processor, a driver device, and a pick -up device. Tennis robots arrive at the tennis pickup point; path information is determined based on the lo"&amp;"cation information of tennis pickup points or the driver instruction sent by the terminal; Essence Because the path information is determined based on the location information of the tennis pickup point or the driver sent by the terminal, so that the tenn"&amp;"is pickup robot does not rely on the image recognition equipment to pick up, reducing the cost of picking up the robot of tennis. Sending the driver instruction so that the tennis pickup robot can flexibly adjust the driving path to pick up the driving pa"&amp;"th according to the actual situation of the tennis venue.")</f>
        <v>The invention provides a tennis pickup robot and tennis pickup method. The tennis pickup robot setting has a processor, a driver device, and a pick -up device. Tennis robots arrive at the tennis pickup point; path information is determined based on the location information of tennis pickup points or the driver instruction sent by the terminal; Essence Because the path information is determined based on the location information of the tennis pickup point or the driver sent by the terminal, so that the tennis pickup robot does not rely on the image recognition equipment to pick up, reducing the cost of picking up the robot of tennis. Sending the driver instruction so that the tennis pickup robot can flexibly adjust the driving path to pick up the driving path according to the actual situation of the tennis venue.</v>
      </c>
      <c r="D1766" s="6" t="s">
        <v>5070</v>
      </c>
      <c r="E1766" s="4" t="str">
        <f ca="1">IFERROR(__xludf.DUMMYFUNCTION("GOOGLETRANSLATE(D1766,""auto"",""en"")"),"Tennis pickup robot and tennis pickup method")</f>
        <v>Tennis pickup robot and tennis pickup method</v>
      </c>
    </row>
    <row r="1767" spans="1:5" ht="15" x14ac:dyDescent="0.25">
      <c r="A1767" s="5" t="s">
        <v>5071</v>
      </c>
      <c r="B1767" s="6" t="s">
        <v>5072</v>
      </c>
      <c r="C1767" s="3" t="str">
        <f ca="1">IFERROR(__xludf.DUMMYFUNCTION("GOOGLETRANSLATE(B1767,""auto"",""en"")"),"The present invention provides a tennis ball pick -up machine and ball pick -up method controlled by intelligent trajectory, including ranging modules, control modules, driving modules, and pickup modules. One end of the ranging module, one end of the dri"&amp;"ving module, and one end of the picker module are separated from each other. Control module connection; the ranging module is used to monitor the distance between the tennis ball pick -up machine and tennis; the control module is used for the optimal of t"&amp;"he tennis ball pick -up machine and tennis based on the distance and fusion Path; Drive module is used to drive the tennis ball pick -up machine to move to the preset threshold range of the tennis according to the optimal path; pick up the tennis when the"&amp;" pickup module is picked up in the preset threshold range. The overall cost of this plan is low, easy to promote and use, and has a broad market prospect.")</f>
        <v>The present invention provides a tennis ball pick -up machine and ball pick -up method controlled by intelligent trajectory, including ranging modules, control modules, driving modules, and pickup modules. One end of the ranging module, one end of the driving module, and one end of the picker module are separated from each other. Control module connection; the ranging module is used to monitor the distance between the tennis ball pick -up machine and tennis; the control module is used for the optimal of the tennis ball pick -up machine and tennis based on the distance and fusion Path; Drive module is used to drive the tennis ball pick -up machine to move to the preset threshold range of the tennis according to the optimal path; pick up the tennis when the pickup module is picked up in the preset threshold range. The overall cost of this plan is low, easy to promote and use, and has a broad market prospect.</v>
      </c>
      <c r="D1767" s="6" t="s">
        <v>5073</v>
      </c>
      <c r="E1767" s="4" t="str">
        <f ca="1">IFERROR(__xludf.DUMMYFUNCTION("GOOGLETRANSLATE(D1767,""auto"",""en"")"),"Tennis pick -up machine and ball pick -up method controlled by intelligent trajectory")</f>
        <v>Tennis pick -up machine and ball pick -up method controlled by intelligent trajectory</v>
      </c>
    </row>
    <row r="1768" spans="1:5" ht="15" x14ac:dyDescent="0.25">
      <c r="A1768" s="5" t="s">
        <v>5074</v>
      </c>
      <c r="B1768" s="6" t="s">
        <v>5075</v>
      </c>
      <c r="C1768" s="3" t="str">
        <f ca="1">IFERROR(__xludf.DUMMYFUNCTION("GOOGLETRANSLATE(B1768,""auto"",""en"")"),"This utility model involves the field of convolutional neural network modeling technology, and a protective device with signal protection based on convolutional neural network models, including metal boxes, is installed with box caps on the top of the met"&amp;"al box. The top of the left and right walls of the metal box is opened with activity grooves. The protective device with a signal protection -based neural network model. By setting a metal box, the signal machine is often used in the network modeling. The"&amp;" signal machine generally uses the circuit board as the main body. Therefore Metal boxes to eliminate radiation interference. At the same time, the metal box is not fixed on the outside of the circuit board. When removing it, open the box buckle and then "&amp;"open the box cover to directly remove the circuit board for other operations. The rubber block can be on the box cover. When covering, press the circuit board to prevent vibration. The overall operation is simple, practical and convenient, and achieves th"&amp;"e effect of avoiding transmission of radiation.")</f>
        <v>This utility model involves the field of convolutional neural network modeling technology, and a protective device with signal protection based on convolutional neural network models, including metal boxes, is installed with box caps on the top of the metal box. The top of the left and right walls of the metal box is opened with activity grooves. The protective device with a signal protection -based neural network model. By setting a metal box, the signal machine is often used in the network modeling. The signal machine generally uses the circuit board as the main body. Therefore Metal boxes to eliminate radiation interference. At the same time, the metal box is not fixed on the outside of the circuit board. When removing it, open the box buckle and then open the box cover to directly remove the circuit board for other operations. The rubber block can be on the box cover. When covering, press the circuit board to prevent vibration. The overall operation is simple, practical and convenient, and achieves the effect of avoiding transmission of radiation.</v>
      </c>
      <c r="D1768" s="6" t="s">
        <v>5076</v>
      </c>
      <c r="E1768" s="4" t="str">
        <f ca="1">IFERROR(__xludf.DUMMYFUNCTION("GOOGLETRANSLATE(D1768,""auto"",""en"")"),"A protective device with signal protection -based curling neural network model")</f>
        <v>A protective device with signal protection -based curling neural network model</v>
      </c>
    </row>
    <row r="1769" spans="1:5" ht="15" x14ac:dyDescent="0.25">
      <c r="A1769" s="5" t="s">
        <v>5077</v>
      </c>
      <c r="B1769" s="6" t="s">
        <v>5078</v>
      </c>
      <c r="C1769" s="3" t="str">
        <f ca="1">IFERROR(__xludf.DUMMYFUNCTION("GOOGLETRANSLATE(B1769,""auto"",""en"")"),"The present invention disclosed a method of self -picking the ball based on morphological characteristics and monocular measurement, including: collect badminton and stadium color image information to get badminton and stadium color image information; , O"&amp;"btain a mapping relationship; use the characteristics of building and training to extract the network to find the pixels of the target badminton heart heart, and obtain the location information of the target badminton according to the obtained mapping rel"&amp;"ationship; obtain the actual relative position of the target badminton and robot Path planning; control the robot to complete the pickup operation of badminton. The present invention fully considers the characteristics of badminton and the limitations and"&amp;" characteristics of monocular cameras, designed the measurement method of monocular cameras and convolutional neural networks suitable for badminton, and realized the automatic recognition and pickup of the target badminton. Badminton pickup efficiency an"&amp;"d automation performance.")</f>
        <v>The present invention disclosed a method of self -picking the ball based on morphological characteristics and monocular measurement, including: collect badminton and stadium color image information to get badminton and stadium color image information; , Obtain a mapping relationship; use the characteristics of building and training to extract the network to find the pixels of the target badminton heart heart, and obtain the location information of the target badminton according to the obtained mapping relationship; obtain the actual relative position of the target badminton and robot Path planning; control the robot to complete the pickup operation of badminton. The present invention fully considers the characteristics of badminton and the limitations and characteristics of monocular cameras, designed the measurement method of monocular cameras and convolutional neural networks suitable for badminton, and realized the automatic recognition and pickup of the target badminton. Badminton pickup efficiency and automation performance.</v>
      </c>
      <c r="D1769" s="6" t="s">
        <v>5079</v>
      </c>
      <c r="E1769" s="4" t="str">
        <f ca="1">IFERROR(__xludf.DUMMYFUNCTION("GOOGLETRANSLATE(D1769,""auto"",""en"")"),"A method of self -picking the ball based on morphological characteristics and monocular measurement")</f>
        <v>A method of self -picking the ball based on morphological characteristics and monocular measurement</v>
      </c>
    </row>
    <row r="1770" spans="1:5" ht="15" x14ac:dyDescent="0.25">
      <c r="A1770" s="5" t="s">
        <v>5080</v>
      </c>
      <c r="B1770" s="6" t="s">
        <v>3722</v>
      </c>
      <c r="C1770" s="3" t="str">
        <f ca="1">IFERROR(__xludf.DUMMYFUNCTION("GOOGLETRANSLATE(B1770,""auto"",""en"")"),"A system and method that uses machine learning predictions By the Bayesian network that places the current and future competition status as the parameterized of basic machine learning models, it estimates the results of the future movement.")</f>
        <v>A system and method that uses machine learning predictions By the Bayesian network that places the current and future competition status as the parameterized of basic machine learning models, it estimates the results of the future movement.</v>
      </c>
      <c r="D1770" s="6" t="s">
        <v>5081</v>
      </c>
      <c r="E1770" s="4" t="str">
        <f ca="1">IFERROR(__xludf.DUMMYFUNCTION("GOOGLETRANSLATE(D1770,""auto"",""en"")"),"Used to use machine learning based on competition status conversion to predict the system, method and model structure of future motion results")</f>
        <v>Used to use machine learning based on competition status conversion to predict the system, method and model structure of future motion results</v>
      </c>
    </row>
    <row r="1771" spans="1:5" ht="15" x14ac:dyDescent="0.25">
      <c r="A1771" s="5" t="s">
        <v>5082</v>
      </c>
      <c r="B1771" s="6" t="s">
        <v>5083</v>
      </c>
      <c r="C1771" s="3" t="str">
        <f ca="1">IFERROR(__xludf.DUMMYFUNCTION("GOOGLETRANSLATE(B1771,""auto"",""en"")"),"[0001] The present invention involves a feedback stimulus system and method based on urination diary, including: nerve stimulus system that can control patients with specific stimulus parameters, including software used to record. Change the stimulus at a"&amp;"ny time. A predetermined cycle; it involves a control method, and calculates the stimulus parameters by analyzing the urination information of the user input by the running method or machine learning technology.")</f>
        <v>[0001] The present invention involves a feedback stimulus system and method based on urination diary, including: nerve stimulus system that can control patients with specific stimulus parameters, including software used to record. Change the stimulus at any time. A predetermined cycle; it involves a control method, and calculates the stimulus parameters by analyzing the urination information of the user input by the running method or machine learning technology.</v>
      </c>
      <c r="D1771" s="6" t="s">
        <v>5084</v>
      </c>
      <c r="E1771" s="4" t="str">
        <f ca="1">IFERROR(__xludf.DUMMYFUNCTION("GOOGLETRANSLATE(D1771,""auto"",""en"")"),"Feedback stimulus system and control methods based on urination diary and their control methods")</f>
        <v>Feedback stimulus system and control methods based on urination diary and their control methods</v>
      </c>
    </row>
    <row r="1772" spans="1:5" ht="15" x14ac:dyDescent="0.25">
      <c r="A1772" s="5" t="s">
        <v>5085</v>
      </c>
      <c r="B1772" s="6" t="s">
        <v>5086</v>
      </c>
      <c r="C1772" s="3" t="str">
        <f ca="1">IFERROR(__xludf.DUMMYFUNCTION("GOOGLETRANSLATE(B1772,""auto"",""en"")"),"1. The name of the product of the product: The icon of the icon of the screen panel operates the graphical user interface.
 2. Design products in this exterior: for running programs and display information.
 3. Design of the design of the product in t"&amp;"his exterior: lies in the interface content of the graphic user interface in the screen.
 4. Pictures or photos that can best show design: Design 1 main view.
 5. The display screen panel is the existing design, omitting the design of the views, left "&amp;"view, right view, down -view view, and upper view of each design.
 6. Specify design 1 is the basic design.
 7. The purpose of the graphical user interface: You can move and change the direction of the icon according to the user's gesture or handle in"&amp;"structions or click.
 8. Human -computer interaction method of graphical user interface: Users indicate or clicks through gestures or handles.
 9. The change of the graphic user interface explanation: In each design, when the user indicates the gestur"&amp;"e or the handle instructions or the icon in the icon in the interface, enter the changes in the various design interface. Or the handle indicator or click to point to the upper part of the icon in the interface and enter the changes of the design interfac"&amp;"e. Figure 2, the icon moves upward and the icon rotates upward; when the user indicates or click the right side of the icon in the interface in the right side of the icon in the interface, enter the design interface. Change state Figure 3, the icon moves "&amp;"to the right and the icon rotates to the right; when the user indicates or the lower part of the icon in the interface in the interface, the user enters the changing state of the design interface. When the user indicates or click the left side of the icon"&amp;" in the interface through the gesture or handle instructions or click to enter the left side of the icon in the interface, enter the changing state of each design interface. Figure 5, the icon moves to the left and the icon rotates to the left.
 10. The"&amp;" display screen panel and graphic user interface are used in computers, laptops, tablets, mobile phones, smart phones, smart glasses, virtual reality glasses, enhanced reality glasses, hybrid glasses, watches, smart watches, fitness monitor, head head, he"&amp;"ader head Wear headphones, smart speakers, television, set -top boxes.")</f>
        <v>1. The name of the product of the product: The icon of the icon of the screen panel operates the graphical user interface.
 2. Design products in this exterior: for running programs and display information.
 3. Design of the design of the product in this exterior: lies in the interface content of the graphic user interface in the screen.
 4. Pictures or photos that can best show design: Design 1 main view.
 5. The display screen panel is the existing design, omitting the design of the views, left view, right view, down -view view, and upper view of each design.
 6. Specify design 1 is the basic design.
 7. The purpose of the graphical user interface: You can move and change the direction of the icon according to the user's gesture or handle instructions or click.
 8. Human -computer interaction method of graphical user interface: Users indicate or clicks through gestures or handles.
 9. The change of the graphic user interface explanation: In each design, when the user indicates the gesture or the handle instructions or the icon in the icon in the interface, enter the changes in the various design interface. Or the handle indicator or click to point to the upper part of the icon in the interface and enter the changes of the design interface. Figure 2, the icon moves upward and the icon rotates upward; when the user indicates or click the right side of the icon in the interface in the right side of the icon in the interface, enter the design interface. Change state Figure 3, the icon moves to the right and the icon rotates to the right; when the user indicates or the lower part of the icon in the interface in the interface, the user enters the changing state of the design interface. When the user indicates or click the left side of the icon in the interface through the gesture or handle instructions or click to enter the left side of the icon in the interface, enter the changing state of each design interface. Figure 5, the icon moves to the left and the icon rotates to the left.
 10. The display screen panel and graphic user interface are used in computers, laptops, tablets, mobile phones, smart phones, smart glasses, virtual reality glasses, enhanced reality glasses, hybrid glasses, watches, smart watches, fitness monitor, head head, header head Wear headphones, smart speakers, television, set -top boxes.</v>
      </c>
      <c r="D1772" s="6" t="s">
        <v>5087</v>
      </c>
      <c r="E1772" s="4" t="str">
        <f ca="1">IFERROR(__xludf.DUMMYFUNCTION("GOOGLETRANSLATE(D1772,""auto"",""en"")"),"The icon operation graphical user interface for the display screen panel")</f>
        <v>The icon operation graphical user interface for the display screen panel</v>
      </c>
    </row>
    <row r="1773" spans="1:5" ht="15" x14ac:dyDescent="0.25">
      <c r="A1773" s="5" t="s">
        <v>5088</v>
      </c>
      <c r="B1773" s="6" t="s">
        <v>5089</v>
      </c>
      <c r="C1773" s="3" t="str">
        <f ca="1">IFERROR(__xludf.DUMMYFUNCTION("GOOGLETRANSLATE(B1773,""auto"",""en"")"),"1. The name of the product of the product: The icon of the icon of the screen panel operates the graphical user interface.
 2. Design products in this exterior: for running programs and display information.
 3. Design of the design of the product in t"&amp;"his exterior: lies in the interface content of the graphic user interface in the screen.
 4. Pictures or photos that can most indicate design points: main view.
 5. The display screen panel is the existing design, which is omitted with the back view, "&amp;"left view, right view, downward view, and viewing view.
 6. The purpose of the graphical user interface: The icon can be changed according to the user's left or right turn.
 7. Human -computer interaction method of graphical user interface: users turn"&amp;" to left or right.
 8. The change of the graphic user interface explanation: When the user turns to the left side of the interface, enter the interface change state Figure 1; when the user moves to the right side of the interface, enter the interface ch"&amp;"ange state Figure 2.
 9. The display screen panel and graphic user interface are used in computers, laptops, tablets, mobile phones, smart phones, smart glasses, virtual reality glasses, enhanced reality glasses, hybrid glasses, watches, smart watches, "&amp;"fitness monitor, head head, head head Wear headphones, smart speakers, television, set -top boxes.")</f>
        <v>1. The name of the product of the product: The icon of the icon of the screen panel operates the graphical user interface.
 2. Design products in this exterior: for running programs and display information.
 3. Design of the design of the product in this exterior: lies in the interface content of the graphic user interface in the screen.
 4. Pictures or photos that can most indicate design points: main view.
 5. The display screen panel is the existing design, which is omitted with the back view, left view, right view, downward view, and viewing view.
 6. The purpose of the graphical user interface: The icon can be changed according to the user's left or right turn.
 7. Human -computer interaction method of graphical user interface: users turn to left or right.
 8. The change of the graphic user interface explanation: When the user turns to the left side of the interface, enter the interface change state Figure 1; when the user moves to the right side of the interface, enter the interface change state Figure 2.
 9. The display screen panel and graphic user interface are used in computers, laptops, tablets, mobile phones, smart phones, smart glasses, virtual reality glasses, enhanced reality glasses, hybrid glasses, watches, smart watches, fitness monitor, head head, head head Wear headphones, smart speakers, television, set -top boxes.</v>
      </c>
      <c r="D1773" s="6" t="s">
        <v>5087</v>
      </c>
      <c r="E1773" s="4" t="str">
        <f ca="1">IFERROR(__xludf.DUMMYFUNCTION("GOOGLETRANSLATE(D1773,""auto"",""en"")"),"The icon operation graphical user interface for the display screen panel")</f>
        <v>The icon operation graphical user interface for the display screen panel</v>
      </c>
    </row>
    <row r="1774" spans="1:5" ht="15" x14ac:dyDescent="0.25">
      <c r="A1774" s="5" t="s">
        <v>5090</v>
      </c>
      <c r="B1774" s="6" t="s">
        <v>5091</v>
      </c>
      <c r="C1774" s="3" t="str">
        <f ca="1">IFERROR(__xludf.DUMMYFUNCTION("GOOGLETRANSLATE(B1774,""auto"",""en"")"),"1. Design product name: Phone with a driver's license test simulation training platform graphics user interface.
 2. Design product use: used for running procedures.
 3. Design of the design of the product in this exterior: lies in the graphic user in"&amp;"terface in the product display, the mobile phone is designed for existing.
 4. Pictures or photos that are best to show design points: change status Figure 2.
 5. There is no design point for other views, omitting other views.
 6. The purpose of the"&amp;" graphic user interface: used for the simulation training of the driver's license test to help the driver's license candidate conducts relevant subjects to learn and train;
 7. Human -computer interaction method of graphical user interface: The main vie"&amp;"w is the first interface of the running program. In the main view, select the corresponding city and the type of driving license that needs to be obtained. Change status Figure 1 is the interface after selecting the city as ""Chongqing"", the type of driv"&amp;"ing license is ""car"", click the ""I know"" button in the middle of the interface to enter the change state. Enter the state of change in turn 3, change status diagram. 4. Change status diagram 5 View relevant information of ""driving test school, boutiq"&amp;"ue courses, subject one Q &amp; A, department headline""; Figure 6 of the column entering the state; in Figure 6 of the change state, the finger declining movement can enter the change state in turn. Related information of the two headlines; click the change "&amp;"of the ""Section Three"" column above the interface in the interface 9 in the change state of the change state. The state of change of change. 13 View relevant information of ""Real shots of video video, boutique courses, three -headlines, and three headl"&amp;"ines""; click the change state in the middle interface to enter the change state of ""Ke 4"". In Figure 14, the finger decline can enter the state in turn. Figure 15, change status Figure 16, change status figure 17 View related information of ""driving t"&amp;"est school, boutique courses, section four questions, and four headlines""; click the changing status diagram 17 The ""obtaining permit"" column at the above interface enters the state of change. Figure 18; in the state of change status Figure 18, the fin"&amp;"ger decline can enter the change state in turn 19. The state of change status. Related message of the newborn on the road; click the ""registration"" button at the bottom of the interface in the changing state of the change state. The ""Find Coach"" colum"&amp;"n in the top enters the state of change. Figure 22. In the changing state Figure 22, the fingers of the finger slide can view more coach information; click the changing state Figure 22 The ""Finding Tranpers"" column above the interface to enter the chang"&amp;"e state. 23; Click the change state Figure 23 The ""circle"" button at the bottom of the interface to enter the changing state Figure 24; click the change state in the middle interface to enter the ""headline dynamic"" column to enter the change status of"&amp;" the change state. Change status 26; In the change state Figure 26, the finger sliding down and entering the change state. 27 can view more welfare information; click the change state Figure 27 The ""My"" button at the bottom of the interface to enter the"&amp;" change state Figure 28; in the changing state In Figure 2, click the ""Sequential Exercise"" button in the middle of the interface to enter the change state of change; click the change state Figure 29 The ""wrong questions"" button in the interface to en"&amp;"ter the change state 30; Test the ""button to enter the change state Figure 31; State Figure 33 In the interface in the interface in the middle of the ""Sub -Wait"" button to enter the change state Figure 34; click the change state Figure 2 The ""More"" b"&amp;"utton in the interface in the interface in the interface to enter the change state. Enter the change state in turn Figure 36, the state of change status Figure 37; in the changing state Figure 2, click the ""Motimonic"" button below the interface to enter"&amp;" the change state of the change. Click the change status Figure 38 The ""Start PK"" button in the middle interface to enter the change state Figure 40; click changing state Figure 2 The ""performance ranking"" button in the interface in the interface to e"&amp;"nter the changing state Figure 41.
 In the changing state Figure 2, click the drop -down button behind the ""Chongqing"" at the top of the interface to enter the area and driving license type that needs to be learned by the main view.")</f>
        <v>1. Design product name: Phone with a driver's license test simulation training platform graphics user interface.
 2. Design product use: used for running procedures.
 3. Design of the design of the product in this exterior: lies in the graphic user interface in the product display, the mobile phone is designed for existing.
 4. Pictures or photos that are best to show design points: change status Figure 2.
 5. There is no design point for other views, omitting other views.
 6. The purpose of the graphic user interface: used for the simulation training of the driver's license test to help the driver's license candidate conducts relevant subjects to learn and train;
 7. Human -computer interaction method of graphical user interface: The main view is the first interface of the running program. In the main view, select the corresponding city and the type of driving license that needs to be obtained. Change status Figure 1 is the interface after selecting the city as "Chongqing", the type of driving license is "car", click the "I know" button in the middle of the interface to enter the change state. Enter the state of change in turn 3, change status diagram. 4. Change status diagram 5 View relevant information of "driving test school, boutique courses, subject one Q &amp; A, department headline"; Figure 6 of the column entering the state; in Figure 6 of the change state, the finger declining movement can enter the change state in turn. Related information of the two headlines; click the change of the "Section Three" column above the interface in the interface 9 in the change state of the change state. The state of change of change. 13 View relevant information of "Real shots of video video, boutique courses, three -headlines, and three headlines"; click the change state in the middle interface to enter the change state of "Ke 4". In Figure 14, the finger decline can enter the state in turn. Figure 15, change status Figure 16, change status figure 17 View related information of "driving test school, boutique courses, section four questions, and four headlines"; click the changing status diagram 17 The "obtaining permit" column at the above interface enters the state of change. Figure 18; in the state of change status Figure 18, the finger decline can enter the change state in turn 19. The state of change status. Related message of the newborn on the road; click the "registration" button at the bottom of the interface in the changing state of the change state. The "Find Coach" column in the top enters the state of change. Figure 22. In the changing state Figure 22, the fingers of the finger slide can view more coach information; click the changing state Figure 22 The "Finding Tranpers" column above the interface to enter the change state. 23; Click the change state Figure 23 The "circle" button at the bottom of the interface to enter the changing state Figure 24; click the change state in the middle interface to enter the "headline dynamic" column to enter the change status of the change state. Change status 26; In the change state Figure 26, the finger sliding down and entering the change state. 27 can view more welfare information; click the change state Figure 27 The "My" button at the bottom of the interface to enter the change state Figure 28; in the changing state In Figure 2, click the "Sequential Exercise" button in the middle of the interface to enter the change state of change; click the change state Figure 29 The "wrong questions" button in the interface to enter the change state 30; Test the "button to enter the change state Figure 31; State Figure 33 In the interface in the interface in the middle of the "Sub -Wait" button to enter the change state Figure 34; click the change state Figure 2 The "More" button in the interface in the interface in the interface to enter the change state. Enter the change state in turn Figure 36, the state of change status Figure 37; in the changing state Figure 2, click the "Motimonic" button below the interface to enter the change state of the change. Click the change status Figure 38 The "Start PK" button in the middle interface to enter the change state Figure 40; click changing state Figure 2 The "performance ranking" button in the interface in the interface to enter the changing state Figure 41.
 In the changing state Figure 2, click the drop -down button behind the "Chongqing" at the top of the interface to enter the area and driving license type that needs to be learned by the main view.</v>
      </c>
      <c r="D1774" s="6" t="s">
        <v>5092</v>
      </c>
      <c r="E1774" s="4" t="str">
        <f ca="1">IFERROR(__xludf.DUMMYFUNCTION("GOOGLETRANSLATE(D1774,""auto"",""en"")"),"Phone with driver's license test simulation training platform graphics user interface")</f>
        <v>Phone with driver's license test simulation training platform graphics user interface</v>
      </c>
    </row>
    <row r="1775" spans="1:5" ht="15" x14ac:dyDescent="0.25">
      <c r="A1775" s="5" t="s">
        <v>5093</v>
      </c>
      <c r="B1775" s="6" t="s">
        <v>5094</v>
      </c>
      <c r="C1775" s="3" t="str">
        <f ca="1">IFERROR(__xludf.DUMMYFUNCTION("GOOGLETRANSLATE(B1775,""auto"",""en"")"),"The present invention disclosed a dynamic calibration method and system of a treadmill station. The output volume S; according to the input volume A and output volume S, find the calibration matrix C; further optimize the calibration matrix C through the "&amp;"method of deep learning, and compensate for non -linear errors, so that the measurement error of the treadmill platform is smaller. By using the calibration system of the present invention, the calibration of the running power station can be facilitated a"&amp;"nd quickly, which greatly reduces the cost of labor and time, and provides a guarantee for the reliability of the analysis of human movement.")</f>
        <v>The present invention disclosed a dynamic calibration method and system of a treadmill station. The output volume S; according to the input volume A and output volume S, find the calibration matrix C; further optimize the calibration matrix C through the method of deep learning, and compensate for non -linear errors, so that the measurement error of the treadmill platform is smaller. By using the calibration system of the present invention, the calibration of the running power station can be facilitated and quickly, which greatly reduces the cost of labor and time, and provides a guarantee for the reliability of the analysis of human movement.</v>
      </c>
      <c r="D1775" s="6" t="s">
        <v>5095</v>
      </c>
      <c r="E1775" s="4" t="str">
        <f ca="1">IFERROR(__xludf.DUMMYFUNCTION("GOOGLETRANSLATE(D1775,""auto"",""en"")"),"A dynamic calibration method of a running power station")</f>
        <v>A dynamic calibration method of a running power station</v>
      </c>
    </row>
    <row r="1776" spans="1:5" ht="15" x14ac:dyDescent="0.25">
      <c r="A1776" s="5" t="s">
        <v>5096</v>
      </c>
      <c r="B1776" s="6" t="s">
        <v>5097</v>
      </c>
      <c r="C1776" s="3" t="str">
        <f ca="1">IFERROR(__xludf.DUMMYFUNCTION("GOOGLETRANSLATE(B1776,""auto"",""en"")"),"1. Design product name: Graphic user interface for fitness and diet management of the display screen panel.
 2. The purpose of designing products in this exterior: This design product is used to run the program and the display interface. The display scr"&amp;"een panel is used for mobile phones, computers, tablets, portable computers, and desktop computers.
 3. Design of design products in this appearance: lies in the graphic user interface in the screen.
 4. Pictures or photos that can most indicate desig"&amp;"n points: interface change state 3 Local magnification.
 5. The purpose of graphical user interface: The graphical user interface used to display the goals such as user sports and diet and other goals.
 6. Human -computer interaction method of graphic"&amp;" user interface: The main view is the product homepage, the current target progress is empty, and the two rings in the middle of the interface will change accordingly according to the current goal. When the user only completes part of the dietary goals, a"&amp;"s shown in the state of the interface of the figure, when the user only completes some exercise targets, as shown in the transformation of the figure interface Figure 2; when the user completes some exercise and dietary goals, the interface can be obtaine"&amp;"d by the interface. Change status diagram 3 or interface changes status Figure 4 shows the content interface shown in, display information such as ""exercise consumption"" and ""exercise duration"" respectively; when users complete all exercise and dietar"&amp;"y goals, the state of the two rings in complete progress is Change state Figure 5.
 7. Lord's local amplification diagram, interface change status 1 Local magnification, interface change status 2 Local magnification, interface change status 3 partial ma"&amp;"gnification, interface change status 4 partial magnification, interface change status 5 partial zoom diagrams, each, each, each, each, each, is each, which is each. Local magnification in the middle area of ​​the view.")</f>
        <v>1. Design product name: Graphic user interface for fitness and diet management of the display screen panel.
 2. The purpose of designing products in this exterior: This design product is used to run the program and the display interface. The display screen panel is used for mobile phones, computers, tablets, portable computers, and desktop computers.
 3. Design of design products in this appearance: lies in the graphic user interface in the screen.
 4. Pictures or photos that can most indicate design points: interface change state 3 Local magnification.
 5. The purpose of graphical user interface: The graphical user interface used to display the goals such as user sports and diet and other goals.
 6. Human -computer interaction method of graphic user interface: The main view is the product homepage, the current target progress is empty, and the two rings in the middle of the interface will change accordingly according to the current goal. When the user only completes part of the dietary goals, as shown in the state of the interface of the figure, when the user only completes some exercise targets, as shown in the transformation of the figure interface Figure 2; when the user completes some exercise and dietary goals, the interface can be obtained by the interface. Change status diagram 3 or interface changes status Figure 4 shows the content interface shown in, display information such as "exercise consumption" and "exercise duration" respectively; when users complete all exercise and dietary goals, the state of the two rings in complete progress is Change state Figure 5.
 7. Lord's local amplification diagram, interface change status 1 Local magnification, interface change status 2 Local magnification, interface change status 3 partial magnification, interface change status 4 partial magnification, interface change status 5 partial zoom diagrams, each, each, each, each, each, is each, which is each. Local magnification in the middle area of ​​the view.</v>
      </c>
      <c r="D1776" s="6" t="s">
        <v>5098</v>
      </c>
      <c r="E1776" s="4" t="str">
        <f ca="1">IFERROR(__xludf.DUMMYFUNCTION("GOOGLETRANSLATE(D1776,""auto"",""en"")"),"Graphical user interface of fitness and diet management of display screen panels")</f>
        <v>Graphical user interface of fitness and diet management of display screen panels</v>
      </c>
    </row>
    <row r="1777" spans="1:5" ht="15" x14ac:dyDescent="0.25">
      <c r="A1777" s="5" t="s">
        <v>5099</v>
      </c>
      <c r="B1777" s="6" t="s">
        <v>5100</v>
      </c>
      <c r="C1777" s="3" t="str">
        <f ca="1">IFERROR(__xludf.DUMMYFUNCTION("GOOGLETRANSLATE(B1777,""auto"",""en"")"),"Provide, hosted, and played Penko games related to the real or virtual events that occur in independence. These incidents may be real or virtual events that occur or skill -based real -time occurrence, such as in sports events or one or more videos. The e"&amp;"vent is played by one or more players. These players can be human players or computer players who use artificial intelligence.")</f>
        <v>Provide, hosted, and played Penko games related to the real or virtual events that occur in independence. These incidents may be real or virtual events that occur or skill -based real -time occurrence, such as in sports events or one or more videos. The event is played by one or more players. These players can be human players or computer players who use artificial intelligence.</v>
      </c>
      <c r="D1777" s="6" t="s">
        <v>5101</v>
      </c>
      <c r="E1777" s="4" t="str">
        <f ca="1">IFERROR(__xludf.DUMMYFUNCTION("GOOGLETRANSLATE(D1777,""auto"",""en"")"),"Binguo game methods and systems with the result determined by independent game events")</f>
        <v>Binguo game methods and systems with the result determined by independent game events</v>
      </c>
    </row>
    <row r="1778" spans="1:5" ht="15" x14ac:dyDescent="0.25">
      <c r="A1778" s="5" t="s">
        <v>5102</v>
      </c>
      <c r="B1778" s="6" t="s">
        <v>5100</v>
      </c>
      <c r="C1778" s="3" t="str">
        <f ca="1">IFERROR(__xludf.DUMMYFUNCTION("GOOGLETRANSLATE(B1778,""auto"",""en"")"),"Provide, hosted, and played Penko games related to the real or virtual events that occur in independence. These incidents may be real or virtual events that occur or skill -based real -time occurrence, such as in sports events or one or more videos. The e"&amp;"vent is played by one or more players. These players can be human players or computer players who use artificial intelligence.")</f>
        <v>Provide, hosted, and played Penko games related to the real or virtual events that occur in independence. These incidents may be real or virtual events that occur or skill -based real -time occurrence, such as in sports events or one or more videos. The event is played by one or more players. These players can be human players or computer players who use artificial intelligence.</v>
      </c>
      <c r="D1778" s="6" t="s">
        <v>5103</v>
      </c>
      <c r="E1778" s="4" t="str">
        <f ca="1">IFERROR(__xludf.DUMMYFUNCTION("GOOGLETRANSLATE(D1778,""auto"",""en"")"),"Result")</f>
        <v>Result</v>
      </c>
    </row>
    <row r="1779" spans="1:5" ht="15" x14ac:dyDescent="0.25">
      <c r="A1779" s="5" t="s">
        <v>5104</v>
      </c>
      <c r="B1779" s="6" t="s">
        <v>5105</v>
      </c>
      <c r="C1779" s="3" t="str">
        <f ca="1">IFERROR(__xludf.DUMMYFUNCTION("GOOGLETRANSLATE(B1779,""auto"",""en"")"),"The present invention has disclosed a guidance system that can improve the performance of employees in the field of theory, practice, behavior, and life skills to improve personal life. The feedback system can more accurately generate feedback, so as to e"&amp;"asily identify the employee's weaknesses and fields of advantages, feedback systems can understand employees from the perspective of all related interests, thereby generating rating in the improvement field. Training and guidance) cycle to solve the abili"&amp;"ty of weak links. This system uses artificial intelligence methods to recommend mentors in the field of theory, practice, behavior, and living skills, and automatically distribute the mentor to the mentor and monitor the progress and propose corrective me"&amp;"asures when needed")</f>
        <v>The present invention has disclosed a guidance system that can improve the performance of employees in the field of theory, practice, behavior, and life skills to improve personal life. The feedback system can more accurately generate feedback, so as to easily identify the employee's weaknesses and fields of advantages, feedback systems can understand employees from the perspective of all related interests, thereby generating rating in the improvement field. Training and guidance) cycle to solve the ability of weak links. This system uses artificial intelligence methods to recommend mentors in the field of theory, practice, behavior, and living skills, and automatically distribute the mentor to the mentor and monitor the progress and propose corrective measures when needed</v>
      </c>
      <c r="D1779" s="6" t="s">
        <v>5106</v>
      </c>
      <c r="E1779" s="4" t="str">
        <f ca="1">IFERROR(__xludf.DUMMYFUNCTION("GOOGLETRANSLATE(D1779,""auto"",""en"")"),"Performance management and methods based on artificial intelligence employees")</f>
        <v>Performance management and methods based on artificial intelligence employees</v>
      </c>
    </row>
    <row r="1780" spans="1:5" ht="15" x14ac:dyDescent="0.25">
      <c r="A1780" s="5" t="s">
        <v>5107</v>
      </c>
      <c r="B1780" s="6" t="s">
        <v>5108</v>
      </c>
      <c r="C1780" s="3" t="str">
        <f ca="1">IFERROR(__xludf.DUMMYFUNCTION("GOOGLETRANSLATE(B1780,""auto"",""en"")"),"The invention camping control system based on wireless communication networks can activate the comprehensive leisure culture festival in conjunction with camping vehicles (RV). Based on the Internet of Things, enjoy leisure and ordinary users (users). Tho"&amp;"se who want to work, use the IoT (IoT) to control the smart RV control, hotels, resorts and pensions such as camping cars (RV), festivals, resorts, leisure companies, tourist attractions, restaurants, etc. It is characterized by comprehensive management t"&amp;"hrough the RV HUG APP and connects RV owners based on the Internet of Things (IoT), such as docks, individual owners or car rental companies.
  The invention provides autonomous exchange and remote control through various data such as the Internet of Th"&amp;"ings (IoT) on the IoT (IoT) in real time through the IoT (IoT) in real time to provide the general user (user), accommodation manager, dock, camping car (RV) owner of the owner of the owner of the owner of the owner of the owner of the owner of the owner "&amp;"of the owner of the owner of the owner of the owner of the owner of the owner of the owner of the owner of the owner of the owner of the owner of the owner of the owner of Essence ) Based on non -face -to -face services, it can be centralized and comprehe"&amp;"nsively implemented, integrating recommendation services and discount systems such as big data establishment, camping, leisure services, accommodation linkage products, etc. After confirming and agree with the management of intelligent controllers, the ma"&amp;"nagement of intelligent controllers can automatically via AI (artificial intelligence) to automatically automatically automatically use AI (artificial intelligence) to automatically automatically automatically control the intelligent controllers automatic"&amp;"ally. Links, and the entire process of rewarding RVs before customer leasing has been by the Internet of Things (IoT) and narrow belt Internet of Things (NB-IoT: can be based on Narrowband-Internet of Things (Narrow River Domains -INTERNET) and other wire"&amp;"less communication networks, from AI (AI ( Artificial Intelligence) is carried out collectively.")</f>
        <v>The invention camping control system based on wireless communication networks can activate the comprehensive leisure culture festival in conjunction with camping vehicles (RV). Based on the Internet of Things, enjoy leisure and ordinary users (users). Those who want to work, use the IoT (IoT) to control the smart RV control, hotels, resorts and pensions such as camping cars (RV), festivals, resorts, leisure companies, tourist attractions, restaurants, etc. It is characterized by comprehensive management through the RV HUG APP and connects RV owners based on the Internet of Things (IoT), such as docks, individual owners or car rental companies.
  The invention provides autonomous exchange and remote control through various data such as the Internet of Things (IoT) on the IoT (IoT) in real time through the IoT (IoT) in real time to provide the general user (user), accommodation manager, dock, camping car (RV) owner of the owner of the owner of the owner of the owner of the owner of the owner of the owner of the owner of the owner of the owner of the owner of the owner of the owner of the owner of the owner of the owner of the owner of the owner of the owner of the owner of Essence ) Based on non -face -to -face services, it can be centralized and comprehensively implemented, integrating recommendation services and discount systems such as big data establishment, camping, leisure services, accommodation linkage products, etc. After confirming and agree with the management of intelligent controllers, the management of intelligent controllers can automatically via AI (artificial intelligence) to automatically automatically automatically use AI (artificial intelligence) to automatically automatically automatically control the intelligent controllers automatically. Links, and the entire process of rewarding RVs before customer leasing has been by the Internet of Things (IoT) and narrow belt Internet of Things (NB-IoT: can be based on Narrowband-Internet of Things (Narrow River Domains -INTERNET) and other wireless communication networks, from AI (AI ( Artificial Intelligence) is carried out collectively.</v>
      </c>
      <c r="D1780" s="6" t="s">
        <v>5109</v>
      </c>
      <c r="E1780" s="4" t="str">
        <f ca="1">IFERROR(__xludf.DUMMYFUNCTION("GOOGLETRANSLATE(D1780,""auto"",""en"")"),"Leisure vehicle control system based on wireless communication network")</f>
        <v>Leisure vehicle control system based on wireless communication network</v>
      </c>
    </row>
    <row r="1781" spans="1:5" ht="15" x14ac:dyDescent="0.25">
      <c r="A1781" s="5" t="s">
        <v>5110</v>
      </c>
      <c r="B1781" s="6" t="s">
        <v>5111</v>
      </c>
      <c r="C1781" s="3" t="str">
        <f ca="1">IFERROR(__xludf.DUMMYFUNCTION("GOOGLETRANSLATE(B1781,""auto"",""en"")"),"The present invention involves a job recommendation system that can collect information about special sports activities for disabled people, and provide appropriate work and work opportunities information to the disabled, as well as work recommendations b"&amp;"ased on special sports activities. The system also includes the management server, which analyzes the activity information of special sports activities to provide job recommendation information and work opportunities for the work that is suitable for spor"&amp;"ts workers. The unit of special sports content is designed to evaluate each job -related element based on the disability information entered by the user;
  Event data acquisition unit, provide the special sports content generated to the athletes, and ob"&amp;"tain the activity data of various special sports activities performed by the athletes based on the special sports content; Each special sports activity data, and calculate the evaluation scores of each job -related elements of the sports activist; the job"&amp;" recommendation unit generates multiple position groups for each position with similar positions and generates job recommendation information. It is used to recommend at least one of the job groups that match the evaluation score of the job correlation fa"&amp;"ctors; the job information matching unit, from the post information platform to receive the job related position information included in the job recommendation information, and will receive it will be received The job release information is provided to th"&amp;"e user.")</f>
        <v>The present invention involves a job recommendation system that can collect information about special sports activities for disabled people, and provide appropriate work and work opportunities information to the disabled, as well as work recommendations based on special sports activities. The system also includes the management server, which analyzes the activity information of special sports activities to provide job recommendation information and work opportunities for the work that is suitable for sports workers. The unit of special sports content is designed to evaluate each job -related element based on the disability information entered by the user;
  Event data acquisition unit, provide the special sports content generated to the athletes, and obtain the activity data of various special sports activities performed by the athletes based on the special sports content; Each special sports activity data, and calculate the evaluation scores of each job -related elements of the sports activist; the job recommendation unit generates multiple position groups for each position with similar positions and generates job recommendation information. It is used to recommend at least one of the job groups that match the evaluation score of the job correlation factors; the job information matching unit, from the post information platform to receive the job related position information included in the job recommendation information, and will receive it will be received The job release information is provided to the user.</v>
      </c>
      <c r="D1781" s="6" t="s">
        <v>5112</v>
      </c>
      <c r="E1781" s="4" t="str">
        <f ca="1">IFERROR(__xludf.DUMMYFUNCTION("GOOGLETRANSLATE(D1781,""auto"",""en"")"),"Work recommendation system and method based on special physical activity information")</f>
        <v>Work recommendation system and method based on special physical activity information</v>
      </c>
    </row>
    <row r="1782" spans="1:5" ht="15" x14ac:dyDescent="0.25">
      <c r="A1782" s="5" t="s">
        <v>5113</v>
      </c>
      <c r="B1782" s="6" t="s">
        <v>5114</v>
      </c>
      <c r="C1782" s="3" t="str">
        <f ca="1">IFERROR(__xludf.DUMMYFUNCTION("GOOGLETRANSLATE(B1782,""auto"",""en"")"),"The invention involves an interactive artificial intelligence competition system and operation method set by segments. The present invention includes: storage unit 100, which is used to store the schedule information such as the operation cycle and operat"&amp;"ion time of the storage competition, the multi -circle methods divided by the predetermined interval, and the script information. Each time the scheduled method and scoring method that ends in the storage unit is divided into multiple laps in a certain pa"&amp;"ragraph, the participants check according to the score obtained by the script of the competition, and calculate the answer units 200 through the user terminal uploaded. Execute the ranking operation, and determine the ranking for multiple participants bas"&amp;"ed on the calculation results; the structure includes the competition hosting server 10, and the competition hosting server 10 includes a communication unit 300 for the network in order to transmit the results information of the participants' access and c"&amp;"alculations. Go to the outside and connect to the custody server 10 to improve the AI ​​user terminal 20. Participants' programming skills and discovered artificial intelligence solutions required by the industrial sector.")</f>
        <v>The invention involves an interactive artificial intelligence competition system and operation method set by segments. The present invention includes: storage unit 100, which is used to store the schedule information such as the operation cycle and operation time of the storage competition, the multi -circle methods divided by the predetermined interval, and the script information. Each time the scheduled method and scoring method that ends in the storage unit is divided into multiple laps in a certain paragraph, the participants check according to the score obtained by the script of the competition, and calculate the answer units 200 through the user terminal uploaded. Execute the ranking operation, and determine the ranking for multiple participants based on the calculation results; the structure includes the competition hosting server 10, and the competition hosting server 10 includes a communication unit 300 for the network in order to transmit the results information of the participants' access and calculations. Go to the outside and connect to the custody server 10 to improve the AI ​​user terminal 20. Participants' programming skills and discovered artificial intelligence solutions required by the industrial sector.</v>
      </c>
      <c r="D1782" s="6" t="s">
        <v>5115</v>
      </c>
      <c r="E1782" s="4" t="str">
        <f ca="1">IFERROR(__xludf.DUMMYFUNCTION("GOOGLETRANSLATE(D1782,""auto"",""en"")"),"Interactive AI competition system and operation method based on segmented settings")</f>
        <v>Interactive AI competition system and operation method based on segmented settings</v>
      </c>
    </row>
    <row r="1783" spans="1:5" ht="15" x14ac:dyDescent="0.25">
      <c r="A1783" s="5" t="s">
        <v>5116</v>
      </c>
      <c r="B1783" s="6" t="s">
        <v>5117</v>
      </c>
      <c r="C1783" s="3" t="str">
        <f ca="1">IFERROR(__xludf.DUMMYFUNCTION("GOOGLETRANSLATE(B1783,""auto"",""en"")"),"A system that uses artificial intelligence analysis of advertising in sports videos. Advertising analysis system estimates the area ratio of the ground area in sports images, calculates the height of the object detected in sports images, and determines th"&amp;"e scenario of sports images. According to the advertising area in the advertising area, the advertising images detected in the generated advertising area are classified according to the advertising type of the advertising area, and whether the category of"&amp;" advertising images correspond to the official advertising and advertising effect analysis module calculation module is determined in real time. The cumulative exposure time, cumulative exposure and effect of advertising images are used as the analysis re"&amp;"sults, and the analysis results are displayed in real time in sports videos.")</f>
        <v>A system that uses artificial intelligence analysis of advertising in sports videos. Advertising analysis system estimates the area ratio of the ground area in sports images, calculates the height of the object detected in sports images, and determines the scenario of sports images. According to the advertising area in the advertising area, the advertising images detected in the generated advertising area are classified according to the advertising type of the advertising area, and whether the category of advertising images correspond to the official advertising and advertising effect analysis module calculation module is determined in real time. The cumulative exposure time, cumulative exposure and effect of advertising images are used as the analysis results, and the analysis results are displayed in real time in sports videos.</v>
      </c>
      <c r="D1783" s="6" t="s">
        <v>5118</v>
      </c>
      <c r="E1783" s="4" t="str">
        <f ca="1">IFERROR(__xludf.DUMMYFUNCTION("GOOGLETRANSLATE(D1783,""auto"",""en"")"),"Sports video advertising analysis system and analysis method based on artificial intelligence")</f>
        <v>Sports video advertising analysis system and analysis method based on artificial intelligence</v>
      </c>
    </row>
    <row r="1784" spans="1:5" ht="15" x14ac:dyDescent="0.25">
      <c r="A1784" s="5" t="s">
        <v>5119</v>
      </c>
      <c r="B1784" s="6" t="s">
        <v>5120</v>
      </c>
      <c r="C1784" s="3" t="str">
        <f ca="1">IFERROR(__xludf.DUMMYFUNCTION("GOOGLETRANSLATE(B1784,""auto"",""en"")"),"In the present invention, the Smart Caddish Server 110 sends the information of the Golf Course users participating in the golf game to the caddy terminal 120, and the caddy terminal 120 sends the information of the Golf Course users received from the sma"&amp;"rt caddy server 110. Based on the information input round score and/or turn information, the smart caddy server 110 receives the golf turn score and/or turn information from the caddy terminal 120, the caddy terminal (120) involves the smart spherical sys"&amp;"tem and can use voice recognition to receive Methods of golf round scores and/or turn information.
  According to the intelligent caddy system and methods of the present invention, cadres can easily input scores and turn information through voice input "&amp;"and turn on the turnaround, and make the scores and round information relay to acquaintances.")</f>
        <v>In the present invention, the Smart Caddish Server 110 sends the information of the Golf Course users participating in the golf game to the caddy terminal 120, and the caddy terminal 120 sends the information of the Golf Course users received from the smart caddy server 110. Based on the information input round score and/or turn information, the smart caddy server 110 receives the golf turn score and/or turn information from the caddy terminal 120, the caddy terminal (120) involves the smart spherical system and can use voice recognition to receive Methods of golf round scores and/or turn information.
  According to the intelligent caddy system and methods of the present invention, cadres can easily input scores and turn information through voice input and turn on the turnaround, and make the scores and round information relay to acquaintances.</v>
      </c>
      <c r="D1784" s="6" t="s">
        <v>5121</v>
      </c>
      <c r="E1784" s="4" t="str">
        <f ca="1">IFERROR(__xludf.DUMMYFUNCTION("GOOGLETRANSLATE(D1784,""auto"",""en"")"),"Smart caddy system and its method")</f>
        <v>Smart caddy system and its method</v>
      </c>
    </row>
    <row r="1785" spans="1:5" ht="15" x14ac:dyDescent="0.25">
      <c r="A1785" s="5" t="s">
        <v>5122</v>
      </c>
      <c r="B1785" s="6" t="s">
        <v>5123</v>
      </c>
      <c r="C1785" s="3" t="str">
        <f ca="1">IFERROR(__xludf.DUMMYFUNCTION("GOOGLETRANSLATE(B1785,""auto"",""en"")"),"1. Design product name: Health management icon graphical user interface of the display screen panel.
 2. Design product use: The display screen panel is used to display the graphical user interface.
 3. Design of the design of the product in appearanc"&amp;"e: lies in the graphic user interface.
 4. Pictures or photos that can best show design: Design 1 Local magnification.
 5. Specify design 1 is the basic design.
 6. The purpose of the graphical user interface: for human -machine interaction and impl"&amp;"ementation of the display screen panel, and can be used to run or execute applications.
 7. Human -machine interaction method of graphical user interface: You can interact with the interface of contact, such as light -blow or touching the icon graphical"&amp;" user interface to load the subsequent graphical user interface or run the application.
 8. Design 2 Request to protect color.
 The display screen panel and graphic user interface can be applied to computers, laptops, tablets, mobile phones, smart wat"&amp;"ches, smart bracelets, fitness monitor, headset headphones, personal digital assistants, smart speakers, TV, projector, set -top box, set -top box, set -top box, set -top box, set -top box, set -top box, set -top box, set -top box, set -top box, set -top "&amp;"box, set -top box, set -top box, set -top box, set -top box, set -top box, set -top box, set -top box, set -top box, set -top box, set -top box, set -top box, set -top box, set -top box, set -top box, set -top box, set -top box, set -top box, set -top sui"&amp;"t Game machines or navigators; display screen panels are commonly designed, so other views are omitted.")</f>
        <v>1. Design product name: Health management icon graphical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for human -machine interaction and implementation of the display screen panel, and can be used to run or execute applications.
 7. Human -machine interaction method of graphical user interface: You can interact with the interface of contact, such as light -blow or touching the icon graphical user interface to load the subsequent graphical user interface or run the application.
 8. Design 2 Request to protect color.
 The display screen panel and graphic user interface can be applied to computers, laptops, tablets, mobile phones, smart watches, smart bracelets, fitness monitor, headset headphones, personal digital assistants, smart speakers, TV, projector,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suit Game machines or navigators; display screen panels are commonly designed, so other views are omitted.</v>
      </c>
      <c r="D1785" s="6" t="s">
        <v>5124</v>
      </c>
      <c r="E1785" s="4" t="str">
        <f ca="1">IFERROR(__xludf.DUMMYFUNCTION("GOOGLETRANSLATE(D1785,""auto"",""en"")"),"The health management icon user interface of the display screen panel")</f>
        <v>The health management icon user interface of the display screen panel</v>
      </c>
    </row>
    <row r="1786" spans="1:5" ht="15" x14ac:dyDescent="0.25">
      <c r="A1786" s="5" t="s">
        <v>5125</v>
      </c>
      <c r="B1786" s="6" t="s">
        <v>5123</v>
      </c>
      <c r="C1786" s="3" t="str">
        <f ca="1">IFERROR(__xludf.DUMMYFUNCTION("GOOGLETRANSLATE(B1786,""auto"",""en"")"),"1. Design product name: Health management icon graphical user interface of the display screen panel.
 2. Design product use: The display screen panel is used to display the graphical user interface.
 3. Design of the design of the product in appearanc"&amp;"e: lies in the graphic user interface.
 4. Pictures or photos that can best show design: Design 1 Local magnification.
 5. Specify design 1 is the basic design.
 6. The purpose of the graphical user interface: for human -machine interaction and impl"&amp;"ementation of the display screen panel, and can be used to run or execute applications.
 7. Human -machine interaction method of graphical user interface: You can interact with the interface of contact, such as light -blow or touching the icon graphical"&amp;" user interface to load the subsequent graphical user interface or run the application.
 8. Design 2 Request to protect color.
 The display screen panel and graphic user interface can be applied to computers, laptops, tablets, mobile phones, smart wat"&amp;"ches, smart bracelets, fitness monitor, headset headphones, personal digital assistants, smart speakers, TV, projector, set -top box, set -top box, set -top box, set -top box, set -top box, set -top box, set -top box, set -top box, set -top box, set -top "&amp;"box, set -top box, set -top box, set -top box, set -top box, set -top box, set -top box, set -top box, set -top box, set -top box, set -top box, set -top box, set -top box, set -top box, set -top box, set -top box, set -top box, set -top box, set -top sui"&amp;"t Game machines or navigators; display screen panels are commonly designed, so other views are omitted.")</f>
        <v>1. Design product name: Health management icon graphical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for human -machine interaction and implementation of the display screen panel, and can be used to run or execute applications.
 7. Human -machine interaction method of graphical user interface: You can interact with the interface of contact, such as light -blow or touching the icon graphical user interface to load the subsequent graphical user interface or run the application.
 8. Design 2 Request to protect color.
 The display screen panel and graphic user interface can be applied to computers, laptops, tablets, mobile phones, smart watches, smart bracelets, fitness monitor, headset headphones, personal digital assistants, smart speakers, TV, projector,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suit Game machines or navigators; display screen panels are commonly designed, so other views are omitted.</v>
      </c>
      <c r="D1786" s="6" t="s">
        <v>5124</v>
      </c>
      <c r="E1786" s="4" t="str">
        <f ca="1">IFERROR(__xludf.DUMMYFUNCTION("GOOGLETRANSLATE(D1786,""auto"",""en"")"),"The health management icon user interface of the display screen panel")</f>
        <v>The health management icon user interface of the display screen panel</v>
      </c>
    </row>
    <row r="1787" spans="1:5" ht="15" x14ac:dyDescent="0.25">
      <c r="A1787" s="5" t="s">
        <v>5126</v>
      </c>
      <c r="B1787" s="6" t="s">
        <v>5123</v>
      </c>
      <c r="C1787" s="3" t="str">
        <f ca="1">IFERROR(__xludf.DUMMYFUNCTION("GOOGLETRANSLATE(B1787,""auto"",""en"")"),"1. Design product name: Health management icon graphical user interface of the display screen panel.
 2. Design product use: The display screen panel is used to display the graphical user interface.
 3. Design of the design of the product in appearanc"&amp;"e: lies in the graphic user interface.
 4. Pictures or photos that can best show design: Design 1 Local magnification.
 5. Specify design 1 is the basic design.
 6. The purpose of the graphical user interface: for human -machine interaction and impl"&amp;"ementation of the display screen panel, and can be used to run or execute applications.
 7. Human -machine interaction method of graphical user interface: You can interact with the interface of contact, such as light -blow or touching the icon graphical"&amp;" user interface to load the subsequent graphical user interface or run the application.
 8. Design 2 Request to protect color.
 The display screen panel and graphic user interface can be applied to computers, laptops, tablets, mobile phones, smart wat"&amp;"ches, smart bracelets, fitness monitor, headset headphones, personal digital assistants, smart speakers, TV, projector, set -top box, set -top box, set -top box, set -top box, set -top box, set -top box, set -top box, set -top box, set -top box, set -top "&amp;"box, set -top box, set -top box, set -top box, set -top box, set -top box, set -top box, set -top box, set -top box, set -top box, set -top box, set -top box, set -top box, set -top box, set -top box, set -top box, set -top box, set -top box, set -top sui"&amp;"t Game machines or navigators; display screen panels are commonly designed, so other views are omitted.")</f>
        <v>1. Design product name: Health management icon graphical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Local magnification.
 5. Specify design 1 is the basic design.
 6. The purpose of the graphical user interface: for human -machine interaction and implementation of the display screen panel, and can be used to run or execute applications.
 7. Human -machine interaction method of graphical user interface: You can interact with the interface of contact, such as light -blow or touching the icon graphical user interface to load the subsequent graphical user interface or run the application.
 8. Design 2 Request to protect color.
 The display screen panel and graphic user interface can be applied to computers, laptops, tablets, mobile phones, smart watches, smart bracelets, fitness monitor, headset headphones, personal digital assistants, smart speakers, TV, projector,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box, set -top suit Game machines or navigators; display screen panels are commonly designed, so other views are omitted.</v>
      </c>
      <c r="D1787" s="6" t="s">
        <v>5124</v>
      </c>
      <c r="E1787" s="4" t="str">
        <f ca="1">IFERROR(__xludf.DUMMYFUNCTION("GOOGLETRANSLATE(D1787,""auto"",""en"")"),"The health management icon user interface of the display screen panel")</f>
        <v>The health management icon user interface of the display screen panel</v>
      </c>
    </row>
    <row r="1788" spans="1:5" ht="15" x14ac:dyDescent="0.25">
      <c r="A1788" s="5" t="s">
        <v>5127</v>
      </c>
      <c r="B1788" s="6" t="s">
        <v>3285</v>
      </c>
      <c r="C1788" s="3" t="str">
        <f ca="1">IFERROR(__xludf.DUMMYFUNCTION("GOOGLETRANSLATE(B1788,""auto"",""en"")"),"The automatic memory system can automatically identify and present content items that match the natural language (NL) input with the user. The automatic memory system can calculate the matching scores between each of the NL input and each of the potential"&amp;" memory content items. The automatic memory system can use a variety of algorithms and/or machine learning models to calculate the matching scores, such as the image/NL matching process to obtain the first matching score, the label matching process to obt"&amp;"ain the second match score and/or the first and second games Combat score of the competition score. The automatic memory system can select one or more content items with the highest matching score. The automatic memory system can provide selected content "&amp;"items, such as providing users to recommend them, automatically display or play them, insert them into the dialogue thread, etc.")</f>
        <v>The automatic memory system can automatically identify and present content items that match the natural language (NL) input with the user. The automatic memory system can calculate the matching scores between each of the NL input and each of the potential memory content items. The automatic memory system can use a variety of algorithms and/or machine learning models to calculate the matching scores, such as the image/NL matching process to obtain the first matching score, the label matching process to obtain the second match score and/or the first and second games Combat score of the competition score. The automatic memory system can select one or more content items with the highest matching score. The automatic memory system can provide selected content items, such as providing users to recommend them, automatically display or play them, insert them into the dialogue thread, etc.</v>
      </c>
      <c r="D1788" s="6" t="s">
        <v>3286</v>
      </c>
      <c r="E1788" s="4" t="str">
        <f ca="1">IFERROR(__xludf.DUMMYFUNCTION("GOOGLETRANSLATE(D1788,""auto"",""en"")"),"Automatic memory content item configuration")</f>
        <v>Automatic memory content item configuration</v>
      </c>
    </row>
    <row r="1789" spans="1:5" ht="15" x14ac:dyDescent="0.25">
      <c r="A1789" s="5" t="s">
        <v>5128</v>
      </c>
      <c r="B1789" s="6" t="s">
        <v>5129</v>
      </c>
      <c r="C1789" s="3" t="str">
        <f ca="1">IFERROR(__xludf.DUMMYFUNCTION("GOOGLETRANSLATE(B1789,""auto"",""en"")"),"The present invention is a kind of job service that uses artificial intelligence. It can correctly connect to the Internet on the Internet that needs to work and want to work, as well as a platform that matches sports facilities according to location info"&amp;"rmation and other data. Various personal data such as gender, regional, economic conditions, physical conditions, preferences, etc., find jobs or hire staff quickly and conveniently, recommend the most suitable recruitment companies for you, and match sui"&amp;"table fitness facilities and job positions. You can Long -term stable use, maximize your satisfaction.")</f>
        <v>The present invention is a kind of job service that uses artificial intelligence. It can correctly connect to the Internet on the Internet that needs to work and want to work, as well as a platform that matches sports facilities according to location information and other data. Various personal data such as gender, regional, economic conditions, physical conditions, preferences, etc., find jobs or hire staff quickly and conveniently, recommend the most suitable recruitment companies for you, and match suitable fitness facilities and job positions. You can Long -term stable use, maximize your satisfaction.</v>
      </c>
      <c r="D1789" s="6" t="s">
        <v>5130</v>
      </c>
      <c r="E1789" s="4" t="str">
        <f ca="1">IFERROR(__xludf.DUMMYFUNCTION("GOOGLETRANSLATE(D1789,""auto"",""en"")"),"Use artificial intelligence custom job search and sports facility matching platform services and methods")</f>
        <v>Use artificial intelligence custom job search and sports facility matching platform services and methods</v>
      </c>
    </row>
    <row r="1790" spans="1:5" ht="15" x14ac:dyDescent="0.25">
      <c r="A1790" s="5" t="s">
        <v>5131</v>
      </c>
      <c r="B1790" s="6" t="s">
        <v>5132</v>
      </c>
      <c r="C1790" s="3" t="str">
        <f ca="1">IFERROR(__xludf.DUMMYFUNCTION("GOOGLETRANSLATE(B1790,""auto"",""en"")"),"This publicly provides polarized lidar for vehicles. A computer that includes a processor and memory. The memory contains the instructions executed by the processor to receive the transmitted polarized beam at the laser radar receiver used to determine th"&amp;"e polarization mode and the distance of the object. Harmony polarization mode, and use deep neural networks to identify objects by processing polarizing mode and distance. The identity of the object can be metal or non -metal. This instruction may include"&amp;" further instructions for operating vehicles based on identified objects.")</f>
        <v>This publicly provides polarized lidar for vehicles. A computer that includes a processor and memory. The memory contains the instructions executed by the processor to receive the transmitted polarized beam at the laser radar receiver used to determine the polarization mode and the distance of the object. Harmony polarization mode, and use deep neural networks to identify objects by processing polarizing mode and distance. The identity of the object can be metal or non -metal. This instruction may include further instructions for operating vehicles based on identified objects.</v>
      </c>
      <c r="D1790" s="6" t="s">
        <v>5133</v>
      </c>
      <c r="E1790" s="4" t="str">
        <f ca="1">IFERROR(__xludf.DUMMYFUNCTION("GOOGLETRANSLATE(D1790,""auto"",""en"")"),"Laser radar polarization for vehicles")</f>
        <v>Laser radar polarization for vehicles</v>
      </c>
    </row>
    <row r="1791" spans="1:5" ht="15" x14ac:dyDescent="0.25">
      <c r="A1791" s="5" t="s">
        <v>5134</v>
      </c>
      <c r="B1791" s="6" t="s">
        <v>5135</v>
      </c>
      <c r="C1791" s="3" t="str">
        <f ca="1">IFERROR(__xludf.DUMMYFUNCTION("GOOGLETRANSLATE(B1791,""auto"",""en"")"),"A software system can use artificial intelligence and/or machine learning to generate sports analysis based on historical score data of specific teams, players, events or other related data. In embodiments, machine learning can be applied to historical da"&amp;"ta to increase betting odds. Through the ""odds module"", the correlation between the results and available parameters can be analyzed in real time in advance to provide accurate and latest odds.")</f>
        <v>A software system can use artificial intelligence and/or machine learning to generate sports analysis based on historical score data of specific teams, players, events or other related data. In embodiments, machine learning can be applied to historical data to increase betting odds. Through the "odds module", the correlation between the results and available parameters can be analyzed in real time in advance to provide accurate and latest odds.</v>
      </c>
      <c r="D1791" s="6" t="s">
        <v>5136</v>
      </c>
      <c r="E1791" s="4" t="str">
        <f ca="1">IFERROR(__xludf.DUMMYFUNCTION("GOOGLETRANSLATE(D1791,""auto"",""en"")"),"Artificial intelligence/machine learning increases betting odds")</f>
        <v>Artificial intelligence/machine learning increases betting odds</v>
      </c>
    </row>
    <row r="1792" spans="1:5" ht="15" x14ac:dyDescent="0.25">
      <c r="A1792" s="5" t="s">
        <v>5137</v>
      </c>
      <c r="B1792" s="6" t="s">
        <v>5138</v>
      </c>
      <c r="C1792" s="3" t="str">
        <f ca="1">IFERROR(__xludf.DUMMYFUNCTION("GOOGLETRANSLATE(B1792,""auto"",""en"")"),"The present invention discloses a fitness method based on itinerary mapping interaction, including the following steps, step 1, fix the host with a fixed device on the wall or ground; step 2, the user selects the fitness mode, the fitness mode includes fo"&amp;"llow -up mode and free training; Step 3: Get the itinerary value, the rope stroke sensor obtains the itinerary; mapping the itinerary value into an absolute value variable, as the input variable required for human -machine interaction devices, providing s"&amp;"afe and effective human -computer interaction input for new forms of intelligent fitness equipment Function. Its fitness equipment, including the host, handle or part of fixed device, rope, rope stroke sensor, and control terminals. Use human -computer in"&amp;"teraction technology to improve interaction safety and scalability in smart fitness equipment products.")</f>
        <v>The present invention discloses a fitness method based on itinerary mapping interaction, including the following steps, step 1, fix the host with a fixed device on the wall or ground; step 2, the user selects the fitness mode, the fitness mode includes follow -up mode and free training; Step 3: Get the itinerary value, the rope stroke sensor obtains the itinerary; mapping the itinerary value into an absolute value variable, as the input variable required for human -machine interaction devices, providing safe and effective human -computer interaction input for new forms of intelligent fitness equipment Function. Its fitness equipment, including the host, handle or part of fixed device, rope, rope stroke sensor, and control terminals. Use human -computer interaction technology to improve interaction safety and scalability in smart fitness equipment products.</v>
      </c>
      <c r="D1792" s="6" t="s">
        <v>5139</v>
      </c>
      <c r="E1792" s="4" t="str">
        <f ca="1">IFERROR(__xludf.DUMMYFUNCTION("GOOGLETRANSLATE(D1792,""auto"",""en"")"),"A fitness equipment and fitness method based on itinerary -based mapping interaction")</f>
        <v>A fitness equipment and fitness method based on itinerary -based mapping interaction</v>
      </c>
    </row>
    <row r="1793" spans="1:5" ht="15" x14ac:dyDescent="0.25">
      <c r="A1793" s="5" t="s">
        <v>5140</v>
      </c>
      <c r="B1793" s="6" t="s">
        <v>5141</v>
      </c>
      <c r="C1793" s="3" t="str">
        <f ca="1">IFERROR(__xludf.DUMMYFUNCTION("GOOGLETRANSLATE(B1793,""auto"",""en"")"),"1. Design product name: Teaching rating user interface for display screen panels.
 2. Design products in this exterior: used to display information.
 3. Design of design products in this appearance: lies in the graphic user interface in the screen.
"&amp;" 4. Pictures or photos that can best show design: Design 1 main view.
 5. Specify design 1 is the basic design.
 6. The purpose of the graphical user interface: the interface is used for sports teaching, rating, etc.
 7. Human -computer interaction "&amp;"method of graphical user interface: Design 1 to Design 5 Main views are teaching rating interfaces. The blank area on the left side of the interface is a teaching video area. The blank area on the right side of the interface is the user image captured by "&amp;"the camera.
 When the user's movement is consistent with the movement of the coach on the left, the evaluation of the action in the lower right corner of the interface is evaluated. The user can also click on the user avatar on the progress bar to view "&amp;"the user information.
 Design 6 main views are the teaching rating interface. The blank area on the left side of the interface is the teaching video area, and the blank area on the right side of the interface is a user image captured by the camera.
 W"&amp;"hen the user's movement is consistent with the movement of the coach on the left, the score in the lower left corner of the interface increases, and other user avatars and rating points appear in the lower right corner rating area in the lower right corne"&amp;"r of the interface, showing the interface change from the main view to the interface state.
 When the user's movements are inconsistent with the movement of the coach on the left, the evaluation of the rating area in the lower right corner of the interf"&amp;"ace shows the interface change of the interface change state change to the interface change state.
 Design 7 main views are the teaching rating interface, the blank area on the left side of the interface is the teaching video area, and the blank area on"&amp;" the right side of the interface is the user image captured by the camera.
 When the user's movement is consistent with the movement of the coach on the left, the score in the lower left corner of the interface increases, and other user avatars and rati"&amp;"ng points appear in the lower right corner rating area in the lower right corner of the interface, showing the interface change from the main view to the interface state.
 When the user's movement is consistent with the movement of the coach on the left"&amp;", the rating and evaluation of the rating area in the lower right corner of the interface shows that the interface changes of the interface change state change state change status 3 shows the interface change.
 Design 8 and design 9 main views are the t"&amp;"eaching rating interface. The blank area on the left side of the interface is the teaching video area. The blank area on the right side of the interface is a user image captured by the camera.
 When the user's movements are consistent with the movement "&amp;"of the coach on the left, the score in the lower left corner of the interface increases, and other user avatars appear in the lower right corner of the interface, showing the interface change from the main view to the interface state change.
 When the u"&amp;"ser's movement is consistent with the movement of the coach on the left, the avatar in the lower right corner of the interface moves to the left to move to the left, showing the interface change of the interface changes to the interface changes.
 8. The"&amp;" display screen panel can be used for mobile phones, computers, tablets, and smart TVs.")</f>
        <v>1. Design product name: Teaching rating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interface is used for sports teaching, rating, etc.
 7. Human -computer interaction method of graphical user interface: Design 1 to Design 5 Main views are teaching rating interfaces. The blank area on the left side of the interface is a teaching video area. The blank area on the right side of the interface is the user image captured by the camera.
 When the user's movement is consistent with the movement of the coach on the left, the evaluation of the action in the lower right corner of the interface is evaluated. The user can also click on the user avatar on the progress bar to view the user information.
 Design 6 main views are the teaching rating interface. The blank area on the left side of the interface is the teaching video area, and the blank area on the right side of the interface is a user image captured by the camera.
 When the user's movement is consistent with the movement of the coach on the left, the score in the lower left corner of the interface increases, and other user avatars and rating points appear in the lower right corner rating area in the lower right corner of the interface, showing the interface change from the main view to the interface state.
 When the user's movements are inconsistent with the movement of the coach on the left, the evaluation of the rating area in the lower right corner of the interface shows the interface change of the interface change state change to the interface change state.
 Design 7 main views are the teaching rating interface, the blank area on the left side of the interface is the teaching video area, and the blank area on the right side of the interface is the user image captured by the camera.
 When the user's movement is consistent with the movement of the coach on the left, the score in the lower left corner of the interface increases, and other user avatars and rating points appear in the lower right corner rating area in the lower right corner of the interface, showing the interface change from the main view to the interface state.
 When the user's movement is consistent with the movement of the coach on the left, the rating and evaluation of the rating area in the lower right corner of the interface shows that the interface changes of the interface change state change state change status 3 shows the interface change.
 Design 8 and design 9 main views are the teaching rating interface. The blank area on the left side of the interface is the teaching video area. The blank area on the right side of the interface is a user image captured by the camera.
 When the user's movements are consistent with the movement of the coach on the left, the score in the lower left corner of the interface increases, and other user avatars appear in the lower right corner of the interface, showing the interface change from the main view to the interface state change.
 When the user's movement is consistent with the movement of the coach on the left, the avatar in the lower right corner of the interface moves to the left to move to the left, showing the interface change of the interface changes to the interface changes.
 8. The display screen panel can be used for mobile phones, computers, tablets, and smart TVs.</v>
      </c>
      <c r="D1793" s="6" t="s">
        <v>5142</v>
      </c>
      <c r="E1793" s="4" t="str">
        <f ca="1">IFERROR(__xludf.DUMMYFUNCTION("GOOGLETRANSLATE(D1793,""auto"",""en"")"),"Teaching rating graphic user interface for display screen panels")</f>
        <v>Teaching rating graphic user interface for display screen panels</v>
      </c>
    </row>
    <row r="1794" spans="1:5" ht="15" x14ac:dyDescent="0.25">
      <c r="A1794" s="5" t="s">
        <v>5143</v>
      </c>
      <c r="B1794" s="6" t="s">
        <v>5144</v>
      </c>
      <c r="C1794" s="3" t="str">
        <f ca="1">IFERROR(__xludf.DUMMYFUNCTION("GOOGLETRANSLATE(B1794,""auto"",""en"")"),"This utility model discloses an electric toy device based on IoT technology, including: used to display the received external information and send remote control instructions to the main control module of the communication module according to the user's o"&amp;"peration; to receive the remote remote range Control instructions and send the remote control instructions to the communication module of the control module; to collect the input module of the external information to the control module; to receive externa"&amp;"l information collected by the input module, and send external information to the communication module to the communication module to to the communication module to to the communication module to The main control module; receive the remote control instruc"&amp;"tion, control the control module to control the output module through the remote control instruction; to perform the output module of pronunciation and/or action under the control of the control module; to control the control for control The module and po"&amp;"wer supply module supply to other modules by controlling modules. When I can't go to the scene to participate in the event, I can use it as a substitute at the competition site, the entertainment scene, the conference site, etc.")</f>
        <v>This utility model discloses an electric toy device based on IoT technology, including: used to display the received external information and send remote control instructions to the main control module of the communication module according to the user's operation; to receive the remote remote range Control instructions and send the remote control instructions to the communication module of the control module; to collect the input module of the external information to the control module; to receive external information collected by the input module, and send external information to the communication module to the communication module to to the communication module to to the communication module to The main control module; receive the remote control instruction, control the control module to control the output module through the remote control instruction; to perform the output module of pronunciation and/or action under the control of the control module; to control the control for control The module and power supply module supply to other modules by controlling modules. When I can't go to the scene to participate in the event, I can use it as a substitute at the competition site, the entertainment scene, the conference site, etc.</v>
      </c>
      <c r="D1794" s="6" t="s">
        <v>5145</v>
      </c>
      <c r="E1794" s="4" t="str">
        <f ca="1">IFERROR(__xludf.DUMMYFUNCTION("GOOGLETRANSLATE(D1794,""auto"",""en"")"),"Electric toy device based on IoT technology")</f>
        <v>Electric toy device based on IoT technology</v>
      </c>
    </row>
    <row r="1795" spans="1:5" ht="15" x14ac:dyDescent="0.25">
      <c r="A1795" s="5" t="s">
        <v>5146</v>
      </c>
      <c r="B1795" s="6" t="s">
        <v>5147</v>
      </c>
      <c r="C1795" s="3" t="str">
        <f ca="1">IFERROR(__xludf.DUMMYFUNCTION("GOOGLETRANSLATE(B1795,""auto"",""en"")"),"The computing device may receive motion data generated by one or more sports sensors, which corresponds to the motion of one or more motion sensor sensors. The computing device can use one or more neural networks with different privacy and device activity"&amp;" recognition to identify sports activities corresponding to sports data. The computing device can respond to sports activities corresponding to sports data and perform operations related to sports activities.")</f>
        <v>The computing device may receive motion data generated by one or more sports sensors, which corresponds to the motion of one or more motion sensor sensors. The computing device can use one or more neural networks with different privacy and device activity recognition to identify sports activities corresponding to sports data. The computing device can respond to sports activities corresponding to sports data and perform operations related to sports activities.</v>
      </c>
      <c r="D1795" s="6" t="s">
        <v>5148</v>
      </c>
      <c r="E1795" s="4" t="str">
        <f ca="1">IFERROR(__xludf.DUMMYFUNCTION("GOOGLETRANSLATE(D1795,""auto"",""en"")"),"Activity identification on the equipment")</f>
        <v>Activity identification on the equipment</v>
      </c>
    </row>
    <row r="1796" spans="1:5" ht="15" x14ac:dyDescent="0.25">
      <c r="A1796" s="5" t="s">
        <v>5149</v>
      </c>
      <c r="B1796" s="6" t="s">
        <v>5150</v>
      </c>
      <c r="C1796" s="3" t="str">
        <f ca="1">IFERROR(__xludf.DUMMYFUNCTION("GOOGLETRANSLATE(B1796,""auto"",""en"")"),"The present invention involves the field of lighting technology. Specifically, it is a IoT -based basketball court lighting, including lighting, mobile structures, fixed structures, placing structures, storage structures, and cleaning structures. Through "&amp;"the mobile structure, it can be very good. Move the lighting position and when the device is located in a position that requires long -term fixation, it can also be put away from the movement structure, so that the device can be more stable on the ground."&amp;" Through the fixed structure, the movement structure can be fixed, which is convenient for convenience On some slopes and other roads, the device can be fixed. By placing the structure, the spare basketball can be placed inside the placement structure to "&amp;"prevent the basketball loss of basketball during the play of basketball. Place basketball to prevent inconvenience when getting, and you can also adjust the height of the device according to the height of the basketball player.")</f>
        <v>The present invention involves the field of lighting technology. Specifically, it is a IoT -based basketball court lighting, including lighting, mobile structures, fixed structures, placing structures, storage structures, and cleaning structures. Through the mobile structure, it can be very good. Move the lighting position and when the device is located in a position that requires long -term fixation, it can also be put away from the movement structure, so that the device can be more stable on the ground. Through the fixed structure, the movement structure can be fixed, which is convenient for convenience On some slopes and other roads, the device can be fixed. By placing the structure, the spare basketball can be placed inside the placement structure to prevent the basketball loss of basketball during the play of basketball. Place basketball to prevent inconvenience when getting, and you can also adjust the height of the device according to the height of the basketball player.</v>
      </c>
      <c r="D1796" s="6" t="s">
        <v>2196</v>
      </c>
      <c r="E1796" s="4" t="str">
        <f ca="1">IFERROR(__xludf.DUMMYFUNCTION("GOOGLETRANSLATE(D1796,""auto"",""en"")"),"A basketball court lighting based on the Internet of Things")</f>
        <v>A basketball court lighting based on the Internet of Things</v>
      </c>
    </row>
    <row r="1797" spans="1:5" ht="15" x14ac:dyDescent="0.25">
      <c r="A1797" s="5" t="s">
        <v>5151</v>
      </c>
      <c r="B1797" s="6" t="s">
        <v>5152</v>
      </c>
      <c r="C1797" s="3" t="str">
        <f ca="1">IFERROR(__xludf.DUMMYFUNCTION("GOOGLETRANSLATE(B1797,""auto"",""en"")"),"This article discloses a system and method for generating the character related to one or more players. One computing system retrieves the event information of multiple teams for multiple incidents. The computing system generates the space output of each "&amp;"player. Calculate system recognition of the style related to each team. Calculate the path set between players or teams between the two areas. Calculate the system to identify the participation of each player during the team. The computing system correspo"&amp;"nds to the scores corresponding to the value of the game based on the event information generation to the player's participation. The computing system is based on event information generation to associate the scores of each player's passing ability. The c"&amp;"omputing system determines the way of hitting each player based on event information. Calculate system recognition role -related roles with each player.")</f>
        <v>This article discloses a system and method for generating the character related to one or more players. One computing system retrieves the event information of multiple teams for multiple incidents. The computing system generates the space output of each player. Calculate system recognition of the style related to each team. Calculate the path set between players or teams between the two areas. Calculate the system to identify the participation of each player during the team. The computing system corresponds to the scores corresponding to the value of the game based on the event information generation to the player's participation. The computing system is based on event information generation to associate the scores of each player's passing ability. The computing system determines the way of hitting each player based on event information. Calculate system recognition role -related roles with each player.</v>
      </c>
      <c r="D1797" s="6" t="s">
        <v>5153</v>
      </c>
      <c r="E1797" s="4" t="str">
        <f ca="1">IFERROR(__xludf.DUMMYFUNCTION("GOOGLETRANSLATE(D1797,""auto"",""en"")"),"Learn the role in exercise through unsupervised learning")</f>
        <v>Learn the role in exercise through unsupervised learning</v>
      </c>
    </row>
    <row r="1798" spans="1:5" ht="15" x14ac:dyDescent="0.25">
      <c r="A1798" s="5" t="s">
        <v>5154</v>
      </c>
      <c r="B1798" s="6" t="s">
        <v>5152</v>
      </c>
      <c r="C1798" s="3" t="str">
        <f ca="1">IFERROR(__xludf.DUMMYFUNCTION("GOOGLETRANSLATE(B1798,""auto"",""en"")"),"This article discloses a system and method for generating the character related to one or more players. One computing system retrieves the event information of multiple teams for multiple incidents. The computing system generates the space output of each "&amp;"player. Calculate system recognition of the style related to each team. Calculate the path set between players or teams between the two areas. Calculate the system to identify the participation of each player during the team. The computing system correspo"&amp;"nds to the scores corresponding to the value of the game based on the event information generation to the player's participation. The computing system is based on event information generation to associate the scores of each player's passing ability. The c"&amp;"omputing system determines the way of hitting each player based on event information. Calculate system recognition role -related roles with each player.")</f>
        <v>This article discloses a system and method for generating the character related to one or more players. One computing system retrieves the event information of multiple teams for multiple incidents. The computing system generates the space output of each player. Calculate system recognition of the style related to each team. Calculate the path set between players or teams between the two areas. Calculate the system to identify the participation of each player during the team. The computing system corresponds to the scores corresponding to the value of the game based on the event information generation to the player's participation. The computing system is based on event information generation to associate the scores of each player's passing ability. The computing system determines the way of hitting each player based on event information. Calculate system recognition role -related roles with each player.</v>
      </c>
      <c r="D1798" s="6" t="s">
        <v>5153</v>
      </c>
      <c r="E1798" s="4" t="str">
        <f ca="1">IFERROR(__xludf.DUMMYFUNCTION("GOOGLETRANSLATE(D1798,""auto"",""en"")"),"Learn the role in exercise through unsupervised learning")</f>
        <v>Learn the role in exercise through unsupervised learning</v>
      </c>
    </row>
    <row r="1799" spans="1:5" ht="15" x14ac:dyDescent="0.25">
      <c r="A1799" s="5" t="s">
        <v>5155</v>
      </c>
      <c r="B1799" s="6" t="s">
        <v>5156</v>
      </c>
      <c r="C1799" s="3" t="str">
        <f ca="1">IFERROR(__xludf.DUMMYFUNCTION("GOOGLETRANSLATE(B1799,""auto"",""en"")"),"A computing system retrieves the ball -round data of multiple sports events. The computing system generates a well -trained neural network based on the ball -rounding data, supplemented by the characteristics of the goals and the context of the ball -roun"&amp;"ding match and the personalized embedding of the player and the snapper. The computing system receives the target player and the target pitch to pass the pitch in the target event. Calculate the target data of the stadium window before the stadium to be p"&amp;"assed. The computing system retrieves the historical ball -by -ball -free data of each target player and target. The computing system strikes a personalized embedding based on historical goals and targets. The computing system is based on the target goals"&amp;" and personalized embedding prediction.")</f>
        <v>A computing system retrieves the ball -round data of multiple sports events. The computing system generates a well -trained neural network based on the ball -rounding data, supplemented by the characteristics of the goals and the context of the ball -rounding match and the personalized embedding of the player and the snapper. The computing system receives the target player and the target pitch to pass the pitch in the target event. Calculate the target data of the stadium window before the stadium to be passed. The computing system retrieves the historical ball -by -ball -free data of each target player and target. The computing system strikes a personalized embedding based on historical goals and targets. The computing system is based on the target goals and personalized embedding prediction.</v>
      </c>
      <c r="D1799" s="6" t="s">
        <v>5157</v>
      </c>
      <c r="E1799" s="4" t="str">
        <f ca="1">IFERROR(__xludf.DUMMYFUNCTION("GOOGLETRANSLATE(D1799,""auto"",""en"")"),"Use personalized deep neural network dynamic prediction to hit the ball")</f>
        <v>Use personalized deep neural network dynamic prediction to hit the ball</v>
      </c>
    </row>
    <row r="1800" spans="1:5" ht="15" x14ac:dyDescent="0.25">
      <c r="A1800" s="5" t="s">
        <v>5158</v>
      </c>
      <c r="B1800" s="6" t="s">
        <v>5159</v>
      </c>
      <c r="C1800" s="3" t="str">
        <f ca="1">IFERROR(__xludf.DUMMYFUNCTION("GOOGLETRANSLATE(B1800,""auto"",""en"")"),"This article discloses a system and method to generate the role summary associated with one or more athletes. Computing system retrieval information for multiple teams for multiple events. The computing system generates the spatial output of each athlete."&amp;" Calculate system recognition to match the style associated with each team. Calculate system recognition athletes or teams adopted between two districts. The computing system recognizes the process of each athlete's participation team. Based on the event "&amp;"information, the computing system generates scores corresponding to the value of the athletes participating in the given competition. Based on the event information, the computing system generates scores associated with each athlete's pass ability. The co"&amp;"mputing system determines the shooting style of each athlete based on the event information. Calculate system recognition role -related roles with each athlete.")</f>
        <v>This article discloses a system and method to generate the role summary associated with one or more athletes. Computing system retrieval information for multiple teams for multiple events. The computing system generates the spatial output of each athlete. Calculate system recognition to match the style associated with each team. Calculate system recognition athletes or teams adopted between two districts. The computing system recognizes the process of each athlete's participation team. Based on the event information, the computing system generates scores corresponding to the value of the athletes participating in the given competition. Based on the event information, the computing system generates scores associated with each athlete's pass ability. The computing system determines the shooting style of each athlete based on the event information. Calculate system recognition role -related roles with each athlete.</v>
      </c>
      <c r="D1800" s="6" t="s">
        <v>5160</v>
      </c>
      <c r="E1800" s="4" t="str">
        <f ca="1">IFERROR(__xludf.DUMMYFUNCTION("GOOGLETRANSLATE(D1800,""auto"",""en"")"),"Learn to generate characters in sports through unsupervised learning")</f>
        <v>Learn to generate characters in sports through unsupervised learning</v>
      </c>
    </row>
    <row r="1801" spans="1:5" ht="15" x14ac:dyDescent="0.25">
      <c r="A1801" s="5" t="s">
        <v>5161</v>
      </c>
      <c r="B1801" s="6" t="s">
        <v>5162</v>
      </c>
      <c r="C1801" s="3" t="str">
        <f ca="1">IFERROR(__xludf.DUMMYFUNCTION("GOOGLETRANSLATE(B1801,""auto"",""en"")"),"Calculate the system to retrieve the ball -round data of multiple sports events. The computing system generates trained neural networks based on the formation of ball -rounding data. The ball -free data supplement has the environmental characteristics of "&amp;"the ball -free competition and the personalized embedding of the player and the shooter based on each pitch. The computing system receiving the target of the pitching of the passing goal in the target match. Calculating system recognition of the goals of "&amp;"the pitching window before the pitching to be passed. Calculate the system to retrieve the historical picked data of the goal and the goal pitching player. The computing system generates personalized embedding based on historical ball -rounding data as a "&amp;"target. The computing system predicts the type of pitching that will be passed on based on the target goals and personalized embedded.")</f>
        <v>Calculate the system to retrieve the ball -round data of multiple sports events. The computing system generates trained neural networks based on the formation of ball -rounding data. The ball -free data supplement has the environmental characteristics of the ball -free competition and the personalized embedding of the player and the shooter based on each pitch. The computing system receiving the target of the pitching of the passing goal in the target match. Calculating system recognition of the goals of the pitching window before the pitching to be passed. Calculate the system to retrieve the historical picked data of the goal and the goal pitching player. The computing system generates personalized embedding based on historical ball -rounding data as a target. The computing system predicts the type of pitching that will be passed on based on the target goals and personalized embedded.</v>
      </c>
      <c r="D1801" s="6" t="s">
        <v>5157</v>
      </c>
      <c r="E1801" s="4" t="str">
        <f ca="1">IFERROR(__xludf.DUMMYFUNCTION("GOOGLETRANSLATE(D1801,""auto"",""en"")"),"Use personalized deep neural network dynamic prediction to hit the ball")</f>
        <v>Use personalized deep neural network dynamic prediction to hit the ball</v>
      </c>
    </row>
    <row r="1802" spans="1:5" ht="15" x14ac:dyDescent="0.25">
      <c r="A1802" s="5" t="s">
        <v>5163</v>
      </c>
      <c r="B1802" s="6" t="s">
        <v>5152</v>
      </c>
      <c r="C1802" s="3" t="str">
        <f ca="1">IFERROR(__xludf.DUMMYFUNCTION("GOOGLETRANSLATE(B1802,""auto"",""en"")"),"This article discloses a system and method for generating the character related to one or more players. One computing system retrieves the event information of multiple teams for multiple incidents. The computing system generates the space output of each "&amp;"player. Calculate system recognition of the style related to each team. Calculate the path set between players or teams between the two areas. Calculate the system to identify the participation of each player during the team. The computing system correspo"&amp;"nds to the scores corresponding to the value of the game based on the event information generation to the player's participation. The computing system is based on event information generation to associate the scores of each player's passing ability. The c"&amp;"omputing system determines the way of hitting each player based on event information. Calculate system recognition role -related roles with each player.")</f>
        <v>This article discloses a system and method for generating the character related to one or more players. One computing system retrieves the event information of multiple teams for multiple incidents. The computing system generates the space output of each player. Calculate system recognition of the style related to each team. Calculate the path set between players or teams between the two areas. Calculate the system to identify the participation of each player during the team. The computing system corresponds to the scores corresponding to the value of the game based on the event information generation to the player's participation. The computing system is based on event information generation to associate the scores of each player's passing ability. The computing system determines the way of hitting each player based on event information. Calculate system recognition role -related roles with each player.</v>
      </c>
      <c r="D1802" s="6" t="s">
        <v>5153</v>
      </c>
      <c r="E1802" s="4" t="str">
        <f ca="1">IFERROR(__xludf.DUMMYFUNCTION("GOOGLETRANSLATE(D1802,""auto"",""en"")"),"Learn the role in exercise through unsupervised learning")</f>
        <v>Learn the role in exercise through unsupervised learning</v>
      </c>
    </row>
    <row r="1803" spans="1:5" ht="15" x14ac:dyDescent="0.25">
      <c r="A1803" s="5" t="s">
        <v>5164</v>
      </c>
      <c r="B1803" s="6" t="s">
        <v>5156</v>
      </c>
      <c r="C1803" s="3" t="str">
        <f ca="1">IFERROR(__xludf.DUMMYFUNCTION("GOOGLETRANSLATE(B1803,""auto"",""en"")"),"A computing system retrieves the ball -round data of multiple sports events. The computing system generates a well -trained neural network based on the ball -rounding data, supplemented by the characteristics of the goals and the context of the ball -roun"&amp;"ding match and the personalized embedding of the player and the snapper. The computing system receives the target player and the target pitch to pass the pitch in the target event. Calculate the target data of the stadium window before the stadium to be p"&amp;"assed. The computing system retrieves the historical ball -by -ball -free data of each target player and target. The computing system strikes a personalized embedding based on historical goals and targets. The computing system is based on the target goals"&amp;" and personalized embedding prediction.")</f>
        <v>A computing system retrieves the ball -round data of multiple sports events. The computing system generates a well -trained neural network based on the ball -rounding data, supplemented by the characteristics of the goals and the context of the ball -rounding match and the personalized embedding of the player and the snapper. The computing system receives the target player and the target pitch to pass the pitch in the target event. Calculate the target data of the stadium window before the stadium to be passed. The computing system retrieves the historical ball -by -ball -free data of each target player and target. The computing system strikes a personalized embedding based on historical goals and targets. The computing system is based on the target goals and personalized embedding prediction.</v>
      </c>
      <c r="D1803" s="6" t="s">
        <v>5165</v>
      </c>
      <c r="E1803" s="4" t="str">
        <f ca="1">IFERROR(__xludf.DUMMYFUNCTION("GOOGLETRANSLATE(D1803,""auto"",""en"")"),"Use personalized deep neural network dynamic prediction shooting type")</f>
        <v>Use personalized deep neural network dynamic prediction shooting type</v>
      </c>
    </row>
    <row r="1804" spans="1:5" ht="15" x14ac:dyDescent="0.25">
      <c r="A1804" s="5" t="s">
        <v>5166</v>
      </c>
      <c r="B1804" s="6" t="s">
        <v>5167</v>
      </c>
      <c r="C1804" s="3" t="str">
        <f ca="1">IFERROR(__xludf.DUMMYFUNCTION("GOOGLETRANSLATE(B1804,""auto"",""en"")"),"Calculate the system to retrieve the ball -round data of multiple sports events. The computing system generates trained neural networks based on the training, supplemented by the characteristics of the characteristics of the goals and the context, and the"&amp;" personalized embedding of each pitching player and the team. The computing system receives the target player and target pitch player to throw a pitch in the target event. Calculate the target ball data of the pitching window before the pitching to be tra"&amp;"nsmitted. The computing system retrieves the historical ball -by -ball -free data of each target player and target. The computing system strikes a personalized embedding based on historical goals and targets. The computing system predicts the type of shoo"&amp;"ting that is thrown according to the target ball data and personalized embedded.")</f>
        <v>Calculate the system to retrieve the ball -round data of multiple sports events. The computing system generates trained neural networks based on the training, supplemented by the characteristics of the characteristics of the goals and the context, and the personalized embedding of each pitching player and the team. The computing system receives the target player and target pitch player to throw a pitch in the target event. Calculate the target ball data of the pitching window before the pitching to be transmitted. The computing system retrieves the historical ball -by -ball -free data of each target player and target. The computing system strikes a personalized embedding based on historical goals and targets. The computing system predicts the type of shooting that is thrown according to the target ball data and personalized embedded.</v>
      </c>
      <c r="D1804" s="6" t="s">
        <v>5157</v>
      </c>
      <c r="E1804" s="4" t="str">
        <f ca="1">IFERROR(__xludf.DUMMYFUNCTION("GOOGLETRANSLATE(D1804,""auto"",""en"")"),"Use personalized deep neural network dynamic prediction to hit the ball")</f>
        <v>Use personalized deep neural network dynamic prediction to hit the ball</v>
      </c>
    </row>
    <row r="1805" spans="1:5" ht="15" x14ac:dyDescent="0.25">
      <c r="A1805" s="5" t="s">
        <v>5168</v>
      </c>
      <c r="B1805" s="6" t="s">
        <v>5169</v>
      </c>
      <c r="C1805" s="3" t="str">
        <f ca="1">IFERROR(__xludf.DUMMYFUNCTION("GOOGLETRANSLATE(B1805,""auto"",""en"")"),"A new energy battery pack safety charging intelligent management method is characterized, including: input end A, constant temperature system B, DC DC input terminal width voltage and voltage voltage circuit module C, rectifier filter circuit D, single -c"&amp;"hip machine controller E, DC flow DC voltage current charging converter F, drive circuit G, DC DC output terminal O, voltage parameter monitoring module V, current parameter monitoring module I, temperature monitoring module T, display P, battery set H, b"&amp;"attery charging module set N, alarm alarm Module J, Internet of Things module W, cloud service management system platform Y; the purpose of the present invention is to overcome existing new energy motor vehicles, electric vehicles, fitness bicycles, cycli"&amp;"ng bicycles, electric bicycles, hand -shaking power devices, light energy, wind energy, wind energy , Water Energy, Ocean Energy and other insufficient power generation and charging technology, provide a rechargeable charging voltage and current of the in"&amp;"telligent management of the Internet of Things to achieve a more secure, faster and efficient charging technical method.")</f>
        <v>A new energy battery pack safety charging intelligent management method is characterized, including: input end A, constant temperature system B, DC DC input terminal width voltage and voltage voltage circuit module C, rectifier filter circuit D, single -chip machine controller E, DC flow DC voltage current charging converter F, drive circuit G, DC DC output terminal O, voltage parameter monitoring module V, current parameter monitoring module I, temperature monitoring module T, display P, battery set H, battery charging module set N, alarm alarm Module J, Internet of Things module W, cloud service management system platform Y; the purpose of the present invention is to overcome existing new energy motor vehicles, electric vehicles, fitness bicycles, cycling bicycles, electric bicycles, hand -shaking power devices, light energy, wind energy, wind energy , Water Energy, Ocean Energy and other insufficient power generation and charging technology, provide a rechargeable charging voltage and current of the intelligent management of the Internet of Things to achieve a more secure, faster and efficient charging technical method.</v>
      </c>
      <c r="D1805" s="6" t="s">
        <v>5170</v>
      </c>
      <c r="E1805" s="4" t="str">
        <f ca="1">IFERROR(__xludf.DUMMYFUNCTION("GOOGLETRANSLATE(D1805,""auto"",""en"")"),"A new energy battery pack safe charging intelligent management method")</f>
        <v>A new energy battery pack safe charging intelligent management method</v>
      </c>
    </row>
    <row r="1806" spans="1:5" ht="15" x14ac:dyDescent="0.25">
      <c r="A1806" s="5" t="s">
        <v>5171</v>
      </c>
      <c r="B1806" s="6" t="s">
        <v>5172</v>
      </c>
      <c r="C1806" s="3" t="str">
        <f ca="1">IFERROR(__xludf.DUMMYFUNCTION("GOOGLETRANSLATE(B1806,""auto"",""en"")"),"A system involving real -time analysis and collecting physiological data. The system allows users to collect players' physiological data to create historical databases to predict and bet on the behavior of players in the course of the game that have not o"&amp;"ccurred. Using algorithms, you can use various physiological data collected by artificial intelligence or machine learning to increase betting odds. This algorithm can determine the results of the game through the physiological data of the player, and the"&amp;"se potential results provide additional data to the betting platform with improved betting odds.")</f>
        <v>A system involving real -time analysis and collecting physiological data. The system allows users to collect players' physiological data to create historical databases to predict and bet on the behavior of players in the course of the game that have not occurred. Using algorithms, you can use various physiological data collected by artificial intelligence or machine learning to increase betting odds. This algorithm can determine the results of the game through the physiological data of the player, and these potential results provide additional data to the betting platform with improved betting odds.</v>
      </c>
      <c r="D1806" s="6" t="s">
        <v>5173</v>
      </c>
      <c r="E1806" s="4" t="str">
        <f ca="1">IFERROR(__xludf.DUMMYFUNCTION("GOOGLETRANSLATE(D1806,""auto"",""en"")"),"Rate the chance of increased physiological data")</f>
        <v>Rate the chance of increased physiological data</v>
      </c>
    </row>
    <row r="1807" spans="1:5" ht="15" x14ac:dyDescent="0.25">
      <c r="A1807" s="5" t="s">
        <v>5174</v>
      </c>
      <c r="B1807" s="6" t="s">
        <v>5175</v>
      </c>
      <c r="C1807" s="3" t="str">
        <f ca="1">IFERROR(__xludf.DUMMYFUNCTION("GOOGLETRANSLATE(B1807,""auto"",""en"")"),"1. Design product name: The compilation video of the display screen panel generates graphic user interface.
 2. The purpose of designing products in this exterior: The graphic user interface of the design of the product is used for human -computer inter"&amp;"action on the display screen panel. The display screen panel is used for mobile phones, tablets, computers, education machines, car navigators, smart TVs, smart TVs, smart TVs, and smart TVs Essence
 3. Design of the design of the product in this exteri"&amp;"or: lies in the graphical user interface displayed in the display screen panel.
 4. Pictures or photos that can most indicate design points: main view.
 5. No design points, omit the rear view, left view, right view, down -view view and viewpoint of t"&amp;"his design product.
 6. The purpose of the graphic user interface: The graphic user interface on the design of the product interface is designed to generate a compilation video for generating game videos. Generate options; users trigger the compilation "&amp;"video generation option Enter the changing state of the state. 1 display the interface of multiple game videos displayed. The information of the competition is displayed on each competition. One dozen and four, and have a video selection option; the user "&amp;"can enter the change state by clicking the corresponding video selection options. Figure 2 or the changes displayed by the change state. For duration, the user can select the next step to enter the interface displayed by the change state. The change state"&amp;" Figure 3 is the selected video time that exceeds the preset duration and pops up the timeout prompt box. The interface displayed by the change of the state is the interface of the user selection of the background music for the user's compilation video. T"&amp;"he interface has a variety of recommended music and users to choose the music for users to choose from, and it has music audition options, music selection options, and submitted music options. After choosing the corresponding music, the user can trigger t"&amp;"he submission of the music option to complete the production of the entire video compilation. Among them, the white box in the above view represents the video shrinkage picture and music album picture, etc. Change status Figure 1 实 3 in actual application"&amp;".")</f>
        <v>1. Design product name: The compilation video of the display screen panel generates graphic user interface.
 2. The purpose of designing products in this exterior: The graphic user interface of the design of the product is used for human -computer interaction on the display screen panel. The display screen panel is used for mobile phones, tablets, computers, education machines, car navigators, smart TVs, smart TVs, smart TVs, and smart TVs Essence
 3. Design of the design of the product in this exterior: lies in the graphical user interface displayed in the display screen panel.
 4. Pictures or photos that can most indicate design points: main view.
 5. No design points, omit the rear view, left view, right view, down -view view and viewpoint of this design product.
 6. The purpose of the graphic user interface: The graphic user interface on the design of the product interface is designed to generate a compilation video for generating game videos. Generate options; users trigger the compilation video generation option Enter the changing state of the state. 1 display the interface of multiple game videos displayed. The information of the competition is displayed on each competition. One dozen and four, and have a video selection option; the user can enter the change state by clicking the corresponding video selection options. Figure 2 or the changes displayed by the change state. For duration, the user can select the next step to enter the interface displayed by the change state. The change state Figure 3 is the selected video time that exceeds the preset duration and pops up the timeout prompt box. The interface displayed by the change of the state is the interface of the user selection of the background music for the user's compilation video. The interface has a variety of recommended music and users to choose the music for users to choose from, and it has music audition options, music selection options, and submitted music options. After choosing the corresponding music, the user can trigger the submission of the music option to complete the production of the entire video compilation. Among them, the white box in the above view represents the video shrinkage picture and music album picture, etc. Change status Figure 1 实 3 in actual application.</v>
      </c>
      <c r="D1807" s="6" t="s">
        <v>5176</v>
      </c>
      <c r="E1807" s="4" t="str">
        <f ca="1">IFERROR(__xludf.DUMMYFUNCTION("GOOGLETRANSLATE(D1807,""auto"",""en"")"),"The compilation video of the display screen panel generates graphic user interface")</f>
        <v>The compilation video of the display screen panel generates graphic user interface</v>
      </c>
    </row>
    <row r="1808" spans="1:5" ht="15" x14ac:dyDescent="0.25">
      <c r="A1808" s="5" t="s">
        <v>5177</v>
      </c>
      <c r="B1808" s="6" t="s">
        <v>5178</v>
      </c>
      <c r="C1808" s="3" t="str">
        <f ca="1">IFERROR(__xludf.DUMMYFUNCTION("GOOGLETRANSLATE(B1808,""auto"",""en"")"),"The present invention provides a neural network -based basketball shooting curve fitting method and system. The method includes: training the neural network model according to the training shooting video to get the basketball recognition model; enter the "&amp;"shooting video to the basketball recognition model Basketball location; obtain the fitting curve of the first preset number of the shooting video, and calculate the fitting value of each fitting curve to use the most fitted curve corresponding to the fitt"&amp;"ing value as the basketball shooting curve; obtain the fitting fitting The curve and the corresponding fitting value include: to be randomly obtained in the video frame in all the video frames in the shooting video to recognize the video frame of the seco"&amp;"nd preset number. Calculate the fitting curve; calculate the weight of the basketball position of all the unrealized video frames and the fitting curve, and use the weight to be used as the fitting value. Benefit effects: Calculate a high -precision baske"&amp;"tball shooting curve.")</f>
        <v>The present invention provides a neural network -based basketball shooting curve fitting method and system. The method includes: training the neural network model according to the training shooting video to get the basketball recognition model; enter the shooting video to the basketball recognition model Basketball location; obtain the fitting curve of the first preset number of the shooting video, and calculate the fitting value of each fitting curve to use the most fitted curve corresponding to the fitting value as the basketball shooting curve; obtain the fitting fitting The curve and the corresponding fitting value include: to be randomly obtained in the video frame in all the video frames in the shooting video to recognize the video frame of the second preset number. Calculate the fitting curve; calculate the weight of the basketball position of all the unrealized video frames and the fitting curve, and use the weight to be used as the fitting value. Benefit effects: Calculate a high -precision basketball shooting curve.</v>
      </c>
      <c r="D1808" s="6" t="s">
        <v>5179</v>
      </c>
      <c r="E1808" s="4" t="str">
        <f ca="1">IFERROR(__xludf.DUMMYFUNCTION("GOOGLETRANSLATE(D1808,""auto"",""en"")"),"The fitting method and system of basketball shooting curve based on neural network")</f>
        <v>The fitting method and system of basketball shooting curve based on neural network</v>
      </c>
    </row>
    <row r="1809" spans="1:5" ht="15" x14ac:dyDescent="0.25">
      <c r="A1809" s="5" t="s">
        <v>5180</v>
      </c>
      <c r="B1809" s="6" t="s">
        <v>5181</v>
      </c>
      <c r="C1809" s="3" t="str">
        <f ca="1">IFERROR(__xludf.DUMMYFUNCTION("GOOGLETRANSLATE(B1809,""auto"",""en"")"),"1. Design product name: Health management graphic user interface for display screen panels.
 2. Design product use: The display screen panel is used to display the graphical user interface.
 3. Design of the design of the product in appearance: lies i"&amp;"n the graphic user interface.
 4. Pictures or photos that can best show design: Design 1 main view.
 5. Specify design 1 is the basic design.
 6. The purpose of the graphical user interface: for human -machine interaction and realizing the function "&amp;"of display screen panels, and can be used for health management.
 7. Human -machine interaction method of graphical user interface: Graphic user interface can interact through touch, light strike, rolling, or sliding graphical user interface.
 8. The "&amp;"display screen panel and graphic user interface can be applied to vehicles, communication equipment, multimedia equipment, information terminals, portable communication equipment, portable multimedia devices, portable information terminals, computers, lap"&amp;"tops, tablet computers, mobile phones, smart watches, smart hands Ring, fitness monitor, headset headphones, personal digital assistants, smart speakers, television, projector, set -top box, game machine or navigator; display screen panels are commonly de"&amp;"signed, so other views are omitted.")</f>
        <v>1. Design product name: Health management graphic user interface for display screen panels.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for health management.
 7. Human -machine interaction method of graphical user interface: Graphic user interface can interact through touch, light strike, rolling, or sliding graphical user interface.
 8. The display screen panel and graphic user interface can be applied to vehicles, communication equipment, multimedia equipment, information terminals, portable communication equipment, portable multimedia devices, portable information terminals, computers, laptops, tablet computers, mobile phones, smart watches, smart hands Ring, fitness monitor, headset headphones, personal digital assistants, smart speakers, television, projector, set -top box, game machine or navigator; display screen panels are commonly designed, so other views are omitted.</v>
      </c>
      <c r="D1809" s="6" t="s">
        <v>5182</v>
      </c>
      <c r="E1809" s="4" t="str">
        <f ca="1">IFERROR(__xludf.DUMMYFUNCTION("GOOGLETRANSLATE(D1809,""auto"",""en"")"),"Health management graphic user interface for display screen panels")</f>
        <v>Health management graphic user interface for display screen panels</v>
      </c>
    </row>
    <row r="1810" spans="1:5" ht="15" x14ac:dyDescent="0.25">
      <c r="A1810" s="5" t="s">
        <v>5183</v>
      </c>
      <c r="B1810" s="6" t="s">
        <v>5184</v>
      </c>
      <c r="C1810" s="3" t="str">
        <f ca="1">IFERROR(__xludf.DUMMYFUNCTION("GOOGLETRANSLATE(B1810,""auto"",""en"")"),"1. Design product name: Health management icon graphical user interface of the display screen panel.
 2. Design product use: The display screen panel is used to display the graphical user interface.
 3. Design of the design of the product in appearanc"&amp;"e: lies in the graphic user interface.
 4. Pictures or photos that can most indicate design points: Local magnification.
 5. The purpose of the graphical user interface: for human -machine interaction and implementation of the display screen panel, an"&amp;"d can be used to run or execute applications.
 6. Human -machine interaction method of graphical user interface: You can interact with the interface of contact, such as light strike or touching the icon graphical user interface to load the subsequent gr"&amp;"aphical user interface or run the application.
 7. The display screen panel and graphic user interface can be applied to vehicles, communication equipment, multimedia equipment, information terminals, portable communication equipment, portable multimedi"&amp;"a devices, portable information terminals, computers, laptops, tablet computers, mobile phones, smart watches, smart hands Ring, fitness monitor, headset headphones, personal digital assistants, smart speakers, television, projector, set -top box, game ma"&amp;"chine or navigator; display screen panels are commonly designed, so other views are omitted.")</f>
        <v>1. Design product name: Health management icon graphical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Local magnification.
 5. The purpose of the graphical user interface: for human -machine interaction and implementation of the display screen panel, and can be used to run or execute applications.
 6. Human -machine interaction method of graphical user interface: You can interact with the interface of contact, such as light strike or touching the icon graphical user interface to load the subsequent graphical user interface or run the application.
 7. The display screen panel and graphic user interface can be applied to vehicles, communication equipment, multimedia equipment, information terminals, portable communication equipment, portable multimedia devices, portable information terminals, computers, laptops, tablet computers, mobile phones, smart watches, smart hands Ring, fitness monitor, headset headphones, personal digital assistants, smart speakers, television, projector, set -top box, game machine or navigator; display screen panels are commonly designed, so other views are omitted.</v>
      </c>
      <c r="D1810" s="6" t="s">
        <v>5124</v>
      </c>
      <c r="E1810" s="4" t="str">
        <f ca="1">IFERROR(__xludf.DUMMYFUNCTION("GOOGLETRANSLATE(D1810,""auto"",""en"")"),"The health management icon user interface of the display screen panel")</f>
        <v>The health management icon user interface of the display screen panel</v>
      </c>
    </row>
    <row r="1811" spans="1:5" ht="15" x14ac:dyDescent="0.25">
      <c r="A1811" s="5" t="s">
        <v>5185</v>
      </c>
      <c r="B1811" s="6" t="s">
        <v>5186</v>
      </c>
      <c r="C1811" s="3" t="str">
        <f ca="1">IFERROR(__xludf.DUMMYFUNCTION("GOOGLETRANSLATE(B1811,""auto"",""en"")"),"1. Design product name: Health management graphic user interface for display screen panels.
 2. Design product use: The display screen panel is used to display the graphical user interface.
 3. Design of the design of the product in appearance: lies i"&amp;"n the graphic user interface.
 4. Pictures or photos that can most indicate design points: main view.
 5. The purpose of the graphical user interface: for human -machine interaction and implementation of the display screen panel, and can be used for h"&amp;"ealth management.
 6. Human -computer interaction method of graphical user interface: Graphic user interface can interact through touch, light strike, rolling, or sliding graphical user interface.
 7.显示屏幕面板和图形用户界面可以应用于车辆、计算机、笔记本电脑、平板电脑、手机、智能手表、智能手环、健身"&amp;"监视器、头戴式耳机、智能音箱、电视、投影仪、机顶盒、 Game machines or navigators; display screen panels are commonly designed, so other views are omitted.")</f>
        <v>1. Design product name: Health management graphic user interface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health management.
 6. Human -computer interaction method of graphical user interface: Graphic user interface can interact through touch, light strike, rolling, or sliding graphical user interface.
 7.显示屏幕面板和图形用户界面可以应用于车辆、计算机、笔记本电脑、平板电脑、手机、智能手表、智能手环、健身监视器、头戴式耳机、智能音箱、电视、投影仪、机顶盒、 Game machines or navigators; display screen panels are commonly designed, so other views are omitted.</v>
      </c>
      <c r="D1811" s="6" t="s">
        <v>5182</v>
      </c>
      <c r="E1811" s="4" t="str">
        <f ca="1">IFERROR(__xludf.DUMMYFUNCTION("GOOGLETRANSLATE(D1811,""auto"",""en"")"),"Health management graphic user interface for display screen panels")</f>
        <v>Health management graphic user interface for display screen panels</v>
      </c>
    </row>
    <row r="1812" spans="1:5" ht="15" x14ac:dyDescent="0.25">
      <c r="A1812" s="5" t="s">
        <v>5187</v>
      </c>
      <c r="B1812" s="6" t="s">
        <v>5188</v>
      </c>
      <c r="C1812" s="3" t="str">
        <f ca="1">IFERROR(__xludf.DUMMYFUNCTION("GOOGLETRANSLATE(B1812,""auto"",""en"")"),"1. Design product name: Health management graphic user interface for display screen panels.
 2. Design product use: The display screen panel is used to display the graphical user interface.
 3. Design of the design of the product in appearance: lies i"&amp;"n the graphic user interface.
 4. Pictures or photos that can most indicate design points: main view.
 5. The purpose of the graphical user interface: for human -machine interaction and implementation of the display screen panel, and can be used for h"&amp;"ealth management.
 6. Human -computer interaction method of graphical user interface: Graphic user interface can interact through touch, light strike, rolling, or sliding graphical user interface.
 The user can click the ""log meal"" in the interface "&amp;"shown in the main view, and the interface changes from the main view to the interface change state diagram.
 7. Change state description of the graphic user interface: The appearance of the graphical user interface changes between the main view and the "&amp;"interface change state diagram.
 8.显示屏幕面板和图形用户界面可以应用于车辆、计算机、笔记本电脑、平板电脑、手机、智能手表、智能手环、健身监视器、头戴式耳机、智能音箱、电视、投影仪、机顶盒、 Game machines or navigators; display screen panels are commonly designed, so other views are omitted.")</f>
        <v>1. Design product name: Health management graphic user interface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health management.
 6. Human -computer interaction method of graphical user interface: Graphic user interface can interact through touch, light strike, rolling, or sliding graphical user interface.
 The user can click the "log meal" in the interface shown in the main view, and the interface changes from the main view to the interface change state diagram.
 7. Change state description of the graphic user interface: The appearance of the graphical user interface changes between the main view and the interface change state diagram.
 8.显示屏幕面板和图形用户界面可以应用于车辆、计算机、笔记本电脑、平板电脑、手机、智能手表、智能手环、健身监视器、头戴式耳机、智能音箱、电视、投影仪、机顶盒、 Game machines or navigators; display screen panels are commonly designed, so other views are omitted.</v>
      </c>
      <c r="D1812" s="6" t="s">
        <v>5182</v>
      </c>
      <c r="E1812" s="4" t="str">
        <f ca="1">IFERROR(__xludf.DUMMYFUNCTION("GOOGLETRANSLATE(D1812,""auto"",""en"")"),"Health management graphic user interface for display screen panels")</f>
        <v>Health management graphic user interface for display screen panels</v>
      </c>
    </row>
    <row r="1813" spans="1:5" ht="15" x14ac:dyDescent="0.25">
      <c r="A1813" s="5" t="s">
        <v>5189</v>
      </c>
      <c r="B1813" s="6" t="s">
        <v>5190</v>
      </c>
      <c r="C1813" s="3" t="str">
        <f ca="1">IFERROR(__xludf.DUMMYFUNCTION("GOOGLETRANSLATE(B1813,""auto"",""en"")"),"1. Design product name: Health management graphic user interface for display screen panels.
 2. Design product use: The display screen panel is used to display the graphical user interface.
 3. Design of the design of the product in appearance: lies i"&amp;"n the graphic user interface.
 4. Pictures or photos that can most indicate design points: main view.
 5. The purpose of the graphical user interface: for human -machine interaction and the function of the screen panel, and can be used for health mana"&amp;"gement.
 6. Human -computer interaction method of graphical user interface: Graphic user interface can interact through touch, light strike, rolling, or sliding graphical user interface.
 The user can click the additional button in the interface shown"&amp;" in the main view to enter the information record interface to display the changing state of the interface Figure 1.
 You can click the saving button to display the interface change state Figure 2, and the recorded information is displayed below the int"&amp;"erface.
 Click the view amplification button to display the changes in the interface Figure 3 to amplify the information of the display record.
 7. Change state description of graphical user interface: The appearance of the graphic user interface is i"&amp;"n turn in the main view and interface changes. Figure 1. The interface change state figure 2. The interface changes are changed between graph 3.
 8.显示屏幕面板和图形用户界面可以应用于车辆、计算机、笔记本电脑、平板电脑、手机、智能手表、智能手环、健身监视器、头戴式耳机、智能音箱、电视、投影仪、机顶盒、 Game machines or navigators"&amp;"; display screen panels are commonly designed, so other views are omitted.")</f>
        <v>1. Design product name: Health management graphic user interface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the function of the screen panel, and can be used for health management.
 6. Human -computer interaction method of graphical user interface: Graphic user interface can interact through touch, light strike, rolling, or sliding graphical user interface.
 The user can click the additional button in the interface shown in the main view to enter the information record interface to display the changing state of the interface Figure 1.
 You can click the saving button to display the interface change state Figure 2, and the recorded information is displayed below the interface.
 Click the view amplification button to display the changes in the interface Figure 3 to amplify the information of the display record.
 7. Change state description of graphical user interface: The appearance of the graphic user interface is in turn in the main view and interface changes. Figure 1. The interface change state figure 2. The interface changes are changed between graph 3.
 8.显示屏幕面板和图形用户界面可以应用于车辆、计算机、笔记本电脑、平板电脑、手机、智能手表、智能手环、健身监视器、头戴式耳机、智能音箱、电视、投影仪、机顶盒、 Game machines or navigators; display screen panels are commonly designed, so other views are omitted.</v>
      </c>
      <c r="D1813" s="6" t="s">
        <v>5182</v>
      </c>
      <c r="E1813" s="4" t="str">
        <f ca="1">IFERROR(__xludf.DUMMYFUNCTION("GOOGLETRANSLATE(D1813,""auto"",""en"")"),"Health management graphic user interface for display screen panels")</f>
        <v>Health management graphic user interface for display screen panels</v>
      </c>
    </row>
    <row r="1814" spans="1:5" ht="15" x14ac:dyDescent="0.25">
      <c r="A1814" s="5" t="s">
        <v>5191</v>
      </c>
      <c r="B1814" s="6" t="s">
        <v>5186</v>
      </c>
      <c r="C1814" s="3" t="str">
        <f ca="1">IFERROR(__xludf.DUMMYFUNCTION("GOOGLETRANSLATE(B1814,""auto"",""en"")"),"1. Design product name: Health management graphic user interface for display screen panels.
 2. Design product use: The display screen panel is used to display the graphical user interface.
 3. Design of the design of the product in appearance: lies i"&amp;"n the graphic user interface.
 4. Pictures or photos that can most indicate design points: main view.
 5. The purpose of the graphical user interface: for human -machine interaction and implementation of the display screen panel, and can be used for h"&amp;"ealth management.
 6. Human -computer interaction method of graphical user interface: Graphic user interface can interact through touch, light strike, rolling, or sliding graphical user interface.
 7.显示屏幕面板和图形用户界面可以应用于车辆、计算机、笔记本电脑、平板电脑、手机、智能手表、智能手环、健身"&amp;"监视器、头戴式耳机、智能音箱、电视、投影仪、机顶盒、 Game machines or navigators; display screen panels are commonly designed, so other views are omitted.")</f>
        <v>1. Design product name: Health management graphic user interface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health management.
 6. Human -computer interaction method of graphical user interface: Graphic user interface can interact through touch, light strike, rolling, or sliding graphical user interface.
 7.显示屏幕面板和图形用户界面可以应用于车辆、计算机、笔记本电脑、平板电脑、手机、智能手表、智能手环、健身监视器、头戴式耳机、智能音箱、电视、投影仪、机顶盒、 Game machines or navigators; display screen panels are commonly designed, so other views are omitted.</v>
      </c>
      <c r="D1814" s="6" t="s">
        <v>5182</v>
      </c>
      <c r="E1814" s="4" t="str">
        <f ca="1">IFERROR(__xludf.DUMMYFUNCTION("GOOGLETRANSLATE(D1814,""auto"",""en"")"),"Health management graphic user interface for display screen panels")</f>
        <v>Health management graphic user interface for display screen panels</v>
      </c>
    </row>
    <row r="1815" spans="1:5" ht="15" x14ac:dyDescent="0.25">
      <c r="A1815" s="5" t="s">
        <v>5192</v>
      </c>
      <c r="B1815" s="6" t="s">
        <v>5193</v>
      </c>
      <c r="C1815" s="3" t="str">
        <f ca="1">IFERROR(__xludf.DUMMYFUNCTION("GOOGLETRANSLATE(B1815,""auto"",""en"")"),"The present invention provides a terrain matching control method and device of the virtual reality runner, which solves the technical problem of lacking effective terrain matching methods for sports topography in virtual reality scenes in virtual reality "&amp;"scenes. Methods include high data of ground objects in virtual scenarios through the quantitative terrain data; determine the current ground object through speed changes in virtual scenes, and adjust the relative slope of the treadmill according to the hi"&amp;"gh data of the current ground object. Using the real height characteristics of ground objects as feedback, it is necessary to avoid frequent use of human -computer interconnection means to correct the high output of the support motor when running a physic"&amp;"al treadmill to express the high characteristics. At the same time, the control process of the slope of the pace forms automatic feedback. Based on automatic feedback, it is possible to optimize the human -machine interaction process and simplify sensor s"&amp;"ettings. Further, using the automatic feedback process can actively adjust the amount of exercise for the physiological characteristics of the athletes and achieve scientific sports and fitness.")</f>
        <v>The present invention provides a terrain matching control method and device of the virtual reality runner, which solves the technical problem of lacking effective terrain matching methods for sports topography in virtual reality scenes in virtual reality scenes. Methods include high data of ground objects in virtual scenarios through the quantitative terrain data; determine the current ground object through speed changes in virtual scenes, and adjust the relative slope of the treadmill according to the high data of the current ground object. Using the real height characteristics of ground objects as feedback, it is necessary to avoid frequent use of human -computer interconnection means to correct the high output of the support motor when running a physical treadmill to express the high characteristics. At the same time, the control process of the slope of the pace forms automatic feedback. Based on automatic feedback, it is possible to optimize the human -machine interaction process and simplify sensor settings. Further, using the automatic feedback process can actively adjust the amount of exercise for the physiological characteristics of the athletes and achieve scientific sports and fitness.</v>
      </c>
      <c r="D1815" s="6" t="s">
        <v>5194</v>
      </c>
      <c r="E1815" s="4" t="str">
        <f ca="1">IFERROR(__xludf.DUMMYFUNCTION("GOOGLETRANSLATE(D1815,""auto"",""en"")"),"A terrain matching control method and device of a virtual reality runner")</f>
        <v>A terrain matching control method and device of a virtual reality runner</v>
      </c>
    </row>
    <row r="1816" spans="1:5" ht="15" x14ac:dyDescent="0.25">
      <c r="A1816" s="5" t="s">
        <v>5195</v>
      </c>
      <c r="B1816" s="6" t="s">
        <v>5196</v>
      </c>
      <c r="C1816" s="3" t="str">
        <f ca="1">IFERROR(__xludf.DUMMYFUNCTION("GOOGLETRANSLATE(B1816,""auto"",""en"")"),"The present invention disclosed an OHT checking device. According to the present invention, the tunnel -type shell includes entrances and exports. OHT can enter and exit through the entrance and exit; sound sensor is set on the side of the tunnel -shaped "&amp;"shell; no motivation treadmill allows multiple multiple in the transport unit of OHT. When the wheel is driven, it is positioned in the tunnel shape shell; the controller will be used as an image from the acoustic signal received from the acoustic sensor "&amp;"and input the pre -processing image into the convolutional neural network model Essence")</f>
        <v>The present invention disclosed an OHT checking device. According to the present invention, the tunnel -type shell includes entrances and exports. OHT can enter and exit through the entrance and exit; sound sensor is set on the side of the tunnel -shaped shell; no motivation treadmill allows multiple multiple in the transport unit of OHT. When the wheel is driven, it is positioned in the tunnel shape shell; the controller will be used as an image from the acoustic signal received from the acoustic sensor and input the pre -processing image into the convolutional neural network model Essence</v>
      </c>
      <c r="D1816" s="6" t="s">
        <v>5197</v>
      </c>
      <c r="E1816" s="4" t="str">
        <f ca="1">IFERROR(__xludf.DUMMYFUNCTION("GOOGLETRANSLATE(D1816,""auto"",""en"")"),"OHT inspection device")</f>
        <v>OHT inspection device</v>
      </c>
    </row>
    <row r="1817" spans="1:5" ht="15" x14ac:dyDescent="0.25">
      <c r="A1817" s="5" t="s">
        <v>5198</v>
      </c>
      <c r="B1817" s="6" t="s">
        <v>5199</v>
      </c>
      <c r="C1817" s="3" t="str">
        <f ca="1">IFERROR(__xludf.DUMMYFUNCTION("GOOGLETRANSLATE(B1817,""auto"",""en"")"),"The trained machine learning model is used to determine the scores (for example, trust scores) registered in video game services, and the score is used to match the player together in multiplayer video game settings. During the example, the computing syst"&amp;"em can access the data associated with the registered user account, provides the data as the input to the trained machine learning model, and the trained machine learning model rays as the output. When playing video games, players perhaps the probability "&amp;"of performance or non -performance according to specific behaviors. Since then, at least part of the scores determined for those login user accounts can be allocated to the subset of the sub-user account of the video game to different competitions, and th"&amp;"e video game is in the distribution of the game for each login-in the user account middle.")</f>
        <v>The trained machine learning model is used to determine the scores (for example, trust scores) registered in video game services, and the score is used to match the player together in multiplayer video game settings. During the example, the computing system can access the data associated with the registered user account, provides the data as the input to the trained machine learning model, and the trained machine learning model rays as the output. When playing video games, players perhaps the probability of performance or non -performance according to specific behaviors. Since then, at least part of the scores determined for those login user accounts can be allocated to the subset of the sub-user account of the video game to different competitions, and the video game is in the distribution of the game for each login-in the user account middle.</v>
      </c>
      <c r="D1817" s="6" t="s">
        <v>5200</v>
      </c>
      <c r="E1817" s="4" t="str">
        <f ca="1">IFERROR(__xludf.DUMMYFUNCTION("GOOGLETRANSLATE(D1817,""auto"",""en"")"),"Machine learning trust score for players paired")</f>
        <v>Machine learning trust score for players paired</v>
      </c>
    </row>
    <row r="1818" spans="1:5" ht="15" x14ac:dyDescent="0.25">
      <c r="A1818" s="5" t="s">
        <v>5201</v>
      </c>
      <c r="B1818" s="6" t="s">
        <v>5202</v>
      </c>
      <c r="C1818" s="3" t="str">
        <f ca="1">IFERROR(__xludf.DUMMYFUNCTION("GOOGLETRANSLATE(B1818,""auto"",""en"")"),"The present invention has disclosed a guidance system that can improve the performance of employees in the field of respect to improve the productivity of individuals in the company's performance. The feedback system can more accurately generate feedback,"&amp;" so as to easily identify the employee's weaknesses and fields of advantages, feedback systems can understand employees from the perspective of all related interests, thereby generating rating in the improvement field. Training and guidance) cycle to solv"&amp;"e the ability of weak links. The system uses artificial intelligence methods to recommend the instructor participating in the field, and automatically assign mentors to guide and monitor the progress, and propose corrective measures when needed.")</f>
        <v>The present invention has disclosed a guidance system that can improve the performance of employees in the field of respect to improve the productivity of individuals in the company's performance. The feedback system can more accurately generate feedback, so as to easily identify the employee's weaknesses and fields of advantages, feedback systems can understand employees from the perspective of all related interests, thereby generating rating in the improvement field. Training and guidance) cycle to solve the ability of weak links. The system uses artificial intelligence methods to recommend the instructor participating in the field, and automatically assign mentors to guide and monitor the progress, and propose corrective measures when needed.</v>
      </c>
      <c r="D1818" s="6" t="s">
        <v>5203</v>
      </c>
      <c r="E1818" s="4" t="str">
        <f ca="1">IFERROR(__xludf.DUMMYFUNCTION("GOOGLETRANSLATE(D1818,""auto"",""en"")"),"A new method and method that improves employees' respect for employees through digital technology")</f>
        <v>A new method and method that improves employees' respect for employees through digital technology</v>
      </c>
    </row>
    <row r="1819" spans="1:5" ht="15" x14ac:dyDescent="0.25">
      <c r="A1819" s="5" t="s">
        <v>5204</v>
      </c>
      <c r="B1819" s="6" t="s">
        <v>5205</v>
      </c>
      <c r="C1819" s="3" t="str">
        <f ca="1">IFERROR(__xludf.DUMMYFUNCTION("GOOGLETRANSLATE(B1819,""auto"",""en"")"),"The present invention disclosed a volleyball game management system based on big data, involving the field of volleyball game management technology. The volleyball game management system based on big data, including the terminal module, is used to achieve"&amp;" human -machine interaction; the database module module module module module module module module module module module module , The database module is used to store user information, competition mode, competition rules, and participation requirements; eve"&amp;"nt management modules, the event management module is used to achieve the management of the event; The application module is used to achieve visual management of the data of the event; the management system provided by the present invention can realize th"&amp;"e visual management of volleyball events, facilitate the review and error correction of the event, and prevent the management errors in the management of volleyball games. To achieve efficient management of volleyball games, it will help the orderly devel"&amp;"opment of volleyball games.")</f>
        <v>The present invention disclosed a volleyball game management system based on big data, involving the field of volleyball game management technology. The volleyball game management system based on big data, including the terminal module, is used to achieve human -machine interaction; the database module module module module module module module module module module module module , The database module is used to store user information, competition mode, competition rules, and participation requirements; event management modules, the event management module is used to achieve the management of the event; The application module is used to achieve visual management of the data of the event; the management system provided by the present invention can realize the visual management of volleyball events, facilitate the review and error correction of the event, and prevent the management errors in the management of volleyball games. To achieve efficient management of volleyball games, it will help the orderly development of volleyball games.</v>
      </c>
      <c r="D1819" s="6" t="s">
        <v>5206</v>
      </c>
      <c r="E1819" s="4" t="str">
        <f ca="1">IFERROR(__xludf.DUMMYFUNCTION("GOOGLETRANSLATE(D1819,""auto"",""en"")"),"A volleyball game management system based on big data")</f>
        <v>A volleyball game management system based on big data</v>
      </c>
    </row>
    <row r="1820" spans="1:5" ht="15" x14ac:dyDescent="0.25">
      <c r="A1820" s="5" t="s">
        <v>5207</v>
      </c>
      <c r="B1820" s="6" t="s">
        <v>5208</v>
      </c>
      <c r="C1820" s="3" t="str">
        <f ca="1">IFERROR(__xludf.DUMMYFUNCTION("GOOGLETRANSLATE(B1820,""auto"",""en"")"),"The present invention proposes a smart image recognition swimming timing system and timing method based on machine learning. The system includes a swimming pool. There is a K -striper lane in the swimming pool. The lane, the second lane, the 3rd lane, ..."&amp;", ..., the first K lane, is characterized by setting up the image acquisition display and the timer connected to the image collection display at the beginning of each lane; It also includes the chronograph host, the performance processing host and the lar"&amp;"ge screen display. Essence The invention can take time according to the camera to the swimmers in their lanes.")</f>
        <v>The present invention proposes a smart image recognition swimming timing system and timing method based on machine learning. The system includes a swimming pool. There is a K -striper lane in the swimming pool. The lane, the second lane, the 3rd lane, ..., ..., the first K lane, is characterized by setting up the image acquisition display and the timer connected to the image collection display at the beginning of each lane; It also includes the chronograph host, the performance processing host and the large screen display. Essence The invention can take time according to the camera to the swimmers in their lanes.</v>
      </c>
      <c r="D1820" s="6" t="s">
        <v>5209</v>
      </c>
      <c r="E1820" s="4" t="str">
        <f ca="1">IFERROR(__xludf.DUMMYFUNCTION("GOOGLETRANSLATE(D1820,""auto"",""en"")"),"Smart image recognition swimming timing system and timing method based on machine learning")</f>
        <v>Smart image recognition swimming timing system and timing method based on machine learning</v>
      </c>
    </row>
    <row r="1821" spans="1:5" ht="15" x14ac:dyDescent="0.25">
      <c r="A1821" s="5" t="s">
        <v>5210</v>
      </c>
      <c r="B1821" s="6" t="s">
        <v>5211</v>
      </c>
      <c r="C1821" s="3" t="str">
        <f ca="1">IFERROR(__xludf.DUMMYFUNCTION("GOOGLETRANSLATE(B1821,""auto"",""en"")"),"1. The name of the product of the design of the product: The running training auxiliary graphic user interface of the display screen panel.
 2. The purpose of designing products in this exterior: It is used for running software. The display screen is us"&amp;"ed for mobile phones, tablets, treadmills, elliptical machines, dynamic bicycles, rowing machines, mountaineers, fitness cars.
 3. Design of the design of the product in this exterior: lies in the software graphics user interface displayed in the screen"&amp;".
 4. Pictures or photos that can most indicate design points: main view.
 5. There is no design point for other views, omitting other views.
 6. The purpose of the graphical user interface: The design of this appearance is used to assist the user's"&amp;" graphical user interface for running courses.
 7. Human -computer interaction method of graphical user interface: The main view is the main interface of starting running, and the main view is the current GPS signal good display interface; when the GPS "&amp;"signal is poor When the interface changes state in Figure 1, the ""treadmill"" option is displayed in the interface changes. Figure 2; the transformation of the interface of the upward interface Figure 2 will display the details of the fat -burning course"&amp;". 4 to switch to the display interface of the auxiliary training; the interface change state Figure 5 is the display interface that switches to the event event.")</f>
        <v>1. The name of the product of the design of the product: The running training auxiliary graphic user interface of the display screen panel.
 2. The purpose of designing products in this exterior: It is used for running software. The display screen is used for mobile phones, tablets, treadmills, elliptical machines, dynamic bicycles, rowing machines, mountaineers, fitness cars.
 3. Design of the design of the product in this exterior: lies in the software graphics user interface displayed in the screen.
 4. Pictures or photos that can most indicate design points: main view.
 5. There is no design point for other views, omitting other views.
 6. The purpose of the graphical user interface: The design of this appearance is used to assist the user's graphical user interface for running courses.
 7. Human -computer interaction method of graphical user interface: The main view is the main interface of starting running, and the main view is the current GPS signal good display interface; when the GPS signal is poor When the interface changes state in Figure 1, the "treadmill" option is displayed in the interface changes. Figure 2; the transformation of the interface of the upward interface Figure 2 will display the details of the fat -burning course. 4 to switch to the display interface of the auxiliary training; the interface change state Figure 5 is the display interface that switches to the event event.</v>
      </c>
      <c r="D1821" s="6" t="s">
        <v>5212</v>
      </c>
      <c r="E1821" s="4" t="str">
        <f ca="1">IFERROR(__xludf.DUMMYFUNCTION("GOOGLETRANSLATE(D1821,""auto"",""en"")"),"Running training auxiliary graphics user interface of display screen panel")</f>
        <v>Running training auxiliary graphics user interface of display screen panel</v>
      </c>
    </row>
    <row r="1822" spans="1:5" ht="15" x14ac:dyDescent="0.25">
      <c r="A1822" s="5" t="s">
        <v>5213</v>
      </c>
      <c r="B1822" s="6" t="s">
        <v>5214</v>
      </c>
      <c r="C1822" s="3" t="str">
        <f ca="1">IFERROR(__xludf.DUMMYFUNCTION("GOOGLETRANSLATE(B1822,""auto"",""en"")"),"1. Design product name: The display user information of the display user information of the display screen panel.
 2. Design product use: The display screen panel is used to display the graphical user interface.
 3. Design of the design of the product"&amp;" in appearance: lies in the graphic user interface.
 4. Pictures or photos that can best show design: Design 1 main view.
 5. Specify design 1 is the basic design.
 6. The purpose of the graphical user interface: for human -machine interaction and r"&amp;"ealization of the function of display screen panels, and can be used to display, record and track user information related to medical data, for example, arrhythmia, pulse, cardiovascular health, atrial fibrillation, atrial fibrillation, atrial fibrillatio"&amp;"n, atrial fibrillation Load, etc.
 7. Human -computer interaction method of graphical user interface: Graphic user interface can interact with light strike or sliding graphics user interface.
 8. Design 1 Request to protect color.
 The display scree"&amp;"n panel can be applied to computers, laptops, tablets, mobile phones, smartphones, smart mobile phones, smart glasses, watches, smart watches, fitness monitors, headset headphones, personal digital assistants, smart speakers, TV, surveillance, surveillanc"&amp;"e Instruments, projectors, set -top boxes, game machines, navigators, display devices for vehicles; display screen panels are commonly designed, so they omit other views.")</f>
        <v>1. Design product name: The display user information of the display user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realization of the function of display screen panels, and can be used to display, record and track user information related to medical data, for example, arrhythmia, pulse, cardiovascular health, atrial fibrillation, atrial fibrillation, atrial fibrillation, atrial fibrillation Load, etc.
 7. Human -computer interaction method of graphical user interface: Graphic user interface can interact with light strike or sliding graphics user interface.
 8. Design 1 Request to protect color.
 The display screen panel can be applied to computers, laptops, tablets, mobile phones, smartphones, smart mobile phones, smart glasses, watches, smart watches, fitness monitors, headset headphones, personal digital assistants, smart speakers, TV, surveillance, surveillance Instruments, projectors, set -top boxes, game machines, navigators, display devices for vehicles; display screen panels are commonly designed, so they omit other views.</v>
      </c>
      <c r="D1822" s="6" t="s">
        <v>5215</v>
      </c>
      <c r="E1822" s="4" t="str">
        <f ca="1">IFERROR(__xludf.DUMMYFUNCTION("GOOGLETRANSLATE(D1822,""auto"",""en"")"),"The graphic user interface of the display user information of the display screen panel")</f>
        <v>The graphic user interface of the display user information of the display screen panel</v>
      </c>
    </row>
    <row r="1823" spans="1:5" ht="15" x14ac:dyDescent="0.25">
      <c r="A1823" s="5" t="s">
        <v>5216</v>
      </c>
      <c r="B1823" s="6" t="s">
        <v>5217</v>
      </c>
      <c r="C1823" s="3" t="str">
        <f ca="1">IFERROR(__xludf.DUMMYFUNCTION("GOOGLETRANSLATE(B1823,""auto"",""en"")"),"1. Design product name: The display user information of the display user information of the display screen panel.
 2. Design product use: The display screen panel is used to display the graphical user interface.
 3. Design of the design of the product"&amp;" in appearance: lies in the graphic user interface.
 4. Pictures or photos that can best show design: Design 1 main view.
 5. Specify design 1 is the basic design.
 6. The purpose of the graphical user interface: for human -machine interaction and r"&amp;"ealization of the function of display screen panels, and can be used to display, record and track user information related to medical data, for example, arrhythmia, pulse, cardiovascular health, atrial fibrillation, atrial fibrillation, atrial fibrillatio"&amp;"n, atrial fibrillation Load, etc.
 7. Human -computer interaction method of graphical user interface: Graphic user interface can interact with light strike or sliding graphics user interface.
 8. Change state description of the graphic user interface:"&amp;" Design 1 The appearance of the graphic user interface is designed between the main view of the main view, design 1 changes in the design 1, and the change of the change state of the design 1.
 9. The display screen panel can be applied to computers, la"&amp;"ptops, tablets, mobile phones, smartphones, smart mobile phones, smart glasses, watches, smart watches, fitness monitor, wearing headphones, personal digital assistants, smart speakers, TVs, TV , Monitor, projector, set -top box, game machine, navigator, "&amp;"display device for vehicles; display screen panels are commonly designed, so other views are omitted.")</f>
        <v>1. Design product name: The display user information of the display user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realization of the function of display screen panels, and can be used to display, record and track user information related to medical data, for example, arrhythmia, pulse, cardiovascular health, atrial fibrillation, atrial fibrillation, atrial fibrillation, atrial fibrillation Load, etc.
 7. Human -computer interaction method of graphical user interface: Graphic user interface can interact with light strike or sliding graphics user interface.
 8. Change state description of the graphic user interface: Design 1 The appearance of the graphic user interface is designed between the main view of the main view, design 1 changes in the design 1, and the change of the change state of the design 1.
 9.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823" s="6" t="s">
        <v>5215</v>
      </c>
      <c r="E1823" s="4" t="str">
        <f ca="1">IFERROR(__xludf.DUMMYFUNCTION("GOOGLETRANSLATE(D1823,""auto"",""en"")"),"The graphic user interface of the display user information of the display screen panel")</f>
        <v>The graphic user interface of the display user information of the display screen panel</v>
      </c>
    </row>
    <row r="1824" spans="1:5" ht="15" x14ac:dyDescent="0.25">
      <c r="A1824" s="5" t="s">
        <v>5218</v>
      </c>
      <c r="B1824" s="6" t="s">
        <v>5219</v>
      </c>
      <c r="C1824" s="3" t="str">
        <f ca="1">IFERROR(__xludf.DUMMYFUNCTION("GOOGLETRANSLATE(B1824,""auto"",""en"")"),"1. Design product name: The display user information of the display user information of the display screen panel.
 2. Design product use: The display screen panel is used to display the graphical user interface.
 3. Design of the design of the product"&amp;" in appearance: lies in the graphic user interface.
 4. Pictures or photos that can best show design: Design 1 main view.
 5. Specify design 1 is the basic design.
 6. The purpose of the graphical user interface: for human -machine interaction and r"&amp;"ealization of the function of display screen panels, and can be used to display, record and track user information related to medical data, for example, arrhythmia, pulse, cardiovascular health, atrial fibrillation, atrial fibrillation, atrial fibrillatio"&amp;"n, atrial fibrillation Load, etc.
 7. Human -computer interaction method of graphical user interface: Graphic user interface can interact with light strike or sliding graphics user interface.
 8. Change state description of graphic user interface: Des"&amp;"ign 1 The appearance of the graphic user interface is designed in turn 1 main view, design 1 change state diagram 1. Design 1 change status diagram, 3, design 1, and design 1 change state diagram diagram diagram 4 Changes.
 9. The display screen panel c"&amp;"an be applied to computers, laptops, tablets, mobile phones, smartphones, smart mobile phones, smart glasses, watches, smart watches, fitness monitor, wearing headphones, personal digital assistants, smart speakers, TVs, TV , Monitor, projector, set -top "&amp;"box, game machine, navigator, display device for vehicles; display screen panels are commonly designed, so other views are omitted.")</f>
        <v>1. Design product name: The display user information of the display user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realization of the function of display screen panels, and can be used to display, record and track user information related to medical data, for example, arrhythmia, pulse, cardiovascular health, atrial fibrillation, atrial fibrillation, atrial fibrillation, atrial fibrillation Load, etc.
 7. Human -computer interaction method of graphical user interface: Graphic user interface can interact with light strike or sliding graphics user interface.
 8. Change state description of graphic user interface: Design 1 The appearance of the graphic user interface is designed in turn 1 main view, design 1 change state diagram 1. Design 1 change status diagram, 3, design 1, and design 1 change state diagram diagram diagram 4 Changes.
 9.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824" s="6" t="s">
        <v>5215</v>
      </c>
      <c r="E1824" s="4" t="str">
        <f ca="1">IFERROR(__xludf.DUMMYFUNCTION("GOOGLETRANSLATE(D1824,""auto"",""en"")"),"The graphic user interface of the display user information of the display screen panel")</f>
        <v>The graphic user interface of the display user information of the display screen panel</v>
      </c>
    </row>
    <row r="1825" spans="1:5" ht="15" x14ac:dyDescent="0.25">
      <c r="A1825" s="5" t="s">
        <v>5220</v>
      </c>
      <c r="B1825" s="6" t="s">
        <v>5221</v>
      </c>
      <c r="C1825" s="3" t="str">
        <f ca="1">IFERROR(__xludf.DUMMYFUNCTION("GOOGLETRANSLATE(B1825,""auto"",""en"")"),"This utility model proposes a smart image recognition swimming timing system and timing method. The system includes a swimming pool. There is a K -striper lane in the swimming pool. 2 lanes, 3rd lanes, ..., and K lane, are characterized by setting up imag"&amp;"e collection monitors at the beginning of each lane or/and the opposite side Host, grade processing host and large -screen display, the timeline is connected to each timer and each timer, respectively, and the performance processing host is connected to t"&amp;"he large screen; the personal information and corresponding results of each lane swimmer are displayed on the large screen. The utility model can timid the swimmers in the lane according to the camera.")</f>
        <v>This utility model proposes a smart image recognition swimming timing system and timing method. The system includes a swimming pool. There is a K -striper lane in the swimming pool. 2 lanes, 3rd lanes, ..., and K lane, are characterized by setting up image collection monitors at the beginning of each lane or/and the opposite side Host, grade processing host and large -screen display, the timeline is connected to each timer and each timer, respectively, and the performance processing host is connected to the large screen; the personal information and corresponding results of each lane swimmer are displayed on the large screen. The utility model can timid the swimmers in the lane according to the camera.</v>
      </c>
      <c r="D1825" s="6" t="s">
        <v>5222</v>
      </c>
      <c r="E1825" s="4" t="str">
        <f ca="1">IFERROR(__xludf.DUMMYFUNCTION("GOOGLETRANSLATE(D1825,""auto"",""en"")"),"A smart image recognition swimming chronograph system")</f>
        <v>A smart image recognition swimming chronograph system</v>
      </c>
    </row>
    <row r="1826" spans="1:5" ht="15" x14ac:dyDescent="0.25">
      <c r="A1826" s="5" t="s">
        <v>5223</v>
      </c>
      <c r="B1826" s="6" t="s">
        <v>5224</v>
      </c>
      <c r="C1826" s="3" t="str">
        <f ca="1">IFERROR(__xludf.DUMMYFUNCTION("GOOGLETRANSLATE(B1826,""auto"",""en"")"),"The present invention provides an information processing device, method and program, which can calculate the value of the advertising information distributed with the event information based on the situation of sports competitions and other events.
  In"&amp;"formation processing device 100 information processing system 1 as the function information information acquisition unit 131 as the function of obtaining the attribute information of the user, and the event information that collects events that changes ov"&amp;"er time. Based on the collection unit 132, the learning unit 133 conducts machine learning and generates event prediction model information based on event status information, and dynamic data and event prediction model information obtained through real -t"&amp;"ime monitoring events, predicting units 134 to predict events, provide calculations to calculate Unit 135, used to calculate the value of advertising information when distributing advertising information to users under the incident, as well as advertising"&amp;" information distribution unit 136.
  【Selection Figure】 Figure 1")</f>
        <v>The present invention provides an information processing device, method and program, which can calculate the value of the advertising information distributed with the event information based on the situation of sports competitions and other events.
  Information processing device 100 information processing system 1 as the function information information acquisition unit 131 as the function of obtaining the attribute information of the user, and the event information that collects events that changes over time. Based on the collection unit 132, the learning unit 133 conducts machine learning and generates event prediction model information based on event status information, and dynamic data and event prediction model information obtained through real -time monitoring events, predicting units 134 to predict events, provide calculations to calculate Unit 135, used to calculate the value of advertising information when distributing advertising information to users under the incident, as well as advertising information distribution unit 136.
  【Selection Figure】 Figure 1</v>
      </c>
      <c r="D1826" s="6" t="s">
        <v>5225</v>
      </c>
      <c r="E1826" s="4" t="str">
        <f ca="1">IFERROR(__xludf.DUMMYFUNCTION("GOOGLETRANSLATE(D1826,""auto"",""en"")"),"Information processing device, information processing method and information processing program")</f>
        <v>Information processing device, information processing method and information processing program</v>
      </c>
    </row>
    <row r="1827" spans="1:5" ht="15" x14ac:dyDescent="0.25">
      <c r="A1827" s="5" t="s">
        <v>5226</v>
      </c>
      <c r="B1827" s="6" t="s">
        <v>5227</v>
      </c>
      <c r="C1827" s="3" t="str">
        <f ca="1">IFERROR(__xludf.DUMMYFUNCTION("GOOGLETRANSLATE(B1827,""auto"",""en"")"),"1. The name of the product of the design of the product: The sound settings of the screen panel set information display the dynamic graphic user interface.
 2. Design product use: The display screen panel is used to display the graphical user interface."&amp;"
 3. Design of the design of the product in appearance: lies in the graphic user interface.
 4. Pictures or photos that can most indicate the point of design: Design 2 Local Local Apricate Pictures.
 5. Specify design 2 is the basic design.
 6. Th"&amp;"e purpose of the graphical user interface: for human -machine interaction and realization of the function of display screen panels, and can be used to display information related to sound settings, such as volume level, noise reduction settings, noise tra"&amp;"nsparent settings, surround sounds or surround sounds or surround sounds or surround sounds or surround sounds or surround sounds or surround sounds or surround sounds or surround sounds or sounds. Three -dimensional audio settings, etc.
 7. Human -comp"&amp;"uter interaction method of graphical user interface: Graphic user interface can interact with light strike, pressing, or sliding graphic user interface.
 8. Change state description of the graphic user interface: Design 2 Dynamic graphical user interfac"&amp;"e in turn 2 Main Views, Design 2 Changes Status Figure 1. Design 2 change status graphs 2 and design 2 changes. Figure 3.
 9. The display screen panel can be applied to computers, laptops, display devices, communication equipment, multimedia equipment, "&amp;"information terminals, portable communication equipment, portable multimedia devices, portable information terminals, tablet computers, mobile phones, smartphones, wearable devices, watches , Smart watch, fitness monitor, headset headset, personal digital"&amp;" assistant, smart speaker, TV, monitor, projector, display system, set -top box, game machine, navigator ; The display screen panel is commonly designed, so other views are omitted.")</f>
        <v>1. The name of the product of the design of the product: The sound settings of the screen panel set information display the dynamic graphic user interface.
 2. Design product use: The display screen panel is used to display the graphical user interface.
 3. Design of the design of the product in appearance: lies in the graphic user interface.
 4. Pictures or photos that can most indicate the point of design: Design 2 Local Local Apricate Pictures.
 5. Specify design 2 is the basic design.
 6. The purpose of the graphical user interface: for human -machine interaction and realization of the function of display screen panels, and can be used to display information related to sound settings, such as volume level, noise reduction settings, noise transparent settings, surround sounds or surround sounds or surround sounds or surround sounds or surround sounds or surround sounds or surround sounds or surround sounds or surround sounds or sounds. Three -dimensional audio settings, etc.
 7. Human -computer interaction method of graphical user interface: Graphic user interface can interact with light strike, pressing, or sliding graphic user interface.
 8. Change state description of the graphic user interface: Design 2 Dynamic graphical user interface in turn 2 Main Views, Design 2 Changes Status Figure 1. Design 2 change status graphs 2 and design 2 changes. Figure 3.
 9.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827" s="6" t="s">
        <v>5228</v>
      </c>
      <c r="E1827" s="4" t="str">
        <f ca="1">IFERROR(__xludf.DUMMYFUNCTION("GOOGLETRANSLATE(D1827,""auto"",""en"")"),"Sound settings information display information display dynamic graphic user interface of the screen panel")</f>
        <v>Sound settings information display information display dynamic graphic user interface of the screen panel</v>
      </c>
    </row>
    <row r="1828" spans="1:5" ht="15" x14ac:dyDescent="0.25">
      <c r="A1828" s="5" t="s">
        <v>5229</v>
      </c>
      <c r="B1828" s="6" t="s">
        <v>5230</v>
      </c>
      <c r="C1828" s="3" t="str">
        <f ca="1">IFERROR(__xludf.DUMMYFUNCTION("GOOGLETRANSLATE(B1828,""auto"",""en"")"),"A fitness bicycle Internet of Things multimedia advertising management system method is characterized by the display screen A and the Internet of Things multimedia intelligent management terminal C, fixed, IoT multimedia intelligent management terminal C "&amp;"and data storage chip D connection fixed, IoT multimedia intelligent management Terminal C is fixed with power F. Edit Multi -media content data i content. The content of the cloud data system management terminal G is uploaded to the cloud server multimed"&amp;"ia data management system E data storage chip D; Wireless Communication Network B Connect the cloud server multimedia data management system E to read the content of this terminal matching multimedia content data i. When obtaining data content confirmatio"&amp;"n matching allows download, automatic download multimedia content data i match content to the Internet of Things multimedia intelligent management terminal C is stored in data storage chip D; the Internet of Things Multimedia Intelligent Management Termin"&amp;"al C reads Data Storage Chip D Multimedia Advertising Data Display Play in Display A. Bicycle multimedia installations, fitness sports equipment multimedia installations, electric bicycle multimedia devices, building advertising multimedia devices, proper"&amp;"ty management multimedia devices, outdoor multimedia devices, IoT terminal multimedia devices, hand -shaking power generation devices and other technology fields.")</f>
        <v>A fitness bicycle Internet of Things multimedia advertising management system method is characterized by the display screen A and the Internet of Things multimedia intelligent management terminal C, fixed, IoT multimedia intelligent management terminal C and data storage chip D connection fixed, IoT multimedia intelligent management Terminal C is fixed with power F. Edit Multi -media content data i content. The content of the cloud data system management terminal G is uploaded to the cloud server multimedia data management system E data storage chip D; Wireless Communication Network B Connect the cloud server multimedia data management system E to read the content of this terminal matching multimedia content data i. When obtaining data content confirmation matching allows download, automatic download multimedia content data i match content to the Internet of Things multimedia intelligent management terminal C is stored in data storage chip D; the Internet of Things Multimedia Intelligent Management Terminal C reads Data Storage Chip D Multimedia Advertising Data Display Play in Display A. Bicycle multimedia installations, fitness sports equipment multimedia installations, electric bicycle multimedia devices, building advertising multimedia devices, property management multimedia devices, outdoor multimedia devices, IoT terminal multimedia devices, hand -shaking power generation devices and other technology fields.</v>
      </c>
      <c r="D1828" s="6" t="s">
        <v>5231</v>
      </c>
      <c r="E1828" s="4" t="str">
        <f ca="1">IFERROR(__xludf.DUMMYFUNCTION("GOOGLETRANSLATE(D1828,""auto"",""en"")"),"A fitness bicycle Internet of Things multimedia advertising management system method")</f>
        <v>A fitness bicycle Internet of Things multimedia advertising management system method</v>
      </c>
    </row>
    <row r="1829" spans="1:5" ht="15" x14ac:dyDescent="0.25">
      <c r="A1829" s="5" t="s">
        <v>5232</v>
      </c>
      <c r="B1829" s="6" t="s">
        <v>5233</v>
      </c>
      <c r="C1829" s="3" t="str">
        <f ca="1">IFERROR(__xludf.DUMMYFUNCTION("GOOGLETRANSLATE(B1829,""auto"",""en"")"),"A kind of indoor ski competition control method, system and readable storage medium provided by the invention. According to the user logo and competition content information, the location adjustment scheme of different sensors can be obtained to make the "&amp;"sensor be in the best position. The user data obtained is more accurate. Essence In addition, the present invention also uses big data to obtain the user's physical state information from the third -party resource side, thereby analyzing the user's motion"&amp;" status. In the pre -state analysis of the present invention, the neural network model is also used to analyze the pre -state value more accurately. By accurate analysis of user data, the sensor location adjustment of the simulated snow machine can be adj"&amp;"usted more accurate and the collected data is more accurate.")</f>
        <v>A kind of indoor ski competition control method, system and readable storage medium provided by the invention. According to the user logo and competition content information, the location adjustment scheme of different sensors can be obtained to make the sensor be in the best position. The user data obtained is more accurate. Essence In addition, the present invention also uses big data to obtain the user's physical state information from the third -party resource side, thereby analyzing the user's motion status. In the pre -state analysis of the present invention, the neural network model is also used to analyze the pre -state value more accurately. By accurate analysis of user data, the sensor location adjustment of the simulated snow machine can be adjusted more accurate and the collected data is more accurate.</v>
      </c>
      <c r="D1829" s="6" t="s">
        <v>5234</v>
      </c>
      <c r="E1829" s="4" t="str">
        <f ca="1">IFERROR(__xludf.DUMMYFUNCTION("GOOGLETRANSLATE(D1829,""auto"",""en"")"),"An indoor ski competition control method, system and readable storage medium")</f>
        <v>An indoor ski competition control method, system and readable storage medium</v>
      </c>
    </row>
    <row r="1830" spans="1:5" ht="15" x14ac:dyDescent="0.25">
      <c r="A1830" s="5" t="s">
        <v>5235</v>
      </c>
      <c r="B1830" s="6" t="s">
        <v>5236</v>
      </c>
      <c r="C1830" s="3" t="str">
        <f ca="1">IFERROR(__xludf.DUMMYFUNCTION("GOOGLETRANSLATE(B1830,""auto"",""en"")"),"A method, system, and readable storage medium provided by the sons -based sensor provided by the present invention. Through the data of the collected Sonar sensor, the user's trajectory analysis is performed, and the perspective of adjusting the sound of "&amp;"the sound of the user's trajectory, and then adjust the adjustment The angle of the Son sensor makes the data of collecting users more accurate. And the present invention also analyzes the user trajectory through the content information of the competition"&amp;". Furthermore, the trajectory neural network model is also used to predict the trajectory of the user trajectory, so that the trajectory prediction is more accurate. It can make the collected information more accurate, and the score of the game is more ac"&amp;"curate and reliable.")</f>
        <v>A method, system, and readable storage medium provided by the sons -based sensor provided by the present invention. Through the data of the collected Sonar sensor, the user's trajectory analysis is performed, and the perspective of adjusting the sound of the sound of the user's trajectory, and then adjust the adjustment The angle of the Son sensor makes the data of collecting users more accurate. And the present invention also analyzes the user trajectory through the content information of the competition. Furthermore, the trajectory neural network model is also used to predict the trajectory of the user trajectory, so that the trajectory prediction is more accurate. It can make the collected information more accurate, and the score of the game is more accurate and reliable.</v>
      </c>
      <c r="D1830" s="6" t="s">
        <v>5237</v>
      </c>
      <c r="E1830" s="4" t="str">
        <f ca="1">IFERROR(__xludf.DUMMYFUNCTION("GOOGLETRANSLATE(D1830,""auto"",""en"")"),"A method, system and readable storage medium based on Sonal sensor -based ski")</f>
        <v>A method, system and readable storage medium based on Sonal sensor -based ski</v>
      </c>
    </row>
    <row r="1831" spans="1:5" ht="15" x14ac:dyDescent="0.25">
      <c r="A1831" s="5" t="s">
        <v>5238</v>
      </c>
      <c r="B1831" s="6" t="s">
        <v>5239</v>
      </c>
      <c r="C1831" s="3" t="str">
        <f ca="1">IFERROR(__xludf.DUMMYFUNCTION("GOOGLETRANSLATE(B1831,""auto"",""en"")"),"According to an embodiment of the present invention, the method of providing video fitness training services performed by the server includes: (A) Receive the coach image from the coaching equipment in real time and provide it to multiple student terminal"&amp;"s, receive real -time images and provide them to training to training Equipment; and at least one in the (B) performing action recognition and voice recognition, and obtain each featured value interval from the preset trainer image and trainer based on th"&amp;"e results of the execution results. Student images of preset standards and provide the image to the training device equipment; when the number of students receiving students exceeds the maximum value of the preset, the maximum student image is extracted a"&amp;"nd displayed on the training device device, and each pre -pre -pre -pre -pre -pre -pre -pre -pre -pre -pre -pre -pre -pre -premissed During the time period, each student image displayed on the training device equipment and extract each counting values ​​a"&amp;"s equal to the preset difference; at least one of them")</f>
        <v>According to an embodiment of the present invention, the method of providing video fitness training services performed by the server includes: (A) Receive the coach image from the coaching equipment in real time and provide it to multiple student terminals, receive real -time images and provide them to training to training Equipment; and at least one in the (B) performing action recognition and voice recognition, and obtain each featured value interval from the preset trainer image and trainer based on the results of the execution results. Student images of preset standards and provide the image to the training device equipment; when the number of students receiving students exceeds the maximum value of the preset, the maximum student image is extracted and displayed on the training device device, and each pre -pre -pre -pre -pre -pre -pre -pre -pre -pre -pre -pre -pre -pre -premissed During the time period, each student image displayed on the training device equipment and extract each counting values ​​as equal to the preset difference; at least one of them</v>
      </c>
      <c r="D1831" s="6" t="s">
        <v>5240</v>
      </c>
      <c r="E1831" s="4" t="str">
        <f ca="1">IFERROR(__xludf.DUMMYFUNCTION("GOOGLETRANSLATE(D1831,""auto"",""en"")"),"Family training service methods and devices that provide trainers and students with first -priority information")</f>
        <v>Family training service methods and devices that provide trainers and students with first -priority information</v>
      </c>
    </row>
    <row r="1832" spans="1:5" ht="15" x14ac:dyDescent="0.25">
      <c r="A1832" s="5" t="s">
        <v>5241</v>
      </c>
      <c r="B1832" s="6" t="s">
        <v>5242</v>
      </c>
      <c r="C1832" s="3" t="str">
        <f ca="1">IFERROR(__xludf.DUMMYFUNCTION("GOOGLETRANSLATE(B1832,""auto"",""en"")"),"The present invention disclosed an intelligent analysis platform based on big data based on big data, including the main body of the intelligent analysis platform, image acquisition activity device and macro image recognition device. The front top activit"&amp;"y of the main body of the intelligent analysis platform is connected to an image acquisition activity device, and the front bottom event of the main body of the intelligent analysis platform is connected with a macro image recognition device. Good conveni"&amp;"ence is convenient for users to carry out centralized and unified operations, and the top lamp bar well reflects the convenience of the platform of the platform. The mobile adjustment integrated base reflects the flexibility of the platform's lifting acti"&amp;"vity. It is a good manifestation of the identification and adaptability of the platform. The image acquisition activity device has improved the effect of the image acquisition. It is applicable to the use of the field of network marketing technology. It w"&amp;"ill have a wide range of development prospects in the future.")</f>
        <v>The present invention disclosed an intelligent analysis platform based on big data based on big data, including the main body of the intelligent analysis platform, image acquisition activity device and macro image recognition device. The front top activity of the main body of the intelligent analysis platform is connected to an image acquisition activity device, and the front bottom event of the main body of the intelligent analysis platform is connected with a macro image recognition device. Good convenience is convenient for users to carry out centralized and unified operations, and the top lamp bar well reflects the convenience of the platform of the platform. The mobile adjustment integrated base reflects the flexibility of the platform's lifting activity. It is a good manifestation of the identification and adaptability of the platform. The image acquisition activity device has improved the effect of the image acquisition. It is applicable to the use of the field of network marketing technology. It will have a wide range of development prospects in the future.</v>
      </c>
      <c r="D1832" s="6" t="s">
        <v>5243</v>
      </c>
      <c r="E1832" s="4" t="str">
        <f ca="1">IFERROR(__xludf.DUMMYFUNCTION("GOOGLETRANSLATE(D1832,""auto"",""en"")"),"An intelligent analysis platform based on big data -based Internet marketing strategy")</f>
        <v>An intelligent analysis platform based on big data -based Internet marketing strategy</v>
      </c>
    </row>
    <row r="1833" spans="1:5" ht="15" x14ac:dyDescent="0.25">
      <c r="A1833" s="5" t="s">
        <v>5244</v>
      </c>
      <c r="B1833" s="6" t="s">
        <v>5245</v>
      </c>
      <c r="C1833" s="3" t="str">
        <f ca="1">IFERROR(__xludf.DUMMYFUNCTION("GOOGLETRANSLATE(B1833,""auto"",""en"")"),"The invention is a mechanical exogenous bone application technology field, which involves a fitness equipment, including fixed seats, first power arms and second power arm. One end of the first power arm is connected to the fixed seat through the first jo"&amp;"int component, and the other end passes through the end. The second joint component is connected to the second power arm, and the second power arm is far from the ends of the human and machine interactive mechanical structure with the body of the person's"&amp;" limb. The first sliding part and the second sliding department of the power arm length direction slide, as well as the first driver module and the second driver module used to drive the first sliding part and the second sliding part. The present inventio"&amp;"n can simulate the motion trajectory of the limbs under the different exercise methods, and then follow the specific movement trajectory to the human limbs to achieve the effect of exercise; in addition, the present invention can actively correct the move"&amp;"ment of the limbs and actively correct the movement of the limbs Guide to improve the effect of exercise.")</f>
        <v>The invention is a mechanical exogenous bone application technology field, which involves a fitness equipment, including fixed seats, first power arms and second power arm. One end of the first power arm is connected to the fixed seat through the first joint component, and the other end passes through the end. The second joint component is connected to the second power arm, and the second power arm is far from the ends of the human and machine interactive mechanical structure with the body of the person's limb. The first sliding part and the second sliding department of the power arm length direction slide, as well as the first driver module and the second driver module used to drive the first sliding part and the second sliding part. The present invention can simulate the motion trajectory of the limbs under the different exercise methods, and then follow the specific movement trajectory to the human limbs to achieve the effect of exercise; in addition, the present invention can actively correct the movement of the limbs and actively correct the movement of the limbs Guide to improve the effect of exercise.</v>
      </c>
      <c r="D1833" s="6" t="s">
        <v>5246</v>
      </c>
      <c r="E1833" s="4" t="str">
        <f ca="1">IFERROR(__xludf.DUMMYFUNCTION("GOOGLETRANSLATE(D1833,""auto"",""en"")"),"A fitness equipment")</f>
        <v>A fitness equipment</v>
      </c>
    </row>
    <row r="1834" spans="1:5" ht="15" x14ac:dyDescent="0.25">
      <c r="A1834" s="5" t="s">
        <v>5247</v>
      </c>
      <c r="B1834" s="6" t="s">
        <v>5248</v>
      </c>
      <c r="C1834" s="3" t="str">
        <f ca="1">IFERROR(__xludf.DUMMYFUNCTION("GOOGLETRANSLATE(B1834,""auto"",""en"")"),"The present invention belongs to the field of fitness equipment design and manufacturing technology. It specifically involves a fitness device based on the principle of flexible robotic arm, including the mechanical arm, supporting part, and the mechanica"&amp;"l arm connected to the supporting force. Forces, exercise control modules, force field control modules, human -machine interaction modules and human sports posture analysis modules; the present invention does not use any weight for force control, and can "&amp;"only be performed in a limited environment in the past. Completed fitness training. The present invention can simulate a variety of huge fitness equipment, miniaturize the large -scale sports equipment in many gyms, and integrate it, making the strength t"&amp;"raining in the limited space possible, and it can also save the gym to save a large number of equipment occupying the area, which greatly improves it. Operational efficiency.")</f>
        <v>The present invention belongs to the field of fitness equipment design and manufacturing technology. It specifically involves a fitness device based on the principle of flexible robotic arm, including the mechanical arm, supporting part, and the mechanical arm connected to the supporting force. Forces, exercise control modules, force field control modules, human -machine interaction modules and human sports posture analysis modules; the present invention does not use any weight for force control, and can only be performed in a limited environment in the past. Completed fitness training. The present invention can simulate a variety of huge fitness equipment, miniaturize the large -scale sports equipment in many gyms, and integrate it, making the strength training in the limited space possible, and it can also save the gym to save a large number of equipment occupying the area, which greatly improves it. Operational efficiency.</v>
      </c>
      <c r="D1834" s="6" t="s">
        <v>3084</v>
      </c>
      <c r="E1834" s="4" t="str">
        <f ca="1">IFERROR(__xludf.DUMMYFUNCTION("GOOGLETRANSLATE(D1834,""auto"",""en"")"),"Fitness device based on flexible robotic arm principles")</f>
        <v>Fitness device based on flexible robotic arm principles</v>
      </c>
    </row>
    <row r="1835" spans="1:5" ht="15" x14ac:dyDescent="0.25">
      <c r="A1835" s="5" t="s">
        <v>5249</v>
      </c>
      <c r="B1835" s="6" t="s">
        <v>5250</v>
      </c>
      <c r="C1835" s="3" t="str">
        <f ca="1">IFERROR(__xludf.DUMMYFUNCTION("GOOGLETRANSLATE(B1835,""auto"",""en"")"),"This utility model belongs to the field of mechanical exoskeleton application technology, which involves a fitness equipment, including fixed seats, first power arm and second power arm. One end of the first power arm is connected to the fixed seat throug"&amp;"h the first joint component, and the other end is the other end. Through the connection to the second power arm through the second joint component, the second power arm is far from the human -computer interaction mechanical structure that cooperates with "&amp;"the body's limbs. The first sliding part and the second sliding part of the one -powered arm length direction, as well as the first driver module and the second driver module used to drive the first sliding part and the second sliding part. This utility m"&amp;"odel can simulate the motion trajectory of the limbs under the different exercise methods, and then follow the specific movement trajectory to the human limbs to achieve the effect of exercise. Correction and guidance to improve the effect of exercise.")</f>
        <v>This utility model belongs to the field of mechanical exoskeleton application technology, which involves a fitness equipment, including fixed seats, first power arm and second power arm. One end of the first power arm is connected to the fixed seat through the first joint component, and the other end is the other end. Through the connection to the second power arm through the second joint component, the second power arm is far from the human -computer interaction mechanical structure that cooperates with the body's limbs. The first sliding part and the second sliding part of the one -powered arm length direction, as well as the first driver module and the second driver module used to drive the first sliding part and the second sliding part. This utility model can simulate the motion trajectory of the limbs under the different exercise methods, and then follow the specific movement trajectory to the human limbs to achieve the effect of exercise. Correction and guidance to improve the effect of exercise.</v>
      </c>
      <c r="D1835" s="6" t="s">
        <v>5246</v>
      </c>
      <c r="E1835" s="4" t="str">
        <f ca="1">IFERROR(__xludf.DUMMYFUNCTION("GOOGLETRANSLATE(D1835,""auto"",""en"")"),"A fitness equipment")</f>
        <v>A fitness equipment</v>
      </c>
    </row>
    <row r="1836" spans="1:5" ht="15" x14ac:dyDescent="0.25">
      <c r="A1836" s="5" t="s">
        <v>5251</v>
      </c>
      <c r="B1836" s="6" t="s">
        <v>5252</v>
      </c>
      <c r="C1836" s="3" t="str">
        <f ca="1">IFERROR(__xludf.DUMMYFUNCTION("GOOGLETRANSLATE(B1836,""auto"",""en"")"),"The present invention involves a personal sports management system that combines artificial intelligence and wireless muscle electrical signals. More specifically, evaluate the scope of exercise of fitness and taekwondo movements as an angle value, and ba"&amp;"sed on the evaluation results (Sensory-Motor Training), according to the test results, the muscle strength and muscle endurance of a certain piece of muscle alone improve the functional motion ability of the human body's sense of balance and lack of direc"&amp;"tion. In order to improve muscle endurance or flexibility, when performing any functional exercise, the ability of nerves and muscles to coordinate with exercise -related muscle groups (the coordinated fusion of artificial intelligence and wireless muscle"&amp;" electrical diagram signals is characterized by improving coordination and coordination Sexual) or common contraction to prevent damage that may occur during human functional activities and induce precise operations. This is a personal sports management s"&amp;"ystem.")</f>
        <v>The present invention involves a personal sports management system that combines artificial intelligence and wireless muscle electrical signals. More specifically, evaluate the scope of exercise of fitness and taekwondo movements as an angle value, and based on the evaluation results (Sensory-Motor Training), according to the test results, the muscle strength and muscle endurance of a certain piece of muscle alone improve the functional motion ability of the human body's sense of balance and lack of direction. In order to improve muscle endurance or flexibility, when performing any functional exercise, the ability of nerves and muscles to coordinate with exercise -related muscle groups (the coordinated fusion of artificial intelligence and wireless muscle electrical diagram signals is characterized by improving coordination and coordination Sexual) or common contraction to prevent damage that may occur during human functional activities and induce precise operations. This is a personal sports management system.</v>
      </c>
      <c r="D1836" s="6" t="s">
        <v>5253</v>
      </c>
      <c r="E1836" s="4" t="str">
        <f ca="1">IFERROR(__xludf.DUMMYFUNCTION("GOOGLETRANSLATE(D1836,""auto"",""en"")"),"Artificial intelligence motion recognition evaluation and muscle electricity measurement system of customized sports prescription")</f>
        <v>Artificial intelligence motion recognition evaluation and muscle electricity measurement system of customized sports prescription</v>
      </c>
    </row>
    <row r="1837" spans="1:5" ht="15" x14ac:dyDescent="0.25">
      <c r="A1837" s="5" t="s">
        <v>5254</v>
      </c>
      <c r="B1837" s="6" t="s">
        <v>5255</v>
      </c>
      <c r="C1837" s="3" t="str">
        <f ca="1">IFERROR(__xludf.DUMMYFUNCTION("GOOGLETRANSLATE(B1837,""auto"",""en"")"),"The present invention discloses a smart home version of cloud mirror that integrates multiple functions. Its outside is composed of frames, mirrors, mirror display, and microphone. The mirror is located in the inside of the frame. The mirror display is lo"&amp;"cated in the middle of the mirror. On the left and right sides of the display, the microphone is located on the border; its internal consists of a control box, the control box is controlled by the control circuit board, the RFID read module, the first sin"&amp;"gle -chip machine, the data storage module, the voice recognition module, the second single -chip machine, the third single -chip microcomputer , Bluetooth module, fourth single -chip machine, WIFI module and fifth single -chip machine. The present invent"&amp;"ion is a smart home version of the smart home version of the multi -function. Based on traditional mirrors, 3D virtual fitting, AI intelligent fitness, dressing recommendations, health management, smart home control, parent -child education, physical sens"&amp;"ation, physical sensation, sensory sensation The functions of games, smart wardrobe and smart home appliances are simple operation, convenient use, full of technology, which greatly enriches people's lives.")</f>
        <v>The present invention discloses a smart home version of cloud mirror that integrates multiple functions. Its outside is composed of frames, mirrors, mirror display, and microphone. The mirror is located in the inside of the frame. The mirror display is located in the middle of the mirror. On the left and right sides of the display, the microphone is located on the border; its internal consists of a control box, the control box is controlled by the control circuit board, the RFID read module, the first single -chip machine, the data storage module, the voice recognition module, the second single -chip machine, the third single -chip microcomputer , Bluetooth module, fourth single -chip machine, WIFI module and fifth single -chip machine. The present invention is a smart home version of the smart home version of the multi -function. Based on traditional mirrors, 3D virtual fitting, AI intelligent fitness, dressing recommendations, health management, smart home control, parent -child education, physical sensation, physical sensation, sensory sensation The functions of games, smart wardrobe and smart home appliances are simple operation, convenient use, full of technology, which greatly enriches people's lives.</v>
      </c>
      <c r="D1837" s="6" t="s">
        <v>5256</v>
      </c>
      <c r="E1837" s="4" t="str">
        <f ca="1">IFERROR(__xludf.DUMMYFUNCTION("GOOGLETRANSLATE(D1837,""auto"",""en"")"),"A smart home version of a multi -functional integrated cloud mirror")</f>
        <v>A smart home version of a multi -functional integrated cloud mirror</v>
      </c>
    </row>
    <row r="1838" spans="1:5" ht="15" x14ac:dyDescent="0.25">
      <c r="A1838" s="5" t="s">
        <v>5257</v>
      </c>
      <c r="B1838" s="6" t="s">
        <v>5258</v>
      </c>
      <c r="C1838" s="3" t="str">
        <f ca="1">IFERROR(__xludf.DUMMYFUNCTION("GOOGLETRANSLATE(B1838,""auto"",""en"")"),"This utility model opens up a smart home version of cloud mirror that integrates multi -functional integration. Its outer is composed of frames, mirrors, mirror display screens, and microphones. The mirror is located in the inner side of the frame.镜面显示屏的左"&amp;"右两侧，麦克风位于边框上；其内部由控制盒组成，控制盒由控制电路板、RFID读取模块、第一单片机、数据储存模块、语音识别模块、第二单片机、第三Single -chip microcomputer, Bluetooth module, fourth single -chip machine, WIFI module, and fifth single -chip machine.本实用新型为一种集多功能于一体的智能家庭版云镜，基于传统的镜子上，增加了3D虚拟试衣，Ai智能健身，穿衣搭配推荐，健康管理，智能家居"&amp;"控制，亲子教育， The functions of physical games, smart wardrobes and smart home appliances control. Its simple operation, convenient use, full of technology, which greatly enriches people's lives.")</f>
        <v>This utility model opens up a smart home version of cloud mirror that integrates multi -functional integration. Its outer is composed of frames, mirrors, mirror display screens, and microphones. The mirror is located in the inner side of the frame.镜面显示屏的左右两侧，麦克风位于边框上；其内部由控制盒组成，控制盒由控制电路板、RFID读取模块、第一单片机、数据储存模块、语音识别模块、第二单片机、第三Single -chip microcomputer, Bluetooth module, fourth single -chip machine, WIFI module, and fifth single -chip machine.本实用新型为一种集多功能于一体的智能家庭版云镜，基于传统的镜子上，增加了3D虚拟试衣，Ai智能健身，穿衣搭配推荐，健康管理，智能家居控制，亲子教育， The functions of physical games, smart wardrobes and smart home appliances control. Its simple operation, convenient use, full of technology, which greatly enriches people's lives.</v>
      </c>
      <c r="D1838" s="6" t="s">
        <v>5256</v>
      </c>
      <c r="E1838" s="4" t="str">
        <f ca="1">IFERROR(__xludf.DUMMYFUNCTION("GOOGLETRANSLATE(D1838,""auto"",""en"")"),"A smart home version of a multi -functional integrated cloud mirror")</f>
        <v>A smart home version of a multi -functional integrated cloud mirror</v>
      </c>
    </row>
    <row r="1839" spans="1:5" ht="15" x14ac:dyDescent="0.25">
      <c r="A1839" s="5" t="s">
        <v>5259</v>
      </c>
      <c r="B1839" s="6" t="s">
        <v>5260</v>
      </c>
      <c r="C1839" s="3" t="str">
        <f ca="1">IFERROR(__xludf.DUMMYFUNCTION("GOOGLETRANSLATE(B1839,""auto"",""en"")"),"A system pointing to the webpage, one of which shows the screen of sports images and a mobile camera device connected to the Internet. There is a machine learning cloud that analyzes the still image of the camera of the motion image to identify the charac"&amp;"teristics of the static image associated with the label, and then insert the tag into the URL to bring the user to a specific page on the website. Mobile camera devices can be smartphones, tablets, smart watches or smart glasses. You can access the websit"&amp;"e through applications or small components. Static images can be compressed on mobile devices and may be encoded through Base64. The label list can be stored in the database. Sports images can be on -site events such as sports events and characteristics t"&amp;"hat can be projects such as football, goal pillars, darts, dart boards, tennis, and Snooker tables. URL may contain more spaces to insert more feature labels. The system can prompt users to shoot static images in a horizontal mode. The system can automati"&amp;"cally shoot images when determining the screen and focusing on the field of view.")</f>
        <v>A system pointing to the webpage, one of which shows the screen of sports images and a mobile camera device connected to the Internet. There is a machine learning cloud that analyzes the still image of the camera of the motion image to identify the characteristics of the static image associated with the label, and then insert the tag into the URL to bring the user to a specific page on the website. Mobile camera devices can be smartphones, tablets, smart watches or smart glasses. You can access the website through applications or small components. Static images can be compressed on mobile devices and may be encoded through Base64. The label list can be stored in the database. Sports images can be on -site events such as sports events and characteristics that can be projects such as football, goal pillars, darts, dart boards, tennis, and Snooker tables. URL may contain more spaces to insert more feature labels. The system can prompt users to shoot static images in a horizontal mode. The system can automatically shoot images when determining the screen and focusing on the field of view.</v>
      </c>
      <c r="D1839" s="6" t="s">
        <v>5261</v>
      </c>
      <c r="E1839" s="4" t="str">
        <f ca="1">IFERROR(__xludf.DUMMYFUNCTION("GOOGLETRANSLATE(D1839,""auto"",""en"")"),"System pointing to the webpage")</f>
        <v>System pointing to the webpage</v>
      </c>
    </row>
    <row r="1840" spans="1:5" ht="15" x14ac:dyDescent="0.25">
      <c r="A1840" s="5" t="s">
        <v>5262</v>
      </c>
      <c r="B1840" s="6" t="s">
        <v>5263</v>
      </c>
      <c r="C1840" s="3" t="str">
        <f ca="1">IFERROR(__xludf.DUMMYFUNCTION("GOOGLETRANSLATE(B1840,""auto"",""en"")"),"The present invention involves the field of Internet of Things derivative technology, which is specific to a network -based network lifting system and control method based on the Internet of Things. By setting up cloud platforms and ball network lifting d"&amp;"evices, it can control the height of the long -range network and thereby being able to control the height of the ball network, so as to be at the height The height of the ball network is suitable for high and unsuitable height switching, so that in most c"&amp;"ases, after the consent of the leaser or equipment owner of the venue, sports facilities such as table tennis, tennis courts, and badminton courts have corresponding corresponding to the corresponding ones. The use function not only reduces the cost of op"&amp;"eration and maintenance, but also effectively prevent the phenomenon of the field. Solving the existing table or stadium operations requires arranging personnel on the spot, and the operating maintenance costs are high. The use of unmanned duty models als"&amp;"o have the phenomenon of the ball or the stadium that has not been permitted. Economic loss.")</f>
        <v>The present invention involves the field of Internet of Things derivative technology, which is specific to a network -based network lifting system and control method based on the Internet of Things. By setting up cloud platforms and ball network lifting devices, it can control the height of the long -range network and thereby being able to control the height of the ball network, so as to be at the height The height of the ball network is suitable for high and unsuitable height switching, so that in most cases, after the consent of the leaser or equipment owner of the venue, sports facilities such as table tennis, tennis courts, and badminton courts have corresponding corresponding to the corresponding ones. The use function not only reduces the cost of operation and maintenance, but also effectively prevent the phenomenon of the field. Solving the existing table or stadium operations requires arranging personnel on the spot, and the operating maintenance costs are high. The use of unmanned duty models also have the phenomenon of the ball or the stadium that has not been permitted. Economic loss.</v>
      </c>
      <c r="D1840" s="6" t="s">
        <v>5264</v>
      </c>
      <c r="E1840" s="4" t="str">
        <f ca="1">IFERROR(__xludf.DUMMYFUNCTION("GOOGLETRANSLATE(D1840,""auto"",""en"")"),"A network of network lifting systems and control methods based on the Internet of Things")</f>
        <v>A network of network lifting systems and control methods based on the Internet of Things</v>
      </c>
    </row>
    <row r="1841" spans="1:5" ht="15" x14ac:dyDescent="0.25">
      <c r="A1841" s="5" t="s">
        <v>5265</v>
      </c>
      <c r="B1841" s="6" t="s">
        <v>5266</v>
      </c>
      <c r="C1841" s="3" t="str">
        <f ca="1">IFERROR(__xludf.DUMMYFUNCTION("GOOGLETRANSLATE(B1841,""auto"",""en"")"),"This utility model involves the field of Internet of Things derivative technology, which is specific to a network -based network lifting system based on the Internet of Things. By setting up cloud platforms and ball network lifting devices, it can control"&amp;" the height of the long -range network, so as to be on the ball network on the ball network The height is suitable for the two states of high level and unsuitable height, so that in most cases, after the consent of the leaser or equipment owner of the ven"&amp;"ue, sports facilities such as table tennis, tennis courts, and badminton court have corresponding use functions. , Thus reducing the cost of operation and maintenance, but also effectively prevent the phenomenon of the field. Solving the existing table or"&amp;" stadium operations requires arranging personnel on the spot, and the operating maintenance costs are high. The use of unmanned duty models also have the phenomenon of the ball or the stadium that has not been permitted. Economic loss.")</f>
        <v>This utility model involves the field of Internet of Things derivative technology, which is specific to a network -based network lifting system based on the Internet of Things. By setting up cloud platforms and ball network lifting devices, it can control the height of the long -range network, so as to be on the ball network on the ball network The height is suitable for the two states of high level and unsuitable height, so that in most cases, after the consent of the leaser or equipment owner of the venue, sports facilities such as table tennis, tennis courts, and badminton court have corresponding use functions. , Thus reducing the cost of operation and maintenance, but also effectively prevent the phenomenon of the field. Solving the existing table or stadium operations requires arranging personnel on the spot, and the operating maintenance costs are high. The use of unmanned duty models also have the phenomenon of the ball or the stadium that has not been permitted. Economic loss.</v>
      </c>
      <c r="D1841" s="6" t="s">
        <v>5267</v>
      </c>
      <c r="E1841" s="4" t="str">
        <f ca="1">IFERROR(__xludf.DUMMYFUNCTION("GOOGLETRANSLATE(D1841,""auto"",""en"")"),"A network lifting system based on the Internet of Things")</f>
        <v>A network lifting system based on the Internet of Things</v>
      </c>
    </row>
    <row r="1842" spans="1:5" ht="15" x14ac:dyDescent="0.25">
      <c r="A1842" s="5" t="s">
        <v>5268</v>
      </c>
      <c r="B1842" s="6" t="s">
        <v>5269</v>
      </c>
      <c r="C1842" s="3" t="str">
        <f ca="1">IFERROR(__xludf.DUMMYFUNCTION("GOOGLETRANSLATE(B1842,""auto"",""en"")"),"一种汉画像石体育图像采集比对装置，具体涉及汉画像石研究领域，包括图像采集装置（1）、图像处理终端（2），图像采集装置（1）包括底座（101）、竖杆（ 102), electromagnetic sliding cover (103), connection rod (104), horizontal slide rail (105), electromagnetic slide (106), camera (107), camera (107) bottom end of the electromagne"&amp;"tic slide (106) and the camera (107) and the camera (107) and the camera (107) and The top surface of the horizontal sliding rail (105), the internal of the image processing terminal (2) has a pre -processing module (3), an information analysis module (4)"&amp;", and a data analysis module (5). By achieving the automatic transformation and identification and classification function of the portrait stone, the entire algorithm system is upgraded through human intervention and optimization algorithm under the inter"&amp;"vention of artificial intelligence algorithms to achieve the category label of a large number of Han portrait stones, based on the control of artificial intelligence algorithm technology. To achieve fully automation, it does not need to rely on the experi"&amp;"ence and knowledge of the operator and no need to repeatedly adjust the parameters through multiple adjustments. The processing process is simple and efficient.")</f>
        <v>一种汉画像石体育图像采集比对装置，具体涉及汉画像石研究领域，包括图像采集装置（1）、图像处理终端（2），图像采集装置（1）包括底座（101）、竖杆（ 102), electromagnetic sliding cover (103), connection rod (104), horizontal slide rail (105), electromagnetic slide (106), camera (107), camera (107) bottom end of the electromagnetic slide (106) and the camera (107) and the camera (107) and the camera (107) and The top surface of the horizontal sliding rail (105), the internal of the image processing terminal (2) has a pre -processing module (3), an information analysis module (4), and a data analysis module (5). By achieving the automatic transformation and identification and classification function of the portrait stone, the entire algorithm system is upgraded through human intervention and optimization algorithm under the intervention of artificial intelligence algorithms to achieve the category label of a large number of Han portrait stones, based on the control of artificial intelligence algorithm technology. To achieve fully automation, it does not need to rely on the experience and knowledge of the operator and no need to repeatedly adjust the parameters through multiple adjustments. The processing process is simple and efficient.</v>
      </c>
      <c r="D1842" s="6" t="s">
        <v>5270</v>
      </c>
      <c r="E1842" s="4" t="str">
        <f ca="1">IFERROR(__xludf.DUMMYFUNCTION("GOOGLETRANSLATE(D1842,""auto"",""en"")"),"A Chinese portrait stone sports image collection and comparison device")</f>
        <v>A Chinese portrait stone sports image collection and comparison device</v>
      </c>
    </row>
    <row r="1843" spans="1:5" ht="15" x14ac:dyDescent="0.25">
      <c r="A1843" s="5" t="s">
        <v>5271</v>
      </c>
      <c r="B1843" s="6" t="s">
        <v>5272</v>
      </c>
      <c r="C1843" s="3" t="str">
        <f ca="1">IFERROR(__xludf.DUMMYFUNCTION("GOOGLETRANSLATE(B1843,""auto"",""en"")"),"This utility model belongs to the field of treadmill technology, especially for a human -computer interactive electric treadmill, including the side bar, the lower end of the motor is equipped with the lower cover of the motor, the outer surface of the bo"&amp;"ttom cover is set, There are columns on the outer surface, the outer surface of the column is set with a modifier cover, the upper end of the column is set with the lower end cover, the upper end of the lower end cover is set with the upper end, and the i"&amp;"nner side of the motor is set. There is a rolling wheel. There are support pipes on the side, and support beams and foot pads are set on the lower end of the edge strip. This utility model is set up by setting up support pipes and support beams, so that t"&amp;"here is sufficient gap between the bottom surface and ground of the runner to enhance the heat dissipation effect of the treadmill, extend the service life of the treadmill Avoid direct contact with the pillars to cause damage to the column directly and e"&amp;"nsure that the rotation of the column will not be affected.")</f>
        <v>This utility model belongs to the field of treadmill technology, especially for a human -computer interactive electric treadmill, including the side bar, the lower end of the motor is equipped with the lower cover of the motor, the outer surface of the bottom cover is set, There are columns on the outer surface, the outer surface of the column is set with a modifier cover, the upper end of the column is set with the lower end cover, the upper end of the lower end cover is set with the upper end, and the inner side of the motor is set. There is a rolling wheel. There are support pipes on the side, and support beams and foot pads are set on the lower end of the edge strip. This utility model is set up by setting up support pipes and support beams, so that there is sufficient gap between the bottom surface and ground of the runner to enhance the heat dissipation effect of the treadmill, extend the service life of the treadmill Avoid direct contact with the pillars to cause damage to the column directly and ensure that the rotation of the column will not be affected.</v>
      </c>
      <c r="D1843" s="6" t="s">
        <v>5273</v>
      </c>
      <c r="E1843" s="4" t="str">
        <f ca="1">IFERROR(__xludf.DUMMYFUNCTION("GOOGLETRANSLATE(D1843,""auto"",""en"")"),"A human -computer interactive electric treadmill")</f>
        <v>A human -computer interactive electric treadmill</v>
      </c>
    </row>
    <row r="1844" spans="1:5" ht="15" x14ac:dyDescent="0.25">
      <c r="A1844" s="5" t="s">
        <v>5274</v>
      </c>
      <c r="B1844" s="6" t="s">
        <v>5275</v>
      </c>
      <c r="C1844" s="3" t="str">
        <f ca="1">IFERROR(__xludf.DUMMYFUNCTION("GOOGLETRANSLATE(B1844,""auto"",""en"")"),"Intelligent devices use visual analysis and identification of characters to realize human -computer interaction. Intelligent devices analyze human movements through cameras, based on the type of action type judged as instructions, and respond. It can be u"&amp;"sed for fitness sports, human -machine interactive puzzle games, and noise interaction of human -computer instructions in noisy outdoor environment.")</f>
        <v>Intelligent devices use visual analysis and identification of characters to realize human -computer interaction. Intelligent devices analyze human movements through cameras, based on the type of action type judged as instructions, and respond. It can be used for fitness sports, human -machine interactive puzzle games, and noise interaction of human -computer instructions in noisy outdoor environment.</v>
      </c>
      <c r="D1844" s="6" t="s">
        <v>5276</v>
      </c>
      <c r="E1844" s="4" t="str">
        <f ca="1">IFERROR(__xludf.DUMMYFUNCTION("GOOGLETRANSLATE(D1844,""auto"",""en"")"),"Intelligent device uses visual analysis and identification of characters to realize human -computer interaction methods to realize human -computer interaction")</f>
        <v>Intelligent device uses visual analysis and identification of characters to realize human -computer interaction methods to realize human -computer interaction</v>
      </c>
    </row>
    <row r="1845" spans="1:5" ht="15" x14ac:dyDescent="0.25">
      <c r="A1845" s="5" t="s">
        <v>5277</v>
      </c>
      <c r="B1845" s="6" t="s">
        <v>5278</v>
      </c>
      <c r="C1845" s="3" t="str">
        <f ca="1">IFERROR(__xludf.DUMMYFUNCTION("GOOGLETRANSLATE(B1845,""auto"",""en"")"),"The present invention uses ECG data measurement unit 110 to build. The ECG data measurement unit 110 measures and sends the ECG data, PSVT, and the learning data set and verification data set of ECG data mapping to PSVT, and extract features to extract fe"&amp;"atures point. Deep learning prediction model unit 120, export the possibility of PSVT according to ECG data, receive ECG data sent from ECG data measurement unit 110, and provide it to deep learning prediction model unit 120. Input unit 130 and output uni"&amp;"t 140 The possibility of output PSVT of ECG data output PSVT based on the deep learning predictive model unit 120, to diagnose potential PSVT in normal electrocardiogram that never express the characteristics of arrhythmia. A run -based PSVT prediction sy"&amp;"stem was released.")</f>
        <v>The present invention uses ECG data measurement unit 110 to build. The ECG data measurement unit 110 measures and sends the ECG data, PSVT, and the learning data set and verification data set of ECG data mapping to PSVT, and extract features to extract features point. Deep learning prediction model unit 120, export the possibility of PSVT according to ECG data, receive ECG data sent from ECG data measurement unit 110, and provide it to deep learning prediction model unit 120. Input unit 130 and output unit 140 The possibility of output PSVT of ECG data output PSVT based on the deep learning predictive model unit 120, to diagnose potential PSVT in normal electrocardiogram that never express the characteristics of arrhythmia. A run -based PSVT prediction system was released.</v>
      </c>
      <c r="D1845" s="6" t="s">
        <v>5279</v>
      </c>
      <c r="E1845" s="4" t="str">
        <f ca="1">IFERROR(__xludf.DUMMYFUNCTION("GOOGLETRANSLATE(D1845,""auto"",""en"")"),"PSVT prediction system using electrocardiogram based on electrocardiogram")</f>
        <v>PSVT prediction system using electrocardiogram based on electrocardiogram</v>
      </c>
    </row>
    <row r="1846" spans="1:5" ht="15" x14ac:dyDescent="0.25">
      <c r="A1846" s="5" t="s">
        <v>5280</v>
      </c>
      <c r="B1846" s="6" t="s">
        <v>5281</v>
      </c>
      <c r="C1846" s="3" t="str">
        <f ca="1">IFERROR(__xludf.DUMMYFUNCTION("GOOGLETRANSLATE(B1846,""auto"",""en"")"),"The present invention involves a real -time competition strategy prediction system and method based on the processing of transmitters and the broadcast of the contestant of the contestants of the contestants, and extract the voice input unit of the voice "&amp;"characteristics of the audio. The voice of the game strategy is generated, and the game reviews of sports game commentators include game strategy prediction units, which output game strategy prediction results. The interpretation of the lecturer of the sp"&amp;"orts competition in real time and the real -time voice input strategy prediction model of the schedule of the broadcaster competition. announcer.")</f>
        <v>The present invention involves a real -time competition strategy prediction system and method based on the processing of transmitters and the broadcast of the contestant of the contestants of the contestants, and extract the voice input unit of the voice characteristics of the audio. The voice of the game strategy is generated, and the game reviews of sports game commentators include game strategy prediction units, which output game strategy prediction results. The interpretation of the lecturer of the sports competition in real time and the real -time voice input strategy prediction model of the schedule of the broadcaster competition. announcer.</v>
      </c>
      <c r="D1846" s="6" t="s">
        <v>5282</v>
      </c>
      <c r="E1846" s="4" t="str">
        <f ca="1">IFERROR(__xludf.DUMMYFUNCTION("GOOGLETRANSLATE(D1846,""auto"",""en"")"),"Real -time competition strategy prediction system and methods based on the commentary of sports competitions and the voice recognition of the broadcaster")</f>
        <v>Real -time competition strategy prediction system and methods based on the commentary of sports competitions and the voice recognition of the broadcaster</v>
      </c>
    </row>
    <row r="1847" spans="1:5" ht="15" x14ac:dyDescent="0.25">
      <c r="A1847" s="5" t="s">
        <v>5283</v>
      </c>
      <c r="B1847" s="6" t="s">
        <v>5284</v>
      </c>
      <c r="C1847" s="3" t="str">
        <f ca="1">IFERROR(__xludf.DUMMYFUNCTION("GOOGLETRANSLATE(B1847,""auto"",""en"")"),"An embodiment is the data collection unit for collecting the past competition data; the learning unit for using the past competition data learning collaborative model; when the learning is completed, the game predictor uses the collaborative model to pred"&amp;"ict the results of the competition. The vector of multiple championships of the first team in the force layer, and the operation of the first team's vector to output the synergy between multiple championships in the first -line team, and according to the "&amp;"synergistic role of the first -team team, output the first -team team The victory and defeat can provide a prediction device using deep learning.")</f>
        <v>An embodiment is the data collection unit for collecting the past competition data; the learning unit for using the past competition data learning collaborative model; when the learning is completed, the game predictor uses the collaborative model to predict the results of the competition. The vector of multiple championships of the first team in the force layer, and the operation of the first team's vector to output the synergy between multiple championships in the first -line team, and according to the synergistic role of the first -team team, output the first -team team The victory and defeat can provide a prediction device using deep learning.</v>
      </c>
      <c r="D1847" s="6" t="s">
        <v>5285</v>
      </c>
      <c r="E1847" s="4" t="str">
        <f ca="1">IFERROR(__xludf.DUMMYFUNCTION("GOOGLETRANSLATE(D1847,""auto"",""en"")"),"Device and methods of using deep learning predicting League of Legends competition results")</f>
        <v>Device and methods of using deep learning predicting League of Legends competition results</v>
      </c>
    </row>
    <row r="1848" spans="1:5" ht="15" x14ac:dyDescent="0.25">
      <c r="A1848" s="5" t="s">
        <v>5286</v>
      </c>
      <c r="B1848" s="6" t="s">
        <v>5287</v>
      </c>
      <c r="C1848" s="3" t="str">
        <f ca="1">IFERROR(__xludf.DUMMYFUNCTION("GOOGLETRANSLATE(B1848,""auto"",""en"")"),"The present invention involves a Texas Hold'em AI training method based on the minimization algorithm of virtual regret, including the following steps: 1) Get private hand information and game display information, and abstract game characteristics; 2) Bas"&amp;"ed on player historical game logs Players' strategy predicts neural network models; 3) The minimum algorithm of virtual regrets uses the player's strategy predicting neural network model as the opponent and obtained AI behavior strategies; And after the e"&amp;"nd, the competition record. Compared with existing technology, the invention integrates the regret matching mechanism and local minimum regret calculation method through the introduction of game information abstract embedded into the regret minimum algori"&amp;"thm, which has the advantages of improving the efficiency of calculation and actual game winning rate.")</f>
        <v>The present invention involves a Texas Hold'em AI training method based on the minimization algorithm of virtual regret, including the following steps: 1) Get private hand information and game display information, and abstract game characteristics; 2) Based on player historical game logs Players' strategy predicts neural network models; 3) The minimum algorithm of virtual regrets uses the player's strategy predicting neural network model as the opponent and obtained AI behavior strategies; And after the end, the competition record. Compared with existing technology, the invention integrates the regret matching mechanism and local minimum regret calculation method through the introduction of game information abstract embedded into the regret minimum algorithm, which has the advantages of improving the efficiency of calculation and actual game winning rate.</v>
      </c>
      <c r="D1848" s="6" t="s">
        <v>5288</v>
      </c>
      <c r="E1848" s="4" t="str">
        <f ca="1">IFERROR(__xludf.DUMMYFUNCTION("GOOGLETRANSLATE(D1848,""auto"",""en"")"),"A Texas Poker AI training method based on virtual regret minimum algorithm")</f>
        <v>A Texas Poker AI training method based on virtual regret minimum algorithm</v>
      </c>
    </row>
    <row r="1849" spans="1:5" ht="15" x14ac:dyDescent="0.25">
      <c r="A1849" s="5" t="s">
        <v>5289</v>
      </c>
      <c r="B1849" s="6" t="s">
        <v>5290</v>
      </c>
      <c r="C1849" s="3" t="str">
        <f ca="1">IFERROR(__xludf.DUMMYFUNCTION("GOOGLETRANSLATE(B1849,""auto"",""en"")"),"1. The name of the product of the product: display screen panel with an application icon graphical user interface.
 2. Design products in this exterior: used for interaction and display information.
 3. Design of the design of the product in appearanc"&amp;"e: lies in the interface.
 4. Pictures or photos that can best show design: Design 1 main view.
 5. Specify design 1 is the basic design.
 6. The purpose of graphical user interface: used to display status, information, or operating options.
 7. H"&amp;"uman -computer interaction method of graphical user interface: In the state of power, the interface is displayed in the display area of ​​the electronic device, and the state, information, or operating options of the electronic device are prompted to prom"&amp;"pt users.
 According to the prompts of the interface, users send instructions to the electronic device through the handheld controller of data interconnection to control, input and operate electronic devices.
 8. Design 1 的4 Pentagonal view without de"&amp;"signing points, so omitted the back -and -right viewing view of the design 1‑4.
 该显示屏幕面板及图形用户界面应用于电子装置：计算机、笔记本电脑、显示装置、通讯设备、多媒体设备、信息终端、便携式通讯设备、便携式多媒体设备、便携式信息终端、平板电脑、手机、智能手机、 Wearable devices, smart glasses, virtual reality glasses, augmented reality glas"&amp;"ses, hybrid glasses, watches, smart watches, fitness monitor, headset headphones, personal digital assistants, smart speakers, TV, set -top boxes, game systems.")</f>
        <v>1. The name of the product of the product: display screen panel with an application icon graphical user interface.
 2. Design products in this exterior: used for interaction and display information.
 3. Design of the design of the product in appearance: lies in the interface.
 4. Pictures or photos that can best show design: Design 1 main view.
 5. Specify design 1 is the basic design.
 6. The purpose of graphical user interface: used to display status, information, or operating options.
 7. Human -computer interaction method of graphical user interface: In the state of power, the interface is displayed in the display area of ​​the electronic device, and the state, information, or operating options of the electronic device are prompted to prompt users.
 According to the prompts of the interface, users send instructions to the electronic device through the handheld controller of data interconnection to control, input and operate electronic devices.
 8. Design 1 的4 Pentagonal view without designing points, so omitted the back -and -right viewing view of the design 1‑4.
 该显示屏幕面板及图形用户界面应用于电子装置：计算机、笔记本电脑、显示装置、通讯设备、多媒体设备、信息终端、便携式通讯设备、便携式多媒体设备、便携式信息终端、平板电脑、手机、智能手机、 Wearable devices, smart glasses, virtual reality glasses, augmented reality glasses, hybrid glasses, watches, smart watches, fitness monitor, headset headphones, personal digital assistants, smart speakers, TV, set -top boxes, game systems.</v>
      </c>
      <c r="D1849" s="6" t="s">
        <v>5291</v>
      </c>
      <c r="E1849" s="4" t="str">
        <f ca="1">IFERROR(__xludf.DUMMYFUNCTION("GOOGLETRANSLATE(D1849,""auto"",""en"")"),"Display screen panel with an application icon user interface")</f>
        <v>Display screen panel with an application icon user interface</v>
      </c>
    </row>
    <row r="1850" spans="1:5" ht="15" x14ac:dyDescent="0.25">
      <c r="A1850" s="5" t="s">
        <v>5292</v>
      </c>
      <c r="B1850" s="6" t="s">
        <v>5293</v>
      </c>
      <c r="C1850" s="3" t="str">
        <f ca="1">IFERROR(__xludf.DUMMYFUNCTION("GOOGLETRANSLATE(B1850,""auto"",""en"")"),"1. Design product name: The display screen panel for entering text information graphical user interface.
 2. Design products in this exterior: used for interaction and display information.
 3. Design of the design of the product in appearance: lies in"&amp;" the interface.
 4. Pictures or photos that can most indicate design points: main view.
 5. The purpose of graphical user interface: Enter text, information or commands to electronic devices.
 6. Human -computer interaction method of graphical user "&amp;"interface: In the main view, the interface shows the input keyboard.
 When the user enters text, information, or commands to the electronic device through the handheld controller of the data, the cursor slides from the original position to the selected "&amp;"input character position from the original position to the keyboard, and the interface is switched to the interface change state Figure 1.
 When the interface changes are in Figure 1, when the user clicks the position of the input character on the input"&amp;" keyboard, the interface change state Figure 1 Switch to the interface change state Figure 2.
 When the interface change state Figure 2, when the characters entered by the user are not satisfied with the requirements, but when the user clicks on the inp"&amp;"ut keyboard to indicate the confirmation position, the interface changes are switched to the interface change state Figure 3, and the interface change state graph 3 gives an error. Prompt text.
 When the character entered by the user meets the requireme"&amp;"nts, the cursor slides until the input keyboard represents the confirmation position, and switch to the interface change state Figure 4.
 On the interface change state Figure 4, when the user clicks the position of the confirmation on the input keyboard"&amp;", the interface change state Figure 4 is switched to the interface change state.
 7. There is no main point of design after the back -to -right viewing view, so the view of the left and right view is omitted.
 The display screen panel and graphical us"&amp;"er interface are used in electronic devices, that is, computers, laptops, display devices, communication equipment, multimedia equipment, information terminals, portable communication equipment, portable multimedia devices, portable information terminals,"&amp;" tablet computers, mobile phones, smartphones, smartphones, smart phones , Wearable devices, smart glasses, virtual reality glasses, augmented reality glasses, hybrid glasses, watches, smart watches, fitness monitor, headphones, personal digital assistant"&amp;"s, smart speakers, TV, set -top boxes, game systems.")</f>
        <v>1. Design product name: The display screen panel for entering text information graphical user interface.
 2. Design products in this exterior: used for interaction and display information.
 3. Design of the design of the product in appearance: lies in the interface.
 4. Pictures or photos that can most indicate design points: main view.
 5. The purpose of graphical user interface: Enter text, information or commands to electronic devices.
 6. Human -computer interaction method of graphical user interface: In the main view, the interface shows the input keyboard.
 When the user enters text, information, or commands to the electronic device through the handheld controller of the data, the cursor slides from the original position to the selected input character position from the original position to the keyboard, and the interface is switched to the interface change state Figure 1.
 When the interface changes are in Figure 1, when the user clicks the position of the input character on the input keyboard, the interface change state Figure 1 Switch to the interface change state Figure 2.
 When the interface change state Figure 2, when the characters entered by the user are not satisfied with the requirements, but when the user clicks on the input keyboard to indicate the confirmation position, the interface changes are switched to the interface change state Figure 3, and the interface change state graph 3 gives an error. Prompt text.
 When the character entered by the user meets the requirements, the cursor slides until the input keyboard represents the confirmation position, and switch to the interface change state Figure 4.
 On the interface change state Figure 4, when the user clicks the position of the confirmation on the input keyboard, the interface change state Figure 4 is switched to the interface change state.
 7. There is no main point of design after the back -to -right viewing view, so the view of the left and right view is omitted.
 The display screen panel and graphical user interface are used in electronic devices, that is, computers, laptops, display devices, communication equipment, multimedia equipment, information terminals, portable communication equipment, portable multimedia devices, portable information terminals, tablet computers, mobile phones, smartphones, smartphones, smart phones , Wearable devices, smart glasses, virtual reality glasses, augmented reality glasses, hybrid glasses, watches, smart watches, fitness monitor, headphones, personal digital assistants, smart speakers, TV, set -top boxes, game systems.</v>
      </c>
      <c r="D1850" s="6" t="s">
        <v>5294</v>
      </c>
      <c r="E1850" s="4" t="str">
        <f ca="1">IFERROR(__xludf.DUMMYFUNCTION("GOOGLETRANSLATE(D1850,""auto"",""en"")"),"Display screen panel for entering text information graphical user interface")</f>
        <v>Display screen panel for entering text information graphical user interface</v>
      </c>
    </row>
    <row r="1851" spans="1:5" ht="15" x14ac:dyDescent="0.25">
      <c r="A1851" s="5" t="s">
        <v>5295</v>
      </c>
      <c r="B1851" s="6" t="s">
        <v>5296</v>
      </c>
      <c r="C1851" s="3" t="str">
        <f ca="1">IFERROR(__xludf.DUMMYFUNCTION("GOOGLETRANSLATE(B1851,""auto"",""en"")"),"Abstract A method based on deep -learning horses' speed computing systems, including the following steps: Before the start of the game, the horse participating in the stadium moved around the field, the camera shooting the target horse video, and sent the"&amp;" video to the optical system. Streaming calculation module; extract images from the video, calculate the light flow field between continuous images; perform artificial intelligence detection of objects on the video; filter all mobile objects from the ligh"&amp;"t flow field; By speed; calculate the speed of the target horse between the two consecutive images according to the position of the target horse; the output is all the speed of the target horse between the target horses between the two consecutive images,"&amp;" and the average speed of the horse is obtained. 1/4 type Filter size output convolution 32 3x3 256 x 256 volume 64 3x3/2 128 x 128 volume 32 1x1 Ix volume 64 3x3 residual 128 x 128 volume 128 3x3/2 64 voltage 64 volume 64 1 x 1 2x convolution x 128 3 64 "&amp;"x 64 convolution 256 3x3/2 32 x 32 convolution 128 1xi 8X volume 256 3x3 residual 32 x 32 convolution 512 3x3/2 16 x 16 1 x 1 x 1 x 1 8X convolution 512 3x3 residual 16 x 16 convolution 8 x/3024 8 Convolutional 512 1x1 4X Convolutional 1024 3X 3x3 Residua"&amp;"l 8 AVGPool Global Connect 1000 SOFTMAX Figure 1 6000 5000 4000 C -3000 2000 1000 0 0 25 50 75 100 125 150 175 200 -bit displacement picture 2 (a)")</f>
        <v>Abstract A method based on deep -learning horses' speed computing systems, including the following steps: Before the start of the game, the horse participating in the stadium moved around the field, the camera shooting the target horse video, and sent the video to the optical system. Streaming calculation module; extract images from the video, calculate the light flow field between continuous images; perform artificial intelligence detection of objects on the video; filter all mobile objects from the light flow field; By speed; calculate the speed of the target horse between the two consecutive images according to the position of the target horse; the output is all the speed of the target horse between the target horses between the two consecutive images, and the average speed of the horse is obtained. 1/4 type Filter size output convolution 32 3x3 256 x 256 volume 64 3x3/2 128 x 128 volume 32 1x1 Ix volume 64 3x3 residual 128 x 128 volume 128 3x3/2 64 voltage 64 volume 64 1 x 1 2x convolution x 128 3 64 x 64 convolution 256 3x3/2 32 x 32 convolution 128 1xi 8X volume 256 3x3 residual 32 x 32 convolution 512 3x3/2 16 x 16 1 x 1 x 1 x 1 8X convolution 512 3x3 residual 16 x 16 convolution 8 x/3024 8 Convolutional 512 1x1 4X Convolutional 1024 3X 3x3 Residual 8 AVGPool Global Connect 1000 SOFTMAX Figure 1 6000 5000 4000 C -3000 2000 1000 0 0 25 50 75 100 125 150 175 200 -bit displacement picture 2 (a)</v>
      </c>
      <c r="D1851" s="6" t="s">
        <v>5297</v>
      </c>
      <c r="E1851" s="4" t="str">
        <f ca="1">IFERROR(__xludf.DUMMYFUNCTION("GOOGLETRANSLATE(D1851,""auto"",""en"")"),"Horse speed computing system and method based on deep learning")</f>
        <v>Horse speed computing system and method based on deep learning</v>
      </c>
    </row>
    <row r="1852" spans="1:5" ht="15" x14ac:dyDescent="0.25">
      <c r="A1852" s="5" t="s">
        <v>5298</v>
      </c>
      <c r="B1852" s="6" t="s">
        <v>5299</v>
      </c>
      <c r="C1852" s="3" t="str">
        <f ca="1">IFERROR(__xludf.DUMMYFUNCTION("GOOGLETRANSLATE(B1852,""auto"",""en"")"),"A video and method based on deep -learning horse speed computing systems, videos that walk around the game venue before the game through the camera, calculate through the light field, the object detection based on deep learning, the light flow field filte"&amp;"ring, the camera speed calculation, the use of the horses The transfer of the camera speed and the unit conversion finally obtained the average speed of the target horse. Realize the use of artificial intelligence technology to observe horses in more scie"&amp;"ntific methods and predict and calculate the speed of horses.")</f>
        <v>A video and method based on deep -learning horse speed computing systems, videos that walk around the game venue before the game through the camera, calculate through the light field, the object detection based on deep learning, the light flow field filtering, the camera speed calculation, the use of the horses The transfer of the camera speed and the unit conversion finally obtained the average speed of the target horse. Realize the use of artificial intelligence technology to observe horses in more scientific methods and predict and calculate the speed of horses.</v>
      </c>
      <c r="D1852" s="6" t="s">
        <v>5300</v>
      </c>
      <c r="E1852" s="4" t="str">
        <f ca="1">IFERROR(__xludf.DUMMYFUNCTION("GOOGLETRANSLATE(D1852,""auto"",""en"")"),"A horse speed computing system and method based on deep learning")</f>
        <v>A horse speed computing system and method based on deep learning</v>
      </c>
    </row>
    <row r="1853" spans="1:5" ht="15" x14ac:dyDescent="0.25">
      <c r="A1853" s="5" t="s">
        <v>5301</v>
      </c>
      <c r="B1853" s="6" t="s">
        <v>5302</v>
      </c>
      <c r="C1853" s="3" t="str">
        <f ca="1">IFERROR(__xludf.DUMMYFUNCTION("GOOGLETRANSLATE(B1853,""auto"",""en"")"),"The present invention involves an artificial intelligence billiard competition management system based on image analysis technology. The problem to be solved is to simplify the simplification of image analysis algorithms to maximize the cost of image anal"&amp;"ysis equipment, change the movement path of the motion, and the position of the billiards is to be the position of billiards. It can be calculated more accurate results and provides players with more diverse game information based on the calculated result"&amp;"s.
  For example, install the camera unit at the upper part of the Taiwan ball table, shoot the upper surface of the table ball table; receive the image collected through the image collection unit, identify the billiards in the image according to the co"&amp;"lor value, calculate the position value of the billiards, analyze the collision between the goal balls和与垫子的碰撞,分析之间的碰撞台球和预定义的图像分析单元根据制定的游戏规则计算得分结果,并根据计算的得分结果计算并记录每个玩家的游戏记录信息; 显示单元,用于Receive and output video analysis units of the competition record informat"&amp;"ion, and disclosed an artificial intelligence billiard competition management system based on video analysis technology.")</f>
        <v>The present invention involves an artificial intelligence billiard competition management system based on image analysis technology. The problem to be solved is to simplify the simplification of image analysis algorithms to maximize the cost of image analysis equipment, change the movement path of the motion, and the position of the billiards is to be the position of billiards. It can be calculated more accurate results and provides players with more diverse game information based on the calculated results.
  For example, install the camera unit at the upper part of the Taiwan ball table, shoot the upper surface of the table ball table; receive the image collected through the image collection unit, identify the billiards in the image according to the color value, calculate the position value of the billiards, analyze the collision between the goal balls和与垫子的碰撞,分析之间的碰撞台球和预定义的图像分析单元根据制定的游戏规则计算得分结果,并根据计算的得分结果计算并记录每个玩家的游戏记录信息; 显示单元,用于Receive and output video analysis units of the competition record information, and disclosed an artificial intelligence billiard competition management system based on video analysis technology.</v>
      </c>
      <c r="D1853" s="6" t="s">
        <v>5303</v>
      </c>
      <c r="E1853" s="4" t="str">
        <f ca="1">IFERROR(__xludf.DUMMYFUNCTION("GOOGLETRANSLATE(D1853,""auto"",""en"")"),"Artificial intelligence billiards management system based on video analysis technology")</f>
        <v>Artificial intelligence billiards management system based on video analysis technology</v>
      </c>
    </row>
    <row r="1854" spans="1:5" ht="15" x14ac:dyDescent="0.25">
      <c r="A1854" s="5" t="s">
        <v>5304</v>
      </c>
      <c r="B1854" s="6" t="s">
        <v>5305</v>
      </c>
      <c r="C1854" s="3" t="str">
        <f ca="1">IFERROR(__xludf.DUMMYFUNCTION("GOOGLETRANSLATE(B1854,""auto"",""en"")"),"A swimming pool life closed -circuit TV system contains the built -in camera setting in the pool in the pool and the external camera set outside the pool outside the pool. The shooting unit receives video information inside and outside the pool from the v"&amp;"ideo information, extracts the human sports information from the video information in the pool and the videos information outside the pool, and according to the human sports information The image analyzer of the alarm information, and the signal generator"&amp;" who receives the alarm information from the image analyzer and outputs the alarm.")</f>
        <v>A swimming pool life closed -circuit TV system contains the built -in camera setting in the pool in the pool and the external camera set outside the pool outside the pool. The shooting unit receives video information inside and outside the pool from the video information, extracts the human sports information from the video information in the pool and the videos information outside the pool, and according to the human sports information The image analyzer of the alarm information, and the signal generator who receives the alarm information from the image analyzer and outputs the alarm.</v>
      </c>
      <c r="D1854" s="6" t="s">
        <v>5306</v>
      </c>
      <c r="E1854" s="4" t="str">
        <f ca="1">IFERROR(__xludf.DUMMYFUNCTION("GOOGLETRANSLATE(D1854,""auto"",""en"")"),"CCTV system and method based on adaptive cognitive domain settings using artificial intelligence")</f>
        <v>CCTV system and method based on adaptive cognitive domain settings using artificial intelligence</v>
      </c>
    </row>
    <row r="1855" spans="1:5" ht="15" x14ac:dyDescent="0.25">
      <c r="A1855" s="5" t="s">
        <v>5307</v>
      </c>
      <c r="B1855" s="6" t="s">
        <v>5308</v>
      </c>
      <c r="C1855" s="3" t="str">
        <f ca="1">IFERROR(__xludf.DUMMYFUNCTION("GOOGLETRANSLATE(B1855,""auto"",""en"")"),"The present invention involves sports equipment, which specifically involves a real -time -controlled human -machine environment. The reflective photoelectric sensor (speed measurement), display screen, temperature sensor and angle sensor are carried out."&amp;" The control system uses the MCU miniature control unit as the core to achieve the communication and control of each module, and complete the non -linear function fit through the RBF radial base neural network. Parameter modeling, eventually combine the h"&amp;"ardware system with the software system to realize the interaction of cycling athletes; the present invention has the characteristics of riding experience and rich cycling experience, and can provide reference data for cyclist health and scientific riding"&amp;" training training ; The fitness industry in the indoor cycling cabin has a good marketing prospect.")</f>
        <v>The present invention involves sports equipment, which specifically involves a real -time -controlled human -machine environment. The reflective photoelectric sensor (speed measurement), display screen, temperature sensor and angle sensor are carried out. The control system uses the MCU miniature control unit as the core to achieve the communication and control of each module, and complete the non -linear function fit through the RBF radial base neural network. Parameter modeling, eventually combine the hardware system with the software system to realize the interaction of cycling athletes; the present invention has the characteristics of riding experience and rich cycling experience, and can provide reference data for cyclist health and scientific riding training training ; The fitness industry in the indoor cycling cabin has a good marketing prospect.</v>
      </c>
      <c r="D1855" s="6" t="s">
        <v>5309</v>
      </c>
      <c r="E1855" s="4" t="str">
        <f ca="1">IFERROR(__xludf.DUMMYFUNCTION("GOOGLETRANSLATE(D1855,""auto"",""en"")"),"A real -time -controlled human -machine environment with a cycling cabin system")</f>
        <v>A real -time -controlled human -machine environment with a cycling cabin system</v>
      </c>
    </row>
    <row r="1856" spans="1:5" ht="15" x14ac:dyDescent="0.25">
      <c r="A1856" s="5" t="s">
        <v>5310</v>
      </c>
      <c r="B1856" s="6" t="s">
        <v>5311</v>
      </c>
      <c r="C1856" s="3" t="str">
        <f ca="1">IFERROR(__xludf.DUMMYFUNCTION("GOOGLETRANSLATE(B1856,""auto"",""en"")"),"The present invention belongs to the field of gymnastics training technology. A la la operation uses stretching training control system and methods, including central processing and control modules, training imaging collection modules, action recognition "&amp;"detection modules, body signs detection modules, communication modules, servers Module, stretch parameter adjustment module, training results evaluation module, voice recognition control module, human -machine interaction module and voice reminder module."&amp;" The present invention uses the action recognition and detection module to recognize the collected image information, and evaluates the accuracy of the recognition of the action information. It can quickly identify the action information of the cheerleadi"&amp;"ng training training. Evaluate and guide the action to improve the learning effect; and through the physical signs detection module, the physical condition of the athletes can be monitored in real time to avoid excessive training intensity, cause damage t"&amp;"o athletes, and high safety.")</f>
        <v>The present invention belongs to the field of gymnastics training technology. A la la operation uses stretching training control system and methods, including central processing and control modules, training imaging collection modules, action recognition detection modules, body signs detection modules, communication modules, servers Module, stretch parameter adjustment module, training results evaluation module, voice recognition control module, human -machine interaction module and voice reminder module. The present invention uses the action recognition and detection module to recognize the collected image information, and evaluates the accuracy of the recognition of the action information. It can quickly identify the action information of the cheerleading training training. Evaluate and guide the action to improve the learning effect; and through the physical signs detection module, the physical condition of the athletes can be monitored in real time to avoid excessive training intensity, cause damage to athletes, and high safety.</v>
      </c>
      <c r="D1856" s="6" t="s">
        <v>5312</v>
      </c>
      <c r="E1856" s="4" t="str">
        <f ca="1">IFERROR(__xludf.DUMMYFUNCTION("GOOGLETRANSLATE(D1856,""auto"",""en"")"),"One kind of la law operation control system and method of stretching training")</f>
        <v>One kind of la law operation control system and method of stretching training</v>
      </c>
    </row>
    <row r="1857" spans="1:5" ht="15" x14ac:dyDescent="0.25">
      <c r="A1857" s="5" t="s">
        <v>5313</v>
      </c>
      <c r="B1857" s="6" t="s">
        <v>5314</v>
      </c>
      <c r="C1857" s="3" t="str">
        <f ca="1">IFERROR(__xludf.DUMMYFUNCTION("GOOGLETRANSLATE(B1857,""auto"",""en"")"),"A kind of swimming pool water treatment equipment IoT intelligent automation control system, local intelligent control cabinet control swimming pool water treatment equipment operation, and obtain data information of the swimming water treatment system, a"&amp;"utomatically run according to the selected mode of the user, and at the same time, the collected data information is passed through the data information. The data gateway module is sent to the cloud platform module. The cloud platform module processes the"&amp;" data information received, and sends the processing results to the terminal equipment for display, storage and remote control. The screen is uploaded to the cloud platform module, and the site can be viewed in real time through the terminal equipment; th"&amp;"e above -mentioned local intelligent control cabinets, data gateway modules, and cloud platform modules are connected to form an IoT intelligent automation control system, which is configured with different swimming venues to achieve remote range Real -ti"&amp;"me monitoring and control, to achieve environmental protection and energy saving, reduce equipment operating costs, reduce on -site operation and maintenance personnel, reduce management costs, and improve management efficiency.")</f>
        <v>A kind of swimming pool water treatment equipment IoT intelligent automation control system, local intelligent control cabinet control swimming pool water treatment equipment operation, and obtain data information of the swimming water treatment system, automatically run according to the selected mode of the user, and at the same time, the collected data information is passed through the data information. The data gateway module is sent to the cloud platform module. The cloud platform module processes the data information received, and sends the processing results to the terminal equipment for display, storage and remote control. The screen is uploaded to the cloud platform module, and the site can be viewed in real time through the terminal equipment; the above -mentioned local intelligent control cabinets, data gateway modules, and cloud platform modules are connected to form an IoT intelligent automation control system, which is configured with different swimming venues to achieve remote range Real -time monitoring and control, to achieve environmental protection and energy saving, reduce equipment operating costs, reduce on -site operation and maintenance personnel, reduce management costs, and improve management efficiency.</v>
      </c>
      <c r="D1857" s="6" t="s">
        <v>5315</v>
      </c>
      <c r="E1857" s="4" t="str">
        <f ca="1">IFERROR(__xludf.DUMMYFUNCTION("GOOGLETRANSLATE(D1857,""auto"",""en"")"),"A swimming pool water treatment equipment IoT intelligent automation control system")</f>
        <v>A swimming pool water treatment equipment IoT intelligent automation control system</v>
      </c>
    </row>
    <row r="1858" spans="1:5" ht="15" x14ac:dyDescent="0.25">
      <c r="A1858" s="5" t="s">
        <v>5316</v>
      </c>
      <c r="B1858" s="6" t="s">
        <v>5317</v>
      </c>
      <c r="C1858" s="3" t="str">
        <f ca="1">IFERROR(__xludf.DUMMYFUNCTION("GOOGLETRANSLATE(B1858,""auto"",""en"")"),"The present invention disclosed a ""national fitness"" model development method for high blood pressure diabetes people. By comprehensively collects the relevant knowledge materials for high blood pressure and diabetes and rehabilitation therapy, fitness "&amp;"exercise and fitness guidance. The purpose of the model is to use the core data model to support the development of various fitness guidance software systems, and realize the fitness personnel (especially the fitness personnel of high blood pressure and s"&amp;"pecial people in diabetes). You can get the diseases and drug treatment of physical and physical characteristics of fitness personnel, medicine treatment, diet and exercise therapy, as well as comprehensive and rich knowledge of national fitness, fitness "&amp;"guidance processes, and organization -related knowledge related to the treatment of physical condition. The purpose is to enable fitness personnel to use these application systems to get in -depth personalized fitness guidance.")</f>
        <v>The present invention disclosed a "national fitness" model development method for high blood pressure diabetes people. By comprehensively collects the relevant knowledge materials for high blood pressure and diabetes and rehabilitation therapy, fitness exercise and fitness guidance. The purpose of the model is to use the core data model to support the development of various fitness guidance software systems, and realize the fitness personnel (especially the fitness personnel of high blood pressure and special people in diabetes). You can get the diseases and drug treatment of physical and physical characteristics of fitness personnel, medicine treatment, diet and exercise therapy, as well as comprehensive and rich knowledge of national fitness, fitness guidance processes, and organization -related knowledge related to the treatment of physical condition. The purpose is to enable fitness personnel to use these application systems to get in -depth personalized fitness guidance.</v>
      </c>
      <c r="D1858" s="6" t="s">
        <v>5318</v>
      </c>
      <c r="E1858" s="4" t="str">
        <f ca="1">IFERROR(__xludf.DUMMYFUNCTION("GOOGLETRANSLATE(D1858,""auto"",""en"")"),"A national fitness model development method for high blood pressure diabetes people")</f>
        <v>A national fitness model development method for high blood pressure diabetes people</v>
      </c>
    </row>
    <row r="1859" spans="1:5" ht="15" x14ac:dyDescent="0.25">
      <c r="A1859" s="5" t="s">
        <v>5319</v>
      </c>
      <c r="B1859" s="6" t="s">
        <v>5320</v>
      </c>
      <c r="C1859" s="3" t="str">
        <f ca="1">IFERROR(__xludf.DUMMYFUNCTION("GOOGLETRANSLATE(B1859,""auto"",""en"")"),"Abstract 
  The invention provides a game system with image synthesis and display functions
  5 At least one player shows the game on the game at least one player
  During the scoring time, multiple scoring areas scores
  Generate scoring informat"&amp;"ion, collect images, respectively
  Unit shooting physical competition results to generate the real scene of the unit
  Get instant image, image recognition unit recognition
  10. Analyze the location of the instant image to generate position
  In"&amp;"formation, and then generate image synthesis processing unit
  At least based on the virtual real synthetic image of the score
  Information, instant image and location information, and
  Various display screen display virtual real synthesis
  15 "&amp;"images. Therefore, the present invention increased the game
  At least one player ends and increases the credibility of the game.")</f>
        <v>Abstract 
  The invention provides a game system with image synthesis and display functions
  5 At least one player shows the game on the game at least one player
  During the scoring time, multiple scoring areas scores
  Generate scoring information, collect images, respectively
  Unit shooting physical competition results to generate the real scene of the unit
  Get instant image, image recognition unit recognition
  10. Analyze the location of the instant image to generate position
  Information, and then generate image synthesis processing unit
  At least based on the virtual real synthetic image of the score
  Information, instant image and location information, and
  Various display screen display virtual real synthesis
  15 images. Therefore, the present invention increased the game
  At least one player ends and increases the credibility of the game.</v>
      </c>
      <c r="D1859" s="6" t="s">
        <v>5321</v>
      </c>
      <c r="E1859" s="4" t="str">
        <f ca="1">IFERROR(__xludf.DUMMYFUNCTION("GOOGLETRANSLATE(D1859,""auto"",""en"")"),"Gaming system with image synthesis and display")</f>
        <v>Gaming system with image synthesis and display</v>
      </c>
    </row>
    <row r="1860" spans="1:5" ht="15" x14ac:dyDescent="0.25">
      <c r="A1860" s="5" t="s">
        <v>5322</v>
      </c>
      <c r="B1860" s="6" t="s">
        <v>5323</v>
      </c>
      <c r="C1860" s="3" t="str">
        <f ca="1">IFERROR(__xludf.DUMMYFUNCTION("GOOGLETRANSLATE(B1860,""auto"",""en"")"),"This application provides a data communication method and IoT device. This method includes: the first device obtains the user's sports data; the first device encapsulates the exercise data to several data packets; , To indicate the second device to analyz"&amp;"e several packets, and instruct the second device to display the motion data in several packets. In this way, when the first device obtains the user's motion data, the first device can encapsulate the motion data and send it to the second device.该第二设备可以实时"&amp;"展示用户的运动数据，从而可以方便用户实时了解到用户的运动数据，若出现不规范的动作以及姿势，可以及时了解到，并及时纠正，而不需要全部通过健身教练人工Correction can save costs, more intelligent, can improve people's quality of life, and have good application prospects.")</f>
        <v>This application provides a data communication method and IoT device. This method includes: the first device obtains the user's sports data; the first device encapsulates the exercise data to several data packets; , To indicate the second device to analyze several packets, and instruct the second device to display the motion data in several packets. In this way, when the first device obtains the user's motion data, the first device can encapsulate the motion data and send it to the second device.该第二设备可以实时展示用户的运动数据，从而可以方便用户实时了解到用户的运动数据，若出现不规范的动作以及姿势，可以及时了解到，并及时纠正，而不需要全部通过健身教练人工Correction can save costs, more intelligent, can improve people's quality of life, and have good application prospects.</v>
      </c>
      <c r="D1860" s="6" t="s">
        <v>5324</v>
      </c>
      <c r="E1860" s="4" t="str">
        <f ca="1">IFERROR(__xludf.DUMMYFUNCTION("GOOGLETRANSLATE(D1860,""auto"",""en"")"),"A data communication method and IoT device")</f>
        <v>A data communication method and IoT device</v>
      </c>
    </row>
    <row r="1861" spans="1:5" ht="15" x14ac:dyDescent="0.25">
      <c r="A1861" s="5" t="s">
        <v>5325</v>
      </c>
      <c r="B1861" s="6" t="s">
        <v>5326</v>
      </c>
      <c r="C1861" s="3" t="str">
        <f ca="1">IFERROR(__xludf.DUMMYFUNCTION("GOOGLETRANSLATE(B1861,""auto"",""en"")"),"In recent years, the application of computer vision in the fields of security, medical care, sports, and games has attracted more and more attention. In sports such as crickets, baseball, basketball, etc., their role is getting greater and greater. The ch"&amp;"allenge is to detect from the video frame when the object is moving. The focus of this work is the design and development of ball detection and tracking methods. This work begins with researching, detection and tracking methods. Techniques such as light f"&amp;"low, frame difference, background subtraction and skin color extraction have been developed in the literature. These methods are based on time, frequency and statistical analysis. But most methods have the problem of calculating complexity. The method stu"&amp;"died is the trajectory -based ball detection and tracking, regional growth algorithm, PSO algorithm, and the Mean Shift algorithm with HSV color space and texture characteristics. In this work, frame differences and color -based detection are used. The fr"&amp;"ame difference method uses more memory and time, and the color -based method is complicated in principle. However, once the piano component analysis is performed, the performance will be improved. Use a morphological filter to remove some noise ingredient"&amp;"s, such as small holes, narrow cracks, bays and filling outline gaps. Reduce spatial resolution to reduce scattered noise and unstable background fake movement. After performing expansion and corrosion filtering, then mark the component of the connection."&amp;" These components detect and extract the object borders. The existing average offset tracking uses a single template (ball) color to track the ball in each frame. When the ball in the frame is severely blurred or shake due to exercise, the existing method"&amp;" cannot track the ball. In order to overcome this problem, a new multi-meter-based improvement average drifting algorithm (MT-MS) is proposed. Here we do not use a single template, but use multiple templates to track the ball. Take two templates and calcu"&amp;"late the color histogram of its color. Then use two templates to apply the average offset algorithm to the tracking position. The similarity value helps define the approximation of the template and the selection window. The trajectory path of objects in s"&amp;"pace is described as functions with time and position with geometry. Actually obtain sports details and speed information. When each frame is recognized, the sports trajectory of basketball is determined from the center of the ball. Implementation is comp"&amp;"leted in Matlab. The implementation of the average diagram of the histogram analyzed ball tracking video is implemented. When the video sequence is used for testing, the accuracy of the data 1 and 2 is 95% and 97%, respectively.")</f>
        <v>In recent years, the application of computer vision in the fields of security, medical care, sports, and games has attracted more and more attention. In sports such as crickets, baseball, basketball, etc., their role is getting greater and greater. The challenge is to detect from the video frame when the object is moving. The focus of this work is the design and development of ball detection and tracking methods. This work begins with researching, detection and tracking methods. Techniques such as light flow, frame difference, background subtraction and skin color extraction have been developed in the literature. These methods are based on time, frequency and statistical analysis. But most methods have the problem of calculating complexity. The method studied is the trajectory -based ball detection and tracking, regional growth algorithm, PSO algorithm, and the Mean Shift algorithm with HSV color space and texture characteristics. In this work, frame differences and color -based detection are used. The frame difference method uses more memory and time, and the color -based method is complicated in principle. However, once the piano component analysis is performed, the performance will be improved. Use a morphological filter to remove some noise ingredients, such as small holes, narrow cracks, bays and filling outline gaps. Reduce spatial resolution to reduce scattered noise and unstable background fake movement. After performing expansion and corrosion filtering, then mark the component of the connection. These components detect and extract the object borders. The existing average offset tracking uses a single template (ball) color to track the ball in each frame. When the ball in the frame is severely blurred or shake due to exercise, the existing method cannot track the ball. In order to overcome this problem, a new multi-meter-based improvement average drifting algorithm (MT-MS) is proposed. Here we do not use a single template, but use multiple templates to track the ball. Take two templates and calculate the color histogram of its color. Then use two templates to apply the average offset algorithm to the tracking position. The similarity value helps define the approximation of the template and the selection window. The trajectory path of objects in space is described as functions with time and position with geometry. Actually obtain sports details and speed information. When each frame is recognized, the sports trajectory of basketball is determined from the center of the ball. Implementation is completed in Matlab. The implementation of the average diagram of the histogram analyzed ball tracking video is implemented. When the video sequence is used for testing, the accuracy of the data 1 and 2 is 95% and 97%, respectively.</v>
      </c>
      <c r="D1861" s="6" t="s">
        <v>5327</v>
      </c>
      <c r="E1861" s="4" t="str">
        <f ca="1">IFERROR(__xludf.DUMMYFUNCTION("GOOGLETRANSLATE(D1861,""auto"",""en"")"),"The video capture based on high -efficiency 3D trajectory")</f>
        <v>The video capture based on high -efficiency 3D trajectory</v>
      </c>
    </row>
    <row r="1862" spans="1:5" ht="15" x14ac:dyDescent="0.25">
      <c r="A1862" s="5" t="s">
        <v>5328</v>
      </c>
      <c r="B1862" s="6" t="s">
        <v>5329</v>
      </c>
      <c r="C1862" s="3" t="str">
        <f ca="1">IFERROR(__xludf.DUMMYFUNCTION("GOOGLETRANSLATE(B1862,""auto"",""en"")"),"The present invention disclosed an artificial intelligence electrical control system, including AI control systems, swimming pool systems, operating display systems, network communication modules and alarm systems; The electrical equipment includes a circ"&amp;"ulating water pump and water injection control valve, which is connected to the data communication connection of the AI ​​control system data; there is a drainage outlet at the bottom of the swimming pool, The circulating water pump is connected to the fi"&amp;"ltering cabin. According to the number of swimmers, the invention reasonably sets the circulating speed of the circulating water pump, so as to achieve power saving, ensure the cleaning of water quality and provide safety for swimmers. At the same time, t"&amp;"he human body lying on the bottom of the water is detected in a timely manner to discover the potential drowning risk in the swimming pool in time, and conduct search and rescue and alarm to improve the safety of swimmers.")</f>
        <v>The present invention disclosed an artificial intelligence electrical control system, including AI control systems, swimming pool systems, operating display systems, network communication modules and alarm systems; The electrical equipment includes a circulating water pump and water injection control valve, which is connected to the data communication connection of the AI ​​control system data; there is a drainage outlet at the bottom of the swimming pool, The circulating water pump is connected to the filtering cabin. According to the number of swimmers, the invention reasonably sets the circulating speed of the circulating water pump, so as to achieve power saving, ensure the cleaning of water quality and provide safety for swimmers. At the same time, the human body lying on the bottom of the water is detected in a timely manner to discover the potential drowning risk in the swimming pool in time, and conduct search and rescue and alarm to improve the safety of swimmers.</v>
      </c>
      <c r="D1862" s="6" t="s">
        <v>5330</v>
      </c>
      <c r="E1862" s="4" t="str">
        <f ca="1">IFERROR(__xludf.DUMMYFUNCTION("GOOGLETRANSLATE(D1862,""auto"",""en"")"),"Artificial Intelligence Electric Control System")</f>
        <v>Artificial Intelligence Electric Control System</v>
      </c>
    </row>
    <row r="1863" spans="1:5" ht="15" x14ac:dyDescent="0.25">
      <c r="A1863" s="5" t="s">
        <v>5331</v>
      </c>
      <c r="B1863" s="6" t="s">
        <v>5332</v>
      </c>
      <c r="C1863" s="3" t="str">
        <f ca="1">IFERROR(__xludf.DUMMYFUNCTION("GOOGLETRANSLATE(B1863,""auto"",""en"")"),"The present invention disclose an artificial intelligence electrical control method, including; step S1, the network communication module obtains the current weather environment and weather temperature, and transmits the meteorological environment and wea"&amp;"ther temperature data to the AI ​​control system. The temperature calculates the best suitable water temperature; at the same time, the AI ​​control system sets the best swimming water depth according to the needs of swimmers; step S2, water temperature h"&amp;"eating device to heat the water after filtering the filtering water cabin; step S3, water temperature sensor detection The actual water temperature of the swimming pool; step S4, the cleanliness sensor to detect the water cleanliness of the swimming pool;"&amp;" step S5, the running display system is used to display the running data of the current swimming pool and the operating data of the electrical sensing system; step S6, the alarm system is used for the alarm system for the alarm system for the use of the a"&amp;"larm system for the use When the water quality detected by the AI ​​control system is abnormal or abnormal water temperature or abnormal water depth. According to the number of swimmers, the invention reasonably set the circulating speed of the circulatin"&amp;"g water pump.")</f>
        <v>The present invention disclose an artificial intelligence electrical control method, including; step S1, the network communication module obtains the current weather environment and weather temperature, and transmits the meteorological environment and weather temperature data to the AI ​​control system. The temperature calculates the best suitable water temperature; at the same time, the AI ​​control system sets the best swimming water depth according to the needs of swimmers; step S2, water temperature heating device to heat the water after filtering the filtering water cabin; step S3, water temperature sensor detection The actual water temperature of the swimming pool; step S4, the cleanliness sensor to detect the water cleanliness of the swimming pool; step S5, the running display system is used to display the running data of the current swimming pool and the operating data of the electrical sensing system; step S6, the alarm system is used for the alarm system for the alarm system for the use of the alarm system for the use When the water quality detected by the AI ​​control system is abnormal or abnormal water temperature or abnormal water depth. According to the number of swimmers, the invention reasonably set the circulating speed of the circulating water pump.</v>
      </c>
      <c r="D1863" s="6" t="s">
        <v>5333</v>
      </c>
      <c r="E1863" s="4" t="str">
        <f ca="1">IFERROR(__xludf.DUMMYFUNCTION("GOOGLETRANSLATE(D1863,""auto"",""en"")"),"An artificial intelligence electrical control method")</f>
        <v>An artificial intelligence electrical control method</v>
      </c>
    </row>
    <row r="1864" spans="1:5" ht="15" x14ac:dyDescent="0.25">
      <c r="A1864" s="5" t="s">
        <v>5334</v>
      </c>
      <c r="B1864" s="6" t="s">
        <v>5335</v>
      </c>
      <c r="C1864" s="3" t="str">
        <f ca="1">IFERROR(__xludf.DUMMYFUNCTION("GOOGLETRANSLATE(B1864,""auto"",""en"")"),"The invention involves a motion -based posture correction method based on action recognition, which is a computer and motion recognition technology field. This method includes: action recognition: collect user motion videos through the camera, build actio"&amp;"n recognition algorithms based on deep learning algorithms, and use the algorithm to sort out the movements in the exercise video; skeleton extraction: first extract the corresponding exercise from the standard fitness database from the standard fitness d"&amp;"atabase The standard action of the person, and then extract the skeleton at the same time from the standard action video; at the same time, use the collected exercise video to extract the exercise skeleton model from it; Similar calculation of the skeleto"&amp;"n and standard action video of the exercise, extract a frame of template movements with the highest degree of similarity; finally, all the action tests are completed, and several frames of action with a small degree of similarity than the threshold are se"&amp;"lected, and the template action is displayed. The present invention improves calculation speed and comparison accuracy.")</f>
        <v>The invention involves a motion -based posture correction method based on action recognition, which is a computer and motion recognition technology field. This method includes: action recognition: collect user motion videos through the camera, build action recognition algorithms based on deep learning algorithms, and use the algorithm to sort out the movements in the exercise video; skeleton extraction: first extract the corresponding exercise from the standard fitness database from the standard fitness database The standard action of the person, and then extract the skeleton at the same time from the standard action video; at the same time, use the collected exercise video to extract the exercise skeleton model from it; Similar calculation of the skeleton and standard action video of the exercise, extract a frame of template movements with the highest degree of similarity; finally, all the action tests are completed, and several frames of action with a small degree of similarity than the threshold are selected, and the template action is displayed. The present invention improves calculation speed and comparison accuracy.</v>
      </c>
      <c r="D1864" s="6" t="s">
        <v>5336</v>
      </c>
      <c r="E1864" s="4" t="str">
        <f ca="1">IFERROR(__xludf.DUMMYFUNCTION("GOOGLETRANSLATE(D1864,""auto"",""en"")"),"A method of motion -based gesture correction based on action recognition")</f>
        <v>A method of motion -based gesture correction based on action recognition</v>
      </c>
    </row>
    <row r="1865" spans="1:5" ht="15" x14ac:dyDescent="0.25">
      <c r="A1865" s="5" t="s">
        <v>5337</v>
      </c>
      <c r="B1865" s="6" t="s">
        <v>5338</v>
      </c>
      <c r="C1865" s="3" t="str">
        <f ca="1">IFERROR(__xludf.DUMMYFUNCTION("GOOGLETRANSLATE(B1865,""auto"",""en"")"),"The present invention proposes a real -time prediction method based on machine learning football games. First, according to the statistical historical data and real -time event data of the record records of the football game, the scoring model is establis"&amp;"hed to obtain historical characteristics and real -time characteristics. The stacking method is used to integrate and screen historical features with real -time features, and then use the average number of goals, the average number of shots, and the stand"&amp;"ings ranking to complete the characteristics. By establishing a diagram of convolutional deep neural network model, real -time prediction of the results of the football game. Compared with the accuracy of the algorithm for competition prediction only with"&amp;" historical data, it has improved.")</f>
        <v>The present invention proposes a real -time prediction method based on machine learning football games. First, according to the statistical historical data and real -time event data of the record records of the football game, the scoring model is established to obtain historical characteristics and real -time characteristics. The stacking method is used to integrate and screen historical features with real -time features, and then use the average number of goals, the average number of shots, and the standings ranking to complete the characteristics. By establishing a diagram of convolutional deep neural network model, real -time prediction of the results of the football game. Compared with the accuracy of the algorithm for competition prediction only with historical data, it has improved.</v>
      </c>
      <c r="D1865" s="6" t="s">
        <v>5339</v>
      </c>
      <c r="E1865" s="4" t="str">
        <f ca="1">IFERROR(__xludf.DUMMYFUNCTION("GOOGLETRANSLATE(D1865,""auto"",""en"")"),"A real -time prediction method based on machine learning football games")</f>
        <v>A real -time prediction method based on machine learning football games</v>
      </c>
    </row>
    <row r="1866" spans="1:5" ht="15" x14ac:dyDescent="0.25">
      <c r="A1866" s="5" t="s">
        <v>5340</v>
      </c>
      <c r="B1866" s="6" t="s">
        <v>5341</v>
      </c>
      <c r="C1866" s="3" t="str">
        <f ca="1">IFERROR(__xludf.DUMMYFUNCTION("GOOGLETRANSLATE(B1866,""auto"",""en"")"),"A one -dimensional analysis model and method based on artificial intelligence -based engines were disclosed.
  The one -dimensional analysis model calibration system based on artificial intelligence -based engine is a MIMO (multiple input and multiple o"&amp;"utput) model. It can analyze the non -linear characteristics of the engine based on artificial intelligence. The target includes the automatic calibration tool (ACT), which can automatically perform the calibration of the engine. The one -dimensional anal"&amp;"ysis model can export the input data corresponding to the performance, as well as the graphical user interface (GUI) and engine one -dimensional analysis model for users to operate. A control unit is used to control the overall operation of correction wor"&amp;"k.")</f>
        <v>A one -dimensional analysis model and method based on artificial intelligence -based engines were disclosed.
  The one -dimensional analysis model calibration system based on artificial intelligence -based engine is a MIMO (multiple input and multiple output) model. It can analyze the non -linear characteristics of the engine based on artificial intelligence. The target includes the automatic calibration tool (ACT), which can automatically perform the calibration of the engine. The one -dimensional analysis model can export the input data corresponding to the performance, as well as the graphical user interface (GUI) and engine one -dimensional analysis model for users to operate. A control unit is used to control the overall operation of correction work.</v>
      </c>
      <c r="D1866" s="6" t="s">
        <v>5342</v>
      </c>
      <c r="E1866" s="4" t="str">
        <f ca="1">IFERROR(__xludf.DUMMYFUNCTION("GOOGLETRANSLATE(D1866,""auto"",""en"")"),"AI -based engine one -dimensional analysis model calibration system and method")</f>
        <v>AI -based engine one -dimensional analysis model calibration system and method</v>
      </c>
    </row>
    <row r="1867" spans="1:5" ht="15" x14ac:dyDescent="0.25">
      <c r="A1867" s="5" t="s">
        <v>5343</v>
      </c>
      <c r="B1867" s="6" t="s">
        <v>5344</v>
      </c>
      <c r="C1867" s="3" t="str">
        <f ca="1">IFERROR(__xludf.DUMMYFUNCTION("GOOGLETRANSLATE(B1867,""auto"",""en"")"),"Examples include using artificial intelligence and/or machine learning. Based on the historical scores or other related data of specific teams, players, and events, sports analysis is generated. Machine learning can be applied to historical data to increa"&amp;"se the probability of forecasting. The probability module can analyze the correlation between the results and available parameters in real time in advance to give accurate and latest probability.")</f>
        <v>Examples include using artificial intelligence and/or machine learning. Based on the historical scores or other related data of specific teams, players, and events, sports analysis is generated. Machine learning can be applied to historical data to increase the probability of forecasting. The probability module can analyze the correlation between the results and available parameters in real time in advance to give accurate and latest probability.</v>
      </c>
      <c r="D1867" s="6" t="s">
        <v>5345</v>
      </c>
      <c r="E1867" s="4" t="str">
        <f ca="1">IFERROR(__xludf.DUMMYFUNCTION("GOOGLETRANSLATE(D1867,""auto"",""en"")"),"Probability prediction method, system and equipment for artificial intelligence and machine learning enhancement")</f>
        <v>Probability prediction method, system and equipment for artificial intelligence and machine learning enhancement</v>
      </c>
    </row>
    <row r="1868" spans="1:5" ht="15" x14ac:dyDescent="0.25">
      <c r="A1868" s="5" t="s">
        <v>5346</v>
      </c>
      <c r="B1868" s="6" t="s">
        <v>586</v>
      </c>
      <c r="C1868" s="3" t="str">
        <f ca="1">IFERROR(__xludf.DUMMYFUNCTION("GOOGLETRANSLATE(B1868,""auto"",""en"")"),"Examples include historical score data based on artificial intelligence and/or machine learning to generate sports analysis based on historical score data based on specific teams, players, events or other related data. Machine learning can be applied to h"&amp;"istorical data to increase betting odds. The odds module can analyze the correlation between the results and available parameters in real time in advance to give accurate and latest odds.")</f>
        <v>Examples include historical score data based on artificial intelligence and/or machine learning to generate sports analysis based on historical score data based on specific teams, players, events or other related data. Machine learning can be applied to historical data to increase betting odds. The odds module can analyze the correlation between the results and available parameters in real time in advance to give accurate and latest odds.</v>
      </c>
      <c r="D1868" s="6" t="s">
        <v>587</v>
      </c>
      <c r="E1868" s="4" t="str">
        <f ca="1">IFERROR(__xludf.DUMMYFUNCTION("GOOGLETRANSLATE(D1868,""auto"",""en"")"),"Artificial intelligence and machine learning enhance betting odds methods, systems and devices")</f>
        <v>Artificial intelligence and machine learning enhance betting odds methods, systems and devices</v>
      </c>
    </row>
    <row r="1869" spans="1:5" ht="15" x14ac:dyDescent="0.25">
      <c r="A1869" s="5" t="s">
        <v>5347</v>
      </c>
      <c r="B1869" s="6" t="s">
        <v>5348</v>
      </c>
      <c r="C1869" s="3" t="str">
        <f ca="1">IFERROR(__xludf.DUMMYFUNCTION("GOOGLETRANSLATE(B1869,""auto"",""en"")"),"The invention involves the field of sports equipment technology. In order to solve the existing technology, when a misjudgment occurs, it is necessary to apply to re -examine the controversial ball, which leads to misjudgment in the game. Sub -system, inc"&amp;"luding collecting modules, used to obtain hitting videos; processing modules, processing the ball's movement route and falling point image on the hit videos; identifying the module, identifying the results of the sender and the falling point to get the re"&amp;"sults of the identification; There are scoring rules in the preset; scoring modules to obtain system total scores; scoring modules, obtaining total scores of ruling; comparing the module, comparing the current system score with the current ruling; When th"&amp;"e total score of the ruling is different, the landing point image is retrieved; the communication module is pushed to the referee end, receiving feedback information, and identifying the feedback information; corrected the module to correct Essence")</f>
        <v>The invention involves the field of sports equipment technology. In order to solve the existing technology, when a misjudgment occurs, it is necessary to apply to re -examine the controversial ball, which leads to misjudgment in the game. Sub -system, including collecting modules, used to obtain hitting videos; processing modules, processing the ball's movement route and falling point image on the hit videos; identifying the module, identifying the results of the sender and the falling point to get the results of the identification; There are scoring rules in the preset; scoring modules to obtain system total scores; scoring modules, obtaining total scores of ruling; comparing the module, comparing the current system score with the current ruling; When the total score of the ruling is different, the landing point image is retrieved; the communication module is pushed to the referee end, receiving feedback information, and identifying the feedback information; corrected the module to correct Essence</v>
      </c>
      <c r="D1869" s="6" t="s">
        <v>5349</v>
      </c>
      <c r="E1869" s="4" t="str">
        <f ca="1">IFERROR(__xludf.DUMMYFUNCTION("GOOGLETRANSLATE(D1869,""auto"",""en"")"),"A sports intelligent scoring system")</f>
        <v>A sports intelligent scoring system</v>
      </c>
    </row>
    <row r="1870" spans="1:5" ht="15" x14ac:dyDescent="0.25">
      <c r="A1870" s="5" t="s">
        <v>5350</v>
      </c>
      <c r="B1870" s="6" t="s">
        <v>5351</v>
      </c>
      <c r="C1870" s="3" t="str">
        <f ca="1">IFERROR(__xludf.DUMMYFUNCTION("GOOGLETRANSLATE(B1870,""auto"",""en"")"),"An AI artificial intelligence monitoring device that is convenient for installation, including installation seats, activity grooves, splints, connectors and monitors. At the inner wall of the splint, the left side of the installation seat is installed, an"&amp;"d the end of the splint runs through the activity slot and extends to the inside of the installation seat. At the outer side of the fixed board, slider, first spring, sleeve, second spring, pressure plate, and connecting rod settings, 2 splints in the ins"&amp;"tallation seat can move in the opposite direction, so that you can quickly quickly quickly move. The detector is fixed installed, and the settings of the installation seat, splint and connecting slot are used at the same time to enter the outer side of th"&amp;"e connector to the interior of the connector, which is convenient for the mighty fixed installation effect.")</f>
        <v>An AI artificial intelligence monitoring device that is convenient for installation, including installation seats, activity grooves, splints, connectors and monitors. At the inner wall of the splint, the left side of the installation seat is installed, and the end of the splint runs through the activity slot and extends to the inside of the installation seat. At the outer side of the fixed board, slider, first spring, sleeve, second spring, pressure plate, and connecting rod settings, 2 splints in the installation seat can move in the opposite direction, so that you can quickly quickly quickly move. The detector is fixed installed, and the settings of the installation seat, splint and connecting slot are used at the same time to enter the outer side of the connector to the interior of the connector, which is convenient for the mighty fixed installation effect.</v>
      </c>
      <c r="D1870" s="6" t="s">
        <v>5352</v>
      </c>
      <c r="E1870" s="4" t="str">
        <f ca="1">IFERROR(__xludf.DUMMYFUNCTION("GOOGLETRANSLATE(D1870,""auto"",""en"")"),"An AI artificial intelligence monitoring device that is convenient for installation")</f>
        <v>An AI artificial intelligence monitoring device that is convenient for installation</v>
      </c>
    </row>
    <row r="1871" spans="1:5" ht="15" x14ac:dyDescent="0.25">
      <c r="A1871" s="5" t="s">
        <v>5353</v>
      </c>
      <c r="B1871" s="6" t="s">
        <v>5354</v>
      </c>
      <c r="C1871" s="3" t="str">
        <f ca="1">IFERROR(__xludf.DUMMYFUNCTION("GOOGLETRANSLATE(B1871,""auto"",""en"")"),"1. Design product name: Display dynamic graphic user interface for vehicle status for display screen panels (3).
 2. The purpose of designing products in this exterior: The display screen panel is used for vehicle status such as the speed and speed of t"&amp;"he vehicle LCD instrument.
 3. Design of the design of the product in appearance: lies in the graphic user interface.
 4. Pictures or photos that can best show design points: Figure 2 of the interface change state.
 5. The purpose of graphical user "&amp;"interface: When the speed and gear are changed, the speed, gear information and corresponding changes are displayed.
 6. The area of ​​the graphical user interface in the product: the graphical user interface is displayed in all areas of the display scr"&amp;"een panel.
 7. Human -computer interaction method of graphical user interface: The state of each interface changes with the speed and gear of the vehicle, showing the current state of the vehicle for users.
 8. The change of the graphic user interface"&amp;" explanation: After the instrument is turned on, the current is P file, displaying the vehicle interface information, presenting the main interface; when the gear is dialed to the D file, the interface changes to the interface status change diagram 1; Whe"&amp;"n the vehicle speed is accelerated, the football kicks out from the gear box, dynamically moved in real time on the rail path, and the interface changes to the interface state change map 2; when the speed is too high, the color of the left side of the lef"&amp;"t side of the elliptical stadium becomes deeper, and the change to the interface state Change diagram 3; when the vehicle slows down and the gear is allocated to the P gear, the football returns to the gear box reversely.")</f>
        <v>1. Design product name: Display dynamic graphic user interface for vehicle status for display screen panels (3).
 2. The purpose of designing products in this exterior: The display screen panel is used for vehicle status such as the speed and speed of the vehicle LCD instrument.
 3. Design of the design of the product in appearance: lies in the graphic user interface.
 4. Pictures or photos that can best show design points: Figure 2 of the interface change state.
 5. The purpose of graphical user interface: When the speed and gear are changed, the speed, gear information and corresponding changes are displayed.
 6. The area of ​​the graphical user interface in the product: the graphical user interface is displayed in all areas of the display screen panel.
 7. Human -computer interaction method of graphical user interface: The state of each interface changes with the speed and gear of the vehicle, showing the current state of the vehicle for users.
 8. The change of the graphic user interface explanation: After the instrument is turned on, the current is P file, displaying the vehicle interface information, presenting the main interface; when the gear is dialed to the D file, the interface changes to the interface status change diagram 1; When the vehicle speed is accelerated, the football kicks out from the gear box, dynamically moved in real time on the rail path, and the interface changes to the interface state change map 2; when the speed is too high, the color of the left side of the left side of the elliptical stadium becomes deeper, and the change to the interface state Change diagram 3; when the vehicle slows down and the gear is allocated to the P gear, the football returns to the gear box reversely.</v>
      </c>
      <c r="D1871" s="6" t="s">
        <v>5355</v>
      </c>
      <c r="E1871" s="4" t="str">
        <f ca="1">IFERROR(__xludf.DUMMYFUNCTION("GOOGLETRANSLATE(D1871,""auto"",""en"")"),"Display dynamic graphic user interface for vehicle status for display screen panels (3)")</f>
        <v>Display dynamic graphic user interface for vehicle status for display screen panels (3)</v>
      </c>
    </row>
    <row r="1872" spans="1:5" ht="15" x14ac:dyDescent="0.25">
      <c r="A1872" s="5" t="s">
        <v>5356</v>
      </c>
      <c r="B1872" s="6" t="s">
        <v>5357</v>
      </c>
      <c r="C1872" s="3" t="str">
        <f ca="1">IFERROR(__xludf.DUMMYFUNCTION("GOOGLETRANSLATE(B1872,""auto"",""en"")"),"A sports competition recognition method was released. Sports competition recognition methods may include: generate confusion matrix, which is used to evaluate the consistency between interested exercise between actual exercise and input image recognition;"&amp;" and the error recognition rate of interesting exercise based on confusion matrix; Event recognition related thresholds; determine the size of the sliding window according to the duration of the movement of the exercise of interest to be identified; the i"&amp;"nput image is divided into frames based on the sliding window; The number of interesting exercises exceeds the threshold as an event.")</f>
        <v>A sports competition recognition method was released. Sports competition recognition methods may include: generate confusion matrix, which is used to evaluate the consistency between interested exercise between actual exercise and input image recognition; and the error recognition rate of interesting exercise based on confusion matrix; Event recognition related thresholds; determine the size of the sliding window according to the duration of the movement of the exercise of interest to be identified; the input image is divided into frames based on the sliding window; The number of interesting exercises exceeds the threshold as an event.</v>
      </c>
      <c r="D1872" s="6" t="s">
        <v>5358</v>
      </c>
      <c r="E1872" s="4" t="str">
        <f ca="1">IFERROR(__xludf.DUMMYFUNCTION("GOOGLETRANSLATE(D1872,""auto"",""en"")"),"Sports recognition method and device based on sports recognition probability")</f>
        <v>Sports recognition method and device based on sports recognition probability</v>
      </c>
    </row>
    <row r="1873" spans="1:5" ht="15" x14ac:dyDescent="0.25">
      <c r="A1873" s="5" t="s">
        <v>5359</v>
      </c>
      <c r="B1873" s="6" t="s">
        <v>5360</v>
      </c>
      <c r="C1873" s="3" t="str">
        <f ca="1">IFERROR(__xludf.DUMMYFUNCTION("GOOGLETRANSLATE(B1873,""auto"",""en"")"),"The present invention involves a kind of pearl ball referee assisted penalty system and method based on deep learning, which is the field of computer image analysis technology. Including the infrared outside the curtain wall module, the camera video colle"&amp;"ction module, and the central processing module, the specific steps of the penalty method are: (1) the camera to obtain the video information of the line during the game; (2) the infrared curtain wall marked the video information; Use deep learning models"&amp;" to judge the high and low potential of the signal; (4) judgment voltage; (5) the results of the penalty are obtained. The present invention Pearl ball referee assisted the penalty system combines the infrared curtain wall and the camera, and uses a datab"&amp;"ase established by deep learning models. It can more accurately judge the results of the referee, so that the referee efficiency is improved and the competition dispute is reduced.")</f>
        <v>The present invention involves a kind of pearl ball referee assisted penalty system and method based on deep learning, which is the field of computer image analysis technology. Including the infrared outside the curtain wall module, the camera video collection module, and the central processing module, the specific steps of the penalty method are: (1) the camera to obtain the video information of the line during the game; (2) the infrared curtain wall marked the video information; Use deep learning models to judge the high and low potential of the signal; (4) judgment voltage; (5) the results of the penalty are obtained. The present invention Pearl ball referee assisted the penalty system combines the infrared curtain wall and the camera, and uses a database established by deep learning models. It can more accurately judge the results of the referee, so that the referee efficiency is improved and the competition dispute is reduced.</v>
      </c>
      <c r="D1873" s="6" t="s">
        <v>5361</v>
      </c>
      <c r="E1873" s="4" t="str">
        <f ca="1">IFERROR(__xludf.DUMMYFUNCTION("GOOGLETRANSLATE(D1873,""auto"",""en"")"),"Pearl ball referee assisted punishment system and method based on deep learning")</f>
        <v>Pearl ball referee assisted punishment system and method based on deep learning</v>
      </c>
    </row>
    <row r="1874" spans="1:5" ht="15" x14ac:dyDescent="0.25">
      <c r="A1874" s="5" t="s">
        <v>5362</v>
      </c>
      <c r="B1874" s="6" t="s">
        <v>5363</v>
      </c>
      <c r="C1874" s="3" t="str">
        <f ca="1">IFERROR(__xludf.DUMMYFUNCTION("GOOGLETRANSLATE(B1874,""auto"",""en"")"),"The present invention disclosed a group of tester based on human action capture, which involves artificial intelligence technology fields, including the body test area of ​​the test instrument and the body testing area set under the subject of the tester."&amp;" On the instrument, there is an image processor, display screen, and printer connected to the controller electric connection. The test button, audio input interface, start button and printing on the test instrument main body under the display screen with "&amp;"the controller electricity are installed. The button, the test area is set on the outside of the tester, and there is a capture device and positioning system connected to the image processor power connection in the test area; the present invention is anal"&amp;"yzed and judged by data analysis to make it fair, fair, and more scientific in the competition. At the same time, it has also made breakthroughs in the development of human movement.")</f>
        <v>The present invention disclosed a group of tester based on human action capture, which involves artificial intelligence technology fields, including the body test area of ​​the test instrument and the body testing area set under the subject of the tester. On the instrument, there is an image processor, display screen, and printer connected to the controller electric connection. The test button, audio input interface, start button and printing on the test instrument main body under the display screen with the controller electricity are installed. The button, the test area is set on the outside of the tester, and there is a capture device and positioning system connected to the image processor power connection in the test area; the present invention is analyzed and judged by data analysis to make it fair, fair, and more scientific in the competition. At the same time, it has also made breakthroughs in the development of human movement.</v>
      </c>
      <c r="D1874" s="6" t="s">
        <v>5364</v>
      </c>
      <c r="E1874" s="4" t="str">
        <f ca="1">IFERROR(__xludf.DUMMYFUNCTION("GOOGLETRANSLATE(D1874,""auto"",""en"")"),"A group operation instrument based on human action capture")</f>
        <v>A group operation instrument based on human action capture</v>
      </c>
    </row>
    <row r="1875" spans="1:5" ht="15" x14ac:dyDescent="0.25">
      <c r="A1875" s="5" t="s">
        <v>5365</v>
      </c>
      <c r="B1875" s="6" t="s">
        <v>5366</v>
      </c>
      <c r="C1875" s="3" t="str">
        <f ca="1">IFERROR(__xludf.DUMMYFUNCTION("GOOGLETRANSLATE(B1875,""auto"",""en"")"),"The invention disclosed a smart home box based on the Internet of Things, including the hardware module described by the hardware module and software module consisting of 8 controller, relay module, and control chip; , Each signal is independent; the soft"&amp;"ware module consists of two functional modules: GPIO control module and device registration communication module. This smart home box based on the Internet of Things can be controlled at about 400 and can be compatible with controlling all venue fitness E"&amp;"quipment can effectively save energy saving of venues through intelligence and reduce operating costs. At the same time, all equipment can be performed. The scope of applications can be widely used to facilitate promotion and use.")</f>
        <v>The invention disclosed a smart home box based on the Internet of Things, including the hardware module described by the hardware module and software module consisting of 8 controller, relay module, and control chip; , Each signal is independent; the software module consists of two functional modules: GPIO control module and device registration communication module. This smart home box based on the Internet of Things can be controlled at about 400 and can be compatible with controlling all venue fitness Equipment can effectively save energy saving of venues through intelligence and reduce operating costs. At the same time, all equipment can be performed. The scope of applications can be widely used to facilitate promotion and use.</v>
      </c>
      <c r="D1875" s="6" t="s">
        <v>5367</v>
      </c>
      <c r="E1875" s="4" t="str">
        <f ca="1">IFERROR(__xludf.DUMMYFUNCTION("GOOGLETRANSLATE(D1875,""auto"",""en"")"),"A smart home box based on the Internet of Things")</f>
        <v>A smart home box based on the Internet of Things</v>
      </c>
    </row>
    <row r="1876" spans="1:5" ht="15" x14ac:dyDescent="0.25">
      <c r="A1876" s="5" t="s">
        <v>5368</v>
      </c>
      <c r="B1876" s="6" t="s">
        <v>5369</v>
      </c>
      <c r="C1876" s="3" t="str">
        <f ca="1">IFERROR(__xludf.DUMMYFUNCTION("GOOGLETRANSLATE(B1876,""auto"",""en"")"),"1. Design product name: Display screen panel with remote control of the home appliance graphics user interface.
 2. Design product use: used for remote control of home appliances.
 3. Design of the design of the product in this exterior: lies in the g"&amp;"raphic user interface design in the screen.
 4. Pictures or photos that can best show design: Design 1 main view.
 5. There are no design points for other views except the main view, and omitted other views other than the main view.
 6. Specify desi"&amp;"gn 1 is the basic design.
 7. The purpose of the graphical user interface: It is used to enter the corresponding interface according to the remote control operation.
 8. Human -computer interaction method of graphics user interface: Design 1 The inter"&amp;"face shown in the main view is the homepage interface of remote control operations in the remote control. It is recommended to recommend videos according to the user's preference. 1 The main vision selection of the film can enter the design 1 change statu"&amp;"s Figure 1 to display the name and film review of the movie; in design 1 change status figure 1 click to select the film to enter the design 1 change status Figure 2, to introduce the film in detail to introduce the film The starring list and related reco"&amp;"mmendation movies are displayed, and you can click the video to watch the button to enter the movie. The interface shown in the design 2 main view is the homepage interface of the remote control operation of the remote control. The film, at the same time "&amp;"display the voice search column; the user exits the movie to enter the design 2 change status. Electric control, health display, and game time applications are displayed. Click the corresponding application to jump into the application. After the user col"&amp;"lects movies, you can enter the design 2 change state Figure 2, and the control panel can display the contraction of the user's collection of movies.
 9. Design 1 main view, design 2 main view, design 1 change state figure 1 and 2, and design 2 change s"&amp;"tatus. Figure 1 and 2 shown in the interface shows variable parameters, which are determined according to the specific content.
 Design 1 Main View Reference diagram Corresponding to design 1 main view, design 1 change status figure 1 Reference diagram "&amp;"and design 1 change state. 2 Reference diagram Corresponding to the interface in design 1 changes status figure 1 and 2 add corresponding pictures and text, etc. The schematic interface presented after the information; the design 2 main view reference dia"&amp;"gram corresponds to the design 2 main view, design 2 changes status Figure 1 Reference diagram and design 2 change state. 2 Reference diagram corresponding to design 2 changes state Figure 1 and 2 in 2 and 2 The interface adds corresponding pictures and t"&amp;"ext information such as the display interface; all are examples.
 The display screen panel is used for remote control, mobile phones, smart TVs, refrigerators with display screens and integrated stoves, computers, laptops, tablets, smartphones, smart gl"&amp;"asses, watches, smart watches, fitness monitor, fitness monitor, fitness monitor, fitness monitor, fitness monitor, Wear headphones, smart speakers, television, set -top boxes, game consoles, display devices for cars, GPS devices, navigators.")</f>
        <v>1. Design product name: Display screen panel with remote control of the home appliance graphics user interface.
 2. Design product use: used for remote control of home appliances.
 3. Design of the design of the product in this exterior: lies in the graphic user interface design in the screen.
 4. Pictures or photos that can best show design: Design 1 main view.
 5. There are no design points for other views except the main view, and omitted other views other than the main view.
 6. Specify design 1 is the basic design.
 7. The purpose of the graphical user interface: It is used to enter the corresponding interface according to the remote control operation.
 8. Human -computer interaction method of graphics user interface: Design 1 The interface shown in the main view is the homepage interface of remote control operations in the remote control. It is recommended to recommend videos according to the user's preference. 1 The main vision selection of the film can enter the design 1 change status Figure 1 to display the name and film review of the movie; in design 1 change status figure 1 click to select the film to enter the design 1 change status Figure 2, to introduce the film in detail to introduce the film The starring list and related recommendation movies are displayed, and you can click the video to watch the button to enter the movie. The interface shown in the design 2 main view is the homepage interface of the remote control operation of the remote control. The film, at the same time display the voice search column; the user exits the movie to enter the design 2 change status. Electric control, health display, and game time applications are displayed. Click the corresponding application to jump into the application. After the user collects movies, you can enter the design 2 change state Figure 2, and the control panel can display the contraction of the user's collection of movies.
 9. Design 1 main view, design 2 main view, design 1 change state figure 1 and 2, and design 2 change status. Figure 1 and 2 shown in the interface shows variable parameters, which are determined according to the specific content.
 Design 1 Main View Reference diagram Corresponding to design 1 main view, design 1 change status figure 1 Reference diagram and design 1 change state. 2 Reference diagram Corresponding to the interface in design 1 changes status figure 1 and 2 add corresponding pictures and text, etc. The schematic interface presented after the information; the design 2 main view reference diagram corresponds to the design 2 main view, design 2 changes status Figure 1 Reference diagram and design 2 change state. 2 Reference diagram corresponding to design 2 changes state Figure 1 and 2 in 2 and 2 The interface adds corresponding pictures and text information such as the display interface; all are examples.
 The display screen panel is used for remote control, mobile phones, smart TVs, refrigerators with display screens and integrated stoves, computers, laptops, tablets, smartphones, smart glasses, watches, smart watches, fitness monitor, fitness monitor, fitness monitor, fitness monitor, fitness monitor, Wear headphones, smart speakers, television, set -top boxes, game consoles, display devices for cars, GPS devices, navigators.</v>
      </c>
      <c r="D1876" s="6" t="s">
        <v>5370</v>
      </c>
      <c r="E1876" s="4" t="str">
        <f ca="1">IFERROR(__xludf.DUMMYFUNCTION("GOOGLETRANSLATE(D1876,""auto"",""en"")"),"Display screen panel with remote control of home appliance graphics user interface")</f>
        <v>Display screen panel with remote control of home appliance graphics user interface</v>
      </c>
    </row>
    <row r="1877" spans="1:5" ht="15" x14ac:dyDescent="0.25">
      <c r="A1877" s="5" t="s">
        <v>5371</v>
      </c>
      <c r="B1877" s="6" t="s">
        <v>5372</v>
      </c>
      <c r="C1877" s="3" t="str">
        <f ca="1">IFERROR(__xludf.DUMMYFUNCTION("GOOGLETRANSLATE(B1877,""auto"",""en"")"),"This utility model involves the field of fitness equipment technology, and a personalized physical fitness equipment based on machine learning is disclosed, including the base, which is connected to the front side on the surface of the base. There are two"&amp;" sets of support pillars on the side fixing connection, which is fixed on the surface of the support pillar with a water tank. The middle rotation connection on the right side of the water tank has a rotating shaft. The left side of the outer surface of t"&amp;"he rotating shaft has two sets of supporting frames. The personalized physical fitness equipment based on machine learning is used in conjunction with pedals, U -shaped poles, damping blocks and rotating discs, so that users can drive, rotating plates, an"&amp;"d damping blocks when they are stretched and promoted to hold rods. The friction between them increases, and the resistance of users to drive and promote the grip of the grip becomes larger, so that the device can regulate the strength of the training acc"&amp;"ording to the strength of the muscle movement, which further improves the adaptability of the device, and improves the training quality of the trainer's training quality Essence")</f>
        <v>This utility model involves the field of fitness equipment technology, and a personalized physical fitness equipment based on machine learning is disclosed, including the base, which is connected to the front side on the surface of the base. There are two sets of support pillars on the side fixing connection, which is fixed on the surface of the support pillar with a water tank. The middle rotation connection on the right side of the water tank has a rotating shaft. The left side of the outer surface of the rotating shaft has two sets of supporting frames. The personalized physical fitness equipment based on machine learning is used in conjunction with pedals, U -shaped poles, damping blocks and rotating discs, so that users can drive, rotating plates, and damping blocks when they are stretched and promoted to hold rods. The friction between them increases, and the resistance of users to drive and promote the grip of the grip becomes larger, so that the device can regulate the strength of the training according to the strength of the muscle movement, which further improves the adaptability of the device, and improves the training quality of the trainer's training quality Essence</v>
      </c>
      <c r="D1877" s="6" t="s">
        <v>5373</v>
      </c>
      <c r="E1877" s="4" t="str">
        <f ca="1">IFERROR(__xludf.DUMMYFUNCTION("GOOGLETRANSLATE(D1877,""auto"",""en"")"),"Personalized physical fitness self -adaptive fitness equipment based on machine learning")</f>
        <v>Personalized physical fitness self -adaptive fitness equipment based on machine learning</v>
      </c>
    </row>
    <row r="1878" spans="1:5" ht="15" x14ac:dyDescent="0.25">
      <c r="A1878" s="5" t="s">
        <v>5374</v>
      </c>
      <c r="B1878" s="6" t="s">
        <v>5375</v>
      </c>
      <c r="C1878" s="3" t="str">
        <f ca="1">IFERROR(__xludf.DUMMYFUNCTION("GOOGLETRANSLATE(B1878,""auto"",""en"")"),"A synchronous dual -frequency power control system, which includes the control system and the main circuit and human -computer interaction system connected to the control system. The combination of frequency induction heating power is combined, and the hi"&amp;"gh -frequency induction heating power supply adopts a series inverter; the mid -frequency induction heating power is used in parallel inverters; the mid -frequency induction heating power and the high -frequency induction heating power are output to a sen"&amp;"sor at the same time. Compared with existing technologies, the useful new type of beneficial effects are: The use of synchronous dual -frequency induction heating power technology is used. The heating process can be completed at the same stage, which impr"&amp;"oves work efficiency. The specific operation is: the high frequency is used to heat the surface part of the device that is close to the sensing power supply, such as the raised edge of the gear; the mid -frequency is used to heat the root of the tooth. Th"&amp;"is not only streamlines the manufacturing process of the workpiece, but also reduces cost and energy consumption.")</f>
        <v>A synchronous dual -frequency power control system, which includes the control system and the main circuit and human -computer interaction system connected to the control system. The combination of frequency induction heating power is combined, and the high -frequency induction heating power supply adopts a series inverter; the mid -frequency induction heating power is used in parallel inverters; the mid -frequency induction heating power and the high -frequency induction heating power are output to a sensor at the same time. Compared with existing technologies, the useful new type of beneficial effects are: The use of synchronous dual -frequency induction heating power technology is used. The heating process can be completed at the same stage, which improves work efficiency. The specific operation is: the high frequency is used to heat the surface part of the device that is close to the sensing power supply, such as the raised edge of the gear; the mid -frequency is used to heat the root of the tooth. This not only streamlines the manufacturing process of the workpiece, but also reduces cost and energy consumption.</v>
      </c>
      <c r="D1878" s="6" t="s">
        <v>5376</v>
      </c>
      <c r="E1878" s="4" t="str">
        <f ca="1">IFERROR(__xludf.DUMMYFUNCTION("GOOGLETRANSLATE(D1878,""auto"",""en"")"),"Synchronous dual -frequency power control system")</f>
        <v>Synchronous dual -frequency power control system</v>
      </c>
    </row>
    <row r="1879" spans="1:5" ht="15" x14ac:dyDescent="0.25">
      <c r="A1879" s="5" t="s">
        <v>5377</v>
      </c>
      <c r="B1879" s="6" t="s">
        <v>5378</v>
      </c>
      <c r="C1879" s="3" t="str">
        <f ca="1">IFERROR(__xludf.DUMMYFUNCTION("GOOGLETRANSLATE(B1879,""auto"",""en"")"),"The invention is open to the area of ​​the packaging machine area calculation technology. The specific application of image target detection in the calculation of the packaging machine area. The specific operation method of this image target detection in "&amp;"the calculation of the packaging machine area is as follows: S1: Image information: Install the camera on both sides of the packing machine, collect field images in the camera; S2: Send image obtaining target information: According to the field images col"&amp;"lected in the steps S1, identify the straw piles to be packed in the image, use deep learning Maskrcnn image segmentation technology to obtain The outline of the straw piles in various rows; S3: Calculate the target distance after the segmentation. Throug"&amp;"h the use of deep learning MASKRCNN image segmentation technology, it can quickly identify straw piles that are to be packaged in the field; through the use of linear regression, the server back -end recognition is not high and the applicability is strong"&amp;"er; the calculation results are more accurate.")</f>
        <v>The invention is open to the area of ​​the packaging machine area calculation technology. The specific application of image target detection in the calculation of the packaging machine area. The specific operation method of this image target detection in the calculation of the packaging machine area is as follows: S1: Image information: Install the camera on both sides of the packing machine, collect field images in the camera; S2: Send image obtaining target information: According to the field images collected in the steps S1, identify the straw piles to be packed in the image, use deep learning Maskrcnn image segmentation technology to obtain The outline of the straw piles in various rows; S3: Calculate the target distance after the segmentation. Through the use of deep learning MASKRCNN image segmentation technology, it can quickly identify straw piles that are to be packaged in the field; through the use of linear regression, the server back -end recognition is not high and the applicability is stronger; the calculation results are more accurate.</v>
      </c>
      <c r="D1879" s="6" t="s">
        <v>5379</v>
      </c>
      <c r="E1879" s="4" t="str">
        <f ca="1">IFERROR(__xludf.DUMMYFUNCTION("GOOGLETRANSLATE(D1879,""auto"",""en"")"),"Application of image target detection in the calculation of the packing machine area")</f>
        <v>Application of image target detection in the calculation of the packing machine area</v>
      </c>
    </row>
    <row r="1880" spans="1:5" ht="15" x14ac:dyDescent="0.25">
      <c r="A1880" s="5" t="s">
        <v>5380</v>
      </c>
      <c r="B1880" s="6" t="s">
        <v>5381</v>
      </c>
      <c r="C1880" s="3" t="str">
        <f ca="1">IFERROR(__xludf.DUMMYFUNCTION("GOOGLETRANSLATE(B1880,""auto"",""en"")"),"The present invention disclosed an analog data sparring method, device, server and storage medium for dynamic bicycles. It involves the technical field of the Internet of Things fitness equipment, which includes collecting physical data and creating or up"&amp;"dating dynamic body data; collecting exercise data, inserting exercise exercise Data; receiving exercise behavior instructions and querying user information, determining the location of user data in the distribution of full data, and determining user exer"&amp;"cise needs; based on the position of user data in the location of the full data distribution and the results of user exercise requirements, get the data that meets the determination Used as a sparring simulation. So as to provide users with a smart sparri"&amp;"ng service, it can effectively follow the user to provide dynamic sparring data. As the user's body data changes, you can use the corresponding physical exercise data to provide corresponding sparring for users with different body and expected user intell"&amp;"igence. Data can follow the user's data change to track the effect of users on the platform.")</f>
        <v>The present invention disclosed an analog data sparring method, device, server and storage medium for dynamic bicycles. It involves the technical field of the Internet of Things fitness equipment, which includes collecting physical data and creating or updating dynamic body data; collecting exercise data, inserting exercise exercise Data; receiving exercise behavior instructions and querying user information, determining the location of user data in the distribution of full data, and determining user exercise needs; based on the position of user data in the location of the full data distribution and the results of user exercise requirements, get the data that meets the determination Used as a sparring simulation. So as to provide users with a smart sparring service, it can effectively follow the user to provide dynamic sparring data. As the user's body data changes, you can use the corresponding physical exercise data to provide corresponding sparring for users with different body and expected user intelligence. Data can follow the user's data change to track the effect of users on the platform.</v>
      </c>
      <c r="D1880" s="6" t="s">
        <v>5382</v>
      </c>
      <c r="E1880" s="4" t="str">
        <f ca="1">IFERROR(__xludf.DUMMYFUNCTION("GOOGLETRANSLATE(D1880,""auto"",""en"")"),"Dynamic bicycle simulation data sparring methods, devices, servers and storage media")</f>
        <v>Dynamic bicycle simulation data sparring methods, devices, servers and storage media</v>
      </c>
    </row>
    <row r="1881" spans="1:5" ht="15" x14ac:dyDescent="0.25">
      <c r="A1881" s="5" t="s">
        <v>5383</v>
      </c>
      <c r="B1881" s="6" t="s">
        <v>5384</v>
      </c>
      <c r="C1881" s="3" t="str">
        <f ca="1">IFERROR(__xludf.DUMMYFUNCTION("GOOGLETRANSLATE(B1881,""auto"",""en"")"),"The present invention disclosed a real -time online PK method, device, server and storage medium in dynamic bicycles. It involves the field of Internet of Things fitness equipment technology. The real -time online PK method of dynamic bicycles includes: r"&amp;"eceiving competition instructions and PK requests; PK requests to build PK rooms; Surveying riding data and updating the room PK data in real time; check the status of the PK room competition and push the status of the game or the results of the game. Dif"&amp;"ferent from the existing IoT fitness products, the present invention associates different users of the Internet of Things based on the Internet of Things, so that different users can conduct interactive competitions online, such as random matching competi"&amp;"tions. Or the online user invitation mode will be played. Users can also interact online while fitness, which improves the interaction experience and entertainment experience of users when using dynamic bicycles.")</f>
        <v>The present invention disclosed a real -time online PK method, device, server and storage medium in dynamic bicycles. It involves the field of Internet of Things fitness equipment technology. The real -time online PK method of dynamic bicycles includes: receiving competition instructions and PK requests; PK requests to build PK rooms; Surveying riding data and updating the room PK data in real time; check the status of the PK room competition and push the status of the game or the results of the game. Different from the existing IoT fitness products, the present invention associates different users of the Internet of Things based on the Internet of Things, so that different users can conduct interactive competitions online, such as random matching competitions. Or the online user invitation mode will be played. Users can also interact online while fitness, which improves the interaction experience and entertainment experience of users when using dynamic bicycles.</v>
      </c>
      <c r="D1881" s="6" t="s">
        <v>5385</v>
      </c>
      <c r="E1881" s="4" t="str">
        <f ca="1">IFERROR(__xludf.DUMMYFUNCTION("GOOGLETRANSLATE(D1881,""auto"",""en"")"),"Dynamic bicycle real -time online PK method, device, server and storage medium")</f>
        <v>Dynamic bicycle real -time online PK method, device, server and storage medium</v>
      </c>
    </row>
    <row r="1882" spans="1:5" ht="15" x14ac:dyDescent="0.25">
      <c r="A1882" s="5" t="s">
        <v>5386</v>
      </c>
      <c r="B1882" s="6" t="s">
        <v>5387</v>
      </c>
      <c r="C1882" s="3" t="str">
        <f ca="1">IFERROR(__xludf.DUMMYFUNCTION("GOOGLETRANSLATE(B1882,""auto"",""en"")"),"The present invention disclosed a self -networking method, device, server and storage medium based on ZigBee, involving the field of Internet of Things fitness equipment technology, including: network initialization, coordinator established local channels"&amp;", broadcast labels, and upper machines. Connect to the network and connect to at least one fitness bicycle; fitness bicycles are connected to the only parent node and N sub -node wireless connection. Among them, the parent node is a coordinator or route n"&amp;"ode, the sub -node is a route node or terminal node; If there is no other coordinator in the area, the network is completed and the process is over. When the overall area of ​​a city can put on fitness bicycles is delineated and divided into multiple sub "&amp;"-regions, and the coordinator is placed in the partition area where the fitness bicycle can be placed, the fitness bicycles can be freely traveled in different partition areas. The network and network access, the background can see the status of all IoT t"&amp;"erminal nodes in real time through the management system and manage it.")</f>
        <v>The present invention disclosed a self -networking method, device, server and storage medium based on ZigBee, involving the field of Internet of Things fitness equipment technology, including: network initialization, coordinator established local channels, broadcast labels, and upper machines. Connect to the network and connect to at least one fitness bicycle; fitness bicycles are connected to the only parent node and N sub -node wireless connection. Among them, the parent node is a coordinator or route node, the sub -node is a route node or terminal node; If there is no other coordinator in the area, the network is completed and the process is over. When the overall area of ​​a city can put on fitness bicycles is delineated and divided into multiple sub -regions, and the coordinator is placed in the partition area where the fitness bicycle can be placed, the fitness bicycles can be freely traveled in different partition areas. The network and network access, the background can see the status of all IoT terminal nodes in real time through the management system and manage it.</v>
      </c>
      <c r="D1882" s="6" t="s">
        <v>5388</v>
      </c>
      <c r="E1882" s="4" t="str">
        <f ca="1">IFERROR(__xludf.DUMMYFUNCTION("GOOGLETRANSLATE(D1882,""auto"",""en"")"),"ZigBee -based fitness bicycle self -networking method, device, server and storage media")</f>
        <v>ZigBee -based fitness bicycle self -networking method, device, server and storage media</v>
      </c>
    </row>
    <row r="1883" spans="1:5" ht="15" x14ac:dyDescent="0.25">
      <c r="A1883" s="5" t="s">
        <v>5389</v>
      </c>
      <c r="B1883" s="6" t="s">
        <v>5390</v>
      </c>
      <c r="C1883" s="3" t="str">
        <f ca="1">IFERROR(__xludf.DUMMYFUNCTION("GOOGLETRANSLATE(B1883,""auto"",""en"")"),"A mobile cleaning robot, including the cleaning head on the surface of the floor in the clean environment, and at least one camera with a field of vision extended above the floor surface. At least one camera is configured to capture images including the e"&amp;"nvironment part of the floor surface. The robot includes the identification module, which is configured to identify objects in the environment based on images captured by at least one camera. At least part of the image captured by at least one camera is u"&amp;"sed to train the identification module. Robots include storage equipment for storage environment maps. The robot includes the control module. The control module is configured to control the mobile cleaning robot to use a map to navigate in the environment"&amp;", and take into account the cleansing head of the object -operated by the identified module to perform the cleaning task.")</f>
        <v>A mobile cleaning robot, including the cleaning head on the surface of the floor in the clean environment, and at least one camera with a field of vision extended above the floor surface. At least one camera is configured to capture images including the environment part of the floor surface. The robot includes the identification module, which is configured to identify objects in the environment based on images captured by at least one camera. At least part of the image captured by at least one camera is used to train the identification module. Robots include storage equipment for storage environment maps. The robot includes the control module. The control module is configured to control the mobile cleaning robot to use a map to navigate in the environment, and take into account the cleansing head of the object -operated by the identified module to perform the cleaning task.</v>
      </c>
      <c r="D1883" s="6" t="s">
        <v>5391</v>
      </c>
      <c r="E1883" s="4" t="str">
        <f ca="1">IFERROR(__xludf.DUMMYFUNCTION("GOOGLETRANSLATE(D1883,""auto"",""en"")"),"Mobile cleaning robot artificial intelligence used for the situation")</f>
        <v>Mobile cleaning robot artificial intelligence used for the situation</v>
      </c>
    </row>
    <row r="1884" spans="1:5" ht="15" x14ac:dyDescent="0.25">
      <c r="A1884" s="5" t="s">
        <v>5392</v>
      </c>
      <c r="B1884" s="6" t="s">
        <v>5393</v>
      </c>
      <c r="C1884" s="3" t="str">
        <f ca="1">IFERROR(__xludf.DUMMYFUNCTION("GOOGLETRANSLATE(B1884,""auto"",""en"")"),"A football detection method, device, computer readable storage medium and robotics are the field of robotics. The method of collecting the two -dimensional images of the target area of ​​the robot and the three -dimensional point cloud data (S101); the pr"&amp;"eset deep learning target detection model is used to perform football detection in the two -dimensional image, output football detection box and confidence in the two -dimensional image, output football detection box and confidence Degree (S102); The conf"&amp;"idence threshold that is greater than the preset, and determines the football position according to the three -dimensional point cloud data in the football detection box (S103). Through the method, based on deep learning target detection technology and th"&amp;"ree -dimensional cloud technology, it fully combines the advantages of two -dimensional images and three -dimensional cloud data. Even if the lightweight model is used, it can reach a high accuracy rate Essence")</f>
        <v>A football detection method, device, computer readable storage medium and robotics are the field of robotics. The method of collecting the two -dimensional images of the target area of ​​the robot and the three -dimensional point cloud data (S101); the preset deep learning target detection model is used to perform football detection in the two -dimensional image, output football detection box and confidence in the two -dimensional image, output football detection box and confidence Degree (S102); The confidence threshold that is greater than the preset, and determines the football position according to the three -dimensional point cloud data in the football detection box (S103). Through the method, based on deep learning target detection technology and three -dimensional cloud technology, it fully combines the advantages of two -dimensional images and three -dimensional cloud data. Even if the lightweight model is used, it can reach a high accuracy rate Essence</v>
      </c>
      <c r="D1884" s="6" t="s">
        <v>5394</v>
      </c>
      <c r="E1884" s="4" t="str">
        <f ca="1">IFERROR(__xludf.DUMMYFUNCTION("GOOGLETRANSLATE(D1884,""auto"",""en"")"),"A football detection method, device, computer readable storage medium and robot")</f>
        <v>A football detection method, device, computer readable storage medium and robot</v>
      </c>
    </row>
    <row r="1885" spans="1:5" ht="15" x14ac:dyDescent="0.25">
      <c r="A1885" s="5" t="s">
        <v>5395</v>
      </c>
      <c r="B1885" s="6" t="s">
        <v>5396</v>
      </c>
      <c r="C1885" s="3" t="str">
        <f ca="1">IFERROR(__xludf.DUMMYFUNCTION("GOOGLETRANSLATE(B1885,""auto"",""en"")"),"1. Design product name: Short video shooting digital process operation interface (second shadow workshop) for short videos for tablet computers.
 2. Design products in this exterior: for short video teaching.
 3. Design of the design of the product in"&amp;" appearance: lies in the interface of the product.
 4. Pictures or photos that can most indicate design points: main view.
 5. Graphic user interface is suitable for various universal computers, omit other views, omitting left view; graphic user inter"&amp;"face is suitable for various universal computers, omitting other views, and omitting the right view; graphic user interface is suitable for various universal computers, omit other other computers, omit other other, and omit other other, and omit other oth"&amp;"er, omit other other, omit other other, and omit other other, omit other other, omit other other, and omit the other other. Views, omitting push -up views; graphic user interfaces are suitable for various general computers, omitting other views, and omitt"&amp;"ing the back view; graphic user interface is suitable for various common computers, omitting other views, omittients Omit other views and omit the post -view.
 6. The purpose of the graphical user interface: how to record and edit short videos for the i"&amp;"nterface.
 The main view of the interface is the homepage of the graphical user interface. Move the mouse to the ""production team"" menu hovering and the secondary menu appears.
 Click the ""Requirement Management"" button in the interface operation "&amp;"bar to enter the change state of the change state. 2, change status Figure 2 Customer brand, customer product, advertising position, user goals, creative requirements users can hang up to hang up to view it to view Detailed introduction; at the same time,"&amp;" the user moves the mouse to the sample/film name to hover to the sample/film video preview; the mouse hover can display the specific operating name in the operating button.
 Click the ""Submit (View) Script"" button in Figure 2 to enter the changing st"&amp;"ate Figure 3 in Figure 2. The export ""button to export the script, click the lens to fill in the""+""button in the form to increase the split lens, and click the"" ‑ ""button to delete the split lens.
 Click the change status Figure 3 Interface ""Uploa"&amp;"d script"" button to enter the change state Figure 4. The graphic user interface of the change state Figure 4 submits the interface of the attachment script in the script to the production team, and click the ""Export"" button to export the script.
 Cli"&amp;"ck the changing state Figure 3/4 ""Confirm Submit"" button Enter the change state. Figure 5/6 View the script.
 Click the change status Figure 5/6 The ""Submit Materials"" button Enter the change state. 7. The change state Figure 7 is the interface of t"&amp;"he material submitted by the production team.
 The graphic user interface of the change state Figure 4 is to submit the interface of the attachment script in the production team to submit the script, and click the ""Export"" button to export the script."&amp;"
 Click the change state Figure 4 The ""Submit Materials"" on the left navigation bar in the interface to enter the change state. 7.
 Click the ""Upload"" button to upload the sample/formation of the sample to enter the change state. Click the ""Downl"&amp;"oad"" button to download a single material, or you can click on the left check box for batch operation.
 Click the changing state Figure 8 The ""shooting settings"" in the left navigation bar in the interface into the change state Figure 10.
 Click th"&amp;"e changing state Figure 8 The ""production process"" in the left side navigation bar in the interface enters the change state. Figure 11 interface.
 Click the ""Close"" button in the upper left corner of the changing state in the changing state. Essence"&amp;"
 Click the changing status Figure 12 The ""Data"" label enters the changing state. Figure 13 interface. The user can switch through the label. According to whether the material is put on the filter, the data that has been placed can be used for details"&amp;". You can check the script.
 Change status Figure 14 to 19 is an operating interface for advertising supervisors.
 The graphic user interface of the change state Figure 14 is the homepage, move the mouse to the ""advertiser"" menu hovering, and the se"&amp;"condary menu appears. Requirement management ""button enter the change state Figure 16, click the change state Figure 16 The"" Pickup Pickup ""button in the operating bar Enter the change state of the change. In the graphic user interface in FIG. 18, user"&amp;"s can find the accounts and put the account through search account ID, account name, and remarks name. Click the ""+"" button in the account card to select the account. The state of ""+"" in the account card is changed to ""√"", Click ""×"" in the account"&amp;" to delete, click ""Modify Remarks"" for the account name of the account, click the ""Completed"" button, enter the interface 19 interface of the change state, and the change status figure 19 clicks ""in the text box"" in the text box "" × The ""button de"&amp;"letes the putting account, and click the"" OK Pay ""button to complete it.
 7. The area of ​​the graphic user interface in the product: the screen display area.
 8. Human -computer interaction method of graphical user interface: mouse click and hover.")</f>
        <v>1. Design product name: Short video shooting digital process operation interface (second shadow workshop) for short videos for tablet computers.
 2. Design products in this exterior: for short video teaching.
 3. Design of the design of the product in appearance: lies in the interface of the product.
 4. Pictures or photos that can most indicate design points: main view.
 5. Graphic user interface is suitable for various universal computers, omit other views, omitting left view; graphic user interface is suitable for various universal computers, omitting other views, and omitting the right view; graphic user interface is suitable for various universal computers, omit other other computers, omit other other, and omit other other, and omit other other, omit other other, omit other other, and omit other other, omit other other, omit other other, and omit the other other. Views, omitting push -up views; graphic user interfaces are suitable for various general computers, omitting other views, and omitting the back view; graphic user interface is suitable for various common computers, omitting other views, omittients Omit other views and omit the post -view.
 6. The purpose of the graphical user interface: how to record and edit short videos for the interface.
 The main view of the interface is the homepage of the graphical user interface. Move the mouse to the "production team" menu hovering and the secondary menu appears.
 Click the "Requirement Management" button in the interface operation bar to enter the change state of the change state. 2, change status Figure 2 Customer brand, customer product, advertising position, user goals, creative requirements users can hang up to hang up to view it to view Detailed introduction; at the same time, the user moves the mouse to the sample/film name to hover to the sample/film video preview; the mouse hover can display the specific operating name in the operating button.
 Click the "Submit (View) Script" button in Figure 2 to enter the changing state Figure 3 in Figure 2. The export "button to export the script, click the lens to fill in the"+"button in the form to increase the split lens, and click the" ‑ "button to delete the split lens.
 Click the change status Figure 3 Interface "Upload script" button to enter the change state Figure 4. The graphic user interface of the change state Figure 4 submits the interface of the attachment script in the script to the production team, and click the "Export" button to export the script.
 Click the changing state Figure 3/4 "Confirm Submit" button Enter the change state. Figure 5/6 View the script.
 Click the change status Figure 5/6 The "Submit Materials" button Enter the change state. 7. The change state Figure 7 is the interface of the material submitted by the production team.
 The graphic user interface of the change state Figure 4 is to submit the interface of the attachment script in the production team to submit the script, and click the "Export" button to export the script.
 Click the change state Figure 4 The "Submit Materials" on the left navigation bar in the interface to enter the change state. 7.
 Click the "Upload" button to upload the sample/formation of the sample to enter the change state. Click the "Download" button to download a single material, or you can click on the left check box for batch operation.
 Click the changing state Figure 8 The "shooting settings" in the left navigation bar in the interface into the change state Figure 10.
 Click the changing state Figure 8 The "production process" in the left side navigation bar in the interface enters the change state. Figure 11 interface.
 Click the "Close" button in the upper left corner of the changing state in the changing state. Essence
 Click the changing status Figure 12 The "Data" label enters the changing state. Figure 13 interface. The user can switch through the label. According to whether the material is put on the filter, the data that has been placed can be used for details. You can check the script.
 Change status Figure 14 to 19 is an operating interface for advertising supervisors.
 The graphic user interface of the change state Figure 14 is the homepage, move the mouse to the "advertiser" menu hovering, and the secondary menu appears. Requirement management "button enter the change state Figure 16, click the change state Figure 16 The" Pickup Pickup "button in the operating bar Enter the change state of the change. In the graphic user interface in FIG. 18, users can find the accounts and put the account through search account ID, account name, and remarks name. Click the "+" button in the account card to select the account. The state of "+" in the account card is changed to "√", Click "×" in the account to delete, click "Modify Remarks" for the account name of the account, click the "Completed" button, enter the interface 19 interface of the change state, and the change status figure 19 clicks "in the text box" in the text box " × The "button deletes the putting account, and click the" OK Pay "button to complete it.
 7. The area of ​​the graphic user interface in the product: the screen display area.
 8. Human -computer interaction method of graphical user interface: mouse click and hover.</v>
      </c>
      <c r="D1885" s="6" t="s">
        <v>5397</v>
      </c>
      <c r="E1885" s="4" t="str">
        <f ca="1">IFERROR(__xludf.DUMMYFUNCTION("GOOGLETRANSLATE(D1885,""auto"",""en"")"),"Short videos used for tablet computer shooting digital process operation interface (second shadow workshop)")</f>
        <v>Short videos used for tablet computer shooting digital process operation interface (second shadow workshop)</v>
      </c>
    </row>
    <row r="1886" spans="1:5" ht="15" x14ac:dyDescent="0.25">
      <c r="A1886" s="5" t="s">
        <v>5398</v>
      </c>
      <c r="B1886" s="6" t="s">
        <v>5399</v>
      </c>
      <c r="C1886" s="3" t="str">
        <f ca="1">IFERROR(__xludf.DUMMYFUNCTION("GOOGLETRANSLATE(B1886,""auto"",""en"")"),"The present invention disclosed a voice query method, smart TV and computer readable storage medium. Tutorial voice instructions; find the local fitness tutorial that matches the user's needs in the local resource library according to the voice instructio"&amp;"ns, and switch to the starting interface of the local fitness tutorial; if it is not matched in the local resource library to The fitness tutorial that matches the user's needs will obtain an online fitness tutorial that matches the user's needs and switc"&amp;"h to the start interface of the online fitness tutorial. By identifying the voice instructions issued by the user, the present invention matches the local fitness tutorial or recommended online fitness tutorials according to the voice instructions, and ju"&amp;"mps to the teaching interface of the fitness tutorial for users to perform fitness learning and exercise. The operation is simple and can meet the user's fitness needs. It brings convenience for users.")</f>
        <v>The present invention disclosed a voice query method, smart TV and computer readable storage medium. Tutorial voice instructions; find the local fitness tutorial that matches the user's needs in the local resource library according to the voice instructions, and switch to the starting interface of the local fitness tutorial; if it is not matched in the local resource library to The fitness tutorial that matches the user's needs will obtain an online fitness tutorial that matches the user's needs and switch to the start interface of the online fitness tutorial. By identifying the voice instructions issued by the user, the present invention matches the local fitness tutorial or recommended online fitness tutorials according to the voice instructions, and jumps to the teaching interface of the fitness tutorial for users to perform fitness learning and exercise. The operation is simple and can meet the user's fitness needs. It brings convenience for users.</v>
      </c>
      <c r="D1886" s="6" t="s">
        <v>5400</v>
      </c>
      <c r="E1886" s="4" t="str">
        <f ca="1">IFERROR(__xludf.DUMMYFUNCTION("GOOGLETRANSLATE(D1886,""auto"",""en"")"),"A voice query method, smart TV and computer readable storage medium")</f>
        <v>A voice query method, smart TV and computer readable storage medium</v>
      </c>
    </row>
    <row r="1887" spans="1:5" ht="15" x14ac:dyDescent="0.25">
      <c r="A1887" s="5" t="s">
        <v>5401</v>
      </c>
      <c r="B1887" s="6" t="s">
        <v>5402</v>
      </c>
      <c r="C1887" s="3" t="str">
        <f ca="1">IFERROR(__xludf.DUMMYFUNCTION("GOOGLETRANSLATE(B1887,""auto"",""en"")"),"The main goal of proposed work is to provide corresponding physical exercise suggestions for the beneficiary of those who like to choose a balanced lifestyle by using the voice recognition emotions of recursive neural networks. Recursive neural network (R"&amp;"NN) is a classifier technology that is used to classify various emotions such as happiness, disgust, sadness, fear, surprise and anger. The vertices of multiple features have been compared and clearly discussed on similar databases. The results gave good "&amp;"results. The initial experimental results show that the combination of characteristics will generate higher accuracy on the emotional database of the RNN classifier. Hidden Marcov model (HMM), Bayesian classifier (MLBC), Gaussian hybrid model (GMM), nucle"&amp;"ar degradation and K nearest adjacent method (KNN), support vector machine (SVM), simple Bayesian classifiers Researchers are used for human emotional recognition and translation classifiers. The main disadvantage is that only a single input and correspon"&amp;"ding output are given. The output combination is a difficult task, and the cost of the algorithm is very high. The system we proposes is used to recommend physical exercise from voice. Energy, format, height, and minority spectrum features MEL-FREQUENCY-C"&amp;"EEFFICIENTS (MFCC) and modulation spectrum features are various common features extracted and used in modern research. In the work of extracting emotional characteristics, the preparation spectrum characteristics are used. In order to analyze, recognize, "&amp;"and classify emotions from the audio voice sample, standard English emotional database was used. The system will help to guide people to identify their emotions and get better body.")</f>
        <v>The main goal of proposed work is to provide corresponding physical exercise suggestions for the beneficiary of those who like to choose a balanced lifestyle by using the voice recognition emotions of recursive neural networks. Recursive neural network (RNN) is a classifier technology that is used to classify various emotions such as happiness, disgust, sadness, fear, surprise and anger. The vertices of multiple features have been compared and clearly discussed on similar databases. The results gave good results. The initial experimental results show that the combination of characteristics will generate higher accuracy on the emotional database of the RNN classifier. Hidden Marcov model (HMM), Bayesian classifier (MLBC), Gaussian hybrid model (GMM), nuclear degradation and K nearest adjacent method (KNN), support vector machine (SVM), simple Bayesian classifiers Researchers are used for human emotional recognition and translation classifiers. The main disadvantage is that only a single input and corresponding output are given. The output combination is a difficult task, and the cost of the algorithm is very high. The system we proposes is used to recommend physical exercise from voice. Energy, format, height, and minority spectrum features MEL-FREQUENCY-CEEFFICIENTS (MFCC) and modulation spectrum features are various common features extracted and used in modern research. In the work of extracting emotional characteristics, the preparation spectrum characteristics are used. In order to analyze, recognize, and classify emotions from the audio voice sample, standard English emotional database was used. The system will help to guide people to identify their emotions and get better body.</v>
      </c>
      <c r="D1887" s="6" t="s">
        <v>5403</v>
      </c>
      <c r="E1887" s="4" t="str">
        <f ca="1">IFERROR(__xludf.DUMMYFUNCTION("GOOGLETRANSLATE(D1887,""auto"",""en"")"),"The emotional identification of fitness mixer using Mel frequencies to perceive coefficients")</f>
        <v>The emotional identification of fitness mixer using Mel frequencies to perceive coefficients</v>
      </c>
    </row>
    <row r="1888" spans="1:5" ht="15" x14ac:dyDescent="0.25">
      <c r="A1888" s="5" t="s">
        <v>5404</v>
      </c>
      <c r="B1888" s="6" t="s">
        <v>5405</v>
      </c>
      <c r="C1888" s="3" t="str">
        <f ca="1">IFERROR(__xludf.DUMMYFUNCTION("GOOGLETRANSLATE(B1888,""auto"",""en"")"),"Title: Robo Umpire Abstract Cricket is a kind of sport loved by Indians. According to the survey, 90% of Indians are fans of crickets and cricket players. Many cricket players have their own fans to follow the cluster. In the cricket game, when the strike"&amp;"r left the game due to the referee error, it would not only affect the results of the game, but also hurt the emotions of the hitter and the fans. During the last World Cup, due to the lack of accuracy of the referee's decision, nearly 26% of the ball -fr"&amp;"ee (cross -bound line or hitting the height of the player) and the penalty of the border ball were mistakenly judged as errors, and it was more common that it was even more common. The referee did not notice. No ball or side ball can change the results of"&amp;" the entire game. To overcome this problem, we have developed Robo UMPire suitable for computer vision and the Internet of Things.")</f>
        <v>Title: Robo Umpire Abstract Cricket is a kind of sport loved by Indians. According to the survey, 90% of Indians are fans of crickets and cricket players. Many cricket players have their own fans to follow the cluster. In the cricket game, when the striker left the game due to the referee error, it would not only affect the results of the game, but also hurt the emotions of the hitter and the fans. During the last World Cup, due to the lack of accuracy of the referee's decision, nearly 26% of the ball -free (cross -bound line or hitting the height of the player) and the penalty of the border ball were mistakenly judged as errors, and it was more common that it was even more common. The referee did not notice. No ball or side ball can change the results of the entire game. To overcome this problem, we have developed Robo UMPire suitable for computer vision and the Internet of Things.</v>
      </c>
      <c r="D1888" s="6" t="s">
        <v>5406</v>
      </c>
      <c r="E1888" s="4" t="str">
        <f ca="1">IFERROR(__xludf.DUMMYFUNCTION("GOOGLETRANSLATE(D1888,""auto"",""en"")"),"Robot referee")</f>
        <v>Robot referee</v>
      </c>
    </row>
    <row r="1889" spans="1:5" ht="15" x14ac:dyDescent="0.25">
      <c r="A1889" s="5" t="s">
        <v>5407</v>
      </c>
      <c r="B1889" s="6" t="s">
        <v>5408</v>
      </c>
      <c r="C1889" s="3" t="str">
        <f ca="1">IFERROR(__xludf.DUMMYFUNCTION("GOOGLETRANSLATE(B1889,""auto"",""en"")"),"This application disclosed a method, device, equipment, and storage medium for processing images, involving the field of image processing, which involves deep learning, artificial intelligence, and intelligent search. The specific implementation scheme is"&amp;": obtain the target video. Among them, the target video contains at least one image frame containing the movement of users; the category of each movement in the image frame is determined; The error movement in the error action image frame is corrected to "&amp;"generate the correct motion image frame. This implementation method determines the error action image frame by determining the motion frame of the motion according to the types of motion in the image frame in the target video, and the correct mobility of "&amp;"the wrong motion image frame is to facilitate the coach's movement of the trainees to the students' actions. Guidance is conducive to the review of students, effectively promotes the training quality of students, and improves the usage rate of a large num"&amp;"ber of training videos.")</f>
        <v>This application disclosed a method, device, equipment, and storage medium for processing images, involving the field of image processing, which involves deep learning, artificial intelligence, and intelligent search. The specific implementation scheme is: obtain the target video. Among them, the target video contains at least one image frame containing the movement of users; the category of each movement in the image frame is determined; The error movement in the error action image frame is corrected to generate the correct motion image frame. This implementation method determines the error action image frame by determining the motion frame of the motion according to the types of motion in the image frame in the target video, and the correct mobility of the wrong motion image frame is to facilitate the coach's movement of the trainees to the students' actions. Guidance is conducive to the review of students, effectively promotes the training quality of students, and improves the usage rate of a large number of training videos.</v>
      </c>
      <c r="D1889" s="6" t="s">
        <v>5409</v>
      </c>
      <c r="E1889" s="4" t="str">
        <f ca="1">IFERROR(__xludf.DUMMYFUNCTION("GOOGLETRANSLATE(D1889,""auto"",""en"")"),"Methods, devices, equipment, and storage media for processing images")</f>
        <v>Methods, devices, equipment, and storage media for processing images</v>
      </c>
    </row>
    <row r="1890" spans="1:5" ht="15" x14ac:dyDescent="0.25">
      <c r="A1890" s="5" t="s">
        <v>5410</v>
      </c>
      <c r="B1890" s="6" t="s">
        <v>5411</v>
      </c>
      <c r="C1890" s="3" t="str">
        <f ca="1">IFERROR(__xludf.DUMMYFUNCTION("GOOGLETRANSLATE(B1890,""auto"",""en"")"),"The invention provides the speed and power feedback equipment based on deep camera technology, which is characterized by: the speed and power feedback equipment based on the deep camera technology, which is characterized by the support framework. Connect;"&amp;" there is a training area with color or line identification, athletes stand on the training area; the load weight is installed with a heavy weight film with color logo, the athletes seize the contact point of the load weight, the athletes on the athletes "&amp;"are installed on the color of the colors on the colors of the installation node of the athletes. Patch. The invention also provides a speed and power feedback system based on deep camera technology. The present invention can collect the data of athletes w"&amp;"ith reasonable structural structure, digitalize the training posture, speed, power, and power of speed and power, and guide scientific training.")</f>
        <v>The invention provides the speed and power feedback equipment based on deep camera technology, which is characterized by: the speed and power feedback equipment based on the deep camera technology, which is characterized by the support framework. Connect; there is a training area with color or line identification, athletes stand on the training area; the load weight is installed with a heavy weight film with color logo, the athletes seize the contact point of the load weight, the athletes on the athletes are installed on the color of the colors on the colors of the installation node of the athletes. Patch. The invention also provides a speed and power feedback system based on deep camera technology. The present invention can collect the data of athletes with reasonable structural structure, digitalize the training posture, speed, power, and power of speed and power, and guide scientific training.</v>
      </c>
      <c r="D1890" s="6" t="s">
        <v>5412</v>
      </c>
      <c r="E1890" s="4" t="str">
        <f ca="1">IFERROR(__xludf.DUMMYFUNCTION("GOOGLETRANSLATE(D1890,""auto"",""en"")"),"Fast and strength feedback equipment and system based on deep camera technology")</f>
        <v>Fast and strength feedback equipment and system based on deep camera technology</v>
      </c>
    </row>
    <row r="1891" spans="1:5" ht="15" x14ac:dyDescent="0.25">
      <c r="A1891" s="5" t="s">
        <v>5413</v>
      </c>
      <c r="B1891" s="6" t="s">
        <v>5414</v>
      </c>
      <c r="C1891" s="3" t="str">
        <f ca="1">IFERROR(__xludf.DUMMYFUNCTION("GOOGLETRANSLATE(B1891,""auto"",""en"")"),"This utility model provides speed and power feedback equipment based on deep camera technology, which is characterized by: speed and power feedback equipment based on deep camera technology, characterized by: deep camera installations on the support frame"&amp;"work, deep camera and human -machine interactive module computers Electric connection; there is a training area with color or line identification, athletes stand on the training area; the load weight is installed with a heavy weight film with color identi"&amp;"fication, the athlete sends the contact point of the load weight, the athletes on the athletes are installed on the installation node of the athletes. Color patch. This practical new model can collect the data of the athletes with a reasonable structure.")</f>
        <v>This utility model provides speed and power feedback equipment based on deep camera technology, which is characterized by: speed and power feedback equipment based on deep camera technology, characterized by: deep camera installations on the support framework, deep camera and human -machine interactive module computers Electric connection; there is a training area with color or line identification, athletes stand on the training area; the load weight is installed with a heavy weight film with color identification, the athlete sends the contact point of the load weight, the athletes on the athletes are installed on the installation node of the athletes. Color patch. This practical new model can collect the data of the athletes with a reasonable structure.</v>
      </c>
      <c r="D1891" s="6" t="s">
        <v>5415</v>
      </c>
      <c r="E1891" s="4" t="str">
        <f ca="1">IFERROR(__xludf.DUMMYFUNCTION("GOOGLETRANSLATE(D1891,""auto"",""en"")"),"Fast and strength feedback equipment based on deep camera technology")</f>
        <v>Fast and strength feedback equipment based on deep camera technology</v>
      </c>
    </row>
    <row r="1892" spans="1:5" ht="15" x14ac:dyDescent="0.25">
      <c r="A1892" s="5" t="s">
        <v>5416</v>
      </c>
      <c r="B1892" s="6" t="s">
        <v>5417</v>
      </c>
      <c r="C1892" s="3" t="str">
        <f ca="1">IFERROR(__xludf.DUMMYFUNCTION("GOOGLETRANSLATE(B1892,""auto"",""en"")"),"This utility model provides a smart power cabinet of fitness equipment, which is characterized by the gravity disk. The gravity disk can rotate the axis where the rotating shaft is located; The position of the gravity disk is connected to the human -compu"&amp;"ter interaction unit; the fitness person applies the force to the gravity disk during the fitness process, so that the gravity disk is rotated from the starting position to , Used to regulate the starting position and termination of the gravity disk under"&amp;" the control of the control unit; the resistance regulating mechanism is used to apply resistance to the gravity disk. When the resistance regulating mechanism exerts resistance to the gravity disk, the gravity disk is in the resistance and fitness of the"&amp;" fitness. Under the common action of the force applied to the gravity disk, or the force is driven by force, or the resistance is driven.")</f>
        <v>This utility model provides a smart power cabinet of fitness equipment, which is characterized by the gravity disk. The gravity disk can rotate the axis where the rotating shaft is located; The position of the gravity disk is connected to the human -computer interaction unit; the fitness person applies the force to the gravity disk during the fitness process, so that the gravity disk is rotated from the starting position to , Used to regulate the starting position and termination of the gravity disk under the control of the control unit; the resistance regulating mechanism is used to apply resistance to the gravity disk. When the resistance regulating mechanism exerts resistance to the gravity disk, the gravity disk is in the resistance and fitness of the fitness. Under the common action of the force applied to the gravity disk, or the force is driven by force, or the resistance is driven.</v>
      </c>
      <c r="D1892" s="6" t="s">
        <v>5418</v>
      </c>
      <c r="E1892" s="4" t="str">
        <f ca="1">IFERROR(__xludf.DUMMYFUNCTION("GOOGLETRANSLATE(D1892,""auto"",""en"")"),"Fitness Device Intelligent Power Cabinet")</f>
        <v>Fitness Device Intelligent Power Cabinet</v>
      </c>
    </row>
    <row r="1893" spans="1:5" ht="15" x14ac:dyDescent="0.25">
      <c r="A1893" s="5" t="s">
        <v>5419</v>
      </c>
      <c r="B1893" s="6" t="s">
        <v>5420</v>
      </c>
      <c r="C1893" s="3" t="str">
        <f ca="1">IFERROR(__xludf.DUMMYFUNCTION("GOOGLETRANSLATE(B1893,""auto"",""en"")"),"Provide systems and methods for integrating and repetitive data deletion products
  Use artificial intelligence. One method includes receiving at least one registration first
  Products; search for the second product in at least one data storage; mark"&amp;", use
  Machine learning model, at least one keyword related to product information
  Use the first product and mark at least one keyword from the product information
  Related to the second product; use the machine learning model to determine,
  "&amp;"The matching score between the first and second products; when the competition
  The score is higher than the first predetermined threshold, and the machine is determined by the machine
  Learning model, the first product is the same as the second pro"&amp;"duct;
  The matching score is lower than the first predetermined threshold, use
  Machine learning model, the first product is not the second product.")</f>
        <v>Provide systems and methods for integrating and repetitive data deletion products
  Use artificial intelligence. One method includes receiving at least one registration first
  Products; search for the second product in at least one data storage; mark, use
  Machine learning model, at least one keyword related to product information
  Use the first product and mark at least one keyword from the product information
  Related to the second product; use the machine learning model to determine,
  The matching score between the first and second products; when the competition
  The score is higher than the first predetermined threshold, and the machine is determined by the machine
  Learning model, the first product is the same as the second product;
  The matching score is lower than the first predetermined threshold, use
  Machine learning model, the first product is not the second product.</v>
      </c>
      <c r="D1893" s="6" t="s">
        <v>5421</v>
      </c>
      <c r="E1893" s="4" t="str">
        <f ca="1">IFERROR(__xludf.DUMMYFUNCTION("GOOGLETRANSLATE(D1893,""auto"",""en"")"),"Use artificial intelligence to integrate product integration and repeated data deletion of computerization systems and methods")</f>
        <v>Use artificial intelligence to integrate product integration and repeated data deletion of computerization systems and methods</v>
      </c>
    </row>
    <row r="1894" spans="1:5" ht="15" x14ac:dyDescent="0.25">
      <c r="A1894" s="5" t="s">
        <v>5422</v>
      </c>
      <c r="B1894" s="6" t="s">
        <v>5423</v>
      </c>
      <c r="C1894" s="3" t="str">
        <f ca="1">IFERROR(__xludf.DUMMYFUNCTION("GOOGLETRANSLATE(B1894,""auto"",""en"")"),"One aspect of this disclosure involves a computer implementation
  The system for generating automatic outlet configuration files. This system can include possible
  The execution steps include: receiving data containing the capacity of the operation "&amp;"center
  (FC); Receive multiple product identifiers associated with the product -associated product
  Football Committee; regular collection and storage of products trading logs
  FC uses product identifier; determine the current inventory of the pr"&amp;"oduct
  Use the product logo to store it in FC; generate file configuration files
  At least one in FC uses transaction logs and current inventory
  Machine learning algorithm; Among them, the simplified archives include expected
  Shipping produc"&amp;"ts percentage of multiple categories of products; and
  Use FC -generated outlet configuration file to manage network outlet
  Compare the outlet configuration file with the actual outlet capacity of FC.")</f>
        <v>One aspect of this disclosure involves a computer implementation
  The system for generating automatic outlet configuration files. This system can include possible
  The execution steps include: receiving data containing the capacity of the operation center
  (FC); Receive multiple product identifiers associated with the product -associated product
  Football Committee; regular collection and storage of products trading logs
  FC uses product identifier; determine the current inventory of the product
  Use the product logo to store it in FC; generate file configuration files
  At least one in FC uses transaction logs and current inventory
  Machine learning algorithm; Among them, the simplified archives include expected
  Shipping products percentage of multiple categories of products; and
  Use FC -generated outlet configuration file to manage network outlet
  Compare the outlet configuration file with the actual outlet capacity of FC.</v>
      </c>
      <c r="D1894" s="6" t="s">
        <v>5424</v>
      </c>
      <c r="E1894" s="4" t="str">
        <f ca="1">IFERROR(__xludf.DUMMYFUNCTION("GOOGLETRANSLATE(D1894,""auto"",""en"")"),"Used to automatically leave the station configuration file generating system and method")</f>
        <v>Used to automatically leave the station configuration file generating system and method</v>
      </c>
    </row>
    <row r="1895" spans="1:5" ht="15" x14ac:dyDescent="0.25">
      <c r="A1895" s="5" t="s">
        <v>5425</v>
      </c>
      <c r="B1895" s="6" t="s">
        <v>5426</v>
      </c>
      <c r="C1895" s="3" t="str">
        <f ca="1">IFERROR(__xludf.DUMMYFUNCTION("GOOGLETRANSLATE(B1895,""auto"",""en"")"),"1. The name of the product of the product: The media player graphics user interface of the display screen panel.
 2. Design of the design of the product in appearance: lies in graphic user interface.
 3. Pictures or photos that can most indicate desig"&amp;"n points: main view.
 4. The purpose of the graphical user interface: for human -computer interaction and realizing the function of display screen panels, and can be used to play music, videos, etc.
 5. Human -computer interaction method of graphical "&amp;"user interface: Graphic user interface can interact with light strike, pressing, rolling, or sliding graphics user interface.
 6. The display screen panel can be applied to computers, laptops, display devices, communication equipment, multimedia equipme"&amp;"nt, information terminals, portable communication equipment, portable multimedia devices, portable information terminals, tablet computers, mobile phones, smartphones, wearable devices, watches , Smart watch, fitness monitor, headset headset, personal dig"&amp;"ital assistant, smart speaker, TV, monitor, projector, display system, set -top box, game machine, navigator ; The display screen panel is commonly designed, so other views are omitted.")</f>
        <v>1. The name of the product of the product: The media player graphics user interface of the display screen panel.
 2. Design of the design of the product in appearance: lies in graphic user interface.
 3. Pictures or photos that can most indicate design points: main view.
 4. The purpose of the graphical user interface: for human -computer interaction and realizing the function of display screen panels, and can be used to play music, videos, etc.
 5. Human -computer interaction method of graphical user interface: Graphic user interface can interact with light strike, pressing, rolling, or sliding graphics user interface.
 6.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895" s="6" t="s">
        <v>5427</v>
      </c>
      <c r="E1895" s="4" t="str">
        <f ca="1">IFERROR(__xludf.DUMMYFUNCTION("GOOGLETRANSLATE(D1895,""auto"",""en"")"),"Media player graphics user interface of display screen panel")</f>
        <v>Media player graphics user interface of display screen panel</v>
      </c>
    </row>
    <row r="1896" spans="1:5" ht="15" x14ac:dyDescent="0.25">
      <c r="A1896" s="5" t="s">
        <v>5428</v>
      </c>
      <c r="B1896" s="6" t="s">
        <v>5429</v>
      </c>
      <c r="C1896" s="3" t="str">
        <f ca="1">IFERROR(__xludf.DUMMYFUNCTION("GOOGLETRANSLATE(B1896,""auto"",""en"")"),"1. Design product name: The graphic user interface of the display calendar information of the display screen panel.
 2. Design product use: The display screen panel is used to display the graphical user interface.
 3. Design of the design of the produ"&amp;"ct in appearance: lies in the graphic user interface.
 4. Pictures or photos that can most indicate design points: main view.
 5. The purpose of the graphical user interface: used for human -computer interaction and realizing the function of display s"&amp;"creen panels, and can be used to display calendar information, appointment information or reminders.
 6. Human -computer interaction method of graphical user interface: Graphic user interface can interact with light strike, pressing, rolling, or sliding"&amp;" graphics user interface.
 7. The display screen panel can be applied to computers, laptops, tablets, mobile phones, smartphones, smart phones, smart glasses, watches, smart watches, fitness monitor, wearing headphones, personal digital assistants, smar"&amp;"t speakers, TVs, TV , Monitor, projector, set -top box, game machine, navigator, display device for vehicles; display screen panels are commonly designed, so other views are omitted.")</f>
        <v>1. Design product name: The graphic user interface of the display calendar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used for human -computer interaction and realizing the function of display screen panels, and can be used to display calendar information, appointment information or reminders.
 6. Human -computer interaction method of graphical user interface: Graphic user interface can interact with light strike, pressing, rolling, or sliding graphics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896" s="6" t="s">
        <v>5430</v>
      </c>
      <c r="E1896" s="4" t="str">
        <f ca="1">IFERROR(__xludf.DUMMYFUNCTION("GOOGLETRANSLATE(D1896,""auto"",""en"")"),"The graphic user interface of the display of the calendar information of the display screen panel")</f>
        <v>The graphic user interface of the display of the calendar information of the display screen panel</v>
      </c>
    </row>
    <row r="1897" spans="1:5" ht="15" x14ac:dyDescent="0.25">
      <c r="A1897" s="5" t="s">
        <v>5431</v>
      </c>
      <c r="B1897" s="6" t="s">
        <v>5432</v>
      </c>
      <c r="C1897" s="3" t="str">
        <f ca="1">IFERROR(__xludf.DUMMYFUNCTION("GOOGLETRANSLATE(B1897,""auto"",""en"")"),"1. The name of the product of the product: The graphic user interface of the display charging state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for human -machine in"&amp;"teraction and realizing the function of display screen panels, and can be used to display the charging status of the device.
 7. Human -computer interaction method of graphical user interface: Graphic user interface can interact with light strike, press"&amp;"ing, rolling, or sliding graphics user interface.
 8. Design 1 and Design 3 Request protection colors.
 显示屏幕面板可以应用于计算机、笔记本电脑、显示装置、通讯设备、多媒体设备、信息终端、便携式通讯设备、便携式多媒体设备、便携式信息终端、平板电脑、手机、智能手机、可穿戴设备、手表、智能Watch, fitness monitor, headset headphones, personal dig"&amp;"ital assistants, smart speakers, TV, monitor, projector, display system, set -top box, game machine, navigator display device The screen panel is commonly designed, so other views are omitted.")</f>
        <v>1. The name of the product of the product: The graphic user interface of the display charging state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to display the charging status of the device.
 7. Human -computer interaction method of graphical user interface: Graphic user interface can interact with light strike, pressing, rolling, or sliding graphics user interface.
 8. Design 1 and Design 3 Request protection colors.
 显示屏幕面板可以应用于计算机、笔记本电脑、显示装置、通讯设备、多媒体设备、信息终端、便携式通讯设备、便携式多媒体设备、便携式信息终端、平板电脑、手机、智能手机、可穿戴设备、手表、智能Watch, fitness monitor, headset headphones, personal digital assistants, smart speakers, TV, monitor, projector, display system, set -top box, game machine, navigator display device The screen panel is commonly designed, so other views are omitted.</v>
      </c>
      <c r="D1897" s="6" t="s">
        <v>5433</v>
      </c>
      <c r="E1897" s="4" t="str">
        <f ca="1">IFERROR(__xludf.DUMMYFUNCTION("GOOGLETRANSLATE(D1897,""auto"",""en"")"),"The graphic user interface of the display charging state of the display screen panel")</f>
        <v>The graphic user interface of the display charging state of the display screen panel</v>
      </c>
    </row>
    <row r="1898" spans="1:5" ht="15" x14ac:dyDescent="0.25">
      <c r="A1898" s="5" t="s">
        <v>5434</v>
      </c>
      <c r="B1898" s="6" t="s">
        <v>5435</v>
      </c>
      <c r="C1898" s="3" t="str">
        <f ca="1">IFERROR(__xludf.DUMMYFUNCTION("GOOGLETRANSLATE(B1898,""auto"",""en"")"),"A manual neural network architecture is provided to handle the original audio waveform to create a speaker who is not related to text verification and recognition. The artificial neural network architecture includes a step -by -step convolution layer, the"&amp;" residual block connected by the first and second sequences, a transformer layer, and a final complete connection (FC) layer. The step -by -step convolutional layer is configured to receive the original audio waveform from the speaker. The first and secon"&amp;"d residual blocks include multiple convolutional layers and maximum pooling layers. The converter layer is configured to embed the frame level into the discourse level. The output of the FC layer creates a speaker input to the speaker of its original audi"&amp;"o waveform into the step -by -step layer.")</f>
        <v>A manual neural network architecture is provided to handle the original audio waveform to create a speaker who is not related to text verification and recognition. The artificial neural network architecture includes a step -by -step convolution layer, the residual block connected by the first and second sequences, a transformer layer, and a final complete connection (FC) layer. The step -by -step convolutional layer is configured to receive the original audio waveform from the speaker. The first and second residual blocks include multiple convolutional layers and maximum pooling layers. The converter layer is configured to embed the frame level into the discourse level. The output of the FC layer creates a speaker input to the speaker of its original audio waveform into the step -by -step layer.</v>
      </c>
      <c r="D1898" s="6" t="s">
        <v>5436</v>
      </c>
      <c r="E1898" s="4" t="str">
        <f ca="1">IFERROR(__xludf.DUMMYFUNCTION("GOOGLETRANSLATE(D1898,""auto"",""en"")"),"Use deep learning on the original waveform to verify on the media operating system that has nothing to do with text.")</f>
        <v>Use deep learning on the original waveform to verify on the media operating system that has nothing to do with text.</v>
      </c>
    </row>
    <row r="1899" spans="1:5" ht="15" x14ac:dyDescent="0.25">
      <c r="A1899" s="5" t="s">
        <v>5437</v>
      </c>
      <c r="B1899" s="6" t="s">
        <v>5438</v>
      </c>
      <c r="C1899" s="3" t="str">
        <f ca="1">IFERROR(__xludf.DUMMYFUNCTION("GOOGLETRANSLATE(B1899,""auto"",""en"")"),"1. Design product name: Display calendar information graphic user interface for display screen panels.
 2. Design product use: The display screen panel is used to display the graphical user interface.
 3. Design of the design of the product in appeara"&amp;"nce: lies in the graphic user interface.
 4. Pictures or photos that can most indicate design points: main view.
 5. The purpose of the graphical user interface: used for human -computer interaction and realizing the function of display screen panels,"&amp;" and can be used to display calendar information, appointment information or reminders.
 6. Human -computer interaction method of graphical user interface: Graphic user interface can interact with light strike, pressing, rolling, or sliding graphics use"&amp;"r interface.
 7. The display screen panel can be applied to computers, laptops, tablets, mobile phones, smartphones, smart phones, smart glasses, watches, smart watches, fitness monitor, wearing headphones, personal digital assistants, smart speakers, T"&amp;"Vs, TV , Monitor, projector, set -top box, game machine, navigator, display device for vehicles; display screen panels are commonly designed, so other views are omitted.")</f>
        <v>1. Design product name: Display calendar information graphic user interface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used for human -computer interaction and realizing the function of display screen panels, and can be used to display calendar information, appointment information or reminders.
 6. Human -computer interaction method of graphical user interface: Graphic user interface can interact with light strike, pressing, rolling, or sliding graphics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899" s="6" t="s">
        <v>5439</v>
      </c>
      <c r="E1899" s="4" t="str">
        <f ca="1">IFERROR(__xludf.DUMMYFUNCTION("GOOGLETRANSLATE(D1899,""auto"",""en"")"),"Display calendar information graphic user interface for display screen panels")</f>
        <v>Display calendar information graphic user interface for display screen panels</v>
      </c>
    </row>
    <row r="1900" spans="1:5" ht="15" x14ac:dyDescent="0.25">
      <c r="A1900" s="5" t="s">
        <v>5440</v>
      </c>
      <c r="B1900" s="6" t="s">
        <v>5441</v>
      </c>
      <c r="C1900" s="3" t="str">
        <f ca="1">IFERROR(__xludf.DUMMYFUNCTION("GOOGLETRANSLATE(B1900,""auto"",""en"")"),"1.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-compu"&amp;"ter interaction and implementation of the display screen panel, and can be used to display and/or load the application icon and parts.
 7. Human -computer interaction method of graphical user interface: Graphic user interface can interact with light str"&amp;"ike, pressing, rolling, or sliding graphics user interface.
 8. Design 1 Request to protect color.
 The display screen panel can be applied to computers, laptops, tablet computers, mobile phones, smartphones, smart bracelets, smart glasses, watches, s"&amp;"mart watches, fitness monitors, headset headphones, personal digital assistants, smart speakers, TV, surveillance, surveillance Instruments, projectors, set -top boxes, game machines, navigators, display devices for vehicles; display screen panels are com"&amp;"monly designed, so they omit other views.")</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-computer interaction and implementation of the display screen panel, and can be used to display and/or load the application icon and parts.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devices for vehicles; display screen panels are commonly designed, so they omit other views.</v>
      </c>
      <c r="D1900" s="6" t="s">
        <v>5442</v>
      </c>
      <c r="E1900" s="4" t="str">
        <f ca="1">IFERROR(__xludf.DUMMYFUNCTION("GOOGLETRANSLATE(D1900,""auto"",""en"")"),"The display of the display application icon of the display screen panel")</f>
        <v>The display of the display application icon of the display screen panel</v>
      </c>
    </row>
    <row r="1901" spans="1:5" ht="15" x14ac:dyDescent="0.25">
      <c r="A1901" s="5" t="s">
        <v>5443</v>
      </c>
      <c r="B1901" s="6" t="s">
        <v>5444</v>
      </c>
      <c r="C1901" s="3" t="str">
        <f ca="1">IFERROR(__xludf.DUMMYFUNCTION("GOOGLETRANSLATE(B1901,""auto"",""en"")"),"1. Design product name: The graphic user interface of the display weather information of the display screen panel.
 2. Design product use: The display screen panel is used to display the graphical user interface.
 3. Design of the design of the produc"&amp;"t in appearance: lies in the graphic user interface.
 4. Pictures or photos that can best show design: Design 1 main view.
 5. Specify design 1 is the basic design.
 6. The purpose of the graphical user interface: It is used for human -machine inter"&amp;"action and realizing the function of display screen panels, and can be used to display weather information.
 7. Human -computer interaction method of graphical user interface: Graphic user interface can interact with light strike, pressing, rolling, or "&amp;"sliding graphics user interface.
 8. Design 1 Request to protect color.
 The display screen panel can be applied to computers, laptops, tablet computers, mobile phones, smartphones, smart bracelets, smart glasses, watches, smart watches, fitness monit"&amp;"ors, headset headphones, personal digital assistants, smart speakers, TV, surveillance, surveillance Instruments, projectors, set -top boxes, game machines, navigators, display screens for vehicles; display screen panels are commonly designed, so other vi"&amp;"ews are omitted.")</f>
        <v>1. Design product name: The graphic user interface of the display weather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to display weather information.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01" s="6" t="s">
        <v>5445</v>
      </c>
      <c r="E1901" s="4" t="str">
        <f ca="1">IFERROR(__xludf.DUMMYFUNCTION("GOOGLETRANSLATE(D1901,""auto"",""en"")"),"The graphic user interface of the display weather information of the display screen panel")</f>
        <v>The graphic user interface of the display weather information of the display screen panel</v>
      </c>
    </row>
    <row r="1902" spans="1:5" ht="15" x14ac:dyDescent="0.25">
      <c r="A1902" s="5" t="s">
        <v>5446</v>
      </c>
      <c r="B1902" s="6" t="s">
        <v>5447</v>
      </c>
      <c r="C1902" s="3" t="str">
        <f ca="1">IFERROR(__xludf.DUMMYFUNCTION("GOOGLETRANSLATE(B1902,""auto"",""en"")"),"1. Design product name: Map and navigation graphic user interface of the display screen panel.
 2. Design product use: The display screen panel is used to display the graphical user interface.
 3. Design of the design of the product in appearance: lie"&amp;"s in the graphic user interface.
 4. Pictures or photos that can best show design: Design 1 main view.
 5. Specify design 1 is the basic design.
 6. The purpose of the graphical user interface: for human -machine interaction and implementation of th"&amp;"e display screen panel, and can be used for maps and navigation.
 7. Human -computer interaction method of graphical user interface: Graphic user interface can interact with light strike, pressing, rolling, or sliding graphics user interface.
 8. Desi"&amp;"gn 1 Request to protect color.
 The display screen panel can be applied to computers, laptops, tablets, mobile phones, smart bracelets, smart glasses, watches, smart watches, fitness monitor, headset headphones, personal digital assistants, smart speake"&amp;"rs, TV, monitor, projection, projection The instrument, set -top box, game machine, navigator, display device for vehicles; display screen panels are commonly designed, so other views are omitted.")</f>
        <v>1. Design product name: Map and navigation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maps and navigation.
 7. Human -computer interaction method of graphical user interface: Graphic user interface can interact with light strike, pressing, rolling, or sliding graphics user interface.
 8. Design 1 Request to protect color.
 The display screen panel can be applied to computers, laptops, tablets, mobile phones, smart bracelets, smart glasses, watches, smart watches, fitness monitor, headset headphones, personal digital assistants, smart speakers, TV, monitor, projection, projection The instrument, set -top box, game machine, navigator, display device for vehicles; display screen panels are commonly designed, so other views are omitted.</v>
      </c>
      <c r="D1902" s="6" t="s">
        <v>5448</v>
      </c>
      <c r="E1902" s="4" t="str">
        <f ca="1">IFERROR(__xludf.DUMMYFUNCTION("GOOGLETRANSLATE(D1902,""auto"",""en"")"),"Map and navigation graphic user interface of display screen panel")</f>
        <v>Map and navigation graphic user interface of display screen panel</v>
      </c>
    </row>
    <row r="1903" spans="1:5" ht="15" x14ac:dyDescent="0.25">
      <c r="A1903" s="5" t="s">
        <v>5449</v>
      </c>
      <c r="B1903" s="6" t="s">
        <v>5441</v>
      </c>
      <c r="C1903" s="3" t="str">
        <f ca="1">IFERROR(__xludf.DUMMYFUNCTION("GOOGLETRANSLATE(B1903,""auto"",""en"")"),"1.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-compu"&amp;"ter interaction and implementation of the display screen panel, and can be used to display and/or load the application icon and parts.
 7. Human -computer interaction method of graphical user interface: Graphic user interface can interact with light str"&amp;"ike, pressing, rolling, or sliding graphics user interface.
 8. Design 1 Request to protect color.
 The display screen panel can be applied to computers, laptops, tablet computers, mobile phones, smartphones, smart bracelets, smart glasses, watches, s"&amp;"mart watches, fitness monitors, headset headphones, personal digital assistants, smart speakers, TV, surveillance, surveillance Instruments, projectors, set -top boxes, game machines, navigators, display devices for vehicles; display screen panels are com"&amp;"monly designed, so they omit other views.")</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-computer interaction and implementation of the display screen panel, and can be used to display and/or load the application icon and parts.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devices for vehicles; display screen panels are commonly designed, so they omit other views.</v>
      </c>
      <c r="D1903" s="6" t="s">
        <v>5442</v>
      </c>
      <c r="E1903" s="4" t="str">
        <f ca="1">IFERROR(__xludf.DUMMYFUNCTION("GOOGLETRANSLATE(D1903,""auto"",""en"")"),"The display of the display application icon of the display screen panel")</f>
        <v>The display of the display application icon of the display screen panel</v>
      </c>
    </row>
    <row r="1904" spans="1:5" ht="15" x14ac:dyDescent="0.25">
      <c r="A1904" s="5" t="s">
        <v>5450</v>
      </c>
      <c r="B1904" s="6" t="s">
        <v>5451</v>
      </c>
      <c r="C1904" s="3" t="str">
        <f ca="1">IFERROR(__xludf.DUMMYFUNCTION("GOOGLETRANSLATE(B1904,""auto"",""en"")"),"1. Design product name: The graphic user interface of the display activity of the display screen panel.
 2. Design product use: The display screen panel is used to display the graphical user interface.
 3. Design of the design of the product in appear"&amp;"ance: lies in the graphic user interface.
 4. Pictures or photos that can best show design: Design 1 main view.
 5. Specify design 1 is the basic design.
 6. The purpose of the graphical user interface: It is used for human -computer interaction and"&amp;" realizing the function of display screen panels, and can be used for display activities.
 7. Human -computer interaction method of graphical user interface: Graphic user interface can interact with light strike, pressing, rolling, or sliding graphics u"&amp;"ser interface.
 8. Design 1 Request to protect color.
 The display screen panel can be applied to computers, laptops, tablet computers, mobile phones, smartphones, smart bracelets, smart glasses, watches, smart watches, fitness monitors, headset headp"&amp;"hones, personal digital assistants, smart speakers, TV, surveillance, surveillance Instruments, projectors, set -top boxes, game machines, navigators, display screens for vehicles; display screen panels are commonly designed, so other views are omitted.")</f>
        <v>1. Design product name: The graphic user interface of the display activity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for display activities.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04" s="6" t="s">
        <v>5452</v>
      </c>
      <c r="E1904" s="4" t="str">
        <f ca="1">IFERROR(__xludf.DUMMYFUNCTION("GOOGLETRANSLATE(D1904,""auto"",""en"")"),"The graphic user interface of the display activity of the display screen panel")</f>
        <v>The graphic user interface of the display activity of the display screen panel</v>
      </c>
    </row>
    <row r="1905" spans="1:5" ht="15" x14ac:dyDescent="0.25">
      <c r="A1905" s="5" t="s">
        <v>5453</v>
      </c>
      <c r="B1905" s="6" t="s">
        <v>5454</v>
      </c>
      <c r="C1905" s="3" t="str">
        <f ca="1">IFERROR(__xludf.DUMMYFUNCTION("GOOGLETRANSLATE(B1905,""auto"",""en"")"),"1. Design product name: The graphic user interface of the display weather information of the display screen panel.
 2. Design product use: The display screen panel is used to display the graphical user interface.
 3. Design of the design of the produc"&amp;"t in appearance: lies in the graphic user interface.
 4. Pictures or photos that can best show design: Design 1 main view.
 5. Specify design 1 is the basic design.
 6. The purpose of the graphical user interface: It is used for human -machine inter"&amp;"action and realizing the function of display screen panels, and can be used to display weather information.
 7. Human -computer interaction method of graphical user interface: Graphic user interface can interact with light strike, pressing, rolling, or "&amp;"sliding graphics user interface.
 8. Design 1 Request to protect color.
 The display screen panel can be applied to computers, laptops, tablets, mobile phones, smart bracelets, smart glasses, watches, smart watches, fitness monitor, headset headphones"&amp;", personal digital assistants, smart speakers, TV, monitor, projection, projection The instrument, set -top box, game machine, navigator, display device for vehicles; display screen panels are commonly designed, so other views are omitted.")</f>
        <v>1. Design product name: The graphic user interface of the display weather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to display weather information.
 7. Human -computer interaction method of graphical user interface: Graphic user interface can interact with light strike, pressing, rolling, or sliding graphics user interface.
 8. Design 1 Request to protect color.
 The display screen panel can be applied to computers, laptops, tablets, mobile phones, smart bracelets, smart glasses, watches, smart watches, fitness monitor, headset headphones, personal digital assistants, smart speakers, TV, monitor, projection, projection The instrument, set -top box, game machine, navigator, display device for vehicles; display screen panels are commonly designed, so other views are omitted.</v>
      </c>
      <c r="D1905" s="6" t="s">
        <v>5445</v>
      </c>
      <c r="E1905" s="4" t="str">
        <f ca="1">IFERROR(__xludf.DUMMYFUNCTION("GOOGLETRANSLATE(D1905,""auto"",""en"")"),"The graphic user interface of the display weather information of the display screen panel")</f>
        <v>The graphic user interface of the display weather information of the display screen panel</v>
      </c>
    </row>
    <row r="1906" spans="1:5" ht="15" x14ac:dyDescent="0.25">
      <c r="A1906" s="5" t="s">
        <v>5455</v>
      </c>
      <c r="B1906" s="6" t="s">
        <v>5456</v>
      </c>
      <c r="C1906" s="3" t="str">
        <f ca="1">IFERROR(__xludf.DUMMYFUNCTION("GOOGLETRANSLATE(B1906,""auto"",""en"")"),"1. Design product name: The graphic user interface of the display activity of the display screen panel.
 2. Design product use: The display screen panel is used to display the graphical user interface.
 3. Design of the design of the product in appear"&amp;"ance: lies in the graphic user interface.
 4. Pictures or photos that can best show design: Design 1 main view.
 5. Specify design 1 is the basic design.
 6. The purpose of the graphical user interface: It is used for human -computer interaction and"&amp;" realizing the function of display screen panels, and can be used for display activities.
 7. Human -computer interaction method of graphical user interface: Graphic user interface can interact with light strike, pressing, rolling, or sliding graphics u"&amp;"ser interface.
 8. Design 1 Request to protect color.
 The display screen panel can be applied to computers, laptops, tablets, mobile phones, smart bracelets, smart glasses, watches, smart watches, fitness monitor, headset headphones, personal digital"&amp;" assistants, smart speakers, TV, monitor, projection, projection The instrument, set -top box, game machine, navigator, display device for vehicles; display screen panels are commonly designed, so other views are omitted.")</f>
        <v>1. Design product name: The graphic user interface of the display activity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for display activities.
 7. Human -computer interaction method of graphical user interface: Graphic user interface can interact with light strike, pressing, rolling, or sliding graphics user interface.
 8. Design 1 Request to protect color.
 The display screen panel can be applied to computers, laptops, tablets, mobile phones, smart bracelets, smart glasses, watches, smart watches, fitness monitor, headset headphones, personal digital assistants, smart speakers, TV, monitor, projection, projection The instrument, set -top box, game machine, navigator, display device for vehicles; display screen panels are commonly designed, so other views are omitted.</v>
      </c>
      <c r="D1906" s="6" t="s">
        <v>5452</v>
      </c>
      <c r="E1906" s="4" t="str">
        <f ca="1">IFERROR(__xludf.DUMMYFUNCTION("GOOGLETRANSLATE(D1906,""auto"",""en"")"),"The graphic user interface of the display activity of the display screen panel")</f>
        <v>The graphic user interface of the display activity of the display screen panel</v>
      </c>
    </row>
    <row r="1907" spans="1:5" ht="15" x14ac:dyDescent="0.25">
      <c r="A1907" s="5" t="s">
        <v>5457</v>
      </c>
      <c r="B1907" s="6" t="s">
        <v>5458</v>
      </c>
      <c r="C1907" s="3" t="str">
        <f ca="1">IFERROR(__xludf.DUMMYFUNCTION("GOOGLETRANSLATE(B1907,""auto"",""en"")"),"1.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-compu"&amp;"ter interaction and implementation of the display screen panel, and can be used to display and/or load the application icon and parts.
 7. Human -computer interaction method of graphical user interface: Graphic user interface can interact with light str"&amp;"ike, pressing, rolling, or sliding graphics user interface.
 8. Design 1 Request to protect color.
 The display screen panel can be applied to computers, laptops, tablet computers, mobile phones, smartphones, smart bracelets, smart glasses, watches, s"&amp;"mart watches, fitness monitors, headset headphones, personal digital assistants, smart speakers, TV, surveillance, surveillance Instruments, projectors, set -top boxes, game machines, navigators, display screens for vehicles; display screen panels are com"&amp;"monly designed, so other views are omitted.")</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-computer interaction and implementation of the display screen panel, and can be used to display and/or load the application icon and parts.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07" s="6" t="s">
        <v>5442</v>
      </c>
      <c r="E1907" s="4" t="str">
        <f ca="1">IFERROR(__xludf.DUMMYFUNCTION("GOOGLETRANSLATE(D1907,""auto"",""en"")"),"The display of the display application icon of the display screen panel")</f>
        <v>The display of the display application icon of the display screen panel</v>
      </c>
    </row>
    <row r="1908" spans="1:5" ht="15" x14ac:dyDescent="0.25">
      <c r="A1908" s="5" t="s">
        <v>5459</v>
      </c>
      <c r="B1908" s="6" t="s">
        <v>5460</v>
      </c>
      <c r="C1908" s="3" t="str">
        <f ca="1">IFERROR(__xludf.DUMMYFUNCTION("GOOGLETRANSLATE(B1908,""auto"",""en"")"),"1. Design product name: Map and navigation graphic user interface of the display screen panel.
 2. Design product use: The display screen panel is used to display the graphical user interface.
 3. Design of the design of the product in appearance: lie"&amp;"s in the graphic user interface.
 4. Pictures or photos that can best show design: Design 1 main view.
 5. Specify design 1 is the basic design.
 6. The purpose of the graphical user interface: for human -machine interaction and implementation of th"&amp;"e display screen panel, and can be used for maps and navigation.
 7. Human -computer interaction method of graphical user interface: Graphic user interface can interact with light strike, pressing, rolling, or sliding graphics user interface.
 8. Desi"&amp;"gn 1 Request to protect color.
 The display screen panel can be applied to computers, laptops, tablet computers, mobile phones, smartphones, smart bracelets, smart glasses, watches, smart watches, fitness monitors, headset headphones, personal digital a"&amp;"ssistants, smart speakers, TV, surveillance, surveillance Instruments, projectors, set -top boxes, game machines, navigators, display screens for vehicles; display screen panels are commonly designed, so other views are omitted.")</f>
        <v>1. Design product name: Map and navigation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maps and navigation.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08" s="6" t="s">
        <v>5448</v>
      </c>
      <c r="E1908" s="4" t="str">
        <f ca="1">IFERROR(__xludf.DUMMYFUNCTION("GOOGLETRANSLATE(D1908,""auto"",""en"")"),"Map and navigation graphic user interface of display screen panel")</f>
        <v>Map and navigation graphic user interface of display screen panel</v>
      </c>
    </row>
    <row r="1909" spans="1:5" ht="15" x14ac:dyDescent="0.25">
      <c r="A1909" s="5" t="s">
        <v>5461</v>
      </c>
      <c r="B1909" s="6" t="s">
        <v>5460</v>
      </c>
      <c r="C1909" s="3" t="str">
        <f ca="1">IFERROR(__xludf.DUMMYFUNCTION("GOOGLETRANSLATE(B1909,""auto"",""en"")"),"1. Design product name: Map and navigation graphic user interface of the display screen panel.
 2. Design product use: The display screen panel is used to display the graphical user interface.
 3. Design of the design of the product in appearance: lie"&amp;"s in the graphic user interface.
 4. Pictures or photos that can best show design: Design 1 main view.
 5. Specify design 1 is the basic design.
 6. The purpose of the graphical user interface: for human -machine interaction and implementation of th"&amp;"e display screen panel, and can be used for maps and navigation.
 7. Human -computer interaction method of graphical user interface: Graphic user interface can interact with light strike, pressing, rolling, or sliding graphics user interface.
 8. Desi"&amp;"gn 1 Request to protect color.
 The display screen panel can be applied to computers, laptops, tablet computers, mobile phones, smartphones, smart bracelets, smart glasses, watches, smart watches, fitness monitors, headset headphones, personal digital a"&amp;"ssistants, smart speakers, TV, surveillance, surveillance Instruments, projectors, set -top boxes, game machines, navigators, display screens for vehicles; display screen panels are commonly designed, so other views are omitted.")</f>
        <v>1. Design product name: Map and navigation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maps and navigation.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09" s="6" t="s">
        <v>5448</v>
      </c>
      <c r="E1909" s="4" t="str">
        <f ca="1">IFERROR(__xludf.DUMMYFUNCTION("GOOGLETRANSLATE(D1909,""auto"",""en"")"),"Map and navigation graphic user interface of display screen panel")</f>
        <v>Map and navigation graphic user interface of display screen panel</v>
      </c>
    </row>
    <row r="1910" spans="1:5" ht="15" x14ac:dyDescent="0.25">
      <c r="A1910" s="5" t="s">
        <v>5462</v>
      </c>
      <c r="B1910" s="6" t="s">
        <v>5463</v>
      </c>
      <c r="C1910" s="3" t="str">
        <f ca="1">IFERROR(__xludf.DUMMYFUNCTION("GOOGLETRANSLATE(B1910,""auto"",""en"")"),"1. Design product name: The graphic user interface of the display weather information of the display screen panel.
 2. Design product use: The display screen panel is used to display the graphical user interface.
 3. Design of the design of the produc"&amp;"t in appearance: lies in the graphic user interface.
 4. Pictures or photos that can best show design: Design 1 main view.
 5. Specify design 1 is the basic design.
 6. The purpose of the graphical user interface: It is used for human -machine inter"&amp;"action and realizing the function of display screen panels, and can be used to display weather information.
 7. Human -computer interaction method of graphical user interface: Graphic user interface can interact with light strike, pressing, rolling, or "&amp;"sliding graphics user interface.
 8. Design 1 and Design 3 Request protection colors.
 The display screen panel can be applied to computers, laptops, tablet computers, mobile phones, smartphones, smart bracelets, smart glasses, watches, smart watches,"&amp;" fitness monitors, headset headphones, personal digital assistants, smart speakers, TV, surveillance, surveillance Instruments, projectors, set -top boxes, game machines, navigators, display screens for vehicles; display screen panels are commonly designe"&amp;"d, so other views are omitted.")</f>
        <v>1. Design product name: The graphic user interface of the display weather information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to display weather information.
 7. Human -computer interaction method of graphical user interface: Graphic user interface can interact with light strike, pressing, rolling, or sliding graphics user interface.
 8. Design 1 and Design 3 Request protection colors.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10" s="6" t="s">
        <v>5445</v>
      </c>
      <c r="E1910" s="4" t="str">
        <f ca="1">IFERROR(__xludf.DUMMYFUNCTION("GOOGLETRANSLATE(D1910,""auto"",""en"")"),"The graphic user interface of the display weather information of the display screen panel")</f>
        <v>The graphic user interface of the display weather information of the display screen panel</v>
      </c>
    </row>
    <row r="1911" spans="1:5" ht="15" x14ac:dyDescent="0.25">
      <c r="A1911" s="5" t="s">
        <v>5464</v>
      </c>
      <c r="B1911" s="6" t="s">
        <v>5465</v>
      </c>
      <c r="C1911" s="3" t="str">
        <f ca="1">IFERROR(__xludf.DUMMYFUNCTION("GOOGLETRANSLATE(B1911,""auto"",""en"")"),"1. The name of the product of the design of the product: The arrangement of the dynamic graphic user interface of the display of the screen panel.
 2. The purpose of designing products in this exterior: The display screen panel is used to display the dy"&amp;"namic graphic user interface.
 3. Design of design products in this exterior: lies in dynamic graphic user interface.
 4. Pictures or photos that can most indicate design points: main view.
 5. The purpose of graphical user interface: It is used for"&amp;" human -computer interaction and realizing the function of display screen panels, and can be used to display, search, select, increase, arrange,/or editors for application interfaces or application menu.
 6. Human -computer interaction method of graphic"&amp;"al user interface: dynamic graphic user interface can interact with light strike, pressing, rolling or sliding dynamic graphic user interface, by pressing and maintaining, and moving or dragging the group expressed by the rounded rectangle The appearance "&amp;"of the graphic user interface is from the main view to the change state diagram of the state. 1. The state of change state diagram 2, the state of change state Figure 3. By releasing the section component, the appearance of the graphic user interface chan"&amp;"ges from the change state graph 3 to the change state diagram 4.
 7. The display screen panel can be applied to computers, laptops, tablets, mobile phones, smartphones, smart phones, smart glasses, watches, smart watches, fitness monitor, wearing headph"&amp;"ones, personal digital assistants, smart speakers, TVs, TV , Monitor, projector, set -top box, game machine, navigator, display device for vehicles; display screen panels are commonly designed, so other views are omitted.")</f>
        <v>1. The name of the product of the design of the product: The arrangement of the dynamic graphic user interface of the display of the screen panel.
 2. The purpose of designing products in this exterior: The display screen panel is used to display the dynamic graphic user interface.
 3. Design of design products in this exterior: lies in dynamic graphic user interface.
 4. Pictures or photos that can most indicate design points: main view.
 5. The purpose of graphical user interface: It is used for human -computer interaction and realizing the function of display screen panels, and can be used to display, search, select, increase, arrange,/or editors for application interfaces or application menu.
 6. Human -computer interaction method of graphical user interface: dynamic graphic user interface can interact with light strike, pressing, rolling or sliding dynamic graphic user interface, by pressing and maintaining, and moving or dragging the group expressed by the rounded rectangle The appearance of the graphic user interface is from the main view to the change state diagram of the state. 1. The state of change state diagram 2, the state of change state Figure 3. By releasing the section component, the appearance of the graphic user interface changes from the change state graph 3 to the change state diagram 4.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11" s="6" t="s">
        <v>5466</v>
      </c>
      <c r="E1911" s="4" t="str">
        <f ca="1">IFERROR(__xludf.DUMMYFUNCTION("GOOGLETRANSLATE(D1911,""auto"",""en"")"),"Display screen panel arrangement module dynamic graphic user interface")</f>
        <v>Display screen panel arrangement module dynamic graphic user interface</v>
      </c>
    </row>
    <row r="1912" spans="1:5" ht="15" x14ac:dyDescent="0.25">
      <c r="A1912" s="5" t="s">
        <v>5467</v>
      </c>
      <c r="B1912" s="6" t="s">
        <v>5458</v>
      </c>
      <c r="C1912" s="3" t="str">
        <f ca="1">IFERROR(__xludf.DUMMYFUNCTION("GOOGLETRANSLATE(B1912,""auto"",""en"")"),"1.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-compu"&amp;"ter interaction and implementation of the display screen panel, and can be used to display and/or load the application icon and parts.
 7. Human -computer interaction method of graphical user interface: Graphic user interface can interact with light str"&amp;"ike, pressing, rolling, or sliding graphics user interface.
 8. Design 1 Request to protect color.
 The display screen panel can be applied to computers, laptops, tablet computers, mobile phones, smartphones, smart bracelets, smart glasses, watches, s"&amp;"mart watches, fitness monitors, headset headphones, personal digital assistants, smart speakers, TV, surveillance, surveillance Instruments, projectors, set -top boxes, game machines, navigators, display screens for vehicles; display screen panels are com"&amp;"monly designed, so other views are omitted.")</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-computer interaction and implementation of the display screen panel, and can be used to display and/or load the application icon and parts.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12" s="6" t="s">
        <v>5442</v>
      </c>
      <c r="E1912" s="4" t="str">
        <f ca="1">IFERROR(__xludf.DUMMYFUNCTION("GOOGLETRANSLATE(D1912,""auto"",""en"")"),"The display of the display application icon of the display screen panel")</f>
        <v>The display of the display application icon of the display screen panel</v>
      </c>
    </row>
    <row r="1913" spans="1:5" ht="15" x14ac:dyDescent="0.25">
      <c r="A1913" s="5" t="s">
        <v>5468</v>
      </c>
      <c r="B1913" s="6" t="s">
        <v>5469</v>
      </c>
      <c r="C1913" s="3" t="str">
        <f ca="1">IFERROR(__xludf.DUMMYFUNCTION("GOOGLETRANSLATE(B1913,""auto"",""en"")"),"1. The name of the product in appearance: The display component graphic user interface of the display screen panel.
 2. Design product use: The display screen panel is used to display the graphical user interface.
 3. Design of the design of the produ"&amp;"ct in appearance: lies in the graphic user interface.
 4. Pictures or photos that can most indicate design points: main view.
 5. The purpose of graphical user interface: It is used for human -machine interaction and realizing the function of display "&amp;"screen panels, and can be used to display, search, select, increase, arrange,/or edit components for application interfaces or application menus.
 6. Human -computer interaction method of graphical user interface: Graphic user interface can interact wit"&amp;"h light strike, pressing, rolling, or sliding graphics user interface. The square can represent the application icon. By pressing and moving the component to be added to the expected location on the display screen panel, the appearance of the graphic user"&amp;" interface changes from the main view to the change state. Change status Figure 4.
 7. The display screen panel can be applied to computers, laptops, tablets, mobile phones, smartphones, smart phones, smart glasses, watches, smart watches, fitness monit"&amp;"or, wearing headphones, personal digital assistants, smart speakers, TVs, TV , Monitor, projector, set -top box, game machine, navigator, display screen for vehicles; display screen panels are commonly designed, so other views are omitted.")</f>
        <v>1. The name of the product in appearance: The display component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graphical user interface: It is used for human -machine interaction and realizing the function of display screen panels, and can be used to display, search, select, increase, arrange,/or edit components for application interfaces or application menus.
 6. Human -computer interaction method of graphical user interface: Graphic user interface can interact with light strike, pressing, rolling, or sliding graphics user interface. The square can represent the application icon. By pressing and moving the component to be added to the expected location on the display screen panel, the appearance of the graphic user interface changes from the main view to the change state. Change status Figure 4.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13" s="6" t="s">
        <v>5470</v>
      </c>
      <c r="E1913" s="4" t="str">
        <f ca="1">IFERROR(__xludf.DUMMYFUNCTION("GOOGLETRANSLATE(D1913,""auto"",""en"")"),"Display screen panel arrangement component graphics user interface")</f>
        <v>Display screen panel arrangement component graphics user interface</v>
      </c>
    </row>
    <row r="1914" spans="1:5" ht="15" x14ac:dyDescent="0.25">
      <c r="A1914" s="5" t="s">
        <v>5471</v>
      </c>
      <c r="B1914" s="6" t="s">
        <v>5472</v>
      </c>
      <c r="C1914" s="3" t="str">
        <f ca="1">IFERROR(__xludf.DUMMYFUNCTION("GOOGLETRANSLATE(B1914,""auto"",""en"")"),"1.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-machi"&amp;"ne interaction and implementation of the display screen panel, and can be used to display and/or load the application icon and/or sequential components.
 7. Human -computer interaction method of graphical user interface: Graphic user interface can inter"&amp;"act with light strike, pressing, rolling, or sliding graphics user interface.
 8. Design 1 Request to protect color.
 显示屏幕面板可以应用于计算机、笔记本电脑、显示装置、通讯设备、多媒体设备、信息终端、便携式通讯设备、便携式多媒体设备、便携式信息终端、平板电脑、手机、智能手机、可穿戴设备、手表、智能Watch, fitness monitor, headset headphones"&amp;", personal digital assistants, smart speakers, TV, monitor, projector, display system, set -top box, game machine, navigator display device The screen panel is commonly designed, so other views are omitted.")</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-machine interaction and implementation of the display screen panel, and can be used to display and/or load the application icon and/or sequential components.
 7. Human -computer interaction method of graphical user interface: Graphic user interface can interact with light strike, pressing, rolling, or sliding graphics user interface.
 8. Design 1 Request to protect color.
 显示屏幕面板可以应用于计算机、笔记本电脑、显示装置、通讯设备、多媒体设备、信息终端、便携式通讯设备、便携式多媒体设备、便携式信息终端、平板电脑、手机、智能手机、可穿戴设备、手表、智能Watch, fitness monitor, headset headphones, personal digital assistants, smart speakers, TV, monitor, projector, display system, set -top box, game machine, navigator display device The screen panel is commonly designed, so other views are omitted.</v>
      </c>
      <c r="D1914" s="6" t="s">
        <v>5442</v>
      </c>
      <c r="E1914" s="4" t="str">
        <f ca="1">IFERROR(__xludf.DUMMYFUNCTION("GOOGLETRANSLATE(D1914,""auto"",""en"")"),"The display of the display application icon of the display screen panel")</f>
        <v>The display of the display application icon of the display screen panel</v>
      </c>
    </row>
    <row r="1915" spans="1:5" ht="15" x14ac:dyDescent="0.25">
      <c r="A1915" s="5" t="s">
        <v>5473</v>
      </c>
      <c r="B1915" s="6" t="s">
        <v>5474</v>
      </c>
      <c r="C1915" s="3" t="str">
        <f ca="1">IFERROR(__xludf.DUMMYFUNCTION("GOOGLETRANSLATE(B1915,""auto"",""en"")"),"Using public data and big data, we provide a method for outdoor training matching platforms. Anyone can receive customized training from professional coaches at a reasonable cost without space restrictions.
  Methods to provide outdoor training matching"&amp;" platform include at least one of the use of at least one in the use of big data and public data in the server. Steps to enter user information from the user terminal and transmit to the server; send the training plan to the user terminal by handling coac"&amp;"h information, class information, outdoor location information and user information in the server; approve and pay the training plan in the user terminal.")</f>
        <v>Using public data and big data, we provide a method for outdoor training matching platforms. Anyone can receive customized training from professional coaches at a reasonable cost without space restrictions.
  Methods to provide outdoor training matching platform include at least one of the use of at least one in the use of big data and public data in the server. Steps to enter user information from the user terminal and transmit to the server; send the training plan to the user terminal by handling coach information, class information, outdoor location information and user information in the server; approve and pay the training plan in the user terminal.</v>
      </c>
      <c r="D1915" s="6" t="s">
        <v>5475</v>
      </c>
      <c r="E1915" s="4" t="str">
        <f ca="1">IFERROR(__xludf.DUMMYFUNCTION("GOOGLETRANSLATE(D1915,""auto"",""en"")"),"How to provide an outdoor training matching platform based on artificial intelligence")</f>
        <v>How to provide an outdoor training matching platform based on artificial intelligence</v>
      </c>
    </row>
    <row r="1916" spans="1:5" ht="15" x14ac:dyDescent="0.25">
      <c r="A1916" s="5" t="s">
        <v>5476</v>
      </c>
      <c r="B1916" s="6" t="s">
        <v>5477</v>
      </c>
      <c r="C1916" s="3" t="str">
        <f ca="1">IFERROR(__xludf.DUMMYFUNCTION("GOOGLETRANSLATE(B1916,""auto"",""en"")"),"1. Design product name: The display of the graphical user interface of the display application icon of the display screen panel.
 2. Design product use: The display screen panel is used to display the graphical user interface.
 3. Design of design pro"&amp;"ducts in this exterior: graphic user interface.
 4. Pictures or photos that can most indicate design points: main view.
 5. Interface use: used for human -machine interaction and implementation of the display screen panel, and can be used to display a"&amp;"nd/or load application icons and parts.
 6. Human -machine interaction method: Graphic user interface can interact with light strike, pressing, rolling, or sliding graphics user interface.
 7. Other situations that need to be described: The display sc"&amp;"reen panel can be applied to computers, laptops, tablets, mobile phones, smartphones, smart phones, smart glasses, watches, smart watches, fitness monitor, headset headphones, personal numbers, personal numbers Assistant, smart speakers, TV, monitor, proj"&amp;"ector, set -top box, game machine, navigator, display screen for vehicles; display screen panels are commonly designed, so other views are omitted.")</f>
        <v>1. Design product name: The display of the graphical user interface of the display application icon of the display screen panel.
 2. Design product use: The display screen panel is used to display the graphical user interface.
 3. Design of design products in this exterior: graphic user interface.
 4. Pictures or photos that can most indicate design points: main view.
 5. Interface use: used for human -machine interaction and implementation of the display screen panel, and can be used to display and/or load application icons and parts.
 6. Human -machine interaction method: Graphic user interface can interact with light strike, pressing, rolling, or sliding graphics user interface.
 7. Other situations that need to be described: The display screen panel can be applied to computers, laptops, tablets, mobile phones, smartphones, smart phones, smart glasses, watches, smart watches, fitness monitor, headset headphones, personal numbers, personal numbers Assistant, smart speakers, TV, monitor, projector, set -top box, game machine, navigator, display screen for vehicles; display screen panels are commonly designed, so other views are omitted.</v>
      </c>
      <c r="D1916" s="6" t="s">
        <v>5442</v>
      </c>
      <c r="E1916" s="4" t="str">
        <f ca="1">IFERROR(__xludf.DUMMYFUNCTION("GOOGLETRANSLATE(D1916,""auto"",""en"")"),"The display of the display application icon of the display screen panel")</f>
        <v>The display of the display application icon of the display screen panel</v>
      </c>
    </row>
    <row r="1917" spans="1:5" ht="15" x14ac:dyDescent="0.25">
      <c r="A1917" s="5" t="s">
        <v>5478</v>
      </c>
      <c r="B1917" s="6" t="s">
        <v>5441</v>
      </c>
      <c r="C1917" s="3" t="str">
        <f ca="1">IFERROR(__xludf.DUMMYFUNCTION("GOOGLETRANSLATE(B1917,""auto"",""en"")"),"1. Design product name: The display of the graphical user interface of the display application icon of the display screen panel.
 2. Design product use: The display screen panel is used to display the graphical user interface.
 3. Design of the design"&amp;" of the product in appearance: lies in the graphic user interface.
 4. Pictures or photos that can best show design: Design 1 main view.
 5. Specify design 1 is the basic design.
 6. The purpose of the graphical user interface: used for human -compu"&amp;"ter interaction and implementation of the display screen panel, and can be used to display and/or load the application icon and parts.
 7. Human -computer interaction method of graphical user interface: Graphic user interface can interact with light str"&amp;"ike, pressing, rolling, or sliding graphics user interface.
 8. Design 1 Request to protect color.
 The display screen panel can be applied to computers, laptops, tablet computers, mobile phones, smartphones, smart bracelets, smart glasses, watches, s"&amp;"mart watches, fitness monitors, headset headphones, personal digital assistants, smart speakers, TV, surveillance, surveillance Instruments, projectors, set -top boxes, game machines, navigators, display devices for vehicles; display screen panels are com"&amp;"monly designed, so they omit other views.")</f>
        <v>1. Design product name: The display of the graphical user interface of the display application icon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-computer interaction and implementation of the display screen panel, and can be used to display and/or load the application icon and parts.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devices for vehicles; display screen panels are commonly designed, so they omit other views.</v>
      </c>
      <c r="D1917" s="6" t="s">
        <v>5442</v>
      </c>
      <c r="E1917" s="4" t="str">
        <f ca="1">IFERROR(__xludf.DUMMYFUNCTION("GOOGLETRANSLATE(D1917,""auto"",""en"")"),"The display of the display application icon of the display screen panel")</f>
        <v>The display of the display application icon of the display screen panel</v>
      </c>
    </row>
    <row r="1918" spans="1:5" ht="15" x14ac:dyDescent="0.25">
      <c r="A1918" s="5" t="s">
        <v>5479</v>
      </c>
      <c r="B1918" s="6" t="s">
        <v>5480</v>
      </c>
      <c r="C1918" s="3" t="str">
        <f ca="1">IFERROR(__xludf.DUMMYFUNCTION("GOOGLETRANSLATE(B1918,""auto"",""en"")"),"1. The name of the product in this exterior: The component of the display screen panel display the graphical user interface.
 2. Design product use: The display screen panel is used to display the graphical user interface.
 3. Design of the design of "&amp;"the product in appearance: lies in the graphic user interface.
 4. Pictures or photos that can best show design: Design 1 main view.
 5. Specify design 1 is the basic design.
 6. The purpose of graphical user interface: used for human -computer inte"&amp;"raction and implementation of the display screen panel, and can be used for display, search, select, increase, arrange,/or editors for application interface or application menu.
 7. Human -computer interaction method of graphical user interface: Graphic"&amp;" user interface can interact with light strike, pressing, rolling, or sliding graphics user interface.
 8. Design 1 Request to protect color.
 The display screen panel can be applied to computers, laptops, tablet computers, mobile phones, smartphones,"&amp;" smart bracelets, smart glasses, watches, smart watches, fitness monitors, headset headphones, personal digital assistants, smart speakers, TV, surveillance, surveillance Instruments, projectors, set -top boxes, game machines, navigators, display screens "&amp;"for vehicles; display screen panels are commonly designed, so other views are omitted.")</f>
        <v>1. The name of the product in this exterior: The component of the display screen panel display the graphical user interface.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used for human -computer interaction and implementation of the display screen panel, and can be used for display, search, select, increase, arrange,/or editors for application interface or application menu.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18" s="6" t="s">
        <v>5481</v>
      </c>
      <c r="E1918" s="4" t="str">
        <f ca="1">IFERROR(__xludf.DUMMYFUNCTION("GOOGLETRANSLATE(D1918,""auto"",""en"")"),"The component of the display screen panel display the graphical user interface")</f>
        <v>The component of the display screen panel display the graphical user interface</v>
      </c>
    </row>
    <row r="1919" spans="1:5" ht="15" x14ac:dyDescent="0.25">
      <c r="A1919" s="5" t="s">
        <v>5482</v>
      </c>
      <c r="B1919" s="6" t="s">
        <v>5435</v>
      </c>
      <c r="C1919" s="3" t="str">
        <f ca="1">IFERROR(__xludf.DUMMYFUNCTION("GOOGLETRANSLATE(B1919,""auto"",""en"")"),"A manual neural network architecture is provided to handle the original audio waveform to create a speaker who is not related to text verification and recognition. The artificial neural network architecture includes a step -by -step convolution layer, the"&amp;" residual block connected by the first and second sequences, a transformer layer, and a final complete connection (FC) layer. The step -by -step convolutional layer is configured to receive the original audio waveform from the speaker. The first and secon"&amp;"d residual blocks include multiple convolutional layers and maximum pooling layers. The converter layer is configured to embed the frame level into the discourse level. The output of the FC layer creates a speaker input to the speaker of its original audi"&amp;"o waveform into the step -by -step layer.")</f>
        <v>A manual neural network architecture is provided to handle the original audio waveform to create a speaker who is not related to text verification and recognition. The artificial neural network architecture includes a step -by -step convolution layer, the residual block connected by the first and second sequences, a transformer layer, and a final complete connection (FC) layer. The step -by -step convolutional layer is configured to receive the original audio waveform from the speaker. The first and second residual blocks include multiple convolutional layers and maximum pooling layers. The converter layer is configured to embed the frame level into the discourse level. The output of the FC layer creates a speaker input to the speaker of its original audio waveform into the step -by -step layer.</v>
      </c>
      <c r="D1919" s="6" t="s">
        <v>5436</v>
      </c>
      <c r="E1919" s="4" t="str">
        <f ca="1">IFERROR(__xludf.DUMMYFUNCTION("GOOGLETRANSLATE(D1919,""auto"",""en"")"),"Use deep learning on the original waveform to verify on the media operating system that has nothing to do with text.")</f>
        <v>Use deep learning on the original waveform to verify on the media operating system that has nothing to do with text.</v>
      </c>
    </row>
    <row r="1920" spans="1:5" ht="15" x14ac:dyDescent="0.25">
      <c r="A1920" s="5" t="s">
        <v>5483</v>
      </c>
      <c r="B1920" s="6" t="s">
        <v>5484</v>
      </c>
      <c r="C1920" s="3" t="str">
        <f ca="1">IFERROR(__xludf.DUMMYFUNCTION("GOOGLETRANSLATE(B1920,""auto"",""en"")"),"1. Design product name: Navigation graphic user interface of the display screen panel.
 2. Design product use: The display screen panel is used to display the graphical user interface.
 3. Design of the design of the product in appearance: lies in the"&amp;" graphic user interface.
 4. Pictures or photos that can best show design: Design 1 main view.
 5. Specify design 1 is the basic design.
 6. The purpose of the graphical user interface: for human -machine interaction and implementation of the displa"&amp;"y screen panel, and can be used to display information on the map, navigate, view and/or position positions on the map.
 7. Human -machine interaction method of graphical user interface: Graphic user interface can interact through touch, light strike, s"&amp;"liding, or rolling graphical user interface.
 8. Design 1 Request to protect color.
 The display screen panel can be applied to computers, laptops, tablet computers, mobile phones, smartphones, smart bracelets, smart glasses, watches, smart watches, f"&amp;"itness monitors, headset headphones, personal digital assistants, smart speakers, TV, surveillance, surveillance The display of the instrument, projector, set -top box, game machine, navigator, and vehicle; the display screen panel is commonly designed, s"&amp;"o other views are omitted.")</f>
        <v>1. Design product name: Navigation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to display information on the map, navigate, view and/or position positions on the map.
 7. Human -machine interaction method of graphical user interface: Graphic user interface can interact through touch, light strike, sliding, or rolling graphical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The display of the instrument, projector, set -top box, game machine, navigator, and vehicle; the display screen panel is commonly designed, so other views are omitted.</v>
      </c>
      <c r="D1920" s="6" t="s">
        <v>5485</v>
      </c>
      <c r="E1920" s="4" t="str">
        <f ca="1">IFERROR(__xludf.DUMMYFUNCTION("GOOGLETRANSLATE(D1920,""auto"",""en"")"),"Navigation graphical user interface of display screen panel")</f>
        <v>Navigation graphical user interface of display screen panel</v>
      </c>
    </row>
    <row r="1921" spans="1:5" ht="15" x14ac:dyDescent="0.25">
      <c r="A1921" s="5" t="s">
        <v>5486</v>
      </c>
      <c r="B1921" s="6" t="s">
        <v>5487</v>
      </c>
      <c r="C1921" s="3" t="str">
        <f ca="1">IFERROR(__xludf.DUMMYFUNCTION("GOOGLETRANSLATE(B1921,""auto"",""en"")"),"1. Design product name: The graphic user interface for displaying the target on the map for display screen panels.
 2. Design product use: The display screen panel is used to display the graphical user interface.
 3. Design of the design of the produc"&amp;"t in appearance: lies in the graphic user interface.
 4. Pictures or photos that can best show design: Design 1 main view.
 5. Specify design 1 is the basic design.
 6. The purpose of the graphical user interface: for human -machine interaction and "&amp;"realizing the function of display screen panels, and can be used to display the target such as charging stations on the map.
 7. Human -machine interaction method of graphical user interface: Graphic user interface can interact through touch, light stri"&amp;"ke, sliding, or rolling graphical user interface.
 8. Design 1 Request to protect color.
 The display screen panel can be applied to computers, laptops, tablet computers, mobile phones, smartphones, smart bracelets, smart glasses, watches, smart watch"&amp;"es, fitness monitors, headset headphones, personal digital assistants, smart speakers, TV, surveillance, surveillance Instruments, projectors, set -top boxes, game machines, navigators, display screens for vehicles; display screen panels are commonly desi"&amp;"gned, so other views are omitted.")</f>
        <v>1. Design product name: The graphic user interface for displaying the target on the map for display screen panels.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to display the target such as charging stations on the map.
 7. Human -machine interaction method of graphical user interface: Graphic user interface can interact through touch, light strike, sliding, or rolling graphical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21" s="6" t="s">
        <v>5488</v>
      </c>
      <c r="E1921" s="4" t="str">
        <f ca="1">IFERROR(__xludf.DUMMYFUNCTION("GOOGLETRANSLATE(D1921,""auto"",""en"")"),"The graphic user interface for displaying the target on the map with the display screen panel")</f>
        <v>The graphic user interface for displaying the target on the map with the display screen panel</v>
      </c>
    </row>
    <row r="1922" spans="1:5" ht="15" x14ac:dyDescent="0.25">
      <c r="A1922" s="5" t="s">
        <v>5489</v>
      </c>
      <c r="B1922" s="6" t="s">
        <v>5490</v>
      </c>
      <c r="C1922" s="3" t="str">
        <f ca="1">IFERROR(__xludf.DUMMYFUNCTION("GOOGLETRANSLATE(B1922,""auto"",""en"")"),"1. Design product name: Navigation graphic user interface of the display screen panel.
 2. Design product use: The display screen panel is used to display the graphical user interface.
 3. Design of the design of the product in appearance: lies in the"&amp;" graphic user interface.
 4. Pictures or photos that can best show design: Design 1 main view.
 5. Specify design 1 is the basic design.
 6. The purpose of the graphical user interface: for human -machine interaction and implementation of the displa"&amp;"y screen panel, and can be used to display information on the map, navigate, view and/or position positions on the map.
 7. Human -computer interaction method of graphical user interface: Graphic user interface can interact through touch, light strike, "&amp;"sliding, or rolling graphical user interface, including navigation to the destination by clicking the path option, and selecting the navigation mode by clicking the button.
 8. Design 1. Design 3 and design 5 Request protection colors.
 The display sc"&amp;"reen panel can be applied to computers, laptops, tablet computers, mobile phones, smartphones, smart bracelets, smart glasses, watches, smart watches, fitness monitors, headset headphones, personal digital assistants, smart speakers, TV, surveillance, sur"&amp;"veillance Instruments, projectors, set -top boxes, game machines, navigators, display screens for vehicles; display screen panels are commonly designed, so other views are omitted.")</f>
        <v>1. Design product name: Navigation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to display information on the map, navigate, view and/or position positions on the map.
 7. Human -computer interaction method of graphical user interface: Graphic user interface can interact through touch, light strike, sliding, or rolling graphical user interface, including navigation to the destination by clicking the path option, and selecting the navigation mode by clicking the button.
 8. Design 1. Design 3 and design 5 Request protection colors.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22" s="6" t="s">
        <v>5485</v>
      </c>
      <c r="E1922" s="4" t="str">
        <f ca="1">IFERROR(__xludf.DUMMYFUNCTION("GOOGLETRANSLATE(D1922,""auto"",""en"")"),"Navigation graphical user interface of display screen panel")</f>
        <v>Navigation graphical user interface of display screen panel</v>
      </c>
    </row>
    <row r="1923" spans="1:5" ht="15" x14ac:dyDescent="0.25">
      <c r="A1923" s="5" t="s">
        <v>5491</v>
      </c>
      <c r="B1923" s="6" t="s">
        <v>5492</v>
      </c>
      <c r="C1923" s="3" t="str">
        <f ca="1">IFERROR(__xludf.DUMMYFUNCTION("GOOGLETRANSLATE(B1923,""auto"",""en"")"),"The present invention disclosed the method of deleting the handwriting bodies based on deep learning. The data set used in the model training of the present invention is ICDAR/GREC 2013 handwriting five -line spectrum delete the game data set, and the dat"&amp;"a set is enhanced. The invention uses 3 Different data enhancement methods. The handwriting of the present invention deletes the depth convolutional neural network model, which will contain the model of the score image input, and the direct output of the "&amp;"model not containing the score image of the score image. This method introduces rotation, the score line is intermittent, and the thickens of the spectrum line are thicker to simulate the score in natural scenes and improve the generalization of the model"&amp;". The deletion model of the handwritten music spectrum line was proposed, and the accuracy of the deletion of 99.3 % was achieved. In real -time, it only takes 14.85 seconds to complete a 1024*2048 -size score image. Essence")</f>
        <v>The present invention disclosed the method of deleting the handwriting bodies based on deep learning. The data set used in the model training of the present invention is ICDAR/GREC 2013 handwriting five -line spectrum delete the game data set, and the data set is enhanced. The invention uses 3 Different data enhancement methods. The handwriting of the present invention deletes the depth convolutional neural network model, which will contain the model of the score image input, and the direct output of the model not containing the score image of the score image. This method introduces rotation, the score line is intermittent, and the thickens of the spectrum line are thicker to simulate the score in natural scenes and improve the generalization of the model. The deletion model of the handwritten music spectrum line was proposed, and the accuracy of the deletion of 99.3 % was achieved. In real -time, it only takes 14.85 seconds to complete a 1024*2048 -size score image. Essence</v>
      </c>
      <c r="D1923" s="6" t="s">
        <v>5493</v>
      </c>
      <c r="E1923" s="4" t="str">
        <f ca="1">IFERROR(__xludf.DUMMYFUNCTION("GOOGLETRANSLATE(D1923,""auto"",""en"")"),"Method for deletion of handwritten music spectrum based on deep learning")</f>
        <v>Method for deletion of handwritten music spectrum based on deep learning</v>
      </c>
    </row>
    <row r="1924" spans="1:5" ht="15" x14ac:dyDescent="0.25">
      <c r="A1924" s="5" t="s">
        <v>5494</v>
      </c>
      <c r="B1924" s="6" t="s">
        <v>5495</v>
      </c>
      <c r="C1924" s="3" t="str">
        <f ca="1">IFERROR(__xludf.DUMMYFUNCTION("GOOGLETRANSLATE(B1924,""auto"",""en"")"),"The invention provides a touch system and method in a navigation simulator. The system includes the coaching module, the simulator, and several shipping modules; the coaching module is used to initialize the training data of the simulator to train the sub"&amp;"ject; Haitu unit and car clock/rudder wheel information collection unit; on the one hand, the simulator is used to simulate the navigation environment data of the ship based on the training data, and on the other hand, the direction and speed of the opera"&amp;"ting data simulation ship control the data simulation of the data simulation ship. Operating status. The present invention uses a touch -type operation to integrate the original navigation simulator driving table hardware equipment, realize the human -com"&amp;"puter interaction between students and the simulator, and effectively solve the number of hardware operation panels of existing simulator driving tables, occupying space, occupying space Large problems reduce the complexity of user operations.")</f>
        <v>The invention provides a touch system and method in a navigation simulator. The system includes the coaching module, the simulator, and several shipping modules; the coaching module is used to initialize the training data of the simulator to train the subject; Haitu unit and car clock/rudder wheel information collection unit; on the one hand, the simulator is used to simulate the navigation environment data of the ship based on the training data, and on the other hand, the direction and speed of the operating data simulation ship control the data simulation of the data simulation ship. Operating status. The present invention uses a touch -type operation to integrate the original navigation simulator driving table hardware equipment, realize the human -computer interaction between students and the simulator, and effectively solve the number of hardware operation panels of existing simulator driving tables, occupying space, occupying space Large problems reduce the complexity of user operations.</v>
      </c>
      <c r="D1924" s="6" t="s">
        <v>5496</v>
      </c>
      <c r="E1924" s="4" t="str">
        <f ca="1">IFERROR(__xludf.DUMMYFUNCTION("GOOGLETRANSLATE(D1924,""auto"",""en"")"),"A touch system and method in a navigation simulator")</f>
        <v>A touch system and method in a navigation simulator</v>
      </c>
    </row>
    <row r="1925" spans="1:5" ht="15" x14ac:dyDescent="0.25">
      <c r="A1925" s="5" t="s">
        <v>5497</v>
      </c>
      <c r="B1925" s="6" t="s">
        <v>5498</v>
      </c>
      <c r="C1925" s="3" t="str">
        <f ca="1">IFERROR(__xludf.DUMMYFUNCTION("GOOGLETRANSLATE(B1925,""auto"",""en"")"),"1.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best show design: Design 1 main view.
 5. Specify design 1 is the basic design.
 6. The purpose of the graphical user interface: for human -machine interaction and realizing"&amp;" the function of display screen panels, and can be used for information communication.
 7. Human -machine interaction method of graphical user interface: Graphic user interface can interact through touch, light strike, sliding, or rolling graphical user"&amp;" interface.
 8. The display screen panel can be applied to computers, laptops, tablets, mobile phones, smartphones, smart mobile phones, smart glasses, watches, smart watches, fitness monitor, wearing headphones, personal digital assistants, smart speak"&amp;"ers, TVs, TV , Monitor, projector, set -top box,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for information communication.
 7. Human -machine interaction method of graphical user interface: Graphic user interface can interact through touch, light strike, sliding, or rolling graphical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25" s="6" t="s">
        <v>5499</v>
      </c>
      <c r="E1925" s="4" t="str">
        <f ca="1">IFERROR(__xludf.DUMMYFUNCTION("GOOGLETRANSLATE(D1925,""auto"",""en"")"),"Information communication graphical user interface of display screen panel")</f>
        <v>Information communication graphical user interface of display screen panel</v>
      </c>
    </row>
    <row r="1926" spans="1:5" ht="15" x14ac:dyDescent="0.25">
      <c r="A1926" s="5" t="s">
        <v>5500</v>
      </c>
      <c r="B1926" s="6" t="s">
        <v>5501</v>
      </c>
      <c r="C1926" s="3" t="str">
        <f ca="1">IFERROR(__xludf.DUMMYFUNCTION("GOOGLETRANSLATE(B1926,""auto"",""en"")"),"1.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 bracelets, smart glasses, watches, smart watches, fitness monitor, headset headphones, personal digital assistants, smart speakers, TV, monitor, monitor, monitor , Projector, set -top b"&amp;"ox,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 bracelets, smart glasses, watches, smart watches, fitness monitor, headset headphones, personal digital assistants, smart speakers, TV, monitor, monitor, monitor , Projector, set -top box, game machine, navigator, display device for vehicles; display screen panels are commonly designed, so other views are omitted.</v>
      </c>
      <c r="D1926" s="6" t="s">
        <v>5499</v>
      </c>
      <c r="E1926" s="4" t="str">
        <f ca="1">IFERROR(__xludf.DUMMYFUNCTION("GOOGLETRANSLATE(D1926,""auto"",""en"")"),"Information communication graphical user interface of display screen panel")</f>
        <v>Information communication graphical user interface of display screen panel</v>
      </c>
    </row>
    <row r="1927" spans="1:5" ht="15" x14ac:dyDescent="0.25">
      <c r="A1927" s="5" t="s">
        <v>5502</v>
      </c>
      <c r="B1927" s="6" t="s">
        <v>5503</v>
      </c>
      <c r="C1927" s="3" t="str">
        <f ca="1">IFERROR(__xludf.DUMMYFUNCTION("GOOGLETRANSLATE(B1927,""auto"",""en"")"),"1.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27" s="6" t="s">
        <v>5499</v>
      </c>
      <c r="E1927" s="4" t="str">
        <f ca="1">IFERROR(__xludf.DUMMYFUNCTION("GOOGLETRANSLATE(D1927,""auto"",""en"")"),"Information communication graphical user interface of display screen panel")</f>
        <v>Information communication graphical user interface of display screen panel</v>
      </c>
    </row>
    <row r="1928" spans="1:5" ht="15" x14ac:dyDescent="0.25">
      <c r="A1928" s="5" t="s">
        <v>5504</v>
      </c>
      <c r="B1928" s="6" t="s">
        <v>5503</v>
      </c>
      <c r="C1928" s="3" t="str">
        <f ca="1">IFERROR(__xludf.DUMMYFUNCTION("GOOGLETRANSLATE(B1928,""auto"",""en"")"),"1.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28" s="6" t="s">
        <v>5499</v>
      </c>
      <c r="E1928" s="4" t="str">
        <f ca="1">IFERROR(__xludf.DUMMYFUNCTION("GOOGLETRANSLATE(D1928,""auto"",""en"")"),"Information communication graphical user interface of display screen panel")</f>
        <v>Information communication graphical user interface of display screen panel</v>
      </c>
    </row>
    <row r="1929" spans="1:5" ht="15" x14ac:dyDescent="0.25">
      <c r="A1929" s="5" t="s">
        <v>5505</v>
      </c>
      <c r="B1929" s="6" t="s">
        <v>5506</v>
      </c>
      <c r="C1929" s="3" t="str">
        <f ca="1">IFERROR(__xludf.DUMMYFUNCTION("GOOGLETRANSLATE(B1929,""auto"",""en"")"),"1. Design product name: The graphic user interface of the display status of the display screen panel.
 2. Design product use: The display screen panel is used to display the graphical user interface.
 3. Design of the design of the product in appearan"&amp;"ce: lies in the graphic user interface.
 4. Pictures or photos that can best show design: Design 1 main view.
 5. Specify design 1 is the basic design.
 6. The purpose of graphical user interface: It is used for human -computer interaction and reali"&amp;"zing the function of display screen panels, and can be used for display status, including virtual assistant or voice activation application.
 7. Human -computer interaction method of graphical user interface: Graphic user interface can interact through "&amp;"voice, speaking, or interact with touch or lightly hit the graphical user interface.
 8. Design 1 Request to protect color.
 The display screen panel can be applied to computers, laptops, tablet computers, mobile phones, smartphones, smart bracelets, "&amp;"smart glasses, watches, smart watches, fitness monitors, headset headphones, personal digital assistants, smart speakers, TV, surveillance, surveillance Instruments, projectors, set -top boxes, game machines, navigators, display devices for vehicles; disp"&amp;"lay screen panels are commonly designed, so they omit other views.")</f>
        <v>1. Design product name: The graphic user interface of the display status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It is used for human -computer interaction and realizing the function of display screen panels, and can be used for display status, including virtual assistant or voice activation application.
 7. Human -computer interaction method of graphical user interface: Graphic user interface can interact through voice, speaking, or interact with touch or lightly hit the graphical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devices for vehicles; display screen panels are commonly designed, so they omit other views.</v>
      </c>
      <c r="D1929" s="6" t="s">
        <v>5507</v>
      </c>
      <c r="E1929" s="4" t="str">
        <f ca="1">IFERROR(__xludf.DUMMYFUNCTION("GOOGLETRANSLATE(D1929,""auto"",""en"")"),"The graphic user interface of the display state of the display screen panel")</f>
        <v>The graphic user interface of the display state of the display screen panel</v>
      </c>
    </row>
    <row r="1930" spans="1:5" ht="15" x14ac:dyDescent="0.25">
      <c r="A1930" s="5" t="s">
        <v>5508</v>
      </c>
      <c r="B1930" s="6" t="s">
        <v>5498</v>
      </c>
      <c r="C1930" s="3" t="str">
        <f ca="1">IFERROR(__xludf.DUMMYFUNCTION("GOOGLETRANSLATE(B1930,""auto"",""en"")"),"1.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best show design: Design 1 main view.
 5. Specify design 1 is the basic design.
 6. The purpose of the graphical user interface: for human -machine interaction and realizing"&amp;" the function of display screen panels, and can be used for information communication.
 7. Human -machine interaction method of graphical user interface: Graphic user interface can interact through touch, light strike, sliding, or rolling graphical user"&amp;" interface.
 8. The display screen panel can be applied to computers, laptops, tablets, mobile phones, smartphones, smart mobile phones, smart glasses, watches, smart watches, fitness monitor, wearing headphones, personal digital assistants, smart speak"&amp;"ers, TVs, TV , Monitor, projector, set -top box,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for information communication.
 7. Human -machine interaction method of graphical user interface: Graphic user interface can interact through touch, light strike, sliding, or rolling graphical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30" s="6" t="s">
        <v>5499</v>
      </c>
      <c r="E1930" s="4" t="str">
        <f ca="1">IFERROR(__xludf.DUMMYFUNCTION("GOOGLETRANSLATE(D1930,""auto"",""en"")"),"Information communication graphical user interface of display screen panel")</f>
        <v>Information communication graphical user interface of display screen panel</v>
      </c>
    </row>
    <row r="1931" spans="1:5" ht="15" x14ac:dyDescent="0.25">
      <c r="A1931" s="5" t="s">
        <v>5509</v>
      </c>
      <c r="B1931" s="6" t="s">
        <v>5503</v>
      </c>
      <c r="C1931" s="3" t="str">
        <f ca="1">IFERROR(__xludf.DUMMYFUNCTION("GOOGLETRANSLATE(B1931,""auto"",""en"")"),"1.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31" s="6" t="s">
        <v>5499</v>
      </c>
      <c r="E1931" s="4" t="str">
        <f ca="1">IFERROR(__xludf.DUMMYFUNCTION("GOOGLETRANSLATE(D1931,""auto"",""en"")"),"Information communication graphical user interface of display screen panel")</f>
        <v>Information communication graphical user interface of display screen panel</v>
      </c>
    </row>
    <row r="1932" spans="1:5" ht="15" x14ac:dyDescent="0.25">
      <c r="A1932" s="5" t="s">
        <v>5510</v>
      </c>
      <c r="B1932" s="6" t="s">
        <v>5503</v>
      </c>
      <c r="C1932" s="3" t="str">
        <f ca="1">IFERROR(__xludf.DUMMYFUNCTION("GOOGLETRANSLATE(B1932,""auto"",""en"")"),"1.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32" s="6" t="s">
        <v>5499</v>
      </c>
      <c r="E1932" s="4" t="str">
        <f ca="1">IFERROR(__xludf.DUMMYFUNCTION("GOOGLETRANSLATE(D1932,""auto"",""en"")"),"Information communication graphical user interface of display screen panel")</f>
        <v>Information communication graphical user interface of display screen panel</v>
      </c>
    </row>
    <row r="1933" spans="1:5" ht="15" x14ac:dyDescent="0.25">
      <c r="A1933" s="5" t="s">
        <v>5511</v>
      </c>
      <c r="B1933" s="6" t="s">
        <v>5498</v>
      </c>
      <c r="C1933" s="3" t="str">
        <f ca="1">IFERROR(__xludf.DUMMYFUNCTION("GOOGLETRANSLATE(B1933,""auto"",""en"")"),"1.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best show design: Design 1 main view.
 5. Specify design 1 is the basic design.
 6. The purpose of the graphical user interface: for human -machine interaction and realizing"&amp;" the function of display screen panels, and can be used for information communication.
 7. Human -machine interaction method of graphical user interface: Graphic user interface can interact through touch, light strike, sliding, or rolling graphical user"&amp;" interface.
 8. The display screen panel can be applied to computers, laptops, tablets, mobile phones, smartphones, smart mobile phones, smart glasses, watches, smart watches, fitness monitor, wearing headphones, personal digital assistants, smart speak"&amp;"ers, TVs, TV , Monitor, projector, set -top box,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realizing the function of display screen panels, and can be used for information communication.
 7. Human -machine interaction method of graphical user interface: Graphic user interface can interact through touch, light strike, sliding, or rolling graphical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33" s="6" t="s">
        <v>5499</v>
      </c>
      <c r="E1933" s="4" t="str">
        <f ca="1">IFERROR(__xludf.DUMMYFUNCTION("GOOGLETRANSLATE(D1933,""auto"",""en"")"),"Information communication graphical user interface of display screen panel")</f>
        <v>Information communication graphical user interface of display screen panel</v>
      </c>
    </row>
    <row r="1934" spans="1:5" ht="15" x14ac:dyDescent="0.25">
      <c r="A1934" s="5" t="s">
        <v>5512</v>
      </c>
      <c r="B1934" s="6" t="s">
        <v>5503</v>
      </c>
      <c r="C1934" s="3" t="str">
        <f ca="1">IFERROR(__xludf.DUMMYFUNCTION("GOOGLETRANSLATE(B1934,""auto"",""en"")"),"1.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34" s="6" t="s">
        <v>5499</v>
      </c>
      <c r="E1934" s="4" t="str">
        <f ca="1">IFERROR(__xludf.DUMMYFUNCTION("GOOGLETRANSLATE(D1934,""auto"",""en"")"),"Information communication graphical user interface of display screen panel")</f>
        <v>Information communication graphical user interface of display screen panel</v>
      </c>
    </row>
    <row r="1935" spans="1:5" ht="15" x14ac:dyDescent="0.25">
      <c r="A1935" s="5" t="s">
        <v>5513</v>
      </c>
      <c r="B1935" s="6" t="s">
        <v>5514</v>
      </c>
      <c r="C1935" s="3" t="str">
        <f ca="1">IFERROR(__xludf.DUMMYFUNCTION("GOOGLETRANSLATE(B1935,""auto"",""en"")"),"1. Design product name: Display applications of screen panels and dynamic graphic user interfaces of the components.
 2. Design product use: Screen panels are used to display dynamic graphic user interface.
 3. Design of design products in this exteri"&amp;"or: lies in dynamic graphic user interface.
 4. Pictures or photos that can most indicate design points: main view.
 5. The purpose of the graphical user interface: It is used for human -computer interaction and the function of the screen panel, and c"&amp;"an be used to display and/or load applications or sub -components.
 6. Human -computer interaction method of graphical user interface: dynamic graphic user interface can interact with light strike, pressing, rolling or sliding graphical user interface.
"&amp;" 
 7. Change state of graphical user interface explanation: The appearance of the dynamic graphic user interface changes from the main view to the change state. Figure 1 and change to the change state Figure 2.
 8.屏幕面板可以应用于计算机、笔记本电脑、平板电脑、手机、智能手机、智能手环、智能"&amp;"眼镜、手表、智能手表、健身监视器、头戴式耳机、个人数字助理、智能音箱、电视、 The monitor, projector, set -top box, game machine, navigator, display device for vehicles; screen panels are commonly designed, so other views are omitted.")</f>
        <v>1. Design product name: Display applications of screen panels and dynamic graphic user interfaces of the components.
 2. Design product use: Screen panels are used to display dynamic graphic user interface.
 3. Design of design products in this exterior: lies in dynamic graphic user interface.
 4. Pictures or photos that can most indicate design points: main view.
 5. The purpose of the graphical user interface: It is used for human -computer interaction and the function of the screen panel, and can be used to display and/or load applications or sub -components.
 6. Human -computer interaction method of graphical user interface: dynamic graphic user interface can interact with light strike, pressing, rolling or sliding graphical user interface.
 7. Change state of graphical user interface explanation: The appearance of the dynamic graphic user interface changes from the main view to the change state. Figure 1 and change to the change state Figure 2.
 8.屏幕面板可以应用于计算机、笔记本电脑、平板电脑、手机、智能手机、智能手环、智能眼镜、手表、智能手表、健身监视器、头戴式耳机、个人数字助理、智能音箱、电视、 The monitor, projector, set -top box, game machine, navigator, display device for vehicles; screen panels are commonly designed, so other views are omitted.</v>
      </c>
      <c r="D1935" s="6" t="s">
        <v>5515</v>
      </c>
      <c r="E1935" s="4" t="str">
        <f ca="1">IFERROR(__xludf.DUMMYFUNCTION("GOOGLETRANSLATE(D1935,""auto"",""en"")"),"Display applications of screen panels and dynamic graphic user interfaces")</f>
        <v>Display applications of screen panels and dynamic graphic user interfaces</v>
      </c>
    </row>
    <row r="1936" spans="1:5" ht="15" x14ac:dyDescent="0.25">
      <c r="A1936" s="5" t="s">
        <v>5516</v>
      </c>
      <c r="B1936" s="6" t="s">
        <v>5514</v>
      </c>
      <c r="C1936" s="3" t="str">
        <f ca="1">IFERROR(__xludf.DUMMYFUNCTION("GOOGLETRANSLATE(B1936,""auto"",""en"")"),"1. Design product name: Display applications of screen panels and dynamic graphic user interfaces of the components.
 2. Design product use: Screen panels are used to display dynamic graphic user interface.
 3. Design of design products in this exteri"&amp;"or: lies in dynamic graphic user interface.
 4. Pictures or photos that can most indicate design points: main view.
 5. The purpose of the graphical user interface: It is used for human -computer interaction and the function of the screen panel, and c"&amp;"an be used to display and/or load applications or sub -components.
 6. Human -computer interaction method of graphical user interface: dynamic graphic user interface can interact with light strike, pressing, rolling or sliding graphical user interface.
"&amp;" 
 7. Change state of graphical user interface explanation: The appearance of the dynamic graphic user interface changes from the main view to the change state. Figure 1 and change to the change state Figure 2.
 8.屏幕面板可以应用于计算机、笔记本电脑、平板电脑、手机、智能手机、智能手环、智能"&amp;"眼镜、手表、智能手表、健身监视器、头戴式耳机、个人数字助理、智能音箱、电视、 The monitor, projector, set -top box, game machine, navigator, display device for vehicles; screen panels are commonly designed, so other views are omitted.")</f>
        <v>1. Design product name: Display applications of screen panels and dynamic graphic user interfaces of the components.
 2. Design product use: Screen panels are used to display dynamic graphic user interface.
 3. Design of design products in this exterior: lies in dynamic graphic user interface.
 4. Pictures or photos that can most indicate design points: main view.
 5. The purpose of the graphical user interface: It is used for human -computer interaction and the function of the screen panel, and can be used to display and/or load applications or sub -components.
 6. Human -computer interaction method of graphical user interface: dynamic graphic user interface can interact with light strike, pressing, rolling or sliding graphical user interface.
 7. Change state of graphical user interface explanation: The appearance of the dynamic graphic user interface changes from the main view to the change state. Figure 1 and change to the change state Figure 2.
 8.屏幕面板可以应用于计算机、笔记本电脑、平板电脑、手机、智能手机、智能手环、智能眼镜、手表、智能手表、健身监视器、头戴式耳机、个人数字助理、智能音箱、电视、 The monitor, projector, set -top box, game machine, navigator, display device for vehicles; screen panels are commonly designed, so other views are omitted.</v>
      </c>
      <c r="D1936" s="6" t="s">
        <v>5515</v>
      </c>
      <c r="E1936" s="4" t="str">
        <f ca="1">IFERROR(__xludf.DUMMYFUNCTION("GOOGLETRANSLATE(D1936,""auto"",""en"")"),"Display applications of screen panels and dynamic graphic user interfaces")</f>
        <v>Display applications of screen panels and dynamic graphic user interfaces</v>
      </c>
    </row>
    <row r="1937" spans="1:5" ht="15" x14ac:dyDescent="0.25">
      <c r="A1937" s="5" t="s">
        <v>5517</v>
      </c>
      <c r="B1937" s="6" t="s">
        <v>5518</v>
      </c>
      <c r="C1937" s="3" t="str">
        <f ca="1">IFERROR(__xludf.DUMMYFUNCTION("GOOGLETRANSLATE(B1937,""auto"",""en"")"),"1. Design product name: Information and communication graphic user interface of the display screen panel.
 2. Design product use: The display screen panel is used to display the graphical user interface.
 3. Design of the design of the product in appe"&amp;"arance: lies in the graphic user interface.
 4. Pictures or photos that can most indicate design points: main view.
 5. The purpose of the graphical user interface: for human -machine interaction and realizing the function of display screen panels, an"&amp;"d can be used for information communication.
 6. Human -computer interaction method of graphical user interface: Graphic user interface can interact through touch, light strike, sliding, or rolling graphical user interface.
 7. The display screen pane"&amp;"l can be applied to computers, laptops, tablets, mobile phones, smartphones, smart phones, smart glasses, watches, smart watches, fitness monitor, wearing headphones, personal digital assistants, smart speakers, TVs, TV , Monitor, projector, set -top box,"&amp;" game machine, navigator, display device for vehicles.
 8. The display screen panel is commonly designed, so other views are omitted.")</f>
        <v>1. Design product name: Information and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realizing the function of display screen panels, and can be used for information communication.
 6. Human -computer interaction method of graphical user interface: Graphic user interface can interact through touch, light strike, sliding, or rolling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8. The display screen panel is commonly designed, so other views are omitted.</v>
      </c>
      <c r="D1937" s="6" t="s">
        <v>5499</v>
      </c>
      <c r="E1937" s="4" t="str">
        <f ca="1">IFERROR(__xludf.DUMMYFUNCTION("GOOGLETRANSLATE(D1937,""auto"",""en"")"),"Information communication graphical user interface of display screen panel")</f>
        <v>Information communication graphical user interface of display screen panel</v>
      </c>
    </row>
    <row r="1938" spans="1:5" ht="15" x14ac:dyDescent="0.25">
      <c r="A1938" s="5" t="s">
        <v>5519</v>
      </c>
      <c r="B1938" s="6" t="s">
        <v>5520</v>
      </c>
      <c r="C1938" s="3" t="str">
        <f ca="1">IFERROR(__xludf.DUMMYFUNCTION("GOOGLETRANSLATE(B1938,""auto"",""en"")"),"1. Design product name: Scanning feature display graphics user interface of the display screen panel.
 2. Design product use: The display screen panel is used to display the graphical user interface.
 3. Design of the design of the product in appearan"&amp;"ce: lies in the graphic user interface.
 4. Pictures or photos that can best show design: Design 1 main view.
 5. Specify design 1 is the basic design.
 6. The purpose of the graphical user interface: It is used for human -computer interaction and r"&amp;"ealizing the function of display screen panels, and can be used to display the scanning special symbol.
 7. Human -computer interaction method of graphical user interface: Graphic user interface can interact with light strike or rolling graphics user in"&amp;"terface in order to load the subsequent graphical user interface, and the graphic user interface can be scanned by other electronic devices to from the graphic user interface interface Extract data.
 8. The display screen panel can be applied to compute"&amp;"rs, laptops, tablets, mobile phones, smartphones, smart mobile phones, smart glasses, watches, smart watches, fitness monitor, wearing headphones, personal digital assistants, smart speakers, TVs, TV , Monitor, projector, set -top box, game machine, navig"&amp;"ator, display screen for vehicles; display screen panels are commonly designed, so other views are omitted.")</f>
        <v>1. Design product name: Scanning feature display graphics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to display the scanning special symbol.
 7. Human -computer interaction method of graphical user interface: Graphic user interface can interact with light strike or rolling graphics user interface in order to load the subsequent graphical user interface, and the graphic user interface can be scanned by other electronic devices to from the graphic user interface interface Extract data.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38" s="6" t="s">
        <v>5521</v>
      </c>
      <c r="E1938" s="4" t="str">
        <f ca="1">IFERROR(__xludf.DUMMYFUNCTION("GOOGLETRANSLATE(D1938,""auto"",""en"")"),"Scanning features of the display screen panel display graphical user interface")</f>
        <v>Scanning features of the display screen panel display graphical user interface</v>
      </c>
    </row>
    <row r="1939" spans="1:5" ht="15" x14ac:dyDescent="0.25">
      <c r="A1939" s="5" t="s">
        <v>5522</v>
      </c>
      <c r="B1939" s="6" t="s">
        <v>5520</v>
      </c>
      <c r="C1939" s="3" t="str">
        <f ca="1">IFERROR(__xludf.DUMMYFUNCTION("GOOGLETRANSLATE(B1939,""auto"",""en"")"),"1. Design product name: Scanning feature display graphics user interface of the display screen panel.
 2. Design product use: The display screen panel is used to display the graphical user interface.
 3. Design of the design of the product in appearan"&amp;"ce: lies in the graphic user interface.
 4. Pictures or photos that can best show design: Design 1 main view.
 5. Specify design 1 is the basic design.
 6. The purpose of the graphical user interface: It is used for human -computer interaction and r"&amp;"ealizing the function of display screen panels, and can be used to display the scanning special symbol.
 7. Human -computer interaction method of graphical user interface: Graphic user interface can interact with light strike or rolling graphics user in"&amp;"terface in order to load the subsequent graphical user interface, and the graphic user interface can be scanned by other electronic devices to from the graphic user interface interface Extract data.
 8. The display screen panel can be applied to compute"&amp;"rs, laptops, tablets, mobile phones, smartphones, smart mobile phones, smart glasses, watches, smart watches, fitness monitor, wearing headphones, personal digital assistants, smart speakers, TVs, TV , Monitor, projector, set -top box, game machine, navig"&amp;"ator, display screen for vehicles; display screen panels are commonly designed, so other views are omitted.")</f>
        <v>1. Design product name: Scanning feature display graphics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to display the scanning special symbol.
 7. Human -computer interaction method of graphical user interface: Graphic user interface can interact with light strike or rolling graphics user interface in order to load the subsequent graphical user interface, and the graphic user interface can be scanned by other electronic devices to from the graphic user interface interface Extract data.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39" s="6" t="s">
        <v>5521</v>
      </c>
      <c r="E1939" s="4" t="str">
        <f ca="1">IFERROR(__xludf.DUMMYFUNCTION("GOOGLETRANSLATE(D1939,""auto"",""en"")"),"Scanning features of the display screen panel display graphical user interface")</f>
        <v>Scanning features of the display screen panel display graphical user interface</v>
      </c>
    </row>
    <row r="1940" spans="1:5" ht="15" x14ac:dyDescent="0.25">
      <c r="A1940" s="5" t="s">
        <v>5523</v>
      </c>
      <c r="B1940" s="6" t="s">
        <v>5520</v>
      </c>
      <c r="C1940" s="3" t="str">
        <f ca="1">IFERROR(__xludf.DUMMYFUNCTION("GOOGLETRANSLATE(B1940,""auto"",""en"")"),"1. Design product name: Scanning feature display graphics user interface of the display screen panel.
 2. Design product use: The display screen panel is used to display the graphical user interface.
 3. Design of the design of the product in appearan"&amp;"ce: lies in the graphic user interface.
 4. Pictures or photos that can best show design: Design 1 main view.
 5. Specify design 1 is the basic design.
 6. The purpose of the graphical user interface: It is used for human -computer interaction and r"&amp;"ealizing the function of display screen panels, and can be used to display the scanning special symbol.
 7. Human -computer interaction method of graphical user interface: Graphic user interface can interact with light strike or rolling graphics user in"&amp;"terface in order to load the subsequent graphical user interface, and the graphic user interface can be scanned by other electronic devices to from the graphic user interface interface Extract data.
 8. The display screen panel can be applied to compute"&amp;"rs, laptops, tablets, mobile phones, smartphones, smart mobile phones, smart glasses, watches, smart watches, fitness monitor, wearing headphones, personal digital assistants, smart speakers, TVs, TV , Monitor, projector, set -top box, game machine, navig"&amp;"ator, display screen for vehicles; display screen panels are commonly designed, so other views are omitted.")</f>
        <v>1. Design product name: Scanning feature display graphics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to display the scanning special symbol.
 7. Human -computer interaction method of graphical user interface: Graphic user interface can interact with light strike or rolling graphics user interface in order to load the subsequent graphical user interface, and the graphic user interface can be scanned by other electronic devices to from the graphic user interface interface Extract data.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40" s="6" t="s">
        <v>5521</v>
      </c>
      <c r="E1940" s="4" t="str">
        <f ca="1">IFERROR(__xludf.DUMMYFUNCTION("GOOGLETRANSLATE(D1940,""auto"",""en"")"),"Scanning features of the display screen panel display graphical user interface")</f>
        <v>Scanning features of the display screen panel display graphical user interface</v>
      </c>
    </row>
    <row r="1941" spans="1:5" ht="15" x14ac:dyDescent="0.25">
      <c r="A1941" s="5" t="s">
        <v>5524</v>
      </c>
      <c r="B1941" s="6" t="s">
        <v>5520</v>
      </c>
      <c r="C1941" s="3" t="str">
        <f ca="1">IFERROR(__xludf.DUMMYFUNCTION("GOOGLETRANSLATE(B1941,""auto"",""en"")"),"1. Design product name: Scanning feature display graphics user interface of the display screen panel.
 2. Design product use: The display screen panel is used to display the graphical user interface.
 3. Design of the design of the product in appearan"&amp;"ce: lies in the graphic user interface.
 4. Pictures or photos that can best show design: Design 1 main view.
 5. Specify design 1 is the basic design.
 6. The purpose of the graphical user interface: It is used for human -computer interaction and r"&amp;"ealizing the function of display screen panels, and can be used to display the scanning special symbol.
 7. Human -computer interaction method of graphical user interface: Graphic user interface can interact with light strike or rolling graphics user in"&amp;"terface in order to load the subsequent graphical user interface, and the graphic user interface can be scanned by other electronic devices to from the graphic user interface interface Extract data.
 8. The display screen panel can be applied to compute"&amp;"rs, laptops, tablets, mobile phones, smartphones, smart mobile phones, smart glasses, watches, smart watches, fitness monitor, wearing headphones, personal digital assistants, smart speakers, TVs, TV , Monitor, projector, set -top box, game machine, navig"&amp;"ator, display screen for vehicles; display screen panels are commonly designed, so other views are omitted.")</f>
        <v>1. Design product name: Scanning feature display graphics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to display the scanning special symbol.
 7. Human -computer interaction method of graphical user interface: Graphic user interface can interact with light strike or rolling graphics user interface in order to load the subsequent graphical user interface, and the graphic user interface can be scanned by other electronic devices to from the graphic user interface interface Extract data.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41" s="6" t="s">
        <v>5521</v>
      </c>
      <c r="E1941" s="4" t="str">
        <f ca="1">IFERROR(__xludf.DUMMYFUNCTION("GOOGLETRANSLATE(D1941,""auto"",""en"")"),"Scanning features of the display screen panel display graphical user interface")</f>
        <v>Scanning features of the display screen panel display graphical user interface</v>
      </c>
    </row>
    <row r="1942" spans="1:5" ht="15" x14ac:dyDescent="0.25">
      <c r="A1942" s="5" t="s">
        <v>5525</v>
      </c>
      <c r="B1942" s="6" t="s">
        <v>5526</v>
      </c>
      <c r="C1942" s="3" t="str">
        <f ca="1">IFERROR(__xludf.DUMMYFUNCTION("GOOGLETRANSLATE(B1942,""auto"",""en"")"),"1. Design product name: The graphic user interface loaded by the display screen panel.
 2. Design product use: The display screen panel is used to display the graphical user interface.
 3. Design of the design of the product in appearance: lies in the"&amp;" graphic user interface.
 4. Pictures or photos that can best show design: Design 1 main view.
 5. Specify design 1 is the basic design.
 6. The purpose of the graphical user interface: for human -machine interaction and implementation of the displa"&amp;"y screen panel, and can be used for loading applications.
 7. Human -computer interaction method of graphical user interface: Graphic user interface can interact with light strike or rolling graphical user interface.
 8. The display screen panel can b"&amp;"e applied to computers, laptops, tablets, mobile phones, smartphones, smart mobile phones, smart glasses, watches, smart watches, fitness monitor, wearing headphones, personal digital assistants, smart speakers, TVs, TV , Monitor, projector, set -top box,"&amp;" game machine, navigator, display device for vehicles; display screen panels are commonly designed, so other views are omitted.")</f>
        <v>1. Design product name: The graphic user interface loaded by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loading applications.
 7. Human -computer interaction method of graphical user interface: Graphic user interface can interact with light strike or rolling graphical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42" s="6" t="s">
        <v>5527</v>
      </c>
      <c r="E1942" s="4" t="str">
        <f ca="1">IFERROR(__xludf.DUMMYFUNCTION("GOOGLETRANSLATE(D1942,""auto"",""en"")"),"The graphic user interface loaded by the display screen panel")</f>
        <v>The graphic user interface loaded by the display screen panel</v>
      </c>
    </row>
    <row r="1943" spans="1:5" ht="15" x14ac:dyDescent="0.25">
      <c r="A1943" s="5" t="s">
        <v>5528</v>
      </c>
      <c r="B1943" s="6" t="s">
        <v>5529</v>
      </c>
      <c r="C1943" s="3" t="str">
        <f ca="1">IFERROR(__xludf.DUMMYFUNCTION("GOOGLETRANSLATE(B1943,""auto"",""en"")"),"1. Design product name: The display application of the display screen panel and the graphic user interface of the component.
 2. Design product use: The display screen panel is used to display the graphical user interface.
 3. Design of the design of "&amp;"the product in appearance: lies in the graphic user interface.
 4. Pictures or photos that can best show design: Design 1 main view.
 5. Specify design 1 is the basic design.
 6. The purpose of the graphical user interface: used for human -machine i"&amp;"nteraction and implementation of the display screen panel, and can be used to display and/or load applications or motors.
 7. Human -computer interaction method of graphical user interface: Graphic user interface can interact with light strike, pressing"&amp;", rolling, or sliding graphics user interface.
 8. Design 1 Request to protect color.
 The display screen panel can be applied to computers, laptops, tablet computers, mobile phones, smartphones, smart bracelets, smart glasses, watches, smart watches,"&amp;" fitness monitors, headset headphones, personal digital assistants, smart speakers, TV, surveillance, surveillance Instruments, projectors, set -top boxes, game machines, navigators, display screens for vehicles; display screen panels are commonly designe"&amp;"d, so other views are omitted.")</f>
        <v>1. Design product name: The display application of the display screen panel and the graphic user interface of the component.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used for human -machine interaction and implementation of the display screen panel, and can be used to display and/or load applications or motors.
 7. Human -computer interaction method of graphical user interface: Graphic user interface can interact with light strike, pressing, rolling, or sliding graphics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43" s="6" t="s">
        <v>5530</v>
      </c>
      <c r="E1943" s="4" t="str">
        <f ca="1">IFERROR(__xludf.DUMMYFUNCTION("GOOGLETRANSLATE(D1943,""auto"",""en"")"),"The display application and the graphic user interface of the display screen panel")</f>
        <v>The display application and the graphic user interface of the display screen panel</v>
      </c>
    </row>
    <row r="1944" spans="1:5" ht="15" x14ac:dyDescent="0.25">
      <c r="A1944" s="5" t="s">
        <v>5531</v>
      </c>
      <c r="B1944" s="6" t="s">
        <v>5532</v>
      </c>
      <c r="C1944" s="3" t="str">
        <f ca="1">IFERROR(__xludf.DUMMYFUNCTION("GOOGLETRANSLATE(B1944,""auto"",""en"")"),"1. Design product name: The display application of the display application of the display screen panel.
 2. Design product use: The display screen panel is used to display the graphical user interface.
 3. Design of the design of the product in appear"&amp;"ance: lies in the graphic user interface.
 4. Pictures or photos that can best show design: Design 1 main view.
 5. Specify design 1 is the basic design.
 6. The purpose of the graphical user interface: for human -machine interaction and implementat"&amp;"ion of the display screen panel, and can be used for display, selecting, organizing, and/or editing applications.
 7. Human -computer interaction method of graphical user interface: Graphic user interface can interact with light strike, pressing, slidin"&amp;"g or rolling graphical user interface.
 8. Design 1 Request to protect color.
 The display screen panel can be applied to computers, laptops, tablet computers, mobile phones, smartphones, smart bracelets, smart glasses, watches, smart watches, fitness"&amp;" monitors, headset headphones, personal digital assistants, smart speakers, TV, surveillance, surveillance Instruments, projectors, set -top boxes, game consoles, navigators, display screens for vehicles; display screen panels are commonly designed to omi"&amp;"t other views.")</f>
        <v>1. Design product name: The display application of the display application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display, selecting, organizing, and/or editing applications.
 7. Human -computer interaction method of graphical user interface: Graphic user interface can interact with light strike, pressing, sliding or rolling graphical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consoles, navigators, display screens for vehicles; display screen panels are commonly designed to omit other views.</v>
      </c>
      <c r="D1944" s="6" t="s">
        <v>5533</v>
      </c>
      <c r="E1944" s="4" t="str">
        <f ca="1">IFERROR(__xludf.DUMMYFUNCTION("GOOGLETRANSLATE(D1944,""auto"",""en"")"),"The graphic user interface of the display application of the display screen panel")</f>
        <v>The graphic user interface of the display application of the display screen panel</v>
      </c>
    </row>
    <row r="1945" spans="1:5" ht="15" x14ac:dyDescent="0.25">
      <c r="A1945" s="5" t="s">
        <v>5534</v>
      </c>
      <c r="B1945" s="6" t="s">
        <v>5535</v>
      </c>
      <c r="C1945" s="3" t="str">
        <f ca="1">IFERROR(__xludf.DUMMYFUNCTION("GOOGLETRANSLATE(B1945,""auto"",""en"")"),"1. Design product name: The display application of the display application of the display screen panel.
 2. Design product use: The display screen panel is used to display the graphical user interface.
 3. Design of the design of the product in appear"&amp;"ance: lies in the graphic user interface.
 4. Pictures or photos that can best show design: Design 1 main view.
 5. Specify design 1 is the basic design.
 6. The purpose of the graphical user interface: for human -machine interaction and implementat"&amp;"ion of the display screen panel, and can be used for display, selecting, organizing, and/or editing applications.
 7. Human -computer interaction method of graphical user interface: Graphic user interface can interact with light strike, pressing, slidin"&amp;"g or rolling graphical user interface.
 8. Design 1 Request to protect color.
 The display screen panel can be applied to computers, laptops, tablet computers, mobile phones, smartphones, smart bracelets, smart glasses, watches, smart watches, fitness"&amp;" monitors, headset headphones, personal digital assistants, smart speakers, TV, surveillance, surveillance Instruments, projectors, set -top boxes, game machines, navigators, display screens for vehicles; display screen panels are commonly designed, so ot"&amp;"her views are omitted.")</f>
        <v>1. Design product name: The display application of the display application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display, selecting, organizing, and/or editing applications.
 7. Human -computer interaction method of graphical user interface: Graphic user interface can interact with light strike, pressing, sliding or rolling graphical user interface.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45" s="6" t="s">
        <v>5533</v>
      </c>
      <c r="E1945" s="4" t="str">
        <f ca="1">IFERROR(__xludf.DUMMYFUNCTION("GOOGLETRANSLATE(D1945,""auto"",""en"")"),"The graphic user interface of the display application of the display screen panel")</f>
        <v>The graphic user interface of the display application of the display screen panel</v>
      </c>
    </row>
    <row r="1946" spans="1:5" ht="15" x14ac:dyDescent="0.25">
      <c r="A1946" s="5" t="s">
        <v>5536</v>
      </c>
      <c r="B1946" s="6" t="s">
        <v>5537</v>
      </c>
      <c r="C1946" s="3" t="str">
        <f ca="1">IFERROR(__xludf.DUMMYFUNCTION("GOOGLETRANSLATE(B1946,""auto"",""en"")"),"1. Design product name: The graphic user interface of the display world clock display of the display screen panel.
 2. Design product use: The display screen panel is used to display the graphical user interface.
 3. Design of the design of the produc"&amp;"t in appearance: lies in the graphic user interface.
 4. Pictures or photos that can most indicate design points: main view.
 5. The purpose of the graphical user interface: It is used for human -machine interaction and realizing the function of displ"&amp;"ay screen panels, and can be used to display the world clock or time.
 6. Human -computer interaction method of graphical user interface: Graphic user interface can interact with light strike, pressing, sliding, or rolling graphical user interface.
 7"&amp;". The display screen panel can be applied to computers, laptops, display devices, communication equipment, multimedia equipment, information terminals, portable communication equipment, portable multimedia devices, portable information terminals, tablet c"&amp;"omputers, mobile phones, smartphones, wearable devices, watches , Smart watch, fitness monitor, headset headset, personal digital assistant, smart speaker, TV, monitor, projector, display system, set -top box, game machine, navigator ; The display screen "&amp;"panel is commonly designed, so other views are omitted.")</f>
        <v>1. Design product name: The graphic user interface of the display world clock display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the world clock or time.
 6. Human -computer interaction method of graphical user interface: Graphic user interface can interact with light strike, pressing, sliding, or rolling graphical user interface.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headset, personal digital assistant, smart speaker, TV, monitor, projector, display system, set -top box, game machine, navigator ; The display screen panel is commonly designed, so other views are omitted.</v>
      </c>
      <c r="D1946" s="6" t="s">
        <v>5538</v>
      </c>
      <c r="E1946" s="4" t="str">
        <f ca="1">IFERROR(__xludf.DUMMYFUNCTION("GOOGLETRANSLATE(D1946,""auto"",""en"")"),"Display screen panel display world clock graphics user interface")</f>
        <v>Display screen panel display world clock graphics user interface</v>
      </c>
    </row>
    <row r="1947" spans="1:5" ht="15" x14ac:dyDescent="0.25">
      <c r="A1947" s="5" t="s">
        <v>5539</v>
      </c>
      <c r="B1947" s="6" t="s">
        <v>5540</v>
      </c>
      <c r="C1947" s="3" t="str">
        <f ca="1">IFERROR(__xludf.DUMMYFUNCTION("GOOGLETRANSLATE(B1947,""auto"",""en"")"),"1. Design product name: The graphic user interface running the camera application of the display screen panel.
 2. Design product use: The display screen panel is used to display the graphical user interface.
 3. Design of the design of the product in"&amp;" appearance: lies in the graphic user interface.
 4. Pictures or photos that can most indicate design points: main view.
 5. The purpose of the graphical user interface: for human -machine interaction and implementation of the display screen panel, an"&amp;"d can be used to run camera applications.
 6. Human -computer interaction method of graphical user interface: Graphic user interface can interact with light strike or pressing graphical user interface.
 7. The display screen panel can be applied to co"&amp;"mputers, laptops, tablets, mobile phones, smartphones, smart phones, smart glasses, watches, smart watches, fitness monitor, wearing headphones, personal digital assistants, smart speakers, TVs, TV , Monitor, projector, set -top box, game machine, navigat"&amp;"or, display device for vehicles; display screen panels are commonly designed, so other views are omitted.")</f>
        <v>1. Design product name: The graphic user interface running the camera application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run camera applications.
 6. Human -computer interaction method of graphical user interface: Graphic user interface can interact with light strike or pressing graphical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47" s="6" t="s">
        <v>5541</v>
      </c>
      <c r="E1947" s="4" t="str">
        <f ca="1">IFERROR(__xludf.DUMMYFUNCTION("GOOGLETRANSLATE(D1947,""auto"",""en"")"),"The graphical user interface of the running camera application of the display screen panel")</f>
        <v>The graphical user interface of the running camera application of the display screen panel</v>
      </c>
    </row>
    <row r="1948" spans="1:5" ht="15" x14ac:dyDescent="0.25">
      <c r="A1948" s="5" t="s">
        <v>5542</v>
      </c>
      <c r="B1948" s="6" t="s">
        <v>5543</v>
      </c>
      <c r="C1948" s="3" t="str">
        <f ca="1">IFERROR(__xludf.DUMMYFUNCTION("GOOGLETRANSLATE(B1948,""auto"",""en"")"),"1. Design product name: Display the graphic user interface of the display of the display screen panel.
 2. Design product use: The display screen panel is used to display the graphical user interface.
 3. Design of the design of the product in appeara"&amp;"nce: lies in the graphic user interface.
 4. Pictures or photos that can best show design: Design 1 main view.
 5. Specify design 1 is the basic design.
 6. The purpose of the graphical user interface: It is used for human -machine interaction and r"&amp;"ealizing the function of display screen panels, and can be used to display or track altitude or location.
 7. Human -computer interaction method of graphical user interface: Graphic user interface can interact with light strike or pressing graphical use"&amp;"r interface.
 8. The display screen panel can be applied to computers, laptops, tablets, mobile phones, smartphones, smart mobile phones, smart glasses, watches, smart watches, fitness monitor, wearing headphones, personal digital assistants, smart spea"&amp;"kers, TVs, TV , Monitor, projector, set -top box, game machine, navigator, display device for vehicles; display screen panels are commonly designed, so other views are omitted.")</f>
        <v>1. Design product name: Display the graphic user interface of the display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to display or track altitude or location.
 7. Human -computer interaction method of graphical user interface: Graphic user interface can interact with light strike or pressing graphical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device for vehicles; display screen panels are commonly designed, so other views are omitted.</v>
      </c>
      <c r="D1948" s="6" t="s">
        <v>5544</v>
      </c>
      <c r="E1948" s="4" t="str">
        <f ca="1">IFERROR(__xludf.DUMMYFUNCTION("GOOGLETRANSLATE(D1948,""auto"",""en"")"),"Display the graphic user interface of the display screen panel")</f>
        <v>Display the graphic user interface of the display screen panel</v>
      </c>
    </row>
    <row r="1949" spans="1:5" ht="15" x14ac:dyDescent="0.25">
      <c r="A1949" s="5" t="s">
        <v>5545</v>
      </c>
      <c r="B1949" s="6" t="s">
        <v>5546</v>
      </c>
      <c r="C1949" s="3" t="str">
        <f ca="1">IFERROR(__xludf.DUMMYFUNCTION("GOOGLETRANSLATE(B1949,""auto"",""en"")"),"The non -surface -to -facial measuring system using the image includes portable electronic devices and servers. Portable electronic equipment takes photos of the physical measurement object, and use the image to calculate the physical measurement results."&amp;" In this process, use deep learning algorithms to improve the accuracy of fitness measurement results. The use of images of non -face -to -face constitutional measurement system provides a variety of physical measurement methods. The health measurement mo"&amp;"de includes an in -site walking measurement mode, standing and sitting measurement mode, and walking and returning mode.")</f>
        <v>The non -surface -to -facial measuring system using the image includes portable electronic devices and servers. Portable electronic equipment takes photos of the physical measurement object, and use the image to calculate the physical measurement results. In this process, use deep learning algorithms to improve the accuracy of fitness measurement results. The use of images of non -face -to -face constitutional measurement system provides a variety of physical measurement methods. The health measurement mode includes an in -site walking measurement mode, standing and sitting measurement mode, and walking and returning mode.</v>
      </c>
      <c r="D1949" s="6" t="s">
        <v>5547</v>
      </c>
      <c r="E1949" s="4" t="str">
        <f ca="1">IFERROR(__xludf.DUMMYFUNCTION("GOOGLETRANSLATE(D1949,""auto"",""en"")"),"Image -based non -face -faced constitutional measurement system")</f>
        <v>Image -based non -face -faced constitutional measurement system</v>
      </c>
    </row>
    <row r="1950" spans="1:5" ht="15" x14ac:dyDescent="0.25">
      <c r="A1950" s="5" t="s">
        <v>5548</v>
      </c>
      <c r="B1950" s="6" t="s">
        <v>5549</v>
      </c>
      <c r="C1950" s="3" t="str">
        <f ca="1">IFERROR(__xludf.DUMMYFUNCTION("GOOGLETRANSLATE(B1950,""auto"",""en"")"),"1. Design product name: The graphic user interface of the display activity of the display screen panel.
 2. Design product use: The display screen panel is used to display the graphical user interface.
 3. Design of the design of the product in appear"&amp;"ance: lies in the graphic user interface.
 4. Pictures or photos that can best show design: Design 1 main view.
 5. Specify design 1 is the basic design.
 6. The purpose of the graphical user interface: It is used for human -machine interaction and "&amp;"realizing the function of display screen panels, and can be used to display activity records, including outdoor cycling records.
 7. Human -computer interaction method of graphical user interface: Graphic user interface can interact with light strike, p"&amp;"ressing, up, down, or to the left, to the right, and rolling the graphic user interface to load the subsequent graphical user interface interface Essence
 8. Design 1 Request to protect color.
 The display screen panel can be applied to computers, lap"&amp;"tops, tablet computers, mobile phones, smartphones, smart bracelets, smart glasses, watches, smart watches, fitness monitors, headset headphones, personal digital assistants, smart speakers, TV, surveillance, surveillance Instruments, projectors, set -top"&amp;" boxes, game machines, navigators, display screens for vehicles; display screen panels are commonly designed, so other views are omitted.")</f>
        <v>1. Design product name: The graphic user interface of the display activity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to display activity records, including outdoor cycling records.
 7. Human -computer interaction method of graphical user interface: Graphic user interface can interact with light strike, pressing, up, down, or to the left, to the right, and rolling the graphic user interface to load the subsequent graphical user interface interface Essence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50" s="6" t="s">
        <v>5452</v>
      </c>
      <c r="E1950" s="4" t="str">
        <f ca="1">IFERROR(__xludf.DUMMYFUNCTION("GOOGLETRANSLATE(D1950,""auto"",""en"")"),"The graphic user interface of the display activity of the display screen panel")</f>
        <v>The graphic user interface of the display activity of the display screen panel</v>
      </c>
    </row>
    <row r="1951" spans="1:5" ht="15" x14ac:dyDescent="0.25">
      <c r="A1951" s="5" t="s">
        <v>5550</v>
      </c>
      <c r="B1951" s="6" t="s">
        <v>5551</v>
      </c>
      <c r="C1951" s="3" t="str">
        <f ca="1">IFERROR(__xludf.DUMMYFUNCTION("GOOGLETRANSLATE(B1951,""auto"",""en"")"),"1. Design product name: The display speed or distance graphical user interface of the display screen panel.
 2. Design product use: The display screen panel is used to display the graphical user interface.
 3. Design of the design of the product in ap"&amp;"pearance: lies in the graphic user interface.
 4. Pictures or photos that can most indicate design points: main view.
 5. The purpose of the graphical user interface: for human -machine interaction and implementation of the display screen panel, and c"&amp;"an be used to display or track the travel time, speed or distance, weather or activity.
 6. Human -computer interaction method of graphical user interface: Graphic user interface can interact with the graphical user interface lightly, pressing, sliding,"&amp;" or rolling on the graphic user interface.
 7. The display screen panel can be applied to computers, laptops, tablets, mobile phones, smart bracelets, smart glasses, watches, smart watches, fitness monitor, headset headphones, personal digital assistant"&amp;"s, smart speakers, TV, monitor, monitor, monitor , Projector, set -top box, game machine, navigator, display screen for vehicles; display screen panels are commonly designed, so other views are omitted.")</f>
        <v>1. Design product name: The display speed or distance graphical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or track the travel time, speed or distance, weather or activity.
 6. Human -computer interaction method of graphical user interface: Graphic user interface can interact with the graphical user interface lightly, pressing, sliding, or rolling on the graphic user interface.
 7. The display screen panel can be applied to computers, laptops, tablets, mobile phones, smart bracelets, smart glasses, watches, smart watches, fitness monitor, headset headphones, personal digital assistants, smart speakers, TV, monitor, monitor, monitor , Projector, set -top box, game machine, navigator, display screen for vehicles; display screen panels are commonly designed, so other views are omitted.</v>
      </c>
      <c r="D1951" s="6" t="s">
        <v>5552</v>
      </c>
      <c r="E1951" s="4" t="str">
        <f ca="1">IFERROR(__xludf.DUMMYFUNCTION("GOOGLETRANSLATE(D1951,""auto"",""en"")"),"Display speed or distance graphical user interface of the display screen panel")</f>
        <v>Display speed or distance graphical user interface of the display screen panel</v>
      </c>
    </row>
    <row r="1952" spans="1:5" ht="15" x14ac:dyDescent="0.25">
      <c r="A1952" s="5" t="s">
        <v>5553</v>
      </c>
      <c r="B1952" s="6" t="s">
        <v>5554</v>
      </c>
      <c r="C1952" s="3" t="str">
        <f ca="1">IFERROR(__xludf.DUMMYFUNCTION("GOOGLETRANSLATE(B1952,""auto"",""en"")"),"1. Design product name: The display speed or distance graphical user interface of the display screen panel.
 2. Design product use: The display screen panel is used to display the graphical user interface.
 3. Design of the design of the product in ap"&amp;"pearance: lies in the graphic user interface.
 4. Pictures or photos that can best show design: Design 1 main view.
 5. Specify design 1 is the basic design.
 6. The purpose of the graphical user interface: It is used for human -computer interaction"&amp;" and realizing the function of display screen panels, and can be used to display or track the travel time, speed or distance, weather or activity.
 7. Human -computer interaction method of graphical user interface: Graphic user interface can interact wi"&amp;"th lightly hitting, pressing, sliding or rolling on the graphic user interface.
 8. The display screen panel can be applied to computers, laptops, tablet computers, mobile phones, smart bracelets, smart glasses, watches, smart watches, fitness monitor, "&amp;"headset headphones, personal digital assistants, smart speakers, TV, monitor, monitor , Projector, set -top box, game machine, navigator, display screen for vehicles; display screen panels are commonly designed, so other views are omitted.")</f>
        <v>1. Design product name: The display speed or distance graphical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It is used for human -computer interaction and realizing the function of display screen panels, and can be used to display or track the travel time, speed or distance, weather or activity.
 7. Human -computer interaction method of graphical user interface: Graphic user interface can interact with lightly hitting, pressing, sliding or rolling on the graphic user interface.
 8. The display screen panel can be applied to computers, laptops, tablet computers, mobile phones, smart bracelets, smart glasses, watches, smart watches, fitness monitor, headset headphones, personal digital assistants, smart speakers, TV, monitor, monitor , Projector, set -top box, game machine, navigator, display screen for vehicles; display screen panels are commonly designed, so other views are omitted.</v>
      </c>
      <c r="D1952" s="6" t="s">
        <v>5552</v>
      </c>
      <c r="E1952" s="4" t="str">
        <f ca="1">IFERROR(__xludf.DUMMYFUNCTION("GOOGLETRANSLATE(D1952,""auto"",""en"")"),"Display speed or distance graphical user interface of the display screen panel")</f>
        <v>Display speed or distance graphical user interface of the display screen panel</v>
      </c>
    </row>
    <row r="1953" spans="1:5" ht="15" x14ac:dyDescent="0.25">
      <c r="A1953" s="5" t="s">
        <v>5555</v>
      </c>
      <c r="B1953" s="6" t="s">
        <v>5556</v>
      </c>
      <c r="C1953" s="3" t="str">
        <f ca="1">IFERROR(__xludf.DUMMYFUNCTION("GOOGLETRANSLATE(B1953,""auto"",""en"")"),"1. Design product name: The display speed or distance graphical user interface of the display screen panel.
 2. Design product use: The display screen panel is used to display the graphical user interface.
 3. Design of the design of the product in ap"&amp;"pearance: lies in the graphic user interface.
 4. Pictures or photos that can most indicate design points: main view.
 5. The purpose of the graphical user interface: It is used for human -machine interaction and realizing the function of display scre"&amp;"en panels, and can be used to display or track the time, speed, or distance.
 6. Human -computer interaction method of graphical user interface: Graphic user interface can interact with the graphical user interface lightly, pressing, sliding, or rolling"&amp;" on the graphic user interface.
 7. The display screen panel can be applied to computers, laptops, tablets, mobile phones, smart bracelets, smart glasses, watches, smart watches, fitness monitor, headset headphones, personal digital assistants, smart sp"&amp;"eakers, TV, monitor, monitor, monitor , Projector, set -top box, game machine, navigator, display screen for vehicles; display screen panels are commonly designed, so other views are omitted.")</f>
        <v>1. Design product name: The display speed or distance graphical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It is used for human -machine interaction and realizing the function of display screen panels, and can be used to display or track the time, speed, or distance.
 6. Human -computer interaction method of graphical user interface: Graphic user interface can interact with the graphical user interface lightly, pressing, sliding, or rolling on the graphic user interface.
 7. The display screen panel can be applied to computers, laptops, tablets, mobile phones, smart bracelets, smart glasses, watches, smart watches, fitness monitor, headset headphones, personal digital assistants, smart speakers, TV, monitor, monitor, monitor , Projector, set -top box, game machine, navigator, display screen for vehicles; display screen panels are commonly designed, so other views are omitted.</v>
      </c>
      <c r="D1953" s="6" t="s">
        <v>5552</v>
      </c>
      <c r="E1953" s="4" t="str">
        <f ca="1">IFERROR(__xludf.DUMMYFUNCTION("GOOGLETRANSLATE(D1953,""auto"",""en"")"),"Display speed or distance graphical user interface of the display screen panel")</f>
        <v>Display speed or distance graphical user interface of the display screen panel</v>
      </c>
    </row>
    <row r="1954" spans="1:5" ht="15" x14ac:dyDescent="0.25">
      <c r="A1954" s="5" t="s">
        <v>5557</v>
      </c>
      <c r="B1954" s="6" t="s">
        <v>5558</v>
      </c>
      <c r="C1954" s="3" t="str">
        <f ca="1">IFERROR(__xludf.DUMMYFUNCTION("GOOGLETRANSLATE(B1954,""auto"",""en"")"),"A unmanned shooting system for sports events was released. The sports event of the present invention unmanned shooting system through the base of the facilities in the stadium, the mobile department of the axis along the base, and the mobilization departm"&amp;"ent moved up a shaft direction, and pointed to the sports field facing the sports field. Essence捕获现有对象的图像捕获单元,向图像捕获单元捕获的运动图像或静止图像发出信号的控制单元,将其发送到服务器,从服务器,控制移动单元改变图像捕获单元的位置,以及来自控制单元和The image of the communication unit, the communication unit sends data to t"&amp;"he server and receives data from the server in a wired/wireless manner.")</f>
        <v>A unmanned shooting system for sports events was released. The sports event of the present invention unmanned shooting system through the base of the facilities in the stadium, the mobile department of the axis along the base, and the mobilization department moved up a shaft direction, and pointed to the sports field facing the sports field. Essence捕获现有对象的图像捕获单元,向图像捕获单元捕获的运动图像或静止图像发出信号的控制单元,将其发送到服务器,从服务器,控制移动单元改变图像捕获单元的位置,以及来自控制单元和The image of the communication unit, the communication unit sends data to the server and receives data from the server in a wired/wireless manner.</v>
      </c>
      <c r="D1954" s="6" t="s">
        <v>5559</v>
      </c>
      <c r="E1954" s="4" t="str">
        <f ca="1">IFERROR(__xludf.DUMMYFUNCTION("GOOGLETRANSLATE(D1954,""auto"",""en"")"),"Sports competition based on dynamic target detection based on deep learning")</f>
        <v>Sports competition based on dynamic target detection based on deep learning</v>
      </c>
    </row>
    <row r="1955" spans="1:5" ht="15" x14ac:dyDescent="0.25">
      <c r="A1955" s="5" t="s">
        <v>5560</v>
      </c>
      <c r="B1955" s="6" t="s">
        <v>5561</v>
      </c>
      <c r="C1955" s="3" t="str">
        <f ca="1">IFERROR(__xludf.DUMMYFUNCTION("GOOGLETRANSLATE(B1955,""auto"",""en"")"),"The present invention disclosed a kind of thermoplastic polyurethane fiber blind lane and inductive warning to guide the Internet of Things system, including blind sticks and blind roads. , Speak the feeling of blind roads; install a card reader inside th"&amp;"e step plate, and the blind -bearing RFID label is installed inside the bar; after reading the information of the blind person, the blind man prompts the blind people, according to the blindness of the blind people, the alarm is approached, and the left s"&amp;"ide of the left side is left to the left side. Round, ring the right side to the right, stop calling the alarm after stay away; set a card reader at the top of the blind stick, which can be connected to the Internet. At the same time, it is equipped with "&amp;"GPS to locate the current position; Blind sticks can use ultrasonic detection of ultrasonic detection of blind lane obstacles with ultrasonic detectors; download the map app in a blind mobile phone. The invention can cooperate with the blind stick and bli"&amp;"nd roads to achieve the guidance and end warning of the blind direction.")</f>
        <v>The present invention disclosed a kind of thermoplastic polyurethane fiber blind lane and inductive warning to guide the Internet of Things system, including blind sticks and blind roads. , Speak the feeling of blind roads; install a card reader inside the step plate, and the blind -bearing RFID label is installed inside the bar; after reading the information of the blind person, the blind man prompts the blind people, according to the blindness of the blind people, the alarm is approached, and the left side of the left side is left to the left side. Round, ring the right side to the right, stop calling the alarm after stay away; set a card reader at the top of the blind stick, which can be connected to the Internet. At the same time, it is equipped with GPS to locate the current position; Blind sticks can use ultrasonic detection of ultrasonic detection of blind lane obstacles with ultrasonic detectors; download the map app in a blind mobile phone. The invention can cooperate with the blind stick and blind roads to achieve the guidance and end warning of the blind direction.</v>
      </c>
      <c r="D1955" s="6" t="s">
        <v>5562</v>
      </c>
      <c r="E1955" s="4" t="str">
        <f ca="1">IFERROR(__xludf.DUMMYFUNCTION("GOOGLETRANSLATE(D1955,""auto"",""en"")"),"A kind of armoplastic polyurethane fiber blind lane and induction warning guidance to the Internet of Things system")</f>
        <v>A kind of armoplastic polyurethane fiber blind lane and induction warning guidance to the Internet of Things system</v>
      </c>
    </row>
    <row r="1956" spans="1:5" ht="15" x14ac:dyDescent="0.25">
      <c r="A1956" s="5" t="s">
        <v>5563</v>
      </c>
      <c r="B1956" s="6" t="s">
        <v>5564</v>
      </c>
      <c r="C1956" s="3" t="str">
        <f ca="1">IFERROR(__xludf.DUMMYFUNCTION("GOOGLETRANSLATE(B1956,""auto"",""en"")"),"1. Design product name: Video communication graphic user interface of the display screen panel.
 2. Design product use: The display screen panel is used to display the graphical user interface.
 3. Design of the design of the product in appearance: li"&amp;"es in the graphic user interface.
 4. Pictures or photos that can best show design: Design 1 main view.
 5. Specify design 1 is the basic design.
 6. The purpose of graphical user interface: for human -machine interaction and implementation of the d"&amp;"isplay screen panel, and can be used for video communication.
 7. Human -computer interaction method of graphical user interface: Graphic user interface can load the corresponding application or subsequent graphic user interface by lighting the icon, or"&amp;" display additional icons or subsequent subsequent subsequent uses by rolling or sliding graphics user interfaces GUI.
 8. Design 1 Request to protect color.
 The display screen panel can be applied to computers, laptops, tablet computers, mobile phon"&amp;"es, smartphones, smart bracelets, smart glasses, watches, smart watches, fitness monitors, headset headphones, personal digital assistants, smart speakers, TV, surveillance, surveillance Instruments, projectors, set -top boxes, game machines, navigators, "&amp;"display screens for vehicles; display screen panels are commonly designed, so other views are omitted.")</f>
        <v>1. Design product name: Video communication graphic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for human -machine interaction and implementation of the display screen panel, and can be used for video communication.
 7. Human -computer interaction method of graphical user interface: Graphic user interface can load the corresponding application or subsequent graphic user interface by lighting the icon, or display additional icons or subsequent subsequent subsequent uses by rolling or sliding graphics user interfaces GUI.
 8. Design 1 Request to protect color.
 The display screen panel can be applied to computers, laptops, tablet computers, mobile phones, smartphones, smart bracelets, smart glasses, watches, smart watches, fitness monitors, headset headphones, personal digital assistants, smart speakers, TV, surveillance, surveillance Instruments, projectors, set -top boxes, game machines, navigators, display screens for vehicles; display screen panels are commonly designed, so other views are omitted.</v>
      </c>
      <c r="D1956" s="6" t="s">
        <v>5565</v>
      </c>
      <c r="E1956" s="4" t="str">
        <f ca="1">IFERROR(__xludf.DUMMYFUNCTION("GOOGLETRANSLATE(D1956,""auto"",""en"")"),"Video communication graphic user interface of display screen panel")</f>
        <v>Video communication graphic user interface of display screen panel</v>
      </c>
    </row>
    <row r="1957" spans="1:5" ht="15" x14ac:dyDescent="0.25">
      <c r="A1957" s="5" t="s">
        <v>5566</v>
      </c>
      <c r="B1957" s="6" t="s">
        <v>5567</v>
      </c>
      <c r="C1957" s="3" t="str">
        <f ca="1">IFERROR(__xludf.DUMMYFUNCTION("GOOGLETRANSLATE(B1957,""auto"",""en"")"),"1. Design product name: Video communication graphic user interface of the display screen panel.
 2. Design product use: The display screen panel is used to display the graphical user interface.
 3. Design of the design of the product in appearance: li"&amp;"es in the graphic user interface.
 4. Pictures or photos that can most indicate design points: main view.
 5. The purpose of the graphical user interface: for human -machine interaction and implementation of the display screen panel, and can be used f"&amp;"or video communication.
 6. Human -computer interaction method of graphical user interface: Graphic user interface can load the corresponding application or subsequent graphic user interface by lighting the icon, or display additional icons or subsequen"&amp;"t subsequent subsequent uses by rolling or sliding graphics user interface GUI.
 7. The display screen panel can be applied to computers, laptops, tablets, mobile phones, smartphones, smart phones, smart glasses, watches, smart watches, fitness monitor,"&amp;" wearing headphones, personal digital assistants, smart speakers, TVs, TV , Monitor, projector, set -top box, game machine, navigator, display screen for vehicles; display screen panels are commonly designed, so other views are omitted.")</f>
        <v>1. Design product name: Video communication graphic user interface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video communication.
 6. Human -computer interaction method of graphical user interface: Graphic user interface can load the corresponding application or subsequent graphic user interface by lighting the icon, or display additional icons or subsequent subsequent subsequent uses by rolling or sliding graphics user interface GUI.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57" s="6" t="s">
        <v>5565</v>
      </c>
      <c r="E1957" s="4" t="str">
        <f ca="1">IFERROR(__xludf.DUMMYFUNCTION("GOOGLETRANSLATE(D1957,""auto"",""en"")"),"Video communication graphic user interface of display screen panel")</f>
        <v>Video communication graphic user interface of display screen panel</v>
      </c>
    </row>
    <row r="1958" spans="1:5" ht="15" x14ac:dyDescent="0.25">
      <c r="A1958" s="5" t="s">
        <v>5568</v>
      </c>
      <c r="B1958" s="6" t="s">
        <v>5569</v>
      </c>
      <c r="C1958" s="3" t="str">
        <f ca="1">IFERROR(__xludf.DUMMYFUNCTION("GOOGLETRANSLATE(B1958,""auto"",""en"")"),"This public involves a non -invasive integrated system, which includes referee robots for automatic monitoring, referees, scores, analysis, learning, and guiding players, while eliminating the needs of human referees and scorers. Automatic referees monito"&amp;"ring, cognitive recognition and capture all devices with intelligent expansion functions, analyzing them, moving up and down, and even avoiding the ball into it. Non -invasive real -time system starts with players, throwing coins, starting, monitoring ven"&amp;"ue positions, maintaining scores, referee decisions, competing, valid/invalid delivery, verification of all games of each game, three -pillar goals, starting, border, border, border, border Six points, and show scores and statistics throughout the game.")</f>
        <v>This public involves a non -invasive integrated system, which includes referee robots for automatic monitoring, referees, scores, analysis, learning, and guiding players, while eliminating the needs of human referees and scorers. Automatic referees monitoring, cognitive recognition and capture all devices with intelligent expansion functions, analyzing them, moving up and down, and even avoiding the ball into it. Non -invasive real -time system starts with players, throwing coins, starting, monitoring venue positions, maintaining scores, referee decisions, competing, valid/invalid delivery, verification of all games of each game, three -pillar goals, starting, border, border, border, border Six points, and show scores and statistics throughout the game.</v>
      </c>
      <c r="D1958" s="6" t="s">
        <v>5570</v>
      </c>
      <c r="E1958" s="4" t="str">
        <f ca="1">IFERROR(__xludf.DUMMYFUNCTION("GOOGLETRANSLATE(D1958,""auto"",""en"")"),"Smart robot referees in cricket games are used to automatically make referees and scoring decisions during cricket games")</f>
        <v>Smart robot referees in cricket games are used to automatically make referees and scoring decisions during cricket games</v>
      </c>
    </row>
    <row r="1959" spans="1:5" ht="15" x14ac:dyDescent="0.25">
      <c r="A1959" s="5" t="s">
        <v>5571</v>
      </c>
      <c r="B1959" s="6" t="s">
        <v>5569</v>
      </c>
      <c r="C1959" s="3" t="str">
        <f ca="1">IFERROR(__xludf.DUMMYFUNCTION("GOOGLETRANSLATE(B1959,""auto"",""en"")"),"This public involves a non -invasive integrated system, which includes referee robots for automatic monitoring, referees, scores, analysis, learning, and guiding players, while eliminating the needs of human referees and scorers. Automatic referees monito"&amp;"ring, cognitive recognition and capture all devices with intelligent expansion functions, analyzing them, moving up and down, and even avoiding the ball into it. Non -invasive real -time system starts with players, throwing coins, starting, monitoring ven"&amp;"ue positions, maintaining scores, referee decisions, competing, valid/invalid delivery, verification of all games of each game, three -pillar goals, starting, border, border, border, border Six points, and show scores and statistics throughout the game.")</f>
        <v>This public involves a non -invasive integrated system, which includes referee robots for automatic monitoring, referees, scores, analysis, learning, and guiding players, while eliminating the needs of human referees and scorers. Automatic referees monitoring, cognitive recognition and capture all devices with intelligent expansion functions, analyzing them, moving up and down, and even avoiding the ball into it. Non -invasive real -time system starts with players, throwing coins, starting, monitoring venue positions, maintaining scores, referee decisions, competing, valid/invalid delivery, verification of all games of each game, three -pillar goals, starting, border, border, border, border Six points, and show scores and statistics throughout the game.</v>
      </c>
      <c r="D1959" s="6" t="s">
        <v>5572</v>
      </c>
      <c r="E1959" s="4" t="str">
        <f ca="1">IFERROR(__xludf.DUMMYFUNCTION("GOOGLETRANSLATE(D1959,""auto"",""en"")"),"Smart robot referee in the cricket game, which is used to automatically perform referees and scores during the cricket game")</f>
        <v>Smart robot referee in the cricket game, which is used to automatically perform referees and scores during the cricket game</v>
      </c>
    </row>
    <row r="1960" spans="1:5" ht="15" x14ac:dyDescent="0.25">
      <c r="A1960" s="5" t="s">
        <v>5573</v>
      </c>
      <c r="B1960" s="6" t="s">
        <v>5574</v>
      </c>
      <c r="C1960" s="3" t="str">
        <f ca="1">IFERROR(__xludf.DUMMYFUNCTION("GOOGLETRANSLATE(B1960,""auto"",""en"")"),"This openness involves a non -invasive integrated system, including referee robots for automatic monitoring, referees, scores, analysis, learning, and guiding players, while eliminating the needs of human referees and scorers. Automatic referees monitorin"&amp;"g, cognitive recognition and capture all devices with intelligent retractable function, analyze them, move up and down, and even avoid the ball collision to it.非侵入式实时系统捕捉所有比赛时刻,从球员开始、掷硬币、比赛开始、监控场上位置、保持比分、裁判决定、轮换、有效/无效交付、验证每轮球、三柱门、接球、 The boundary, six poi"&amp;"nts, and statistical data are displayed throughout the game.")</f>
        <v>This openness involves a non -invasive integrated system, including referee robots for automatic monitoring, referees, scores, analysis, learning, and guiding players, while eliminating the needs of human referees and scorers. Automatic referees monitoring, cognitive recognition and capture all devices with intelligent retractable function, analyze them, move up and down, and even avoid the ball collision to it.非侵入式实时系统捕捉所有比赛时刻,从球员开始、掷硬币、比赛开始、监控场上位置、保持比分、裁判决定、轮换、有效/无效交付、验证每轮球、三柱门、接球、 The boundary, six points, and statistical data are displayed throughout the game.</v>
      </c>
      <c r="D1960" s="6" t="s">
        <v>5575</v>
      </c>
      <c r="E1960" s="4" t="str">
        <f ca="1">IFERROR(__xludf.DUMMYFUNCTION("GOOGLETRANSLATE(D1960,""auto"",""en"")"),"Smart robot referee in cricket games, automatic referee and scoring decision -making during the cricket game")</f>
        <v>Smart robot referee in cricket games, automatic referee and scoring decision -making during the cricket game</v>
      </c>
    </row>
    <row r="1961" spans="1:5" ht="15" x14ac:dyDescent="0.25">
      <c r="A1961" s="5" t="s">
        <v>5576</v>
      </c>
      <c r="B1961" s="6" t="s">
        <v>5577</v>
      </c>
      <c r="C1961" s="3" t="str">
        <f ca="1">IFERROR(__xludf.DUMMYFUNCTION("GOOGLETRANSLATE(B1961,""auto"",""en"")"),"The present invention disclose a cloud -like segmentation method that integrates the semantic semantics. It belongs to the field of artificial intelligence technology; specific operation steps: the use of high -level coding feature feedback mechanisms to "&amp;"enhance low -level encoding features, so that high -level semantic characteristics can obtain high -level division in the process of level joint Local context information adjusts the semantic characteristics of each point adaptively, thereby further optim"&amp;"izing the details of the segmentation results. The design of the invention is reasonable and obtained.")</f>
        <v>The present invention disclose a cloud -like segmentation method that integrates the semantic semantics. It belongs to the field of artificial intelligence technology; specific operation steps: the use of high -level coding feature feedback mechanisms to enhance low -level encoding features, so that high -level semantic characteristics can obtain high -level division in the process of level joint Local context information adjusts the semantic characteristics of each point adaptively, thereby further optimizing the details of the segmentation results. The design of the invention is reasonable and obtained.</v>
      </c>
      <c r="D1961" s="6" t="s">
        <v>5578</v>
      </c>
      <c r="E1961" s="4" t="str">
        <f ca="1">IFERROR(__xludf.DUMMYFUNCTION("GOOGLETRANSLATE(D1961,""auto"",""en"")"),"A way of convergence of the above -mentioned semantic segmentation method")</f>
        <v>A way of convergence of the above -mentioned semantic segmentation method</v>
      </c>
    </row>
    <row r="1962" spans="1:5" ht="15" x14ac:dyDescent="0.25">
      <c r="A1962" s="5" t="s">
        <v>5579</v>
      </c>
      <c r="B1962" s="6" t="s">
        <v>5580</v>
      </c>
      <c r="C1962" s="3" t="str">
        <f ca="1">IFERROR(__xludf.DUMMYFUNCTION("GOOGLETRANSLATE(B1962,""auto"",""en"")"),"The present invention disclosed a method of eliminating anemia based on neural networks described in conjunction with knowledge, involving the field of natural language processing technology. Including the following steps: Step 1: Use the context text and"&amp;" candidate entities to model the context, calculate the similarity of the context text to the candidate entity; step 2: Use the text information described by the candidate entity knowledge and the context text for modeling; steps to model; steps 3: Candid"&amp;"ates to describe keyword extraction of candidate physical knowledge; step 4: establish a local model of physical disaster; step 5: Establish a global model of physical disaster; step 6: Introduce the loss function, train to find the target formula in step"&amp;" 4. The invention is performed at the same time from the candidate entity and the vector above and below the context of this article. The global model is used in the physical elimination of the short text. Combined with the optimized local model, it makes"&amp;" up for the lack of the global model corpus and the lack of local physical information of the local model. The problem.")</f>
        <v>The present invention disclosed a method of eliminating anemia based on neural networks described in conjunction with knowledge, involving the field of natural language processing technology. Including the following steps: Step 1: Use the context text and candidate entities to model the context, calculate the similarity of the context text to the candidate entity; step 2: Use the text information described by the candidate entity knowledge and the context text for modeling; steps to model; steps 3: Candidates to describe keyword extraction of candidate physical knowledge; step 4: establish a local model of physical disaster; step 5: Establish a global model of physical disaster; step 6: Introduce the loss function, train to find the target formula in step 4. The invention is performed at the same time from the candidate entity and the vector above and below the context of this article. The global model is used in the physical elimination of the short text. Combined with the optimized local model, it makes up for the lack of the global model corpus and the lack of local physical information of the local model. The problem.</v>
      </c>
      <c r="D1962" s="6" t="s">
        <v>5581</v>
      </c>
      <c r="E1962" s="4" t="str">
        <f ca="1">IFERROR(__xludf.DUMMYFUNCTION("GOOGLETRANSLATE(D1962,""auto"",""en"")"),"A method of physical elimination based on neural network described by knowledge")</f>
        <v>A method of physical elimination based on neural network described by knowledge</v>
      </c>
    </row>
    <row r="1963" spans="1:5" ht="15" x14ac:dyDescent="0.25">
      <c r="A1963" s="5" t="s">
        <v>5582</v>
      </c>
      <c r="B1963" s="6" t="s">
        <v>5583</v>
      </c>
      <c r="C1963" s="3" t="str">
        <f ca="1">IFERROR(__xludf.DUMMYFUNCTION("GOOGLETRANSLATE(B1963,""auto"",""en"")"),"1. The name of the product of the design of the product: The custom time of the display screen panel display option graphics user interface.
 2. Design product use: The display screen panel is used to display the graphical user interface.
 3. Design o"&amp;"f the design of the product in appearance: lies in the graphic user interface.
 4. Pictures or photos that can most indicate design points: main view.
 5. The purpose of the graphical user interface: for human -machine interaction and implementation o"&amp;"f the display screen panel, and can be used for customized time display options, including custom color options.
 6. Human -computer interaction method of graphical user interface: Graphic user interface can interact with or slide on the graphic user in"&amp;"terface.
 7. The display screen panel can be applied to computers, laptops, tablets, mobile phones, smartphones, smart phones, smart glasses, watches, smart watches, fitness monitor, wearing headphones, personal digital assistants, smart speakers, TVs, "&amp;"TV , Monitor, projector, set -top box, game machine, navigator, display screen for vehicles; display screen panels are commonly designed, so other views are omitted.")</f>
        <v>1. The name of the product of the design of the product: The custom time of the display screen panel display option graphics user interface.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for customized time display options, including custom color options.
 6. Human -computer interaction method of graphical user interface: Graphic user interface can interact with or slide on the graphic user interface.
 7. The display screen panel can be applied to computers, laptops, tablets, mobile phones, smartphones, smart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63" s="6" t="s">
        <v>5584</v>
      </c>
      <c r="E1963" s="4" t="str">
        <f ca="1">IFERROR(__xludf.DUMMYFUNCTION("GOOGLETRANSLATE(D1963,""auto"",""en"")"),"Customized time of display screen panel display option graphical user interface")</f>
        <v>Customized time of display screen panel display option graphical user interface</v>
      </c>
    </row>
    <row r="1964" spans="1:5" ht="15" x14ac:dyDescent="0.25">
      <c r="A1964" s="5" t="s">
        <v>5585</v>
      </c>
      <c r="B1964" s="6" t="s">
        <v>5586</v>
      </c>
      <c r="C1964" s="3" t="str">
        <f ca="1">IFERROR(__xludf.DUMMYFUNCTION("GOOGLETRANSLATE(B1964,""auto"",""en"")"),"1. Design product name: Audio telephone communication graphic user interface on the display screen panel.
 2. Design product use: The display screen panel is used to display the graphical user interface.
 3. Design of the design of the product in appe"&amp;"arance: lies in the graphic user interface.
 4. Pictures or photos that can best show design: Design 1 main view.
 5. Specify design 1 is the basic design.
 6. The purpose of the graphical user interface: for human -machine interaction and implement"&amp;"ation of the display screen panel, and can be used for audio phone communication.
 7. Human -computer interaction method of graphical user interface: Graphic user interface can interact with or slide on the graphic user interface.
 8. The display scre"&amp;"en panel can be applied to computers, laptops, tablets, mobile phones, smartphones, smart mobile phones, smart glasses, watches, smart watches, fitness monitor, wearing headphones, personal digital assistants, smart speakers, TVs, TV , Monitor, projector,"&amp;" set -top box, game machine, navigator, display screen for vehicles; display screen panels are commonly designed, so other views are omitted.")</f>
        <v>1. Design product name: Audio telephone communication graphic user interface on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for audio phone communication.
 7. Human -computer interaction method of graphical user interface: Graphic user interface can interact with or slide on the graphic user interface.
 8. The display screen panel can be applied to computers, laptops, tablets, mobile phones, smartphones, smart mobile phones, smart glasses, watches, smart watches, fitness monitor, wearing headphones, personal digital assistants, smart speakers, TVs, TV , Monitor, projector, set -top box, game machine, navigator, display screen for vehicles; display screen panels are commonly designed, so other views are omitted.</v>
      </c>
      <c r="D1964" s="6" t="s">
        <v>5587</v>
      </c>
      <c r="E1964" s="4" t="str">
        <f ca="1">IFERROR(__xludf.DUMMYFUNCTION("GOOGLETRANSLATE(D1964,""auto"",""en"")"),"Audio telephone communication graphic user interface of display screen panel")</f>
        <v>Audio telephone communication graphic user interface of display screen panel</v>
      </c>
    </row>
    <row r="1965" spans="1:5" ht="15" x14ac:dyDescent="0.25">
      <c r="A1965" s="5" t="s">
        <v>5588</v>
      </c>
      <c r="B1965" s="6" t="s">
        <v>5589</v>
      </c>
      <c r="C1965" s="3" t="str">
        <f ca="1">IFERROR(__xludf.DUMMYFUNCTION("GOOGLETRANSLATE(B1965,""auto"",""en"")"),"This utility model discloses a multi -scenario air environment dust monitoring device based on the Internet of Things, including subjects, silicone protection pads, limited suits and connecting ports. There is no trace nano -glue, which is connected to th"&amp;"e outer wall of the protective film. There is a glue layer. The silicone protective pad is set on the outer wall of the main body. The Multi -scenario air environment dust monitoring device based on the Internet of Things can be used in the process of usi"&amp;"ng the protective film. It can avoid the phenomenon of diluted symbols on the surface of the main operation button due to long -term wear. For the setting of integrated structure, the user holds the gel -free layer to remove the protective film, so that t"&amp;"he protective film can be replaced. When the silicone protection pad is covered at the corner of the main body, it can avoid the subject of the subject. Damage to make the subject is more secure during use.")</f>
        <v>This utility model discloses a multi -scenario air environment dust monitoring device based on the Internet of Things, including subjects, silicone protection pads, limited suits and connecting ports. There is no trace nano -glue, which is connected to the outer wall of the protective film. There is a glue layer. The silicone protective pad is set on the outer wall of the main body. The Multi -scenario air environment dust monitoring device based on the Internet of Things can be used in the process of using the protective film. It can avoid the phenomenon of diluted symbols on the surface of the main operation button due to long -term wear. For the setting of integrated structure, the user holds the gel -free layer to remove the protective film, so that the protective film can be replaced. When the silicone protection pad is covered at the corner of the main body, it can avoid the subject of the subject. Damage to make the subject is more secure during use.</v>
      </c>
      <c r="D1965" s="6" t="s">
        <v>5590</v>
      </c>
      <c r="E1965" s="4" t="str">
        <f ca="1">IFERROR(__xludf.DUMMYFUNCTION("GOOGLETRANSLATE(D1965,""auto"",""en"")"),"A multi -scenario air environment dust monitoring device based on the Internet of Things")</f>
        <v>A multi -scenario air environment dust monitoring device based on the Internet of Things</v>
      </c>
    </row>
    <row r="1966" spans="1:5" ht="15" x14ac:dyDescent="0.25">
      <c r="A1966" s="5" t="s">
        <v>5591</v>
      </c>
      <c r="B1966" s="6" t="s">
        <v>5592</v>
      </c>
      <c r="C1966" s="3" t="str">
        <f ca="1">IFERROR(__xludf.DUMMYFUNCTION("GOOGLETRANSLATE(B1966,""auto"",""en"")"),"The present invention involves a humanoid robot football system based on deep learning. It is installed on the humanoid robot and identifies the movement of the robot based on deep learning methods. Run; it is connected to the robot controller through the"&amp;" network, analyzes the identification information and action information from the robot controller, determines whether the robot violates the rules of kicking football, controls the robot according to the judgment results, and makes the robot characterist"&amp;"ics that it includes: The game controller, the number and type and difficulty level of the participants participating in the football.")</f>
        <v>The present invention involves a humanoid robot football system based on deep learning. It is installed on the humanoid robot and identifies the movement of the robot based on deep learning methods. Run; it is connected to the robot controller through the network, analyzes the identification information and action information from the robot controller, determines whether the robot violates the rules of kicking football, controls the robot according to the judgment results, and makes the robot characteristics that it includes: The game controller, the number and type and difficulty level of the participants participating in the football.</v>
      </c>
      <c r="D1966" s="6" t="s">
        <v>5593</v>
      </c>
      <c r="E1966" s="4" t="str">
        <f ca="1">IFERROR(__xludf.DUMMYFUNCTION("GOOGLETRANSLATE(D1966,""auto"",""en"")"),"Humanoid robot football system based on deep learning")</f>
        <v>Humanoid robot football system based on deep learning</v>
      </c>
    </row>
    <row r="1967" spans="1:5" ht="15" x14ac:dyDescent="0.25">
      <c r="A1967" s="5" t="s">
        <v>5594</v>
      </c>
      <c r="B1967" s="6" t="s">
        <v>5595</v>
      </c>
      <c r="C1967" s="3" t="str">
        <f ca="1">IFERROR(__xludf.DUMMYFUNCTION("GOOGLETRANSLATE(B1967,""auto"",""en"")"),"I_SUIT: A remote control device based on artificial intelligence and the Internet of Things, which can be interchangeable, is called I_SUIT (99). It is used to provide low -cost and easy to use. Motoring problems, but not limited to I_SUIT (99) to provide"&amp;" users with mobility, movement, and/or motion without sitting in a wheelchair. I_SUIT helps maintain the human body balance, standing, climbing, walking, coordinated leg movement and appropriate algorithm steps. Among them, I_SUIT can include or remove co"&amp;"mponents that make up it to achieve, improve or add one or more functions. I_SUIT does not provide a mechanism or support for running and jumping. The architecture of I_SUIT is shown in Figure 4.")</f>
        <v>I_SUIT: A remote control device based on artificial intelligence and the Internet of Things, which can be interchangeable, is called I_SUIT (99). It is used to provide low -cost and easy to use. Motoring problems, but not limited to I_SUIT (99) to provide users with mobility, movement, and/or motion without sitting in a wheelchair. I_SUIT helps maintain the human body balance, standing, climbing, walking, coordinated leg movement and appropriate algorithm steps. Among them, I_SUIT can include or remove components that make up it to achieve, improve or add one or more functions. I_SUIT does not provide a mechanism or support for running and jumping. The architecture of I_SUIT is shown in Figure 4.</v>
      </c>
      <c r="D1967" s="6" t="s">
        <v>5596</v>
      </c>
      <c r="E1967" s="4" t="str">
        <f ca="1">IFERROR(__xludf.DUMMYFUNCTION("GOOGLETRANSLATE(D1967,""auto"",""en"")"),"I_SUIT: A remote control device based on artificial intelligence and the Internet of Things, which is used to promote human movement.")</f>
        <v>I_SUIT: A remote control device based on artificial intelligence and the Internet of Things, which is used to promote human movement.</v>
      </c>
    </row>
    <row r="1968" spans="1:5" ht="15" x14ac:dyDescent="0.25">
      <c r="A1968" s="5" t="s">
        <v>5597</v>
      </c>
      <c r="B1968" s="6" t="s">
        <v>5598</v>
      </c>
      <c r="C1968" s="3" t="str">
        <f ca="1">IFERROR(__xludf.DUMMYFUNCTION("GOOGLETRANSLATE(B1968,""auto"",""en"")"),"A Sports competitor based on the Internet of Things, which involves the field of receiving device technology, which specifically involves the improvement of the Internet of Things -based sports competition receiver. It consists of the lid, box body, recei"&amp;"ving antenna, base, and protective shell. The box body is connected below the lid. The side of the box body is installed with a receiving antenna. There is a base; the box body includes power interface, USB interface, VGA interface, network cable interfac"&amp;"e, HDMI interface, AUX interface, button, maintenance board. There is a VGA interface on the left side of the USB interface, a network cable interface on the left side of the VGA interface, and the HDMI interface on the left side of the network cable inte"&amp;"rface. It is not easy to break through the protective shell on the receiving antenna, and it is not easy to break through the antenna. At the same time, it is convenient for emergency maintenance through the maintenance board. It is convenient and fast. A"&amp;"t the same time, the receiver is dissipated through the heat dissipation board to prevent the receiver from being damaged by overheating.")</f>
        <v>A Sports competitor based on the Internet of Things, which involves the field of receiving device technology, which specifically involves the improvement of the Internet of Things -based sports competition receiver. It consists of the lid, box body, receiving antenna, base, and protective shell. The box body is connected below the lid. The side of the box body is installed with a receiving antenna. There is a base; the box body includes power interface, USB interface, VGA interface, network cable interface, HDMI interface, AUX interface, button, maintenance board. There is a VGA interface on the left side of the USB interface, a network cable interface on the left side of the VGA interface, and the HDMI interface on the left side of the network cable interface. It is not easy to break through the protective shell on the receiving antenna, and it is not easy to break through the antenna. At the same time, it is convenient for emergency maintenance through the maintenance board. It is convenient and fast. At the same time, the receiver is dissipated through the heat dissipation board to prevent the receiver from being damaged by overheating.</v>
      </c>
      <c r="D1968" s="6" t="s">
        <v>5599</v>
      </c>
      <c r="E1968" s="4" t="str">
        <f ca="1">IFERROR(__xludf.DUMMYFUNCTION("GOOGLETRANSLATE(D1968,""auto"",""en"")"),"A sports competition receiver based on the Internet of Things")</f>
        <v>A sports competition receiver based on the Internet of Things</v>
      </c>
    </row>
    <row r="1969" spans="1:5" ht="15" x14ac:dyDescent="0.25">
      <c r="A1969" s="5" t="s">
        <v>5600</v>
      </c>
      <c r="B1969" s="6" t="s">
        <v>5601</v>
      </c>
      <c r="C1969" s="3" t="str">
        <f ca="1">IFERROR(__xludf.DUMMYFUNCTION("GOOGLETRANSLATE(B1969,""auto"",""en"")"),"The present invention involves a smart control system for lighting lighting, including central processors, scene control modules, control signal input terminals, communication transmission modules, and first output modules. Control signal input terminal a"&amp;"nd data integrated conversion circuit, which has an overvoltage protection circuit at the power supply side of the central processor, the external power supply module of the overvoltage protection circuit. Take the unit and the second output module. The c"&amp;"ontrol system of the present invention sets a wireless regulation system for the lighting of the stadium based on the Internet of Things technology, and realizes the remote centralized control of the lighting lights controlled by different circuits in mul"&amp;"tiple regions. The design of the distributed light effect adjustment unit can be used for the design of the stadium. Multiple sets of lighting lights in the area are intelligent allocation, and wireless form connection control is used. It is simple and fa"&amp;"st and high, which ensures the accuracy of the control instructions.")</f>
        <v>The present invention involves a smart control system for lighting lighting, including central processors, scene control modules, control signal input terminals, communication transmission modules, and first output modules. Control signal input terminal and data integrated conversion circuit, which has an overvoltage protection circuit at the power supply side of the central processor, the external power supply module of the overvoltage protection circuit. Take the unit and the second output module. The control system of the present invention sets a wireless regulation system for the lighting of the stadium based on the Internet of Things technology, and realizes the remote centralized control of the lighting lights controlled by different circuits in multiple regions. The design of the distributed light effect adjustment unit can be used for the design of the stadium. Multiple sets of lighting lights in the area are intelligent allocation, and wireless form connection control is used. It is simple and fast and high, which ensures the accuracy of the control instructions.</v>
      </c>
      <c r="D1969" s="6" t="s">
        <v>5602</v>
      </c>
      <c r="E1969" s="4" t="str">
        <f ca="1">IFERROR(__xludf.DUMMYFUNCTION("GOOGLETRANSLATE(D1969,""auto"",""en"")"),"Smart control system for a stadium for lighting lights")</f>
        <v>Smart control system for a stadium for lighting lights</v>
      </c>
    </row>
    <row r="1970" spans="1:5" ht="15" x14ac:dyDescent="0.25">
      <c r="A1970" s="5" t="s">
        <v>5603</v>
      </c>
      <c r="B1970" s="6" t="s">
        <v>5604</v>
      </c>
      <c r="C1970" s="3" t="str">
        <f ca="1">IFERROR(__xludf.DUMMYFUNCTION("GOOGLETRANSLATE(B1970,""auto"",""en"")"),"This utility model has disclosed rural information interactive devices, involving the field of information interaction. Rural information interactive devices, including the installation box, have a self -service storage platform on the back side of the ou"&amp;"tside wall surface of the installation box, and a storage cabinet installed on the top of the self -service storage platform. There is a receiving station at the bottom end of the human -machine interaction equipment. The top surface of the human -machine"&amp;" interaction equipment is opened with a top frame, and a display display is opened at the front side of the top frame. The upper wall surface of the frame is installed with a installation cover, which is rotated on the top of the installation cover. There"&amp;" is a cooling fan. The bottom of the border is installed with a side plate, and the left side of the side plate is a rotating device. Inserting the installation corner code. This utility model solves the problem of traditional interactive devices relying "&amp;"on excessive physical operations, and the equipment payment pathway is less.")</f>
        <v>This utility model has disclosed rural information interactive devices, involving the field of information interaction. Rural information interactive devices, including the installation box, have a self -service storage platform on the back side of the outside wall surface of the installation box, and a storage cabinet installed on the top of the self -service storage platform. There is a receiving station at the bottom end of the human -machine interaction equipment. The top surface of the human -machine interaction equipment is opened with a top frame, and a display display is opened at the front side of the top frame. The upper wall surface of the frame is installed with a installation cover, which is rotated on the top of the installation cover. There is a cooling fan. The bottom of the border is installed with a side plate, and the left side of the side plate is a rotating device. Inserting the installation corner code. This utility model solves the problem of traditional interactive devices relying on excessive physical operations, and the equipment payment pathway is less.</v>
      </c>
      <c r="D1970" s="6" t="s">
        <v>5605</v>
      </c>
      <c r="E1970" s="4" t="str">
        <f ca="1">IFERROR(__xludf.DUMMYFUNCTION("GOOGLETRANSLATE(D1970,""auto"",""en"")"),"Rural information interactive device")</f>
        <v>Rural information interactive device</v>
      </c>
    </row>
    <row r="1971" spans="1:5" ht="15" x14ac:dyDescent="0.25">
      <c r="A1971" s="5" t="s">
        <v>5606</v>
      </c>
      <c r="B1971" s="6" t="s">
        <v>5607</v>
      </c>
      <c r="C1971" s="3" t="str">
        <f ca="1">IFERROR(__xludf.DUMMYFUNCTION("GOOGLETRANSLATE(B1971,""auto"",""en"")"),"This utility model involves a smart control system for a stadium for lighting, including central processors, scene control modules, control signal input terminals, communication transmission modules, and first output modules. , Control signal input termin"&amp;"al and data integrated conversion circuit, which has an overvoltage protection circuit at the power supply side of the central processor, the external power supply module of the overvoltage protection circuit. Transfer unit and second output module. This "&amp;"practical new control system sets a wireless regulation system based on the IoT technology for the lighting system of the stadium, and realizes the remote centralized control of the lighting lights controlled by different circuits in multiple regions. The"&amp;" design of the distributed light effect adjustment unit can be used for the design of the distributed light effects. Multi -regional multi -group lighting intelligent allocation is intelligently deployed, and wireless form connection control is used. It i"&amp;"s simple and fast and highly scalability, ensuring the accuracy of the control instructions.")</f>
        <v>This utility model involves a smart control system for a stadium for lighting, including central processors, scene control modules, control signal input terminals, communication transmission modules, and first output modules. , Control signal input terminal and data integrated conversion circuit, which has an overvoltage protection circuit at the power supply side of the central processor, the external power supply module of the overvoltage protection circuit. Transfer unit and second output module. This practical new control system sets a wireless regulation system based on the IoT technology for the lighting system of the stadium, and realizes the remote centralized control of the lighting lights controlled by different circuits in multiple regions. The design of the distributed light effect adjustment unit can be used for the design of the distributed light effects. Multi -regional multi -group lighting intelligent allocation is intelligently deployed, and wireless form connection control is used. It is simple and fast and highly scalability, ensuring the accuracy of the control instructions.</v>
      </c>
      <c r="D1971" s="6" t="s">
        <v>5602</v>
      </c>
      <c r="E1971" s="4" t="str">
        <f ca="1">IFERROR(__xludf.DUMMYFUNCTION("GOOGLETRANSLATE(D1971,""auto"",""en"")"),"Smart control system for a stadium for lighting lights")</f>
        <v>Smart control system for a stadium for lighting lights</v>
      </c>
    </row>
    <row r="1972" spans="1:5" ht="15" x14ac:dyDescent="0.25">
      <c r="A1972" s="5" t="s">
        <v>5608</v>
      </c>
      <c r="B1972" s="6" t="s">
        <v>5609</v>
      </c>
      <c r="C1972" s="3" t="str">
        <f ca="1">IFERROR(__xludf.DUMMYFUNCTION("GOOGLETRANSLATE(B1972,""auto"",""en"")"),"The present invention provides a combination of fitness instrument shared auxiliary equipment for computer IoT, involving fitness equipment technology fields, and solving the organic combination of the main body of the device and the fixed structure of th"&amp;"e shell and the shock absorption structure through the improvement of structural improvement; it cannot be protected with protection The structure is organically combined, and the support bearing bearing and anti -looseness cannot be achieved through the "&amp;"improvement of structural improvement; the cleaning structure cannot achieve a fixed organic combination with the device subject. A fitness instrument sharing auxiliary device of a computer IoT, including the shell; the shell is installed with a shared de"&amp;"vice subject, and a supporting structure is installed on the main body of the shared device. Because the card connection is connected to the sliding slot insertion, and the card is connected to the rubber stripe structure, and the bottom surface of the ma"&amp;"in body of the device shared device after the card connection is connected to the sliding slot. The cooperation between blocks and sliding slips can achieve buffer of the main body of shared device.")</f>
        <v>The present invention provides a combination of fitness instrument shared auxiliary equipment for computer IoT, involving fitness equipment technology fields, and solving the organic combination of the main body of the device and the fixed structure of the shell and the shock absorption structure through the improvement of structural improvement; it cannot be protected with protection The structure is organically combined, and the support bearing bearing and anti -looseness cannot be achieved through the improvement of structural improvement; the cleaning structure cannot achieve a fixed organic combination with the device subject. A fitness instrument sharing auxiliary device of a computer IoT, including the shell; the shell is installed with a shared device subject, and a supporting structure is installed on the main body of the shared device. Because the card connection is connected to the sliding slot insertion, and the card is connected to the rubber stripe structure, and the bottom surface of the main body of the device shared device after the card connection is connected to the sliding slot. The cooperation between blocks and sliding slips can achieve buffer of the main body of shared device.</v>
      </c>
      <c r="D1972" s="6" t="s">
        <v>5610</v>
      </c>
      <c r="E1972" s="4" t="str">
        <f ca="1">IFERROR(__xludf.DUMMYFUNCTION("GOOGLETRANSLATE(D1972,""auto"",""en"")"),"A fitness instrument sharing auxiliary equipment for computer Internet of Things")</f>
        <v>A fitness instrument sharing auxiliary equipment for computer Internet of Things</v>
      </c>
    </row>
    <row r="1973" spans="1:5" ht="15" x14ac:dyDescent="0.25">
      <c r="A1973" s="5" t="s">
        <v>5611</v>
      </c>
      <c r="B1973" s="6" t="s">
        <v>5612</v>
      </c>
      <c r="C1973" s="3" t="str">
        <f ca="1">IFERROR(__xludf.DUMMYFUNCTION("GOOGLETRANSLATE(B1973,""auto"",""en"")"),"1. Design product name: Display screen panel with painting graphics user interface.
 2. The purpose of designing products in this exterior: The display screen panel can be used for desktop computers, laptop computers, display equipment, communication eq"&amp;"uipment, multimedia equipment, information terminals, tablet computers, mobile phones, wearable devices, watches, smart watches, fitness monitors, fitness monitor, Headphones, palm computer, smart speakers.
 3. Design of the design of the product in app"&amp;"earance: lies in the graphic user interface.
 4. Pictures or photos that can best show design: Design 1 main view.
 5. Specify design 1 is the basic design.
 6. The purpose of the graphical user interface: The graphic user interface is used for pain"&amp;"ting.
 7. Human -computer interaction method of graphical user interface: Graphic user interface can interact with the device of graphical user interface through contact with the display screen panel and/or operation.
 8. Design 1 Request to protect c"&amp;"olor.")</f>
        <v>1. Design product name: Display screen panel with painting graphics user interface.
 2. The purpose of designing products in this exterior: The display screen panel can be used for desktop computers, laptop computers, display equipment, communication equipment, multimedia equipment, information terminals, tablet computers, mobile phones, wearable devices, watches, smart watches, fitness monitors, fitness monitor, Headphones, palm computer, smart speakers.
 3. Design of the design of the product in appearance: lies in the graphic user interface.
 4. Pictures or photos that can best show design: Design 1 main view.
 5. Specify design 1 is the basic design.
 6. The purpose of the graphical user interface: The graphic user interface is used for painting.
 7. Human -computer interaction method of graphical user interface: Graphic user interface can interact with the device of graphical user interface through contact with the display screen panel and/or operation.
 8. Design 1 Request to protect color.</v>
      </c>
      <c r="D1973" s="6" t="s">
        <v>5613</v>
      </c>
      <c r="E1973" s="4" t="str">
        <f ca="1">IFERROR(__xludf.DUMMYFUNCTION("GOOGLETRANSLATE(D1973,""auto"",""en"")"),"Display screen panel with painting graphics user interface")</f>
        <v>Display screen panel with painting graphics user interface</v>
      </c>
    </row>
    <row r="1974" spans="1:5" ht="15" x14ac:dyDescent="0.25">
      <c r="A1974" s="5" t="s">
        <v>5614</v>
      </c>
      <c r="B1974" s="6" t="s">
        <v>5615</v>
      </c>
      <c r="C1974" s="3" t="str">
        <f ca="1">IFERROR(__xludf.DUMMYFUNCTION("GOOGLETRANSLATE(B1974,""auto"",""en"")"),"1. Design product name: The graphic user interface of the display data information of the display screen panel.
 2. Design product use: The display screen panel is used to display the graphical user interface.
 3. Design of the design of the product i"&amp;"n appearance: lies in the graphic user interface.
 4. Pictures or photos that can most indicate design points: main view.
 5. The purpose of the graphical user interface: for human -machine interaction and implementation of the display screen panel, a"&amp;"nd can be used to display data information of the application.
 6. Human -computer interaction method of graphical user interface: Graphic user interface can interact by touching, sliding, clicking, and lightning on the graphic user interface.
 7. The"&amp;" display screen panel can be applied to computers, laptops, display devices, communication equipment, multimedia equipment, information terminals, portable communication equipment, portable multimedia devices, portable information terminals, tablet comput"&amp;"ers, mobile phones, smartphones, wearable devices, watches , Smart watch, fitness monitor, headset headphones, personal digital assistants, smart speakers, display systems, TV, set -top boxes, game consoles, navigators, include display devices for vehicle"&amp;"s; display screen panels are commonplace as usual Design, so omitting other views.")</f>
        <v>1. Design product name: The graphic user interface of the display data information of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can be used to display data information of the application.
 6. Human -computer interaction method of graphical user interface: Graphic user interface can interact by touching, sliding, clicking, and lightning on the graphic user interface.
 7. The display screen panel can be applied to computers, laptops, display devices, communication equipment, multimedia equipment, information terminals, portable communication equipment, portable multimedia devices, portable information terminals, tablet computers, mobile phones, smartphones, wearable devices, watches , Smart watch, fitness monitor, headset headphones, personal digital assistants, smart speakers, display systems, TV, set -top boxes, game consoles, navigators, include display devices for vehicles; display screen panels are commonplace as usual Design, so omitting other views.</v>
      </c>
      <c r="D1974" s="6" t="s">
        <v>5616</v>
      </c>
      <c r="E1974" s="4" t="str">
        <f ca="1">IFERROR(__xludf.DUMMYFUNCTION("GOOGLETRANSLATE(D1974,""auto"",""en"")"),"The graphic user interface of the display data information of the display screen panel")</f>
        <v>The graphic user interface of the display data information of the display screen panel</v>
      </c>
    </row>
    <row r="1975" spans="1:5" ht="15" x14ac:dyDescent="0.25">
      <c r="A1975" s="5" t="s">
        <v>5617</v>
      </c>
      <c r="B1975" s="6" t="s">
        <v>5618</v>
      </c>
      <c r="C1975" s="3" t="str">
        <f ca="1">IFERROR(__xludf.DUMMYFUNCTION("GOOGLETRANSLATE(B1975,""auto"",""en"")"),"1. Design product name: The graphical user interface of the display data state of the display screen panel.
 2. Design product use: The display screen panel is used to display the graphical user interface.
 3. Design of the design of the product in ap"&amp;"pearance: lies in the graphic user interface.
 4. Pictures or photos that can best show design: Design 1 main view.
 5. Specify design 1 is the basic design.
 6. The purpose of the graphical user interface: for human -machine interaction and impleme"&amp;"ntation of the display screen panel, and can be used to indicate the data status of the application.
 7. Human -computer interaction method of graphical user interface: Graphic user interface can interact by touching, sliding, clicking, and lightning on"&amp;" the graphic user interface.
 8. The display screen panel can be applied to computers, laptops, tablets, mobile phones, smartphones, smart mobile phones, smart glasses, watches, smart watches, fitness monitor, wearing headphones, personal digital assist"&amp;"ants, smart speakers, display display, display Systems, television, set -top boxes, game consoles, navigators, and display devices for vehicles; display screen panels are commonly designed, so other views are omitted.")</f>
        <v>1. Design product name: The graphical user interface of the display data state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to indicate the data status of the application.
 7. Human -computer interaction method of graphical user interface: Graphic user interface can interact by touching, sliding, clicking, and lightning on the graphic user interface.
 8. The display screen panel can be applied to computers, laptops, tablets, mobile phones, smartphones, smart mobile phones, smart glasses, watches, smart watches, fitness monitor, wearing headphones, personal digital assistants, smart speakers, display display, display Systems, television, set -top boxes, game consoles, navigators, and display devices for vehicles; display screen panels are commonly designed, so other views are omitted.</v>
      </c>
      <c r="D1975" s="6" t="s">
        <v>5619</v>
      </c>
      <c r="E1975" s="4" t="str">
        <f ca="1">IFERROR(__xludf.DUMMYFUNCTION("GOOGLETRANSLATE(D1975,""auto"",""en"")"),"The graphic user interface of the display data state of the display screen panel")</f>
        <v>The graphic user interface of the display data state of the display screen panel</v>
      </c>
    </row>
    <row r="1976" spans="1:5" ht="15" x14ac:dyDescent="0.25">
      <c r="A1976" s="5" t="s">
        <v>5620</v>
      </c>
      <c r="B1976" s="6" t="s">
        <v>5621</v>
      </c>
      <c r="C1976" s="3" t="str">
        <f ca="1">IFERROR(__xludf.DUMMYFUNCTION("GOOGLETRANSLATE(B1976,""auto"",""en"")"),"1. Design product name: Display screen panel with smart home control graphics user interface.
 2. Design products in this exterior: used to display information.
 3. Design of the design of the product in appearance: lies in the graphic user interface."&amp;"
 4. Pictures or photos that can most indicate design points: main view.
 5. The purpose of the graphical user interface: for smart home control.
 6. Human -computer interaction method of graphical user interface: Graphic user interface can be used "&amp;"to make human -machine interaction through the device applied by touching display screen panels or operating graphical user interfaces.
 7. The display screen panel is used for computers, laptops, multimedia players, tablets, mobile phones, smartphones,"&amp;" wearable devices, watches, smart watches, fitness monitors, headphones, personal digital assistants and smart speakers.")</f>
        <v>1. Design product name: Display screen panel with smart home control graphics user interface.
 2. Design products in this exterior: used to display information.
 3. Design of the design of the product in appearance: lies in the graphic user interface.
 4. Pictures or photos that can most indicate design points: main view.
 5. The purpose of the graphical user interface: for smart home control.
 6. Human -computer interaction method of graphical user interface: Graphic user interface can be used to make human -machine interaction through the device applied by touching display screen panels or operating graphical user interfaces.
 7. The display screen panel is used for computers, laptops, multimedia players, tablets, mobile phones, smartphones, wearable devices, watches, smart watches, fitness monitors, headphones, personal digital assistants and smart speakers.</v>
      </c>
      <c r="D1976" s="6" t="s">
        <v>5622</v>
      </c>
      <c r="E1976" s="4" t="str">
        <f ca="1">IFERROR(__xludf.DUMMYFUNCTION("GOOGLETRANSLATE(D1976,""auto"",""en"")"),"Display screen panel with smart home control graphics user interface")</f>
        <v>Display screen panel with smart home control graphics user interface</v>
      </c>
    </row>
    <row r="1977" spans="1:5" ht="15" x14ac:dyDescent="0.25">
      <c r="A1977" s="5" t="s">
        <v>5623</v>
      </c>
      <c r="B1977" s="6" t="s">
        <v>5621</v>
      </c>
      <c r="C1977" s="3" t="str">
        <f ca="1">IFERROR(__xludf.DUMMYFUNCTION("GOOGLETRANSLATE(B1977,""auto"",""en"")"),"1. Design product name: Display screen panel with smart home control graphics user interface.
 2. Design products in this exterior: used to display information.
 3. Design of the design of the product in appearance: lies in the graphic user interface."&amp;"
 4. Pictures or photos that can most indicate design points: main view.
 5. The purpose of the graphical user interface: for smart home control.
 6. Human -computer interaction method of graphical user interface: Graphic user interface can be used "&amp;"to make human -machine interaction through the device applied by touching display screen panels or operating graphical user interfaces.
 7. The display screen panel is used for computers, laptops, multimedia players, tablets, mobile phones, smartphones,"&amp;" wearable devices, watches, smart watches, fitness monitors, headphones, personal digital assistants and smart speakers.")</f>
        <v>1. Design product name: Display screen panel with smart home control graphics user interface.
 2. Design products in this exterior: used to display information.
 3. Design of the design of the product in appearance: lies in the graphic user interface.
 4. Pictures or photos that can most indicate design points: main view.
 5. The purpose of the graphical user interface: for smart home control.
 6. Human -computer interaction method of graphical user interface: Graphic user interface can be used to make human -machine interaction through the device applied by touching display screen panels or operating graphical user interfaces.
 7. The display screen panel is used for computers, laptops, multimedia players, tablets, mobile phones, smartphones, wearable devices, watches, smart watches, fitness monitors, headphones, personal digital assistants and smart speakers.</v>
      </c>
      <c r="D1977" s="6" t="s">
        <v>5622</v>
      </c>
      <c r="E1977" s="4" t="str">
        <f ca="1">IFERROR(__xludf.DUMMYFUNCTION("GOOGLETRANSLATE(D1977,""auto"",""en"")"),"Display screen panel with smart home control graphics user interface")</f>
        <v>Display screen panel with smart home control graphics user interface</v>
      </c>
    </row>
    <row r="1978" spans="1:5" ht="15" x14ac:dyDescent="0.25">
      <c r="A1978" s="5" t="s">
        <v>5624</v>
      </c>
      <c r="B1978" s="6" t="s">
        <v>5621</v>
      </c>
      <c r="C1978" s="3" t="str">
        <f ca="1">IFERROR(__xludf.DUMMYFUNCTION("GOOGLETRANSLATE(B1978,""auto"",""en"")"),"1. Design product name: Display screen panel with smart home control graphics user interface.
 2. Design products in this exterior: used to display information.
 3. Design of the design of the product in appearance: lies in the graphic user interface."&amp;"
 4. Pictures or photos that can most indicate design points: main view.
 5. The purpose of the graphical user interface: for smart home control.
 6. Human -computer interaction method of graphical user interface: Graphic user interface can be used "&amp;"to make human -machine interaction through the device applied by touching display screen panels or operating graphical user interfaces.
 7. The display screen panel is used for computers, laptops, multimedia players, tablets, mobile phones, smartphones,"&amp;" wearable devices, watches, smart watches, fitness monitors, headphones, personal digital assistants and smart speakers.")</f>
        <v>1. Design product name: Display screen panel with smart home control graphics user interface.
 2. Design products in this exterior: used to display information.
 3. Design of the design of the product in appearance: lies in the graphic user interface.
 4. Pictures or photos that can most indicate design points: main view.
 5. The purpose of the graphical user interface: for smart home control.
 6. Human -computer interaction method of graphical user interface: Graphic user interface can be used to make human -machine interaction through the device applied by touching display screen panels or operating graphical user interfaces.
 7. The display screen panel is used for computers, laptops, multimedia players, tablets, mobile phones, smartphones, wearable devices, watches, smart watches, fitness monitors, headphones, personal digital assistants and smart speakers.</v>
      </c>
      <c r="D1978" s="6" t="s">
        <v>5622</v>
      </c>
      <c r="E1978" s="4" t="str">
        <f ca="1">IFERROR(__xludf.DUMMYFUNCTION("GOOGLETRANSLATE(D1978,""auto"",""en"")"),"Display screen panel with smart home control graphics user interface")</f>
        <v>Display screen panel with smart home control graphics user interface</v>
      </c>
    </row>
    <row r="1979" spans="1:5" ht="15" x14ac:dyDescent="0.25">
      <c r="A1979" s="5" t="s">
        <v>5625</v>
      </c>
      <c r="B1979" s="6" t="s">
        <v>5626</v>
      </c>
      <c r="C1979" s="3" t="str">
        <f ca="1">IFERROR(__xludf.DUMMYFUNCTION("GOOGLETRANSLATE(B1979,""auto"",""en"")"),"This utility model revealed a new type of ping -ping -ping -pong robot, involving the field of table tennis training machines, and solved the problem that the table tennis can not be picked up in time in the existing technology. The table tennis scattered"&amp;" on the ground, including: the base; the image recognition unit, the image recognition unit uses the table tennis scattered on the ground; the ball pickup unit is used to collect the table tennis scattered on the ground ; The mobile unit, the mobile unit "&amp;"control base movement, is fixed to the base; the positioning unit, the positioning unit is used to locate the position of table tennis; Working units, positioning units and mobile units; power supply units; the utility model can automatically identify tab"&amp;"le tennis and automatically pick up table tennis.")</f>
        <v>This utility model revealed a new type of ping -ping -ping -pong robot, involving the field of table tennis training machines, and solved the problem that the table tennis can not be picked up in time in the existing technology. The table tennis scattered on the ground, including: the base; the image recognition unit, the image recognition unit uses the table tennis scattered on the ground; the ball pickup unit is used to collect the table tennis scattered on the ground ; The mobile unit, the mobile unit control base movement, is fixed to the base; the positioning unit, the positioning unit is used to locate the position of table tennis; Working units, positioning units and mobile units; power supply units; the utility model can automatically identify table tennis and automatically pick up table tennis.</v>
      </c>
      <c r="D1979" s="6" t="s">
        <v>5627</v>
      </c>
      <c r="E1979" s="4" t="str">
        <f ca="1">IFERROR(__xludf.DUMMYFUNCTION("GOOGLETRANSLATE(D1979,""auto"",""en"")"),"A new type of ping -ping -pong robot")</f>
        <v>A new type of ping -ping -pong robot</v>
      </c>
    </row>
    <row r="1980" spans="1:5" ht="15" x14ac:dyDescent="0.25">
      <c r="A1980" s="5" t="s">
        <v>5628</v>
      </c>
      <c r="B1980" s="6" t="s">
        <v>5629</v>
      </c>
      <c r="C1980" s="3" t="str">
        <f ca="1">IFERROR(__xludf.DUMMYFUNCTION("GOOGLETRANSLATE(B1980,""auto"",""en"")"),"1. Design product name: Display screen panel with reading graphic user interface.
 2. The purpose of designing products in this exterior: The display screen panel can be applied to computers, laptops, tablets, mobile phones, wearable devices, watches, s"&amp;"mart watches, fitness equipment monitor, headset headphones, personal digital assistants, smart speakers, smart speakers Essence
 3. Design of the design of the product in appearance: lies in the graphic user interface.
 4. Pictures or photos that can"&amp;" most indicate design points: main view.
 5. The purpose of graphical user interface: Graphic user interface is used to read comic books, comic novels or other text and/or visual content.
 6. Human -computer interaction method of graphical user interf"&amp;"ace: Graphic user interface can be applied by touching, knocking, sliding, dragging or clicking on the display screen panel or the operation interface to roll or operate the display screen panel displayed in other ways. The content is interacting for read"&amp;"ing, writing or editing.")</f>
        <v>1. Design product name: Display screen panel with reading graphic user interface.
 2. The purpose of designing products in this exterior: The display screen panel can be applied to computers, laptops, tablets, mobile phones, wearable devices, watches, smart watches, fitness equipment monitor, headset headphones, personal digital assistants, smart speakers, smart speakers Essence
 3. Design of the design of the product in appearance: lies in the graphic user interface.
 4. Pictures or photos that can most indicate design points: main view.
 5. The purpose of graphical user interface: Graphic user interface is used to read comic books, comic novels or other text and/or visual content.
 6. Human -computer interaction method of graphical user interface: Graphic user interface can be applied by touching, knocking, sliding, dragging or clicking on the display screen panel or the operation interface to roll or operate the display screen panel displayed in other ways. The content is interacting for reading, writing or editing.</v>
      </c>
      <c r="D1980" s="6" t="s">
        <v>5630</v>
      </c>
      <c r="E1980" s="4" t="str">
        <f ca="1">IFERROR(__xludf.DUMMYFUNCTION("GOOGLETRANSLATE(D1980,""auto"",""en"")"),"The display screen panel with reading graphic user interface")</f>
        <v>The display screen panel with reading graphic user interface</v>
      </c>
    </row>
    <row r="1981" spans="1:5" ht="15" x14ac:dyDescent="0.25">
      <c r="A1981" s="5" t="s">
        <v>5631</v>
      </c>
      <c r="B1981" s="6" t="s">
        <v>5632</v>
      </c>
      <c r="C1981" s="3" t="str">
        <f ca="1">IFERROR(__xludf.DUMMYFUNCTION("GOOGLETRANSLATE(B1981,""auto"",""en"")"),"1. Design product name: Touch interactive panel of smart troops.
 2. The purpose of designing products in this exterior: It is used for smart treadmills to realize the process of human -computer interaction through touch interactive panels, and the pend"&amp;"ant is fastened on the mechanical runner.
 3. Design of the design of the product in appearance: lies in the shape.
 4. Pictures or photos that can most indicate design points: Design 1 stereo drawing 1.
 5. Specify design 1 is the basic design.")</f>
        <v>1. Design product name: Touch interactive panel of smart troops.
 2. The purpose of designing products in this exterior: It is used for smart treadmills to realize the process of human -computer interaction through touch interactive panels, and the pendant is fastened on the mechanical runner.
 3. Design of the design of the product in appearance: lies in the shape.
 4. Pictures or photos that can most indicate design points: Design 1 stereo drawing 1.
 5. Specify design 1 is the basic design.</v>
      </c>
      <c r="D1981" s="6" t="s">
        <v>5633</v>
      </c>
      <c r="E1981" s="4" t="str">
        <f ca="1">IFERROR(__xludf.DUMMYFUNCTION("GOOGLETRANSLATE(D1981,""auto"",""en"")"),"Touch interactive panel of intelligent treadmill")</f>
        <v>Touch interactive panel of intelligent treadmill</v>
      </c>
    </row>
    <row r="1982" spans="1:5" ht="15" x14ac:dyDescent="0.25">
      <c r="A1982" s="5" t="s">
        <v>5634</v>
      </c>
      <c r="B1982" s="6" t="s">
        <v>5635</v>
      </c>
      <c r="C1982" s="3" t="str">
        <f ca="1">IFERROR(__xludf.DUMMYFUNCTION("GOOGLETRANSLATE(B1982,""auto"",""en"")"),"The recommended system can store user data, fitness level data and expert rules. User data can correspond to the health or fitness information about users. Fitness level data can correspond to information about fitness levels. Expert rule data can corresp"&amp;"ond to actions for achieving health goals. The recommendation system can be configured to determine health target data based on user data. You can determine health target data directly or infer. Health target data can be matched with expert rules. Expert "&amp;"rule data can be matched with fitness level data. Fitness level data can correspond to fitness levels consistent with user health goals. Recommended data corresponding to the recommended fitness level for users can be generated.")</f>
        <v>The recommended system can store user data, fitness level data and expert rules. User data can correspond to the health or fitness information about users. Fitness level data can correspond to information about fitness levels. Expert rule data can correspond to actions for achieving health goals. The recommendation system can be configured to determine health target data based on user data. You can determine health target data directly or infer. Health target data can be matched with expert rules. Expert rule data can be matched with fitness level data. Fitness level data can correspond to fitness levels consistent with user health goals. Recommended data corresponding to the recommended fitness level for users can be generated.</v>
      </c>
      <c r="D1982" s="6" t="s">
        <v>5636</v>
      </c>
      <c r="E1982" s="4" t="str">
        <f ca="1">IFERROR(__xludf.DUMMYFUNCTION("GOOGLETRANSLATE(D1982,""auto"",""en"")"),"Health and fitness recommendation system")</f>
        <v>Health and fitness recommendation system</v>
      </c>
    </row>
    <row r="1983" spans="1:5" ht="15" x14ac:dyDescent="0.25">
      <c r="A1983" s="5" t="s">
        <v>5637</v>
      </c>
      <c r="B1983" s="6" t="s">
        <v>5635</v>
      </c>
      <c r="C1983" s="3" t="str">
        <f ca="1">IFERROR(__xludf.DUMMYFUNCTION("GOOGLETRANSLATE(B1983,""auto"",""en"")"),"The recommended system can store user data, fitness level data and expert rules. User data can correspond to the health or fitness information about users. Fitness level data can correspond to information about fitness levels. Expert rule data can corresp"&amp;"ond to actions for achieving health goals. The recommendation system can be configured to determine health target data based on user data. You can determine health target data directly or infer. Health target data can be matched with expert rules. Expert "&amp;"rule data can be matched with fitness level data. Fitness level data can correspond to fitness levels consistent with user health goals. Recommended data corresponding to the recommended fitness level for users can be generated.")</f>
        <v>The recommended system can store user data, fitness level data and expert rules. User data can correspond to the health or fitness information about users. Fitness level data can correspond to information about fitness levels. Expert rule data can correspond to actions for achieving health goals. The recommendation system can be configured to determine health target data based on user data. You can determine health target data directly or infer. Health target data can be matched with expert rules. Expert rule data can be matched with fitness level data. Fitness level data can correspond to fitness levels consistent with user health goals. Recommended data corresponding to the recommended fitness level for users can be generated.</v>
      </c>
      <c r="D1983" s="6" t="s">
        <v>5636</v>
      </c>
      <c r="E1983" s="4" t="str">
        <f ca="1">IFERROR(__xludf.DUMMYFUNCTION("GOOGLETRANSLATE(D1983,""auto"",""en"")"),"Health and fitness recommendation system")</f>
        <v>Health and fitness recommendation system</v>
      </c>
    </row>
    <row r="1984" spans="1:5" ht="15" x14ac:dyDescent="0.25">
      <c r="A1984" s="5" t="s">
        <v>5638</v>
      </c>
      <c r="B1984" s="6" t="s">
        <v>5639</v>
      </c>
      <c r="C1984" s="3" t="str">
        <f ca="1">IFERROR(__xludf.DUMMYFUNCTION("GOOGLETRANSLATE(B1984,""auto"",""en"")"),"1. Design product name: Handwriting input graphical user interface of the display screen panel.
 2. Design product use: The display screen panel is used to display the graphical user interface.
 3. Design of the design of the product in appearance: li"&amp;"es in the graphic user interface.
 4. Pictures or photos that are best to show design points: change status Figure 2.
 5. The purpose of the graphical user interface: It is used for human -computer interaction and realizing the function of display scr"&amp;"een panels, and can be used to enter text through handwriting.
 6. Human -computer interaction method of graphical user interface: Graphic user interface can interact by touching, sliding, clicking, and lightning on the graphic user interface.
 7. Cha"&amp;"nge state description of the graphic user interface: By clicking between two words and maintained, the graphic user interface changes from the main view to the change state. The graphic user interface changes from the change state Figure 1 to the change s"&amp;"tate. The process of handwriting input words converts to typical words.
 8. The display screen panel can be applied to computers, laptops, tablets, mobile phones, smartphones, smart mobile phones, smart glasses, watches, smart watches, fitness monitor, "&amp;"wearing headphones, personal digital assistants, smart speakers, TVs, TV , Top box, game machine, navigator, display device for vehicles; display screen panels are commonly designed, so other views are omitted.")</f>
        <v>1. Design product name: Handwriting input graphical user interface of the display screen panel.
 2. Design product use: The display screen panel is used to display the graphical user interface.
 3. Design of the design of the product in appearance: lies in the graphic user interface.
 4. Pictures or photos that are best to show design points: change status Figure 2.
 5. The purpose of the graphical user interface: It is used for human -computer interaction and realizing the function of display screen panels, and can be used to enter text through handwriting.
 6. Human -computer interaction method of graphical user interface: Graphic user interface can interact by touching, sliding, clicking, and lightning on the graphic user interface.
 7. Change state description of the graphic user interface: By clicking between two words and maintained, the graphic user interface changes from the main view to the change state. The graphic user interface changes from the change state Figure 1 to the change state. The process of handwriting input words converts to typical words.
 8. The display screen panel can be applied to computers, laptops, tablets, mobile phones, smartphones, smart mobile phones, smart glasses, watches, smart watches, fitness monitor, wearing headphones, personal digital assistants, smart speakers, TVs, TV , Top box, game machine, navigator, display device for vehicles; display screen panels are commonly designed, so other views are omitted.</v>
      </c>
      <c r="D1984" s="6" t="s">
        <v>5640</v>
      </c>
      <c r="E1984" s="4" t="str">
        <f ca="1">IFERROR(__xludf.DUMMYFUNCTION("GOOGLETRANSLATE(D1984,""auto"",""en"")"),"Handwriting input graphical user interface of the display screen panel")</f>
        <v>Handwriting input graphical user interface of the display screen panel</v>
      </c>
    </row>
    <row r="1985" spans="1:5" ht="15" x14ac:dyDescent="0.25">
      <c r="A1985" s="5" t="s">
        <v>5641</v>
      </c>
      <c r="B1985" s="6" t="s">
        <v>5642</v>
      </c>
      <c r="C1985" s="3" t="str">
        <f ca="1">IFERROR(__xludf.DUMMYFUNCTION("GOOGLETRANSLATE(B1985,""auto"",""en"")"),"1. Design product name: Handwriting input dynamic graphic user interface of the display screen panel.
 2. Design product use: The display screen panel is used to display the graphical user interface.
 3. Design of the design of the product in appearan"&amp;"ce: lies in the graphic user interface.
 4. Pictures or photos that are best to show design points: change status Figure 2.
 5. The purpose of the graphical user interface: It is used for human -computer interaction and realizing the function of displ"&amp;"ay screen panels, and can be used to enter text through handwriting.
 6. Human -computer interaction method of graphical user interface: Graphic user interface can interact by touching, sliding, clicking, and lightning on the graphic user interface.
 "&amp;"7. Change state description of graphic user interface: Input text through the user handwritten, the graphic user interface changes from the main view to the change state. The process of typing style of text.
 8. The display screen panel can be applied t"&amp;"o computers, laptops, tablets, mobile phones, smartphones, smart mobile phones, smart glasses, watches, smart watches, fitness monitor, wearing headphones, personal digital assistants, smart speakers, TVs, TV , Top box, game consoles, navigators, display "&amp;"screens for vehicles; display screen panels are commonly designed, so they omit other views.")</f>
        <v>1. Design product name: Handwriting input dynamic graphic user interface of the display screen panel.
 2. Design product use: The display screen panel is used to display the graphical user interface.
 3. Design of the design of the product in appearance: lies in the graphic user interface.
 4. Pictures or photos that are best to show design points: change status Figure 2.
 5. The purpose of the graphical user interface: It is used for human -computer interaction and realizing the function of display screen panels, and can be used to enter text through handwriting.
 6. Human -computer interaction method of graphical user interface: Graphic user interface can interact by touching, sliding, clicking, and lightning on the graphic user interface.
 7. Change state description of graphic user interface: Input text through the user handwritten, the graphic user interface changes from the main view to the change state. The process of typing style of text.
 8. The display screen panel can be applied to computers, laptops, tablets, mobile phones, smartphones, smart mobile phones, smart glasses, watches, smart watches, fitness monitor, wearing headphones, personal digital assistants, smart speakers, TVs, TV , Top box, game consoles, navigators, display screens for vehicles; display screen panels are commonly designed, so they omit other views.</v>
      </c>
      <c r="D1985" s="6" t="s">
        <v>5643</v>
      </c>
      <c r="E1985" s="4" t="str">
        <f ca="1">IFERROR(__xludf.DUMMYFUNCTION("GOOGLETRANSLATE(D1985,""auto"",""en"")"),"Handwriting input dynamic graphic user interface of the display screen panel")</f>
        <v>Handwriting input dynamic graphic user interface of the display screen panel</v>
      </c>
    </row>
    <row r="1986" spans="1:5" ht="15" x14ac:dyDescent="0.25">
      <c r="A1986" s="5" t="s">
        <v>5644</v>
      </c>
      <c r="B1986" s="6" t="s">
        <v>5645</v>
      </c>
      <c r="C1986" s="3" t="str">
        <f ca="1">IFERROR(__xludf.DUMMYFUNCTION("GOOGLETRANSLATE(B1986,""auto"",""en"")"),"1. Design product name: Handwriting input graphical user interface of the display screen panel.
 2. Design product use: The display screen panel is used to display the graphical user interface.
 3. Design of the design of the product in appearance: li"&amp;"es in the graphic user interface.
 4. Pictures or photos that can most indicate the point of design: Design 1 change status Figure 1.
 5. Specify design 1 is the basic design.
 6. The purpose of the graphical user interface: It is used for human -ma"&amp;"chine interaction and realizing the function of display screen panels, and can be used to enter text through handwriting.
 7. Human -computer interaction method of graphical user interface: Graphic user interface can interact by touching, sliding, click"&amp;"ing, and lightning on the graphic user interface.
 8. Change state description of the graphic user interface: By pressing the text to be selected in the main view of the main view, the graphic user interface changes from design 1 to design 1 change stat"&amp;"e. Increase the outstanding display effect on the text. By further pressing the text shown in the state of design 1 in Figure 1, the graphic user interface changes from the change of the state of design 1 to the design 1 change state. The selected state; "&amp;"by pressing the text to be selected in the main view of the main view, the graphic user interface changes from the design 2 main view to the design 2 change state. Highlight the display effect. By further pressing the text shown in the state of design 2 i"&amp;"n Figure 1, the graphic user interface changes from design 2 changes to the design 2 change state. 2 to display the text of all handwritten inputs state.
 9. Design 1 Request to protect the color.
 The display screen panel can be applied to computers,"&amp;" laptops, tablet computers, mobile phones, smartphones, smart bracelets, smart glasses, watches, smart watches, fitness monitors, headset headphones, personal digital assistants, smart speakers, TV, set -top boxes , Gaming machines, navigators, and displa"&amp;"y for vehicles; display screen panels are commonly designed, so other views are omitted.")</f>
        <v>1. Design product name: Handwriting input graphical user interface of the display screen panel.
 2. Design product use: The display screen panel is used to display the graphical user interface.
 3. Design of the design of the product in appearance: lies in the graphic user interface.
 4. Pictures or photos that can most indicate the point of design: Design 1 change status Figure 1.
 5. Specify design 1 is the basic design.
 6. The purpose of the graphical user interface: It is used for human -machine interaction and realizing the function of display screen panels, and can be used to enter text through handwriting.
 7. Human -computer interaction method of graphical user interface: Graphic user interface can interact by touching, sliding, clicking, and lightning on the graphic user interface.
 8. Change state description of the graphic user interface: By pressing the text to be selected in the main view of the main view, the graphic user interface changes from design 1 to design 1 change state. Increase the outstanding display effect on the text. By further pressing the text shown in the state of design 1 in Figure 1, the graphic user interface changes from the change of the state of design 1 to the design 1 change state. The selected state; by pressing the text to be selected in the main view of the main view, the graphic user interface changes from the design 2 main view to the design 2 change state. Highlight the display effect. By further pressing the text shown in the state of design 2 in Figure 1, the graphic user interface changes from design 2 changes to the design 2 change state. 2 to display the text of all handwritten inputs state.
 9. Design 1 Request to protect the color.
 The display screen panel can be applied to computers, laptops, tablet computers, mobile phones, smartphones, smart bracelets, smart glasses, watches, smart watches, fitness monitors, headset headphones, personal digital assistants, smart speakers, TV, set -top boxes , Gaming machines, navigators, and display for vehicles; display screen panels are commonly designed, so other views are omitted.</v>
      </c>
      <c r="D1986" s="6" t="s">
        <v>5640</v>
      </c>
      <c r="E1986" s="4" t="str">
        <f ca="1">IFERROR(__xludf.DUMMYFUNCTION("GOOGLETRANSLATE(D1986,""auto"",""en"")"),"Handwriting input graphical user interface of the display screen panel")</f>
        <v>Handwriting input graphical user interface of the display screen panel</v>
      </c>
    </row>
    <row r="1987" spans="1:5" ht="15" x14ac:dyDescent="0.25">
      <c r="A1987" s="5" t="s">
        <v>5646</v>
      </c>
      <c r="B1987" s="6" t="s">
        <v>3493</v>
      </c>
      <c r="C1987" s="3" t="str">
        <f ca="1">IFERROR(__xludf.DUMMYFUNCTION("GOOGLETRANSLATE(B1987,""auto"",""en"")"),"A system of betting on the results of sports events. The system also includes the use of artificial intelligence to balance how much bets will lose, so as to encourage gamers to bet more, eventually win more profits and get greater gamers user groups. Due"&amp;" to the larger market share, this allows systems to reduce instant profit in exchange for long -term profits.")</f>
        <v>A system of betting on the results of sports events. The system also includes the use of artificial intelligence to balance how much bets will lose, so as to encourage gamers to bet more, eventually win more profits and get greater gamers user groups. Due to the larger market share, this allows systems to reduce instant profit in exchange for long -term profits.</v>
      </c>
      <c r="D1987" s="6" t="s">
        <v>3494</v>
      </c>
      <c r="E1987" s="4" t="str">
        <f ca="1">IFERROR(__xludf.DUMMYFUNCTION("GOOGLETRANSLATE(D1987,""auto"",""en"")"),"AI sports betting algorithm engine")</f>
        <v>AI sports betting algorithm engine</v>
      </c>
    </row>
    <row r="1988" spans="1:5" ht="15" x14ac:dyDescent="0.25">
      <c r="A1988" s="5" t="s">
        <v>5647</v>
      </c>
      <c r="B1988" s="6" t="s">
        <v>5648</v>
      </c>
      <c r="C1988" s="3" t="str">
        <f ca="1">IFERROR(__xludf.DUMMYFUNCTION("GOOGLETRANSLATE(B1988,""auto"",""en"")"),"The ticket exchange server is configured to determine the number of tickets to be distributed for the event. The ticket -changing server is the training data for the attendance of the stadium to visit the historical event, the historical opponent of the s"&amp;"ports team, and the historical winning record of the sports team. Ticket switching server training machine learning model, which is configured to predict the overall futures on the stadium based on the competitors of the sports team and the current or pre"&amp;"dictive winning records of the sports team in the future. The ticket exchange server selects the sports team to fight against the opponent, and uses a machine learning model to determine the predictive attendance rate. The ticket exchange server is recogn"&amp;"ized based on predictive attendance to identify the number of votes that are greater than the capacity of the stadium, and distribute the number of votes to the expected attendees.")</f>
        <v>The ticket exchange server is configured to determine the number of tickets to be distributed for the event. The ticket -changing server is the training data for the attendance of the stadium to visit the historical event, the historical opponent of the sports team, and the historical winning record of the sports team. Ticket switching server training machine learning model, which is configured to predict the overall futures on the stadium based on the competitors of the sports team and the current or predictive winning records of the sports team in the future. The ticket exchange server selects the sports team to fight against the opponent, and uses a machine learning model to determine the predictive attendance rate. The ticket exchange server is recognized based on predictive attendance to identify the number of votes that are greater than the capacity of the stadium, and distribute the number of votes to the expected attendees.</v>
      </c>
      <c r="D1988" s="6" t="s">
        <v>5649</v>
      </c>
      <c r="E1988" s="4" t="str">
        <f ca="1">IFERROR(__xludf.DUMMYFUNCTION("GOOGLETRANSLATE(D1988,""auto"",""en"")"),"Machine learning prediction for machine allocation of ticket distribution")</f>
        <v>Machine learning prediction for machine allocation of ticket distribution</v>
      </c>
    </row>
    <row r="1989" spans="1:5" ht="15" x14ac:dyDescent="0.25">
      <c r="A1989" s="5" t="s">
        <v>5650</v>
      </c>
      <c r="B1989" s="6" t="s">
        <v>125</v>
      </c>
      <c r="C1989" s="3" t="str">
        <f ca="1">IFERROR(__xludf.DUMMYFUNCTION("GOOGLETRANSLATE(B1989,""auto"",""en"")"),"The ticket switching server is configured to distribute the ticket certificate based on the predicted attendance rate. Ticket exchange server access describes a group of training data during the historical events of multiple historical events and a group "&amp;"of training data. Ticket exchange server uses training data training machine learning model. This model is configured to predict the possibility of stadium vacation during the event of the event according to real -time statistics. During the activity held"&amp;" in the stadium, the ticket exchange server detection was associated with the first votes of the first user. Ticket exchange servers determine the value of the second votes of the empty seat by applying the application of the machine learning model to the"&amp;" real -time statistics of the event, and assign the second vote to the second user.")</f>
        <v>The ticket switching server is configured to distribute the ticket certificate based on the predicted attendance rate. Ticket exchange server access describes a group of training data during the historical events of multiple historical events and a group of training data. Ticket exchange server uses training data training machine learning model. This model is configured to predict the possibility of stadium vacation during the event of the event according to real -time statistics. During the activity held in the stadium, the ticket exchange server detection was associated with the first votes of the first user. Ticket exchange servers determine the value of the second votes of the empty seat by applying the application of the machine learning model to the real -time statistics of the event, and assign the second vote to the second user.</v>
      </c>
      <c r="D1989" s="6" t="s">
        <v>126</v>
      </c>
      <c r="E1989" s="4" t="str">
        <f ca="1">IFERROR(__xludf.DUMMYFUNCTION("GOOGLETRANSLATE(D1989,""auto"",""en"")"),"Part of the votes of machine learning")</f>
        <v>Part of the votes of machine learning</v>
      </c>
    </row>
    <row r="1990" spans="1:5" ht="15" x14ac:dyDescent="0.25">
      <c r="A1990" s="5" t="s">
        <v>5651</v>
      </c>
      <c r="B1990" s="6" t="s">
        <v>5652</v>
      </c>
      <c r="C1990" s="3" t="str">
        <f ca="1">IFERROR(__xludf.DUMMYFUNCTION("GOOGLETRANSLATE(B1990,""auto"",""en"")"),"Use the water -quality alarm system that combines artificial intelligence and swimming pool water safety monitoring. With the help of the laser safety system, the motion sensor is used to detect the motion. If abnormalities are found, the alarm is sent to"&amp;" the processor for alert. The system also integrates the quality control sensor to ensure water quality and use laser lights to ensure that no other insects or animals are in the pool.")</f>
        <v>Use the water -quality alarm system that combines artificial intelligence and swimming pool water safety monitoring. With the help of the laser safety system, the motion sensor is used to detect the motion. If abnormalities are found, the alarm is sent to the processor for alert. The system also integrates the quality control sensor to ensure water quality and use laser lights to ensure that no other insects or animals are in the pool.</v>
      </c>
      <c r="D1990" s="6" t="s">
        <v>5653</v>
      </c>
      <c r="E1990" s="4" t="str">
        <f ca="1">IFERROR(__xludf.DUMMYFUNCTION("GOOGLETRANSLATE(D1990,""auto"",""en"")"),"Invention name: Artificial intelligence swimming pool water quality maintenance and safety system and method")</f>
        <v>Invention name: Artificial intelligence swimming pool water quality maintenance and safety system and method</v>
      </c>
    </row>
    <row r="1991" spans="1:5" ht="15" x14ac:dyDescent="0.25">
      <c r="A1991" s="5" t="s">
        <v>5654</v>
      </c>
      <c r="B1991" s="6" t="s">
        <v>5655</v>
      </c>
      <c r="C1991" s="3" t="str">
        <f ca="1">IFERROR(__xludf.DUMMYFUNCTION("GOOGLETRANSLATE(B1991,""auto"",""en"")"),"The present invention involves the technical field of athlete training methods, and specifically involves a training method and system of sprinting athletes based on deep learning. Including: Real -time video data collected during the running of sprinter "&amp;"starting training to get video image sequences; use the trained target detection framework to extract the image information when the sprinter starts training. The first section information of the sprinter and the first action feature point information est"&amp;"ablish the sample feature library, and use the data in the sample feature library to use the deep learning algorithm to update the training framework of the target; The action image information is compared to determine whether the movement of the sprinter"&amp;" starts training whether the action meets the training requirements. The present invention provides a more systematic, standard, good training effect on training methods and systems with good training effects.")</f>
        <v>The present invention involves the technical field of athlete training methods, and specifically involves a training method and system of sprinting athletes based on deep learning. Including: Real -time video data collected during the running of sprinter starting training to get video image sequences; use the trained target detection framework to extract the image information when the sprinter starts training. The first section information of the sprinter and the first action feature point information establish the sample feature library, and use the data in the sample feature library to use the deep learning algorithm to update the training framework of the target; The action image information is compared to determine whether the movement of the sprinter starts training whether the action meets the training requirements. The present invention provides a more systematic, standard, good training effect on training methods and systems with good training effects.</v>
      </c>
      <c r="D1991" s="6" t="s">
        <v>5656</v>
      </c>
      <c r="E1991" s="4" t="str">
        <f ca="1">IFERROR(__xludf.DUMMYFUNCTION("GOOGLETRANSLATE(D1991,""auto"",""en"")"),"A running training method and system based on deep learning athletes")</f>
        <v>A running training method and system based on deep learning athletes</v>
      </c>
    </row>
    <row r="1992" spans="1:5" ht="15" x14ac:dyDescent="0.25">
      <c r="A1992" s="5" t="s">
        <v>5657</v>
      </c>
      <c r="B1992" s="6" t="s">
        <v>5658</v>
      </c>
      <c r="C1992" s="3" t="str">
        <f ca="1">IFERROR(__xludf.DUMMYFUNCTION("GOOGLETRANSLATE(B1992,""auto"",""en"")"),"The present invention disclosed a table tennis trajectory tracking device and method based on deep learning. The devices include attitude sensor rackets, six -axis sensors, wireless transmission equipment, first camera, second camera, USB3.1 transmission "&amp;"equipment, FPGA, visual vision Processing unit, central processor, display, memory, GPRS module and network equipment. Two cameras capture table tennis screens, use FPGA, visual processing unit, and central processors to combine attitude sensor to obtain "&amp;"table tennis trajectory, and conduct trajectory analysis to get players hitting the ball, use memory storage data, and upload the cloud through the GPRS module to upload the clouds through the GPRS module to upload the clouds through the GPRS module. To r"&amp;"ealize real -time viewing. The present invention realizes the three -dimensional position of table tennis in real time and draws the trajectory of table tennis, so as to analyze the player's hitting situation and the equipment embedded deployment, use sma"&amp;"ll resources and easy operation.")</f>
        <v>The present invention disclosed a table tennis trajectory tracking device and method based on deep learning. The devices include attitude sensor rackets, six -axis sensors, wireless transmission equipment, first camera, second camera, USB3.1 transmission equipment, FPGA, visual vision Processing unit, central processor, display, memory, GPRS module and network equipment. Two cameras capture table tennis screens, use FPGA, visual processing unit, and central processors to combine attitude sensor to obtain table tennis trajectory, and conduct trajectory analysis to get players hitting the ball, use memory storage data, and upload the cloud through the GPRS module to upload the clouds through the GPRS module to upload the clouds through the GPRS module. To realize real -time viewing. The present invention realizes the three -dimensional position of table tennis in real time and draws the trajectory of table tennis, so as to analyze the player's hitting situation and the equipment embedded deployment, use small resources and easy operation.</v>
      </c>
      <c r="D1992" s="6" t="s">
        <v>5659</v>
      </c>
      <c r="E1992" s="4" t="str">
        <f ca="1">IFERROR(__xludf.DUMMYFUNCTION("GOOGLETRANSLATE(D1992,""auto"",""en"")"),"A trajectory tracking device and method based on deep learning")</f>
        <v>A trajectory tracking device and method based on deep learning</v>
      </c>
    </row>
    <row r="1993" spans="1:5" ht="15" x14ac:dyDescent="0.25">
      <c r="A1993" s="5" t="s">
        <v>5660</v>
      </c>
      <c r="B1993" s="6" t="s">
        <v>5661</v>
      </c>
      <c r="C1993" s="3" t="str">
        <f ca="1">IFERROR(__xludf.DUMMYFUNCTION("GOOGLETRANSLATE(B1993,""auto"",""en"")"),"A system that is used to track the competitions on the runway includes multiple object recognition equipment, which are positioned to identify objects that are predetermined along the runway. Object recognition equipment is configured to identify at least"&amp;" one body characteristics of each contestant. The processing device is configured to determine the time of the selected predetermined location based on the object recognition data from the object recognition device at least one object recognition data fro"&amp;"m the object recognition device. The transmitter is configured to send the participants at the time of the selected location to the output device during the competition.")</f>
        <v>A system that is used to track the competitions on the runway includes multiple object recognition equipment, which are positioned to identify objects that are predetermined along the runway. Object recognition equipment is configured to identify at least one body characteristics of each contestant. The processing device is configured to determine the time of the selected predetermined location based on the object recognition data from the object recognition device at least one object recognition data from the object recognition device. The transmitter is configured to send the participants at the time of the selected location to the output device during the competition.</v>
      </c>
      <c r="D1993" s="6" t="s">
        <v>5662</v>
      </c>
      <c r="E1993" s="4" t="str">
        <f ca="1">IFERROR(__xludf.DUMMYFUNCTION("GOOGLETRANSLATE(D1993,""auto"",""en"")"),"For the participating sports event market, artificial intelligence -based timing, imaging and tracking system")</f>
        <v>For the participating sports event market, artificial intelligence -based timing, imaging and tracking system</v>
      </c>
    </row>
    <row r="1994" spans="1:5" ht="15" x14ac:dyDescent="0.25">
      <c r="A1994" s="5" t="s">
        <v>5663</v>
      </c>
      <c r="B1994" s="6" t="s">
        <v>5664</v>
      </c>
      <c r="C1994" s="3" t="str">
        <f ca="1">IFERROR(__xludf.DUMMYFUNCTION("GOOGLETRANSLATE(B1994,""auto"",""en"")"),"1. Design product name: Display screen panel with the historical information graphics user interface with the historical information of the event.
 2. The purpose of designing products in this exterior: The design of the product in this exterior is used"&amp;" for running programs, display information and/or communication.
 3. Design of the design of the product in this exterior: lies in the graphic user interface content displayed in the display screen panel.
 4. Pictures or photos that can most indicate "&amp;"design points: main view.
 5. The display screen panel is the existing design, which does not involve design points, and other views are omitted.
 6. The purpose of the graphical user interface: The graphic user interface of the display screen panel i"&amp;"s used for the interactive interface of historical competition information.
 7. The area of ​​the graphical user interface in the product: the interface in the display screen panel.
 8. Human -computer interaction method of graphical user interface: T"&amp;"he main view is displayed as the main interface of the event, and above the interface is the upcoming football game. Star representative; change status figure 1 is the change map displayed after clicking the ""View All events"" button in the main screen. "&amp;"The interface shows the historical battle record of the two teams that will be played on the main interface in the near future in the order of the main interface; Change status Figure 2 is the change diagram displayed by clicking the ""opponent's club"" c"&amp;"ard or sliding operation in the main view. The interface shows the performance data of the player in the goal game.
 The design is attached to the display screen panel, which can be used for mobile phones, smart panels, smart watches and tablets.")</f>
        <v>1. Design product name: Display screen panel with the historical information graphics user interface with the historical information of the event.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design points: main view.
 5. The display screen panel is the existing design, which does not involve design points, and other views are omitted.
 6. The purpose of the graphical user interface: The graphic user interface of the display screen panel is used for the interactive interface of historical competition information.
 7. The area of ​​the graphical user interface in the product: the interface in the display screen panel.
 8. Human -computer interaction method of graphical user interface: The main view is displayed as the main interface of the event, and above the interface is the upcoming football game. Star representative; change status figure 1 is the change map displayed after clicking the "View All events" button in the main screen. The interface shows the historical battle record of the two teams that will be played on the main interface in the near future in the order of the main interface; Change status Figure 2 is the change diagram displayed by clicking the "opponent's club" card or sliding operation in the main view. The interface shows the performance data of the player in the goal game.
 The design is attached to the display screen panel, which can be used for mobile phones, smart panels, smart watches and tablets.</v>
      </c>
      <c r="D1994" s="6" t="s">
        <v>5665</v>
      </c>
      <c r="E1994" s="4" t="str">
        <f ca="1">IFERROR(__xludf.DUMMYFUNCTION("GOOGLETRANSLATE(D1994,""auto"",""en"")"),"Display screen panel with the historical information graphics user interface with the event")</f>
        <v>Display screen panel with the historical information graphics user interface with the event</v>
      </c>
    </row>
    <row r="1995" spans="1:5" ht="15" x14ac:dyDescent="0.25">
      <c r="A1995" s="5" t="s">
        <v>5666</v>
      </c>
      <c r="B1995" s="6" t="s">
        <v>5667</v>
      </c>
      <c r="C1995" s="3" t="str">
        <f ca="1">IFERROR(__xludf.DUMMYFUNCTION("GOOGLETRANSLATE(B1995,""auto"",""en"")"),"A system that is used to track the competition on the track includes multiple object recognition equipment. These object recognition equipment is positioned to identify objects at the predetermined position along the track. Object recognition equipment is"&amp;" configured to identify at least one body characteristics of each contestant. The processing device is configured to determine the time for the participants to reach a selected location in the predetermined position during the competition. The transmitter"&amp;" is configured to send the participants to the output device when the participants reach the selected location during the competition.")</f>
        <v>A system that is used to track the competition on the track includes multiple object recognition equipment. These object recognition equipment is positioned to identify objects at the predetermined position along the track. Object recognition equipment is configured to identify at least one body characteristics of each contestant. The processing device is configured to determine the time for the participants to reach a selected location in the predetermined position during the competition. The transmitter is configured to send the participants to the output device when the participants reach the selected location during the competition.</v>
      </c>
      <c r="D1995" s="6" t="s">
        <v>5662</v>
      </c>
      <c r="E1995" s="4" t="str">
        <f ca="1">IFERROR(__xludf.DUMMYFUNCTION("GOOGLETRANSLATE(D1995,""auto"",""en"")"),"For the participating sports event market, artificial intelligence -based timing, imaging and tracking system")</f>
        <v>For the participating sports event market, artificial intelligence -based timing, imaging and tracking system</v>
      </c>
    </row>
    <row r="1996" spans="1:5" ht="15" x14ac:dyDescent="0.25">
      <c r="A1996" s="5" t="s">
        <v>5668</v>
      </c>
      <c r="B1996" s="6" t="s">
        <v>5669</v>
      </c>
      <c r="C1996" s="3" t="str">
        <f ca="1">IFERROR(__xludf.DUMMYFUNCTION("GOOGLETRANSLATE(B1996,""auto"",""en"")"),"Invention name: Use the artificial intelligence pool alarm system and method Abstract: Due to the negligence of swimmers, naive learners and security measures, many deaths have occurred in the swimming pool. The present invention disclosed a security alar"&amp;"m system that observes the personnel in the swimming pool by monitoring the camera. The continuous monitoring system captures the image based on the availability of personnel availability in the swimming pool. With the help of image processing technology,"&amp;" it is detected to detect drowning or unhealthy behaviors. The system, the Chi authorities will receive the alarm to take a quick action. The present invention guarantees people's safety, not drowned, and guarantees a safe environment. The system also ens"&amp;"ures continuous monitoring of personnel in the pool based on sensors.")</f>
        <v>Invention name: Use the artificial intelligence pool alarm system and method Abstract: Due to the negligence of swimmers, naive learners and security measures, many deaths have occurred in the swimming pool. The present invention disclosed a security alarm system that observes the personnel in the swimming pool by monitoring the camera. The continuous monitoring system captures the image based on the availability of personnel availability in the swimming pool. With the help of image processing technology, it is detected to detect drowning or unhealthy behaviors. The system, the Chi authorities will receive the alarm to take a quick action. The present invention guarantees people's safety, not drowned, and guarantees a safe environment. The system also ensures continuous monitoring of personnel in the pool based on sensors.</v>
      </c>
      <c r="D1996" s="6" t="s">
        <v>5670</v>
      </c>
      <c r="E1996" s="4" t="str">
        <f ca="1">IFERROR(__xludf.DUMMYFUNCTION("GOOGLETRANSLATE(D1996,""auto"",""en"")"),"Invention name: Use an artificial intelligence swimming pool alarm system and method")</f>
        <v>Invention name: Use an artificial intelligence swimming pool alarm system and method</v>
      </c>
    </row>
    <row r="1997" spans="1:5" ht="15" x14ac:dyDescent="0.25">
      <c r="A1997" s="5" t="s">
        <v>5671</v>
      </c>
      <c r="B1997" s="6" t="s">
        <v>5672</v>
      </c>
      <c r="C1997" s="3" t="str">
        <f ca="1">IFERROR(__xludf.DUMMYFUNCTION("GOOGLETRANSLATE(B1997,""auto"",""en"")"),"A system and method for video analysis for golf games were released. In one embodiment, the camera captures videos from the different angles of the golf player's swing and/or hitting the ball; the system network includes: processing modules to receive vid"&amp;"eos, 3D modeling on the trajectory of the swing/hitting ball, And perform 3D modeling for golf players; a machine learning module to receive the 3D swing trajectory of the professional golf player/hit the ball and golf player model, and according to the p"&amp;"rofessional golf player's swing/hit The aggregation of the ball calculates the 3D model of one or more reference swing; stores the database of the reference swing/strike; the analysis module is configured to receive the 3D swing/hit trajectory model of th"&amp;"e golf player and the 3D golf player model. The trajectory model is compared with the reference swing, and the recommendation of the golf player is calculated based on the comparison; the display module is configured to display recommendation to the golf "&amp;"player.")</f>
        <v>A system and method for video analysis for golf games were released. In one embodiment, the camera captures videos from the different angles of the golf player's swing and/or hitting the ball; the system network includes: processing modules to receive videos, 3D modeling on the trajectory of the swing/hitting ball, And perform 3D modeling for golf players; a machine learning module to receive the 3D swing trajectory of the professional golf player/hit the ball and golf player model, and according to the professional golf player's swing/hit The aggregation of the ball calculates the 3D model of one or more reference swing; stores the database of the reference swing/strike; the analysis module is configured to receive the 3D swing/hit trajectory model of the golf player and the 3D golf player model. The trajectory model is compared with the reference swing, and the recommendation of the golf player is calculated based on the comparison; the display module is configured to display recommendation to the golf player.</v>
      </c>
      <c r="D1997" s="6" t="s">
        <v>5673</v>
      </c>
      <c r="E1997" s="4" t="str">
        <f ca="1">IFERROR(__xludf.DUMMYFUNCTION("GOOGLETRANSLATE(D1997,""auto"",""en"")"),"Golf game video analysis system")</f>
        <v>Golf game video analysis system</v>
      </c>
    </row>
    <row r="1998" spans="1:5" ht="15" x14ac:dyDescent="0.25">
      <c r="A1998" s="5" t="s">
        <v>5674</v>
      </c>
      <c r="B1998" s="6" t="s">
        <v>5675</v>
      </c>
      <c r="C1998" s="3" t="str">
        <f ca="1">IFERROR(__xludf.DUMMYFUNCTION("GOOGLETRANSLATE(B1998,""auto"",""en"")"),"The present invention involves a comprehensive wearable gym solution device and its operating methods that use the Internet of Things technology to link all fitness equipment.
  The present invention includes multiple fitness equipment (100A, 100B, 100C"&amp;", 100D, 100E), which is assigned the unique ID and label for certification; user terminal 200 is equipped with authentication devices for user recognition and and multiple fitness equipment with multiple fitness equipment 100A, 100B, 100C, 100D, and 100E "&amp;"pairing; fitness data collection unit 300 is attached to multiple fitness equipment 100A, 100B, 100C, 100D, 100E for each ID. Best fitness effects provide customized training methods for 100A, 100B, 100C, 100D, 100E, 100A, 100A, 100C, 100D, and 100E for t"&amp;"he fitness equipment collected from the device 300.")</f>
        <v>The present invention involves a comprehensive wearable gym solution device and its operating methods that use the Internet of Things technology to link all fitness equipment.
  The present invention includes multiple fitness equipment (100A, 100B, 100C, 100D, 100E), which is assigned the unique ID and label for certification; user terminal 200 is equipped with authentication devices for user recognition and and multiple fitness equipment with multiple fitness equipment 100A, 100B, 100C, 100D, and 100E pairing; fitness data collection unit 300 is attached to multiple fitness equipment 100A, 100B, 100C, 100D, 100E for each ID. Best fitness effects provide customized training methods for 100A, 100B, 100C, 100D, 100E, 100A, 100A, 100C, 100D, and 100E for the fitness equipment collected from the device 300.</v>
      </c>
      <c r="D1998" s="6" t="s">
        <v>5676</v>
      </c>
      <c r="E1998" s="4" t="str">
        <f ca="1">IFERROR(__xludf.DUMMYFUNCTION("GOOGLETRANSLATE(D1998,""auto"",""en"")"),"A comprehensive solution device and operation method that uses the Internet of Things technology to link all fitness equipment and its operation method")</f>
        <v>A comprehensive solution device and operation method that uses the Internet of Things technology to link all fitness equipment and its operation method</v>
      </c>
    </row>
    <row r="1999" spans="1:5" ht="15" x14ac:dyDescent="0.25">
      <c r="A1999" s="5" t="s">
        <v>5677</v>
      </c>
      <c r="B1999" s="6" t="s">
        <v>5678</v>
      </c>
      <c r="C1999" s="3" t="str">
        <f ca="1">IFERROR(__xludf.DUMMYFUNCTION("GOOGLETRANSLATE(B1999,""auto"",""en"")"),"This practical new model provides a smart cylinder resistance Harker squat machine, including the L -type main bracket, the front end of the L -type main bracket is equipped with a fitness operating component, auxiliary brackets with a back end, and the r"&amp;"ear part of the main bracket level of the L -type main bracket. There is a tilt -off -decoken anti -slip pad, which is characterized by the human -computer interaction unit on the auxiliary bracket, and the human -computer interaction unit is connected to"&amp;" the control unit set in the auxiliary bracket; The unit is connected; the back end of the rotating bracket is equipped with vertical support rack, and the top of the vertical support frame is fixed with the fixed rack; The rotating bracket hinge; the cus"&amp;"hion is set on the back side of the fixed frame. There are two shoulder pads on the cushion, and one handle is provided on the left and right sides of the cushion. This utility model can exert its initiative to the fitness person, thereby effectively impr"&amp;"oving the effect of fitness.")</f>
        <v>This practical new model provides a smart cylinder resistance Harker squat machine, including the L -type main bracket, the front end of the L -type main bracket is equipped with a fitness operating component, auxiliary brackets with a back end, and the rear part of the main bracket level of the L -type main bracket. There is a tilt -off -decoken anti -slip pad, which is characterized by the human -computer interaction unit on the auxiliary bracket, and the human -computer interaction unit is connected to the control unit set in the auxiliary bracket; The unit is connected; the back end of the rotating bracket is equipped with vertical support rack, and the top of the vertical support frame is fixed with the fixed rack; The rotating bracket hinge; the cushion is set on the back side of the fixed frame. There are two shoulder pads on the cushion, and one handle is provided on the left and right sides of the cushion. This utility model can exert its initiative to the fitness person, thereby effectively improving the effect of fitness.</v>
      </c>
      <c r="D1999" s="6" t="s">
        <v>5679</v>
      </c>
      <c r="E1999" s="4" t="str">
        <f ca="1">IFERROR(__xludf.DUMMYFUNCTION("GOOGLETRANSLATE(D1999,""auto"",""en"")"),"Smart cylinder resistance Hak squat machine")</f>
        <v>Smart cylinder resistance Hak squat machine</v>
      </c>
    </row>
    <row r="2000" spans="1:5" ht="15" x14ac:dyDescent="0.25">
      <c r="A2000" s="5" t="s">
        <v>5680</v>
      </c>
      <c r="B2000" s="6" t="s">
        <v>5681</v>
      </c>
      <c r="C2000" s="3" t="str">
        <f ca="1">IFERROR(__xludf.DUMMYFUNCTION("GOOGLETRANSLATE(B2000,""auto"",""en"")"),"This publicity is about a step counting method, device, equipment, and storage medium. Each data sampling length corresponding to multiple sub -data fragments; one sub -data fragment that is intercepted based on the length of at least two data sampling le"&amp;"ngths is used as one input data and entered into the deep neural network of pre -trained. The one -step sub -step result corresponding to the input data is accumulated in the single steps corresponding to each input data, and the total step results in the"&amp;" current period of time are obtained. This disclosure can adapt to the data characteristics of various steps such as running and walking, and improve the accuracy of determining the results of the single steps, which can improve the accuracy of the total "&amp;"steps based on the subsequent steps.")</f>
        <v>This publicity is about a step counting method, device, equipment, and storage medium. Each data sampling length corresponding to multiple sub -data fragments; one sub -data fragment that is intercepted based on the length of at least two data sampling lengths is used as one input data and entered into the deep neural network of pre -trained. The one -step sub -step result corresponding to the input data is accumulated in the single steps corresponding to each input data, and the total step results in the current period of time are obtained. This disclosure can adapt to the data characteristics of various steps such as running and walking, and improve the accuracy of determining the results of the single steps, which can improve the accuracy of the total steps based on the subsequent steps.</v>
      </c>
      <c r="D2000" s="6" t="s">
        <v>5682</v>
      </c>
      <c r="E2000" s="4" t="str">
        <f ca="1">IFERROR(__xludf.DUMMYFUNCTION("GOOGLETRANSLATE(D2000,""auto"",""en"")"),"Step counting method, device, equipment and storage medium")</f>
        <v>Step counting method, device, equipment and storage medium</v>
      </c>
    </row>
    <row r="2001" spans="1:5" ht="15" x14ac:dyDescent="0.25">
      <c r="A2001" s="5" t="s">
        <v>5683</v>
      </c>
      <c r="B2001" s="6" t="s">
        <v>5684</v>
      </c>
      <c r="C2001" s="3" t="str">
        <f ca="1">IFERROR(__xludf.DUMMYFUNCTION("GOOGLETRANSLATE(B2001,""auto"",""en"")"),"The invention objectively evaluates the user's muscle strength to determine the muscles to be strengthened, and on this basis enables the user to set the expected goals, and objectively evaluate the movement of the goal to provide the appropriate movement"&amp;" that meets the goal. A recommendation system that can be recommended for cloud -based artificial intelligence power, more specifically, involves a user group involving users who use muscle charts (10) and individual terminals (20) to classify muscle stat"&amp;"us according to personal characteristics. Essence The information of each muscle state compares and evaluates the user's muscle status with the statistical information of each user group. Users can set the muscle state required by the user group as the go"&amp;"al of strength training. It involves cloud -based artificial intelligence -based artificial intelligence Power training guidance system, receive a group of experts, and choose and recommend appropriate exercises based on fitness conditions.")</f>
        <v>The invention objectively evaluates the user's muscle strength to determine the muscles to be strengthened, and on this basis enables the user to set the expected goals, and objectively evaluate the movement of the goal to provide the appropriate movement that meets the goal. A recommendation system that can be recommended for cloud -based artificial intelligence power, more specifically, involves a user group involving users who use muscle charts (10) and individual terminals (20) to classify muscle status according to personal characteristics. Essence The information of each muscle state compares and evaluates the user's muscle status with the statistical information of each user group. Users can set the muscle state required by the user group as the goal of strength training. It involves cloud -based artificial intelligence -based artificial intelligence Power training guidance system, receive a group of experts, and choose and recommend appropriate exercises based on fitness conditions.</v>
      </c>
      <c r="D2001" s="6" t="s">
        <v>5685</v>
      </c>
      <c r="E2001" s="4" t="str">
        <f ca="1">IFERROR(__xludf.DUMMYFUNCTION("GOOGLETRANSLATE(D2001,""auto"",""en"")"),"Cloud -based artificial intelligence training guidance system")</f>
        <v>Cloud -based artificial intelligence training guidance system</v>
      </c>
    </row>
    <row r="2002" spans="1:5" ht="15" x14ac:dyDescent="0.25">
      <c r="A2002" s="5" t="s">
        <v>5686</v>
      </c>
      <c r="B2002" s="6" t="s">
        <v>5687</v>
      </c>
      <c r="C2002" s="3" t="str">
        <f ca="1">IFERROR(__xludf.DUMMYFUNCTION("GOOGLETRANSLATE(B2002,""auto"",""en"")"),"The present invention disclosed a method of foul action recognition method that combines multi -modal feature analysis and neural networks, including: real -time extraction of athletes' character images, sports posture sequences, and light flow data; In t"&amp;"he network, obtain the characteristics of athlete space; use the sequence of the motion gesture as a diagram of the convolutional neural network with a diagram of the direction. After extraction features, send it into the time relationship network to obta"&amp;"in the characteristics of the athlete's light flow movement information; two or two pairs of the three characteristics obtained, the three aggregation characteristics are obtained, and the convolutional neural networks are sent separately. The weighted co"&amp;"nvergence is to obtain the final overall human multi -mode fusion movement characteristics, and send it into the full connection network to obtain the final action classification identification results. The present invention improves the accuracy of athle"&amp;"tes' foul action recognition.")</f>
        <v>The present invention disclosed a method of foul action recognition method that combines multi -modal feature analysis and neural networks, including: real -time extraction of athletes' character images, sports posture sequences, and light flow data; In the network, obtain the characteristics of athlete space; use the sequence of the motion gesture as a diagram of the convolutional neural network with a diagram of the direction. After extraction features, send it into the time relationship network to obtain the characteristics of the athlete's light flow movement information; two or two pairs of the three characteristics obtained, the three aggregation characteristics are obtained, and the convolutional neural networks are sent separately. The weighted convergence is to obtain the final overall human multi -mode fusion movement characteristics, and send it into the full connection network to obtain the final action classification identification results. The present invention improves the accuracy of athletes' foul action recognition.</v>
      </c>
      <c r="D2002" s="6" t="s">
        <v>5688</v>
      </c>
      <c r="E2002" s="4" t="str">
        <f ca="1">IFERROR(__xludf.DUMMYFUNCTION("GOOGLETRANSLATE(D2002,""auto"",""en"")"),"A method of foul action recognition method combined with multi -modal feature analysis and neural network")</f>
        <v>A method of foul action recognition method combined with multi -modal feature analysis and neural network</v>
      </c>
    </row>
    <row r="2003" spans="1:5" ht="15" x14ac:dyDescent="0.25">
      <c r="A2003" s="5" t="s">
        <v>5689</v>
      </c>
      <c r="B2003" s="6" t="s">
        <v>5690</v>
      </c>
      <c r="C2003" s="3" t="str">
        <f ca="1">IFERROR(__xludf.DUMMYFUNCTION("GOOGLETRANSLATE(B2003,""auto"",""en"")"),"The present invention involves the field of fitness equipment technology, which specifically refers to an entertainment and fitness device; including a rack with a central axis on the upper end of the rack, two rotated flat wings on the central axis; Ther"&amp;"e are two operating rods on the frame, and the two operating rods are installed on the rack through sliding bearings. The two operating rods are connected to the corresponding flat wing transmission to drive the two flat wings along the center shaft. The "&amp;"rack is equipped with a coin investment controller and the human -machine interactive device, and the coin investment controller is connected to the two operating rods, respectively; the invention structure is reasonable, and the operator holds two operat"&amp;"ing rods for push -pull movements to drive two flats. The movement of the wing is moved back and forth. As the frequency of promotion accelerates, the flat wings will gradually accelerate the rotation. The human -machine interaction equipment monitor the "&amp;"speed of the flat wing and play the data to the operator. The test function is more entertaining and improves the physical fitness of the whole people.")</f>
        <v>The present invention involves the field of fitness equipment technology, which specifically refers to an entertainment and fitness device; including a rack with a central axis on the upper end of the rack, two rotated flat wings on the central axis; There are two operating rods on the frame, and the two operating rods are installed on the rack through sliding bearings. The two operating rods are connected to the corresponding flat wing transmission to drive the two flat wings along the center shaft. The rack is equipped with a coin investment controller and the human -machine interactive device, and the coin investment controller is connected to the two operating rods, respectively; the invention structure is reasonable, and the operator holds two operating rods for push -pull movements to drive two flats. The movement of the wing is moved back and forth. As the frequency of promotion accelerates, the flat wings will gradually accelerate the rotation. The human -machine interaction equipment monitor the speed of the flat wing and play the data to the operator. The test function is more entertaining and improves the physical fitness of the whole people.</v>
      </c>
      <c r="D2003" s="6" t="s">
        <v>5691</v>
      </c>
      <c r="E2003" s="4" t="str">
        <f ca="1">IFERROR(__xludf.DUMMYFUNCTION("GOOGLETRANSLATE(D2003,""auto"",""en"")"),"A kind of entertainment and fitness device")</f>
        <v>A kind of entertainment and fitness device</v>
      </c>
    </row>
    <row r="2004" spans="1:5" ht="15" x14ac:dyDescent="0.25">
      <c r="A2004" s="5" t="s">
        <v>5692</v>
      </c>
      <c r="B2004" s="6" t="s">
        <v>5693</v>
      </c>
      <c r="C2004" s="3" t="str">
        <f ca="1">IFERROR(__xludf.DUMMYFUNCTION("GOOGLETRANSLATE(B2004,""auto"",""en"")"),"The present invention has disclosed a wearable running monitoring and management system. Users can set their own running plans and running targets in advance. When users start running, they collect the index data of users running in real time, and they ar"&amp;"e preset with the user's running plan and the preset running plan and the user. The running task is compared to remind the user's task progress information. At the same time, the user's blood pressure and heart rate data are collected in real time during "&amp;"the running process of the user. When the user's blood pressure or heart rate data is higher than the preset threshold, the voice alarm prompt is reminded to remind the user to remind the user Stop exercise and continue to view your blood pressure and hea"&amp;"rt rate data. If you continue to be abnormal, you need to seek medical treatment immediately. The invention uses IoT technology to achieve comprehensive management of users running exercise. The safety of running exercise has good economic benefits and de"&amp;"velopment prospects.")</f>
        <v>The present invention has disclosed a wearable running monitoring and management system. Users can set their own running plans and running targets in advance. When users start running, they collect the index data of users running in real time, and they are preset with the user's running plan and the preset running plan and the user. The running task is compared to remind the user's task progress information. At the same time, the user's blood pressure and heart rate data are collected in real time during the running process of the user. When the user's blood pressure or heart rate data is higher than the preset threshold, the voice alarm prompt is reminded to remind the user to remind the user Stop exercise and continue to view your blood pressure and heart rate data. If you continue to be abnormal, you need to seek medical treatment immediately. The invention uses IoT technology to achieve comprehensive management of users running exercise. The safety of running exercise has good economic benefits and development prospects.</v>
      </c>
      <c r="D2004" s="6" t="s">
        <v>5694</v>
      </c>
      <c r="E2004" s="4" t="str">
        <f ca="1">IFERROR(__xludf.DUMMYFUNCTION("GOOGLETRANSLATE(D2004,""auto"",""en"")"),"A wearable running monitoring management system")</f>
        <v>A wearable running monitoring management system</v>
      </c>
    </row>
    <row r="2005" spans="1:5" ht="15" x14ac:dyDescent="0.25">
      <c r="A2005" s="5" t="s">
        <v>5695</v>
      </c>
      <c r="B2005" s="6" t="s">
        <v>5696</v>
      </c>
      <c r="C2005" s="3" t="str">
        <f ca="1">IFERROR(__xludf.DUMMYFUNCTION("GOOGLETRANSLATE(B2005,""auto"",""en"")"),"The present invention disclose a method and device that judges other human body from the video based on deep learning technology. This method uses deep learning model to extract the key bone points of the human body, determine the coordinates of key featu"&amp;"re points in the 3D coordinate system, output the n*m*3 matrix, and extract the continuous K frame data from the video data per second to form a new matrix N N N *K*M*3, calculate the trend vector of the shoulders, elbows, heads, trunks and knees in the n"&amp;"ew matrix, and relative displacement of the key feature points of the key feature points of the knees to determine the coordinates of the center point of each human torso in the new matrix. Calculate the key characteristic points of each human shoulder, e"&amp;"lbow, head, and knee in the new matrix relative to the angular momentum of the center point of the torso, calculate the acceleration of the angular momentum, and determine whether each human body in the new matrix meets the preset fall of the preset fall."&amp;" If the judgment conditions are met, if the output judgment result is a fall, the accident can be accurately determined that the accidental falling will be accurately judged, and the actions such as general sports and performance will be misjudged to the "&amp;"human body.")</f>
        <v>The present invention disclose a method and device that judges other human body from the video based on deep learning technology. This method uses deep learning model to extract the key bone points of the human body, determine the coordinates of key feature points in the 3D coordinate system, output the n*m*3 matrix, and extract the continuous K frame data from the video data per second to form a new matrix N N N *K*M*3, calculate the trend vector of the shoulders, elbows, heads, trunks and knees in the new matrix, and relative displacement of the key feature points of the key feature points of the knees to determine the coordinates of the center point of each human torso in the new matrix. Calculate the key characteristic points of each human shoulder, elbow, head, and knee in the new matrix relative to the angular momentum of the center point of the torso, calculate the acceleration of the angular momentum, and determine whether each human body in the new matrix meets the preset fall of the preset fall. If the judgment conditions are met, if the output judgment result is a fall, the accident can be accurately determined that the accidental falling will be accurately judged, and the actions such as general sports and performance will be misjudged to the human body.</v>
      </c>
      <c r="D2005" s="6" t="s">
        <v>5697</v>
      </c>
      <c r="E2005" s="4" t="str">
        <f ca="1">IFERROR(__xludf.DUMMYFUNCTION("GOOGLETRANSLATE(D2005,""auto"",""en"")"),"Based on deep learning, the method and device that judges the accidental fall of others from the video")</f>
        <v>Based on deep learning, the method and device that judges the accidental fall of others from the video</v>
      </c>
    </row>
    <row r="2006" spans="1:5" ht="15" x14ac:dyDescent="0.25">
      <c r="A2006" s="5" t="s">
        <v>5698</v>
      </c>
      <c r="B2006" s="6" t="s">
        <v>5699</v>
      </c>
      <c r="C2006" s="3" t="str">
        <f ca="1">IFERROR(__xludf.DUMMYFUNCTION("GOOGLETRANSLATE(B2006,""auto"",""en"")"),"The present invention is a engine. For any game in the ""Middle"" or any game in a single gaming game, it can calculate the ""basic odds"" (calculated by using historical database mining) and at least one odds. At least one result of a single game in the "&amp;"on -site event, at least two different odds formulas for crossing are created to create cross -odds. Then use artificial intelligence to associate cross -odds with the final odds of calculating odds. Then after the results of the competition are known, us"&amp;"ing machine learning to make the odds generated by each odds to formulate formulas are associated with the most favorable odds calculated by the previous competition.")</f>
        <v>The present invention is a engine. For any game in the "Middle" or any game in a single gaming game, it can calculate the "basic odds" (calculated by using historical database mining) and at least one odds. At least one result of a single game in the on -site event, at least two different odds formulas for crossing are created to create cross -odds. Then use artificial intelligence to associate cross -odds with the final odds of calculating odds. Then after the results of the competition are known, using machine learning to make the odds generated by each odds to formulate formulas are associated with the most favorable odds calculated by the previous competition.</v>
      </c>
      <c r="D2006" s="6" t="s">
        <v>3494</v>
      </c>
      <c r="E2006" s="4" t="str">
        <f ca="1">IFERROR(__xludf.DUMMYFUNCTION("GOOGLETRANSLATE(D2006,""auto"",""en"")"),"AI sports betting algorithm engine")</f>
        <v>AI sports betting algorithm engine</v>
      </c>
    </row>
    <row r="2007" spans="1:5" ht="15" x14ac:dyDescent="0.25">
      <c r="A2007" s="5" t="s">
        <v>5700</v>
      </c>
      <c r="B2007" s="6" t="s">
        <v>5701</v>
      </c>
      <c r="C2007" s="3" t="str">
        <f ca="1">IFERROR(__xludf.DUMMYFUNCTION("GOOGLETRANSLATE(B2007,""auto"",""en"")"),"The present invention provides a method of operating tickets based on natural language processing technology to obtain the existing distribution network operation ticket and build a database; build a compliance check model based on natural language proces"&amp;"sing technology; The compliance inspection model is trained, and the segmentation results and word marking sequences are obtained for the specific operation items. The segmentation results of the current operating task and the word marking sequence; the s"&amp;"egmentation results of the current operating task and the polymark sequence and the specific operating items in the rules library and the word -based marking sequences are matched and compared. The compliance is automatically inspected to reduce the labor"&amp;" intensity of staff, improve work efficiency, and ensure the accuracy of the invoicing.")</f>
        <v>The present invention provides a method of operating tickets based on natural language processing technology to obtain the existing distribution network operation ticket and build a database; build a compliance check model based on natural language processing technology; The compliance inspection model is trained, and the segmentation results and word marking sequences are obtained for the specific operation items. The segmentation results of the current operating task and the word marking sequence; the segmentation results of the current operating task and the polymark sequence and the specific operating items in the rules library and the word -based marking sequences are matched and compared. The compliance is automatically inspected to reduce the labor intensity of staff, improve work efficiency, and ensure the accuracy of the invoicing.</v>
      </c>
      <c r="D2007" s="6" t="s">
        <v>5702</v>
      </c>
      <c r="E2007" s="4" t="str">
        <f ca="1">IFERROR(__xludf.DUMMYFUNCTION("GOOGLETRANSLATE(D2007,""auto"",""en"")"),"Matching method of operating tickets based on natural language processing technology")</f>
        <v>Matching method of operating tickets based on natural language processing technology</v>
      </c>
    </row>
    <row r="2008" spans="1:5" ht="15" x14ac:dyDescent="0.25">
      <c r="A2008" s="5" t="s">
        <v>5703</v>
      </c>
      <c r="B2008" s="6" t="s">
        <v>5704</v>
      </c>
      <c r="C2008" s="3" t="str">
        <f ca="1">IFERROR(__xludf.DUMMYFUNCTION("GOOGLETRANSLATE(B2008,""auto"",""en"")"),"The invention disclosed the sunny sports system based on the Internet of Things and face recognition; it includes information collection terminals, terminal management modules, performance management modules, and motion prescription modules. The informati"&amp;"on collection terminal includes the main control module, the power module, the face recognition module, the wireless network module, the time control switch module and the card reader module; the terminal management module includes the terminal monitoring"&amp;" module and the route configuration module; the performance management module includes the performance preview module , Modify the module and the list module in batches. Based on the Internet of Things and face recognition technology, the invention realiz"&amp;"es data automatic collection, real -time update data, motion strength monitoring, automatic analysis comparison, exercise prescription implementation, and intelligent evaluation. The maximum scientific and fitness effects of fitness guidance can be used f"&amp;"or intelligent management of group long -distance running activities to reduce labor costs.")</f>
        <v>The invention disclosed the sunny sports system based on the Internet of Things and face recognition; it includes information collection terminals, terminal management modules, performance management modules, and motion prescription modules. The information collection terminal includes the main control module, the power module, the face recognition module, the wireless network module, the time control switch module and the card reader module; the terminal management module includes the terminal monitoring module and the route configuration module; the performance management module includes the performance preview module , Modify the module and the list module in batches. Based on the Internet of Things and face recognition technology, the invention realizes data automatic collection, real -time update data, motion strength monitoring, automatic analysis comparison, exercise prescription implementation, and intelligent evaluation. The maximum scientific and fitness effects of fitness guidance can be used for intelligent management of group long -distance running activities to reduce labor costs.</v>
      </c>
      <c r="D2008" s="6" t="s">
        <v>5705</v>
      </c>
      <c r="E2008" s="4" t="str">
        <f ca="1">IFERROR(__xludf.DUMMYFUNCTION("GOOGLETRANSLATE(D2008,""auto"",""en"")"),"Sunshine Sports System based on the Internet of Things and face recognition")</f>
        <v>Sunshine Sports System based on the Internet of Things and face recognition</v>
      </c>
    </row>
    <row r="2009" spans="1:5" ht="15" x14ac:dyDescent="0.25">
      <c r="A2009" s="5" t="s">
        <v>5706</v>
      </c>
      <c r="B2009" s="6" t="s">
        <v>5707</v>
      </c>
      <c r="C2009" s="3" t="str">
        <f ca="1">IFERROR(__xludf.DUMMYFUNCTION("GOOGLETRANSLATE(B2009,""auto"",""en"")"),"Intelligent mirror system collects and visualized users' appearance data through artificial intelligence (AI) technology. The system uses a variety of sensors and multiple cameras to obtain real -time appearance data. At the same time, users watch in the "&amp;"system mirror. By using artificial intelligence, systematically analyze data and create a user's three -dimensional (3D) virtual image, and then project 3D virtual image and measurement data to the display on the foldable mirror mirror. In addition, the s"&amp;"ystem provides the image/videos of the user's exercise posture, while displaying the coach's posture to guide the user's learning. In addition, the system can provide clothing suggestions by analyzing the user's current clothing and displaying the simulat"&amp;"ed 3D body comparison with the recommended clothing. All data and results are safely saved in the system. Therefore, the system provides a multifunctional and innovative smart mirror.")</f>
        <v>Intelligent mirror system collects and visualized users' appearance data through artificial intelligence (AI) technology. The system uses a variety of sensors and multiple cameras to obtain real -time appearance data. At the same time, users watch in the system mirror. By using artificial intelligence, systematically analyze data and create a user's three -dimensional (3D) virtual image, and then project 3D virtual image and measurement data to the display on the foldable mirror mirror. In addition, the system provides the image/videos of the user's exercise posture, while displaying the coach's posture to guide the user's learning. In addition, the system can provide clothing suggestions by analyzing the user's current clothing and displaying the simulated 3D body comparison with the recommended clothing. All data and results are safely saved in the system. Therefore, the system provides a multifunctional and innovative smart mirror.</v>
      </c>
      <c r="D2009" s="6" t="s">
        <v>5708</v>
      </c>
      <c r="E2009" s="4" t="str">
        <f ca="1">IFERROR(__xludf.DUMMYFUNCTION("GOOGLETRANSLATE(D2009,""auto"",""en"")"),"Smart mirror system for collecting and visual appearance information")</f>
        <v>Smart mirror system for collecting and visual appearance information</v>
      </c>
    </row>
    <row r="2010" spans="1:5" ht="15" x14ac:dyDescent="0.25">
      <c r="A2010" s="5" t="s">
        <v>5709</v>
      </c>
      <c r="B2010" s="6" t="s">
        <v>3513</v>
      </c>
      <c r="C2010" s="3" t="str">
        <f ca="1">IFERROR(__xludf.DUMMYFUNCTION("GOOGLETRANSLATE(B2010,""auto"",""en"")"),"A system of betting on the results of sports events. The system includes an artificial intelligence -based process that will notify users when users are interested in betting available. These notifications can be used to drive users to bet on the absence "&amp;"of unbalanced bets to reduce the risk of betting providers.")</f>
        <v>A system of betting on the results of sports events. The system includes an artificial intelligence -based process that will notify users when users are interested in betting available. These notifications can be used to drive users to bet on the absence of unbalanced bets to reduce the risk of betting providers.</v>
      </c>
      <c r="D2010" s="6" t="s">
        <v>5710</v>
      </c>
      <c r="E2010" s="4" t="str">
        <f ca="1">IFERROR(__xludf.DUMMYFUNCTION("GOOGLETRANSLATE(D2010,""auto"",""en"")"),"Use AI to display notifications from betting applications may affect normal betting")</f>
        <v>Use AI to display notifications from betting applications may affect normal betting</v>
      </c>
    </row>
    <row r="2011" spans="1:5" ht="15" x14ac:dyDescent="0.25">
      <c r="A2011" s="5" t="s">
        <v>5711</v>
      </c>
      <c r="B2011" s="6" t="s">
        <v>5712</v>
      </c>
      <c r="C2011" s="3" t="str">
        <f ca="1">IFERROR(__xludf.DUMMYFUNCTION("GOOGLETRANSLATE(B2011,""auto"",""en"")"),"The present invention disclose a professional corpus generation method in the field of power grid scheduling, including: extract the control knowledge, integrates the extraction of regulatory knowledge to generate dispatch professional physical corpus; Th"&amp;"e corpus, the present invention builds a corpus of the ""GM Calcium Collection+Dispatching Professional Clarge"". The corpus contains proper noun expressions in the field of regulation and control, which can effectively support the realization of voice re"&amp;"cognition and regulating voice interaction; The accuracy of the body knowledge entity is above 95%, which can well support the construction of a professional corpus, and the effect is far better than the existing word -split tools. The scheduling professi"&amp;"onal knowledge entities in the regulatory and control areas in the field of regulation and control are extracted to form a professional corpus.")</f>
        <v>The present invention disclose a professional corpus generation method in the field of power grid scheduling, including: extract the control knowledge, integrates the extraction of regulatory knowledge to generate dispatch professional physical corpus; The corpus, the present invention builds a corpus of the "GM Calcium Collection+Dispatching Professional Clarge". The corpus contains proper noun expressions in the field of regulation and control, which can effectively support the realization of voice recognition and regulating voice interaction; The accuracy of the body knowledge entity is above 95%, which can well support the construction of a professional corpus, and the effect is far better than the existing word -split tools. The scheduling professional knowledge entities in the regulatory and control areas in the field of regulation and control are extracted to form a professional corpus.</v>
      </c>
      <c r="D2011" s="6" t="s">
        <v>5713</v>
      </c>
      <c r="E2011" s="4" t="str">
        <f ca="1">IFERROR(__xludf.DUMMYFUNCTION("GOOGLETRANSLATE(D2011,""auto"",""en"")"),"A professional corpus generation method and system in the field of grid scheduling")</f>
        <v>A professional corpus generation method and system in the field of grid scheduling</v>
      </c>
    </row>
    <row r="2012" spans="1:5" ht="15" x14ac:dyDescent="0.25">
      <c r="A2012" s="5" t="s">
        <v>5714</v>
      </c>
      <c r="B2012" s="6" t="s">
        <v>5715</v>
      </c>
      <c r="C2012" s="3" t="str">
        <f ca="1">IFERROR(__xludf.DUMMYFUNCTION("GOOGLETRANSLATE(B2012,""auto"",""en"")"),"The present invention involves a volleyball action recognition method based on improving the dynamic time -based regular algorithm, including the steps as follows: first, get real -time action videos of volleyball sports; second, perform posture estimates"&amp;" and target detection of action videos, and obtain the key to the human body in the action video. Point time series and standard volleyball action videos each key point time sequence of the human body; finally, the distance between the sequences is calcul"&amp;"ated through the improved dynamic time regularity algorithm, and the accuracy of the volleyball action is judged according to the sequence distance of the two. The present invention solves the judgment of the standard volleyball action, greatly improves e"&amp;"fficiency, saves a lot of manpower, material resources and financial resources, and will also reduce the work burden of teachers. The implementation method is simple, the ideas are clear, and it has good economic value and is worthy of promotion. The inve"&amp;"ntion combines the research content and actual volleyball tests in the field of artificial intelligence to achieve the application of technology landing, which is conducive to promoting the combination of production and research.")</f>
        <v>The present invention involves a volleyball action recognition method based on improving the dynamic time -based regular algorithm, including the steps as follows: first, get real -time action videos of volleyball sports; second, perform posture estimates and target detection of action videos, and obtain the key to the human body in the action video. Point time series and standard volleyball action videos each key point time sequence of the human body; finally, the distance between the sequences is calculated through the improved dynamic time regularity algorithm, and the accuracy of the volleyball action is judged according to the sequence distance of the two. The present invention solves the judgment of the standard volleyball action, greatly improves efficiency, saves a lot of manpower, material resources and financial resources, and will also reduce the work burden of teachers. The implementation method is simple, the ideas are clear, and it has good economic value and is worthy of promotion. The invention combines the research content and actual volleyball tests in the field of artificial intelligence to achieve the application of technology landing, which is conducive to promoting the combination of production and research.</v>
      </c>
      <c r="D2012" s="6" t="s">
        <v>5716</v>
      </c>
      <c r="E2012" s="4" t="str">
        <f ca="1">IFERROR(__xludf.DUMMYFUNCTION("GOOGLETRANSLATE(D2012,""auto"",""en"")"),"A volleyball action recognition method based on improving the dynamic time -based regular algorithm")</f>
        <v>A volleyball action recognition method based on improving the dynamic time -based regular algorithm</v>
      </c>
    </row>
    <row r="2013" spans="1:5" ht="15" x14ac:dyDescent="0.25">
      <c r="A2013" s="5" t="s">
        <v>5717</v>
      </c>
      <c r="B2013" s="6" t="s">
        <v>5718</v>
      </c>
      <c r="C2013" s="3" t="str">
        <f ca="1">IFERROR(__xludf.DUMMYFUNCTION("GOOGLETRANSLATE(B2013,""auto"",""en"")"),"1. Design product name: steering wheel with communication and entertainment graphics user interface.
 2. The purpose of designing products in this exterior: The design of the product in this exterior is used to control the direction of the control targe"&amp;"t.
 3. Design of design products in this appearance: lies in the graphic user interface in the screen.
 4. Pictures or photos that can most indicate design points: main view.
 5. There is no design point for other views of the product, and other vie"&amp;"ws are omitted.
 6. The purpose of graphical user interface: control adjustment and adjustment of air conditioning and speed of the controlled target.
 7. Human -computer interaction method of graphical user interface: In the main view, users directly"&amp;" control the cruise speed adjustment and telephone access by operating panels; slide the left operation panel to the instrument push state interface in the main screen, slide the right operation panel to multimedia operation The interface, enter the chang"&amp;"ing state Figure 1; in the main visual map, slide the left operation panel to the air conditioning temperature adjustment interface, slide the right operating panel to the volume adjustment interface, enter the changing state Figure 2; in the main screen "&amp;"of the changing state Figure 2; , Enter the state of change status Figure 3; slide the left side and right on the right side of the main screen to the game operating interface to enter the changing state Figure 9; the change state Figure 3 click the left "&amp;"operating panel ""ON"" icon to enter the changing state Figure 4; In the main picture, click the ""round"" icon on the left to operate on the left to enter the state of change state. Icon, enter the state of change state Figure 6; change status Figure 1 c"&amp;"lick on the right operating panel ""circle"" (play) icon to enter the changing state Figure 7; change the upper and falling right operating panel in the state 7, enter the changing state Figure 8 ( The icon becomes brighter); change the left and right ope"&amp;"rating panels in Figure 9 to enter the changing state Figure 10 (icon brighten).")</f>
        <v>1. Design product name: steering wheel with communication and entertainment graphics user interface.
 2. The purpose of designing products in this exterior: The design of the product in this exterior is used to control the direction of the control target.
 3. Design of design products in this appearance: lies in the graphic user interface in the screen.
 4. Pictures or photos that can most indicate design points: main view.
 5. There is no design point for other views of the product, and other views are omitted.
 6. The purpose of graphical user interface: control adjustment and adjustment of air conditioning and speed of the controlled target.
 7. Human -computer interaction method of graphical user interface: In the main view, users directly control the cruise speed adjustment and telephone access by operating panels; slide the left operation panel to the instrument push state interface in the main screen, slide the right operation panel to multimedia operation The interface, enter the changing state Figure 1; in the main visual map, slide the left operation panel to the air conditioning temperature adjustment interface, slide the right operating panel to the volume adjustment interface, enter the changing state Figure 2; in the main screen of the changing state Figure 2; , Enter the state of change status Figure 3; slide the left side and right on the right side of the main screen to the game operating interface to enter the changing state Figure 9; the change state Figure 3 click the left operating panel "ON" icon to enter the changing state Figure 4; In the main picture, click the "round" icon on the left to operate on the left to enter the state of change state. Icon, enter the state of change state Figure 6; change status Figure 1 click on the right operating panel "circle" (play) icon to enter the changing state Figure 7; change the upper and falling right operating panel in the state 7, enter the changing state Figure 8 ( The icon becomes brighter); change the left and right operating panels in Figure 9 to enter the changing state Figure 10 (icon brighten).</v>
      </c>
      <c r="D2013" s="6" t="s">
        <v>5719</v>
      </c>
      <c r="E2013" s="4" t="str">
        <f ca="1">IFERROR(__xludf.DUMMYFUNCTION("GOOGLETRANSLATE(D2013,""auto"",""en"")"),"Bring the steering wheel with a communication and entertainment graphics user interface")</f>
        <v>Bring the steering wheel with a communication and entertainment graphics user interface</v>
      </c>
    </row>
    <row r="2014" spans="1:5" ht="15" x14ac:dyDescent="0.25">
      <c r="A2014" s="5" t="s">
        <v>5720</v>
      </c>
      <c r="B2014" s="6" t="s">
        <v>5721</v>
      </c>
      <c r="C2014" s="3" t="str">
        <f ca="1">IFERROR(__xludf.DUMMYFUNCTION("GOOGLETRANSLATE(B2014,""auto"",""en"")"),"1. Design product name: TV with a playback user interface with playback.
 2. Design products in appearance: used to display images or videos.
 3. Design of the design of the product in appearance: lies in the graphic user interface.
 4. Pictures or "&amp;"photos that can most indicate design points: main view.
 5. No design points, so omitted, omitted other positive film views other than the main view.
 6. The purpose of the graphic user interface: used to provide different playback selection entrances"&amp;": the main view also provides the results of recent popular events, watch the appointment entrance and competition schedule; State Figure 2 includes rotary posters and text notifications; interface use status Figure 3 provides common function inlets.
 7"&amp;". Graphic user interface is displayed in the product: display on the screen.
 8. Human -computer interaction method of graphic user interface: The main view of the focus moves to VIP and the area icon enters the interface use status figure 1 and the int"&amp;"erface use status graph 2, and the focus of the interface uses the status graph 3; the focus is highlighted.")</f>
        <v>1. Design product name: TV with a playback user interface with playback.
 2. Design products in appearance: used to display images or videos.
 3. Design of the design of the product in appearance: lies in the graphic user interface.
 4. Pictures or photos that can most indicate design points: main view.
 5. No design points, so omitted, omitted other positive film views other than the main view.
 6. The purpose of the graphic user interface: used to provide different playback selection entrances: the main view also provides the results of recent popular events, watch the appointment entrance and competition schedule; State Figure 2 includes rotary posters and text notifications; interface use status Figure 3 provides common function inlets.
 7. Graphic user interface is displayed in the product: display on the screen.
 8. Human -computer interaction method of graphic user interface: The main view of the focus moves to VIP and the area icon enters the interface use status figure 1 and the interface use status graph 2, and the focus of the interface uses the status graph 3; the focus is highlighted.</v>
      </c>
      <c r="D2014" s="6" t="s">
        <v>5722</v>
      </c>
      <c r="E2014" s="4" t="str">
        <f ca="1">IFERROR(__xludf.DUMMYFUNCTION("GOOGLETRANSLATE(D2014,""auto"",""en"")"),"TV with a playback user interface with playback")</f>
        <v>TV with a playback user interface with playback</v>
      </c>
    </row>
    <row r="2015" spans="1:5" ht="15" x14ac:dyDescent="0.25">
      <c r="A2015" s="5" t="s">
        <v>5723</v>
      </c>
      <c r="B2015" s="6" t="s">
        <v>5724</v>
      </c>
      <c r="C2015" s="3" t="str">
        <f ca="1">IFERROR(__xludf.DUMMYFUNCTION("GOOGLETRANSLATE(B2015,""auto"",""en"")"),"A system of betting on the results of on -site sports events in a certain time window. The system estimates the duration of the time window according to historical data. The window then at the end of the estimated duration or at the end of the betting the"&amp;"me that has occurred or is about to occur, so that users cannot bet on the results that have occurred. The estimate of the time window can be determined based on the statistical average of similar playback or an artificial intelligence -based algorithm or"&amp;" module.")</f>
        <v>A system of betting on the results of on -site sports events in a certain time window. The system estimates the duration of the time window according to historical data. The window then at the end of the estimated duration or at the end of the betting theme that has occurred or is about to occur, so that users cannot bet on the results that have occurred. The estimate of the time window can be determined based on the statistical average of similar playback or an artificial intelligence -based algorithm or module.</v>
      </c>
      <c r="D2015" s="6" t="s">
        <v>3594</v>
      </c>
      <c r="E2015" s="4" t="str">
        <f ca="1">IFERROR(__xludf.DUMMYFUNCTION("GOOGLETRANSLATE(D2015,""auto"",""en"")"),"Countdown to fixed betting window")</f>
        <v>Countdown to fixed betting window</v>
      </c>
    </row>
    <row r="2016" spans="1:5" ht="15" x14ac:dyDescent="0.25">
      <c r="A2016" s="5" t="s">
        <v>5725</v>
      </c>
      <c r="B2016" s="6" t="s">
        <v>518</v>
      </c>
      <c r="C2016" s="3" t="str">
        <f ca="1">IFERROR(__xludf.DUMMYFUNCTION("GOOGLETRANSLATE(B2016,""auto"",""en"")"),"-")</f>
        <v>-</v>
      </c>
      <c r="D2016" s="6" t="s">
        <v>5726</v>
      </c>
      <c r="E2016" s="4" t="str">
        <f ca="1">IFERROR(__xludf.DUMMYFUNCTION("GOOGLETRANSLATE(D2016,""auto"",""en"")"),"Based on competition status conversion forecast for future motion results machine learning system")</f>
        <v>Based on competition status conversion forecast for future motion results machine learning system</v>
      </c>
    </row>
    <row r="2017" spans="1:5" ht="15" x14ac:dyDescent="0.25">
      <c r="A2017" s="5" t="s">
        <v>5727</v>
      </c>
      <c r="B2017" s="6" t="s">
        <v>5728</v>
      </c>
      <c r="C2017" s="3" t="str">
        <f ca="1">IFERROR(__xludf.DUMMYFUNCTION("GOOGLETRANSLATE(B2017,""auto"",""en"")"),"The present invention analyzes the body of the user by using deep cameras and artificial intelligence technology. It is not subject to time and space restrictions, providing the best sports guidance service, and providing real -time video lecture services"&amp;" to real -time feedback between users. Coaches and multi -person participation involve a smart mirror that can be customized by user -defined body type, which can achieve 1: 1 matching motion or body -based group matching movement.")</f>
        <v>The present invention analyzes the body of the user by using deep cameras and artificial intelligence technology. It is not subject to time and space restrictions, providing the best sports guidance service, and providing real -time video lecture services to real -time feedback between users. Coaches and multi -person participation involve a smart mirror that can be customized by user -defined body type, which can achieve 1: 1 matching motion or body -based group matching movement.</v>
      </c>
      <c r="D2017" s="6" t="s">
        <v>5729</v>
      </c>
      <c r="E2017" s="4" t="str">
        <f ca="1">IFERROR(__xludf.DUMMYFUNCTION("GOOGLETRANSLATE(D2017,""auto"",""en"")"),"Smart mirrors that can realize user -defined body type management")</f>
        <v>Smart mirrors that can realize user -defined body type management</v>
      </c>
    </row>
    <row r="2018" spans="1:5" ht="15" x14ac:dyDescent="0.25">
      <c r="A2018" s="5" t="s">
        <v>5730</v>
      </c>
      <c r="B2018" s="6" t="s">
        <v>5731</v>
      </c>
      <c r="C2018" s="3" t="str">
        <f ca="1">IFERROR(__xludf.DUMMYFUNCTION("GOOGLETRANSLATE(B2018,""auto"",""en"")"),"The present invention involves a method and system that detects sports events, including the following steps: obtain image data for specific sports events; obtain multiple online text data related to specific sports competition images, of which online tex"&amp;"t data includes as about when to generate as about when to generate The writing time of the information of the online text data and the content information related to the content information of the online text data; the use of an artificial neural network"&amp;" that runs together, the analysis results of the writing time and writing content in the online text data are marked In the image data related to multiple sports events that are obtained in advance, multiple methods involve a wonderful image of sports, in"&amp;"cluding: extraction of at least one sports event data reflected by the text data of the text data.")</f>
        <v>The present invention involves a method and system that detects sports events, including the following steps: obtain image data for specific sports events; obtain multiple online text data related to specific sports competition images, of which online text data includes as about when to generate as about when to generate The writing time of the information of the online text data and the content information related to the content information of the online text data; the use of an artificial neural network that runs together, the analysis results of the writing time and writing content in the online text data are marked In the image data related to multiple sports events that are obtained in advance, multiple methods involve a wonderful image of sports, including: extraction of at least one sports event data reflected by the text data of the text data.</v>
      </c>
      <c r="D2018" s="6" t="s">
        <v>5732</v>
      </c>
      <c r="E2018" s="4" t="str">
        <f ca="1">IFERROR(__xludf.DUMMYFUNCTION("GOOGLETRANSLATE(D2018,""auto"",""en"")"),"Methods to detect sports events and systems that execute this method")</f>
        <v>Methods to detect sports events and systems that execute this method</v>
      </c>
    </row>
    <row r="2019" spans="1:5" ht="15" x14ac:dyDescent="0.25">
      <c r="A2019" s="5" t="s">
        <v>5733</v>
      </c>
      <c r="B2019" s="6" t="s">
        <v>5734</v>
      </c>
      <c r="C2019" s="3" t="str">
        <f ca="1">IFERROR(__xludf.DUMMYFUNCTION("GOOGLETRANSLATE(B2019,""auto"",""en"")"),"A system involving real -time analysis and collecting physiological data. The system allows users to collect players 'physiological data to create historical databases to predict and bet on players' actions in the game that have not yet occurred. Using al"&amp;"gorithms, you can use various physiological data collected by artificial intelligence or machine learning to increase betting odds. This algorithm can determine the results of the game through the player's physiological data, and these potential results p"&amp;"rovide additional data to the betting platform to provide improved betting odds to its users.")</f>
        <v>A system involving real -time analysis and collecting physiological data. The system allows users to collect players 'physiological data to create historical databases to predict and bet on players' actions in the game that have not yet occurred. Using algorithms, you can use various physiological data collected by artificial intelligence or machine learning to increase betting odds. This algorithm can determine the results of the game through the player's physiological data, and these potential results provide additional data to the betting platform to provide improved betting odds to its users.</v>
      </c>
      <c r="D2019" s="6" t="s">
        <v>5735</v>
      </c>
      <c r="E2019" s="4" t="str">
        <f ca="1">IFERROR(__xludf.DUMMYFUNCTION("GOOGLETRANSLATE(D2019,""auto"",""en"")"),"Odds based on physiological data")</f>
        <v>Odds based on physiological data</v>
      </c>
    </row>
    <row r="2020" spans="1:5" ht="15" x14ac:dyDescent="0.25">
      <c r="A2020" s="5" t="s">
        <v>5736</v>
      </c>
      <c r="B2020" s="6" t="s">
        <v>5737</v>
      </c>
      <c r="C2020" s="3" t="str">
        <f ca="1">IFERROR(__xludf.DUMMYFUNCTION("GOOGLETRANSLATE(B2020,""auto"",""en"")"),"The present invention involves a technology that can provide customized fitness guidance information to users by using multiple cameras installed in fitness centers. According to the embodiment of the present invention, the fitness server includes multipl"&amp;"e information collection units, using camera collection image information related to user, and machine learning to collect the collected image information to identify the user's identity information, action information, motion information, facial facial f"&amp;"acial facial facial facial facial facial facial At least one in emoji information, and the identification and artificial intelligence processing unit based on at least one information generating traffic guidance information and ride information, and feedb"&amp;"ack information provided unit, providing the generated traffic guidance information and ride information to users terminal.")</f>
        <v>The present invention involves a technology that can provide customized fitness guidance information to users by using multiple cameras installed in fitness centers. According to the embodiment of the present invention, the fitness server includes multiple information collection units, using camera collection image information related to user, and machine learning to collect the collected image information to identify the user's identity information, action information, motion information, facial facial facial facial facial facial facial facial facial At least one in emoji information, and the identification and artificial intelligence processing unit based on at least one information generating traffic guidance information and ride information, and feedback information provided unit, providing the generated traffic guidance information and ride information to users terminal.</v>
      </c>
      <c r="D2020" s="6" t="s">
        <v>5738</v>
      </c>
      <c r="E2020" s="4" t="str">
        <f ca="1">IFERROR(__xludf.DUMMYFUNCTION("GOOGLETRANSLATE(D2020,""auto"",""en"")"),"Use human face recognition and action recognition intelligent virtual fitness system and its operation method")</f>
        <v>Use human face recognition and action recognition intelligent virtual fitness system and its operation method</v>
      </c>
    </row>
    <row r="2021" spans="1:5" ht="15" x14ac:dyDescent="0.25">
      <c r="A2021" s="5" t="s">
        <v>5739</v>
      </c>
      <c r="B2021" s="6" t="s">
        <v>5740</v>
      </c>
      <c r="C2021" s="3" t="str">
        <f ca="1">IFERROR(__xludf.DUMMYFUNCTION("GOOGLETRANSLATE(B2021,""auto"",""en"")"),"The invention involves a system and method for monitoring and storage exercise and health data, as well as the evaluation results on the screen of the display device. The open systems include artificial intelligence technology on the cloud, used to monito"&amp;"r and store exercise and health data, as well as display evaluation results on the screen of the display device. Specifically, the intelligent sports machine has multiple sensors to monitor the exercise of users being conducted, and uses real -time data t"&amp;"o evaluate the previous fitness data of the user, and recommend the exercise module based on evaluation data.")</f>
        <v>The invention involves a system and method for monitoring and storage exercise and health data, as well as the evaluation results on the screen of the display device. The open systems include artificial intelligence technology on the cloud, used to monitor and store exercise and health data, as well as display evaluation results on the screen of the display device. Specifically, the intelligent sports machine has multiple sensors to monitor the exercise of users being conducted, and uses real -time data to evaluate the previous fitness data of the user, and recommend the exercise module based on evaluation data.</v>
      </c>
      <c r="D2021" s="6" t="s">
        <v>5741</v>
      </c>
      <c r="E2021" s="4" t="str">
        <f ca="1">IFERROR(__xludf.DUMMYFUNCTION("GOOGLETRANSLATE(D2021,""auto"",""en"")"),"A system and method for monitoring user exercise")</f>
        <v>A system and method for monitoring user exercise</v>
      </c>
    </row>
    <row r="2022" spans="1:5" ht="15" x14ac:dyDescent="0.25">
      <c r="A2022" s="5" t="s">
        <v>5742</v>
      </c>
      <c r="B2022" s="6" t="s">
        <v>5743</v>
      </c>
      <c r="C2022" s="3" t="str">
        <f ca="1">IFERROR(__xludf.DUMMYFUNCTION("GOOGLETRANSLATE(B2022,""auto"",""en"")"),"The invention considers this problem. The present invention uses AI (artificial intelligence) technology. By matching the sports image with the physical condition and expectations of the user to display the sports image (intelligent) fitness scheme displa"&amp;"yed for users Device and method, body information collection department user body composition analysis (body moisture, protein, minerals, body fat) data, skeletal muscle fat analysis (weight, skeletal muscle volume, body fat) data, obesity analysis (BMI ("&amp;"Body Mass (Body Mass Index), body fat rate) data from the intelligent device, collect muscle and body fat data in each part. Physical ingredient information collection unit; input the type of exercise related to user preferences, the information input uni"&amp;"t of the information user information input of the recent exercise history and the intensity of the exercise; and enter Information user diagnosis information collection unit; including")</f>
        <v>The invention considers this problem. The present invention uses AI (artificial intelligence) technology. By matching the sports image with the physical condition and expectations of the user to display the sports image (intelligent) fitness scheme displayed for users Device and method, body information collection department user body composition analysis (body moisture, protein, minerals, body fat) data, skeletal muscle fat analysis (weight, skeletal muscle volume, body fat) data, obesity analysis (BMI (Body Mass (Body Mass Index), body fat rate) data from the intelligent device, collect muscle and body fat data in each part. Physical ingredient information collection unit; input the type of exercise related to user preferences, the information input unit of the information user information input of the recent exercise history and the intensity of the exercise; and enter Information user diagnosis information collection unit; including</v>
      </c>
      <c r="D2022" s="6" t="s">
        <v>5744</v>
      </c>
      <c r="E2022" s="4" t="str">
        <f ca="1">IFERROR(__xludf.DUMMYFUNCTION("GOOGLETRANSLATE(D2022,""auto"",""en"")"),"Fitness scheme display device and method based on AI (artificial intelligence)")</f>
        <v>Fitness scheme display device and method based on AI (artificial intelligence)</v>
      </c>
    </row>
    <row r="2023" spans="1:5" ht="15" x14ac:dyDescent="0.25">
      <c r="A2023" s="5" t="s">
        <v>5745</v>
      </c>
      <c r="B2023" s="6" t="s">
        <v>5746</v>
      </c>
      <c r="C2023" s="3" t="str">
        <f ca="1">IFERROR(__xludf.DUMMYFUNCTION("GOOGLETRANSLATE(B2023,""auto"",""en"")"),"In the present invention, after processing the blood boiler to a certain standard and firing, cleaning, drying, and applying a photocatalyst several times on the surface to make the light catalyst ball filter and install it in various facilities indoors o"&amp;"r outdoor to remove the air to remove the air to remove the air to remove the air to remove the air to remove the air to remove the air to remove the air to remove the air to remove the air to remove the air to remove the air to remove the air The fine du"&amp;"st and various bacteria and the virus sterilization and purification system that prevent infectious diseases is configured to provide the best air and water through the microorganisms or various bacteria and viruses contained in sterilization and steriliz"&amp;"ation water. After crushing, firing, washing, and drying, the surface of the light touch media is used to make light touch media filter, used for apartments, residential, office buildings, shopping malls, schools, office, indoor gymnasium, hospitals, hote"&amp;"ls, factories, logistics warehouses, etc. Places, fine dust in department stores, markets, barriers, elevators, ships and other places, various germs and disease viruses, harmful chemicals, sorbers and carbon dioxide pollutants are purified, removed and s"&amp;"terilized, subway, bus Car, equipped with artificial intelligence sensors with human motion detection sensors, dust sensors, mucus sensors, carbon dioxide sensors, and artificial intelligence sensors that automatically detect gas and smoke concentration, "&amp;"temperature and humidity, etc., automatically run, can be managed remotely, accumulate various data, real -time reflection, real -time reflection, real -time reflection, real -time reflection, real -time reflection, real -time reflection, real -time refle"&amp;"ction, real -time reflection, real -time reflection, real -time reflection, real -time reflection, real -time reflection, real -time reflection, real -time reflection, real -time reflection, real -time reflection. Sterilize the microorganisms, various bac"&amp;"teria and various viruses contained in various facilities used in water, remove impurities in water, and have the effect of providing the best water quality.")</f>
        <v>In the present invention, after processing the blood boiler to a certain standard and firing, cleaning, drying, and applying a photocatalyst several times on the surface to make the light catalyst ball filter and install it in various facilities indoors or outdoor to remove the air to remove the air to remove the air to remove the air to remove the air to remove the air to remove the air to remove the air to remove the air to remove the air to remove the air to remove the air to remove the air The fine dust and various bacteria and the virus sterilization and purification system that prevent infectious diseases is configured to provide the best air and water through the microorganisms or various bacteria and viruses contained in sterilization and sterilization water. After crushing, firing, washing, and drying, the surface of the light touch media is used to make light touch media filter, used for apartments, residential, office buildings, shopping malls, schools, office, indoor gymnasium, hospitals, hotels, factories, logistics warehouses, etc. Places, fine dust in department stores, markets, barriers, elevators, ships and other places, various germs and disease viruses, harmful chemicals, sorbers and carbon dioxide pollutants are purified, removed and sterilized, subway, bus Car, equipped with artificial intelligence sensors with human motion detection sensors, dust sensors, mucus sensors, carbon dioxide sensors, and artificial intelligence sensors that automatically detect gas and smoke concentration, temperature and humidity, etc., automatically run, can be managed remotely, accumulate various data, real -time reflection, real -time reflection, real -time reflection, real -time reflection, real -time reflection, real -time reflection, real -time reflection, real -time reflection, real -time reflection, real -time reflection, real -time reflection, real -time reflection, real -time reflection, real -time reflection, real -time reflection, real -time reflection. Sterilize the microorganisms, various bacteria and various viruses contained in various facilities used in water, remove impurities in water, and have the effect of providing the best water quality.</v>
      </c>
      <c r="D2023" s="6" t="s">
        <v>5747</v>
      </c>
      <c r="E2023" s="4" t="str">
        <f ca="1">IFERROR(__xludf.DUMMYFUNCTION("GOOGLETRANSLATE(D2023,""auto"",""en"")"),"Virus sterilization and purification system for preventing infectious diseases")</f>
        <v>Virus sterilization and purification system for preventing infectious diseases</v>
      </c>
    </row>
    <row r="2024" spans="1:5" ht="15" x14ac:dyDescent="0.25">
      <c r="A2024" s="5" t="s">
        <v>5748</v>
      </c>
      <c r="B2024" s="6" t="s">
        <v>5749</v>
      </c>
      <c r="C2024" s="3" t="str">
        <f ca="1">IFERROR(__xludf.DUMMYFUNCTION("GOOGLETRANSLATE(B2024,""auto"",""en"")"),"The present invention disclosed a method of track player tracking based on deep learning, involving artificial intelligence technology fields. This method has been improved on the basis of selecting the network using the original twin area. It uses the re"&amp;"snet‑50 network to replace the original A Lexnet network as a feature extraction network, and modify the size and height ratio of the anchor point to the twin twin Regional selection of network re -training has improved the tracking accuracy and speed of "&amp;"players to a certain extent. In addition, this method also introduces two parts: front -end interface, path judgment, and video frame interception module implemented by Python, which improves the experience.")</f>
        <v>The present invention disclosed a method of track player tracking based on deep learning, involving artificial intelligence technology fields. This method has been improved on the basis of selecting the network using the original twin area. It uses the resnet‑50 network to replace the original A Lexnet network as a feature extraction network, and modify the size and height ratio of the anchor point to the twin twin Regional selection of network re -training has improved the tracking accuracy and speed of players to a certain extent. In addition, this method also introduces two parts: front -end interface, path judgment, and video frame interception module implemented by Python, which improves the experience.</v>
      </c>
      <c r="D2024" s="6" t="s">
        <v>5750</v>
      </c>
      <c r="E2024" s="4" t="str">
        <f ca="1">IFERROR(__xludf.DUMMYFUNCTION("GOOGLETRANSLATE(D2024,""auto"",""en"")"),"A way -based football player tracking method based on deep learning")</f>
        <v>A way -based football player tracking method based on deep learning</v>
      </c>
    </row>
    <row r="2025" spans="1:5" ht="15" x14ac:dyDescent="0.25">
      <c r="A2025" s="5" t="s">
        <v>5751</v>
      </c>
      <c r="B2025" s="6" t="s">
        <v>5752</v>
      </c>
      <c r="C2025" s="3" t="str">
        <f ca="1">IFERROR(__xludf.DUMMYFUNCTION("GOOGLETRANSLATE(B2025,""auto"",""en"")"),"1. Design product name: The display screen panel with a process display user interface.
 2. The purpose of designing products in this exterior: The display screen panels designed in this exterior are used for display user interfaces on computers, televi"&amp;"sion, tablets, mobile phones, or smart watches.
 3. Design of the design of the product in appearance: lies in the graphic user interface.
 4. Pictures or photos that can best show design: Design 1 main view.
 5. Specify design 1 is the basic design"&amp;".
 6. The purpose of the graphical user interface: The interface is used to display the time and the ranking of each team during the team game.
 7. Human -computer interaction method of graphical user interface: In each design, the main view is the ma"&amp;"in interface of the display screen panel. The user can slide the time card in the middle of the main interface, which can adjust the displayed time value.
 8. Design 4 6 Design 6 Request protection design contains color.")</f>
        <v>1. Design product name: The display screen panel with a process display user interface.
 2. The purpose of designing products in this exterior: The display screen panels designed in this exterior are used for display user interfaces on computers, television, tablets, mobile phones, or smart watches.
 3. Design of the design of the product in appearance: lies in the graphic user interface.
 4. Pictures or photos that can best show design: Design 1 main view.
 5. Specify design 1 is the basic design.
 6. The purpose of the graphical user interface: The interface is used to display the time and the ranking of each team during the team game.
 7. Human -computer interaction method of graphical user interface: In each design, the main view is the main interface of the display screen panel. The user can slide the time card in the middle of the main interface, which can adjust the displayed time value.
 8. Design 4 6 Design 6 Request protection design contains color.</v>
      </c>
      <c r="D2025" s="6" t="s">
        <v>3277</v>
      </c>
      <c r="E2025" s="4" t="str">
        <f ca="1">IFERROR(__xludf.DUMMYFUNCTION("GOOGLETRANSLATE(D2025,""auto"",""en"")"),"Display screen panel with a process display graphical user interface")</f>
        <v>Display screen panel with a process display graphical user interface</v>
      </c>
    </row>
    <row r="2026" spans="1:5" ht="15" x14ac:dyDescent="0.25">
      <c r="A2026" s="5" t="s">
        <v>5753</v>
      </c>
      <c r="B2026" s="6" t="s">
        <v>5754</v>
      </c>
      <c r="C2026" s="3" t="str">
        <f ca="1">IFERROR(__xludf.DUMMYFUNCTION("GOOGLETRANSLATE(B2026,""auto"",""en"")"),"This utility model discloses the joint driver of a robot, involving the field of intelligent robotics, including the lower arm, which is connected to the joint axis through the joint bearing activity of the lower arm. Gear and upper arm, the lower arm sid"&amp;"e wall is connected to the transmission and the transmission fixing sleeve through the linear bearing and the fixed suite bearing. This utility model is set up by setting up a transmission diagonal gear set consisting of three oblique cylindrical gears, s"&amp;"o that the main axis oblique tooth cylindrical gear can be freely changed through the electric lifting platform. , And then controlling the transmission rotation of the joint axis, achieving the purpose of the different requirements of the joint speed of "&amp;"the joints under different operating conditions such as the robot walking and running.")</f>
        <v>This utility model discloses the joint driver of a robot, involving the field of intelligent robotics, including the lower arm, which is connected to the joint axis through the joint bearing activity of the lower arm. Gear and upper arm, the lower arm side wall is connected to the transmission and the transmission fixing sleeve through the linear bearing and the fixed suite bearing. This utility model is set up by setting up a transmission diagonal gear set consisting of three oblique cylindrical gears, so that the main axis oblique tooth cylindrical gear can be freely changed through the electric lifting platform. , And then controlling the transmission rotation of the joint axis, achieving the purpose of the different requirements of the joint speed of the joints under different operating conditions such as the robot walking and running.</v>
      </c>
      <c r="D2026" s="6" t="s">
        <v>5755</v>
      </c>
      <c r="E2026" s="4" t="str">
        <f ca="1">IFERROR(__xludf.DUMMYFUNCTION("GOOGLETRANSLATE(D2026,""auto"",""en"")"),"An joint driver of a robot")</f>
        <v>An joint driver of a robot</v>
      </c>
    </row>
    <row r="2027" spans="1:5" ht="15" x14ac:dyDescent="0.25">
      <c r="A2027" s="5" t="s">
        <v>5756</v>
      </c>
      <c r="B2027" s="6" t="s">
        <v>5757</v>
      </c>
      <c r="C2027" s="3" t="str">
        <f ca="1">IFERROR(__xludf.DUMMYFUNCTION("GOOGLETRANSLATE(B2027,""auto"",""en"")"),"The embodiment of this application provides a motion training guidance method, device, equipment and computer storage medium. The methods include: obtain athlete video image; identify the key points of the athletes in the video image, and get the key poin"&amp;"ts of the joints during the athletes movement Data; Depending on the adjacent matrix model of muscle force, the key point data of the joint key point of the joints of the joints is obtained by comparing the athletes of the athletes of the athletes. Provid"&amp;"e sports training guidance based on the results of the comparison. According to the embodiments provided by this application, by identifying the key points of the athletes, the muscle force is adjacent to the matrix model to obtain the athlete's muscle fo"&amp;"rce data based on the changes in the key points of the bone, and compares it with the muscle strength of the standard movement to obtain the muscle hair hair Strive for suggestions and exercise suggestions.")</f>
        <v>The embodiment of this application provides a motion training guidance method, device, equipment and computer storage medium. The methods include: obtain athlete video image; identify the key points of the athletes in the video image, and get the key points of the joints during the athletes movement Data; Depending on the adjacent matrix model of muscle force, the key point data of the joint key point of the joints of the joints is obtained by comparing the athletes of the athletes of the athletes. Provide sports training guidance based on the results of the comparison. According to the embodiments provided by this application, by identifying the key points of the athletes, the muscle force is adjacent to the matrix model to obtain the athlete's muscle force data based on the changes in the key points of the bone, and compares it with the muscle strength of the standard movement to obtain the muscle hair hair Strive for suggestions and exercise suggestions.</v>
      </c>
      <c r="D2027" s="6" t="s">
        <v>5758</v>
      </c>
      <c r="E2027" s="4" t="str">
        <f ca="1">IFERROR(__xludf.DUMMYFUNCTION("GOOGLETRANSLATE(D2027,""auto"",""en"")"),"A motion training guidance method, device, equipment and computer storage medium")</f>
        <v>A motion training guidance method, device, equipment and computer storage medium</v>
      </c>
    </row>
    <row r="2028" spans="1:5" ht="15" x14ac:dyDescent="0.25">
      <c r="A2028" s="5" t="s">
        <v>5759</v>
      </c>
      <c r="B2028" s="6" t="s">
        <v>5760</v>
      </c>
      <c r="C2028" s="3" t="str">
        <f ca="1">IFERROR(__xludf.DUMMYFUNCTION("GOOGLETRANSLATE(B2028,""auto"",""en"")"),"The present invention involves an intelligent fitness load control system, especially a smart fitness load control system based on online adaptive prediction neural networks, including: static training recommendation intelligent system, according to the t"&amp;"rainer's static physiological indicators, the fitness level and the required fitness level and the need for fitness and the need for fitness and the need for fitness levels and required fitness levels and the need for fitness levels and the need for fitne"&amp;"ss and the need for fitness levels and the need for fitness levels and the need for fitness and the need for fitness levels and required fitness levels. The training purpose formulates the training intensity of the trainer's needs, controls the generation"&amp;" of the training load strength goals; dynamic training adjusts the intelligent system, detects the dynamic physiological signal of the trainer during the training process, and according to the abnormal dynamic physiological signal that the trainer appears"&amp;", the real -time dynamic dynamic dynamic dynamic of the dynamic signal of the trainer appears in real time. Adjust the trainer's training load. The present invention solves the technical problem of ""the training of the trainer's training of the training "&amp;"indicators adaptive according to the evaluation index"". The training results can maximize the training of the trainer themselves and monitor the physical health of the trainer throughout the process.")</f>
        <v>The present invention involves an intelligent fitness load control system, especially a smart fitness load control system based on online adaptive prediction neural networks, including: static training recommendation intelligent system, according to the trainer's static physiological indicators, the fitness level and the required fitness level and the need for fitness and the need for fitness and the need for fitness levels and required fitness levels and the need for fitness levels and the need for fitness and the need for fitness levels and the need for fitness levels and the need for fitness and the need for fitness levels and required fitness levels. The training purpose formulates the training intensity of the trainer's needs, controls the generation of the training load strength goals; dynamic training adjusts the intelligent system, detects the dynamic physiological signal of the trainer during the training process, and according to the abnormal dynamic physiological signal that the trainer appears, the real -time dynamic dynamic dynamic dynamic of the dynamic signal of the trainer appears in real time. Adjust the trainer's training load. The present invention solves the technical problem of "the training of the trainer's training of the training indicators adaptive according to the evaluation index". The training results can maximize the training of the trainer themselves and monitor the physical health of the trainer throughout the process.</v>
      </c>
      <c r="D2028" s="6" t="s">
        <v>5761</v>
      </c>
      <c r="E2028" s="4" t="str">
        <f ca="1">IFERROR(__xludf.DUMMYFUNCTION("GOOGLETRANSLATE(D2028,""auto"",""en"")"),"Intelligent fitness load control system based on online adaptive prediction neural network")</f>
        <v>Intelligent fitness load control system based on online adaptive prediction neural network</v>
      </c>
    </row>
    <row r="2029" spans="1:5" ht="15" x14ac:dyDescent="0.25">
      <c r="A2029" s="5" t="s">
        <v>5762</v>
      </c>
      <c r="B2029" s="6" t="s">
        <v>5763</v>
      </c>
      <c r="C2029" s="3" t="str">
        <f ca="1">IFERROR(__xludf.DUMMYFUNCTION("GOOGLETRANSLATE(B2029,""auto"",""en"")"),"The invention involves a billiards training system that uses artificial intelligence technology. The task to solve is to use the motion tracking data of the inertial sensor to collect the club. Based on artificial intelligence technology Provide informati"&amp;"on for stroke coach.
  For example, the motion tracking unit of the loading and unloading on the billiards and billiard tables can be tracked through the play of the table balls and generated sports tracking data; the application unit is installed in th"&amp;"e mobile communication terminal, receiving and sending movement data tracking data from the outside From external receiving and providing motion -based tracking data, and the coach data based on the hit data; generate a hit data for the tracking data to t"&amp;"rack data, analyze the motion tracking data based on the pre -constructed machine learning algorithm to generate the coach data, and will be The generated hit data and coach data are transmitted to the application unit. The training system uses artificial"&amp;" intelligence technology, including a server unit to provide.")</f>
        <v>The invention involves a billiards training system that uses artificial intelligence technology. The task to solve is to use the motion tracking data of the inertial sensor to collect the club. Based on artificial intelligence technology Provide information for stroke coach.
  For example, the motion tracking unit of the loading and unloading on the billiards and billiard tables can be tracked through the play of the table balls and generated sports tracking data; the application unit is installed in the mobile communication terminal, receiving and sending movement data tracking data from the outside From external receiving and providing motion -based tracking data, and the coach data based on the hit data; generate a hit data for the tracking data to track data, analyze the motion tracking data based on the pre -constructed machine learning algorithm to generate the coach data, and will be The generated hit data and coach data are transmitted to the application unit. The training system uses artificial intelligence technology, including a server unit to provide.</v>
      </c>
      <c r="D2029" s="6" t="s">
        <v>5764</v>
      </c>
      <c r="E2029" s="4" t="str">
        <f ca="1">IFERROR(__xludf.DUMMYFUNCTION("GOOGLETRANSLATE(D2029,""auto"",""en"")"),"Basketball hit training system using artificial intelligence technology")</f>
        <v>Basketball hit training system using artificial intelligence technology</v>
      </c>
    </row>
    <row r="2030" spans="1:5" ht="15" x14ac:dyDescent="0.25">
      <c r="A2030" s="5" t="s">
        <v>5765</v>
      </c>
      <c r="B2030" s="6" t="s">
        <v>518</v>
      </c>
      <c r="C2030" s="3" t="str">
        <f ca="1">IFERROR(__xludf.DUMMYFUNCTION("GOOGLETRANSLATE(B2030,""auto"",""en"")"),"-")</f>
        <v>-</v>
      </c>
      <c r="D2030" s="6" t="s">
        <v>5766</v>
      </c>
      <c r="E2030" s="4" t="str">
        <f ca="1">IFERROR(__xludf.DUMMYFUNCTION("GOOGLETRANSLATE(D2030,""auto"",""en"")"),"Use machine learning to automatically control the treadmill")</f>
        <v>Use machine learning to automatically control the treadmill</v>
      </c>
    </row>
    <row r="2031" spans="1:5" ht="15" x14ac:dyDescent="0.25">
      <c r="A2031" s="5" t="s">
        <v>5767</v>
      </c>
      <c r="B2031" s="6" t="s">
        <v>5768</v>
      </c>
      <c r="C2031" s="3" t="str">
        <f ca="1">IFERROR(__xludf.DUMMYFUNCTION("GOOGLETRANSLATE(B2031,""auto"",""en"")"),"Traffic noise increases with the increase in the population of the vehicle. Traffic noise will not only bring annoyance and pressure, but also cause health defects. Therefore, it is necessary to detect mobile traffic noise. By collecting the sound meter m"&amp;"icrophone with the combination of mobile noise monitoring and Strava smart devices, collect data related to traffic noise. The sound meter microphone capture noise from the road map or any other vehicle route. Mobile noise monitoring collects GPS position"&amp;"s when running and cycling. The spatial scale monitoring of the data is performed by a dark night application programming interface. The data after map matching algorithm is stored in the cloud through the gateway interface. Machine learning algorithms us"&amp;"e the return of poor search to measure mobile traffic noise and predict. The prediction results can be visualized in the smart device display so that necessary preventive measures can be taken to reduce noise. 1 P a G uses machine learning algorithm mobil"&amp;"e traffic noise measurement and predictive method drawing SoundMobile noise meter measuring monitoring spatial monitoring data Dark Sky A PT data processing map matrix algorithm Gateway cloud machine learning algorithm return analysis smart algorithm 1. b"&amp;" smart search page")</f>
        <v>Traffic noise increases with the increase in the population of the vehicle. Traffic noise will not only bring annoyance and pressure, but also cause health defects. Therefore, it is necessary to detect mobile traffic noise. By collecting the sound meter microphone with the combination of mobile noise monitoring and Strava smart devices, collect data related to traffic noise. The sound meter microphone capture noise from the road map or any other vehicle route. Mobile noise monitoring collects GPS positions when running and cycling. The spatial scale monitoring of the data is performed by a dark night application programming interface. The data after map matching algorithm is stored in the cloud through the gateway interface. Machine learning algorithms use the return of poor search to measure mobile traffic noise and predict. The prediction results can be visualized in the smart device display so that necessary preventive measures can be taken to reduce noise. 1 P a G uses machine learning algorithm mobile traffic noise measurement and predictive method drawing SoundMobile noise meter measuring monitoring spatial monitoring data Dark Sky A PT data processing map matrix algorithm Gateway cloud machine learning algorithm return analysis smart algorithm 1. b smart search page</v>
      </c>
      <c r="D2031" s="6" t="s">
        <v>5769</v>
      </c>
      <c r="E2031" s="4" t="str">
        <f ca="1">IFERROR(__xludf.DUMMYFUNCTION("GOOGLETRANSLATE(D2031,""auto"",""en"")"),"Use machine learning algorithm mobile traffic noise measurement and prediction methods")</f>
        <v>Use machine learning algorithm mobile traffic noise measurement and prediction methods</v>
      </c>
    </row>
    <row r="2032" spans="1:5" ht="15" x14ac:dyDescent="0.25">
      <c r="A2032" s="5" t="s">
        <v>5770</v>
      </c>
      <c r="B2032" s="6" t="s">
        <v>5771</v>
      </c>
      <c r="C2032" s="3" t="str">
        <f ca="1">IFERROR(__xludf.DUMMYFUNCTION("GOOGLETRANSLATE(B2032,""auto"",""en"")"),"This application disclosed a method and device of the backfix process after the coaching machine. The optimization method of the rear fuselage process of the coaching machine includes: obtain the structural design matrix of the rear fuselage of the coachi"&amp;"ng machine; coding the design structure matrix, and the design elements in the design matrix multiple random coding combinations. A initial species group, each initial group represents a cluster scheme; the initial population is processed through the gene"&amp;"tic algorithm, so as to obtain a cluster scheme that meets the conditions of the genetic algorithm as the optimal cluster scheme; The excellent structural design matrix, the optimal structural design matrix includes the design elements arranged according "&amp;"to the cluster scheme and the association information of each design element and other design elements. Adopting the rear fuselage process optimization method and device of the trainer of this application can strengthen the internal information interactio"&amp;"n of the cluster, weaken information interaction between clustering, and effectively reduce the frequency of information feedback and improve R &amp; D efficiency.")</f>
        <v>This application disclosed a method and device of the backfix process after the coaching machine. The optimization method of the rear fuselage process of the coaching machine includes: obtain the structural design matrix of the rear fuselage of the coaching machine; coding the design structure matrix, and the design elements in the design matrix multiple random coding combinations. A initial species group, each initial group represents a cluster scheme; the initial population is processed through the genetic algorithm, so as to obtain a cluster scheme that meets the conditions of the genetic algorithm as the optimal cluster scheme; The excellent structural design matrix, the optimal structural design matrix includes the design elements arranged according to the cluster scheme and the association information of each design element and other design elements. Adopting the rear fuselage process optimization method and device of the trainer of this application can strengthen the internal information interaction of the cluster, weaken information interaction between clustering, and effectively reduce the frequency of information feedback and improve R &amp; D efficiency.</v>
      </c>
      <c r="D2032" s="6" t="s">
        <v>5772</v>
      </c>
      <c r="E2032" s="4" t="str">
        <f ca="1">IFERROR(__xludf.DUMMYFUNCTION("GOOGLETRANSLATE(D2032,""auto"",""en"")"),"An optimization method and device of a coaching machine backfit")</f>
        <v>An optimization method and device of a coaching machine backfit</v>
      </c>
    </row>
    <row r="2033" spans="1:5" ht="15" x14ac:dyDescent="0.25">
      <c r="A2033" s="5" t="s">
        <v>5773</v>
      </c>
      <c r="B2033" s="6" t="s">
        <v>5774</v>
      </c>
      <c r="C2033" s="3" t="str">
        <f ca="1">IFERROR(__xludf.DUMMYFUNCTION("GOOGLETRANSLATE(B2033,""auto"",""en"")"),"This application provides a method and device for driving ability processing, which is used to reduce the teaching workload of driving school coaches and improve the training quality of driving school students. This application method includes the driving"&amp;" behavior of the target driver; the driving behavior of the driving ability assessment model of the neural network training, generates the driving behavior data; Driving behavior data; comparing the driving behavior data and the driving ability assessment"&amp;" system, the evaluation results of the driving behavior data are generated.")</f>
        <v>This application provides a method and device for driving ability processing, which is used to reduce the teaching workload of driving school coaches and improve the training quality of driving school students. This application method includes the driving behavior of the target driver; the driving behavior of the driving ability assessment model of the neural network training, generates the driving behavior data; Driving behavior data; comparing the driving behavior data and the driving ability assessment system, the evaluation results of the driving behavior data are generated.</v>
      </c>
      <c r="D2033" s="6" t="s">
        <v>5775</v>
      </c>
      <c r="E2033" s="4" t="str">
        <f ca="1">IFERROR(__xludf.DUMMYFUNCTION("GOOGLETRANSLATE(D2033,""auto"",""en"")"),"A method and device of a driving ability process evaluation")</f>
        <v>A method and device of a driving ability process evaluation</v>
      </c>
    </row>
    <row r="2034" spans="1:5" ht="15" x14ac:dyDescent="0.25">
      <c r="A2034" s="5" t="s">
        <v>5776</v>
      </c>
      <c r="B2034" s="6" t="s">
        <v>518</v>
      </c>
      <c r="C2034" s="3" t="str">
        <f ca="1">IFERROR(__xludf.DUMMYFUNCTION("GOOGLETRANSLATE(B2034,""auto"",""en"")"),"-")</f>
        <v>-</v>
      </c>
      <c r="D2034" s="6" t="s">
        <v>5777</v>
      </c>
      <c r="E2034" s="4" t="str">
        <f ca="1">IFERROR(__xludf.DUMMYFUNCTION("GOOGLETRANSLATE(D2034,""auto"",""en"")"),"Artificial intelligence sports betting algorithm engine")</f>
        <v>Artificial intelligence sports betting algorithm engine</v>
      </c>
    </row>
    <row r="2035" spans="1:5" ht="15" x14ac:dyDescent="0.25">
      <c r="A2035" s="5" t="s">
        <v>5778</v>
      </c>
      <c r="B2035" s="6" t="s">
        <v>5779</v>
      </c>
      <c r="C2035" s="3" t="str">
        <f ca="1">IFERROR(__xludf.DUMMYFUNCTION("GOOGLETRANSLATE(B2035,""auto"",""en"")"),"Based on a radar -based tracking of the badminton level test scoring system, the serving machine (1) is located on one side of the standard venue of badminton standard venues (5). Standard venue (5) On the weekly world, a camera (3), the serving machine ("&amp;"1), radar (2), camera (3) connect to the system host (4) above the weekly world (5) connect to the system host (4). Camera (3) Through image recognition badminton, radar (2) feedback coordinates per second will send to the system host (4) to score the ter"&amp;"minal, and the terminal gives confirmation characters based on the camera (3) image recognition. The coordinate signal is sent to the system host (4), which can accurately capture the falling point, so as to achieve different levels of badminton scores fo"&amp;"r economic quickly, to assist in solving the technical problems of the simplicity and fast record of badminton flight trajectory and accurate scoring of the plunge point in the teaching of badminton teaching. Essence")</f>
        <v>Based on a radar -based tracking of the badminton level test scoring system, the serving machine (1) is located on one side of the standard venue of badminton standard venues (5). Standard venue (5) On the weekly world, a camera (3), the serving machine (1), radar (2), camera (3) connect to the system host (4) above the weekly world (5) connect to the system host (4). Camera (3) Through image recognition badminton, radar (2) feedback coordinates per second will send to the system host (4) to score the terminal, and the terminal gives confirmation characters based on the camera (3) image recognition. The coordinate signal is sent to the system host (4), which can accurately capture the falling point, so as to achieve different levels of badminton scores for economic quickly, to assist in solving the technical problems of the simplicity and fast record of badminton flight trajectory and accurate scoring of the plunge point in the teaching of badminton teaching. Essence</v>
      </c>
      <c r="D2035" s="6" t="s">
        <v>5780</v>
      </c>
      <c r="E2035" s="4" t="str">
        <f ca="1">IFERROR(__xludf.DUMMYFUNCTION("GOOGLETRANSLATE(D2035,""auto"",""en"")"),"Badminton -based badminton level test scoring system based on radar tracking")</f>
        <v>Badminton -based badminton level test scoring system based on radar tracking</v>
      </c>
    </row>
    <row r="2036" spans="1:5" ht="15" x14ac:dyDescent="0.25">
      <c r="A2036" s="5" t="s">
        <v>5781</v>
      </c>
      <c r="B2036" s="6" t="s">
        <v>5782</v>
      </c>
      <c r="C2036" s="3" t="str">
        <f ca="1">IFERROR(__xludf.DUMMYFUNCTION("GOOGLETRANSLATE(B2036,""auto"",""en"")"),"Based on the radar -based tracking of the badminton level test scoring equipment, seven groups of cameras (3) form a camera array, which are installed on the upper end of the border column at both ends of the standard venue (5) of the badminton venue (5),"&amp;" respectively. Both ends of the bottom line of the side and the standard venue of badminton (5); each two radar (2) set a grid detection surface for a set of angle settings. The camera (3) identifies badminton by image, radar (2) each each The second feed"&amp;"back coordinates are sent to the system host (4) to score the terminal. The terminal gives confirmation characters based on the image recognition of the camera (3). Draw the trajectory point of the badminton on the coordinate surface, and send the coordin"&amp;"ate signal to the system host (4). It can accurately capture the goal point, so as to achieve different levels of badminton scores for economic quickly, to assist in solving the technical problems of the simplicity and fast record of badminton flight and "&amp;"accurate scores in combination of badminton teaching.")</f>
        <v>Based on the radar -based tracking of the badminton level test scoring equipment, seven groups of cameras (3) form a camera array, which are installed on the upper end of the border column at both ends of the standard venue (5) of the badminton venue (5), respectively. Both ends of the bottom line of the side and the standard venue of badminton (5); each two radar (2) set a grid detection surface for a set of angle settings. The camera (3) identifies badminton by image, radar (2) each each The second feedback coordinates are sent to the system host (4) to score the terminal. The terminal gives confirmation characters based on the image recognition of the camera (3). Draw the trajectory point of the badminton on the coordinate surface, and send the coordinate signal to the system host (4). It can accurately capture the goal point, so as to achieve different levels of badminton scores for economic quickly, to assist in solving the technical problems of the simplicity and fast record of badminton flight and accurate scores in combination of badminton teaching.</v>
      </c>
      <c r="D2036" s="6" t="s">
        <v>5783</v>
      </c>
      <c r="E2036" s="4" t="str">
        <f ca="1">IFERROR(__xludf.DUMMYFUNCTION("GOOGLETRANSLATE(D2036,""auto"",""en"")"),"Badminton -based badminton -level test score equipment based on radar -based traces")</f>
        <v>Badminton -based badminton -level test score equipment based on radar -based traces</v>
      </c>
    </row>
    <row r="2037" spans="1:5" ht="15" x14ac:dyDescent="0.25">
      <c r="A2037" s="5" t="s">
        <v>5784</v>
      </c>
      <c r="B2037" s="6" t="s">
        <v>5785</v>
      </c>
      <c r="C2037" s="3" t="str">
        <f ca="1">IFERROR(__xludf.DUMMYFUNCTION("GOOGLETRANSLATE(B2037,""auto"",""en"")"),"A football table based on the Internet of Things, its structure includes desktop body, the table body is interval through multiple operating rods, and smart ball device is embedded in the middle of the desktop body. The smart ball device includes the devi"&amp;"ce shell, push block, losing the ball The tube, the device shell is a cylindrical structure, the installation shell is equipped with a activity slot, the push block sliding is equipped with an active tank, the bottom of the activity slot is equipped with "&amp;"an electric cylinder, the transmission of the electric cylinder is connected to the telescopic rod, the telescopic rod and the bottom of the push block block Connect, the level of the loser pipe is located on the side of the device shell. The bottom of th"&amp;"e device shell is equipped with a control panel controlled by the operation of the electric cylinder. The inside of the loser pipe is equipped with a push board. In addition to the loser on the board, the football table has the structure of automatic ball"&amp;" at the football table to effectively improve entertainment and convenience.")</f>
        <v>A football table based on the Internet of Things, its structure includes desktop body, the table body is interval through multiple operating rods, and smart ball device is embedded in the middle of the desktop body. The smart ball device includes the device shell, push block, losing the ball The tube, the device shell is a cylindrical structure, the installation shell is equipped with a activity slot, the push block sliding is equipped with an active tank, the bottom of the activity slot is equipped with an electric cylinder, the transmission of the electric cylinder is connected to the telescopic rod, the telescopic rod and the bottom of the push block block Connect, the level of the loser pipe is located on the side of the device shell. The bottom of the device shell is equipped with a control panel controlled by the operation of the electric cylinder. The inside of the loser pipe is equipped with a push board. In addition to the loser on the board, the football table has the structure of automatic ball at the football table to effectively improve entertainment and convenience.</v>
      </c>
      <c r="D2037" s="6" t="s">
        <v>5786</v>
      </c>
      <c r="E2037" s="4" t="str">
        <f ca="1">IFERROR(__xludf.DUMMYFUNCTION("GOOGLETRANSLATE(D2037,""auto"",""en"")"),"A football table controlled by the Internet of Things")</f>
        <v>A football table controlled by the Internet of Things</v>
      </c>
    </row>
    <row r="2038" spans="1:5" ht="15" x14ac:dyDescent="0.25">
      <c r="A2038" s="5" t="s">
        <v>5787</v>
      </c>
      <c r="B2038" s="6" t="s">
        <v>5788</v>
      </c>
      <c r="C2038" s="3" t="str">
        <f ca="1">IFERROR(__xludf.DUMMYFUNCTION("GOOGLETRANSLATE(B2038,""auto"",""en"")"),"Multiple terminals related to the examples of the present invention; and servers that communicate with multiple terminals; in the operating system, including artificial intelligence and big data, including artificial intelligence and big data, multiple te"&amp;"rminals shoot target fish and used to calculate target fish Reference for length. .; Communication unit, which is used to send the location information of each of the multiple terminals and the image information taken by the camera to the server. Accordin"&amp;"g to the actual length of the target word of the ranking information according to the image information, send the determined ranking information to multiple terminals. The server determines the length of the reference object in the image information to th"&amp;"e actual length of the reference object. Reference object length. Use the length and proportion of the target word contained in the image information to obtain the length of the target word. The actual length of the server obtains the image information ta"&amp;"rget word in multiple terminals in multiple terminals. The first condition and second condition of the target word and additional image to the server can be determined.")</f>
        <v>Multiple terminals related to the examples of the present invention; and servers that communicate with multiple terminals; in the operating system, including artificial intelligence and big data, including artificial intelligence and big data, multiple terminals shoot target fish and used to calculate target fish Reference for length. .; Communication unit, which is used to send the location information of each of the multiple terminals and the image information taken by the camera to the server. According to the actual length of the target word of the ranking information according to the image information, send the determined ranking information to multiple terminals. The server determines the length of the reference object in the image information to the actual length of the reference object. Reference object length. Use the length and proportion of the target word contained in the image information to obtain the length of the target word. The actual length of the server obtains the image information target word in multiple terminals in multiple terminals. The first condition and second condition of the target word and additional image to the server can be determined.</v>
      </c>
      <c r="D2038" s="6" t="s">
        <v>5789</v>
      </c>
      <c r="E2038" s="4" t="str">
        <f ca="1">IFERROR(__xludf.DUMMYFUNCTION("GOOGLETRANSLATE(D2038,""auto"",""en"")"),"Artificial intelligence and big data fishing competition operating system with IoT fishing information collection functions")</f>
        <v>Artificial intelligence and big data fishing competition operating system with IoT fishing information collection functions</v>
      </c>
    </row>
    <row r="2039" spans="1:5" ht="15" x14ac:dyDescent="0.25">
      <c r="A2039" s="5" t="s">
        <v>5790</v>
      </c>
      <c r="B2039" s="6" t="s">
        <v>5791</v>
      </c>
      <c r="C2039" s="3" t="str">
        <f ca="1">IFERROR(__xludf.DUMMYFUNCTION("GOOGLETRANSLATE(B2039,""auto"",""en"")"),"Multiple terminals related to the examples of the present invention; and a server that communicates with multiple terminals; in the operation method of an operating system based on artificial intelligence and big data, each camera of multiple terminals Se"&amp;"t target fish and reference to calculate the length of the target fish. Target fish. The first step to shoot together; the second step, through the communication unit of each of the multiple terminals, send each location information and the image informat"&amp;"ion taken by the camera to the server; third Step, the server determines the actual length of the target word based on the received image information; the fourth step, the server determines the ranking information based on the actual length of the target "&amp;"word. Step 5, the server sends the determined ranking information to multiple terminals. The fourth step, the length of the length of the reference and the actual length of the reference object in the server calculation of the picture information, the rat"&amp;"io of the length of the target word contained in the calculation of the picture information, the 4th step 4, the server is based on the first condition and multiple terminals according to the first condition and multiple terminals The actual length of the"&amp;" target word determines the target word to obtain image information in the state of the predetermined application on multiple terminals. Only when you meet the second condition of sending target words and captured additional images to the server can the a"&amp;"ctual length of the target word be determined.")</f>
        <v>Multiple terminals related to the examples of the present invention; and a server that communicates with multiple terminals; in the operation method of an operating system based on artificial intelligence and big data, each camera of multiple terminals Set target fish and reference to calculate the length of the target fish. Target fish. The first step to shoot together; the second step, through the communication unit of each of the multiple terminals, send each location information and the image information taken by the camera to the server; third Step, the server determines the actual length of the target word based on the received image information; the fourth step, the server determines the ranking information based on the actual length of the target word. Step 5, the server sends the determined ranking information to multiple terminals. The fourth step, the length of the length of the reference and the actual length of the reference object in the server calculation of the picture information, the ratio of the length of the target word contained in the calculation of the picture information, the 4th step 4, the server is based on the first condition and multiple terminals according to the first condition and multiple terminals The actual length of the target word determines the target word to obtain image information in the state of the predetermined application on multiple terminals. Only when you meet the second condition of sending target words and captured additional images to the server can the actual length of the target word be determined.</v>
      </c>
      <c r="D2039" s="6" t="s">
        <v>5792</v>
      </c>
      <c r="E2039" s="4" t="str">
        <f ca="1">IFERROR(__xludf.DUMMYFUNCTION("GOOGLETRANSLATE(D2039,""auto"",""en"")"),"A fishing competition operation method based on artificial intelligence and big data with IoT fishing information collection function")</f>
        <v>A fishing competition operation method based on artificial intelligence and big data with IoT fishing information collection function</v>
      </c>
    </row>
    <row r="2040" spans="1:5" ht="15" x14ac:dyDescent="0.25">
      <c r="A2040" s="5" t="s">
        <v>5793</v>
      </c>
      <c r="B2040" s="6" t="s">
        <v>5794</v>
      </c>
      <c r="C2040" s="3" t="str">
        <f ca="1">IFERROR(__xludf.DUMMYFUNCTION("GOOGLETRANSLATE(B2040,""auto"",""en"")"),"The invention detects the user's movement position by installing the Bluetooth beacon at the fitness center on the site of the fitness center, and transmits the user's movement type and time information to the Kiosk main PC communication through the wirel"&amp;"ess network to provide personal sports information and systems And the method of customized healthy diet based on the learning process of artificial intelligence setting. The embodiments of the present invention build a fresh matching derivation process b"&amp;"ased on the user's personal sports volume and type, and apply big data and deep learning algorithm systems to provide users with customized health content recommendation services. Customized user -made diet and sports content to users' intelligent mobile "&amp;"devices, wearable devices, and various IoT devices, so that users can easily and quickly receive services and realize the function of buying and buying.")</f>
        <v>The invention detects the user's movement position by installing the Bluetooth beacon at the fitness center on the site of the fitness center, and transmits the user's movement type and time information to the Kiosk main PC communication through the wireless network to provide personal sports information and systems And the method of customized healthy diet based on the learning process of artificial intelligence setting. The embodiments of the present invention build a fresh matching derivation process based on the user's personal sports volume and type, and apply big data and deep learning algorithm systems to provide users with customized health content recommendation services. Customized user -made diet and sports content to users' intelligent mobile devices, wearable devices, and various IoT devices, so that users can easily and quickly receive services and realize the function of buying and buying.</v>
      </c>
      <c r="D2040" s="6" t="s">
        <v>5795</v>
      </c>
      <c r="E2040" s="4" t="str">
        <f ca="1">IFERROR(__xludf.DUMMYFUNCTION("GOOGLETRANSLATE(D2040,""auto"",""en"")"),"A device and method deduced by a health management method through the type and quantity analysis and personal lifestyle analysis")</f>
        <v>A device and method deduced by a health management method through the type and quantity analysis and personal lifestyle analysis</v>
      </c>
    </row>
    <row r="2041" spans="1:5" ht="15" x14ac:dyDescent="0.25">
      <c r="A2041" s="5" t="s">
        <v>5796</v>
      </c>
      <c r="B2041" s="6" t="s">
        <v>5797</v>
      </c>
      <c r="C2041" s="3" t="str">
        <f ca="1">IFERROR(__xludf.DUMMYFUNCTION("GOOGLETRANSLATE(B2041,""auto"",""en"")"),"Due to the popularity of electric halo, hot scanning has become part of daily life. There are currently human -computer interactions in hot scanning. Therefore, if the operator is infected, the virus may be spread from the operator. To overcome this probl"&amp;"em, an automatic thermal scanning system with a sanitary system was proposed. In this proposed model, using ARDunio and temperature measuring sensors and step motors, LCDs and beeurges to measure the temperature of the human body and maintain hygiene (hyg"&amp;"iene). When the temperature sensor senses the human body temperature and sends the data to Arduino. Arduino process data and compare with threshold data. The temperature reading will be displayed on the LCD screen. If the temperature exceeds the threshold"&amp;", the beeurger will open. After interaction with people, the sensor module is disinfected by disinfection units. In addition, the system can also be used in various places, such as the entrances of industry, schools, universities, and large gathering venu"&amp;"es, such as event venues, nightclubs, cafes, hotels, restaurants, theaters, gym, etc. With this, we can easily eliminate the interaction between people, and do not have to worry about the virus spread between people during manual measurement temperature ("&amp;"thermal screening).")</f>
        <v>Due to the popularity of electric halo, hot scanning has become part of daily life. There are currently human -computer interactions in hot scanning. Therefore, if the operator is infected, the virus may be spread from the operator. To overcome this problem, an automatic thermal scanning system with a sanitary system was proposed. In this proposed model, using ARDunio and temperature measuring sensors and step motors, LCDs and beeurges to measure the temperature of the human body and maintain hygiene (hygiene). When the temperature sensor senses the human body temperature and sends the data to Arduino. Arduino process data and compare with threshold data. The temperature reading will be displayed on the LCD screen. If the temperature exceeds the threshold, the beeurger will open. After interaction with people, the sensor module is disinfected by disinfection units. In addition, the system can also be used in various places, such as the entrances of industry, schools, universities, and large gathering venues, such as event venues, nightclubs, cafes, hotels, restaurants, theaters, gym, etc. With this, we can easily eliminate the interaction between people, and do not have to worry about the virus spread between people during manual measurement temperature (thermal screening).</v>
      </c>
      <c r="D2041" s="6" t="s">
        <v>5798</v>
      </c>
      <c r="E2041" s="4" t="str">
        <f ca="1">IFERROR(__xludf.DUMMYFUNCTION("GOOGLETRANSLATE(D2041,""auto"",""en"")"),"Automatic reading system")</f>
        <v>Automatic reading system</v>
      </c>
    </row>
    <row r="2042" spans="1:5" ht="15" x14ac:dyDescent="0.25">
      <c r="A2042" s="5" t="s">
        <v>5799</v>
      </c>
      <c r="B2042" s="6" t="s">
        <v>5800</v>
      </c>
      <c r="C2042" s="3" t="str">
        <f ca="1">IFERROR(__xludf.DUMMYFUNCTION("GOOGLETRANSLATE(B2042,""auto"",""en"")"),"A system and method, which is used to use video analysis to enhance the sports gaming by using video analysis to use video analysis to adjust the display of potential competition results and live video and adjust the potential results based on the actual "&amp;"game results.")</f>
        <v>A system and method, which is used to use video analysis to enhance the sports gaming by using video analysis to use video analysis to adjust the display of potential competition results and live video and adjust the potential results based on the actual game results.</v>
      </c>
      <c r="D2042" s="6" t="s">
        <v>5801</v>
      </c>
      <c r="E2042" s="4" t="str">
        <f ca="1">IFERROR(__xludf.DUMMYFUNCTION("GOOGLETRANSLATE(D2042,""auto"",""en"")"),"Use videos and artificial intelligence in betting")</f>
        <v>Use videos and artificial intelligence in betting</v>
      </c>
    </row>
    <row r="2043" spans="1:5" ht="15" x14ac:dyDescent="0.25">
      <c r="A2043" s="5" t="s">
        <v>5802</v>
      </c>
      <c r="B2043" s="6" t="s">
        <v>5803</v>
      </c>
      <c r="C2043" s="3" t="str">
        <f ca="1">IFERROR(__xludf.DUMMYFUNCTION("GOOGLETRANSLATE(B2043,""auto"",""en"")"),"The present invention disclosed a method and device that measures the rotation speed of table tennis, including: build a coordinate system, set the scope of image collection, collect images; identify the mark of table tennis, obtain the main direction of "&amp;"the mark; calculate the main direction and the coordinate system x The angle of the axis; obtain the main direction of the table tennis in the image of the time interval T and the angle β of the X -axis X -axis of the coordinate system; according to the a"&amp;"ngle of the angle α and the angle β ; According to the angle difference and time interval T, calculate the rotation speed of table tennis. Based on the present invention, the characteristics of table tennis in small -scale images are analyzed by setting t"&amp;"he scope of image collection to solve the disadvantages of large transmission data and slow speeds in the traditional high -speed visual field. Essence")</f>
        <v>The present invention disclosed a method and device that measures the rotation speed of table tennis, including: build a coordinate system, set the scope of image collection, collect images; identify the mark of table tennis, obtain the main direction of the mark; calculate the main direction and the coordinate system x The angle of the axis; obtain the main direction of the table tennis in the image of the time interval T and the angle β of the X -axis X -axis of the coordinate system; according to the angle of the angle α and the angle β ; According to the angle difference and time interval T, calculate the rotation speed of table tennis. Based on the present invention, the characteristics of table tennis in small -scale images are analyzed by setting the scope of image collection to solve the disadvantages of large transmission data and slow speeds in the traditional high -speed visual field. Essence</v>
      </c>
      <c r="D2043" s="6" t="s">
        <v>5804</v>
      </c>
      <c r="E2043" s="4" t="str">
        <f ca="1">IFERROR(__xludf.DUMMYFUNCTION("GOOGLETRANSLATE(D2043,""auto"",""en"")"),"A method and device that measures the rotation speed of table tennis")</f>
        <v>A method and device that measures the rotation speed of table tennis</v>
      </c>
    </row>
    <row r="2044" spans="1:5" ht="15" x14ac:dyDescent="0.25">
      <c r="A2044" s="5" t="s">
        <v>5805</v>
      </c>
      <c r="B2044" s="6" t="s">
        <v>5806</v>
      </c>
      <c r="C2044" s="3" t="str">
        <f ca="1">IFERROR(__xludf.DUMMYFUNCTION("GOOGLETRANSLATE(B2044,""auto"",""en"")"),"This utility model provides a dual -camera interactive device, including the mirror device body, as well as the first camera, the second camera, the detection device, and the processor. The first camera and the second camera are set on the mirror device o"&amp;"n the body and the central symmetrical setting of the mirror device body. Through the above setting method, you can optimize the perspective of the camera, collect images from different angles of the human body, and present the best visual range. In addit"&amp;"ion, the device can complete the functions of motion capture, simulation movement, and judgment angle through the connection with the devices of the human -computer interaction device. In the fitness industry, users can adjust the differences between the "&amp;"personal action images and screens or mirror screens generated by comparing the screen or mirror screen, so as to quickly grasp the correct fitness action.")</f>
        <v>This utility model provides a dual -camera interactive device, including the mirror device body, as well as the first camera, the second camera, the detection device, and the processor. The first camera and the second camera are set on the mirror device on the body and the central symmetrical setting of the mirror device body. Through the above setting method, you can optimize the perspective of the camera, collect images from different angles of the human body, and present the best visual range. In addition, the device can complete the functions of motion capture, simulation movement, and judgment angle through the connection with the devices of the human -computer interaction device. In the fitness industry, users can adjust the differences between the personal action images and screens or mirror screens generated by comparing the screen or mirror screen, so as to quickly grasp the correct fitness action.</v>
      </c>
      <c r="D2044" s="6" t="s">
        <v>5807</v>
      </c>
      <c r="E2044" s="4" t="str">
        <f ca="1">IFERROR(__xludf.DUMMYFUNCTION("GOOGLETRANSLATE(D2044,""auto"",""en"")"),"Interactive device with dual cameras")</f>
        <v>Interactive device with dual cameras</v>
      </c>
    </row>
    <row r="2045" spans="1:5" ht="15" x14ac:dyDescent="0.25">
      <c r="A2045" s="5" t="s">
        <v>5808</v>
      </c>
      <c r="B2045" s="6" t="s">
        <v>5809</v>
      </c>
      <c r="C2045" s="3" t="str">
        <f ca="1">IFERROR(__xludf.DUMMYFUNCTION("GOOGLETRANSLATE(B2045,""auto"",""en"")"),"All aspects of this theme technology involve systems, methods, and machine -available mediums used to determine the player skills used to determine video games. This method includes statistics from multiple players aggregated from multiple video games. Th"&amp;"is method also includes each player in the player pool based on multiple players to calculate the matching rating of each player. Each player's matching rating includes the prediction points of each player to contribute to the game. This method also inclu"&amp;"des the player from the player pool based on the matching level of each player. This method also includes the matching level matching players based on the matching level of each player.")</f>
        <v>All aspects of this theme technology involve systems, methods, and machine -available mediums used to determine the player skills used to determine video games. This method includes statistics from multiple players aggregated from multiple video games. This method also includes each player in the player pool based on multiple players to calculate the matching rating of each player. Each player's matching rating includes the prediction points of each player to contribute to the game. This method also includes the player from the player pool based on the matching level of each player. This method also includes the matching level matching players based on the matching level of each player.</v>
      </c>
      <c r="D2045" s="6" t="s">
        <v>5810</v>
      </c>
      <c r="E2045" s="4" t="str">
        <f ca="1">IFERROR(__xludf.DUMMYFUNCTION("GOOGLETRANSLATE(D2045,""auto"",""en"")"),"Deep learning for data -driven skills estimation")</f>
        <v>Deep learning for data -driven skills estimation</v>
      </c>
    </row>
    <row r="2046" spans="1:5" ht="15" x14ac:dyDescent="0.25">
      <c r="A2046" s="5" t="s">
        <v>5811</v>
      </c>
      <c r="B2046" s="6" t="s">
        <v>5812</v>
      </c>
      <c r="C2046" s="3" t="str">
        <f ca="1">IFERROR(__xludf.DUMMYFUNCTION("GOOGLETRANSLATE(B2046,""auto"",""en"")"),"The present invention discloses a voice person identification method based on similar sound recognition. The specific operating process includes the following steps: A. User voice command input; B, platform voice to the initial person's name pinyin; Organ"&amp;"izational names transfer to pinyin; E. Provide a list of candidates for candidates; F. Users actively choose to confirm that this method is to sort by the name of the personnel name and the first letter A‑z of the person name and text. When a regular matc"&amp;"h, you can extract the name of Pinyin. Through the fault -tolerant mapping of the Pinyin mother and the vowel, the recognition rate is increased on a certain basis, and the technical supplement of the products on the market can be used. , Can also extract"&amp;" multiple personnel names in the text, greatly improving identification efficiency.")</f>
        <v>The present invention discloses a voice person identification method based on similar sound recognition. The specific operating process includes the following steps: A. User voice command input; B, platform voice to the initial person's name pinyin; Organizational names transfer to pinyin; E. Provide a list of candidates for candidates; F. Users actively choose to confirm that this method is to sort by the name of the personnel name and the first letter A‑z of the person name and text. When a regular match, you can extract the name of Pinyin. Through the fault -tolerant mapping of the Pinyin mother and the vowel, the recognition rate is increased on a certain basis, and the technical supplement of the products on the market can be used. , Can also extract multiple personnel names in the text, greatly improving identification efficiency.</v>
      </c>
      <c r="D2046" s="6" t="s">
        <v>5813</v>
      </c>
      <c r="E2046" s="4" t="str">
        <f ca="1">IFERROR(__xludf.DUMMYFUNCTION("GOOGLETRANSLATE(D2046,""auto"",""en"")"),"A method of speech recognition based on approximation of sound recognition")</f>
        <v>A method of speech recognition based on approximation of sound recognition</v>
      </c>
    </row>
    <row r="2047" spans="1:5" ht="15" x14ac:dyDescent="0.25">
      <c r="A2047" s="5" t="s">
        <v>5814</v>
      </c>
      <c r="B2047" s="6" t="s">
        <v>5815</v>
      </c>
      <c r="C2047" s="3" t="str">
        <f ca="1">IFERROR(__xludf.DUMMYFUNCTION("GOOGLETRANSLATE(B2047,""auto"",""en"")"),"The present invention disclosed a method of enhancement rate of voice recognition rate based on the time period of oral speaking time. The specific operation process includes the following steps: A. Standardize the input -purpose sex voice information; Te"&amp;"xt to digital formats; D. Determine whether there is a connecting text or division; E. Combining the context date of the context date; f. specify the purpose of displaying the destination information, use the limited characteristics of the time format tex"&amp;"t, and use the regular template to take the time through the regular template to take the time Text extraction, instead of increasing the corpus by poverty; the connection recognition of two time is achieved, which adapts the needs of the user input time "&amp;"period; the date statement of the user input time during the text of the user's input is available through the text of the user input; The situation of the user's error is properly processed to avoid objective and non -existent time formats, and improve t"&amp;"he experience of user intelligent effects.")</f>
        <v>The present invention disclosed a method of enhancement rate of voice recognition rate based on the time period of oral speaking time. The specific operation process includes the following steps: A. Standardize the input -purpose sex voice information; Text to digital formats; D. Determine whether there is a connecting text or division; E. Combining the context date of the context date; f. specify the purpose of displaying the destination information, use the limited characteristics of the time format text, and use the regular template to take the time through the regular template to take the time Text extraction, instead of increasing the corpus by poverty; the connection recognition of two time is achieved, which adapts the needs of the user input time period; the date statement of the user input time during the text of the user's input is available through the text of the user input; The situation of the user's error is properly processed to avoid objective and non -existent time formats, and improve the experience of user intelligent effects.</v>
      </c>
      <c r="D2047" s="6" t="s">
        <v>5816</v>
      </c>
      <c r="E2047" s="4" t="str">
        <f ca="1">IFERROR(__xludf.DUMMYFUNCTION("GOOGLETRANSLATE(D2047,""auto"",""en"")"),"A method based on the oral time period voice recognition rate improvement method")</f>
        <v>A method based on the oral time period voice recognition rate improvement method</v>
      </c>
    </row>
    <row r="2048" spans="1:5" ht="15" x14ac:dyDescent="0.25">
      <c r="A2048" s="5" t="s">
        <v>5817</v>
      </c>
      <c r="B2048" s="6" t="s">
        <v>5818</v>
      </c>
      <c r="C2048" s="3" t="str">
        <f ca="1">IFERROR(__xludf.DUMMYFUNCTION("GOOGLETRANSLATE(B2048,""auto"",""en"")"),"1. Design product name: Douge interactive graphic user interface for display screen panels.
 2. Design products in this exterior: used to display information.
 3. Design of design products in this appearance: lies in the graphic user interface in the "&amp;"screen.
 4. Pictures or photos that can best show design: Design 1 main view.
 5. Specify design 1 is the basic design.
 6. The purpose of the graphical user interface: The design of the graphic user interface of this appearance is the Dou song inte"&amp;"ractive graphical user interface of the display screen panel. The graphical user interface is used to provide users with the operation and display scoring information of the song PK singing and displaying the scoring scoring information.
 7. Human -comp"&amp;"uter interaction method of graphics user interface: In designing 1 to design 3 main views starting interfaces, the two sides began to sing alternately. Variety.
 At the end of the game, enter the results page and further display the results information "&amp;"of the game, presenting the interface change state Figure 15 to the interface changes. Figure 17.
 The main view of design 4 and design 5 is the starting interface of the Douge competition. The two sides began to sing alternately. Each party finished sh"&amp;"owing real -time scores. In the middle of the game, teammates or opponents left. The interface change of the main view to the interface changes.
 At the end of the game, enter the result page and further display the results information of the game, pres"&amp;"enting the interface change state Figure 11 The interface changes in the interface change state. Figure 13.
 In the design of the 6 main view of the 6 main view of the Douge competition, the two sides began to sing alternately. Each party finished showi"&amp;"ng the real -time score. When the teammates and opponents left in the game, the game was over, and the user was winning. Show the interface change from the main view to the interface change state.
 8. The display screen panel can be used for mobile phon"&amp;"es, computers, tablets, vehicle central control screens, smart TVs.")</f>
        <v>1. Design product name: Douge interactive graphic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design of the graphic user interface of this appearance is the Dou song interactive graphical user interface of the display screen panel. The graphical user interface is used to provide users with the operation and display scoring information of the song PK singing and displaying the scoring scoring information.
 7. Human -computer interaction method of graphics user interface: In designing 1 to design 3 main views starting interfaces, the two sides began to sing alternately. Variety.
 At the end of the game, enter the results page and further display the results information of the game, presenting the interface change state Figure 15 to the interface changes. Figure 17.
 The main view of design 4 and design 5 is the starting interface of the Douge competition. The two sides began to sing alternately. Each party finished showing real -time scores. In the middle of the game, teammates or opponents left. The interface change of the main view to the interface changes.
 At the end of the game, enter the result page and further display the results information of the game, presenting the interface change state Figure 11 The interface changes in the interface change state. Figure 13.
 In the design of the 6 main view of the 6 main view of the Douge competition, the two sides began to sing alternately. Each party finished showing the real -time score. When the teammates and opponents left in the game, the game was over, and the user was winning. Show the interface change from the main view to the interface change state.
 8. The display screen panel can be used for mobile phones, computers, tablets, vehicle central control screens, smart TVs.</v>
      </c>
      <c r="D2048" s="6" t="s">
        <v>5819</v>
      </c>
      <c r="E2048" s="4" t="str">
        <f ca="1">IFERROR(__xludf.DUMMYFUNCTION("GOOGLETRANSLATE(D2048,""auto"",""en"")"),"Dou song interactive graphic user interface for display screen panels")</f>
        <v>Dou song interactive graphic user interface for display screen panels</v>
      </c>
    </row>
    <row r="2049" spans="1:5" ht="15" x14ac:dyDescent="0.25">
      <c r="A2049" s="5" t="s">
        <v>5820</v>
      </c>
      <c r="B2049" s="6" t="s">
        <v>5821</v>
      </c>
      <c r="C2049" s="3" t="str">
        <f ca="1">IFERROR(__xludf.DUMMYFUNCTION("GOOGLETRANSLATE(B2049,""auto"",""en"")"),"The theme of the present invention is especially a improved basin management system. After receiving the data from at least one source, the source includes at least one image source representing the basin and its environment, and the data received. The pr"&amp;"ocessing data includes at least one image of the image source. Signed the artificial intelligence module. The signature of the identification is processed in the expert system to determine the modification of at least one parameter of the swimming pool.")</f>
        <v>The theme of the present invention is especially a improved basin management system. After receiving the data from at least one source, the source includes at least one image source representing the basin and its environment, and the data received. The processing data includes at least one image of the image source. Signed the artificial intelligence module. The signature of the identification is processed in the expert system to determine the modification of at least one parameter of the swimming pool.</v>
      </c>
      <c r="D2049" s="6" t="s">
        <v>5822</v>
      </c>
      <c r="E2049" s="4" t="str">
        <f ca="1">IFERROR(__xludf.DUMMYFUNCTION("GOOGLETRANSLATE(D2049,""auto"",""en"")"),"Used to monitor the improvement methods and devices of the swimming pool")</f>
        <v>Used to monitor the improvement methods and devices of the swimming pool</v>
      </c>
    </row>
    <row r="2050" spans="1:5" ht="15" x14ac:dyDescent="0.25">
      <c r="A2050" s="5" t="s">
        <v>5823</v>
      </c>
      <c r="B2050" s="6" t="s">
        <v>5824</v>
      </c>
      <c r="C2050" s="3" t="str">
        <f ca="1">IFERROR(__xludf.DUMMYFUNCTION("GOOGLETRANSLATE(B2050,""auto"",""en"")"),"This article describes systems and technologies for unsupervised learning for privacy. The disclosed systems and methods can enable separate computers that can be operated by separate entities to perform unsupervised learning based on their respective dat"&amp;"a pools and protect privacy. The system improves efficiency and scalability, while protecting privacy and avoiding leakage cluster logo. This system can jointly calculate the safety distance by the privacy protection multiplication of various data values "&amp;"​​X and Y in the inadvertent transmission (OT) in N in N. In various embodiments, N can be a share of 2, 4 or some other quantities. The first computer can use base N to represent its data value x. The second computer can form a L X N matrix, including L "&amp;"random number NU, O and other element mi, o = (yjn I -mi, O) mod n L. The first computer can receive output vectors from OT, which is MI = (YXI N i-Mi, O) MOD N L.")</f>
        <v>This article describes systems and technologies for unsupervised learning for privacy. The disclosed systems and methods can enable separate computers that can be operated by separate entities to perform unsupervised learning based on their respective data pools and protect privacy. The system improves efficiency and scalability, while protecting privacy and avoiding leakage cluster logo. This system can jointly calculate the safety distance by the privacy protection multiplication of various data values ​​X and Y in the inadvertent transmission (OT) in N in N. In various embodiments, N can be a share of 2, 4 or some other quantities. The first computer can use base N to represent its data value x. The second computer can form a L X N matrix, including L random number NU, O and other element mi, o = (yjn I -mi, O) mod n L. The first computer can receive output vectors from OT, which is MI = (YXI N i-Mi, O) MOD N L.</v>
      </c>
      <c r="D2050" s="6" t="s">
        <v>264</v>
      </c>
      <c r="E2050" s="4" t="str">
        <f ca="1">IFERROR(__xludf.DUMMYFUNCTION("GOOGLETRANSLATE(D2050,""auto"",""en"")"),"Two server privacy protection sets")</f>
        <v>Two server privacy protection sets</v>
      </c>
    </row>
    <row r="2051" spans="1:5" ht="15" x14ac:dyDescent="0.25">
      <c r="A2051" s="5" t="s">
        <v>5825</v>
      </c>
      <c r="B2051" s="6" t="s">
        <v>5826</v>
      </c>
      <c r="C2051" s="3" t="str">
        <f ca="1">IFERROR(__xludf.DUMMYFUNCTION("GOOGLETRANSLATE(B2051,""auto"",""en"")"),"The present invention disclose a method of customizing voice recognition intentions through the configuration single. The specific operating process includes the following steps: A. Prepare application scenarios; B. Configure intelligent application scrip"&amp;"t files; Access to the user's own key business elements; E. Intelligent updates and maintenance of business data, and the people, things, time, place, event and other elements involved in daily people's words are arranged and combined by developing tools "&amp;"to form a poverty to form a template to form a template Files, when the business scenario involves the above elements, only needs to set the template to generate the dialogue template, encapsulate the third -party platform API, and design simple rules to "&amp;"analyze the script files. The data link of the auxiliary platform ensures that users can add deletion, deletion and modification to smart applications in a simple way.")</f>
        <v>The present invention disclose a method of customizing voice recognition intentions through the configuration single. The specific operating process includes the following steps: A. Prepare application scenarios; B. Configure intelligent application script files; Access to the user's own key business elements; E. Intelligent updates and maintenance of business data, and the people, things, time, place, event and other elements involved in daily people's words are arranged and combined by developing tools to form a poverty to form a template to form a template Files, when the business scenario involves the above elements, only needs to set the template to generate the dialogue template, encapsulate the third -party platform API, and design simple rules to analyze the script files. The data link of the auxiliary platform ensures that users can add deletion, deletion and modification to smart applications in a simple way.</v>
      </c>
      <c r="D2051" s="6" t="s">
        <v>5827</v>
      </c>
      <c r="E2051" s="4" t="str">
        <f ca="1">IFERROR(__xludf.DUMMYFUNCTION("GOOGLETRANSLATE(D2051,""auto"",""en"")"),"A method to customize the intention of voice recognition through configuration single")</f>
        <v>A method to customize the intention of voice recognition through configuration single</v>
      </c>
    </row>
    <row r="2052" spans="1:5" ht="15" x14ac:dyDescent="0.25">
      <c r="A2052" s="5" t="s">
        <v>5828</v>
      </c>
      <c r="B2052" s="6" t="s">
        <v>5824</v>
      </c>
      <c r="C2052" s="3" t="str">
        <f ca="1">IFERROR(__xludf.DUMMYFUNCTION("GOOGLETRANSLATE(B2052,""auto"",""en"")"),"This article describes systems and technologies for unsupervised learning for privacy. The disclosed systems and methods can enable separate computers that can be operated by separate entities to perform unsupervised learning based on their respective dat"&amp;"a pools and protect privacy. The system improves efficiency and scalability, while protecting privacy and avoiding leakage cluster logo. This system can jointly calculate the safety distance by the privacy protection multiplication of various data values "&amp;"​​X and Y in the inadvertent transmission (OT) in N in N. In various embodiments, N can be a share of 2, 4 or some other quantities. The first computer can use base N to represent its data value x. The second computer can form a L X N matrix, including L "&amp;"random number NU, O and other element mi, o = (yjn I -mi, O) mod n L. The first computer can receive output vectors from OT, which is MI = (YXI N i-Mi, O) MOD N L.")</f>
        <v>This article describes systems and technologies for unsupervised learning for privacy. The disclosed systems and methods can enable separate computers that can be operated by separate entities to perform unsupervised learning based on their respective data pools and protect privacy. The system improves efficiency and scalability, while protecting privacy and avoiding leakage cluster logo. This system can jointly calculate the safety distance by the privacy protection multiplication of various data values ​​X and Y in the inadvertent transmission (OT) in N in N. In various embodiments, N can be a share of 2, 4 or some other quantities. The first computer can use base N to represent its data value x. The second computer can form a L X N matrix, including L random number NU, O and other element mi, o = (yjn I -mi, O) mod n L. The first computer can receive output vectors from OT, which is MI = (YXI N i-Mi, O) MOD N L.</v>
      </c>
      <c r="D2052" s="6" t="s">
        <v>5829</v>
      </c>
      <c r="E2052" s="4" t="str">
        <f ca="1">IFERROR(__xludf.DUMMYFUNCTION("GOOGLETRANSLATE(D2052,""auto"",""en"")"),"Double server privacy protection collection")</f>
        <v>Double server privacy protection collection</v>
      </c>
    </row>
    <row r="2053" spans="1:5" ht="15" x14ac:dyDescent="0.25">
      <c r="A2053" s="5" t="s">
        <v>5830</v>
      </c>
      <c r="B2053" s="6" t="s">
        <v>5824</v>
      </c>
      <c r="C2053" s="3" t="str">
        <f ca="1">IFERROR(__xludf.DUMMYFUNCTION("GOOGLETRANSLATE(B2053,""auto"",""en"")"),"This article describes systems and technologies for unsupervised learning for privacy. The disclosed systems and methods can enable separate computers that can be operated by separate entities to perform unsupervised learning based on their respective dat"&amp;"a pools and protect privacy. The system improves efficiency and scalability, while protecting privacy and avoiding leakage cluster logo. This system can jointly calculate the safety distance by the privacy protection multiplication of various data values "&amp;"​​X and Y in the inadvertent transmission (OT) in N in N. In various embodiments, N can be a share of 2, 4 or some other quantities. The first computer can use base N to represent its data value x. The second computer can form a L X N matrix, including L "&amp;"random number NU, O and other element mi, o = (yjn I -mi, O) mod n L. The first computer can receive output vectors from OT, which is MI = (YXI N i-Mi, O) MOD N L.")</f>
        <v>This article describes systems and technologies for unsupervised learning for privacy. The disclosed systems and methods can enable separate computers that can be operated by separate entities to perform unsupervised learning based on their respective data pools and protect privacy. The system improves efficiency and scalability, while protecting privacy and avoiding leakage cluster logo. This system can jointly calculate the safety distance by the privacy protection multiplication of various data values ​​X and Y in the inadvertent transmission (OT) in N in N. In various embodiments, N can be a share of 2, 4 or some other quantities. The first computer can use base N to represent its data value x. The second computer can form a L X N matrix, including L random number NU, O and other element mi, o = (yjn I -mi, O) mod n L. The first computer can receive output vectors from OT, which is MI = (YXI N i-Mi, O) MOD N L.</v>
      </c>
      <c r="D2053" s="6" t="s">
        <v>5829</v>
      </c>
      <c r="E2053" s="4" t="str">
        <f ca="1">IFERROR(__xludf.DUMMYFUNCTION("GOOGLETRANSLATE(D2053,""auto"",""en"")"),"Double server privacy protection collection")</f>
        <v>Double server privacy protection collection</v>
      </c>
    </row>
    <row r="2054" spans="1:5" ht="15" x14ac:dyDescent="0.25">
      <c r="A2054" s="5" t="s">
        <v>5831</v>
      </c>
      <c r="B2054" s="6" t="s">
        <v>5832</v>
      </c>
      <c r="C2054" s="3" t="str">
        <f ca="1">IFERROR(__xludf.DUMMYFUNCTION("GOOGLETRANSLATE(B2054,""auto"",""en"")"),"This article describes systems and technologies for privacy protection without supervision. The disclosed systems and methods can jointly implement unsupervised learning by separate computers that can be operated separately based on their corresponding da"&amp;"ta pools and protect privacy at the same time. The system can improve efficiency and scalability, while protecting privacy and avoid leakage cluster logo. The system can use N inadvertent transmission (OT) based on N to use the corresponding data value X "&amp;"and Y privacy protection multiplication of the computer to jointly calculate the safe distance. In various embodiments, N can be shared by 2, 4 or some other numbers. The first computer can use base N to express its data value x. The second computer can f"&amp;"orm a random number NU, O, and remaining elements &amp; lt; image file = ""dda000362738770000011.gif"" he = ""117"" imgcontent = ""drawing"" imgformat = ""gif"" inline = ""Yes"" Orientat Ion = ""Portrait ""wi ="" 682 ""/&amp; gt; LXN matrix. The first computer ca"&amp;"n receive components from the OT receipt of weight &amp; lt; Image file = ""dda0003627389770000012.gif"" he = ""119"" imgContent = ""DRAWING"" Imgformat = ""GIF"" inline = ""Yes"" Orientation. = ""Portrait"" wi = Output vector of ""682""/&amp; gt;.")</f>
        <v>This article describes systems and technologies for privacy protection without supervision. The disclosed systems and methods can jointly implement unsupervised learning by separate computers that can be operated separately based on their corresponding data pools and protect privacy at the same time. The system can improve efficiency and scalability, while protecting privacy and avoid leakage cluster logo. The system can use N inadvertent transmission (OT) based on N to use the corresponding data value X and Y privacy protection multiplication of the computer to jointly calculate the safe distance. In various embodiments, N can be shared by 2, 4 or some other numbers. The first computer can use base N to express its data value x. The second computer can form a random number NU, O, and remaining elements &amp; lt; image file = "dda000362738770000011.gif" he = "117" imgcontent = "drawing" imgformat = "gif" inline = "Yes" Orientat Ion = "Portrait "wi =" 682 "/&amp; gt; LXN matrix. The first computer can receive components from the OT receipt of weight &amp; lt; Image file = "dda0003627389770000012.gif" he = "119" imgContent = "DRAWING" Imgformat = "GIF" inline = "Yes" Orientation. = "Portrait" wi = Output vector of "682"/&amp; gt;.</v>
      </c>
      <c r="D2054" s="6" t="s">
        <v>5833</v>
      </c>
      <c r="E2054" s="4" t="str">
        <f ca="1">IFERROR(__xludf.DUMMYFUNCTION("GOOGLETRANSLATE(D2054,""auto"",""en"")"),"Systems and methods for privacy protection without supervision learning")</f>
        <v>Systems and methods for privacy protection without supervision learning</v>
      </c>
    </row>
    <row r="2055" spans="1:5" ht="15" x14ac:dyDescent="0.25">
      <c r="A2055" s="5" t="s">
        <v>5834</v>
      </c>
      <c r="B2055" s="6" t="s">
        <v>5835</v>
      </c>
      <c r="C2055" s="3" t="str">
        <f ca="1">IFERROR(__xludf.DUMMYFUNCTION("GOOGLETRANSLATE(B2055,""auto"",""en"")"),"This article describes systems and technologies for privacy protection without supervision. The disclosed systems and methods can jointly implement unsupervised learning by separate computers that can be operated separately based on their corresponding da"&amp;"ta pools and protect privacy at the same time. The system can improve efficiency and scalability, while protecting privacy and avoid leakage cluster logo. The system can use N inadvertent transmission (OT) based on N to use the corresponding data value X "&amp;"and Y privacy protection multiplication of the computer to jointly calculate the safe distance. In various embodiments, N can be shared by 2, 4 or some other numbers. The first computer can use base N to express its data value x. The second computer can f"&amp;"orm a lxn matrix of the lxn matrix of the L's random number NU, O, and the remaining element mi, O = (yjn &amp; lt; sub; I &amp; LT;/Supgt; ‑mi, O) MOD &amp; NBSP; SUPGT; L &amp; LT;/SUPGT; The first computer can receive the output vector of the output vector of mi = (yx"&amp;"i &amp; nbsp; n &amp; lt;/subbsp; n &amp; l &amp; l &amp; l &amp; l &amp; l &amp; subpgt;/subpgt;")</f>
        <v>This article describes systems and technologies for privacy protection without supervision. The disclosed systems and methods can jointly implement unsupervised learning by separate computers that can be operated separately based on their corresponding data pools and protect privacy at the same time. The system can improve efficiency and scalability, while protecting privacy and avoid leakage cluster logo. The system can use N inadvertent transmission (OT) based on N to use the corresponding data value X and Y privacy protection multiplication of the computer to jointly calculate the safe distance. In various embodiments, N can be shared by 2, 4 or some other numbers. The first computer can use base N to express its data value x. The second computer can form a lxn matrix of the lxn matrix of the L's random number NU, O, and the remaining element mi, O = (yjn &amp; lt; sub; I &amp; LT;/Supgt; ‑mi, O) MOD &amp; NBSP; SUPGT; L &amp; LT;/SUPGT; The first computer can receive the output vector of the output vector of mi = (yxi &amp; nbsp; n &amp; lt;/subbsp; n &amp; l &amp; l &amp; l &amp; l &amp; l &amp; subpgt;/subpgt;</v>
      </c>
      <c r="D2055" s="6" t="s">
        <v>5833</v>
      </c>
      <c r="E2055" s="4" t="str">
        <f ca="1">IFERROR(__xludf.DUMMYFUNCTION("GOOGLETRANSLATE(D2055,""auto"",""en"")"),"Systems and methods for privacy protection without supervision learning")</f>
        <v>Systems and methods for privacy protection without supervision learning</v>
      </c>
    </row>
    <row r="2056" spans="1:5" ht="15" x14ac:dyDescent="0.25">
      <c r="A2056" s="5" t="s">
        <v>5836</v>
      </c>
      <c r="B2056" s="6" t="s">
        <v>5837</v>
      </c>
      <c r="C2056" s="3" t="str">
        <f ca="1">IFERROR(__xludf.DUMMYFUNCTION("GOOGLETRANSLATE(B2056,""auto"",""en"")"),"1. Design product name: Dynamic live broadcast interactive graphic user interface of the display screen panel.
 2. The purpose of designing products in this exterior: It is used for running software. The display screen is used for mobile phones, tablets"&amp;", treadmills, elliptical machines, dynamic bicycles, rowing machines, mountaineers, fitness cars.
 3. Design of the design of the product in this exterior: lies in the software graphics user interface displayed in the screen.
 4. Pictures or photos th"&amp;"at can most indicate design points: main view.
 5. There is no design point for other views, omitting other views.
 6. The purpose of graphical user interface: The design of this appearance is a graphical user interface used to perform live -broadcast"&amp;" interaction during user movement.
 7. Human -computer interaction method of graphical user interface: Main view or interface change state Figure 1 is to indicate the display interface of the user challenge. Click the main view or interface change state"&amp;". Figure 3; or when the main view or interface changes state Figure 1 The preset display duration end can also display the interface change state Figure 2 or interface change state figure 3; When the process is completed, the interface changes state Figur"&amp;"e 4; click the interface change state Figure 2 or interface change state Figure 3 Display the number of online persons, the process area of ​​the challenge progress or the preset display duration, the interface changes state Figure 5 or interface interfac"&amp;"e Change state Figure 6; when the interface change state diagram 5 or interface change state Figure 6 The process of the challenge progress on the right side is displayed, the interface changes status diagram 7 or the interface change state figure 8; clic"&amp;"k the interface changes status figure 4 The display online at the bottom right of the right. The process area or preset display duration of the number of people and challenges directly displays the state change state of the interface.")</f>
        <v>1. Design product name: Dynamic live broadcast interactive graphic user interface of the display screen panel.
 2. The purpose of designing products in this exterior: It is used for running software. The display screen is used for mobile phones, tablets, treadmills, elliptical machines, dynamic bicycles, rowing machines, mountaineers, fitness cars.
 3. Design of the design of the product in this exterior: lies in the software graphics user interface displayed in the screen.
 4. Pictures or photos that can most indicate design points: main view.
 5. There is no design point for other views, omitting other views.
 6. The purpose of graphical user interface: The design of this appearance is a graphical user interface used to perform live -broadcast interaction during user movement.
 7. Human -computer interaction method of graphical user interface: Main view or interface change state Figure 1 is to indicate the display interface of the user challenge. Click the main view or interface change state. Figure 3; or when the main view or interface changes state Figure 1 The preset display duration end can also display the interface change state Figure 2 or interface change state figure 3; When the process is completed, the interface changes state Figure 4; click the interface change state Figure 2 or interface change state Figure 3 Display the number of online persons, the process area of ​​the challenge progress or the preset display duration, the interface changes state Figure 5 or interface interface Change state Figure 6; when the interface change state diagram 5 or interface change state Figure 6 The process of the challenge progress on the right side is displayed, the interface changes status diagram 7 or the interface change state figure 8; click the interface changes status figure 4 The display online at the bottom right of the right. The process area or preset display duration of the number of people and challenges directly displays the state change state of the interface.</v>
      </c>
      <c r="D2056" s="6" t="s">
        <v>5838</v>
      </c>
      <c r="E2056" s="4" t="str">
        <f ca="1">IFERROR(__xludf.DUMMYFUNCTION("GOOGLETRANSLATE(D2056,""auto"",""en"")"),"The dynamic live broadcast interactive graphic user interface of the display screen panel")</f>
        <v>The dynamic live broadcast interactive graphic user interface of the display screen panel</v>
      </c>
    </row>
    <row r="2057" spans="1:5" ht="15" x14ac:dyDescent="0.25">
      <c r="A2057" s="5" t="s">
        <v>5839</v>
      </c>
      <c r="B2057" s="6" t="s">
        <v>5840</v>
      </c>
      <c r="C2057" s="3" t="str">
        <f ca="1">IFERROR(__xludf.DUMMYFUNCTION("GOOGLETRANSLATE(B2057,""auto"",""en"")"),"The present invention disclosed a cross -language machine learning method and system, which is applied to a machine learning platform formed in the form of web services. According to the algorithm procedures of the machine learning algorithm, the algorith"&amp;"m flowchart framework is generated; according to each algorithm process Operation steps, one by one as the corresponding algorithm description of each process node on the algorithm flowchart frame; each process node on the framework of the calendar algori"&amp;"thm, generate the sequence of node execution, and follow the order of the node execution order. Describe the autonomous translation of Python code, and obtain a machine learning algorithm represented by a Python code to use this machine learning algorithm"&amp;" to achieve machine learning. It can be seen that this application allows the Web service system to choose the most commonly used Java language, but also allows the implementation of the Python language of machine learning algorithms, which has exerted th"&amp;"e ecological advantages of two languages.")</f>
        <v>The present invention disclosed a cross -language machine learning method and system, which is applied to a machine learning platform formed in the form of web services. According to the algorithm procedures of the machine learning algorithm, the algorithm flowchart framework is generated; according to each algorithm process Operation steps, one by one as the corresponding algorithm description of each process node on the algorithm flowchart frame; each process node on the framework of the calendar algorithm, generate the sequence of node execution, and follow the order of the node execution order. Describe the autonomous translation of Python code, and obtain a machine learning algorithm represented by a Python code to use this machine learning algorithm to achieve machine learning. It can be seen that this application allows the Web service system to choose the most commonly used Java language, but also allows the implementation of the Python language of machine learning algorithms, which has exerted the ecological advantages of two languages.</v>
      </c>
      <c r="D2057" s="6" t="s">
        <v>5841</v>
      </c>
      <c r="E2057" s="4" t="str">
        <f ca="1">IFERROR(__xludf.DUMMYFUNCTION("GOOGLETRANSLATE(D2057,""auto"",""en"")"),"A cross -language machine learning method and system")</f>
        <v>A cross -language machine learning method and system</v>
      </c>
    </row>
    <row r="2058" spans="1:5" ht="15" x14ac:dyDescent="0.25">
      <c r="A2058" s="5" t="s">
        <v>5842</v>
      </c>
      <c r="B2058" s="6" t="s">
        <v>5843</v>
      </c>
      <c r="C2058" s="3" t="str">
        <f ca="1">IFERROR(__xludf.DUMMYFUNCTION("GOOGLETRANSLATE(B2058,""auto"",""en"")"),"1. Design product name: Display screen panel with a team calendar graphics user interface with a team.
 2. The purpose of designing products in this exterior: The design of the product in this exterior is used for running programs, display information a"&amp;"nd/or communication.
 3. Design of the design of the product in this exterior: lies in the graphic user interface content displayed in the display screen panel.
 4. Pictures or photos that can most indicate design points: main view.
 5. Do not invol"&amp;"ve design points, omit the left view; do not involve design points, omit the right view; do not involve design points, omit the push -up view; do not involve design points, omitting the view view; no design points, omittime views.
 6. The purpose of the"&amp;" graphical user interface: The graphic user interface of the display screen panel is displayed as an interactive interface for viewing the team's calendar to find the event details, which is used for mobile phones, tablets, TVs, computers; 7. Graphics; gr"&amp;"aphics The area of ​​the user interface in the product: the interface in the display screen panel; 8. Human -computer interaction method of graphical user interface: The main view is displayed as the main interface of the team's calendar. The battle team "&amp;"icon on the date of the date; the change status is to click the changing chart displayed after the battle team icon or the date of the event in the main screen. The upper part of Player name, location, jersey number and other information.
 The design is"&amp;" attached to the display screen panel, which can be used for mobile phones, smart panels, smart watches and tablets.")</f>
        <v>1. Design product name: Display screen panel with a team calendar graphics user interface with a team.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design points: main view.
 5. Do not involve design points, omit the left view; do not involve design points, omit the right view; do not involve design points, omit the push -up view; do not involve design points, omitting the view view; no design points, omittime views.
 6. The purpose of the graphical user interface: The graphic user interface of the display screen panel is displayed as an interactive interface for viewing the team's calendar to find the event details, which is used for mobile phones, tablets, TVs, computers; 7. Graphics; graphics The area of ​​the user interface in the product: the interface in the display screen panel; 8. Human -computer interaction method of graphical user interface: The main view is displayed as the main interface of the team's calendar. The battle team icon on the date of the date; the change status is to click the changing chart displayed after the battle team icon or the date of the event in the main screen. The upper part of Player name, location, jersey number and other information.
 The design is attached to the display screen panel, which can be used for mobile phones, smart panels, smart watches and tablets.</v>
      </c>
      <c r="D2058" s="6" t="s">
        <v>5844</v>
      </c>
      <c r="E2058" s="4" t="str">
        <f ca="1">IFERROR(__xludf.DUMMYFUNCTION("GOOGLETRANSLATE(D2058,""auto"",""en"")"),"Display screen panel with team calendar graphics user interface")</f>
        <v>Display screen panel with team calendar graphics user interface</v>
      </c>
    </row>
    <row r="2059" spans="1:5" ht="15" x14ac:dyDescent="0.25">
      <c r="A2059" s="5" t="s">
        <v>5845</v>
      </c>
      <c r="B2059" s="6" t="s">
        <v>5846</v>
      </c>
      <c r="C2059" s="3" t="str">
        <f ca="1">IFERROR(__xludf.DUMMYFUNCTION("GOOGLETRANSLATE(B2059,""auto"",""en"")"),"1. Design product name: The penetration game graphic user interface of the display screen panel.
 2. Design products in this exterior: used to display information.
 The display screen panel is used for computer or tablet display.
 3. Design of the d"&amp;"esign of the product in this appearance: lies in the graphic user interface content in the screen, including element layout, pattern and interaction method.
 4. Pictures or photos that can most indicate design points: main view.
 5. Do not involve des"&amp;"ign points, omit the back view, left view, right view, down -view view, upper view.
 6. The purpose of the graphical user interface: For enterprises to participate in the infiltration competition, the offensive and defensive simulation configuration and"&amp;" competition information display.
 7. Human -computer interaction method of graphics user interface: The main view is the graphic interface after the platform login, with navigation bars, competition names, and login user information. Graphic scene stat"&amp;"us.
 Click the ""Scenario Description"" in the main view of the view, enter the interface change state Figure 1, the interface change status Figure 1 describes the introduction of the competition; click ""Tool Box"" in the main screen of the main screen"&amp;" to enter the interface change state Figure 2, interface change status Figure 2 is displayed in the form of a card, the name, time, and category of displaying tools in each card; click the specific tool card in the interface change state. 2 can enter the "&amp;"interface change state. Enter the interface change state Figure 4, the interface change state Figure 4 presentation table 4, and related function buttons.
 The fork number in the interface represents text or numbers. The names, teams and other names in "&amp;"the interface, as well as time, and descriptive content are only used to indicate the location of the content, not the protection content of the design.")</f>
        <v>1. Design product name: The penetration game graphic user interface of the display screen panel.
 2. Design products in this exterior: used to display information.
 The display screen panel is used for computer or tablet display.
 3. Design of the design of the product in this appearance: lies in the graphic user interface content in the screen, including element layout, pattern and interaction method.
 4. Pictures or photos that can most indicate design points: main view.
 5. Do not involve design points, omit the back view, left view, right view, down -view view, upper view.
 6. The purpose of the graphical user interface: For enterprises to participate in the infiltration competition, the offensive and defensive simulation configuration and competition information display.
 7. Human -computer interaction method of graphics user interface: The main view is the graphic interface after the platform login, with navigation bars, competition names, and login user information. Graphic scene status.
 Click the "Scenario Description" in the main view of the view, enter the interface change state Figure 1, the interface change status Figure 1 describes the introduction of the competition; click "Tool Box" in the main screen of the main screen to enter the interface change state Figure 2, interface change status Figure 2 is displayed in the form of a card, the name, time, and category of displaying tools in each card; click the specific tool card in the interface change state. 2 can enter the interface change state. Enter the interface change state Figure 4, the interface change state Figure 4 presentation table 4, and related function buttons.
 The fork number in the interface represents text or numbers. The names, teams and other names in the interface, as well as time, and descriptive content are only used to indicate the location of the content, not the protection content of the design.</v>
      </c>
      <c r="D2059" s="6" t="s">
        <v>5847</v>
      </c>
      <c r="E2059" s="4" t="str">
        <f ca="1">IFERROR(__xludf.DUMMYFUNCTION("GOOGLETRANSLATE(D2059,""auto"",""en"")"),"The penetration of the display screen panel graphics user interface")</f>
        <v>The penetration of the display screen panel graphics user interface</v>
      </c>
    </row>
    <row r="2060" spans="1:5" ht="15" x14ac:dyDescent="0.25">
      <c r="A2060" s="5" t="s">
        <v>5848</v>
      </c>
      <c r="B2060" s="6" t="s">
        <v>5849</v>
      </c>
      <c r="C2060" s="3" t="str">
        <f ca="1">IFERROR(__xludf.DUMMYFUNCTION("GOOGLETRANSLATE(B2060,""auto"",""en"")"),"A maze (2) horizontal assessment system, including maze (2), brain wave test device (3), brain wave analysis module (4), horizontal evaluation module (5), control module (8), for shooting maze ( 2) The camera (6), and the display and record system for on "&amp;"-site display and records of the maze (2) walking actual display system (7). By brain wave analysis module (4) analyzed the smooth walking and unsoplasm of the competition during the game, the competition anxiety, the excitement of the game, and the corre"&amp;"sponding five types of cerebral waves after the anxiety overcomes the score Machine evaluation of the maze (2) level (2). The labyrinth (2) taken by the camera (6) is based on the experience judgment based on the experience, and the final comprehensive ev"&amp;"aluation is obtained in combination with the evaluation of the machine. It also includes a maze based on the evaluation system (2) horizontal evaluation method and the use of brain wave characteristics of excellent testers to improve the ability of micro "&amp;"-mouse maze through deep learning. Using entropy right to reorganize machine evaluation, obtain optimal machine evaluation, and combined with manual evaluation, it can objectively and accurately analyze the maze (2) level of the competition.")</f>
        <v>A maze (2) horizontal assessment system, including maze (2), brain wave test device (3), brain wave analysis module (4), horizontal evaluation module (5), control module (8), for shooting maze ( 2) The camera (6), and the display and record system for on -site display and records of the maze (2) walking actual display system (7). By brain wave analysis module (4) analyzed the smooth walking and unsoplasm of the competition during the game, the competition anxiety, the excitement of the game, and the corresponding five types of cerebral waves after the anxiety overcomes the score Machine evaluation of the maze (2) level (2). The labyrinth (2) taken by the camera (6) is based on the experience judgment based on the experience, and the final comprehensive evaluation is obtained in combination with the evaluation of the machine. It also includes a maze based on the evaluation system (2) horizontal evaluation method and the use of brain wave characteristics of excellent testers to improve the ability of micro -mouse maze through deep learning. Using entropy right to reorganize machine evaluation, obtain optimal machine evaluation, and combined with manual evaluation, it can objectively and accurately analyze the maze (2) level of the competition.</v>
      </c>
      <c r="D2060" s="6" t="s">
        <v>5850</v>
      </c>
      <c r="E2060" s="4" t="str">
        <f ca="1">IFERROR(__xludf.DUMMYFUNCTION("GOOGLETRANSLATE(D2060,""auto"",""en"")"),"The brain training evaluation system and its evaluation method based on the smart maze")</f>
        <v>The brain training evaluation system and its evaluation method based on the smart maze</v>
      </c>
    </row>
    <row r="2061" spans="1:5" ht="15" x14ac:dyDescent="0.25">
      <c r="A2061" s="5" t="s">
        <v>5851</v>
      </c>
      <c r="B2061" s="6" t="s">
        <v>5852</v>
      </c>
      <c r="C2061" s="3" t="str">
        <f ca="1">IFERROR(__xludf.DUMMYFUNCTION("GOOGLETRANSLATE(B2061,""auto"",""en"")"),"The present invention disclosed a running series intelligent insole that involves the field of intelligent Internet of Things, including base pads and top pads. The side of the base pad is set with plastic sacs, and the middle position of the front surfac"&amp;"e of the base pad is set with empty cavity. The internal sliding of the cavity is connected to the installation box, and the internal installation box is installed with activated carbon filters. On one side of the top of the base pad, there is a pore. The"&amp;"re is a side pad at the top of the pad, which rotates the connection of the output end of the inside of the plastic capsule. The first baffle set by the present invention is turned on to one side, the second baffle is turned off, and there will be a certa"&amp;"in gap between the middle position of the feet and the insole. The activated carbon filter filtering the gas into the plastic sac. When running, it is a reciprocating movement. The gas completes the loop inside the shoes to avoid shoe odor and avoid sweat"&amp;"ing by people with easy sweating.")</f>
        <v>The present invention disclosed a running series intelligent insole that involves the field of intelligent Internet of Things, including base pads and top pads. The side of the base pad is set with plastic sacs, and the middle position of the front surface of the base pad is set with empty cavity. The internal sliding of the cavity is connected to the installation box, and the internal installation box is installed with activated carbon filters. On one side of the top of the base pad, there is a pore. There is a side pad at the top of the pad, which rotates the connection of the output end of the inside of the plastic capsule. The first baffle set by the present invention is turned on to one side, the second baffle is turned off, and there will be a certain gap between the middle position of the feet and the insole. The activated carbon filter filtering the gas into the plastic sac. When running, it is a reciprocating movement. The gas completes the loop inside the shoes to avoid shoe odor and avoid sweating by people with easy sweating.</v>
      </c>
      <c r="D2061" s="6" t="s">
        <v>5853</v>
      </c>
      <c r="E2061" s="4" t="str">
        <f ca="1">IFERROR(__xludf.DUMMYFUNCTION("GOOGLETRANSLATE(D2061,""auto"",""en"")"),"A run series smart insole")</f>
        <v>A run series smart insole</v>
      </c>
    </row>
    <row r="2062" spans="1:5" ht="15" x14ac:dyDescent="0.25">
      <c r="A2062" s="5" t="s">
        <v>5854</v>
      </c>
      <c r="B2062" s="6" t="s">
        <v>5855</v>
      </c>
      <c r="C2062" s="3" t="str">
        <f ca="1">IFERROR(__xludf.DUMMYFUNCTION("GOOGLETRANSLATE(B2062,""auto"",""en"")"),"The present invention disclosed a method of monitoring the physical condition of table tennis players based on the Internet of Things and blockchain. The method includes the following steps: the physical condition data of table tennis players is collected"&amp;" by the mobile terminal; , The first control message sent by the mobile terminal at the first time gap is listened to the base station; in response to the receiving the first control message, the mobile terminal is tried to listen to the prime station in "&amp;"the first time transmission resource of the first time gap. Physical condition data upload command; if the mobile terminal is correctly decoded on the physical condition data upload command, the mobile terminal will send the first confirmation receiving m"&amp;"essage to the base station in the first feedback resource of the first time gap; The news is uploaded by the mobile terminal in the second -order transmission resources of the second time slot to upload the command of the physical condition data repeatedl"&amp;"y sent by the base station.")</f>
        <v>The present invention disclosed a method of monitoring the physical condition of table tennis players based on the Internet of Things and blockchain. The method includes the following steps: the physical condition data of table tennis players is collected by the mobile terminal; , The first control message sent by the mobile terminal at the first time gap is listened to the base station; in response to the receiving the first control message, the mobile terminal is tried to listen to the prime station in the first time transmission resource of the first time gap. Physical condition data upload command; if the mobile terminal is correctly decoded on the physical condition data upload command, the mobile terminal will send the first confirmation receiving message to the base station in the first feedback resource of the first time gap; The news is uploaded by the mobile terminal in the second -order transmission resources of the second time slot to upload the command of the physical condition data repeatedly sent by the base station.</v>
      </c>
      <c r="D2062" s="6" t="s">
        <v>5856</v>
      </c>
      <c r="E2062" s="4" t="str">
        <f ca="1">IFERROR(__xludf.DUMMYFUNCTION("GOOGLETRANSLATE(D2062,""auto"",""en"")"),"A physical condition monitoring method and system based on the Internet of Things and blockchain players")</f>
        <v>A physical condition monitoring method and system based on the Internet of Things and blockchain players</v>
      </c>
    </row>
    <row r="2063" spans="1:5" ht="15" x14ac:dyDescent="0.25">
      <c r="A2063" s="5" t="s">
        <v>5857</v>
      </c>
      <c r="B2063" s="6" t="s">
        <v>5858</v>
      </c>
      <c r="C2063" s="3" t="str">
        <f ca="1">IFERROR(__xludf.DUMMYFUNCTION("GOOGLETRANSLATE(B2063,""auto"",""en"")"),"1. Design product name: Display with free running interface with a treadmill app.
 2. The purpose of designing products in this exterior: It is mainly used in the switching display of related motion parameters in the free running interface of the treadm"&amp;"ill app.
 The design of the product is used for mobile phones and tablets.
 3. Design of the design of the product in this exterior: It is designed as shown in the figure as shown in the figure.
 4. Pictures or photos that can most indicate the desi"&amp;"gn points: change status Figure 1.
 5. Other views other than the positive projection view of the graphical user interface do not have the design points of design. The design of the design products of this design product is omitted other views other tha"&amp;"n the positive movie view of the graphical user interface.
 6. The purpose of the graphical user interface: The free running process interface for the treadmill app can switch and view different motion parameters in the interface of the human -machine i"&amp;"nteroperability.
 7. The change of the graphic user interface explanation: The main view is a horizontal screen interface of the ""running"" and motion parameters in the main view of the main view. Click on any data in this interface, such as clicking "&amp;"""Running Time"" to jump and turn around. To the change state Figure 1, display the motion parameter switching page, click ""Steps"" in this page to jump to the change state Figure 2. The page of the large number of the user running time is displayed in t"&amp;"he page.")</f>
        <v>1. Design product name: Display with free running interface with a treadmill app.
 2. The purpose of designing products in this exterior: It is mainly used in the switching display of related motion parameters in the free running interface of the treadmill app.
 The design of the product is used for mobile phones and tablets.
 3. Design of the design of the product in this exterior: It is designed as shown in the figure as shown in the figure.
 4. Pictures or photos that can most indicate the design points: change status Figure 1.
 5. Other views other than the positive projection view of the graphical user interface do not have the design points of design. The design of the design products of this design product is omitted other views other than the positive movie view of the graphical user interface.
 6. The purpose of the graphical user interface: The free running process interface for the treadmill app can switch and view different motion parameters in the interface of the human -machine interoperability.
 7. The change of the graphic user interface explanation: The main view is a horizontal screen interface of the "running" and motion parameters in the main view of the main view. Click on any data in this interface, such as clicking "Running Time" to jump and turn around. To the change state Figure 1, display the motion parameter switching page, click "Steps" in this page to jump to the change state Figure 2. The page of the large number of the user running time is displayed in the page.</v>
      </c>
      <c r="D2063" s="6" t="s">
        <v>5859</v>
      </c>
      <c r="E2063" s="4" t="str">
        <f ca="1">IFERROR(__xludf.DUMMYFUNCTION("GOOGLETRANSLATE(D2063,""auto"",""en"")"),"Display with a free running interface with a treadmill app")</f>
        <v>Display with a free running interface with a treadmill app</v>
      </c>
    </row>
    <row r="2064" spans="1:5" ht="15" x14ac:dyDescent="0.25">
      <c r="A2064" s="5" t="s">
        <v>5860</v>
      </c>
      <c r="B2064" s="6" t="s">
        <v>5861</v>
      </c>
      <c r="C2064" s="3" t="str">
        <f ca="1">IFERROR(__xludf.DUMMYFUNCTION("GOOGLETRANSLATE(B2064,""auto"",""en"")"),"1. Design product name: Display with free running interface with a treadmill app.
 2. The purpose of designing products in this appearance: It is mainly used to display the free running process interface and related sports data in the treadmill app.
 "&amp;"The design of the product is used for mobile phones and tablets.
 3. Design of the design of the product in this exterior: It is designed as shown in the figure as shown in the figure.
 4. Pictures or photos that can best show design: Design 1 main vi"&amp;"ew.
 5. Other views other than the positive projection view of the graphical user interface do not have the design points of design. The design of the design products of this design product is omitted other views other than the positive movie view of th"&amp;"e graphical user interface.
 6. Specify design 1 is the basic design.
 7. The purpose of the graphical user interface: The free running process interface used for the treadmill app, and can change the motion process and screen display mode through hum"&amp;"an -computer interaction.
 8. Change state description of graphical user interface: Design 1 The main view is a ""running"" state and motion parameter interface in the treadmill app; At this time, the interface is in a pause state. Press the ""Continue"&amp;""" button on the lower left side to return to the ""Running"" dynamic interface. Pressing the ""Stop"" button on the right side to stop the ""run"" process of the APP.
 The interface of the design 2 main view is similar to the interface of the design 1 "&amp;"change state diagram. After the first time you enter the page, there will be a short -term button function or parameter switching prompt; when the display screen is placed horizontally, the interface will be changed to the design 2 change state diagram. A"&amp;"t this time, the interface is switched to a horizontal screen display.
 The interface content and changes of design 3 are similar to design 1. The difference is that the interface of design 3 is displayed in a horizontal screen.")</f>
        <v>1. Design product name: Display with free running interface with a treadmill app.
 2. The purpose of designing products in this appearance: It is mainly used to display the free running process interface and related sports data in the treadmill app.
 The design of the product is used for mobile phones and tablets.
 3. Design of the design of the product in this exterior: It is designed as shown in the figure as shown in the figure.
 4. Pictures or photos that can best show design: Design 1 main view.
 5. Other views other than the positive projection view of the graphical user interface do not have the design points of design. The design of the design products of this design product is omitted other views other than the positive movie view of the graphical user interface.
 6. Specify design 1 is the basic design.
 7. The purpose of the graphical user interface: The free running process interface used for the treadmill app, and can change the motion process and screen display mode through human -computer interaction.
 8. Change state description of graphical user interface: Design 1 The main view is a "running" state and motion parameter interface in the treadmill app; At this time, the interface is in a pause state. Press the "Continue" button on the lower left side to return to the "Running" dynamic interface. Pressing the "Stop" button on the right side to stop the "run" process of the APP.
 The interface of the design 2 main view is similar to the interface of the design 1 change state diagram. After the first time you enter the page, there will be a short -term button function or parameter switching prompt; when the display screen is placed horizontally, the interface will be changed to the design 2 change state diagram. At this time, the interface is switched to a horizontal screen display.
 The interface content and changes of design 3 are similar to design 1. The difference is that the interface of design 3 is displayed in a horizontal screen.</v>
      </c>
      <c r="D2064" s="6" t="s">
        <v>5859</v>
      </c>
      <c r="E2064" s="4" t="str">
        <f ca="1">IFERROR(__xludf.DUMMYFUNCTION("GOOGLETRANSLATE(D2064,""auto"",""en"")"),"Display with a free running interface with a treadmill app")</f>
        <v>Display with a free running interface with a treadmill app</v>
      </c>
    </row>
    <row r="2065" spans="1:5" ht="15" x14ac:dyDescent="0.25">
      <c r="A2065" s="5" t="s">
        <v>5862</v>
      </c>
      <c r="B2065" s="6" t="s">
        <v>5863</v>
      </c>
      <c r="C2065" s="3" t="str">
        <f ca="1">IFERROR(__xludf.DUMMYFUNCTION("GOOGLETRANSLATE(B2065,""auto"",""en"")"),"1. The name of the product in appearance: the display screen panel with the homepage of the treadmill app and more data interface.
 2. The purpose of designing products in this exterior: It is mainly used to control the operation and curriculum settings"&amp;" of the treadmill through a treadmill app to display sports data and related parameters.
 The design of the product is used for mobile phones and tablets.
 3. Design of the design of the product in this exterior: It is designed as shown in the figure "&amp;"as shown in the figure.
 4. Pictures or photos that can most indicate design points: main view.
 5. No other views other than the positive projection view of the graphical user interface do not have design points. The omitted views of the design of th"&amp;"e design of the design of this exterior design are other views other than the positive projection view view of the graphical user interface.
 6. The purpose of the graphical user interface: connect the sports device (treadmill) through the treadmill app"&amp;", select different sports courses (training) through human -computer interfaces in the graphic user interface, display the existing sports data, and view different times at different times More exercise details data under the unit.
 7. Human -computer i"&amp;"nteraction method of graphical user interface: In the interface of the main view (ie, the homepage of the treadmill), click ""View more data"" and enter the interface (second -level page) of the changing state. The daily view of the data has an option ent"&amp;"ry on the upper part (the current option is ""day""). After the ""total"" button, the interfaces of the change status of the change will be entered separately. 2. Figure 2, Figure 3, Figure 4, and Figure 5. It shows the ""weekly view"", ""month view"", """&amp;"annual view"" of sports data, and the overall overall use of hardware use. ""General View"" of the parameter.
 8. In this design product, the content of the graphical user interface can be fully displayed by sliding or rolling.")</f>
        <v>1. The name of the product in appearance: the display screen panel with the homepage of the treadmill app and more data interface.
 2. The purpose of designing products in this exterior: It is mainly used to control the operation and curriculum settings of the treadmill through a treadmill app to display sports data and related parameters.
 The design of the product is used for mobile phones and tablets.
 3. Design of the design of the product in this exterior: It is designed as shown in the figure as shown in the figure.
 4. Pictures or photos that can most indicate design points: main view.
 5. No other views other than the positive projection view of the graphical user interface do not have design points. The omitted views of the design of the design of the design of this exterior design are other views other than the positive projection view view of the graphical user interface.
 6. The purpose of the graphical user interface: connect the sports device (treadmill) through the treadmill app, select different sports courses (training) through human -computer interfaces in the graphic user interface, display the existing sports data, and view different times at different times More exercise details data under the unit.
 7. Human -computer interaction method of graphical user interface: In the interface of the main view (ie, the homepage of the treadmill), click "View more data" and enter the interface (second -level page) of the changing state. The daily view of the data has an option entry on the upper part (the current option is "day"). After the "total" button, the interfaces of the change status of the change will be entered separately. 2. Figure 2, Figure 3, Figure 4, and Figure 5. It shows the "weekly view", "month view", "annual view" of sports data, and the overall overall use of hardware use. "General View" of the parameter.
 8. In this design product, the content of the graphical user interface can be fully displayed by sliding or rolling.</v>
      </c>
      <c r="D2065" s="6" t="s">
        <v>5864</v>
      </c>
      <c r="E2065" s="4" t="str">
        <f ca="1">IFERROR(__xludf.DUMMYFUNCTION("GOOGLETRANSLATE(D2065,""auto"",""en"")"),"Display screen panel with a treadmill app homepage and more data interface")</f>
        <v>Display screen panel with a treadmill app homepage and more data interface</v>
      </c>
    </row>
    <row r="2066" spans="1:5" ht="15" x14ac:dyDescent="0.25">
      <c r="A2066" s="5" t="s">
        <v>5865</v>
      </c>
      <c r="B2066" s="6" t="s">
        <v>5866</v>
      </c>
      <c r="C2066" s="3" t="str">
        <f ca="1">IFERROR(__xludf.DUMMYFUNCTION("GOOGLETRANSLATE(B2066,""auto"",""en"")"),"1. Design product name: Display screen panel with a training course interface with a treadmill app.
 2. The purpose of designing products in this exterior: It is mainly used to display optional training courses in the treadmill app for customers to choo"&amp;"se and start training.
 The design of the product is used for mobile phones and tablets.
 3. Design of the design of the product in this exterior: It is designed as shown in the figure as shown in the figure.
 4. Pictures or photos that are best to "&amp;"show design points: change status Figure 2.
 5. Other views other than the positive projection view of the graphical user interface do not have the design points of design. The design of the design products of this design product is omitted other views "&amp;"other than the positive movie view of the graphical user interface.
 6. The purpose of the graphical user interface: It is used as a training course selection interface in the treadmill app. You can choose and start a training course through human -mach"&amp;"ine interaction.
 7. Change state description of the graphic user interface: In the homepage of the main view of the main view, select any training course (such as ""Quick Walk Training""), enter the interface of the change state in the state, that is, "&amp;"the second -level page of the training course After selecting a course in this page (such as ""Thirty minutes of fat grease""), enter the interface of the changing state Figure 2, display the corresponding course introduction page, and click the ""Start R"&amp;"un"" button at the bottom of the page to enter the changing status chart The ""countdown"" interface from 3 to 5, then jump to the interface of the change state Figure 6 to display the ""Movement"" interface and related sports data.
 8. In this design p"&amp;"roduct, the content of the graphical user interface can be fully displayed by sliding or rolling.")</f>
        <v>1. Design product name: Display screen panel with a training course interface with a treadmill app.
 2. The purpose of designing products in this exterior: It is mainly used to display optional training courses in the treadmill app for customers to choose and start training.
 The design of the product is used for mobile phones and tablets.
 3. Design of the design of the product in this exterior: It is designed as shown in the figure as shown in the figure.
 4. Pictures or photos that are best to show design points: change status Figure 2.
 5. Other views other than the positive projection view of the graphical user interface do not have the design points of design. The design of the design products of this design product is omitted other views other than the positive movie view of the graphical user interface.
 6. The purpose of the graphical user interface: It is used as a training course selection interface in the treadmill app. You can choose and start a training course through human -machine interaction.
 7. Change state description of the graphic user interface: In the homepage of the main view of the main view, select any training course (such as "Quick Walk Training"), enter the interface of the change state in the state, that is, the second -level page of the training course After selecting a course in this page (such as "Thirty minutes of fat grease"), enter the interface of the changing state Figure 2, display the corresponding course introduction page, and click the "Start Run" button at the bottom of the page to enter the changing status chart The "countdown" interface from 3 to 5, then jump to the interface of the change state Figure 6 to display the "Movement" interface and related sports data.
 8. In this design product, the content of the graphical user interface can be fully displayed by sliding or rolling.</v>
      </c>
      <c r="D2066" s="6" t="s">
        <v>5867</v>
      </c>
      <c r="E2066" s="4" t="str">
        <f ca="1">IFERROR(__xludf.DUMMYFUNCTION("GOOGLETRANSLATE(D2066,""auto"",""en"")"),"Display screen panel with a training course interface with a treadmill app")</f>
        <v>Display screen panel with a training course interface with a treadmill app</v>
      </c>
    </row>
    <row r="2067" spans="1:5" ht="15" x14ac:dyDescent="0.25">
      <c r="A2067" s="5" t="s">
        <v>5868</v>
      </c>
      <c r="B2067" s="6" t="s">
        <v>5869</v>
      </c>
      <c r="C2067" s="3" t="str">
        <f ca="1">IFERROR(__xludf.DUMMYFUNCTION("GOOGLETRANSLATE(B2067,""auto"",""en"")"),"The invention involves a sports guidance device based on artificial intelligence. According to the motion -guiding equipment of the exercise guidance device of the invention, the motion posture extraction unit can generate posture data by extracting the m"&amp;"ovement of motion objects from the motion image captured from the image capture unit. In addition, the exercise posture analyzer can be based on artificial intelligence receiving posture and infer whether the exercise posture is in the right posture. In a"&amp;"ddition, the motion guidance device of the embodiment of the present invention may also include the guidance information output unit. The guide information output unit is based on the inference results of the inference results of the motion posture analys"&amp;"is unit. In this way, based on artificial intelligence, it can accurately infer whether the movement posture is correct, and can provide the sports guidance information suitable for this to users.")</f>
        <v>The invention involves a sports guidance device based on artificial intelligence. According to the motion -guiding equipment of the exercise guidance device of the invention, the motion posture extraction unit can generate posture data by extracting the movement of motion objects from the motion image captured from the image capture unit. In addition, the exercise posture analyzer can be based on artificial intelligence receiving posture and infer whether the exercise posture is in the right posture. In addition, the motion guidance device of the embodiment of the present invention may also include the guidance information output unit. The guide information output unit is based on the inference results of the inference results of the motion posture analysis unit. In this way, based on artificial intelligence, it can accurately infer whether the movement posture is correct, and can provide the sports guidance information suitable for this to users.</v>
      </c>
      <c r="D2067" s="6" t="s">
        <v>3708</v>
      </c>
      <c r="E2067" s="4" t="str">
        <f ca="1">IFERROR(__xludf.DUMMYFUNCTION("GOOGLETRANSLATE(D2067,""auto"",""en"")"),"Sports coaching equipment based on artificial intelligence")</f>
        <v>Sports coaching equipment based on artificial intelligence</v>
      </c>
    </row>
    <row r="2068" spans="1:5" ht="15" x14ac:dyDescent="0.25">
      <c r="A2068" s="5" t="s">
        <v>5870</v>
      </c>
      <c r="B2068" s="6" t="s">
        <v>5871</v>
      </c>
      <c r="C2068" s="3" t="str">
        <f ca="1">IFERROR(__xludf.DUMMYFUNCTION("GOOGLETRANSLATE(B2068,""auto"",""en"")"),"The present invention disclosed a method of identifying the attitude of artificial intelligence running limb blocking posture, including the following steps: S1, image data collection: According to the requirements of the site (run scenario) of collecting"&amp;" data, set the image collection device from multiple angles to the human body for the human body Collect the posture of the stance in running, compare the physical gesture image data of the characters with the comparison information stored by the main con"&amp;"troller to obtain the data information corresponding to the physical posture information of the character. Module; S2, data processing; S3, body coordinates tracking; S4, coordinates correction; S5, animation drawing; during the detection process, because"&amp;" the incomplete picture of the character's or the edge area of ​​the camera causes Comparing the number of people in the current screen and the previous screen, the characters' actions of the previous frame are supplemented in the current picture, avoidin"&amp;"g the problems of the sudden disappearance of the characters.")</f>
        <v>The present invention disclosed a method of identifying the attitude of artificial intelligence running limb blocking posture, including the following steps: S1, image data collection: According to the requirements of the site (run scenario) of collecting data, set the image collection device from multiple angles to the human body for the human body Collect the posture of the stance in running, compare the physical gesture image data of the characters with the comparison information stored by the main controller to obtain the data information corresponding to the physical posture information of the character. Module; S2, data processing; S3, body coordinates tracking; S4, coordinates correction; S5, animation drawing; during the detection process, because the incomplete picture of the character's or the edge area of ​​the camera causes Comparing the number of people in the current screen and the previous screen, the characters' actions of the previous frame are supplemented in the current picture, avoiding the problems of the sudden disappearance of the characters.</v>
      </c>
      <c r="D2068" s="6" t="s">
        <v>5872</v>
      </c>
      <c r="E2068" s="4" t="str">
        <f ca="1">IFERROR(__xludf.DUMMYFUNCTION("GOOGLETRANSLATE(D2068,""auto"",""en"")"),"A method of identifying the attitude of artificial intelligence running limb blocking posture")</f>
        <v>A method of identifying the attitude of artificial intelligence running limb blocking posture</v>
      </c>
    </row>
    <row r="2069" spans="1:5" ht="15" x14ac:dyDescent="0.25">
      <c r="A2069" s="5" t="s">
        <v>5873</v>
      </c>
      <c r="B2069" s="6" t="s">
        <v>5874</v>
      </c>
      <c r="C2069" s="3" t="str">
        <f ca="1">IFERROR(__xludf.DUMMYFUNCTION("GOOGLETRANSLATE(B2069,""auto"",""en"")"),"It consists of a multimedia panel and a base. When they are put together, the coach will form a briefcase shape; the training device base contains various peripheral devices. On the lower layer of the trainer base, there is a dismantling on the surface. P"&amp;"C keyboard, there is a development kit under the keyboard, which can be used for various electronic projects, matrix keyboards, the voltage source area of ​​the training device base of standard size bread boards, and some digital logic switches that will "&amp;"be used for digital system applications,, and digital logic switches that will be used for digital system applications. And the area of ​​displaying a series of sensors and actuators will allow students to control and jointly develop experimental applicat"&amp;"ions for electronics and IoT systems.")</f>
        <v>It consists of a multimedia panel and a base. When they are put together, the coach will form a briefcase shape; the training device base contains various peripheral devices. On the lower layer of the trainer base, there is a dismantling on the surface. PC keyboard, there is a development kit under the keyboard, which can be used for various electronic projects, matrix keyboards, the voltage source area of ​​the training device base of standard size bread boards, and some digital logic switches that will be used for digital system applications,, and digital logic switches that will be used for digital system applications. And the area of ​​displaying a series of sensors and actuators will allow students to control and jointly develop experimental applications for electronics and IoT systems.</v>
      </c>
      <c r="D2069" s="6" t="s">
        <v>5875</v>
      </c>
      <c r="E2069" s="4" t="str">
        <f ca="1">IFERROR(__xludf.DUMMYFUNCTION("GOOGLETRANSLATE(D2069,""auto"",""en"")"),"Portable electronic training multi -platform with independent development system")</f>
        <v>Portable electronic training multi -platform with independent development system</v>
      </c>
    </row>
    <row r="2070" spans="1:5" ht="15" x14ac:dyDescent="0.25">
      <c r="A2070" s="5" t="s">
        <v>5876</v>
      </c>
      <c r="B2070" s="6" t="s">
        <v>5877</v>
      </c>
      <c r="C2070" s="3" t="str">
        <f ca="1">IFERROR(__xludf.DUMMYFUNCTION("GOOGLETRANSLATE(B2070,""auto"",""en"")"),"The present invention involves the field of medical image technology. It is specifically a cell counting method based on the full convolutional regression network. The density estimation is completed based on the full convolutional network. The specific o"&amp;"peration steps are as follows: S1: Image pre -processing; S2: model architecture and training ; S3: Multimens such as multi -scale block input and fusion. Based on deep learning, the present invention has designed a CNN model that uses full convolutional "&amp;"regression networks to solve the problem of density estimation, solving the method of cell counting problem based on density estimation method. In the problem of weak performance, the present invention introduces dense connections in Densenet to enhance t"&amp;"he basic constructor module in the original U‑Net, which can improve the characteristic expression ability of the model in U‑Net and more effective training models.")</f>
        <v>The present invention involves the field of medical image technology. It is specifically a cell counting method based on the full convolutional regression network. The density estimation is completed based on the full convolutional network. The specific operation steps are as follows: S1: Image pre -processing; S2: model architecture and training ; S3: Multimens such as multi -scale block input and fusion. Based on deep learning, the present invention has designed a CNN model that uses full convolutional regression networks to solve the problem of density estimation, solving the method of cell counting problem based on density estimation method. In the problem of weak performance, the present invention introduces dense connections in Densenet to enhance the basic constructor module in the original U‑Net, which can improve the characteristic expression ability of the model in U‑Net and more effective training models.</v>
      </c>
      <c r="D2070" s="6" t="s">
        <v>5878</v>
      </c>
      <c r="E2070" s="4" t="str">
        <f ca="1">IFERROR(__xludf.DUMMYFUNCTION("GOOGLETRANSLATE(D2070,""auto"",""en"")"),"A method of cell counting based on full convolutional regression network")</f>
        <v>A method of cell counting based on full convolutional regression network</v>
      </c>
    </row>
    <row r="2071" spans="1:5" ht="15" x14ac:dyDescent="0.25">
      <c r="A2071" s="5" t="s">
        <v>5879</v>
      </c>
      <c r="B2071" s="6" t="s">
        <v>4330</v>
      </c>
      <c r="C2071" s="3" t="str">
        <f ca="1">IFERROR(__xludf.DUMMYFUNCTION("GOOGLETRANSLATE(B2071,""auto"",""en"")"),"Examples include historical score data based on artificial intelligence and/or machine learning to generate sports analysis based on historical score data based on specific teams, athletes, events or other related data. Machine learning can be applied to "&amp;"historical data to increase betting odds. The odds module can analyze the correlation between the results of the event and the available parameters in advance to provide accurate and latest odds.")</f>
        <v>Examples include historical score data based on artificial intelligence and/or machine learning to generate sports analysis based on historical score data based on specific teams, athletes, events or other related data. Machine learning can be applied to historical data to increase betting odds. The odds module can analyze the correlation between the results of the event and the available parameters in advance to provide accurate and latest odds.</v>
      </c>
      <c r="D2071" s="6" t="s">
        <v>4331</v>
      </c>
      <c r="E2071" s="4" t="str">
        <f ca="1">IFERROR(__xludf.DUMMYFUNCTION("GOOGLETRANSLATE(D2071,""auto"",""en"")"),"Artificial intelligence and machine learning enhancement betting odds methods, systems and devices")</f>
        <v>Artificial intelligence and machine learning enhancement betting odds methods, systems and devices</v>
      </c>
    </row>
    <row r="2072" spans="1:5" ht="15" x14ac:dyDescent="0.25">
      <c r="A2072" s="5" t="s">
        <v>5880</v>
      </c>
      <c r="B2072" s="6" t="s">
        <v>5881</v>
      </c>
      <c r="C2072" s="3" t="str">
        <f ca="1">IFERROR(__xludf.DUMMYFUNCTION("GOOGLETRANSLATE(B2072,""auto"",""en"")"),"The invention involves the field of sports equipment, especially a ice hockey training device and evaluation system. Including: one iceball; a training platform, which is moving on the training platform, the training platform includes: a first line; a con"&amp;"nection rod; one glance at the sensor; a central control device; the central control device; The device also includes a human -machine interaction interface to display different animation display effects. The above technical solutions have the following a"&amp;"dvantages or beneficial effects: Through this technical solution, the moving trajectory of the ice hockey is customized through the human -computer interaction interface, and different animation display effects are displayed, which is convenient for users"&amp;" to customize and adjust the flexibility. And ornamental, this technical solution also has the value of the popularization and promotion of entertainment and ice hockey activities. This technical solution also has the value of entertainment and ice hockey"&amp;" activities.")</f>
        <v>The invention involves the field of sports equipment, especially a ice hockey training device and evaluation system. Including: one iceball; a training platform, which is moving on the training platform, the training platform includes: a first line; a connection rod; one glance at the sensor; a central control device; the central control device; The device also includes a human -machine interaction interface to display different animation display effects. The above technical solutions have the following advantages or beneficial effects: Through this technical solution, the moving trajectory of the ice hockey is customized through the human -computer interaction interface, and different animation display effects are displayed, which is convenient for users to customize and adjust the flexibility. And ornamental, this technical solution also has the value of the popularization and promotion of entertainment and ice hockey activities. This technical solution also has the value of entertainment and ice hockey activities.</v>
      </c>
      <c r="D2072" s="6" t="s">
        <v>5882</v>
      </c>
      <c r="E2072" s="4" t="str">
        <f ca="1">IFERROR(__xludf.DUMMYFUNCTION("GOOGLETRANSLATE(D2072,""auto"",""en"")"),"A kind of ice hockey training device and evaluation system")</f>
        <v>A kind of ice hockey training device and evaluation system</v>
      </c>
    </row>
    <row r="2073" spans="1:5" ht="15" x14ac:dyDescent="0.25">
      <c r="A2073" s="5" t="s">
        <v>5883</v>
      </c>
      <c r="B2073" s="6" t="s">
        <v>5884</v>
      </c>
      <c r="C2073" s="3" t="str">
        <f ca="1">IFERROR(__xludf.DUMMYFUNCTION("GOOGLETRANSLATE(B2073,""auto"",""en"")"),"The present invention disclosed a method of uploading exercise records based on the Internet of Things to the server. The method includes the following steps: the synchronous signal and system information sent by the mobile terminal monitor by the base st"&amp;"ation; in response Information, the LBT process is performed by the mobile terminal on the first point carrier; in response to the synchronous signal and system information sent by the base station, the LBT process is performed by the mobile terminal at t"&amp;"he same time on the second -point carrier; The synchronous signal and system information will be performed by the mobile terminal at the same time on the third -point carrier. If the LBT process is successful on the first score carrier, the mobile termina"&amp;"l will be sent to the base station at the first PRACH timing of the first point load. Randomly access the front guide code, and at the same time, the mobile terminal sends a random access request to the base station at the first PUSCH timing of the first "&amp;"point carrier.")</f>
        <v>The present invention disclosed a method of uploading exercise records based on the Internet of Things to the server. The method includes the following steps: the synchronous signal and system information sent by the mobile terminal monitor by the base station; in response Information, the LBT process is performed by the mobile terminal on the first point carrier; in response to the synchronous signal and system information sent by the base station, the LBT process is performed by the mobile terminal at the same time on the second -point carrier; The synchronous signal and system information will be performed by the mobile terminal at the same time on the third -point carrier. If the LBT process is successful on the first score carrier, the mobile terminal will be sent to the base station at the first PRACH timing of the first point load. Randomly access the front guide code, and at the same time, the mobile terminal sends a random access request to the base station at the first PUSCH timing of the first point carrier.</v>
      </c>
      <c r="D2073" s="6" t="s">
        <v>5885</v>
      </c>
      <c r="E2073" s="4" t="str">
        <f ca="1">IFERROR(__xludf.DUMMYFUNCTION("GOOGLETRANSLATE(D2073,""auto"",""en"")"),"A method of uploading sports records to the server based on the Internet of Things and the sports record system of sports records")</f>
        <v>A method of uploading sports records to the server based on the Internet of Things and the sports record system of sports records</v>
      </c>
    </row>
    <row r="2074" spans="1:5" ht="15" x14ac:dyDescent="0.25">
      <c r="A2074" s="5" t="s">
        <v>5886</v>
      </c>
      <c r="B2074" s="6" t="s">
        <v>5135</v>
      </c>
      <c r="C2074" s="3" t="str">
        <f ca="1">IFERROR(__xludf.DUMMYFUNCTION("GOOGLETRANSLATE(B2074,""auto"",""en"")"),"A software system can use artificial intelligence and/or machine learning to generate sports analysis based on historical score data of specific teams, players, events or other related data. In embodiments, machine learning can be applied to historical da"&amp;"ta to increase betting odds. Through the ""odds module"", the correlation between the results and available parameters can be analyzed in real time in advance to provide accurate and latest odds.")</f>
        <v>A software system can use artificial intelligence and/or machine learning to generate sports analysis based on historical score data of specific teams, players, events or other related data. In embodiments, machine learning can be applied to historical data to increase betting odds. Through the "odds module", the correlation between the results and available parameters can be analyzed in real time in advance to provide accurate and latest odds.</v>
      </c>
      <c r="D2074" s="6" t="s">
        <v>5136</v>
      </c>
      <c r="E2074" s="4" t="str">
        <f ca="1">IFERROR(__xludf.DUMMYFUNCTION("GOOGLETRANSLATE(D2074,""auto"",""en"")"),"Artificial intelligence/machine learning increases betting odds")</f>
        <v>Artificial intelligence/machine learning increases betting odds</v>
      </c>
    </row>
    <row r="2075" spans="1:5" ht="15" x14ac:dyDescent="0.25">
      <c r="A2075" s="5" t="s">
        <v>5887</v>
      </c>
      <c r="B2075" s="6" t="s">
        <v>5888</v>
      </c>
      <c r="C2075" s="3" t="str">
        <f ca="1">IFERROR(__xludf.DUMMYFUNCTION("GOOGLETRANSLATE(B2075,""auto"",""en"")"),"The audience can watch the performance of the players who cannot be seen directly.
  Video collecting/providing device collection video streams such as sports pictures such as motion pictures wirelessly transmitted from multiple cameras. Video collectio"&amp;"n and provision device uses the collected video information to recognize the video information of the video stream, automatically identify the behavior and/or situation of the player's behavior, predict and detect the recommendation scenario of the compet"&amp;"ition performances watching the audience, and the notice of the recommendation scenarios detected by the prediction detection. Give the audience terminal, provide the video stream of the collected video stream to the audience terminal. When the audience t"&amp;"erminal received the trailer, the audience terminal notified the preview of the recommendation scene to the audience, and obtained a video stream containing the recommendation scenarios sent by the video collection/providing equipment sending.
  【Select"&amp;"ion Figure】 Figure 1")</f>
        <v>The audience can watch the performance of the players who cannot be seen directly.
  Video collecting/providing device collection video streams such as sports pictures such as motion pictures wirelessly transmitted from multiple cameras. Video collection and provision device uses the collected video information to recognize the video information of the video stream, automatically identify the behavior and/or situation of the player's behavior, predict and detect the recommendation scenario of the competition performances watching the audience, and the notice of the recommendation scenarios detected by the prediction detection. Give the audience terminal, provide the video stream of the collected video stream to the audience terminal. When the audience terminal received the trailer, the audience terminal notified the preview of the recommendation scene to the audience, and obtained a video stream containing the recommendation scenarios sent by the video collection/providing equipment sending.
  【Selection Figure】 Figure 1</v>
      </c>
      <c r="D2075" s="6" t="s">
        <v>5889</v>
      </c>
      <c r="E2075" s="4" t="str">
        <f ca="1">IFERROR(__xludf.DUMMYFUNCTION("GOOGLETRANSLATE(D2075,""auto"",""en"")"),"Video collection and equipment program and competition viewing system and competition viewing system video collection and equipment")</f>
        <v>Video collection and equipment program and competition viewing system and competition viewing system video collection and equipment</v>
      </c>
    </row>
    <row r="2076" spans="1:5" ht="15" x14ac:dyDescent="0.25">
      <c r="A2076" s="5" t="s">
        <v>5890</v>
      </c>
      <c r="B2076" s="6" t="s">
        <v>5891</v>
      </c>
      <c r="C2076" s="3" t="str">
        <f ca="1">IFERROR(__xludf.DUMMYFUNCTION("GOOGLETRANSLATE(B2076,""auto"",""en"")"),"The present invention provides a maze level evaluation system, including maze, brain wave testing device, brain wave analysis module, horizontal evaluation module, control module, for shooting the maze camera, as well as on -site display and recording the"&amp;" labyrinth walking live situation. Display and record systems. Based on the brain wave analysis module analyzed the smooth walking and unfastelling of the competition during the game, there were corresponding four types of cerebral wavelet feature values "&amp;"​​such as anxiety, excitement of the game, and overcoming anxiety. Machine evaluation of the maze level. The labyrinth walking active co -evaluation personnel shot by the camera instrument judge the final comprehensive evaluation of geometry and its evalu"&amp;"ation based on experience. The invention also provides a maze level evaluation method based on the above evaluation system and the use of brain waves of excellent testers to improve the ability of micro -mouse maze through deep learning. The invention use"&amp;"s the entropy authority to reorganize the evaluation of the machine, obtain the best machine evaluation, and combine manual evaluation, which can objectively and scientific analysis of the maze level of the competition.")</f>
        <v>The present invention provides a maze level evaluation system, including maze, brain wave testing device, brain wave analysis module, horizontal evaluation module, control module, for shooting the maze camera, as well as on -site display and recording the labyrinth walking live situation. Display and record systems. Based on the brain wave analysis module analyzed the smooth walking and unfastelling of the competition during the game, there were corresponding four types of cerebral wavelet feature values ​​such as anxiety, excitement of the game, and overcoming anxiety. Machine evaluation of the maze level. The labyrinth walking active co -evaluation personnel shot by the camera instrument judge the final comprehensive evaluation of geometry and its evaluation based on experience. The invention also provides a maze level evaluation method based on the above evaluation system and the use of brain waves of excellent testers to improve the ability of micro -mouse maze through deep learning. The invention uses the entropy authority to reorganize the evaluation of the machine, obtain the best machine evaluation, and combine manual evaluation, which can objectively and scientific analysis of the maze level of the competition.</v>
      </c>
      <c r="D2076" s="6" t="s">
        <v>5850</v>
      </c>
      <c r="E2076" s="4" t="str">
        <f ca="1">IFERROR(__xludf.DUMMYFUNCTION("GOOGLETRANSLATE(D2076,""auto"",""en"")"),"The brain training evaluation system and its evaluation method based on the smart maze")</f>
        <v>The brain training evaluation system and its evaluation method based on the smart maze</v>
      </c>
    </row>
    <row r="2077" spans="1:5" ht="15" x14ac:dyDescent="0.25">
      <c r="A2077" s="5" t="s">
        <v>5892</v>
      </c>
      <c r="B2077" s="6" t="s">
        <v>5893</v>
      </c>
      <c r="C2077" s="3" t="str">
        <f ca="1">IFERROR(__xludf.DUMMYFUNCTION("GOOGLETRANSLATE(B2077,""auto"",""en"")"),"The trained machine learning model is used to determine the scores of the user account registered in video game services, and these scores are used to match the player together in multiplayer video game settings. For example, the sensor data received from"&amp;" the client machine can be input to the trained machine learning model, and the model raised ingredients are used as the output. These scores are related to the probability of the game control data received from these client machines. Not using software s"&amp;"ynthesis and/or modification. In this way, at least part of the scores determined for those login user accounts are allocated to the subset of the login user account to perform video games to different games (for example, by isolation of non -human player"&amp;"s from human players), and video games Execution in the designated competition of each login user account.")</f>
        <v>The trained machine learning model is used to determine the scores of the user account registered in video game services, and these scores are used to match the player together in multiplayer video game settings. For example, the sensor data received from the client machine can be input to the trained machine learning model, and the model raised ingredients are used as the output. These scores are related to the probability of the game control data received from these client machines. Not using software synthesis and/or modification. In this way, at least part of the scores determined for those login user accounts are allocated to the subset of the login user account to perform video games to different games (for example, by isolation of non -human players from human players), and video games Execution in the designated competition of each login user account.</v>
      </c>
      <c r="D2077" s="6" t="s">
        <v>5894</v>
      </c>
      <c r="E2077" s="4" t="str">
        <f ca="1">IFERROR(__xludf.DUMMYFUNCTION("GOOGLETRANSLATE(D2077,""auto"",""en"")"),"Machine learning trust score based on sensor data")</f>
        <v>Machine learning trust score based on sensor data</v>
      </c>
    </row>
    <row r="2078" spans="1:5" ht="15" x14ac:dyDescent="0.25">
      <c r="A2078" s="5" t="s">
        <v>5895</v>
      </c>
      <c r="B2078" s="6" t="s">
        <v>5896</v>
      </c>
      <c r="C2078" s="3" t="str">
        <f ca="1">IFERROR(__xludf.DUMMYFUNCTION("GOOGLETRANSLATE(B2078,""auto"",""en"")"),"1. Design product name: Display screen panel with a wearable APP motion recorded graphical user interface.
 2. The purpose of designing products in this exterior: The user sports records and motion results data display and interactive interface of the u"&amp;"ser of wearable APPs are used. This design product is used for smart watches, mobile phones and tablets.
 3. Design of the design of the product in this exterior: It is designed as shown in the figure as shown in the figure.
 4. Pictures or photos tha"&amp;"t can most indicate design points: Design 1 change state Figure 2.
 5. Design of the appearance design of requesting protection 2 contains color.
 6. No other views other than the positive projection view of the graphical user interface do not have de"&amp;"sign points. The design of the design products of this design product is omitted other views other than the positive film view containing the graphical user interface.
 7. Specify design 1 is the basic design.
 8. The purpose of the graphical user int"&amp;"erface: It is used to view the statistical data of the movement records of multiple items in the wearable APP and the statistical data of the motion results of the user.
 9. Human -computer interaction method of graphical user interface: In designing th"&amp;"e interface (personal status page) of the main view of the main view, click the first item in the pop -up window, that is, the ""motion records with a cycling icon) ""After the card, enter the interface of the design 1 change state, which shows the user's"&amp;" sports historical data; in the interface of the design 1 change state, click on the"" Ship Rowing Machine ""option to enter the interface of the design 1 change state. , Click the ""Rope Skip"" option to enter the interface of the design 1 change state, "&amp;"click the ""Outdoor Running"" option to enter the interface of the design 1 change state Figure 4, and click the ""Iron Man Three"" options will enter the design 1 change status diagram. 5 The interface of 5, the ""outdoor swimming"" in this interface is "&amp;"highly bright and large. When selecting the other two sports in this interface, the other two sports ""outdoor running"" and ""outdoor cycling"" entered the design 1 change respectively. State Figure 6. Design 1 change Status Figure 7, design 1 change sta"&amp;"tus Figure 5, 6, and 7 shows the detailed data records under the corresponding sports items.
 The interface change method of design 2 is the same as the human -computer interaction method as design 1.
 10. Change state description of graphical user in"&amp;"terface: In this design product, the view is the content of a complete graphical user interface displayed by sliding or rolling.
 The changes in design 1 and design 2 Figure 2 to the change state Figure 7, both provide ""upper amplification diagram"" an"&amp;"d ""lower part of the zoom"" to display the corresponding interface content more clearly.")</f>
        <v>1. Design product name: Display screen panel with a wearable APP motion recorded graphical user interface.
 2. The purpose of designing products in this exterior: The user sports records and motion results data display and interactive interface of the user of wearable APPs are used. This design product is used for smart watches, mobile phones and tablets.
 3. Design of the design of the product in this exterior: It is designed as shown in the figure as shown in the figure.
 4. Pictures or photos that can most indicate design points: Design 1 change state Figure 2.
 5. Design of the appearance design of requesting protection 2 contains color.
 6. No other views other than the positive projection view of the graphical user interface do not have design points. The design of the design products of this design product is omitted other views other than the positive film view containing the graphical user interface.
 7. Specify design 1 is the basic design.
 8. The purpose of the graphical user interface: It is used to view the statistical data of the movement records of multiple items in the wearable APP and the statistical data of the motion results of the user.
 9. Human -computer interaction method of graphical user interface: In designing the interface (personal status page) of the main view of the main view, click the first item in the pop -up window, that is, the "motion records with a cycling icon) "After the card, enter the interface of the design 1 change state, which shows the user's sports historical data; in the interface of the design 1 change state, click on the" Ship Rowing Machine "option to enter the interface of the design 1 change state. , Click the "Rope Skip" option to enter the interface of the design 1 change state, click the "Outdoor Running" option to enter the interface of the design 1 change state Figure 4, and click the "Iron Man Three" options will enter the design 1 change status diagram. 5 The interface of 5, the "outdoor swimming" in this interface is highly bright and large. When selecting the other two sports in this interface, the other two sports "outdoor running" and "outdoor cycling" entered the design 1 change respectively. State Figure 6. Design 1 change Status Figure 7, design 1 change status Figure 5, 6, and 7 shows the detailed data records under the corresponding sports items.
 The interface change method of design 2 is the same as the human -computer interaction method as design 1.
 10. Change state description of graphical user interface: In this design product, the view is the content of a complete graphical user interface displayed by sliding or rolling.
 The changes in design 1 and design 2 Figure 2 to the change state Figure 7, both provide "upper amplification diagram" and "lower part of the zoom" to display the corresponding interface content more clearly.</v>
      </c>
      <c r="D2078" s="6" t="s">
        <v>5897</v>
      </c>
      <c r="E2078" s="4" t="str">
        <f ca="1">IFERROR(__xludf.DUMMYFUNCTION("GOOGLETRANSLATE(D2078,""auto"",""en"")"),"Display screen panel with a wearable APP motion recorded graphical user interface")</f>
        <v>Display screen panel with a wearable APP motion recorded graphical user interface</v>
      </c>
    </row>
    <row r="2079" spans="1:5" ht="15" x14ac:dyDescent="0.25">
      <c r="A2079" s="5" t="s">
        <v>5898</v>
      </c>
      <c r="B2079" s="6" t="s">
        <v>5899</v>
      </c>
      <c r="C2079" s="3" t="str">
        <f ca="1">IFERROR(__xludf.DUMMYFUNCTION("GOOGLETRANSLATE(B2079,""auto"",""en"")"),"Abstract object positioning and sports tracking system The present invention involves a non -contact visual tracking system, especially a system for the object positioning and motion tracking on the stadium in sports events. The system includes image acqu"&amp;"isition devices; image processing units receive video frames from the image capture device; they are characterized by drones that contain the image collection device; interactive connection to the graphic user interface of the image processing unit; The a"&amp;"pplied algorithm in the image processing unit is used to extract and interact with interactive analysis by the user based on the receiving video frame for processing data. Draw with Abstract: Figure 2")</f>
        <v>Abstract object positioning and sports tracking system The present invention involves a non -contact visual tracking system, especially a system for the object positioning and motion tracking on the stadium in sports events. The system includes image acquisition devices; image processing units receive video frames from the image capture device; they are characterized by drones that contain the image collection device; interactive connection to the graphic user interface of the image processing unit; The applied algorithm in the image processing unit is used to extract and interact with interactive analysis by the user based on the receiving video frame for processing data. Draw with Abstract: Figure 2</v>
      </c>
      <c r="D2079" s="6" t="s">
        <v>5900</v>
      </c>
      <c r="E2079" s="4" t="str">
        <f ca="1">IFERROR(__xludf.DUMMYFUNCTION("GOOGLETRANSLATE(D2079,""auto"",""en"")"),"Objective positioning and sports tracking system")</f>
        <v>Objective positioning and sports tracking system</v>
      </c>
    </row>
    <row r="2080" spans="1:5" ht="15" x14ac:dyDescent="0.25">
      <c r="A2080" s="5" t="s">
        <v>5901</v>
      </c>
      <c r="B2080" s="6" t="s">
        <v>5902</v>
      </c>
      <c r="C2080" s="3" t="str">
        <f ca="1">IFERROR(__xludf.DUMMYFUNCTION("GOOGLETRANSLATE(B2080,""auto"",""en"")"),"Trained machine learning models are used to determine the scores of the user account registered in video game services, and these scores are used to match the player together in multiplayer video game settings. For example, the sensor data received from t"&amp;"he client machine can be input to the trained machine learning model. This model will generate a score as an output, which indicates that the game control data received from the client machine is related to the generated by the handheld device generated b"&amp;"y the handheld device generation Instead of using software synthesis and/or modification. In this way, the login user account set that performs video games can be at least part of the scores determined by the login user to participate in different competi"&amp;"tions (for example, to separate non -human players from human players). They will play video games in allocating games.")</f>
        <v>Trained machine learning models are used to determine the scores of the user account registered in video game services, and these scores are used to match the player together in multiplayer video game settings. For example, the sensor data received from the client machine can be input to the trained machine learning model. This model will generate a score as an output, which indicates that the game control data received from the client machine is related to the generated by the handheld device generated by the handheld device generation Instead of using software synthesis and/or modification. In this way, the login user account set that performs video games can be at least part of the scores determined by the login user to participate in different competitions (for example, to separate non -human players from human players). They will play video games in allocating games.</v>
      </c>
      <c r="D2080" s="6" t="s">
        <v>5903</v>
      </c>
      <c r="E2080" s="4" t="str">
        <f ca="1">IFERROR(__xludf.DUMMYFUNCTION("GOOGLETRANSLATE(D2080,""auto"",""en"")"),"Machine Learning Trusting Rating based on sensor data")</f>
        <v>Machine Learning Trusting Rating based on sensor data</v>
      </c>
    </row>
    <row r="2081" spans="1:5" ht="15" x14ac:dyDescent="0.25">
      <c r="A2081" s="5" t="s">
        <v>5904</v>
      </c>
      <c r="B2081" s="6" t="s">
        <v>5905</v>
      </c>
      <c r="C2081" s="3" t="str">
        <f ca="1">IFERROR(__xludf.DUMMYFUNCTION("GOOGLETRANSLATE(B2081,""auto"",""en"")"),"The trained machine learning model is used to determine the score of the user account registered in video game services, and the score is used to match the player in multiplayer video game settings. For example, from the sensor data received by the client"&amp;" machine, it is entered into a trained machine learning model. The model control data from the game from the client machine, instead of using software for synthesis and/or modification. , Generate a score as the probability of the output and the handheld "&amp;"device. Therefore, at least part of the subset of the login user account that runs the video game is different based on the scores determined by the login user account (for example, the non -human players are separated from human players). It can be assig"&amp;"ned to the game, and the video game will run in the game assigned to each login user account.")</f>
        <v>The trained machine learning model is used to determine the score of the user account registered in video game services, and the score is used to match the player in multiplayer video game settings. For example, from the sensor data received by the client machine, it is entered into a trained machine learning model. The model control data from the game from the client machine, instead of using software for synthesis and/or modification. , Generate a score as the probability of the output and the handheld device. Therefore, at least part of the subset of the login user account that runs the video game is different based on the scores determined by the login user account (for example, the non -human players are separated from human players). It can be assigned to the game, and the video game will run in the game assigned to each login user account.</v>
      </c>
      <c r="D2081" s="6" t="s">
        <v>5903</v>
      </c>
      <c r="E2081" s="4" t="str">
        <f ca="1">IFERROR(__xludf.DUMMYFUNCTION("GOOGLETRANSLATE(D2081,""auto"",""en"")"),"Machine Learning Trusting Rating based on sensor data")</f>
        <v>Machine Learning Trusting Rating based on sensor data</v>
      </c>
    </row>
    <row r="2082" spans="1:5" ht="15" x14ac:dyDescent="0.25">
      <c r="A2082" s="5" t="s">
        <v>5906</v>
      </c>
      <c r="B2082" s="6" t="s">
        <v>5907</v>
      </c>
      <c r="C2082" s="3" t="str">
        <f ca="1">IFERROR(__xludf.DUMMYFUNCTION("GOOGLETRANSLATE(B2082,""auto"",""en"")"),"Examples disclose a method, including the use of an on -demand role -playing network with the Internet connection to access the role -playing learning materials and real -time role -playing sessions. The network connection promotes the real -time practice"&amp;" courses of role -playing partners, combines artificial intelligence exchange coach analyzers with on -demand role -playing networks, provides non -language communication analysis and guidance for role -playing participants, and provides role -player part"&amp;"icipants with on -site exercises on -site exercises. The method of scoring the course includes non -language communication skills.")</f>
        <v>Examples disclose a method, including the use of an on -demand role -playing network with the Internet connection to access the role -playing learning materials and real -time role -playing sessions. The network connection promotes the real -time practice courses of role -playing partners, combines artificial intelligence exchange coach analyzers with on -demand role -playing networks, provides non -language communication analysis and guidance for role -playing participants, and provides role -player participants with on -site exercises on -site exercises. The method of scoring the course includes non -language communication skills.</v>
      </c>
      <c r="D2082" s="6" t="s">
        <v>5908</v>
      </c>
      <c r="E2082" s="4" t="str">
        <f ca="1">IFERROR(__xludf.DUMMYFUNCTION("GOOGLETRANSLATE(D2082,""auto"",""en"")"),"Methods and devices of on -demand role -playing")</f>
        <v>Methods and devices of on -demand role -playing</v>
      </c>
    </row>
    <row r="2083" spans="1:5" ht="15" x14ac:dyDescent="0.25">
      <c r="A2083" s="5" t="s">
        <v>5909</v>
      </c>
      <c r="B2083" s="6" t="s">
        <v>5893</v>
      </c>
      <c r="C2083" s="3" t="str">
        <f ca="1">IFERROR(__xludf.DUMMYFUNCTION("GOOGLETRANSLATE(B2083,""auto"",""en"")"),"The trained machine learning model is used to determine the scores of the user account registered in video game services, and these scores are used to match the player together in multiplayer video game settings. For example, the sensor data received from"&amp;" the client machine can be input to the trained machine learning model, and the model raised ingredients are used as the output. These scores are related to the probability of the game control data received from these client machines. Not using software s"&amp;"ynthesis and/or modification. In this way, at least part of the scores determined for those login user accounts are allocated to the subset of the login user account to perform video games to different games (for example, by isolation of non -human player"&amp;"s from human players), and video games Execution in the designated competition of each login user account.")</f>
        <v>The trained machine learning model is used to determine the scores of the user account registered in video game services, and these scores are used to match the player together in multiplayer video game settings. For example, the sensor data received from the client machine can be input to the trained machine learning model, and the model raised ingredients are used as the output. These scores are related to the probability of the game control data received from these client machines. Not using software synthesis and/or modification. In this way, at least part of the scores determined for those login user accounts are allocated to the subset of the login user account to perform video games to different games (for example, by isolation of non -human players from human players), and video games Execution in the designated competition of each login user account.</v>
      </c>
      <c r="D2083" s="6" t="s">
        <v>5894</v>
      </c>
      <c r="E2083" s="4" t="str">
        <f ca="1">IFERROR(__xludf.DUMMYFUNCTION("GOOGLETRANSLATE(D2083,""auto"",""en"")"),"Machine learning trust score based on sensor data")</f>
        <v>Machine learning trust score based on sensor data</v>
      </c>
    </row>
    <row r="2084" spans="1:5" ht="15" x14ac:dyDescent="0.25">
      <c r="A2084" s="5" t="s">
        <v>5910</v>
      </c>
      <c r="B2084" s="6" t="s">
        <v>5911</v>
      </c>
      <c r="C2084" s="3" t="str">
        <f ca="1">IFERROR(__xludf.DUMMYFUNCTION("GOOGLETRANSLATE(B2084,""auto"",""en"")"),"The invention involves a table tennis collection robot. Including image recognition agencies, two robotic arms, collecting agencies, motion agencies, and controllers. The collection mechanism is installed on a sports mechanism. The image recognition mecha"&amp;"nism is fixed on the collecting mechanism. The two robotic arm and controllers are installed in the collecting mechanism. The present invention has achieved fully automatic collection of table tennis, and the collection process is accurate and efficient. "&amp;"The collection scope is wide, reducing people's physical strength and time consumption, and can be promoted and applied.")</f>
        <v>The invention involves a table tennis collection robot. Including image recognition agencies, two robotic arms, collecting agencies, motion agencies, and controllers. The collection mechanism is installed on a sports mechanism. The image recognition mechanism is fixed on the collecting mechanism. The two robotic arm and controllers are installed in the collecting mechanism. The present invention has achieved fully automatic collection of table tennis, and the collection process is accurate and efficient. The collection scope is wide, reducing people's physical strength and time consumption, and can be promoted and applied.</v>
      </c>
      <c r="D2084" s="6" t="s">
        <v>5912</v>
      </c>
      <c r="E2084" s="4" t="str">
        <f ca="1">IFERROR(__xludf.DUMMYFUNCTION("GOOGLETRANSLATE(D2084,""auto"",""en"")"),"Table Tennis Collection Robot")</f>
        <v>Table Tennis Collection Robot</v>
      </c>
    </row>
    <row r="2085" spans="1:5" ht="15" x14ac:dyDescent="0.25">
      <c r="A2085" s="5" t="s">
        <v>5913</v>
      </c>
      <c r="B2085" s="6" t="s">
        <v>5914</v>
      </c>
      <c r="C2085" s="3" t="str">
        <f ca="1">IFERROR(__xludf.DUMMYFUNCTION("GOOGLETRANSLATE(B2085,""auto"",""en"")"),"This utility model involves a table tennis collection robot. Including image recognition agencies, two robotic arms, collecting agencies, motion agencies, and controllers. The collection mechanism is installed on a sports mechanism. The image recognition "&amp;"mechanism is fixed on the collecting mechanism. The two robotic arm and controllers are installed in the collecting mechanism. This utility model realizes the automatic collection of table tennis, and the collection process is accurate and efficient. The "&amp;"collection range is wide, reducing people's physical strength and time consumption, and can be promoted and applied.")</f>
        <v>This utility model involves a table tennis collection robot. Including image recognition agencies, two robotic arms, collecting agencies, motion agencies, and controllers. The collection mechanism is installed on a sports mechanism. The image recognition mechanism is fixed on the collecting mechanism. The two robotic arm and controllers are installed in the collecting mechanism. This utility model realizes the automatic collection of table tennis, and the collection process is accurate and efficient. The collection range is wide, reducing people's physical strength and time consumption, and can be promoted and applied.</v>
      </c>
      <c r="D2085" s="6" t="s">
        <v>5915</v>
      </c>
      <c r="E2085" s="4" t="str">
        <f ca="1">IFERROR(__xludf.DUMMYFUNCTION("GOOGLETRANSLATE(D2085,""auto"",""en"")"),"A table tennis collection robot")</f>
        <v>A table tennis collection robot</v>
      </c>
    </row>
    <row r="2086" spans="1:5" ht="15" x14ac:dyDescent="0.25">
      <c r="A2086" s="5" t="s">
        <v>5916</v>
      </c>
      <c r="B2086" s="6" t="s">
        <v>5917</v>
      </c>
      <c r="C2086" s="3" t="str">
        <f ca="1">IFERROR(__xludf.DUMMYFUNCTION("GOOGLETRANSLATE(B2086,""auto"",""en"")"),"UV-C radiation handrail disinfectant with an electronic controller. This utility model is a equipment that sterilizes the rolling armrest with pathogenic microorganisms, consisting of ultraviolet -C radiation launchers and electronic controllers. The tran"&amp;"smitter size is small and can be installed on various escalators/automatic sidewalks. Even if they reduce the internal space, they can accept their two -way work. Each transmitter has a UV-C lamp and reflex lens. The layout method makes the microorganisms"&amp;" of the handrail survived 99%when passing between the lights and the reflex lens at the first exposure, thereby reducing electrical energy consumption and replacing the lights. It also has a sensor that contacted the armrest and transmits speed data to th"&amp;"e electronic controller. The electronic controller has an electronic board using IoT technology and is connected to external communication through the Wi-Fi connection; it transmits and receive data through the MQQT Internet protocol. You can view or stor"&amp;"e online, providing information/treadmills such as handrail speed and whether to slip, launch time and light replacement cycle, the operation and stop time of the equipment and stairs, the current and final failure of the transmitter, and the energy consu"&amp;"mption.")</f>
        <v>UV-C radiation handrail disinfectant with an electronic controller. This utility model is a equipment that sterilizes the rolling armrest with pathogenic microorganisms, consisting of ultraviolet -C radiation launchers and electronic controllers. The transmitter size is small and can be installed on various escalators/automatic sidewalks. Even if they reduce the internal space, they can accept their two -way work. Each transmitter has a UV-C lamp and reflex lens. The layout method makes the microorganisms of the handrail survived 99%when passing between the lights and the reflex lens at the first exposure, thereby reducing electrical energy consumption and replacing the lights. It also has a sensor that contacted the armrest and transmits speed data to the electronic controller. The electronic controller has an electronic board using IoT technology and is connected to external communication through the Wi-Fi connection; it transmits and receive data through the MQQT Internet protocol. You can view or store online, providing information/treadmills such as handrail speed and whether to slip, launch time and light replacement cycle, the operation and stop time of the equipment and stairs, the current and final failure of the transmitter, and the energy consumption.</v>
      </c>
      <c r="D2086" s="6" t="s">
        <v>5918</v>
      </c>
      <c r="E2086" s="4" t="str">
        <f ca="1">IFERROR(__xludf.DUMMYFUNCTION("GOOGLETRANSLATE(D2086,""auto"",""en"")"),"Rolling armrest sterilizer with electronic controller through UV-C radiation")</f>
        <v>Rolling armrest sterilizer with electronic controller through UV-C radiation</v>
      </c>
    </row>
    <row r="2087" spans="1:5" ht="15" x14ac:dyDescent="0.25">
      <c r="A2087" s="5" t="s">
        <v>5919</v>
      </c>
      <c r="B2087" s="6" t="s">
        <v>5920</v>
      </c>
      <c r="C2087" s="3" t="str">
        <f ca="1">IFERROR(__xludf.DUMMYFUNCTION("GOOGLETRANSLATE(B2087,""auto"",""en"")"),"A real -time monitoring method of sports based on big data analysis and deep learning proposed by the present invention. First, train and test the big data videos obtained first, and then extract the sports video sequence of sports. Follow, use the fuzzy "&amp;"reasoning model to select the static key action image from the action video. The wavelet transformation is used to make these key action frames unchanged in different directions and scale. action. This method does not need to consider the lack of time inf"&amp;"ormation, clothing changes, environmental changes, zooming, segmentation problems, and the alignment of images, which improve the accuracy of big data video set recognition.")</f>
        <v>A real -time monitoring method of sports based on big data analysis and deep learning proposed by the present invention. First, train and test the big data videos obtained first, and then extract the sports video sequence of sports. Follow, use the fuzzy reasoning model to select the static key action image from the action video. The wavelet transformation is used to make these key action frames unchanged in different directions and scale. action. This method does not need to consider the lack of time information, clothing changes, environmental changes, zooming, segmentation problems, and the alignment of images, which improve the accuracy of big data video set recognition.</v>
      </c>
      <c r="D2087" s="6" t="s">
        <v>5921</v>
      </c>
      <c r="E2087" s="4" t="str">
        <f ca="1">IFERROR(__xludf.DUMMYFUNCTION("GOOGLETRANSLATE(D2087,""auto"",""en"")"),"A real -time monitoring method based on big data analysis and deep learning")</f>
        <v>A real -time monitoring method based on big data analysis and deep learning</v>
      </c>
    </row>
    <row r="2088" spans="1:5" ht="15" x14ac:dyDescent="0.25">
      <c r="A2088" s="5" t="s">
        <v>5922</v>
      </c>
      <c r="B2088" s="6" t="s">
        <v>5923</v>
      </c>
      <c r="C2088" s="3" t="str">
        <f ca="1">IFERROR(__xludf.DUMMYFUNCTION("GOOGLETRANSLATE(B2088,""auto"",""en"")"),"By displaying and providing the training content composed of swimming training methods that need to be corrected by each child's body shape and posture, it can maximize the effects of swimming training and posture correction, and provide swimming lessons "&amp;"for children and students. Specifically, the height, weight, and body shape through the AI ​​artificial intelligence learning engine. For the body shape and body of each student, the part that the fat ratio, skeletal, body, and body needs to be corrected "&amp;"is set to the project. The collected data is learned and analyzed, and the results of the results of the results are calculated; the image data matching and content synthesis of the data model calculate the data model; therefore, the implementation method"&amp;" of the above invention can be implemented.")</f>
        <v>By displaying and providing the training content composed of swimming training methods that need to be corrected by each child's body shape and posture, it can maximize the effects of swimming training and posture correction, and provide swimming lessons for children and students. Specifically, the height, weight, and body shape through the AI ​​artificial intelligence learning engine. For the body shape and body of each student, the part that the fat ratio, skeletal, body, and body needs to be corrected is set to the project. The collected data is learned and analyzed, and the results of the results of the results are calculated; the image data matching and content synthesis of the data model calculate the data model; therefore, the implementation method of the above invention can be implemented.</v>
      </c>
      <c r="D2088" s="6" t="s">
        <v>5924</v>
      </c>
      <c r="E2088" s="4" t="str">
        <f ca="1">IFERROR(__xludf.DUMMYFUNCTION("GOOGLETRANSLATE(D2088,""auto"",""en"")"),"Customized children's swimming posture correction and method providing services")</f>
        <v>Customized children's swimming posture correction and method providing services</v>
      </c>
    </row>
    <row r="2089" spans="1:5" ht="15" x14ac:dyDescent="0.25">
      <c r="A2089" s="5" t="s">
        <v>5925</v>
      </c>
      <c r="B2089" s="6" t="s">
        <v>5926</v>
      </c>
      <c r="C2089" s="3" t="str">
        <f ca="1">IFERROR(__xludf.DUMMYFUNCTION("GOOGLETRANSLATE(B2089,""auto"",""en"")"),"The invention involves the automatic scoring system and its scoring method of badminton competitions, which is characterized by real -time video collection unit for real -time video collection of the court; storage unit, including the video storage depart"&amp;"ment and the score storage department; Analysis and processing unit, serve analysis algorithm module, video analysis processing unit extract video information from the video for analysis and processing, video analysis processing unit transmits the analysi"&amp;"s results to the serve analysis algorithm module; the control unit, including scoring module, and serve analysis The algorithm module signal transmission connection; and the display unit, including the scoring display, the display unit displays the game i"&amp;"nformation based on the game information, the controller is connected to the electrical of the specified display; Instead of scoring referee, accurately score and display the scores of each round of the game.")</f>
        <v>The invention involves the automatic scoring system and its scoring method of badminton competitions, which is characterized by real -time video collection unit for real -time video collection of the court; storage unit, including the video storage department and the score storage department; Analysis and processing unit, serve analysis algorithm module, video analysis processing unit extract video information from the video for analysis and processing, video analysis processing unit transmits the analysis results to the serve analysis algorithm module; the control unit, including scoring module, and serve analysis The algorithm module signal transmission connection; and the display unit, including the scoring display, the display unit displays the game information based on the game information, the controller is connected to the electrical of the specified display; Instead of scoring referee, accurately score and display the scores of each round of the game.</v>
      </c>
      <c r="D2089" s="6" t="s">
        <v>5927</v>
      </c>
      <c r="E2089" s="4" t="str">
        <f ca="1">IFERROR(__xludf.DUMMYFUNCTION("GOOGLETRANSLATE(D2089,""auto"",""en"")"),"The automatic scoring system and its scoring method of badminton competition")</f>
        <v>The automatic scoring system and its scoring method of badminton competition</v>
      </c>
    </row>
    <row r="2090" spans="1:5" ht="15" x14ac:dyDescent="0.25">
      <c r="A2090" s="5" t="s">
        <v>5928</v>
      </c>
      <c r="B2090" s="6" t="s">
        <v>5929</v>
      </c>
      <c r="C2090" s="3" t="str">
        <f ca="1">IFERROR(__xludf.DUMMYFUNCTION("GOOGLETRANSLATE(B2090,""auto"",""en"")"),"This utility model discloses an IoT equipment suitable for fitness activities monitoring of signs, including front shells and rear shells. The front shells and rear shells are provided with microcontroller, lithium battery, three -axis acceleration sensor"&amp;", and a three -axis acceleration sensor. The Wi 和Fi module and GPS module, the top and bottom of the front shell are fixed with a fixed ring. This utility model is provided with microcontroller, three -axis acceleration sensor, Wi‑Fi module in the front s"&amp;"hell and rear shell body. With the GPS module, through the three -axis acceleration sensor, the human body can be monitored. Three -axis acceleration sensor collection acceleration and other information can be used. This device can independently processes"&amp;" data processing and sends out seeking signals to the outside world when the wearer loses its ability to move. The FI module receives the Wi 信Fi signal and data transmission, which greatly strengthens the guarantee of user's life and provides rescue metho"&amp;"ds for people who go out to fitness.")</f>
        <v>This utility model discloses an IoT equipment suitable for fitness activities monitoring of signs, including front shells and rear shells. The front shells and rear shells are provided with microcontroller, lithium battery, three -axis acceleration sensor, and a three -axis acceleration sensor. The Wi 和Fi module and GPS module, the top and bottom of the front shell are fixed with a fixed ring. This utility model is provided with microcontroller, three -axis acceleration sensor, Wi‑Fi module in the front shell and rear shell body. With the GPS module, through the three -axis acceleration sensor, the human body can be monitored. Three -axis acceleration sensor collection acceleration and other information can be used. This device can independently processes data processing and sends out seeking signals to the outside world when the wearer loses its ability to move. The FI module receives the Wi 信Fi signal and data transmission, which greatly strengthens the guarantee of user's life and provides rescue methods for people who go out to fitness.</v>
      </c>
      <c r="D2090" s="6" t="s">
        <v>5930</v>
      </c>
      <c r="E2090" s="4" t="str">
        <f ca="1">IFERROR(__xludf.DUMMYFUNCTION("GOOGLETRANSLATE(D2090,""auto"",""en"")"),"A IoT wearable device suitable for fitness activities monitoring body information information")</f>
        <v>A IoT wearable device suitable for fitness activities monitoring body information information</v>
      </c>
    </row>
    <row r="2091" spans="1:5" ht="15" x14ac:dyDescent="0.25">
      <c r="A2091" s="5" t="s">
        <v>5931</v>
      </c>
      <c r="B2091" s="6" t="s">
        <v>5932</v>
      </c>
      <c r="C2091" s="3" t="str">
        <f ca="1">IFERROR(__xludf.DUMMYFUNCTION("GOOGLETRANSLATE(B2091,""auto"",""en"")"),"The present invention disclosed the intelligent security supervision production safety supervision and emergency rescue system based on the intelligent security supervision and emergency rescue system in the field of intelligence security supervision, inc"&amp;"luding installing a suspension and emergency rescue system. On one side of the position side frame, there is a activity limit side frame. There is a strip sliding handle on one side of the fixed -limit side frame. The internal sliding connection of the st"&amp;"ripe sliding is connected with a traction axis; , Settings of the active limit side frame and the active axis, so that the transmission belt can drive the camera to move along the installation shelf, thereby increasing the shooting range of the camera, re"&amp;"ducing the cost of use, and avoiding shooting dead ends. Just work just to work. When the personnel need to disassemble it, the locking screw is screwed out of the active limit side frame, and the activity limit side frame is removed from the installation"&amp;" shelf, and the carrier can be carried out from the fixed limit side frame. Take it out, and the overall operation process is simple and convenient, saving time and effort.")</f>
        <v>The present invention disclosed the intelligent security supervision production safety supervision and emergency rescue system based on the intelligent security supervision and emergency rescue system in the field of intelligence security supervision, including installing a suspension and emergency rescue system. On one side of the position side frame, there is a activity limit side frame. There is a strip sliding handle on one side of the fixed -limit side frame. The internal sliding connection of the stripe sliding is connected with a traction axis; , Settings of the active limit side frame and the active axis, so that the transmission belt can drive the camera to move along the installation shelf, thereby increasing the shooting range of the camera, reducing the cost of use, and avoiding shooting dead ends. Just work just to work. When the personnel need to disassemble it, the locking screw is screwed out of the active limit side frame, and the activity limit side frame is removed from the installation shelf, and the carrier can be carried out from the fixed limit side frame. Take it out, and the overall operation process is simple and convenient, saving time and effort.</v>
      </c>
      <c r="D2091" s="6" t="s">
        <v>5933</v>
      </c>
      <c r="E2091" s="4" t="str">
        <f ca="1">IFERROR(__xludf.DUMMYFUNCTION("GOOGLETRANSLATE(D2091,""auto"",""en"")"),"Smart safety supervision production safety supervision and emergency rescue system based on the Internet of Things technology")</f>
        <v>Smart safety supervision production safety supervision and emergency rescue system based on the Internet of Things technology</v>
      </c>
    </row>
    <row r="2092" spans="1:5" ht="15" x14ac:dyDescent="0.25">
      <c r="A2092" s="5" t="s">
        <v>5934</v>
      </c>
      <c r="B2092" s="6" t="s">
        <v>5926</v>
      </c>
      <c r="C2092" s="3" t="str">
        <f ca="1">IFERROR(__xludf.DUMMYFUNCTION("GOOGLETRANSLATE(B2092,""auto"",""en"")"),"The invention involves the automatic scoring system and its scoring method of badminton competitions, which is characterized by real -time video collection unit for real -time video collection of the court; storage unit, including the video storage depart"&amp;"ment and the score storage department; Analysis and processing unit, serve analysis algorithm module, video analysis processing unit extract video information from the video for analysis and processing, video analysis processing unit transmits the analysi"&amp;"s results to the serve analysis algorithm module; the control unit, including scoring module, and serve analysis The algorithm module signal transmission connection; and the display unit, including the scoring display, the display unit displays the game i"&amp;"nformation based on the game information, the controller is connected to the electrical of the specified display; Instead of scoring referee, accurately score and display the scores of each round of the game.")</f>
        <v>The invention involves the automatic scoring system and its scoring method of badminton competitions, which is characterized by real -time video collection unit for real -time video collection of the court; storage unit, including the video storage department and the score storage department; Analysis and processing unit, serve analysis algorithm module, video analysis processing unit extract video information from the video for analysis and processing, video analysis processing unit transmits the analysis results to the serve analysis algorithm module; the control unit, including scoring module, and serve analysis The algorithm module signal transmission connection; and the display unit, including the scoring display, the display unit displays the game information based on the game information, the controller is connected to the electrical of the specified display; Instead of scoring referee, accurately score and display the scores of each round of the game.</v>
      </c>
      <c r="D2092" s="6" t="s">
        <v>5927</v>
      </c>
      <c r="E2092" s="4" t="str">
        <f ca="1">IFERROR(__xludf.DUMMYFUNCTION("GOOGLETRANSLATE(D2092,""auto"",""en"")"),"The automatic scoring system and its scoring method of badminton competition")</f>
        <v>The automatic scoring system and its scoring method of badminton competition</v>
      </c>
    </row>
    <row r="2093" spans="1:5" ht="15" x14ac:dyDescent="0.25">
      <c r="A2093" s="5" t="s">
        <v>5935</v>
      </c>
      <c r="B2093" s="6" t="s">
        <v>5936</v>
      </c>
      <c r="C2093" s="3" t="str">
        <f ca="1">IFERROR(__xludf.DUMMYFUNCTION("GOOGLETRANSLATE(B2093,""auto"",""en"")"),"It describes a method for integrated machine learning components into the assembly line to search and query to generate visualized computer implementation. Here, the interface is provided to receive the assembly line code to the network -based programming"&amp;" application. The characteristic of the assembly line code is a series of operators, which are configured to perform one or more tasks based on collective operations based on the operator of this series. Among them, the first operator in the series of ope"&amp;"rators will receive input data from the selected data source. And each remaining operator in this series of operators receives input data. A series of operators are used to receive inputs based on the output of the previous operator in the remaining opera"&amp;"tors. The task generation of the assembly line code includes the results of visualization. Visualization is presented to allow rolling water line code to display the assembly line code or visualization.")</f>
        <v>It describes a method for integrated machine learning components into the assembly line to search and query to generate visualized computer implementation. Here, the interface is provided to receive the assembly line code to the network -based programming application. The characteristic of the assembly line code is a series of operators, which are configured to perform one or more tasks based on collective operations based on the operator of this series. Among them, the first operator in the series of operators will receive input data from the selected data source. And each remaining operator in this series of operators receives input data. A series of operators are used to receive inputs based on the output of the previous operator in the remaining operators. The task generation of the assembly line code includes the results of visualization. Visualization is presented to allow rolling water line code to display the assembly line code or visualization.</v>
      </c>
      <c r="D2093" s="6" t="s">
        <v>5937</v>
      </c>
      <c r="E2093" s="4" t="str">
        <f ca="1">IFERROR(__xludf.DUMMYFUNCTION("GOOGLETRANSLATE(D2093,""auto"",""en"")"),"Used to integrate machine learning components into the assembly line search and query to generate the system and method of generating graphic visualization")</f>
        <v>Used to integrate machine learning components into the assembly line search and query to generate the system and method of generating graphic visualization</v>
      </c>
    </row>
    <row r="2094" spans="1:5" ht="15" x14ac:dyDescent="0.25">
      <c r="A2094" s="5" t="s">
        <v>5938</v>
      </c>
      <c r="B2094" s="6" t="s">
        <v>5939</v>
      </c>
      <c r="C2094" s="3" t="str">
        <f ca="1">IFERROR(__xludf.DUMMYFUNCTION("GOOGLETRANSLATE(B2094,""auto"",""en"")"),"This utility model opens a LED Internet of Things global foam lamp, which involves the Internet of Things field. The LED Internet of Things glmgers, including the light body and the light connector. Top; the lamp connector includes connecting parts, fixed"&amp;" lamp heads, multiple movements and heat dissipation departments; the bottom of the connector is opened with grooves. Inside the groove, multiple tentacles are surrounded by the outer side of the fixing part of the lamp head; the fixed part of the lamp he"&amp;"ad includes the thread installation head, thermal expansion parts, insulation installation parts and static contacts. This utility model can achieve the power off and power supply of the ball bubble light through the contact and disconnection of multiple "&amp;"touches of the head through the light head fixing parts and multiple touches. Electricity, preventing the internal temperature of the bubbles is too high, and continues to cause component damage, which increases the service life of the bubble lamp.")</f>
        <v>This utility model opens a LED Internet of Things global foam lamp, which involves the Internet of Things field. The LED Internet of Things glmgers, including the light body and the light connector. Top; the lamp connector includes connecting parts, fixed lamp heads, multiple movements and heat dissipation departments; the bottom of the connector is opened with grooves. Inside the groove, multiple tentacles are surrounded by the outer side of the fixing part of the lamp head; the fixed part of the lamp head includes the thread installation head, thermal expansion parts, insulation installation parts and static contacts. This utility model can achieve the power off and power supply of the ball bubble light through the contact and disconnection of multiple touches of the head through the light head fixing parts and multiple touches. Electricity, preventing the internal temperature of the bubbles is too high, and continues to cause component damage, which increases the service life of the bubble lamp.</v>
      </c>
      <c r="D2094" s="6" t="s">
        <v>5940</v>
      </c>
      <c r="E2094" s="4" t="str">
        <f ca="1">IFERROR(__xludf.DUMMYFUNCTION("GOOGLETRANSLATE(D2094,""auto"",""en"")"),"A LED Internet of Things Global Bubble")</f>
        <v>A LED Internet of Things Global Bubble</v>
      </c>
    </row>
    <row r="2095" spans="1:5" ht="15" x14ac:dyDescent="0.25">
      <c r="A2095" s="5" t="s">
        <v>5941</v>
      </c>
      <c r="B2095" s="6" t="s">
        <v>5942</v>
      </c>
      <c r="C2095" s="3" t="str">
        <f ca="1">IFERROR(__xludf.DUMMYFUNCTION("GOOGLETRANSLATE(B2095,""auto"",""en"")"),"Multiple terminals; and servers that communicate with multiple terminals; in the operating system based on artificial intelligence and big data, including: each terminal in multiple terminals is used to shoot target fish cameras and calculate fish to calc"&amp;"ulate fish. Reference for length. Target fish; and communication unit, which is used to send the image information shot by each one in multiple terminals and the image information taken by the camera to the server. Among them, the server uses the received"&amp;" image information to determine the actual length of the target fish. According to the actual length of determining the target word of the level information, the determined ranking information is sent to multiple terminals and servers. Calculate the ratio"&amp;" of the reference body length and reference body length contained in the image information, and determine the actual length of the target fish. The length and length of the target word contains the target words, and at least one in the server and the comm"&amp;"unication unit sends the ranking information to the scheduled map -related server. The map -related server can display and provide fishing information on the map according to the ranking information.")</f>
        <v>Multiple terminals; and servers that communicate with multiple terminals; in the operating system based on artificial intelligence and big data, including: each terminal in multiple terminals is used to shoot target fish cameras and calculate fish to calculate fish. Reference for length. Target fish; and communication unit, which is used to send the image information shot by each one in multiple terminals and the image information taken by the camera to the server. Among them, the server uses the received image information to determine the actual length of the target fish. According to the actual length of determining the target word of the level information, the determined ranking information is sent to multiple terminals and servers. Calculate the ratio of the reference body length and reference body length contained in the image information, and determine the actual length of the target fish. The length and length of the target word contains the target words, and at least one in the server and the communication unit sends the ranking information to the scheduled map -related server. The map -related server can display and provide fishing information on the map according to the ranking information.</v>
      </c>
      <c r="D2095" s="6" t="s">
        <v>5943</v>
      </c>
      <c r="E2095" s="4" t="str">
        <f ca="1">IFERROR(__xludf.DUMMYFUNCTION("GOOGLETRANSLATE(D2095,""auto"",""en"")"),"Fishing competition operating system based on artificial intelligence and big data")</f>
        <v>Fishing competition operating system based on artificial intelligence and big data</v>
      </c>
    </row>
    <row r="2096" spans="1:5" ht="15" x14ac:dyDescent="0.25">
      <c r="A2096" s="5" t="s">
        <v>5944</v>
      </c>
      <c r="B2096" s="6" t="s">
        <v>5945</v>
      </c>
      <c r="C2096" s="3" t="str">
        <f ca="1">IFERROR(__xludf.DUMMYFUNCTION("GOOGLETRANSLATE(B2096,""auto"",""en"")"),"1. The name of the product of the design of the product: the offensive and defensive infiltration of the screen panel of the display screen user interface.
 2. Design products in this exterior: used to display information.
 The display screen panel is"&amp;" used for computer or tablet display.
 3. Design of the design of the product in this appearance: lies in the graphic user interface content in the screen.
 4. Pictures or photos that can most indicate design points: main view.
 5. Do not involve de"&amp;"sign points, omit the back view, push -view, view view, left view, right view.
 6. The purpose of graphical user interface: It is used to show the answering action, the status of the question, the ranking, the status of the team, and the log information"&amp;" of the status of the question security coffee, to achieve related functions.
 7. Human -computer interaction method of graphics user interface: The main view is the graphical interface of the entire offensive and defensive platform infiltration mode. T"&amp;"he middle area is the display of the infiltration area, regional topic, and network equipment. Display logo, competition name, counting countdown.
 In the lower right corner of the screen, the button to switch the camera can be displayed on the penetrat"&amp;"ing area and the team's movement. It can control the camera to move the camera through the shortcut key interaction, and control the direction of the camera's perspective. Frequency of.
 The bottom area shows the turnaround information of the current ev"&amp;"ent; the right side of the screen is the team ranking list panel: including the name of the panel, the team's ranking display, the team logo, the team name, the team score, and the rise or decrease of the current team ranking; The lower right area of ​​th"&amp;"e screen is the log panel; you can display or hide the round information through shortcut keys, the team ranking list panel, log panel and countdown countdown.
 When the camera moves to the front of the area, the state changes are displayed in the statu"&amp;"s of the interface (the hidden log panel and the countdown countdown); when the camera moves to the front of the region, the interface changes are ); The text and content related to the content in the interface are only used to indicate the location of th"&amp;"e content. The specific text or picture content is not the protection content of the design.")</f>
        <v>1. The name of the product of the design of the product: the offensive and defensive infiltration of the screen panel of the display screen user interface.
 2. Design products in this exterior: used to display information.
 The display screen panel is used for computer or tablet display.
 3. Design of the design of the product in this appearance: lies in the graphic user interface content in the screen.
 4. Pictures or photos that can most indicate design points: main view.
 5. Do not involve design points, omit the back view, push -view, view view, left view, right view.
 6. The purpose of graphical user interface: It is used to show the answering action, the status of the question, the ranking, the status of the team, and the log information of the status of the question security coffee, to achieve related functions.
 7. Human -computer interaction method of graphics user interface: The main view is the graphical interface of the entire offensive and defensive platform infiltration mode. The middle area is the display of the infiltration area, regional topic, and network equipment. Display logo, competition name, counting countdown.
 In the lower right corner of the screen, the button to switch the camera can be displayed on the penetrating area and the team's movement. It can control the camera to move the camera through the shortcut key interaction, and control the direction of the camera's perspective. Frequency of.
 The bottom area shows the turnaround information of the current event; the right side of the screen is the team ranking list panel: including the name of the panel, the team's ranking display, the team logo, the team name, the team score, and the rise or decrease of the current team ranking; The lower right area of ​​the screen is the log panel; you can display or hide the round information through shortcut keys, the team ranking list panel, log panel and countdown countdown.
 When the camera moves to the front of the area, the state changes are displayed in the status of the interface (the hidden log panel and the countdown countdown); when the camera moves to the front of the region, the interface changes are ); The text and content related to the content in the interface are only used to indicate the location of the content. The specific text or picture content is not the protection content of the design.</v>
      </c>
      <c r="D2096" s="6" t="s">
        <v>5946</v>
      </c>
      <c r="E2096" s="4" t="str">
        <f ca="1">IFERROR(__xludf.DUMMYFUNCTION("GOOGLETRANSLATE(D2096,""auto"",""en"")"),"Display screen panel's offensive and defensive penetration of the trend graphics user interface")</f>
        <v>Display screen panel's offensive and defensive penetration of the trend graphics user interface</v>
      </c>
    </row>
    <row r="2097" spans="1:5" ht="15" x14ac:dyDescent="0.25">
      <c r="A2097" s="5" t="s">
        <v>5947</v>
      </c>
      <c r="B2097" s="6" t="s">
        <v>5948</v>
      </c>
      <c r="C2097" s="3" t="str">
        <f ca="1">IFERROR(__xludf.DUMMYFUNCTION("GOOGLETRANSLATE(B2097,""auto"",""en"")"),"This utility model discloses a athlete training monitoring device in the field of electronic bracelet technology, including the dial ontology, the bottom surface of the dial body is fixed to the heart rate sensor, the heart rate sensor is equipped with ar"&amp;"mistor sensor, the thermistor resistance, the thermistor resistor, the thermistor resistor The upper fixing of the sensor is installed with graphene heat sink, the upper surface of the graphene radiator is fixed with a GPS positioning module, the right si"&amp;"de of the GPS positioning module is provided with the NB‑ioT narrow belt Internet of Things module, and the NB‑ioT narrow belt IoT module The upper surface is fixed with a WIFE wireless communication module. The WIFE wireless communication module is equip"&amp;"ped with a data processor on the right side. The right side of the data processor is equipped with a miniature battery. Module, NB‑ioT narrow -band Internet of Things module, data processor, and micro -battery are fixed on the surface of the graphene heat"&amp;" sink. This bracelet can monitor the physical function in the process of exercise training in real time, and can quickly and quickly put the body's functional function. The item data is transmitted to the coach's hands.")</f>
        <v>This utility model discloses a athlete training monitoring device in the field of electronic bracelet technology, including the dial ontology, the bottom surface of the dial body is fixed to the heart rate sensor, the heart rate sensor is equipped with armistor sensor, the thermistor resistance, the thermistor resistor, the thermistor resistor The upper fixing of the sensor is installed with graphene heat sink, the upper surface of the graphene radiator is fixed with a GPS positioning module, the right side of the GPS positioning module is provided with the NB‑ioT narrow belt Internet of Things module, and the NB‑ioT narrow belt IoT module The upper surface is fixed with a WIFE wireless communication module. The WIFE wireless communication module is equipped with a data processor on the right side. The right side of the data processor is equipped with a miniature battery. Module, NB‑ioT narrow -band Internet of Things module, data processor, and micro -battery are fixed on the surface of the graphene heat sink. This bracelet can monitor the physical function in the process of exercise training in real time, and can quickly and quickly put the body's functional function. The item data is transmitted to the coach's hands.</v>
      </c>
      <c r="D2097" s="6" t="s">
        <v>5949</v>
      </c>
      <c r="E2097" s="4" t="str">
        <f ca="1">IFERROR(__xludf.DUMMYFUNCTION("GOOGLETRANSLATE(D2097,""auto"",""en"")"),"A monitoring device for athlete training")</f>
        <v>A monitoring device for athlete training</v>
      </c>
    </row>
    <row r="2098" spans="1:5" ht="15" x14ac:dyDescent="0.25">
      <c r="A2098" s="5" t="s">
        <v>5950</v>
      </c>
      <c r="B2098" s="6" t="s">
        <v>5951</v>
      </c>
      <c r="C2098" s="3" t="str">
        <f ca="1">IFERROR(__xludf.DUMMYFUNCTION("GOOGLETRANSLATE(B2098,""auto"",""en"")"),"1. The name of the product of the design of the product: the round array problem -solving situation of the display screen panel.
 2. Design products in this exterior: used to display information.
 The display screen panel is used for computer or table"&amp;"t display.
 3. Design of design products in this appearance: lies in the graphic user interface content in the screen, including topic layout, participating team image, team layout, team ranking, team status statistics, event rounds, arbiter image and a"&amp;"rbiter check action and interaction and interaction Way.
 4. Pictures or photos that can most indicate design points: main view.
 5. The design that requests protection contains color.
 6. Do not involve design points, omit the rear view, left view,"&amp;" right view, down -view view, back -view view.
 7. The purpose of graphical user interface: used to show the team's network offensive and defensive problem -solving trend.
 8. Human -computer interaction method of graphics user interface: The main vie"&amp;"w is the graphical interface of the entire problem -solving mode, and the intermediate area is displayed in the arbiter (the arbiter model will continue to produce aperture from top to bottom to the ground to spread again), surrounded by surrounding), sur"&amp;"rounded by surrounding), surrounded by surrounding), surrounded by surroundings), surrounded by the ground), surrounded by surroundings), surrounded by surrounding), surrounded by surrounding), surrounded by surrounding), surrounded by surroundings), surr"&amp;"ounded by the ground), surrounded by surrounding), surrounded by surrounding), surrounded by the ground), surrounded by the ground), surrounded by surrounding), surrounded by surrounding), surrounded by the ground), surrounded by surroundings), surrounded"&amp;" by surroundings), around It is the team layout display and topic display. The top area shows the game log, the name of the event, the countdown of the game, and the team rankings. The bottom area displays the event round and logo. The floating panels or "&amp;"buttons in the figure can be displayed or hidden through the button.
 The blue box in the figure represents the team. Above the box is the name panel of the team and the statistical panel of the attack (skull icon) and attack data (shield); Essence
 T"&amp;"he blue aperture on the ground is moving from the aperture from the top from the top to the ground. After moving to the ground to the ground position, it starts to expand to the surroundings and becomes larger and larger. Display grid lines throughout the"&amp;" ground).
 The buttons in the upper right corner of the screen are the camera button and the ranking button. The camera button can switch the camera's perspective to display the entire area and team movement at different angles. You can control the came"&amp;"ra to move the camera through the shortcut key interaction and control the direction of the camera perspective. The speed of rotation depends on the frequency of the shortcut operation.
 The main view is the interface presented by the camera in front of"&amp;" the entire area. The camera moves to the front of the team area to present the state change state. When moving to the zone diagonal, present the interface change status Figure 2; the arbitor converges a lot of red aperture from the ground when the check "&amp;"moves to a certain height when the check moves to a certain height. , Show the state of the interface change status, Figure 3 and 4; the operating status of the competition platform (the arbiter model generates some aperture on the ground. When the apertu"&amp;"re moves to the ground, the aperture is spreading the aperture. The diffusion of the aperture becomes bigger to the end to the end of the black), presenting the state change state of the interface diagram 5, 6, 7, 8; the successful movement of the team's "&amp;"problem solving: from the problem -solving team to the question model of the problem solving team The guidance line question model becomes red, showing the interface change status figure 9; the team solving the problem to obtain a unit of blood movement: "&amp;"the problem solving team shows green light, the camera focuses on the problem of solving and the problem of the problem -solving team. Failure to solve the problem: from the problem -solving team to a red guidance line to the problem model model of the pr"&amp;"oblem solving team, presenting the state change status of the interface. Text or picture content is not the protection content of this design.")</f>
        <v>1. The name of the product of the design of the product: the round array problem -solving situation of the display screen panel.
 2. Design products in this exterior: used to display information.
 The display screen panel is used for computer or tablet display.
 3. Design of design products in this appearance: lies in the graphic user interface content in the screen, including topic layout, participating team image, team layout, team ranking, team status statistics, event rounds, arbiter image and arbiter check action and interaction and interaction Way.
 4. Pictures or photos that can most indicate design points: main view.
 5. The design that requests protection contains color.
 6. Do not involve design points, omit the rear view, left view, right view, down -view view, back -view view.
 7. The purpose of graphical user interface: used to show the team's network offensive and defensive problem -solving trend.
 8. Human -computer interaction method of graphics user interface: The main view is the graphical interface of the entire problem -solving mode, and the intermediate area is displayed in the arbiter (the arbiter model will continue to produce aperture from top to bottom to the ground to spread again), surrounded by surrounding), surrounded by surrounding), surrounded by surrounding), surrounded by surroundings), surrounded by the ground), surrounded by surroundings), surrounded by surrounding), surrounded by surrounding), surrounded by surrounding), surrounded by surroundings), surrounded by the ground), surrounded by surrounding), surrounded by surrounding), surrounded by the ground), surrounded by the ground), surrounded by surrounding), surrounded by surrounding), surrounded by the ground), surrounded by surroundings), surrounded by surroundings), around It is the team layout display and topic display. The top area shows the game log, the name of the event, the countdown of the game, and the team rankings. The bottom area displays the event round and logo. The floating panels or buttons in the figure can be displayed or hidden through the button.
 The blue box in the figure represents the team. Above the box is the name panel of the team and the statistical panel of the attack (skull icon) and attack data (shield); Essence
 The blue aperture on the ground is moving from the aperture from the top from the top to the ground. After moving to the ground to the ground position, it starts to expand to the surroundings and becomes larger and larger. Display grid lines throughout the ground).
 The buttons in the upper right corner of the screen are the camera button and the ranking button. The camera button can switch the camera's perspective to display the entire area and team movement at different angles. You can control the camera to move the camera through the shortcut key interaction and control the direction of the camera perspective. The speed of rotation depends on the frequency of the shortcut operation.
 The main view is the interface presented by the camera in front of the entire area. The camera moves to the front of the team area to present the state change state. When moving to the zone diagonal, present the interface change status Figure 2; the arbitor converges a lot of red aperture from the ground when the check moves to a certain height when the check moves to a certain height. , Show the state of the interface change status, Figure 3 and 4; the operating status of the competition platform (the arbiter model generates some aperture on the ground. When the aperture moves to the ground, the aperture is spreading the aperture. The diffusion of the aperture becomes bigger to the end to the end of the black), presenting the state change state of the interface diagram 5, 6, 7, 8; the successful movement of the team's problem solving: from the problem -solving team to the question model of the problem solving team The guidance line question model becomes red, showing the interface change status figure 9; the team solving the problem to obtain a unit of blood movement: the problem solving team shows green light, the camera focuses on the problem of solving and the problem of the problem -solving team. Failure to solve the problem: from the problem -solving team to a red guidance line to the problem model model of the problem solving team, presenting the state change status of the interface. Text or picture content is not the protection content of this design.</v>
      </c>
      <c r="D2098" s="6" t="s">
        <v>5952</v>
      </c>
      <c r="E2098" s="4" t="str">
        <f ca="1">IFERROR(__xludf.DUMMYFUNCTION("GOOGLETRANSLATE(D2098,""auto"",""en"")"),"The round array problem -solving situation of the display screen panel, the trend of the graphic user interface")</f>
        <v>The round array problem -solving situation of the display screen panel, the trend of the graphic user interface</v>
      </c>
    </row>
    <row r="2099" spans="1:5" ht="15" x14ac:dyDescent="0.25">
      <c r="A2099" s="5" t="s">
        <v>5953</v>
      </c>
      <c r="B2099" s="6" t="s">
        <v>5954</v>
      </c>
      <c r="C2099" s="3" t="str">
        <f ca="1">IFERROR(__xludf.DUMMYFUNCTION("GOOGLETRANSLATE(B2099,""auto"",""en"")"),"1. Design product name: graphic user interface for sequencing function for sequencing meters.
 2. Design products in appearance: used to run the program and complete the pre -traffic reagent, sequencing and cleaning of the sequencer.
 3. Design of the"&amp;" design of the product in appearance: lies in the graphic user interface displayed by the product.
 4. Pictures or photos that can most indicate design points: main view.
 5. There is no design point, omittime, left view, left view, right view, retry "&amp;"view, push view.
 6. The purpose of the graphical user interface: The interface change state amplification Figure 1 is the entrance to the main function module, and the remaining interface changes are magnified and the diagram is the specific operation "&amp;"process.
 7. Human -computer interaction method of graphic user interface: click the interface change status to amplify Figure 1 ""Preliminary reagent"" to enter the interface change state amplification Figure 2 or 3; Change status amplification Figure "&amp;"9; click ""Start"" according to the operation reminder to complete the pre -traffic reagent (the interface change state amplification Figure 10‑11); if you enter the interface change state amplification Figure 3, then click ""yes"" in the figure to enter "&amp;"the interface change state amplification Figure 4, select arbitrarily cleaning program according to the operation reminder, enters the interface change state amplification Figure 2; click ""Next"", enter the interface change state amplification Figure 5, "&amp;"and complete the cleaning process according to the corresponding prompts (the interface changes are amplified in Figure 6‑8), and the interface changes. Complete the cleaning back to the interface change state amplification Figure 1; click the interface c"&amp;"hange state amplification Figure 1 ""sequencing"" button to enter the click interface change state amplification Figure 12. Then enter the interface change state amplification Figure 13; complete the sequencing according to the operation reminder (the int"&amp;"erface change state amplification Figure 14‑18); automatically return to the interface change state amplification in the interface after the order is completed, and complete the cleaning according to the operation reminder.界22); Reappear in the interface "&amp;"change status Figure 1 Click ""System Settings"" to enter the ""File"" tag. This interface can adjust the output report storage path; enter the ""network"" label, you can perform network settings; System diagnosis can be performed; enter the ""Settings"" "&amp;"label, and settings can be performed.
 (The interface changes are amplified Figure 23界26).")</f>
        <v>1. Design product name: graphic user interface for sequencing function for sequencing meters.
 2. Design products in appearance: used to run the program and complete the pre -traffic reagent, sequencing and cleaning of the sequencer.
 3. Design of the design of the product in appearance: lies in the graphic user interface displayed by the product.
 4. Pictures or photos that can most indicate design points: main view.
 5. There is no design point, omittime, left view, left view, right view, retry view, push view.
 6. The purpose of the graphical user interface: The interface change state amplification Figure 1 is the entrance to the main function module, and the remaining interface changes are magnified and the diagram is the specific operation process.
 7. Human -computer interaction method of graphic user interface: click the interface change status to amplify Figure 1 "Preliminary reagent" to enter the interface change state amplification Figure 2 or 3; Change status amplification Figure 9; click "Start" according to the operation reminder to complete the pre -traffic reagent (the interface change state amplification Figure 10‑11); if you enter the interface change state amplification Figure 3, then click "yes" in the figure to enter the interface change state amplification Figure 4, select arbitrarily cleaning program according to the operation reminder, enters the interface change state amplification Figure 2; click "Next", enter the interface change state amplification Figure 5, and complete the cleaning process according to the corresponding prompts (the interface changes are amplified in Figure 6‑8), and the interface changes. Complete the cleaning back to the interface change state amplification Figure 1; click the interface change state amplification Figure 1 "sequencing" button to enter the click interface change state amplification Figure 12. Then enter the interface change state amplification Figure 13; complete the sequencing according to the operation reminder (the interface change state amplification Figure 14‑18); automatically return to the interface change state amplification in the interface after the order is completed, and complete the cleaning according to the operation reminder.界22); Reappear in the interface change status Figure 1 Click "System Settings" to enter the "File" tag. This interface can adjust the output report storage path; enter the "network" label, you can perform network settings; System diagnosis can be performed; enter the "Settings" label, and settings can be performed.
 (The interface changes are amplified Figure 23界26).</v>
      </c>
      <c r="D2099" s="6" t="s">
        <v>5955</v>
      </c>
      <c r="E2099" s="4" t="str">
        <f ca="1">IFERROR(__xludf.DUMMYFUNCTION("GOOGLETRANSLATE(D2099,""auto"",""en"")"),"Graphical user interface for sequencing functions for sequencers")</f>
        <v>Graphical user interface for sequencing functions for sequencers</v>
      </c>
    </row>
    <row r="2100" spans="1:5" ht="15" x14ac:dyDescent="0.25">
      <c r="A2100" s="5" t="s">
        <v>5956</v>
      </c>
      <c r="B2100" s="6" t="s">
        <v>5957</v>
      </c>
      <c r="C2100" s="3" t="str">
        <f ca="1">IFERROR(__xludf.DUMMYFUNCTION("GOOGLETRANSLATE(B2100,""auto"",""en"")"),"The present invention disclosed a method of using the Internet of Things to collect the training data in the smart basketball court, including the following steps: generating the training data requesting data in the smart basketball court by the Basic Dat"&amp;"a Analysis Center of the Basketball Big Data Analysis Center; The message is sent by the Basketball Big Data Analysis Center to send the training data request message in the smart basketball court to the base station; the mobile terminal and the base stat"&amp;"ion establish a carrier aggregate communication connection; the communication connection in response to the base station, send the base station to the mobile terminal to send power -saving configuration information information to the mobile terminal. ; Re"&amp;"sponsible for receiving the power -saving configuration information, enter the first power -saving mode from the mobile terminal; if the beginning of the start period of the monitoring cycle, the central prison heard the PDCCH message sent by the base sta"&amp;"tion, the PDSCH scheduling of the mobile terminal based on PDCCH -based PDSCH scheduling To receive the PDSCH message; if there is no pdcch message sent by the base station during the start period of the monitoring cycle, the mobile terminal will stop the"&amp;" monitoring PDCCH message during the remaining time period of the monitoring cycle.")</f>
        <v>The present invention disclosed a method of using the Internet of Things to collect the training data in the smart basketball court, including the following steps: generating the training data requesting data in the smart basketball court by the Basic Data Analysis Center of the Basketball Big Data Analysis Center; The message is sent by the Basketball Big Data Analysis Center to send the training data request message in the smart basketball court to the base station; the mobile terminal and the base station establish a carrier aggregate communication connection; the communication connection in response to the base station, send the base station to the mobile terminal to send power -saving configuration information information to the mobile terminal. ; Responsible for receiving the power -saving configuration information, enter the first power -saving mode from the mobile terminal; if the beginning of the start period of the monitoring cycle, the central prison heard the PDCCH message sent by the base station, the PDSCH scheduling of the mobile terminal based on PDCCH -based PDSCH scheduling To receive the PDSCH message; if there is no pdcch message sent by the base station during the start period of the monitoring cycle, the mobile terminal will stop the monitoring PDCCH message during the remaining time period of the monitoring cycle.</v>
      </c>
      <c r="D2100" s="6" t="s">
        <v>5958</v>
      </c>
      <c r="E2100" s="4" t="str">
        <f ca="1">IFERROR(__xludf.DUMMYFUNCTION("GOOGLETRANSLATE(D2100,""auto"",""en"")"),"A method and system that uses the Internet of Things to collect training data in the smart basketball court")</f>
        <v>A method and system that uses the Internet of Things to collect training data in the smart basketball court</v>
      </c>
    </row>
    <row r="2101" spans="1:5" ht="15" x14ac:dyDescent="0.25">
      <c r="A2101" s="5" t="s">
        <v>5959</v>
      </c>
      <c r="B2101" s="6" t="s">
        <v>5960</v>
      </c>
      <c r="C2101" s="3" t="str">
        <f ca="1">IFERROR(__xludf.DUMMYFUNCTION("GOOGLETRANSLATE(B2101,""auto"",""en"")"),"This article is publicly used to train athletes in sports competitions. In terms of examples, one method may include a strategy that will be implemented by at least one athlete in sports competitions. This method can include the success rate of strategy b"&amp;"ased on the historical data of at least one player. Response to determine the success rate of the success rate less than the threshold. This method may include the identification of game obstacles when the strategy is implemented by at least one player an"&amp;"d does not achieve the goal. This method may include a modification strategy of minimizing at least one player and game disorders and achieving the goal of the strategy. This method can include training processes for output to implement a modified strateg"&amp;"y to present at least one player.")</f>
        <v>This article is publicly used to train athletes in sports competitions. In terms of examples, one method may include a strategy that will be implemented by at least one athlete in sports competitions. This method can include the success rate of strategy based on the historical data of at least one player. Response to determine the success rate of the success rate less than the threshold. This method may include the identification of game obstacles when the strategy is implemented by at least one player and does not achieve the goal. This method may include a modification strategy of minimizing at least one player and game disorders and achieving the goal of the strategy. This method can include training processes for output to implement a modified strategy to present at least one player.</v>
      </c>
      <c r="D2101" s="6" t="s">
        <v>5961</v>
      </c>
      <c r="E2101" s="4" t="str">
        <f ca="1">IFERROR(__xludf.DUMMYFUNCTION("GOOGLETRANSLATE(D2101,""auto"",""en"")"),"Use artificial intelligence to train athletes' systems and methods in sports competitions")</f>
        <v>Use artificial intelligence to train athletes' systems and methods in sports competitions</v>
      </c>
    </row>
    <row r="2102" spans="1:5" ht="15" x14ac:dyDescent="0.25">
      <c r="A2102" s="5" t="s">
        <v>5962</v>
      </c>
      <c r="B2102" s="6" t="s">
        <v>5963</v>
      </c>
      <c r="C2102" s="3" t="str">
        <f ca="1">IFERROR(__xludf.DUMMYFUNCTION("GOOGLETRANSLATE(B2102,""auto"",""en"")"),"""Intelligent exercise mirrors and methods based on machine learning"" This open example is targeted at ""smart training mirrors and methods based on machine learning"", including mirror device 001, mirror monitoring equipment (IMD) 100, and multiple avai"&amp;"lable available. Wear wristband (WB) 200. The mirror device 001 includes two -way mirror 002, display LCD panel 003. The mirror monitoring device (IMD) 100 includes micro -controller 103, camera 101, thermal image 102, GPRS -module 103A and Wi -Fi encrypt"&amp;"ion dog 103B. Micro -controlled 101A application households play a related exercise video 400 on display LCD panel 003 through the request of mobile application 300. Cooperate with the camera 101, use the ML algorithm's microcontroller 103 to identify the"&amp;" user's posture and match the posture image displayed on the LCD panel 003, and find that the posture is abnormal. Then micro -controller 103 and related wearable bracelets (WB) 200 communications and vibrate until the user's posture matches the video 400"&amp;". Cooperate with the thermal image instrument 102, and use the ML algorithm's microcontroller 103 to identify the burning calories. 1/4 001 date calibration step 002 Mirror 003 Actual Figure 1 Intelligent exercise mirror based on machine learning")</f>
        <v>"Intelligent exercise mirrors and methods based on machine learning" This open example is targeted at "smart training mirrors and methods based on machine learning", including mirror device 001, mirror monitoring equipment (IMD) 100, and multiple available available. Wear wristband (WB) 200. The mirror device 001 includes two -way mirror 002, display LCD panel 003. The mirror monitoring device (IMD) 100 includes micro -controller 103, camera 101, thermal image 102, GPRS -module 103A and Wi -Fi encryption dog 103B. Micro -controlled 101A application households play a related exercise video 400 on display LCD panel 003 through the request of mobile application 300. Cooperate with the camera 101, use the ML algorithm's microcontroller 103 to identify the user's posture and match the posture image displayed on the LCD panel 003, and find that the posture is abnormal. Then micro -controller 103 and related wearable bracelets (WB) 200 communications and vibrate until the user's posture matches the video 400. Cooperate with the thermal image instrument 102, and use the ML algorithm's microcontroller 103 to identify the burning calories. 1/4 001 date calibration step 002 Mirror 003 Actual Figure 1 Intelligent exercise mirror based on machine learning</v>
      </c>
      <c r="D2102" s="6" t="s">
        <v>5964</v>
      </c>
      <c r="E2102" s="4" t="str">
        <f ca="1">IFERROR(__xludf.DUMMYFUNCTION("GOOGLETRANSLATE(D2102,""auto"",""en"")"),"Intelligent fitness mirrors and methods based on machine learning")</f>
        <v>Intelligent fitness mirrors and methods based on machine learning</v>
      </c>
    </row>
    <row r="2103" spans="1:5" ht="15" x14ac:dyDescent="0.25">
      <c r="A2103" s="5" t="s">
        <v>5965</v>
      </c>
      <c r="B2103" s="6" t="s">
        <v>5966</v>
      </c>
      <c r="C2103" s="3" t="str">
        <f ca="1">IFERROR(__xludf.DUMMYFUNCTION("GOOGLETRANSLATE(B2103,""auto"",""en"")"),"The invention proposes a method and system of sports competition arrangement, involving sports events and information processing. A sports event arrangement method includes: entering the event information, the rules of the event, and the requirements of t"&amp;"he competition through the human -computer interaction; the service terminal arranges the rotation list of the event according to the registration situation of the participants; Judgment terminal; judgment terminal generates a competition report based on "&amp;"the record technical events, and manually verify the competition report. It can make the opponent's opponent's pairing no longer restricted by groups and levels, and can communicate with more people. In addition, the present invention also proposes a spor"&amp;"ts event arrangement system, including: human -machine interaction module, arrangement of rotation modules, transmission modules, judgment modules, first result modules, and second result modules.")</f>
        <v>The invention proposes a method and system of sports competition arrangement, involving sports events and information processing. A sports event arrangement method includes: entering the event information, the rules of the event, and the requirements of the competition through the human -computer interaction; the service terminal arranges the rotation list of the event according to the registration situation of the participants; Judgment terminal; judgment terminal generates a competition report based on the record technical events, and manually verify the competition report. It can make the opponent's opponent's pairing no longer restricted by groups and levels, and can communicate with more people. In addition, the present invention also proposes a sports event arrangement system, including: human -machine interaction module, arrangement of rotation modules, transmission modules, judgment modules, first result modules, and second result modules.</v>
      </c>
      <c r="D2103" s="6" t="s">
        <v>5967</v>
      </c>
      <c r="E2103" s="4" t="str">
        <f ca="1">IFERROR(__xludf.DUMMYFUNCTION("GOOGLETRANSLATE(D2103,""auto"",""en"")"),"A sports event arrangement method and system")</f>
        <v>A sports event arrangement method and system</v>
      </c>
    </row>
    <row r="2104" spans="1:5" ht="15" x14ac:dyDescent="0.25">
      <c r="A2104" s="5" t="s">
        <v>5968</v>
      </c>
      <c r="B2104" s="6" t="s">
        <v>5969</v>
      </c>
      <c r="C2104" s="3" t="str">
        <f ca="1">IFERROR(__xludf.DUMMYFUNCTION("GOOGLETRANSLATE(B2104,""auto"",""en"")"),"Provides a device and method for providing status information about players related to sports games. A method of a server using the surrounding images of each player to provide player status information, including: obtain the surrounding images of the fir"&amp;"st player from multiple surrounding images generated by the target game; Action information; player information for players who participate in the target game; obtain venue information for the target competition; select the artificial intelligence model g"&amp;"enerated for the first player from multiple artificial intelligence models trained for each player to analyze the player's condition; By applying the surrounding images of the first player, the use of sports information, the player information obtained, a"&amp;"nd the venue information to the selected artificial intelligence model, obtain the status information of the state of the first player.")</f>
        <v>Provides a device and method for providing status information about players related to sports games. A method of a server using the surrounding images of each player to provide player status information, including: obtain the surrounding images of the first player from multiple surrounding images generated by the target game; Action information; player information for players who participate in the target game; obtain venue information for the target competition; select the artificial intelligence model generated for the first player from multiple artificial intelligence models trained for each player to analyze the player's condition; By applying the surrounding images of the first player, the use of sports information, the player information obtained, and the venue information to the selected artificial intelligence model, obtain the status information of the state of the first player.</v>
      </c>
      <c r="D2104" s="6" t="s">
        <v>5970</v>
      </c>
      <c r="E2104" s="4" t="str">
        <f ca="1">IFERROR(__xludf.DUMMYFUNCTION("GOOGLETRANSLATE(D2104,""auto"",""en"")"),"Device and methods for providing athletes related to sports events")</f>
        <v>Device and methods for providing athletes related to sports events</v>
      </c>
    </row>
    <row r="2105" spans="1:5" ht="15" x14ac:dyDescent="0.25">
      <c r="A2105" s="5" t="s">
        <v>5971</v>
      </c>
      <c r="B2105" s="6" t="s">
        <v>5972</v>
      </c>
      <c r="C2105" s="3" t="str">
        <f ca="1">IFERROR(__xludf.DUMMYFUNCTION("GOOGLETRANSLATE(B2105,""auto"",""en"")"),"1. Design product name: Dynamic live broadcast interactive graphic user interface of the display screen panel.
 2. The purpose of designing products in this exterior: It is used for running software. The display screen is used for mobile phones, tablets"&amp;", treadmills, elliptical machines, dynamic bicycles, rowing machines, mountaineers, fitness cars.
 3. Design of the design of the product in this exterior: lies in the software graphics user interface displayed in the screen.
 4. Pictures or photos th"&amp;"at can most indicate design points: main view.
 5. There is no design point for other views, omitting other views.
 6. The purpose of graphical user interface: The design of this appearance is a graphical user interface used to perform live -broadcast"&amp;" interaction during user movement.
 7. Human -computer interaction method of graphic user interface: The main view is the display interface after the user trigger the interaction. Click the pattern or voice at the bottom right of the main screen. It is "&amp;"shown that the interface change state after a period of time Figure 1 will automatically jump to the interface change state Figure 2.")</f>
        <v>1. Design product name: Dynamic live broadcast interactive graphic user interface of the display screen panel.
 2. The purpose of designing products in this exterior: It is used for running software. The display screen is used for mobile phones, tablets, treadmills, elliptical machines, dynamic bicycles, rowing machines, mountaineers, fitness cars.
 3. Design of the design of the product in this exterior: lies in the software graphics user interface displayed in the screen.
 4. Pictures or photos that can most indicate design points: main view.
 5. There is no design point for other views, omitting other views.
 6. The purpose of graphical user interface: The design of this appearance is a graphical user interface used to perform live -broadcast interaction during user movement.
 7. Human -computer interaction method of graphic user interface: The main view is the display interface after the user trigger the interaction. Click the pattern or voice at the bottom right of the main screen. It is shown that the interface change state after a period of time Figure 1 will automatically jump to the interface change state Figure 2.</v>
      </c>
      <c r="D2105" s="6" t="s">
        <v>5838</v>
      </c>
      <c r="E2105" s="4" t="str">
        <f ca="1">IFERROR(__xludf.DUMMYFUNCTION("GOOGLETRANSLATE(D2105,""auto"",""en"")"),"The dynamic live broadcast interactive graphic user interface of the display screen panel")</f>
        <v>The dynamic live broadcast interactive graphic user interface of the display screen panel</v>
      </c>
    </row>
    <row r="2106" spans="1:5" ht="15" x14ac:dyDescent="0.25">
      <c r="A2106" s="5" t="s">
        <v>5973</v>
      </c>
      <c r="B2106" s="6" t="s">
        <v>5974</v>
      </c>
      <c r="C2106" s="3" t="str">
        <f ca="1">IFERROR(__xludf.DUMMYFUNCTION("GOOGLETRANSLATE(B2106,""auto"",""en"")"),"1. The name of the product in appearance: The display screen panel with the graphic user interface with the member rights display.
 2. The purpose of designing products in this exterior: The design of the product in this exterior is used for running pro"&amp;"grams, display information and/or communication.
 3. Design of the design of the product in this exterior: lies in the graphic user interface content displayed in the display screen panel.
 4. Pictures or photos that can most indicate design points: m"&amp;"ain view.
 5. Do not involve design points, omit the left view; do not involve design points, omit the right view; do not involve design points, omit the push -up view; do not involve design points, omitting the view view; no design points, omittime vie"&amp;"ws.
 6. The purpose of the graphical user interface: The graphic user interface of the display screen panel is displayed as an interactive interface displayed on the rights of members of each level and various formats.
 7. The area of ​​the graphical "&amp;"user interface in the product: the interface in the display screen panel.
 8. Human -computer interaction method of graphic user interface: The main view is displayed as the main interface displayed on the member's equity information. The above interfac"&amp;"e is displayed as a member level information. Football, real estate and other rights; change status Figure 1 is a change map corresponding to the equity information corresponding to different membership levels after sliding operations in the main view; ch"&amp;"anges status 2 is to click the ""Commercial Rights"" card in the changing state Figure 1 The change diagram of all rights and interests displayed later, the upper part of the figure shows different levels of members, and the rights and interests are displ"&amp;"ayed in the middle and lower parts.
 The design is attached to the display screen panel.")</f>
        <v>1. The name of the product in appearance: The display screen panel with the graphic user interface with the member rights display.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design points: main view.
 5. Do not involve design points, omit the left view; do not involve design points, omit the right view; do not involve design points, omit the push -up view; do not involve design points, omitting the view view; no design points, omittime views.
 6. The purpose of the graphical user interface: The graphic user interface of the display screen panel is displayed as an interactive interface displayed on the rights of members of each level and various formats.
 7. The area of ​​the graphical user interface in the product: the interface in the display screen panel.
 8. Human -computer interaction method of graphic user interface: The main view is displayed as the main interface displayed on the member's equity information. The above interface is displayed as a member level information. Football, real estate and other rights; change status Figure 1 is a change map corresponding to the equity information corresponding to different membership levels after sliding operations in the main view; changes status 2 is to click the "Commercial Rights" card in the changing state Figure 1 The change diagram of all rights and interests displayed later, the upper part of the figure shows different levels of members, and the rights and interests are displayed in the middle and lower parts.
 The design is attached to the display screen panel.</v>
      </c>
      <c r="D2106" s="6" t="s">
        <v>5975</v>
      </c>
      <c r="E2106" s="4" t="str">
        <f ca="1">IFERROR(__xludf.DUMMYFUNCTION("GOOGLETRANSLATE(D2106,""auto"",""en"")"),"Bring a display screen panel with member equity display graphic user interface")</f>
        <v>Bring a display screen panel with member equity display graphic user interface</v>
      </c>
    </row>
    <row r="2107" spans="1:5" ht="15" x14ac:dyDescent="0.25">
      <c r="A2107" s="5" t="s">
        <v>5976</v>
      </c>
      <c r="B2107" s="6" t="s">
        <v>5977</v>
      </c>
      <c r="C2107" s="3" t="str">
        <f ca="1">IFERROR(__xludf.DUMMYFUNCTION("GOOGLETRANSLATE(B2107,""auto"",""en"")"),"1. Design product name: Display screen panel with information blank page graphics user interface.
 2. The purpose of designing products in this exterior: The design of the product in this exterior is used for running programs, display information and/or"&amp;" communication.
 3. Design of the design of the product in this exterior: lies in the graphic user interface content displayed in the display screen panel.
 4. Pictures or photos that can most indicate the design points: change status Figure 1.
 5. "&amp;"Do not involve design points, omit the left view; do not involve design points, omit the right view; do not involve design points, omit the push -up view; do not involve design points, omitting the view view; no design points, omittime views.
 6. The pu"&amp;"rpose of the graphical user interface: The graphic user interface of the display screen panel is displayed as the interactive interface of the animation when the information cannot obtain or the state of no information is unable to obtain or is unpopular."&amp;"
 7. The area of ​​the graphical user interface in the product: the interface in the display screen panel.
 8. Human -computer interaction method of graphics user interface: The main view is displayed as the main interface of the information selection"&amp;" of football events, and above the interface is the recent game, team, and score results. The number of goals, jersey numbers, and names, below is the game information. The information category is divided into recommendation, videos, news, and posters. In"&amp;" the middle of the interface, the image of a cartoon tiger played, and the text ""signal to the alien planet""; the state of change status is the change map displayed after the information displayed by the main view. For more recommended videos, below are"&amp;" selected messages. Among them, there are no messages to display cartoon tigers and football images.
 The design is attached to the display screen panel.")</f>
        <v>1. Design product name: Display screen panel with information blank page graphics user interface.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the design points: change status Figure 1.
 5. Do not involve design points, omit the left view; do not involve design points, omit the right view; do not involve design points, omit the push -up view; do not involve design points, omitting the view view; no design points, omittime views.
 6. The purpose of the graphical user interface: The graphic user interface of the display screen panel is displayed as the interactive interface of the animation when the information cannot obtain or the state of no information is unable to obtain or is unpopular.
 7. The area of ​​the graphical user interface in the product: the interface in the display screen panel.
 8. Human -computer interaction method of graphics user interface: The main view is displayed as the main interface of the information selection of football events, and above the interface is the recent game, team, and score results. The number of goals, jersey numbers, and names, below is the game information. The information category is divided into recommendation, videos, news, and posters. In the middle of the interface, the image of a cartoon tiger played, and the text "signal to the alien planet"; the state of change status is the change map displayed after the information displayed by the main view. For more recommended videos, below are selected messages. Among them, there are no messages to display cartoon tigers and football images.
 The design is attached to the display screen panel.</v>
      </c>
      <c r="D2107" s="6" t="s">
        <v>5978</v>
      </c>
      <c r="E2107" s="4" t="str">
        <f ca="1">IFERROR(__xludf.DUMMYFUNCTION("GOOGLETRANSLATE(D2107,""auto"",""en"")"),"Display screen panel with information blank page graphics user interface")</f>
        <v>Display screen panel with information blank page graphics user interface</v>
      </c>
    </row>
    <row r="2108" spans="1:5" ht="15" x14ac:dyDescent="0.25">
      <c r="A2108" s="5" t="s">
        <v>5979</v>
      </c>
      <c r="B2108" s="6" t="s">
        <v>5980</v>
      </c>
      <c r="C2108" s="3" t="str">
        <f ca="1">IFERROR(__xludf.DUMMYFUNCTION("GOOGLETRANSLATE(B2108,""auto"",""en"")"),"1. Design product name: Bringing the display screen panel with the graphical user interface.
 2. The purpose of designing products in this exterior: The design of the product in this exterior is used for running programs, display information and/or comm"&amp;"unication.
 3. Design of the design of the product in this exterior: lies in the graphic user interface content displayed in the display screen panel.
 4. Pictures or photos that can most indicate design points: main view.
 5. Do not involve design "&amp;"points, omit the left view; do not involve design points, omit the right view; do not involve design points, omit the push -up view; do not involve design points, omitting the view view; no design points, omittime views.
 6. The purpose of the graphical"&amp;" user interface: The graphic user interface of the display screen panel is displayed as an interactive interface for visual display of the game data to visually display the display. The display screen panel is used for mobile phones, tablets, TVs, and com"&amp;"puters.
 7. The area of ​​the graphical user interface in the product: the interface in the display screen panel.
 8. Human -computer interaction method of graphical user interface: The main view is displayed as the main interface displayed on the res"&amp;"ults of the competition results of the participating teams. The above interface is displayed as the participating team, the current score, and the status of the competition. Statistics, including the number of shots, accuracy, being blocked, inside the go"&amp;"al, and outside the goal scope; the state of change status is a variable chart after sliding operation in the main screen. Statistics, example shooting, etc.; Change state Figure 2 is a change diagram of the lineup of this game after clicking the ""Lineup"&amp;""" label or sliding to the right in the change state. , Player location and other information.
 Reference status refers to the actual usage icons corresponding to the actual usage of the main view, change status Figure 1, and changing state respectively"&amp;".
 The design is attached to the display screen panel.")</f>
        <v>1. Design product name: Bringing the display screen panel with the graphical user interface.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design points: main view.
 5. Do not involve design points, omit the left view; do not involve design points, omit the right view; do not involve design points, omit the push -up view; do not involve design points, omitting the view view; no design points, omittime views.
 6. The purpose of the graphical user interface: The graphic user interface of the display screen panel is displayed as an interactive interface for visual display of the game data to visually display the display. The display screen panel is used for mobile phones, tablets, TVs, and computers.
 7. The area of ​​the graphical user interface in the product: the interface in the display screen panel.
 8. Human -computer interaction method of graphical user interface: The main view is displayed as the main interface displayed on the results of the competition results of the participating teams. The above interface is displayed as the participating team, the current score, and the status of the competition. Statistics, including the number of shots, accuracy, being blocked, inside the goal, and outside the goal scope; the state of change status is a variable chart after sliding operation in the main screen. Statistics, example shooting, etc.; Change state Figure 2 is a change diagram of the lineup of this game after clicking the "Lineup" label or sliding to the right in the change state. , Player location and other information.
 Reference status refers to the actual usage icons corresponding to the actual usage of the main view, change status Figure 1, and changing state respectively.
 The design is attached to the display screen panel.</v>
      </c>
      <c r="D2108" s="6" t="s">
        <v>5981</v>
      </c>
      <c r="E2108" s="4" t="str">
        <f ca="1">IFERROR(__xludf.DUMMYFUNCTION("GOOGLETRANSLATE(D2108,""auto"",""en"")"),"Display screen panels with graphic user interface with event data")</f>
        <v>Display screen panels with graphic user interface with event data</v>
      </c>
    </row>
    <row r="2109" spans="1:5" ht="15" x14ac:dyDescent="0.25">
      <c r="A2109" s="5" t="s">
        <v>5982</v>
      </c>
      <c r="B2109" s="6" t="s">
        <v>5983</v>
      </c>
      <c r="C2109" s="3" t="str">
        <f ca="1">IFERROR(__xludf.DUMMYFUNCTION("GOOGLETRANSLATE(B2109,""auto"",""en"")"),"1. Design product name: Display screen panel with a ball race booking order graphical user interface.
 2. The purpose of designing products in this exterior: The design of the product in this exterior is used for running programs, display information an"&amp;"d/or communication.
 3. Design of the design of the product in this exterior: lies in the graphic user interface content displayed in the display screen panel.
 4. Pictures or photos that can most indicate the design points: change status Figure 1.
"&amp;" 5. Do not involve design points, omit the left view; do not involve design points, omit the right view; do not involve design points, omit the push -up view; do not involve design points, omitting the view view; no design points, omittime views.
 6. Th"&amp;"e purpose of the graphical user interface: The graphic user interface of the display screen panel is displayed as the game booking order as an empty prompt animation interactive interface, which is used for mobile phones, tablets, TVs, and computers.
 7"&amp;". The area of ​​the graphical user interface in the product: the interface in the display screen panel.
 8. Human -computer interaction method of graphical user interface: The main view is displayed as the main interface of the team's annual card and bo"&amp;"oking page. The above interface is displayed as the team's annual card and publicity icon. Design elements such as cargo address, common viewers, event subscription subscriptions, message centers, settings, etc. The change status of the change is the chan"&amp;"ge diagram displayed after clicking the ""home ticket order"" icon in the main view. The image of the display cartoon tiger; the change status of the change is the change diagram displayed after clicking the ""receiving address"" icon in the main screen. "&amp;"The interface is displayed in the middle of the interface as the image of the cartoon tiger kicking football; the change status graph 3 is a click "" The change diagram displayed after the common viewer's ""icon, which is displayed in the middle of the in"&amp;"terface as the image of a cartoon tiger back and football.
 References in use in Figure 1 are reference diagrams of the main view in actual use.
 The design is attached to the display screen panel.")</f>
        <v>1. Design product name: Display screen panel with a ball race booking order graphical user interface.
 2. The purpose of designing products in this exterior: The design of the product in this exterior is used for running programs, display information and/or communication.
 3. Design of the design of the product in this exterior: lies in the graphic user interface content displayed in the display screen panel.
 4. Pictures or photos that can most indicate the design points: change status Figure 1.
 5. Do not involve design points, omit the left view; do not involve design points, omit the right view; do not involve design points, omit the push -up view; do not involve design points, omitting the view view; no design points, omittime views.
 6. The purpose of the graphical user interface: The graphic user interface of the display screen panel is displayed as the game booking order as an empty prompt animation interactive interface, which is used for mobile phones, tablets, TVs, and computers.
 7. The area of ​​the graphical user interface in the product: the interface in the display screen panel.
 8. Human -computer interaction method of graphical user interface: The main view is displayed as the main interface of the team's annual card and booking page. The above interface is displayed as the team's annual card and publicity icon. Design elements such as cargo address, common viewers, event subscription subscriptions, message centers, settings, etc. The change status of the change is the change diagram displayed after clicking the "home ticket order" icon in the main view. The image of the display cartoon tiger; the change status of the change is the change diagram displayed after clicking the "receiving address" icon in the main screen. The interface is displayed in the middle of the interface as the image of the cartoon tiger kicking football; the change status graph 3 is a click " The change diagram displayed after the common viewer's "icon, which is displayed in the middle of the interface as the image of a cartoon tiger back and football.
 References in use in Figure 1 are reference diagrams of the main view in actual use.
 The design is attached to the display screen panel.</v>
      </c>
      <c r="D2109" s="6" t="s">
        <v>5984</v>
      </c>
      <c r="E2109" s="4" t="str">
        <f ca="1">IFERROR(__xludf.DUMMYFUNCTION("GOOGLETRANSLATE(D2109,""auto"",""en"")"),"Display screen panel with a ball game booking order graphical user interface")</f>
        <v>Display screen panel with a ball game booking order graphical user interface</v>
      </c>
    </row>
    <row r="2110" spans="1:5" ht="15" x14ac:dyDescent="0.25">
      <c r="A2110" s="5" t="s">
        <v>5985</v>
      </c>
      <c r="B2110" s="6" t="s">
        <v>5986</v>
      </c>
      <c r="C2110" s="3" t="str">
        <f ca="1">IFERROR(__xludf.DUMMYFUNCTION("GOOGLETRANSLATE(B2110,""auto"",""en"")"),"The technologies for quantifying the physical quality of the balls returned by the player's use of cyclic -driven technology, such as in the table tennis, and the overall quantification summary of the overall quality of cycle -driven technology based on q"&amp;"uantitative physical quality. The image processing technology is applied to the historical video records of the ball returned to the cycle -driven technology to quantify the physical characteristics of the ball. Use quantitative physical characteristics t"&amp;"o generate machine learning models to determine the relative importance of specific quality and its corresponding quantification value of the overall quality or success of circulating driver technology, such as in table tennis competitions.")</f>
        <v>The technologies for quantifying the physical quality of the balls returned by the player's use of cyclic -driven technology, such as in the table tennis, and the overall quantification summary of the overall quality of cycle -driven technology based on quantitative physical quality. The image processing technology is applied to the historical video records of the ball returned to the cycle -driven technology to quantify the physical characteristics of the ball. Use quantitative physical characteristics to generate machine learning models to determine the relative importance of specific quality and its corresponding quantification value of the overall quality or success of circulating driver technology, such as in table tennis competitions.</v>
      </c>
      <c r="D2110" s="6" t="s">
        <v>5987</v>
      </c>
      <c r="E2110" s="4" t="str">
        <f ca="1">IFERROR(__xludf.DUMMYFUNCTION("GOOGLETRANSLATE(D2110,""auto"",""en"")"),"Capture and quantitative cycle driven index")</f>
        <v>Capture and quantitative cycle driven index</v>
      </c>
    </row>
    <row r="2111" spans="1:5" ht="15" x14ac:dyDescent="0.25">
      <c r="A2111" s="5" t="s">
        <v>5988</v>
      </c>
      <c r="B2111" s="6" t="s">
        <v>5989</v>
      </c>
      <c r="C2111" s="3" t="str">
        <f ca="1">IFERROR(__xludf.DUMMYFUNCTION("GOOGLETRANSLATE(B2111,""auto"",""en"")"),"The use of machine learning for athlete's specific body posture generates posture adjustment value to improve the technology of cycle -driven technology, such as table tennis. Analyze the video editing of the player using a circulating driver technology t"&amp;"o determine the value of the specific body posture and the quality of the ball after the hit. Generate machine learning models to analyze the relationship between body posture and ball quality. After receiving the live video editing of the player's use of"&amp;" cycle -driven technology, the machine learning model is used to generate the adjustment value of the player's body posture to pass the improved cyclic -driven quality to the ball, such as rotation faster.")</f>
        <v>The use of machine learning for athlete's specific body posture generates posture adjustment value to improve the technology of cycle -driven technology, such as table tennis. Analyze the video editing of the player using a circulating driver technology to determine the value of the specific body posture and the quality of the ball after the hit. Generate machine learning models to analyze the relationship between body posture and ball quality. After receiving the live video editing of the player's use of cycle -driven technology, the machine learning model is used to generate the adjustment value of the player's body posture to pass the improved cyclic -driven quality to the ball, such as rotation faster.</v>
      </c>
      <c r="D2111" s="6" t="s">
        <v>5990</v>
      </c>
      <c r="E2111" s="4" t="str">
        <f ca="1">IFERROR(__xludf.DUMMYFUNCTION("GOOGLETRANSLATE(D2111,""auto"",""en"")"),"Machine learning enhancement cycle driver training")</f>
        <v>Machine learning enhancement cycle driver training</v>
      </c>
    </row>
    <row r="2112" spans="1:5" ht="15" x14ac:dyDescent="0.25">
      <c r="A2112" s="5" t="s">
        <v>5991</v>
      </c>
      <c r="B2112" s="6" t="s">
        <v>5992</v>
      </c>
      <c r="C2112" s="3" t="str">
        <f ca="1">IFERROR(__xludf.DUMMYFUNCTION("GOOGLETRANSLATE(B2112,""auto"",""en"")"),"1. Design product name: Share graphical user interface on the vehicle location of the display screen panel.
 2. The purpose of designing products in this exterior: for running programs, information display, human -computer interaction, etc.
 3. Design"&amp;" of the design of the product here: lies in the interface content of the graphic user interface in the screen.
 4. Pictures or photos that can most indicate design points: main view.
 5. The purpose of the graphical user interface: The design point of"&amp;" this graphic user interface is to check and share the location of the vehicle in the interface.
 The main view is the vehicle parking map page interface. Click the sharing button on the right side of the suspended box on the bottom of the page. The int"&amp;"erface jumps to the vehicle location sharing page interface. As shown in the interface changes, users can share the vehicle location through the GPS.
 6.其他说明：该显示屏幕面板应用于交通工具、计算机、笔记本电脑、通讯设备、多媒体设备、信息终端、便携式通讯设备、便携式多媒体设备、便携式信息终端、平板电脑、手机、可穿戴设备、智能Watch, fitnes"&amp;"s monitor, headphones, personal digital assistants, smart speakers, television, set -top boxes, game systems.")</f>
        <v>1. Design product name: Share graphical user interface on the vehicle location of the display screen panel.
 2. The purpose of designing products in this exterior: for running programs, information display, human -computer interaction, etc.
 3. Design of the design of the product here: lies in the interface content of the graphic user interface in the screen.
 4. Pictures or photos that can most indicate design points: main view.
 5. The purpose of the graphical user interface: The design point of this graphic user interface is to check and share the location of the vehicle in the interface.
 The main view is the vehicle parking map page interface. Click the sharing button on the right side of the suspended box on the bottom of the page. The interface jumps to the vehicle location sharing page interface. As shown in the interface changes, users can share the vehicle location through the GPS.
 6.其他说明：该显示屏幕面板应用于交通工具、计算机、笔记本电脑、通讯设备、多媒体设备、信息终端、便携式通讯设备、便携式多媒体设备、便携式信息终端、平板电脑、手机、可穿戴设备、智能Watch, fitness monitor, headphones, personal digital assistants, smart speakers, television, set -top boxes, game systems.</v>
      </c>
      <c r="D2112" s="6" t="s">
        <v>5993</v>
      </c>
      <c r="E2112" s="4" t="str">
        <f ca="1">IFERROR(__xludf.DUMMYFUNCTION("GOOGLETRANSLATE(D2112,""auto"",""en"")"),"Share graphical user interface on the vehicle location of the display screen panel")</f>
        <v>Share graphical user interface on the vehicle location of the display screen panel</v>
      </c>
    </row>
    <row r="2113" spans="1:5" ht="15" x14ac:dyDescent="0.25">
      <c r="A2113" s="5" t="s">
        <v>5994</v>
      </c>
      <c r="B2113" s="6" t="s">
        <v>5995</v>
      </c>
      <c r="C2113" s="3" t="str">
        <f ca="1">IFERROR(__xludf.DUMMYFUNCTION("GOOGLETRANSLATE(B2113,""auto"",""en"")"),"1. The name of the product of the design of the product: The offline map of the display screen panel download the graphic user interface.
 2. The purpose of designing products in this exterior: for running programs, information display, human -computer "&amp;"interaction, etc.
 3. Design of the design of the product here: lies in the interface content of the graphic user interface in the screen.
 4. Pictures or photos that can best show design: Design 1 main view.
 5. Specify design 1 is the basic design"&amp;".
 6. The purpose of the graphical user interface: The design point of this graphic user interface is to view offline map download details on the interface.
 Design 1 The main view is more display interface. Click the download map bar in the interface"&amp;". The interface jumps to the display interface of the download page of the offline map. The download map taskbar has been completed in the interface, and the interface jumps to the details interface of the download map, as shown in the design 1 interface "&amp;"changes.
 Design 2 main view is more display interface. Click the download map bar in the interface. The interface jumps to the display interface of the download page of the offline map. Click the download in the interface to download the task map bar, "&amp;"and the interface jumps to the download task map interface to display the download details of the map, as shown in the design 2 interface change state.
 Design 3 main views are more display interfaces. Click the download map bar in the interface. The in"&amp;"terface jumps to the display interface of the download page of the offline map. Click the selection area bar at the top of the interface, and the interface jumps to select the download area interface. As shown in the design 3 interface change state, the u"&amp;"ser can select the area of ​​the map download in this interface.
 7. Other instructions: The display screen panel is applied to computers, laptops, tablets, mobile phones, smart watches, fitness monitors, smart speakers, TV, set -top boxes.")</f>
        <v>1. The name of the product of the design of the product: The offline map of the display screen panel download the graphic user interface.
 2. The purpose of designing products in this exterior: for running programs, information display, human -computer interaction, etc.
 3. Design of the design of the product here: lies in the interface content of the graphic user interface in the screen.
 4. Pictures or photos that can best show design: Design 1 main view.
 5. Specify design 1 is the basic design.
 6. The purpose of the graphical user interface: The design point of this graphic user interface is to view offline map download details on the interface.
 Design 1 The main view is more display interface. Click the download map bar in the interface. The interface jumps to the display interface of the download page of the offline map. The download map taskbar has been completed in the interface, and the interface jumps to the details interface of the download map, as shown in the design 1 interface changes.
 Design 2 main view is more display interface. Click the download map bar in the interface. The interface jumps to the display interface of the download page of the offline map. Click the download in the interface to download the task map bar, and the interface jumps to the download task map interface to display the download details of the map, as shown in the design 2 interface change state.
 Design 3 main views are more display interfaces. Click the download map bar in the interface. The interface jumps to the display interface of the download page of the offline map. Click the selection area bar at the top of the interface, and the interface jumps to select the download area interface. As shown in the design 3 interface change state, the user can select the area of ​​the map download in this interface.
 7. Other instructions: The display screen panel is applied to computers, laptops, tablets, mobile phones, smart watches, fitness monitors, smart speakers, TV, set -top boxes.</v>
      </c>
      <c r="D2113" s="6" t="s">
        <v>5996</v>
      </c>
      <c r="E2113" s="4" t="str">
        <f ca="1">IFERROR(__xludf.DUMMYFUNCTION("GOOGLETRANSLATE(D2113,""auto"",""en"")"),"Offline map of the display screen panel download graphic user interface")</f>
        <v>Offline map of the display screen panel download graphic user interface</v>
      </c>
    </row>
    <row r="2114" spans="1:5" ht="15" x14ac:dyDescent="0.25">
      <c r="A2114" s="5" t="s">
        <v>5997</v>
      </c>
      <c r="B2114" s="6" t="s">
        <v>5998</v>
      </c>
      <c r="C2114" s="3" t="str">
        <f ca="1">IFERROR(__xludf.DUMMYFUNCTION("GOOGLETRANSLATE(B2114,""auto"",""en"")"),"1. Design product name: Tablet computer based on the operation interface.
 2. Design products in this exterior: used for communication and running programs.
 3. Design of the design of the product in this exterior: lies in the graphic user interface c"&amp;"ontent in the product screen, and the rest are commonly designed.
 4. Pictures or photos that can most indicate design points: main view.
 5. Tablet computers are commonly designed and omit other views.
 6. The purpose of the graphical user interfac"&amp;"e: for clothing customization.
 7. Human -computer interaction method of graphical user interface: The main view is the homepage of the clothing customization system.
 Click the ""high -end customization"" icon in the middle of the main view, and the "&amp;"interface enters the changing state Figure 1.
 Change status Figure 1 Swipe upwards and enter the change state. 2.
 Click the changing state Figure 2 The contraction menu of the ""shooting body type"", the interface enters the changing state Figure 3.")</f>
        <v>1. Design product name: Tablet computer based on the operation interface.
 2. Design products in this exterior: used for communication and running programs.
 3. Design of the design of the product in this exterior: lies in the graphic user interface content in the product screen, and the rest are commonly designed.
 4. Pictures or photos that can most indicate design points: main view.
 5. Tablet computers are commonly designed and omit other views.
 6. The purpose of the graphical user interface: for clothing customization.
 7. Human -computer interaction method of graphical user interface: The main view is the homepage of the clothing customization system.
 Click the "high -end customization" icon in the middle of the main view, and the interface enters the changing state Figure 1.
 Change status Figure 1 Swipe upwards and enter the change state. 2.
 Click the changing state Figure 2 The contraction menu of the "shooting body type", the interface enters the changing state Figure 3.</v>
      </c>
      <c r="D2114" s="6" t="s">
        <v>5999</v>
      </c>
      <c r="E2114" s="4" t="str">
        <f ca="1">IFERROR(__xludf.DUMMYFUNCTION("GOOGLETRANSLATE(D2114,""auto"",""en"")"),"Tablet computer based on the operating interface")</f>
        <v>Tablet computer based on the operating interface</v>
      </c>
    </row>
    <row r="2115" spans="1:5" ht="15" x14ac:dyDescent="0.25">
      <c r="A2115" s="5" t="s">
        <v>6000</v>
      </c>
      <c r="B2115" s="6" t="s">
        <v>6001</v>
      </c>
      <c r="C2115" s="3" t="str">
        <f ca="1">IFERROR(__xludf.DUMMYFUNCTION("GOOGLETRANSLATE(B2115,""auto"",""en"")"),"1. Design product name: View the trajectory of the display screen panel for details graphic user interface.
 2. The purpose of designing products in this exterior: for running programs, information display, human -computer interaction, etc.
 3. Design"&amp;" of the design of the product here: lies in the interface content of the graphic user interface in the screen.
 4. Pictures or photos that can best show design: Design 1 main view.
 5. Specify design 1 is the basic design.
 6. The purpose of the gra"&amp;"phical user interface: The design point of this graphic user interface is to view the exercise trajectory details on the interface.
 Design 1 The main view is the display interface of the homepage homepage. Click the position icon above the interface. T"&amp;"he interface jumps to my sports trajectory list page interface. As shown in the design 1 interface changes, click on any trajectory list in the interface, jump jump, jump Transfer to the interface of the trajectory details, as shown in the design 1 interf"&amp;"ace change state, and the suspended block 1 (the middle and lower part of the interface) in the interface is the data summary of this itinerary, including the driving date, time, mileage, maximum speed , Time, click on the play icon on the left side of th"&amp;"e suspended block, and jump to the interface of the detailed page of the driving route. As shown in the design 1 interface change state, the trajectory dynamic from the starting point to the end point of the vehicle in the interface is dynamic , Click the"&amp;" button in the upper right corner of the floating block on the interface, you can choose the different playback speed of the vehicle trajectory in the pop -up window, as shown in the design 1 interface change state.
 Design 2 Main view is the display in"&amp;"terface of the homepage homepage. Click the position icon above the interface, and jump to my sports trajectory list page interface. As shown in the design 2 interface changes, click on any trajectory list in the interface, jump jump, jump Transfer to the"&amp;" interface of the trajectory details, as shown in the design 2 interface change state, press the suspended block at the bottom of the interface to slide up, enter the data interface of the driving details, as shown in the design 2 interface changes. The s"&amp;"uspended block 1 (upper part of the interface) in the interface is the data summary of this itinerary, including driving date, time, mileage, maximum speed, and duration; Time; suspended block 3 (block in the middle of the interface) is the power curve, s"&amp;"peed curve, acceleration curve and torque curve of the vehicle, and the horizontal coordinates can be selected in different areas of 10km, 20km, and 30km; the suspended block 34 (Lower part of the interface) The data of the highest and minimum altitude in"&amp;" this itinerary.
 7. Other instructions: The display screen panel is applied to vehicles, computers, laptops, tablets, mobile phones, smart watches, fitness monitor, headset headphones, personal digital assistants, smart speakers, TV, set -top boxes.")</f>
        <v>1. Design product name: View the trajectory of the display screen panel for details graphic user interface.
 2. The purpose of designing products in this exterior: for running programs, information display, human -computer interaction, etc.
 3. Design of the design of the product here: lies in the interface content of the graphic user interface in the screen.
 4. Pictures or photos that can best show design: Design 1 main view.
 5. Specify design 1 is the basic design.
 6. The purpose of the graphical user interface: The design point of this graphic user interface is to view the exercise trajectory details on the interface.
 Design 1 The main view is the display interface of the homepage homepage. Click the position icon above the interface. The interface jumps to my sports trajectory list page interface. As shown in the design 1 interface changes, click on any trajectory list in the interface, jump jump, jump Transfer to the interface of the trajectory details, as shown in the design 1 interface change state, and the suspended block 1 (the middle and lower part of the interface) in the interface is the data summary of this itinerary, including the driving date, time, mileage, maximum speed , Time, click on the play icon on the left side of the suspended block, and jump to the interface of the detailed page of the driving route. As shown in the design 1 interface change state, the trajectory dynamic from the starting point to the end point of the vehicle in the interface is dynamic , Click the button in the upper right corner of the floating block on the interface, you can choose the different playback speed of the vehicle trajectory in the pop -up window, as shown in the design 1 interface change state.
 Design 2 Main view is the display interface of the homepage homepage. Click the position icon above the interface, and jump to my sports trajectory list page interface. As shown in the design 2 interface changes, click on any trajectory list in the interface, jump jump, jump Transfer to the interface of the trajectory details, as shown in the design 2 interface change state, press the suspended block at the bottom of the interface to slide up, enter the data interface of the driving details, as shown in the design 2 interface changes. The suspended block 1 (upper part of the interface) in the interface is the data summary of this itinerary, including driving date, time, mileage, maximum speed, and duration; Time; suspended block 3 (block in the middle of the interface) is the power curve, speed curve, acceleration curve and torque curve of the vehicle, and the horizontal coordinates can be selected in different areas of 10km, 20km, and 30km; the suspended block 34 (Lower part of the interface) The data of the highest and minimum altitude in this itinerary.
 7. Other instructions: The display screen panel is applied to vehicles, computers, laptops, tablets, mobile phones, smart watches, fitness monitor, headset headphones, personal digital assistants, smart speakers, TV, set -top boxes.</v>
      </c>
      <c r="D2115" s="6" t="s">
        <v>6002</v>
      </c>
      <c r="E2115" s="4" t="str">
        <f ca="1">IFERROR(__xludf.DUMMYFUNCTION("GOOGLETRANSLATE(D2115,""auto"",""en"")"),"View trajectory of display screen panels details graphic user interface")</f>
        <v>View trajectory of display screen panels details graphic user interface</v>
      </c>
    </row>
    <row r="2116" spans="1:5" ht="15" x14ac:dyDescent="0.25">
      <c r="A2116" s="5" t="s">
        <v>6003</v>
      </c>
      <c r="B2116" s="6" t="s">
        <v>6004</v>
      </c>
      <c r="C2116" s="3" t="str">
        <f ca="1">IFERROR(__xludf.DUMMYFUNCTION("GOOGLETRANSLATE(B2116,""auto"",""en"")"),"The present invention involves the method and system of application platforms providing systems and detailed golf training content through big data, and intelligent training machines used by machine learning systems and objects based on data calculated fr"&amp;"om training objects.
  Based on the collection of user data, big data and machine learning systems form a professional golf player training guide, recommendation training course class, and core golf coach video content, which can be passed and displayed"&amp;" on the user interface through the application.")</f>
        <v>The present invention involves the method and system of application platforms providing systems and detailed golf training content through big data, and intelligent training machines used by machine learning systems and objects based on data calculated from training objects.
  Based on the collection of user data, big data and machine learning systems form a professional golf player training guide, recommendation training course class, and core golf coach video content, which can be passed and displayed on the user interface through the application.</v>
      </c>
      <c r="D2116" s="6" t="s">
        <v>6005</v>
      </c>
      <c r="E2116" s="4" t="str">
        <f ca="1">IFERROR(__xludf.DUMMYFUNCTION("GOOGLETRANSLATE(D2116,""auto"",""en"")"),"Methods and application systems based on machine learning -based golf training content")</f>
        <v>Methods and application systems based on machine learning -based golf training content</v>
      </c>
    </row>
    <row r="2117" spans="1:5" ht="15" x14ac:dyDescent="0.25">
      <c r="A2117" s="5" t="s">
        <v>6006</v>
      </c>
      <c r="B2117" s="6" t="s">
        <v>6007</v>
      </c>
      <c r="C2117" s="3" t="str">
        <f ca="1">IFERROR(__xludf.DUMMYFUNCTION("GOOGLETRANSLATE(B2117,""auto"",""en"")"),"The invention involves a gym air conditioner control method, device, controller and air conditioning system, which contains the control method of the gym air conditioner, including: obtain the gym environmental data, functional partition data and human da"&amp;"ta; Functional partition data and human data determine the optimal operating parameters of the air conditioner; control the air conditioner according to the optimal operating parameters of the air conditioner; the present invention classifies the actual n"&amp;"eeds of the air conditioner through the gym to classify different functional areas of the gym, and will The use conditions of personnel in different application scenarios are used as the input conditions for controlling the operation of the air conditione"&amp;"r. The application machine learning method obtains the optimal operating parameters of the air conditioner in different application scenarios and the use conditions. The operation of the air conditioner can not only meet the habits of different personnel,"&amp;" but also achieve precise control of air conditioners in various functional areas, which is conducive to realizing energy saving.")</f>
        <v>The invention involves a gym air conditioner control method, device, controller and air conditioning system, which contains the control method of the gym air conditioner, including: obtain the gym environmental data, functional partition data and human data; Functional partition data and human data determine the optimal operating parameters of the air conditioner; control the air conditioner according to the optimal operating parameters of the air conditioner; the present invention classifies the actual needs of the air conditioner through the gym to classify different functional areas of the gym, and will The use conditions of personnel in different application scenarios are used as the input conditions for controlling the operation of the air conditioner. The application machine learning method obtains the optimal operating parameters of the air conditioner in different application scenarios and the use conditions. The operation of the air conditioner can not only meet the habits of different personnel, but also achieve precise control of air conditioners in various functional areas, which is conducive to realizing energy saving.</v>
      </c>
      <c r="D2117" s="6" t="s">
        <v>6008</v>
      </c>
      <c r="E2117" s="4" t="str">
        <f ca="1">IFERROR(__xludf.DUMMYFUNCTION("GOOGLETRANSLATE(D2117,""auto"",""en"")"),"The control method, device, controller and air conditioner system of the gym air conditioner")</f>
        <v>The control method, device, controller and air conditioner system of the gym air conditioner</v>
      </c>
    </row>
    <row r="2118" spans="1:5" ht="15" x14ac:dyDescent="0.25">
      <c r="A2118" s="5" t="s">
        <v>6009</v>
      </c>
      <c r="B2118" s="6" t="s">
        <v>6010</v>
      </c>
      <c r="C2118" s="3" t="str">
        <f ca="1">IFERROR(__xludf.DUMMYFUNCTION("GOOGLETRANSLATE(B2118,""auto"",""en"")"),"The technology of filling the audiovisual editing (e.g., the audiovisual editing of sports events), the purpose is to make the editing have a predetermined duration so that the editing of the editing filled by the machine learning (ML) algorithm is suitab"&amp;"le for viewers' interest. Uninterplocked editing is filled with audiovisual clips, which will cause the filling editing to have the level of interest in the audience. In some embodiments, the filled fragments are synthetic images generated by generating c"&amp;"onfrontation networks, so that synthetic images will have the same level of audience interest (such as judgment by the ML algorithm), as if the uninterrupted editing is shot longer.")</f>
        <v>The technology of filling the audiovisual editing (e.g., the audiovisual editing of sports events), the purpose is to make the editing have a predetermined duration so that the editing of the editing filled by the machine learning (ML) algorithm is suitable for viewers' interest. Uninterplocked editing is filled with audiovisual clips, which will cause the filling editing to have the level of interest in the audience. In some embodiments, the filled fragments are synthetic images generated by generating confrontation networks, so that synthetic images will have the same level of audience interest (such as judgment by the ML algorithm), as if the uninterrupted editing is shot longer.</v>
      </c>
      <c r="D2118" s="6" t="s">
        <v>6011</v>
      </c>
      <c r="E2118" s="4" t="str">
        <f ca="1">IFERROR(__xludf.DUMMYFUNCTION("GOOGLETRANSLATE(D2118,""auto"",""en"")"),"Dynamic audiovisual fragments used for machine learning")</f>
        <v>Dynamic audiovisual fragments used for machine learning</v>
      </c>
    </row>
    <row r="2119" spans="1:5" ht="15" x14ac:dyDescent="0.25">
      <c r="A2119" s="5" t="s">
        <v>6012</v>
      </c>
      <c r="B2119" s="6" t="s">
        <v>6013</v>
      </c>
      <c r="C2119" s="3" t="str">
        <f ca="1">IFERROR(__xludf.DUMMYFUNCTION("GOOGLETRANSLATE(B2119,""auto"",""en"")"),"The present invention discloses a high -level detection system and method based on the visual and deep learning. The video collection module is used to collect the video of the swimmers. The video processing module is used to remove the residual shadow, t"&amp;"arget recognition and target recognition and target recognition and The tracking module is used to perform target recognition and target tracking. Select the central point movement trajectory of the target as the target motion trajectory. The three -dimen"&amp;"sional coordinate recovery module is used to calculate the depth value corresponding to each trajectory point. The judgment module is used to fit all the collected trajectories. When the trajectory is parabolic, it is determined to mobilize the trajectory"&amp;" of water transportation. The height calculation module is used to calculate the highest point of the parabolic line and the lowest point as the height of the swimmers. The height detection system provided by the present invention can detect the accurate "&amp;"height of the swimmers throwing the water surface and provide an objective basis for the referee assessment action standards.")</f>
        <v>The present invention discloses a high -level detection system and method based on the visual and deep learning. The video collection module is used to collect the video of the swimmers. The video processing module is used to remove the residual shadow, target recognition and target recognition and target recognition and The tracking module is used to perform target recognition and target tracking. Select the central point movement trajectory of the target as the target motion trajectory. The three -dimensional coordinate recovery module is used to calculate the depth value corresponding to each trajectory point. The judgment module is used to fit all the collected trajectories. When the trajectory is parabolic, it is determined to mobilize the trajectory of water transportation. The height calculation module is used to calculate the highest point of the parabolic line and the lowest point as the height of the swimmers. The height detection system provided by the present invention can detect the accurate height of the swimmers throwing the water surface and provide an objective basis for the referee assessment action standards.</v>
      </c>
      <c r="D2119" s="6" t="s">
        <v>6014</v>
      </c>
      <c r="E2119" s="4" t="str">
        <f ca="1">IFERROR(__xludf.DUMMYFUNCTION("GOOGLETRANSLATE(D2119,""auto"",""en"")"),"The height detection system and method based")</f>
        <v>The height detection system and method based</v>
      </c>
    </row>
    <row r="2120" spans="1:5" ht="15" x14ac:dyDescent="0.25">
      <c r="A2120" s="5" t="s">
        <v>6015</v>
      </c>
      <c r="B2120" s="6" t="s">
        <v>6016</v>
      </c>
      <c r="C2120" s="3" t="str">
        <f ca="1">IFERROR(__xludf.DUMMYFUNCTION("GOOGLETRANSLATE(B2120,""auto"",""en"")"),"This application belongs to the field of robotics, and especially involves a football detection method, device, computer readable storage medium and robotics. The method of collecting the two -dimensional image and 3D cloud data of the target area through"&amp;" the deep camera collection of the robot; using the preset deep learning target detection model for football detection in the two -dimensional image, output football detection box and confidence; if The trust threshold that is greater than the preset trus"&amp;"t is determined by the three -dimensional point cloud data in the football detection box to determine the football position. Through the embodiment of this application, based on deep learning target detection technology and three -dimensional cloud techno"&amp;"logy, the advantages of two -dimensional image and three -dimensional point cloud data are fully combined. Even in the case of using lightweight models Rate.")</f>
        <v>This application belongs to the field of robotics, and especially involves a football detection method, device, computer readable storage medium and robotics. The method of collecting the two -dimensional image and 3D cloud data of the target area through the deep camera collection of the robot; using the preset deep learning target detection model for football detection in the two -dimensional image, output football detection box and confidence; if The trust threshold that is greater than the preset trust is determined by the three -dimensional point cloud data in the football detection box to determine the football position. Through the embodiment of this application, based on deep learning target detection technology and three -dimensional cloud technology, the advantages of two -dimensional image and three -dimensional point cloud data are fully combined. Even in the case of using lightweight models Rate.</v>
      </c>
      <c r="D2120" s="6" t="s">
        <v>5394</v>
      </c>
      <c r="E2120" s="4" t="str">
        <f ca="1">IFERROR(__xludf.DUMMYFUNCTION("GOOGLETRANSLATE(D2120,""auto"",""en"")"),"A football detection method, device, computer readable storage medium and robot")</f>
        <v>A football detection method, device, computer readable storage medium and robot</v>
      </c>
    </row>
    <row r="2121" spans="1:5" ht="15" x14ac:dyDescent="0.25">
      <c r="A2121" s="5" t="s">
        <v>6017</v>
      </c>
      <c r="B2121" s="6" t="s">
        <v>6018</v>
      </c>
      <c r="C2121" s="3" t="str">
        <f ca="1">IFERROR(__xludf.DUMMYFUNCTION("GOOGLETRANSLATE(B2121,""auto"",""en"")"),"Fantasy Bingo integrates traditional Bingo games and fantasy movements, replacing the Binguo Card's square into sports achievements, allowing players to unlock it through real -world performance. Examples described here generally involve systems, methods "&amp;"and equipment for improving the probability calculation related to fantasy sports using artificial intelligence and data science. For example, from 1980 to 2018, the NBA 3 -point attempt/field game increased from 2.8 times to 29 times! The artificial inte"&amp;"lligence system can dynamically adjust our probability calculation to the most suitable trend for sports. Fantasy Bingo can also be performed in multiple games based on accumulated statistics.")</f>
        <v>Fantasy Bingo integrates traditional Bingo games and fantasy movements, replacing the Binguo Card's square into sports achievements, allowing players to unlock it through real -world performance. Examples described here generally involve systems, methods and equipment for improving the probability calculation related to fantasy sports using artificial intelligence and data science. For example, from 1980 to 2018, the NBA 3 -point attempt/field game increased from 2.8 times to 29 times! The artificial intelligence system can dynamically adjust our probability calculation to the most suitable trend for sports. Fantasy Bingo can also be performed in multiple games based on accumulated statistics.</v>
      </c>
      <c r="D2121" s="6" t="s">
        <v>6019</v>
      </c>
      <c r="E2121" s="4" t="str">
        <f ca="1">IFERROR(__xludf.DUMMYFUNCTION("GOOGLETRANSLATE(D2121,""auto"",""en"")"),"Fantasy Bin Bin Fruit System based on data science and machine learning")</f>
        <v>Fantasy Bin Bin Fruit System based on data science and machine learning</v>
      </c>
    </row>
    <row r="2122" spans="1:5" ht="15" x14ac:dyDescent="0.25">
      <c r="A2122" s="5" t="s">
        <v>6020</v>
      </c>
      <c r="B2122" s="6" t="s">
        <v>6021</v>
      </c>
      <c r="C2122" s="3" t="str">
        <f ca="1">IFERROR(__xludf.DUMMYFUNCTION("GOOGLETRANSLATE(B2122,""auto"",""en"")"),"1. The name of the product in appearance: fitness mirror.
 2. The purpose of designing products in this exterior: for sports fitness and strength training. The intermediate screen is installed with a tablet computer. The tablet computer is pre -installe"&amp;"d on the human -machine interactive app, including regulating fitness parameters, playing fitness courses, and interactive entertainment.
 3. Design of the design of the product in appearance: lies in the shape and pattern of the product.
 4. Pictures"&amp;" or photos that can most indicate the design points: Refer to Figure 2 in use status.")</f>
        <v>1. The name of the product in appearance: fitness mirror.
 2. The purpose of designing products in this exterior: for sports fitness and strength training. The intermediate screen is installed with a tablet computer. The tablet computer is pre -installed on the human -machine interactive app, including regulating fitness parameters, playing fitness courses, and interactive entertainment.
 3. Design of the design of the product in appearance: lies in the shape and pattern of the product.
 4. Pictures or photos that can most indicate the design points: Refer to Figure 2 in use status.</v>
      </c>
      <c r="D2122" s="6" t="s">
        <v>6022</v>
      </c>
      <c r="E2122" s="4" t="str">
        <f ca="1">IFERROR(__xludf.DUMMYFUNCTION("GOOGLETRANSLATE(D2122,""auto"",""en"")"),"Fitness mirror")</f>
        <v>Fitness mirror</v>
      </c>
    </row>
    <row r="2123" spans="1:5" ht="15" x14ac:dyDescent="0.25">
      <c r="A2123" s="5" t="s">
        <v>6023</v>
      </c>
      <c r="B2123" s="6" t="s">
        <v>6024</v>
      </c>
      <c r="C2123" s="3" t="str">
        <f ca="1">IFERROR(__xludf.DUMMYFUNCTION("GOOGLETRANSLATE(B2123,""auto"",""en"")"),"A system used to generate physical activity sets for human objects. This system includes computing devices. The computing device is configured to detect signals from wearable fitness devices. Use activity machine learning model to determine the activity o"&amp;"verview of the activity. This signal, at least one body activity set, which further includes the use of the corresponding activity profile data from multiple human subjects to classify the activity overview of the activity. Training fitness machine-learni"&amp;"ng models using corresponding activity profile data, generating at least one physical activity set according to the activity profile data and fitness machine learning models, and using the following methods to generate an overview of the activity and at l"&amp;"east one body activity set.")</f>
        <v>A system used to generate physical activity sets for human objects. This system includes computing devices. The computing device is configured to detect signals from wearable fitness devices. Use activity machine learning model to determine the activity overview of the activity. This signal, at least one body activity set, which further includes the use of the corresponding activity profile data from multiple human subjects to classify the activity overview of the activity. Training fitness machine-learning models using corresponding activity profile data, generating at least one physical activity set according to the activity profile data and fitness machine learning models, and using the following methods to generate an overview of the activity and at least one body activity set.</v>
      </c>
      <c r="D2123" s="6" t="s">
        <v>6025</v>
      </c>
      <c r="E2123" s="4" t="str">
        <f ca="1">IFERROR(__xludf.DUMMYFUNCTION("GOOGLETRANSLATE(D2123,""auto"",""en"")"),"Methods and systems used to generate physical activity sets for human objects")</f>
        <v>Methods and systems used to generate physical activity sets for human objects</v>
      </c>
    </row>
    <row r="2124" spans="1:5" ht="15" x14ac:dyDescent="0.25">
      <c r="A2124" s="5" t="s">
        <v>6026</v>
      </c>
      <c r="B2124" s="6" t="s">
        <v>6027</v>
      </c>
      <c r="C2124" s="3" t="str">
        <f ca="1">IFERROR(__xludf.DUMMYFUNCTION("GOOGLETRANSLATE(B2124,""auto"",""en"")"),"1. The name of the product of the design of the product: The network problem -solving situation of the screen panel of the display screen panel.
 2. Design products in this exterior: used to display information.
 The display screen panel is used for c"&amp;"omputer or tablet display.
 3. Design of design products in this appearance: lies in the graphic user interface content in the screen, including equipment layout, topic layout, participating team image and team layout and interaction.
 4. Pictures or "&amp;"photos that can most indicate design points: main view.
 5. Do not involve design points, omit the back view, left view, right view, down -view view, upper view.
 6. The purpose of the graphical user interface: used to show the online problem solving "&amp;"situation of participating teams and contestants.
 7. Human -computer interaction method of graphics user interface: The main view is the graphic interface of the entire problem -solving mode, the middle area is the display of the equipment area and the"&amp;" topic, and the surrounding team is displayed. Countdown.
 In the lower right corner of the screen, the button to switch the camera can be displayed on the entire area and the team's movements. It can control the camera to move the camera through the sh"&amp;"ortcut key interaction and control the direction of the camera's perspective. Frequency of.
 When the camera moves to the diagonal above the corner of the region, the interface changes are changed; when the camera moves to the front of the area, the int"&amp;"erface changes are displayed. When the camera focuses on a certain question area, presents the interface change status Figure 4; when the team starts to solve the problem, when the camera moves to the front of the area, the interface changes are In a corn"&amp;"er of the area, the state of changes in the interface will be present; when the team is successfully solved, the interface changes state Figure 7.
 The text and content in the interface are only used to indicate the location of the content. The specific"&amp;" text or picture content is not the protection content of the design.")</f>
        <v>1. The name of the product of the design of the product: The network problem -solving situation of the screen panel of the display screen panel.
 2. Design products in this exterior: used to display information.
 The display screen panel is used for computer or tablet display.
 3. Design of design products in this appearance: lies in the graphic user interface content in the screen, including equipment layout, topic layout, participating team image and team layout and interaction.
 4. Pictures or photos that can most indicate design points: main view.
 5. Do not involve design points, omit the back view, left view, right view, down -view view, upper view.
 6. The purpose of the graphical user interface: used to show the online problem solving situation of participating teams and contestants.
 7. Human -computer interaction method of graphics user interface: The main view is the graphic interface of the entire problem -solving mode, the middle area is the display of the equipment area and the topic, and the surrounding team is displayed. Countdown.
 In the lower right corner of the screen, the button to switch the camera can be displayed on the entire area and the team's movements. It can control the camera to move the camera through the shortcut key interaction and control the direction of the camera's perspective. Frequency of.
 When the camera moves to the diagonal above the corner of the region, the interface changes are changed; when the camera moves to the front of the area, the interface changes are displayed. When the camera focuses on a certain question area, presents the interface change status Figure 4; when the team starts to solve the problem, when the camera moves to the front of the area, the interface changes are In a corner of the area, the state of changes in the interface will be present; when the team is successfully solved, the interface changes state Figure 7.
 The text and content in the interface are only used to indicate the location of the content. The specific text or picture content is not the protection content of the design.</v>
      </c>
      <c r="D2124" s="6" t="s">
        <v>6028</v>
      </c>
      <c r="E2124" s="4" t="str">
        <f ca="1">IFERROR(__xludf.DUMMYFUNCTION("GOOGLETRANSLATE(D2124,""auto"",""en"")"),"Display screen panel network problem -solving situation Graphical user interface")</f>
        <v>Display screen panel network problem -solving situation Graphical user interface</v>
      </c>
    </row>
    <row r="2125" spans="1:5" ht="15" x14ac:dyDescent="0.25">
      <c r="A2125" s="5" t="s">
        <v>6029</v>
      </c>
      <c r="B2125" s="6" t="s">
        <v>6030</v>
      </c>
      <c r="C2125" s="3" t="str">
        <f ca="1">IFERROR(__xludf.DUMMYFUNCTION("GOOGLETRANSLATE(B2125,""auto"",""en"")"),"This utility model provides a multi -functional protection system for treadmills, including: information verification module, physiological status detection module, information processing module, display module, wireless communication module, security ala"&amp;"rm module, air cushion protection module and audio entertainment module; information Verification modules are used to verify the user's identity information; the physiological state detection module is used to detect the user's physiological state; the in"&amp;"formation processing module includes microprocessors and memory; User identity information and air cushion protection modules are opened and closed; the wireless communication module includes the ZigBee receiving module and WiFi module; the security alarm"&amp;" module is used to alarm when the user's heart rate is too fast and falls; Including voice recognition units and music playback units, the audio and entertainment module is used to play music playback when users run. This utility model is highly available"&amp;" and has high security and diverse functions.")</f>
        <v>This utility model provides a multi -functional protection system for treadmills, including: information verification module, physiological status detection module, information processing module, display module, wireless communication module, security alarm module, air cushion protection module and audio entertainment module; information Verification modules are used to verify the user's identity information; the physiological state detection module is used to detect the user's physiological state; the information processing module includes microprocessors and memory; User identity information and air cushion protection modules are opened and closed; the wireless communication module includes the ZigBee receiving module and WiFi module; the security alarm module is used to alarm when the user's heart rate is too fast and falls; Including voice recognition units and music playback units, the audio and entertainment module is used to play music playback when users run. This utility model is highly available and has high security and diverse functions.</v>
      </c>
      <c r="D2125" s="6" t="s">
        <v>6031</v>
      </c>
      <c r="E2125" s="4" t="str">
        <f ca="1">IFERROR(__xludf.DUMMYFUNCTION("GOOGLETRANSLATE(D2125,""auto"",""en"")"),"A multi -functional protection system for a treadmill")</f>
        <v>A multi -functional protection system for a treadmill</v>
      </c>
    </row>
    <row r="2126" spans="1:5" ht="15" x14ac:dyDescent="0.25">
      <c r="A2126" s="5" t="s">
        <v>6032</v>
      </c>
      <c r="B2126" s="6" t="s">
        <v>6033</v>
      </c>
      <c r="C2126" s="3" t="str">
        <f ca="1">IFERROR(__xludf.DUMMYFUNCTION("GOOGLETRANSLATE(B2126,""auto"",""en"")"),"The present invention generally involves the analysis of neuropathy medical data, and specifically involves the process of providing effective data for back pain caused by physical activity and problems caused by neck pain. This process includes the follo"&amp;"wing steps: the user will input data related to the back and neck area into the mobile application interface; transmit the input data to the server for pre -processing; use the multi -classifier in the server Data processing data; use machine learning and"&amp;" data analysis technology to compare the input data with the pre -stored data stored in the server. Among them, the pre -stored data is related to medical reports with back pain and neck pain; And remedy suggestions; display reports to users on the screen"&amp;" of the mobile application interface.")</f>
        <v>The present invention generally involves the analysis of neuropathy medical data, and specifically involves the process of providing effective data for back pain caused by physical activity and problems caused by neck pain. This process includes the following steps: the user will input data related to the back and neck area into the mobile application interface; transmit the input data to the server for pre -processing; use the multi -classifier in the server Data processing data; use machine learning and data analysis technology to compare the input data with the pre -stored data stored in the server. Among them, the pre -stored data is related to medical reports with back pain and neck pain; And remedy suggestions; display reports to users on the screen of the mobile application interface.</v>
      </c>
      <c r="D2126" s="6" t="s">
        <v>6034</v>
      </c>
      <c r="E2126" s="4" t="str">
        <f ca="1">IFERROR(__xludf.DUMMYFUNCTION("GOOGLETRANSLATE(D2126,""auto"",""en"")"),"Provide a process of valid data about back pain and neck pain caused by sports activities")</f>
        <v>Provide a process of valid data about back pain and neck pain caused by sports activities</v>
      </c>
    </row>
    <row r="2127" spans="1:5" ht="15" x14ac:dyDescent="0.25">
      <c r="A2127" s="5" t="s">
        <v>6035</v>
      </c>
      <c r="B2127" s="6" t="s">
        <v>6036</v>
      </c>
      <c r="C2127" s="3" t="str">
        <f ca="1">IFERROR(__xludf.DUMMYFUNCTION("GOOGLETRANSLATE(B2127,""auto"",""en"")"),"The invention disclosed a basketball training analysis method, system and storage media. The analysis method of basketball training includes: real -time player stadium location data through ultra -broadband wireless communication positioning technology; c"&amp;"ollecting player attitude data through the RGB camera; and based on the player's stadium position data and player sports posture data formulate basketball training methods. The present invention obtains the player's stadium location data through the ultra"&amp;" -broadband wireless communication positioning technology and collects player attitude data through the RGB camera, and combines deep learning and machine vision technology to dig and analyze the data to establish a basketball tactical mathematical model."&amp;" The expert system predicts and analyzes the tactics of the players, so as to achieve the improvement of tactical execution, improve the basketball ability of players and teams, solve the problem of lack of technical support for basketball training, low t"&amp;"raining efficiency, and poor targetedness.")</f>
        <v>The invention disclosed a basketball training analysis method, system and storage media. The analysis method of basketball training includes: real -time player stadium location data through ultra -broadband wireless communication positioning technology; collecting player attitude data through the RGB camera; and based on the player's stadium position data and player sports posture data formulate basketball training methods. The present invention obtains the player's stadium location data through the ultra -broadband wireless communication positioning technology and collects player attitude data through the RGB camera, and combines deep learning and machine vision technology to dig and analyze the data to establish a basketball tactical mathematical model. The expert system predicts and analyzes the tactics of the players, so as to achieve the improvement of tactical execution, improve the basketball ability of players and teams, solve the problem of lack of technical support for basketball training, low training efficiency, and poor targetedness.</v>
      </c>
      <c r="D2127" s="6" t="s">
        <v>6037</v>
      </c>
      <c r="E2127" s="4" t="str">
        <f ca="1">IFERROR(__xludf.DUMMYFUNCTION("GOOGLETRANSLATE(D2127,""auto"",""en"")"),"A basketball training analysis method, system and storage medium")</f>
        <v>A basketball training analysis method, system and storage medium</v>
      </c>
    </row>
    <row r="2128" spans="1:5" ht="15" x14ac:dyDescent="0.25">
      <c r="A2128" s="5" t="s">
        <v>6038</v>
      </c>
      <c r="B2128" s="6" t="s">
        <v>6039</v>
      </c>
      <c r="C2128" s="3" t="str">
        <f ca="1">IFERROR(__xludf.DUMMYFUNCTION("GOOGLETRANSLATE(B2128,""auto"",""en"")"),"This article revealed the system and methods recommended by using artificial intelligence to provide strategic games in sports competitions. In one example, one method can include multiple sensors from multiple sensors distributed in the sports competitio"&amp;"n environment for a period of time, and generate unified visual representations of sports competitions. This method may include at least one player in identifying uniform visual representations and receiving strategies related to at least one player, wher"&amp;"e this strategy includes players' mobile information during the game event. In response to the location data of at least one player for a period of time, the game event is happening. This method can include a strategic game recommendation for at least one"&amp;" player to implement the strategy and minimize the encounter and game obstacles.")</f>
        <v>This article revealed the system and methods recommended by using artificial intelligence to provide strategic games in sports competitions. In one example, one method can include multiple sensors from multiple sensors distributed in the sports competition environment for a period of time, and generate unified visual representations of sports competitions. This method may include at least one player in identifying uniform visual representations and receiving strategies related to at least one player, where this strategy includes players' mobile information during the game event. In response to the location data of at least one player for a period of time, the game event is happening. This method can include a strategic game recommendation for at least one player to implement the strategy and minimize the encounter and game obstacles.</v>
      </c>
      <c r="D2128" s="6" t="s">
        <v>6040</v>
      </c>
      <c r="E2128" s="4" t="str">
        <f ca="1">IFERROR(__xludf.DUMMYFUNCTION("GOOGLETRANSLATE(D2128,""auto"",""en"")"),"Use artificial intelligence to provide strategic game recommended systems and methods in sports games")</f>
        <v>Use artificial intelligence to provide strategic game recommended systems and methods in sports games</v>
      </c>
    </row>
    <row r="2129" spans="1:5" ht="15" x14ac:dyDescent="0.25">
      <c r="A2129" s="5" t="s">
        <v>6041</v>
      </c>
      <c r="B2129" s="6" t="s">
        <v>6042</v>
      </c>
      <c r="C2129" s="3" t="str">
        <f ca="1">IFERROR(__xludf.DUMMYFUNCTION("GOOGLETRANSLATE(B2129,""auto"",""en"")"),"This utility model has disclosed a basketball training analysis system. The basketball training analysis system includes: Player Stadium location data acquisition module, player posture data acquisition module, data analysis module; the player stadium loc"&amp;"ation data acquisition module and the player posture data acquisition module connect to the data analysis module; The position data acquisition module of the player stadium includes: at least three ultra -broadband wireless communication base stations set"&amp;" by the basketball court, the ultra -broadband wireless communication label connected to the communication base station connected to the ultra -broadband wireless communication base station; the player posture data acquisition module includes: RGB Camera."&amp;" This utility model obtains the player's stadium location data in real time through the ultra -broadband wireless communication positioning technology, and collects player attitude data through the RGB camera, and combined with deep learning and machine v"&amp;"ision technology to dig and analyze data, solve the lack of technical support for basketball training, low training efficiency, low training efficiency , Targeting is not strong.")</f>
        <v>This utility model has disclosed a basketball training analysis system. The basketball training analysis system includes: Player Stadium location data acquisition module, player posture data acquisition module, data analysis module; the player stadium location data acquisition module and the player posture data acquisition module connect to the data analysis module; The position data acquisition module of the player stadium includes: at least three ultra -broadband wireless communication base stations set by the basketball court, the ultra -broadband wireless communication label connected to the communication base station connected to the ultra -broadband wireless communication base station; the player posture data acquisition module includes: RGB Camera. This utility model obtains the player's stadium location data in real time through the ultra -broadband wireless communication positioning technology, and collects player attitude data through the RGB camera, and combined with deep learning and machine vision technology to dig and analyze data, solve the lack of technical support for basketball training, low training efficiency, low training efficiency , Targeting is not strong.</v>
      </c>
      <c r="D2129" s="6" t="s">
        <v>6043</v>
      </c>
      <c r="E2129" s="4" t="str">
        <f ca="1">IFERROR(__xludf.DUMMYFUNCTION("GOOGLETRANSLATE(D2129,""auto"",""en"")"),"A basketball training analysis system")</f>
        <v>A basketball training analysis system</v>
      </c>
    </row>
    <row r="2130" spans="1:5" ht="15" x14ac:dyDescent="0.25">
      <c r="A2130" s="5" t="s">
        <v>6044</v>
      </c>
      <c r="B2130" s="6" t="s">
        <v>6045</v>
      </c>
      <c r="C2130" s="3" t="str">
        <f ca="1">IFERROR(__xludf.DUMMYFUNCTION("GOOGLETRANSLATE(B2130,""auto"",""en"")"),"The present invention has disclosed a manifestation of students in the field of theory, practice, behavior, sports, cultural activities, and life skills learning, thereby improving the guidance system for personal life. The feedback system can more accura"&amp;"tely generate feedback, so as to easily identify students' weaknesses and fields of advantages in the advantages areas can understand students from the perspective of all relevant interests, thereby generating rating in the improvement field. Training and"&amp;" guidance) cycle to solve the ability of weak links. The system uses artificial intelligence methods to recommend mentors in the theoretical, practical, behavioral, sports, cultural activities and living skills fields, and automatically distribute the men"&amp;"tor to the mentor, monitor the progress and propose corrective measures when needed.")</f>
        <v>The present invention has disclosed a manifestation of students in the field of theory, practice, behavior, sports, cultural activities, and life skills learning, thereby improving the guidance system for personal life. The feedback system can more accurately generate feedback, so as to easily identify students' weaknesses and fields of advantages in the advantages areas can understand students from the perspective of all relevant interests, thereby generating rating in the improvement field. Training and guidance) cycle to solve the ability of weak links. The system uses artificial intelligence methods to recommend mentors in the theoretical, practical, behavioral, sports, cultural activities and living skills fields, and automatically distribute the mentor to the mentor, monitor the progress and propose corrective measures when needed.</v>
      </c>
      <c r="D2130" s="6" t="s">
        <v>6046</v>
      </c>
      <c r="E2130" s="4" t="str">
        <f ca="1">IFERROR(__xludf.DUMMYFUNCTION("GOOGLETRANSLATE(D2130,""auto"",""en"")"),"Use artificial intelligence to guide students to optimize scoring cards and methods")</f>
        <v>Use artificial intelligence to guide students to optimize scoring cards and methods</v>
      </c>
    </row>
    <row r="2131" spans="1:5" ht="15" x14ac:dyDescent="0.25">
      <c r="A2131" s="5" t="s">
        <v>6047</v>
      </c>
      <c r="B2131" s="6" t="s">
        <v>6048</v>
      </c>
      <c r="C2131" s="3" t="str">
        <f ca="1">IFERROR(__xludf.DUMMYFUNCTION("GOOGLETRANSLATE(B2131,""auto"",""en"")"),"The present invention announced a large -scale sports event management system based on artificial intelligence technology, including collecting modules, storage modules, automatic catalog modules, retrieval modules, and collecting modules. The useful effe"&amp;"ct of the technical solution of the present invention is that this technical solution can generate a variety of video collection that transitions naturally; automatically generates the mark of accurate video frame image, and matches based on the label and"&amp;" automatic index directory to retrieve the corresponding video This facilitates the broadcast of sports events globally, news reports, and direct viewing of the audience, saving the later human resources and material resources, and reduced the overall cos"&amp;"t.")</f>
        <v>The present invention announced a large -scale sports event management system based on artificial intelligence technology, including collecting modules, storage modules, automatic catalog modules, retrieval modules, and collecting modules. The useful effect of the technical solution of the present invention is that this technical solution can generate a variety of video collection that transitions naturally; automatically generates the mark of accurate video frame image, and matches based on the label and automatic index directory to retrieve the corresponding video This facilitates the broadcast of sports events globally, news reports, and direct viewing of the audience, saving the later human resources and material resources, and reduced the overall cost.</v>
      </c>
      <c r="D2131" s="6" t="s">
        <v>6049</v>
      </c>
      <c r="E2131" s="4" t="str">
        <f ca="1">IFERROR(__xludf.DUMMYFUNCTION("GOOGLETRANSLATE(D2131,""auto"",""en"")"),"A large sports event content management system based on artificial intelligence technology")</f>
        <v>A large sports event content management system based on artificial intelligence technology</v>
      </c>
    </row>
    <row r="2132" spans="1:5" ht="15" x14ac:dyDescent="0.25">
      <c r="A2132" s="5" t="s">
        <v>6050</v>
      </c>
      <c r="B2132" s="6" t="s">
        <v>6051</v>
      </c>
      <c r="C2132" s="3" t="str">
        <f ca="1">IFERROR(__xludf.DUMMYFUNCTION("GOOGLETRANSLATE(B2132,""auto"",""en"")"),"This application discloses an action classification method, device, computing equipment, and storage media. The method includes: using convolutional neural networks to extract feature data input image image extraction; select the optimal deep feature data"&amp;" of time domain; calculate the difference in loss; During the training process of convolutional neural networks; using the convolutional neural network to complete the training to classify the athlete movement of the athletes in the video. The device incl"&amp;"udes extraction modules, selecting modules, calculating modules, training modules and classification modules. The computing device includes a computer program where the memory, processor, and storage are stored in the memory and can run by the processor c"&amp;"an implement the method described in this application when the processor executes the computer program. There is a computer program for storage of the storage medium, which implements the method described in this application when the processor executes.")</f>
        <v>This application discloses an action classification method, device, computing equipment, and storage media. The method includes: using convolutional neural networks to extract feature data input image image extraction; select the optimal deep feature data of time domain; calculate the difference in loss; During the training process of convolutional neural networks; using the convolutional neural network to complete the training to classify the athlete movement of the athletes in the video. The device includes extraction modules, selecting modules, calculating modules, training modules and classification modules. The computing device includes a computer program where the memory, processor, and storage are stored in the memory and can run by the processor can implement the method described in this application when the processor executes the computer program. There is a computer program for storage of the storage medium, which implements the method described in this application when the processor executes.</v>
      </c>
      <c r="D2132" s="6" t="s">
        <v>6052</v>
      </c>
      <c r="E2132" s="4" t="str">
        <f ca="1">IFERROR(__xludf.DUMMYFUNCTION("GOOGLETRANSLATE(D2132,""auto"",""en"")"),"An action classification method, device, computing equipment, and storage medium")</f>
        <v>An action classification method, device, computing equipment, and storage medium</v>
      </c>
    </row>
    <row r="2133" spans="1:5" ht="15" x14ac:dyDescent="0.25">
      <c r="A2133" s="5" t="s">
        <v>6053</v>
      </c>
      <c r="B2133" s="6" t="s">
        <v>6054</v>
      </c>
      <c r="C2133" s="3" t="str">
        <f ca="1">IFERROR(__xludf.DUMMYFUNCTION("GOOGLETRANSLATE(B2133,""auto"",""en"")"),"Examples of the present invention disclose a method of obtaining the data acquisition of e -sports competitions based on image recognition. The main steps are the live video of loading competitions. The self -adjustment algorithm intercepts the game scree"&amp;"n and inserts into the identification queue. Import image classification feature data, reference image classification algorithms, and obtain the game scene screen from the to identification queue and classify. Extract algorithms with competition character"&amp;"istic areas to extract and generate scene characteristics data. Import scene characteristics data, display all scene pictures, edit scene names and frame drawing scenarios to identify content information, and save it as scenario configuration and identifi"&amp;"cation content configuration. Import scene configuration data, identify the name of the competition scene, import and identify content configuration, identify all the content within the scenario, and output identification data according to the editing con"&amp;"figuration format. Using a present invention can easily extract useful data information from the video data of the e -sports competition.")</f>
        <v>Examples of the present invention disclose a method of obtaining the data acquisition of e -sports competitions based on image recognition. The main steps are the live video of loading competitions. The self -adjustment algorithm intercepts the game screen and inserts into the identification queue. Import image classification feature data, reference image classification algorithms, and obtain the game scene screen from the to identification queue and classify. Extract algorithms with competition characteristic areas to extract and generate scene characteristics data. Import scene characteristics data, display all scene pictures, edit scene names and frame drawing scenarios to identify content information, and save it as scenario configuration and identification content configuration. Import scene configuration data, identify the name of the competition scene, import and identify content configuration, identify all the content within the scenario, and output identification data according to the editing configuration format. Using a present invention can easily extract useful data information from the video data of the e -sports competition.</v>
      </c>
      <c r="D2133" s="6" t="s">
        <v>6055</v>
      </c>
      <c r="E2133" s="4" t="str">
        <f ca="1">IFERROR(__xludf.DUMMYFUNCTION("GOOGLETRANSLATE(D2133,""auto"",""en"")"),"A method of obtaining the data acquisition of e -sports competitions based on image recognition")</f>
        <v>A method of obtaining the data acquisition of e -sports competitions based on image recognition</v>
      </c>
    </row>
    <row r="2134" spans="1:5" ht="15" x14ac:dyDescent="0.25">
      <c r="A2134" s="5" t="s">
        <v>6056</v>
      </c>
      <c r="B2134" s="6" t="s">
        <v>6057</v>
      </c>
      <c r="C2134" s="3" t="str">
        <f ca="1">IFERROR(__xludf.DUMMYFUNCTION("GOOGLETRANSLATE(B2134,""auto"",""en"")"),"1. The name of the product in appearance: setting and guiding graphic user interface for display screen panels.
 2. The purpose of designing products in this exterior: The design of the product in this exterior is used for the interaction and display of"&amp;" the display screen panel of mobile phones, computers, tablets, lower limb training machines, and fitness equipment.
 3. Design of the design of the product in this appearance: lies in the interface content of functional parameters in the display screen"&amp;" panel and guiding the dynamic graphic user interface.
 4. Pictures or photos that can best show design points: Figure 3 of the interface change state.
 5. Do not involve design points, omit the rear view, left view, right view, downward view, and ret"&amp;"ry view.
 6. The purpose of the graphical user interface: lies in functional parameters setting and guiding dynamic graphic user interface.
 7. Human -computer interaction method of graphical user interface: The main view is the initial interface.
 "&amp;"The interface change state Figure 1 shows a cross -section menu when the user clicks one of the main views to select one of the main views for users to select the function of the operating menu display.
 The interface change state Figure 2 Display a str"&amp;"aight strip selection bill when the user clicks another button for selecting the main view, for users to click the function of the operating menu display.
 The interface change state Figure 3 Displays a cross -strip menu and the open straight order sele"&amp;"ction bill when the user clicks multiple buttons of the main view to select the function displayed by the operating menu display.
 The interface change state Figure 4 Display the color of the footprints according to the user status when used.")</f>
        <v>1. The name of the product in appearance: setting and guiding graphic user interface for display screen panels.
 2. The purpose of designing products in this exterior: The design of the product in this exterior is used for the interaction and display of the display screen panel of mobile phones, computers, tablets, lower limb training machines, and fitness equipment.
 3. Design of the design of the product in this appearance: lies in the interface content of functional parameters in the display screen panel and guiding the dynamic graphic user interface.
 4. Pictures or photos that can best show design points: Figure 3 of the interface change state.
 5. Do not involve design points, omit the rear view, left view, right view, downward view, and retry view.
 6. The purpose of the graphical user interface: lies in functional parameters setting and guiding dynamic graphic user interface.
 7. Human -computer interaction method of graphical user interface: The main view is the initial interface.
 The interface change state Figure 1 shows a cross -section menu when the user clicks one of the main views to select one of the main views for users to select the function of the operating menu display.
 The interface change state Figure 2 Display a straight strip selection bill when the user clicks another button for selecting the main view, for users to click the function of the operating menu display.
 The interface change state Figure 3 Displays a cross -strip menu and the open straight order selection bill when the user clicks multiple buttons of the main view to select the function displayed by the operating menu display.
 The interface change state Figure 4 Display the color of the footprints according to the user status when used.</v>
      </c>
      <c r="D2134" s="6" t="s">
        <v>6058</v>
      </c>
      <c r="E2134" s="4" t="str">
        <f ca="1">IFERROR(__xludf.DUMMYFUNCTION("GOOGLETRANSLATE(D2134,""auto"",""en"")"),"Settings and guidance graphics user interface of display screen panel")</f>
        <v>Settings and guidance graphics user interface of display screen panel</v>
      </c>
    </row>
    <row r="2135" spans="1:5" ht="15" x14ac:dyDescent="0.25">
      <c r="A2135" s="5" t="s">
        <v>6059</v>
      </c>
      <c r="B2135" s="6" t="s">
        <v>6060</v>
      </c>
      <c r="C2135" s="3" t="str">
        <f ca="1">IFERROR(__xludf.DUMMYFUNCTION("GOOGLETRANSLATE(B2135,""auto"",""en"")"),"The invention provides a way to evaluate the degree of adaptation of the new player and team of the basketball league, including the following steps: S10 gets the configuration parameter S1 of the new player A, set the number of players in the same type o"&amp;"f player A. When m] [2,5], S1 = 0.3, otherwise, S1 = 0; S20 obtains the parameter S2 of the new player A, and uses a neural network model to classify the new player A. When S2 = 0.4, when the player type is generally in line, S2 = 0.2, when the player typ"&amp;"e is not in line with S2 = 0; the S30 obtains the performance parameter S3, the performance stable output is S3 = 0.3, otherwise S3 = 0; and S40ST value The higher the more adaptation of the new player to the team, the ST = S1+S2+S3. A method of evaluatin"&amp;"g the degree of adaptation of the new player and team of the basketball league in the present invention, using adaptive parameter ST to evaluate the degree of adaptation of new players and teams than artificial evaluations, more objective, accurate, authe"&amp;"ntic, and practical. Choose a new player with a high degree of adaptation.")</f>
        <v>The invention provides a way to evaluate the degree of adaptation of the new player and team of the basketball league, including the following steps: S10 gets the configuration parameter S1 of the new player A, set the number of players in the same type of player A. When m] [2,5], S1 = 0.3, otherwise, S1 = 0; S20 obtains the parameter S2 of the new player A, and uses a neural network model to classify the new player A. When S2 = 0.4, when the player type is generally in line, S2 = 0.2, when the player type is not in line with S2 = 0; the S30 obtains the performance parameter S3, the performance stable output is S3 = 0.3, otherwise S3 = 0; and S40ST value The higher the more adaptation of the new player to the team, the ST = S1+S2+S3. A method of evaluating the degree of adaptation of the new player and team of the basketball league in the present invention, using adaptive parameter ST to evaluate the degree of adaptation of new players and teams than artificial evaluations, more objective, accurate, authentic, and practical. Choose a new player with a high degree of adaptation.</v>
      </c>
      <c r="D2135" s="6" t="s">
        <v>6061</v>
      </c>
      <c r="E2135" s="4" t="str">
        <f ca="1">IFERROR(__xludf.DUMMYFUNCTION("GOOGLETRANSLATE(D2135,""auto"",""en"")"),"A way to evaluate the degree of adaptation of basketball league players and teams")</f>
        <v>A way to evaluate the degree of adaptation of basketball league players and teams</v>
      </c>
    </row>
    <row r="2136" spans="1:5" ht="15" x14ac:dyDescent="0.25">
      <c r="A2136" s="5" t="s">
        <v>6062</v>
      </c>
      <c r="B2136" s="6" t="s">
        <v>6063</v>
      </c>
      <c r="C2136" s="3" t="str">
        <f ca="1">IFERROR(__xludf.DUMMYFUNCTION("GOOGLETRANSLATE(B2136,""auto"",""en"")"),"1. Design product name: The system operates graphic user interface for the treadmill.
 2. Design product use in this exterior: By operating the speed of the treadmill, the user's passive running or walking is used to achieve the purpose of user exercise"&amp;".
 3. Design of design products in this exterior: The content and layout of the graphic user interface.
 4. Pictures or photos that can most indicate the point of design: Reference diagram of the status of the main interface.
 5. Because the treadmi"&amp;"ll is designed for the existing design, the rear view is omitted; because the treadmill is designed for the existing design, the left view is omitted; because the treadmill is designed with the existing design, the right view is The treadmill is designed "&amp;"for the existing, omitting the view.
 6. The purpose of the graphical user interface: Provide an operating interface for users to operate on the operating interface.
 7. Human -computer interaction method of graphic user interface: The reference diagr"&amp;"am of the main interface interface is the interactive interface, click the smart running button of the main interface reference diagram to change to the interface change state Figure 1, click the changing state of the interface to change The interface cha"&amp;"nges state Figure 2, click the interface change state of the heart rate control speed button at Figure 2, and then click to start (start) change to the interface change state Figure 3, click the speed button of the interface changes to The real -view mode"&amp;" button of the visual interface reference diagram changes to the interface change state Figure 5 (interface change state Figure 5 belongs to the variable content screen, you can refer to the interface 5 reference map), click the multimedia button of the r"&amp;"eference diagram of the main interface to change to the change to the change to the change to the change to the change to the change to the change to the change to the change to the change to the change to the change to the change to the change of the int"&amp;"erface. Figure 6 of the interface change state, click the system setting button of the reference diagram of the main interface interface to change to the interface change state Figure 7.")</f>
        <v>1. Design product name: The system operates graphic user interface for the treadmill.
 2. Design product use in this exterior: By operating the speed of the treadmill, the user's passive running or walking is used to achieve the purpose of user exercise.
 3. Design of design products in this exterior: The content and layout of the graphic user interface.
 4. Pictures or photos that can most indicate the point of design: Reference diagram of the status of the main interface.
 5. Because the treadmill is designed for the existing design, the rear view is omitted; because the treadmill is designed for the existing design, the left view is omitted; because the treadmill is designed with the existing design, the right view is The treadmill is designed for the existing, omitting the view.
 6. The purpose of the graphical user interface: Provide an operating interface for users to operate on the operating interface.
 7. Human -computer interaction method of graphic user interface: The reference diagram of the main interface interface is the interactive interface, click the smart running button of the main interface reference diagram to change to the interface change state Figure 1, click the changing state of the interface to change The interface changes state Figure 2, click the interface change state of the heart rate control speed button at Figure 2, and then click to start (start) change to the interface change state Figure 3, click the speed button of the interface changes to The real -view mode button of the visual interface reference diagram changes to the interface change state Figure 5 (interface change state Figure 5 belongs to the variable content screen, you can refer to the interface 5 reference map), click the multimedia button of the reference diagram of the main interface to change to the change to the change to the change to the change to the change to the change to the change to the change to the change to the change to the change to the change to the change to the change of the interface. Figure 6 of the interface change state, click the system setting button of the reference diagram of the main interface interface to change to the interface change state Figure 7.</v>
      </c>
      <c r="D2136" s="6" t="s">
        <v>6064</v>
      </c>
      <c r="E2136" s="4" t="str">
        <f ca="1">IFERROR(__xludf.DUMMYFUNCTION("GOOGLETRANSLATE(D2136,""auto"",""en"")"),"System operation graphics user interface used for treadmills")</f>
        <v>System operation graphics user interface used for treadmills</v>
      </c>
    </row>
    <row r="2137" spans="1:5" ht="15" x14ac:dyDescent="0.25">
      <c r="A2137" s="5" t="s">
        <v>6065</v>
      </c>
      <c r="B2137" s="6" t="s">
        <v>6066</v>
      </c>
      <c r="C2137" s="3" t="str">
        <f ca="1">IFERROR(__xludf.DUMMYFUNCTION("GOOGLETRANSLATE(B2137,""auto"",""en"")"),"1. Design product name: The system operates graphic user interface for the treadmill.
 2. Design product use in this exterior: By operating the speed of the treadmill, the user's passive running or walking is used to achieve the purpose of user exercise"&amp;".
 3. Design of design products in this exterior: The content and layout of the graphic user interface.
 4. Pictures or photos that can most indicate the point of design: Reference diagram of the status of the main interface.
 5. Because the treadmi"&amp;"ll is designed for the existing design, the rear view is omitted; because the treadmill is designed for the existing design, the left view is omitted; because the treadmill is designed with the existing design, the right view is The treadmill is designed "&amp;"for the existing, omitting the view.
 6. The purpose of the graphical user interface: Provide an operating interface for users to operate on the operating interface.
 7. Human -computer interaction method of graphical user interface: The reference dia"&amp;"gram of the main interface is the interactive interface, click the smart running button of the main vision interface reference map to change to the interface change state Figure 1, click the interface changes to the default program button changes in Figur"&amp;"e 1 Until the interface change state Figure 2, click the interface change state Figure 2 The heart rate control speed button changes to the interface change state Figure 3, click the changes of the interface change state Figure 3 to change to the interfac"&amp;"e change state diagram 4, click on the main visual interface reference diagram of the interface interface. The user center button changes to the interface change state diagram 5, click the multimedia buttons of the main interface reference diagram to chan"&amp;"ge to the interface change state diagram 6, click the real -view mode button of the main interface reference diagram to the interface change state diagram 7 (interface change state diagram diagram diagram 7 The gray background part is a variable content p"&amp;"icture, specific reference interface 7 reference map), click the setting button (gear shape) of the reference diagram of the main interface interface to the change state of the interface changes. 8.")</f>
        <v>1. Design product name: The system operates graphic user interface for the treadmill.
 2. Design product use in this exterior: By operating the speed of the treadmill, the user's passive running or walking is used to achieve the purpose of user exercise.
 3. Design of design products in this exterior: The content and layout of the graphic user interface.
 4. Pictures or photos that can most indicate the point of design: Reference diagram of the status of the main interface.
 5. Because the treadmill is designed for the existing design, the rear view is omitted; because the treadmill is designed for the existing design, the left view is omitted; because the treadmill is designed with the existing design, the right view is The treadmill is designed for the existing, omitting the view.
 6. The purpose of the graphical user interface: Provide an operating interface for users to operate on the operating interface.
 7. Human -computer interaction method of graphical user interface: The reference diagram of the main interface is the interactive interface, click the smart running button of the main vision interface reference map to change to the interface change state Figure 1, click the interface changes to the default program button changes in Figure 1 Until the interface change state Figure 2, click the interface change state Figure 2 The heart rate control speed button changes to the interface change state Figure 3, click the changes of the interface change state Figure 3 to change to the interface change state diagram 4, click on the main visual interface reference diagram of the interface interface. The user center button changes to the interface change state diagram 5, click the multimedia buttons of the main interface reference diagram to change to the interface change state diagram 6, click the real -view mode button of the main interface reference diagram to the interface change state diagram 7 (interface change state diagram diagram diagram 7 The gray background part is a variable content picture, specific reference interface 7 reference map), click the setting button (gear shape) of the reference diagram of the main interface interface to the change state of the interface changes. 8.</v>
      </c>
      <c r="D2137" s="6" t="s">
        <v>6064</v>
      </c>
      <c r="E2137" s="4" t="str">
        <f ca="1">IFERROR(__xludf.DUMMYFUNCTION("GOOGLETRANSLATE(D2137,""auto"",""en"")"),"System operation graphics user interface used for treadmills")</f>
        <v>System operation graphics user interface used for treadmills</v>
      </c>
    </row>
    <row r="2138" spans="1:5" ht="15" x14ac:dyDescent="0.25">
      <c r="A2138" s="5" t="s">
        <v>6067</v>
      </c>
      <c r="B2138" s="6" t="s">
        <v>6068</v>
      </c>
      <c r="C2138" s="3" t="str">
        <f ca="1">IFERROR(__xludf.DUMMYFUNCTION("GOOGLETRANSLATE(B2138,""auto"",""en"")"),"This utility model opens an artificial intelligence medical rehabilitation device, including a runner body, which is set up with a lifting mechanism on both sides of the runner body. There is a face recognition device on the control panel, which is connec"&amp;"ted to the face recognition device with the signaling mechanism of the human face recognition device. The function automatically adjusts the height of the patient's height to control the height of the control panel and handrail. It does not require the pa"&amp;"tient to adjust, and it is in line with the intelligent era. It can more intelligent adjustment of equipment height, achieve adaptive purpose, simple structure and convenient use.")</f>
        <v>This utility model opens an artificial intelligence medical rehabilitation device, including a runner body, which is set up with a lifting mechanism on both sides of the runner body. There is a face recognition device on the control panel, which is connected to the face recognition device with the signaling mechanism of the human face recognition device. The function automatically adjusts the height of the patient's height to control the height of the control panel and handrail. It does not require the patient to adjust, and it is in line with the intelligent era. It can more intelligent adjustment of equipment height, achieve adaptive purpose, simple structure and convenient use.</v>
      </c>
      <c r="D2138" s="6" t="s">
        <v>6069</v>
      </c>
      <c r="E2138" s="4" t="str">
        <f ca="1">IFERROR(__xludf.DUMMYFUNCTION("GOOGLETRANSLATE(D2138,""auto"",""en"")"),"A kind of artificial intelligence medical rehabilitation equipment")</f>
        <v>A kind of artificial intelligence medical rehabilitation equipment</v>
      </c>
    </row>
    <row r="2139" spans="1:5" ht="15" x14ac:dyDescent="0.25">
      <c r="A2139" s="5" t="s">
        <v>6070</v>
      </c>
      <c r="B2139" s="6" t="s">
        <v>6071</v>
      </c>
      <c r="C2139" s="3" t="str">
        <f ca="1">IFERROR(__xludf.DUMMYFUNCTION("GOOGLETRANSLATE(B2139,""auto"",""en"")"),"The present invention proposes a sports event monitoring system based on the Internet of Things. In addition, the invention proposes a Sports competition monitoring system based on the Internet of Things, which can be regarded as the grafting of the fourt"&amp;"h industry technology to the sports competition monitoring technology.")</f>
        <v>The present invention proposes a sports event monitoring system based on the Internet of Things. In addition, the invention proposes a Sports competition monitoring system based on the Internet of Things, which can be regarded as the grafting of the fourth industry technology to the sports competition monitoring technology.</v>
      </c>
      <c r="D2139" s="6" t="s">
        <v>6072</v>
      </c>
      <c r="E2139" s="4" t="str">
        <f ca="1">IFERROR(__xludf.DUMMYFUNCTION("GOOGLETRANSLATE(D2139,""auto"",""en"")"),"Sport monitoring system based on the Internet of Things")</f>
        <v>Sport monitoring system based on the Internet of Things</v>
      </c>
    </row>
    <row r="2140" spans="1:5" ht="15" x14ac:dyDescent="0.25">
      <c r="A2140" s="5" t="s">
        <v>6073</v>
      </c>
      <c r="B2140" s="6" t="s">
        <v>3102</v>
      </c>
      <c r="C2140" s="3" t="str">
        <f ca="1">IFERROR(__xludf.DUMMYFUNCTION("GOOGLETRANSLATE(B2140,""auto"",""en"")"),"A system for identifying and timing athletes in time sports events. The athletes use image recognition technology to timing the athletes. Among them, one or more images (106 A, 106 B, or 106 C) taken by athletes taken by cameras during the sports event ha"&amp;"ve a time stamp to generate the time for the athletes. By comparing one of the images that will be taken during the sports event, the athlete is compared with the athlete's personal data image.")</f>
        <v>A system for identifying and timing athletes in time sports events. The athletes use image recognition technology to timing the athletes. Among them, one or more images (106 A, 106 B, or 106 C) taken by athletes taken by cameras during the sports event have a time stamp to generate the time for the athletes. By comparing one of the images that will be taken during the sports event, the athlete is compared with the athlete's personal data image.</v>
      </c>
      <c r="D2140" s="6" t="s">
        <v>6074</v>
      </c>
      <c r="E2140" s="4" t="str">
        <f ca="1">IFERROR(__xludf.DUMMYFUNCTION("GOOGLETRANSLATE(D2140,""auto"",""en"")"),"Event with foot recognition timing and photography system")</f>
        <v>Event with foot recognition timing and photography system</v>
      </c>
    </row>
    <row r="2141" spans="1:5" ht="15" x14ac:dyDescent="0.25">
      <c r="A2141" s="5" t="s">
        <v>6075</v>
      </c>
      <c r="B2141" s="6" t="s">
        <v>6076</v>
      </c>
      <c r="C2141" s="3" t="str">
        <f ca="1">IFERROR(__xludf.DUMMYFUNCTION("GOOGLETRANSLATE(B2141,""auto"",""en"")"),"An artificial intelligence device for cleaning the running shift tracked by the present invention, including the chassis, has a fixed rod on the upper side of the chassis. There is a running cavity that is opened up, and the rotating connection in the bac"&amp;"k wall of the running cavity is connected with a right -band wheel axis. The left -band shaft on the left side of the roller shaft, which is fixed on the left strap wheels with a left band wheel. Compared with traditional treadmills, the invention can fir"&amp;"st drive the invention to drive the screw rotation through the cylinder to drive the cleaning box to drive the cleaning box. Move the treadmill tracket front and back. In addition, the water pipe in the cleaning box can tighten and release the water pipe "&amp;"to protect the water pipe, prevent the water pipe from shortening the life due to random winding.")</f>
        <v>An artificial intelligence device for cleaning the running shift tracked by the present invention, including the chassis, has a fixed rod on the upper side of the chassis. There is a running cavity that is opened up, and the rotating connection in the back wall of the running cavity is connected with a right -band wheel axis. The left -band shaft on the left side of the roller shaft, which is fixed on the left strap wheels with a left band wheel. Compared with traditional treadmills, the invention can first drive the invention to drive the screw rotation through the cylinder to drive the cleaning box to drive the cleaning box. Move the treadmill tracket front and back. In addition, the water pipe in the cleaning box can tighten and release the water pipe to protect the water pipe, prevent the water pipe from shortening the life due to random winding.</v>
      </c>
      <c r="D2141" s="6" t="s">
        <v>6077</v>
      </c>
      <c r="E2141" s="4" t="str">
        <f ca="1">IFERROR(__xludf.DUMMYFUNCTION("GOOGLETRANSLATE(D2141,""auto"",""en"")"),"A artificial intelligence device for cleaning the track track")</f>
        <v>A artificial intelligence device for cleaning the track track</v>
      </c>
    </row>
    <row r="2142" spans="1:5" ht="15" x14ac:dyDescent="0.25">
      <c r="A2142" s="5" t="s">
        <v>6078</v>
      </c>
      <c r="B2142" s="6" t="s">
        <v>2319</v>
      </c>
      <c r="C2142" s="3" t="str">
        <f ca="1">IFERROR(__xludf.DUMMYFUNCTION("GOOGLETRANSLATE(B2142,""auto"",""en"")"),"Use two or more cameras to track the path and/or direction of the athlete's objects. Use at least two sets of images with at least two different cameras with different positions. Identify the motion area in the image and identify the candidate position in"&amp;" the two -dimensional space of the object in the motion area. Based on this, the possible position of the recognition part in the 3D space is recognized and used for each of the multiple moments in the nearby period. At least the 3D trajectory of the segm"&amp;"ented 3D trajectory of the object can be approximately similar in the 3D space of the athlete's multiple instantaneous 3D space. The graphic of the 3D trajectory of the object is merged into at least one set of images.")</f>
        <v>Use two or more cameras to track the path and/or direction of the athlete's objects. Use at least two sets of images with at least two different cameras with different positions. Identify the motion area in the image and identify the candidate position in the two -dimensional space of the object in the motion area. Based on this, the possible position of the recognition part in the 3D space is recognized and used for each of the multiple moments in the nearby period. At least the 3D trajectory of the segmented 3D trajectory of the object can be approximately similar in the 3D space of the athlete's multiple instantaneous 3D space. The graphic of the 3D trajectory of the object is merged into at least one set of images.</v>
      </c>
      <c r="D2142" s="6" t="s">
        <v>2320</v>
      </c>
      <c r="E2142" s="4" t="str">
        <f ca="1">IFERROR(__xludf.DUMMYFUNCTION("GOOGLETRANSLATE(D2142,""auto"",""en"")"),"Use a computer visual tracking handheld sports appliance")</f>
        <v>Use a computer visual tracking handheld sports appliance</v>
      </c>
    </row>
    <row r="2143" spans="1:5" ht="15" x14ac:dyDescent="0.25">
      <c r="A2143" s="5" t="s">
        <v>6079</v>
      </c>
      <c r="B2143" s="6" t="s">
        <v>6080</v>
      </c>
      <c r="C2143" s="3" t="str">
        <f ca="1">IFERROR(__xludf.DUMMYFUNCTION("GOOGLETRANSLATE(B2143,""auto"",""en"")"),"This application provides a table tennis trajectory capture analysis method and analysis system. The analysis method includes: based on the sparse convolutional neural network Multiple table tennis matching, reconstruction and screening to obtain the spac"&amp;"e coordinate point of effective sports target table tennis; use the space coordinate point of effective sports target table tennis to obtain effective table tennis trajectories; according to the effective table tennis trajectory, Analysis of competitive t"&amp;"actics. This application can capture high -speed and high -rotation table tennis flight trajectories in real time in a complex environment with multi -ball. Intelligent analysis of the technical and tactical characteristics contained in the trajectory of "&amp;"table tennis, storage and analysis of the statistical information of multiple sets of table tennis trajectory, which can meet the high level of high levels The analysis needs of athlete competition can also meet the analysis and evaluation needs of the tr"&amp;"aining effect during table tennis training.")</f>
        <v>This application provides a table tennis trajectory capture analysis method and analysis system. The analysis method includes: based on the sparse convolutional neural network Multiple table tennis matching, reconstruction and screening to obtain the space coordinate point of effective sports target table tennis; use the space coordinate point of effective sports target table tennis to obtain effective table tennis trajectories; according to the effective table tennis trajectory, Analysis of competitive tactics. This application can capture high -speed and high -rotation table tennis flight trajectories in real time in a complex environment with multi -ball. Intelligent analysis of the technical and tactical characteristics contained in the trajectory of table tennis, storage and analysis of the statistical information of multiple sets of table tennis trajectory, which can meet the high level of high levels The analysis needs of athlete competition can also meet the analysis and evaluation needs of the training effect during table tennis training.</v>
      </c>
      <c r="D2143" s="6" t="s">
        <v>6081</v>
      </c>
      <c r="E2143" s="4" t="str">
        <f ca="1">IFERROR(__xludf.DUMMYFUNCTION("GOOGLETRANSLATE(D2143,""auto"",""en"")"),"Table tennis trajectory capture analysis method and analysis system")</f>
        <v>Table tennis trajectory capture analysis method and analysis system</v>
      </c>
    </row>
    <row r="2144" spans="1:5" ht="15" x14ac:dyDescent="0.25">
      <c r="A2144" s="5" t="s">
        <v>6082</v>
      </c>
      <c r="B2144" s="6" t="s">
        <v>6083</v>
      </c>
      <c r="C2144" s="3" t="str">
        <f ca="1">IFERROR(__xludf.DUMMYFUNCTION("GOOGLETRANSLATE(B2144,""auto"",""en"")"),"The present invention allows professional trainers and one or more members to view each other's videos in real time, and provide online courses by providing and receiving feedback. However, in the process, feedback is provided by analyzing the videos of a"&amp;"rtificial intelligence members. TIME it involves non -facial training system that is configured for
  According to the invention of the non -native training system of artificial intelligence, the installation and operation of the trainer application is "&amp;"connected to the management server through the installation and operation of the trainer application to request members to recruit, and the real -time coach video is transmitted to the management server. Program, enable the recruited members to conduct on"&amp;"line courses. During the online course, viewing member videos in real time and displaying on the screen and providing feedback through access to the management server. Members can directly choose or automatically select the coach. The coach video received"&amp;" in real time is displayed on the screen On the top, and transmit the real -time shooting membership video to the management server, so that members can participate in the online course, receive and store the coach videos from the member terminal and the "&amp;"lecturer terminal, allow users It is characterized by a member terminal and sent from the member terminal that it is configured to include the management server that receives and stores membership pictures in real time. It is provided to the trainer termi"&amp;"nal in real time. The real -time feedback is real -time feedback through artificial intelligence analysis.")</f>
        <v>The present invention allows professional trainers and one or more members to view each other's videos in real time, and provide online courses by providing and receiving feedback. However, in the process, feedback is provided by analyzing the videos of artificial intelligence members. TIME it involves non -facial training system that is configured for
  According to the invention of the non -native training system of artificial intelligence, the installation and operation of the trainer application is connected to the management server through the installation and operation of the trainer application to request members to recruit, and the real -time coach video is transmitted to the management server. Program, enable the recruited members to conduct online courses. During the online course, viewing member videos in real time and displaying on the screen and providing feedback through access to the management server. Members can directly choose or automatically select the coach. The coach video received in real time is displayed on the screen On the top, and transmit the real -time shooting membership video to the management server, so that members can participate in the online course, receive and store the coach videos from the member terminal and the lecturer terminal, allow users It is characterized by a member terminal and sent from the member terminal that it is configured to include the management server that receives and stores membership pictures in real time. It is provided to the trainer terminal in real time. The real -time feedback is real -time feedback through artificial intelligence analysis.</v>
      </c>
      <c r="D2144" s="6" t="s">
        <v>6084</v>
      </c>
      <c r="E2144" s="4" t="str">
        <f ca="1">IFERROR(__xludf.DUMMYFUNCTION("GOOGLETRANSLATE(D2144,""auto"",""en"")"),"Using artificial intelligence non -face -to -face training system")</f>
        <v>Using artificial intelligence non -face -to -face training system</v>
      </c>
    </row>
    <row r="2145" spans="1:5" ht="15" x14ac:dyDescent="0.25">
      <c r="A2145" s="5" t="s">
        <v>6085</v>
      </c>
      <c r="B2145" s="6" t="s">
        <v>6086</v>
      </c>
      <c r="C2145" s="3" t="str">
        <f ca="1">IFERROR(__xludf.DUMMYFUNCTION("GOOGLETRANSLATE(B2145,""auto"",""en"")"),"1. Design product name: View the display screen panel (event card) of the graphical user interface with the event situation.
 2. The purpose of designing products in this appearance: Running program and display, this graphic user interface can be used t"&amp;"o display the screen of the mobile phone.
 3. Design of the design of the product in this exterior: lies in the interface content of the graphic user interface in the screen.
 4. Pictures or photos that can most indicate the design points: change stat"&amp;"us Figure 1.
 5. No design points, omittime view, left view, right view, push -view, and view view.
 6. The purpose of graphical user interface: This design is used to show the type and situation of the event, so that users can quickly find the conten"&amp;"t they want to watch.
 7. Human -computer interaction method of graphics user interface: As shown in the main view, the interface shows 24 hours after the event, the game in the live broadcast, and the game is not started. Card; Slide the game card of t"&amp;"he main view to the end, the list can automatically locate the first game of the current time point 24 to get the change of the state as shown in Figure 1; For non -important events, the default is closed. Click ""There are also*fields"" to display all ev"&amp;"ents to get as shown in the state of change.")</f>
        <v>1. Design product name: View the display screen panel (event card) of the graphical user interface with the event situation.
 2. The purpose of designing products in this appearance: Running program and display, this graphic user interface can be used to display the screen of the mobile phone.
 3. Design of the design of the product in this exterior: lies in the interface content of the graphic user interface in the screen.
 4. Pictures or photos that can most indicate the design points: change status Figure 1.
 5. No design points, omittime view, left view, right view, push -view, and view view.
 6. The purpose of graphical user interface: This design is used to show the type and situation of the event, so that users can quickly find the content they want to watch.
 7. Human -computer interaction method of graphics user interface: As shown in the main view, the interface shows 24 hours after the event, the game in the live broadcast, and the game is not started. Card; Slide the game card of the main view to the end, the list can automatically locate the first game of the current time point 24 to get the change of the state as shown in Figure 1; For non -important events, the default is closed. Click "There are also*fields" to display all events to get as shown in the state of change.</v>
      </c>
      <c r="D2145" s="6" t="s">
        <v>6087</v>
      </c>
      <c r="E2145" s="4" t="str">
        <f ca="1">IFERROR(__xludf.DUMMYFUNCTION("GOOGLETRANSLATE(D2145,""auto"",""en"")"),"View the display screen panel of the graphical user interface (event card)")</f>
        <v>View the display screen panel of the graphical user interface (event card)</v>
      </c>
    </row>
    <row r="2146" spans="1:5" ht="15" x14ac:dyDescent="0.25">
      <c r="A2146" s="5" t="s">
        <v>6088</v>
      </c>
      <c r="B2146" s="6" t="s">
        <v>6089</v>
      </c>
      <c r="C2146" s="3" t="str">
        <f ca="1">IFERROR(__xludf.DUMMYFUNCTION("GOOGLETRANSLATE(B2146,""auto"",""en"")"),"A method for monitoring physical exercise based on image frame sequences for the exercise of human exercise. This method includes an image frame sequence, using a neural network to extract a set of key points for each image frame, which indicates the post"&amp;"ure of the person in the image frame of the body of the body; , Obtain at least one feature parameter of the movement process instructed by the person; to evaluate the time process of at least one feature parameter to detect the start of the cycle conditi"&amp;"ons, the start of the cycle conditions indicate that the posture of the pose from the beginning of the person to the human movement during physical exercise In the transition, the exercise cycle includes a repeated physical exercise; the time process of e"&amp;"valuating at least one feature parameter to detect the end of the cycle, the end of the end of the cycle indicates the transition from the exercise of people during physical exercise to the middle posture. As a result, start to determine the number of cyc"&amp;"les and the end of the cycle; according to the beginning of the cycle and the end of the cycle, derive the time period of a single cycle of physical exercise, and evaluate the time period.")</f>
        <v>A method for monitoring physical exercise based on image frame sequences for the exercise of human exercise. This method includes an image frame sequence, using a neural network to extract a set of key points for each image frame, which indicates the posture of the person in the image frame of the body of the body; , Obtain at least one feature parameter of the movement process instructed by the person; to evaluate the time process of at least one feature parameter to detect the start of the cycle conditions, the start of the cycle conditions indicate that the posture of the pose from the beginning of the person to the human movement during physical exercise In the transition, the exercise cycle includes a repeated physical exercise; the time process of evaluating at least one feature parameter to detect the end of the cycle, the end of the end of the cycle indicates the transition from the exercise of people during physical exercise to the middle posture. As a result, start to determine the number of cycles and the end of the cycle; according to the beginning of the cycle and the end of the cycle, derive the time period of a single cycle of physical exercise, and evaluate the time period.</v>
      </c>
      <c r="D2146" s="6" t="s">
        <v>3881</v>
      </c>
      <c r="E2146" s="4" t="str">
        <f ca="1">IFERROR(__xludf.DUMMYFUNCTION("GOOGLETRANSLATE(D2146,""auto"",""en"")"),"Monitor the expression of physical exercise")</f>
        <v>Monitor the expression of physical exercise</v>
      </c>
    </row>
    <row r="2147" spans="1:5" ht="15" x14ac:dyDescent="0.25">
      <c r="A2147" s="5" t="s">
        <v>6090</v>
      </c>
      <c r="B2147" s="6" t="s">
        <v>6091</v>
      </c>
      <c r="C2147" s="3" t="str">
        <f ca="1">IFERROR(__xludf.DUMMYFUNCTION("GOOGLETRANSLATE(B2147,""auto"",""en"")"),"This application provides an intelligent explanation method, server and display equipment for sports events. Among them, the display device can send the current content of sports events to the server in real time; the server obtains the corresponding targ"&amp;"et commentary from the deep learning model according to the scene classification results of the content of sports events, and sends the target explanation to the display device; the display device is displayed; the display device The target commentary wil"&amp;"l be broadcast simultaneously with the content of sports events in a voice. The explanation words that match the current content matching of the current playback device by the deep learning model in the server. The display device can replace the real -lif"&amp;"e commentator with this commentary to avoid the explanatory content produced by the real person with personal subjective emotions. Unjust or commentary opinions with the issue of local favoritism; because the deep learning model is trained by a large numb"&amp;"er of historical events data, the commentary provided by the server can also be more professional than the explanation content of the real people.")</f>
        <v>This application provides an intelligent explanation method, server and display equipment for sports events. Among them, the display device can send the current content of sports events to the server in real time; the server obtains the corresponding target commentary from the deep learning model according to the scene classification results of the content of sports events, and sends the target explanation to the display device; the display device is displayed; the display device The target commentary will be broadcast simultaneously with the content of sports events in a voice. The explanation words that match the current content matching of the current playback device by the deep learning model in the server. The display device can replace the real -life commentator with this commentary to avoid the explanatory content produced by the real person with personal subjective emotions. Unjust or commentary opinions with the issue of local favoritism; because the deep learning model is trained by a large number of historical events data, the commentary provided by the server can also be more professional than the explanation content of the real people.</v>
      </c>
      <c r="D2147" s="6" t="s">
        <v>6092</v>
      </c>
      <c r="E2147" s="4" t="str">
        <f ca="1">IFERROR(__xludf.DUMMYFUNCTION("GOOGLETRANSLATE(D2147,""auto"",""en"")"),"Smart commentary methods, servers and display devices in sports events")</f>
        <v>Smart commentary methods, servers and display devices in sports events</v>
      </c>
    </row>
    <row r="2148" spans="1:5" ht="15" x14ac:dyDescent="0.25">
      <c r="A2148" s="5" t="s">
        <v>6093</v>
      </c>
      <c r="B2148" s="6" t="s">
        <v>6094</v>
      </c>
      <c r="C2148" s="3" t="str">
        <f ca="1">IFERROR(__xludf.DUMMYFUNCTION("GOOGLETRANSLATE(B2148,""auto"",""en"")"),"Examples disclose a target attribute detection method, neural network training method and smart running method, device, electronic equipment, computer storage medium and computer program. The target attribute detection method includes: the semantic segmen"&amp;"tation of the processing image; determining the mask image of the image to be treated, and the mask image indicates the position of the target to be processed in the image. Based on the attribute characteristics of the target image to determine the attrib"&amp;"ute characteristics of the target image, the attribute characteristics of the target. Among them, the attribute characteristics of the target image represent the attribute of the target image. Target.")</f>
        <v>Examples disclose a target attribute detection method, neural network training method and smart running method, device, electronic equipment, computer storage medium and computer program. The target attribute detection method includes: the semantic segmentation of the processing image; determining the mask image of the image to be treated, and the mask image indicates the position of the target to be processed in the image. Based on the attribute characteristics of the target image to determine the attribute characteristics of the target image, the attribute characteristics of the target. Among them, the attribute characteristics of the target image represent the attribute of the target image. Target.</v>
      </c>
      <c r="D2148" s="6" t="s">
        <v>6095</v>
      </c>
      <c r="E2148" s="4" t="str">
        <f ca="1">IFERROR(__xludf.DUMMYFUNCTION("GOOGLETRANSLATE(D2148,""auto"",""en"")"),"Target attribute detection, neural network training and intelligent driving methods, devices")</f>
        <v>Target attribute detection, neural network training and intelligent driving methods, devices</v>
      </c>
    </row>
    <row r="2149" spans="1:5" ht="15" x14ac:dyDescent="0.25">
      <c r="A2149" s="5" t="s">
        <v>6096</v>
      </c>
      <c r="B2149" s="6" t="s">
        <v>6097</v>
      </c>
      <c r="C2149" s="3" t="str">
        <f ca="1">IFERROR(__xludf.DUMMYFUNCTION("GOOGLETRANSLATE(B2149,""auto"",""en"")"),"1. Design product name: Douge intelligent fast evaluation graphic user interface on the display screen panel.
 2. Design products in this exterior: used to display information.
 3. Design of design products in this appearance: lies in the graphic user"&amp;" interface in the screen.
 4. Pictures or photos that can best show design: Design 1 main view.
 5. Specify design 1 is the basic design.
 6. The purpose of the graphical user interface: The design of the graphic user interface for this design is th"&amp;"e Douge intelligent fast evaluation graphic user interface of the display screen panel. Essence
 7. Human -computer interaction method of graphics user interface: Design 1 to Design 4 Main view is the Douge game page. Users can click any control in the "&amp;"interface to perform more operations.
 For example, if you click on the intelligent fast evaluation label at the bottom of the interface to send an expression or text comment, you can also click on the entrance of the input box to pull up all the expres"&amp;"sions to click to send a comment.
 Design 5 The main view is to expand the expression option content interface for the Douge competition page. Users can click on the emoji options below the interface to send emoticons and other operations.
 8. The dis"&amp;"play screen panel can be used for mobile phones, computers, tablets, vehicle central control screens, smart TVs.")</f>
        <v>1. Design product name: Douge intelligent fast evaluation graphic user interface on the display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design of the graphic user interface for this design is the Douge intelligent fast evaluation graphic user interface of the display screen panel. Essence
 7. Human -computer interaction method of graphics user interface: Design 1 to Design 4 Main view is the Douge game page. Users can click any control in the interface to perform more operations.
 For example, if you click on the intelligent fast evaluation label at the bottom of the interface to send an expression or text comment, you can also click on the entrance of the input box to pull up all the expressions to click to send a comment.
 Design 5 The main view is to expand the expression option content interface for the Douge competition page. Users can click on the emoji options below the interface to send emoticons and other operations.
 8. The display screen panel can be used for mobile phones, computers, tablets, vehicle central control screens, smart TVs.</v>
      </c>
      <c r="D2149" s="6" t="s">
        <v>6098</v>
      </c>
      <c r="E2149" s="4" t="str">
        <f ca="1">IFERROR(__xludf.DUMMYFUNCTION("GOOGLETRANSLATE(D2149,""auto"",""en"")"),"Douge smart fast evaluation graphic user interface of display screen panel")</f>
        <v>Douge smart fast evaluation graphic user interface of display screen panel</v>
      </c>
    </row>
    <row r="2150" spans="1:5" ht="15" x14ac:dyDescent="0.25">
      <c r="A2150" s="5" t="s">
        <v>6099</v>
      </c>
      <c r="B2150" s="6" t="s">
        <v>6100</v>
      </c>
      <c r="C2150" s="3" t="str">
        <f ca="1">IFERROR(__xludf.DUMMYFUNCTION("GOOGLETRANSLATE(B2150,""auto"",""en"")"),"This utility model involves the field of human -computer interaction and fitness technology, and a wearable man -machine interactive device is disclosed, including the device body. Fixed installation is equipped with soft board one. The left side of the s"&amp;"oft board one is fixed with spring two and electric telescopic rods. The tube is fixed with a rubber rod, which is wrapped in the outer surface of the rubber rod with spring one. The wearable human -machine interaction equipment, by automatically tighteni"&amp;"ng the bag and starting the start button on the operating table to rotate the servo motor in the automatic tightening bag. Electric expansion rod three drives the card tight plate two -way card tight board one to move the connection band two in the stuck "&amp;"state, so that the device is close to the body and the exercise effect is better.")</f>
        <v>This utility model involves the field of human -computer interaction and fitness technology, and a wearable man -machine interactive device is disclosed, including the device body. Fixed installation is equipped with soft board one. The left side of the soft board one is fixed with spring two and electric telescopic rods. The tube is fixed with a rubber rod, which is wrapped in the outer surface of the rubber rod with spring one. The wearable human -machine interaction equipment, by automatically tightening the bag and starting the start button on the operating table to rotate the servo motor in the automatic tightening bag. Electric expansion rod three drives the card tight plate two -way card tight board one to move the connection band two in the stuck state, so that the device is close to the body and the exercise effect is better.</v>
      </c>
      <c r="D2150" s="6" t="s">
        <v>6101</v>
      </c>
      <c r="E2150" s="4" t="str">
        <f ca="1">IFERROR(__xludf.DUMMYFUNCTION("GOOGLETRANSLATE(D2150,""auto"",""en"")"),"One kind of wearable human machine interaction equipment")</f>
        <v>One kind of wearable human machine interaction equipment</v>
      </c>
    </row>
    <row r="2151" spans="1:5" ht="15" x14ac:dyDescent="0.25">
      <c r="A2151" s="5" t="s">
        <v>6102</v>
      </c>
      <c r="B2151" s="6" t="s">
        <v>6103</v>
      </c>
      <c r="C2151" s="3" t="str">
        <f ca="1">IFERROR(__xludf.DUMMYFUNCTION("GOOGLETRANSLATE(B2151,""auto"",""en"")"),"Provides computer -based systems and methods for guidance and behavior suggestions, such as educators guiding recommendations and intervention plans. This system processs different education -related data, uses high computing efficiency, matrix -based rec"&amp;"ommendation algorithm processing data, and uses student -related data to determine the need and resources to determine which students need support. plan. The system can automatically identify and confirm the type of data files before uploading the data, a"&amp;"nd can accommodate student data stored in multiple file formats. In addition, the system can execute one or more machine learning algorithms. These algorithms process data related to the intervention of educators in order to generate recommendations for t"&amp;"he coach faster and improve the future recommendation of the system.")</f>
        <v>Provides computer -based systems and methods for guidance and behavior suggestions, such as educators guiding recommendations and intervention plans. This system processs different education -related data, uses high computing efficiency, matrix -based recommendation algorithm processing data, and uses student -related data to determine the need and resources to determine which students need support. plan. The system can automatically identify and confirm the type of data files before uploading the data, and can accommodate student data stored in multiple file formats. In addition, the system can execute one or more machine learning algorithms. These algorithms process data related to the intervention of educators in order to generate recommendations for the coach faster and improve the future recommendation of the system.</v>
      </c>
      <c r="D2151" s="6" t="s">
        <v>6104</v>
      </c>
      <c r="E2151" s="4" t="str">
        <f ca="1">IFERROR(__xludf.DUMMYFUNCTION("GOOGLETRANSLATE(D2151,""auto"",""en"")"),"Computer -based teaching and behavioral recommendation system and method")</f>
        <v>Computer -based teaching and behavioral recommendation system and method</v>
      </c>
    </row>
    <row r="2152" spans="1:5" ht="15" x14ac:dyDescent="0.25">
      <c r="A2152" s="5" t="s">
        <v>6105</v>
      </c>
      <c r="B2152" s="6" t="s">
        <v>6106</v>
      </c>
      <c r="C2152" s="3" t="str">
        <f ca="1">IFERROR(__xludf.DUMMYFUNCTION("GOOGLETRANSLATE(B2152,""auto"",""en"")"),"A financial and performance index system and process using artificial intelligence to provide professional athletes and sports teams with a measurable real -time professional athlete contract value. This contract value comes from machine learning algorith"&amp;"ms. These algorithms use historical and current performance data to monitor And predict the performance and development of the current and future trajectories of professional athletes, team finance, contract negotiations, professional team resettlement, c"&amp;"areer development, and professional team register to acquire transactions. This open system and process provide transparency and balance, as well as real -time financial and performance insights between professional athletes and teams throughout the seaso"&amp;"n, previous season, and future season, and they are used to enhance the decision -making process.")</f>
        <v>A financial and performance index system and process using artificial intelligence to provide professional athletes and sports teams with a measurable real -time professional athlete contract value. This contract value comes from machine learning algorithms. These algorithms use historical and current performance data to monitor And predict the performance and development of the current and future trajectories of professional athletes, team finance, contract negotiations, professional team resettlement, career development, and professional team register to acquire transactions. This open system and process provide transparency and balance, as well as real -time financial and performance insights between professional athletes and teams throughout the season, previous season, and future season, and they are used to enhance the decision -making process.</v>
      </c>
      <c r="D2152" s="6" t="s">
        <v>6107</v>
      </c>
      <c r="E2152" s="4" t="str">
        <f ca="1">IFERROR(__xludf.DUMMYFUNCTION("GOOGLETRANSLATE(D2152,""auto"",""en"")"),"Use artificial intelligence's real -time financial and performance sports index platform for professional athletes and teams")</f>
        <v>Use artificial intelligence's real -time financial and performance sports index platform for professional athletes and teams</v>
      </c>
    </row>
    <row r="2153" spans="1:5" ht="15" x14ac:dyDescent="0.25">
      <c r="A2153" s="5" t="s">
        <v>6108</v>
      </c>
      <c r="B2153" s="6" t="s">
        <v>6109</v>
      </c>
      <c r="C2153" s="3" t="str">
        <f ca="1">IFERROR(__xludf.DUMMYFUNCTION("GOOGLETRANSLATE(B2153,""auto"",""en"")"),"The present invention involves a method of skipping rope -skipping the rope -based rope in the field of intelligent fitness sports equipment technology. Including: 1) the original video data of the skipping movement, extract image data from the original v"&amp;"ideo data; 2) Read the video image and compress the video size frame by frame; 3) Use the FarneBack dense light current to process the compressed video, output the output, output the output, output A new BGR video; 4) Classification of each frame of image"&amp;"s in the BGR video by using the trained classification model; 5) judge the jumping state according to the classification results; 6) count the rope skipping rope based on changes in the rope jump state; 7) the result output and show. By pre -processing th"&amp;"e obtained image data, then use the trained model classification, and judge the current motion status based on the classification results, and finally count the number of changes in the rope jump state. This method is accurate, the counting speed is fast,"&amp;" and it has high application value.")</f>
        <v>The present invention involves a method of skipping rope -skipping the rope -based rope in the field of intelligent fitness sports equipment technology. Including: 1) the original video data of the skipping movement, extract image data from the original video data; 2) Read the video image and compress the video size frame by frame; 3) Use the FarneBack dense light current to process the compressed video, output the output, output the output, output A new BGR video; 4) Classification of each frame of images in the BGR video by using the trained classification model; 5) judge the jumping state according to the classification results; 6) count the rope skipping rope based on changes in the rope jump state; 7) the result output and show. By pre -processing the obtained image data, then use the trained model classification, and judge the current motion status based on the classification results, and finally count the number of changes in the rope jump state. This method is accurate, the counting speed is fast, and it has high application value.</v>
      </c>
      <c r="D2153" s="6" t="s">
        <v>6110</v>
      </c>
      <c r="E2153" s="4" t="str">
        <f ca="1">IFERROR(__xludf.DUMMYFUNCTION("GOOGLETRANSLATE(D2153,""auto"",""en"")"),"Deep learning -based rope -skipping counting method")</f>
        <v>Deep learning -based rope -skipping counting method</v>
      </c>
    </row>
    <row r="2154" spans="1:5" ht="15" x14ac:dyDescent="0.25">
      <c r="A2154" s="5" t="s">
        <v>6111</v>
      </c>
      <c r="B2154" s="6" t="s">
        <v>6112</v>
      </c>
      <c r="C2154" s="3" t="str">
        <f ca="1">IFERROR(__xludf.DUMMYFUNCTION("GOOGLETRANSLATE(B2154,""auto"",""en"")"),"This article discloses an application that can interact with on -site sports dynamic interaction. The algorithm generates the content of the user's custom editing content that affects the behavior of sports gamingrs to increase participation and managemen"&amp;"t risks. By showing the content of the editors that may affect their hopes of betting (for example, by pointing out that the performance of a player is particularly good or particularly bad), sports gaming can affect the betting ratio (or better, the US d"&amp;"ollar bet) Any party of a given event. At a more personal level, the content of the increase in users to increase their participation -for example, the content of the favorite player or local team -this book can improve the overall betting tendency of use"&amp;"rs, and understand which ones Types of betting users are likely to be favored.")</f>
        <v>This article discloses an application that can interact with on -site sports dynamic interaction. The algorithm generates the content of the user's custom editing content that affects the behavior of sports gamingrs to increase participation and management risks. By showing the content of the editors that may affect their hopes of betting (for example, by pointing out that the performance of a player is particularly good or particularly bad), sports gaming can affect the betting ratio (or better, the US dollar bet) Any party of a given event. At a more personal level, the content of the increase in users to increase their participation -for example, the content of the favorite player or local team -this book can improve the overall betting tendency of users, and understand which ones Types of betting users are likely to be favored.</v>
      </c>
      <c r="D2154" s="6" t="s">
        <v>6113</v>
      </c>
      <c r="E2154" s="4" t="str">
        <f ca="1">IFERROR(__xludf.DUMMYFUNCTION("GOOGLETRANSLATE(D2154,""auto"",""en"")"),"Machine learning editing and prediction inquiry pairing of user behavior")</f>
        <v>Machine learning editing and prediction inquiry pairing of user behavior</v>
      </c>
    </row>
    <row r="2155" spans="1:5" ht="15" x14ac:dyDescent="0.25">
      <c r="A2155" s="5" t="s">
        <v>6114</v>
      </c>
      <c r="B2155" s="6" t="s">
        <v>6115</v>
      </c>
      <c r="C2155" s="3" t="str">
        <f ca="1">IFERROR(__xludf.DUMMYFUNCTION("GOOGLETRANSLATE(B2155,""auto"",""en"")"),"Our invention ""PAM-PHYSISIL FITNESS"" is a process and computer program that creates a unified data flow based on multiple data streams obtained from multiple devices. The single method invented includes the operation of receiving activity data flow from"&amp;" the device. Each activity data flow is associated with any user's physical activity data. The method of the present invention also includes the operation of unified activity data flow within a period of time. The unified activity data stream includes dat"&amp;"a segments with data streams from at least two devices, and the data segment is organized in time during the time period. The server includes communication modules, memory and processors. The communication module can operate to receive multiple activity d"&amp;"ata streams from multiple devices, and each activity data flow is associated with the user's physical activity data. The method of the present invention can operate the unified activity data flow of the data segment of the data stream of at least two devi"&amp;"ces from multiple devices from multiple devices. In addition, the processor can be used to assemble a unified activity data stream for users within a period of time. 23 Dr. Vineet Tirl (Associate Professor) Dr. Ram Karan Singh (professor) Dr. ManiSha Bhat"&amp;"kulkar (Associate Professor) Neraj Kumar Shukla (Associate Professor) M. Ramkumar Raja (Associate Professor) PR (Associate Professor) PR) of. (DR.) S. B. Chordiya (Director-SIMMC-CAMPUS) Total No of Sheet: 07 No of Fig: 09 Home AR Quality DQANL-RTOCON 5A4"&amp;" PO ~ EN COUNT-MEDIUM IDEXBIGH IDAK 0.3 PPM PPM Intoxyxyon Carbon carbon-Aceptable 6. RDSENW exposure hours = 3.5 , Low risk 43 minutes S Hors 1253 (-slep Elence 0 0 EMM TYS -.0E Meway UM A ... IE ~ W AVWS E-I ~ AMMY LOW MOSEM FIG1: IS A can collect chart"&amp;" collected in a person's daily work. data.")</f>
        <v>Our invention "PAM-PHYSISIL FITNESS" is a process and computer program that creates a unified data flow based on multiple data streams obtained from multiple devices. The single method invented includes the operation of receiving activity data flow from the device. Each activity data flow is associated with any user's physical activity data. The method of the present invention also includes the operation of unified activity data flow within a period of time. The unified activity data stream includes data segments with data streams from at least two devices, and the data segment is organized in time during the time period. The server includes communication modules, memory and processors. The communication module can operate to receive multiple activity data streams from multiple devices, and each activity data flow is associated with the user's physical activity data. The method of the present invention can operate the unified activity data flow of the data segment of the data stream of at least two devices from multiple devices from multiple devices. In addition, the processor can be used to assemble a unified activity data stream for users within a period of time. 23 Dr. Vineet Tirl (Associate Professor) Dr. Ram Karan Singh (professor) Dr. ManiSha Bhatkulkar (Associate Professor) Neraj Kumar Shukla (Associate Professor) M. Ramkumar Raja (Associate Professor) PR (Associate Professor) PR) of. (DR.) S. B. Chordiya (Director-SIMMC-CAMPUS) Total No of Sheet: 07 No of Fig: 09 Home AR Quality DQANL-RTOCON 5A4 PO ~ EN COUNT-MEDIUM IDEXBIGH IDAK 0.3 PPM PPM Intoxyxyon Carbon carbon-Aceptable 6. RDSENW exposure hours = 3.5 , Low risk 43 minutes S Hors 1253 (-slep Elence 0 0 EMM TYS -.0E Meway UM A ... IE ~ W AVWS E-I ~ AMMY LOW MOSEM FIG1: IS A can collect chart collected in a person's daily work. data.</v>
      </c>
      <c r="D2155" s="6" t="s">
        <v>6116</v>
      </c>
      <c r="E2155" s="4" t="str">
        <f ca="1">IFERROR(__xludf.DUMMYFUNCTION("GOOGLETRANSLATE(D2155,""auto"",""en"")"),"PAM-PHYSICAL FINESS: Use machine learning programming to predict fitness and physical activity level")</f>
        <v>PAM-PHYSICAL FINESS: Use machine learning programming to predict fitness and physical activity level</v>
      </c>
    </row>
    <row r="2156" spans="1:5" ht="15" x14ac:dyDescent="0.25">
      <c r="A2156" s="5" t="s">
        <v>6117</v>
      </c>
      <c r="B2156" s="6" t="s">
        <v>6118</v>
      </c>
      <c r="C2156" s="3" t="str">
        <f ca="1">IFERROR(__xludf.DUMMYFUNCTION("GOOGLETRANSLATE(B2156,""auto"",""en"")"),"The present invention provides a method of sports data model construction based on sports big data and deep learning, involving the field of sports training technology, which can greatly improve the accuracy and accuracy of behavioral predictions of human"&amp;" behavior; Processing sports video sets to obtain training data and enter LSTM networks for training to get the training LSTM network; S2, processing the test video set to be tested to obtain test data and enter the tested LSTM network for testing to get "&amp;"the test results; process the video; process the video; process the video; Including: to obtain feature data in the input behavior capture and motion analysis system of sports video set; input feature data input VGG‑16NET to obtain attitude data; enter th"&amp;"e attitude data into the CNN network for human posture recognition data; Get dynamic characteristic data in the network. The technical solution provided by the present invention is suitable for the processing of sports data processing.")</f>
        <v>The present invention provides a method of sports data model construction based on sports big data and deep learning, involving the field of sports training technology, which can greatly improve the accuracy and accuracy of behavioral predictions of human behavior; Processing sports video sets to obtain training data and enter LSTM networks for training to get the training LSTM network; S2, processing the test video set to be tested to obtain test data and enter the tested LSTM network for testing to get the test results; process the video; process the video; process the video; Including: to obtain feature data in the input behavior capture and motion analysis system of sports video set; input feature data input VGG‑16NET to obtain attitude data; enter the attitude data into the CNN network for human posture recognition data; Get dynamic characteristic data in the network. The technical solution provided by the present invention is suitable for the processing of sports data processing.</v>
      </c>
      <c r="D2156" s="6" t="s">
        <v>6119</v>
      </c>
      <c r="E2156" s="4" t="str">
        <f ca="1">IFERROR(__xludf.DUMMYFUNCTION("GOOGLETRANSLATE(D2156,""auto"",""en"")"),"Method data model construction method based on sports big data and deep learning")</f>
        <v>Method data model construction method based on sports big data and deep learning</v>
      </c>
    </row>
    <row r="2157" spans="1:5" ht="15" x14ac:dyDescent="0.25">
      <c r="A2157" s="5" t="s">
        <v>6120</v>
      </c>
      <c r="B2157" s="6" t="s">
        <v>6121</v>
      </c>
      <c r="C2157" s="3" t="str">
        <f ca="1">IFERROR(__xludf.DUMMYFUNCTION("GOOGLETRANSLATE(B2157,""auto"",""en"")"),"It involves an e -sports strategy optimization method for e -sports education, which provides a lightweight optimization method for strengthening learning models and models for strategic analysis. At this time Provided analysis. In the Observation process"&amp;" of strengthening learning process, the real -time observation value is obtained from the gaming game. The obtained observation value is processed by Deep RL Agent. The input value of Deep Neural Network is generated in a batch. Then, the status value s ("&amp;"t) and the status value s (t) deserve to be obtained through the reasoning process to obtain the movement value A (t). At this time To generate a value. Store the recently created value in the Experience Buffer to try to minimize the generated status, mov"&amp;"ement and reward value to access external memory, and the strategic network updates the weight of the deep neural network and receives more input values-batch. To accelerate operations, all environments are allocated and calculated parallel with the simul"&amp;"ator.")</f>
        <v>It involves an e -sports strategy optimization method for e -sports education, which provides a lightweight optimization method for strengthening learning models and models for strategic analysis. At this time Provided analysis. In the Observation process of strengthening learning process, the real -time observation value is obtained from the gaming game. The obtained observation value is processed by Deep RL Agent. The input value of Deep Neural Network is generated in a batch. Then, the status value s (t) and the status value s (t) deserve to be obtained through the reasoning process to obtain the movement value A (t). At this time To generate a value. Store the recently created value in the Experience Buffer to try to minimize the generated status, movement and reward value to access external memory, and the strategic network updates the weight of the deep neural network and receives more input values-batch. To accelerate operations, all environments are allocated and calculated parallel with the simulator.</v>
      </c>
      <c r="D2157" s="6" t="s">
        <v>6122</v>
      </c>
      <c r="E2157" s="4" t="str">
        <f ca="1">IFERROR(__xludf.DUMMYFUNCTION("GOOGLETRANSLATE(D2157,""auto"",""en"")"),"Used to strengthen the learning model of e -sports strategies and the method of lightweight and optimization models")</f>
        <v>Used to strengthen the learning model of e -sports strategies and the method of lightweight and optimization models</v>
      </c>
    </row>
    <row r="2158" spans="1:5" ht="15" x14ac:dyDescent="0.25">
      <c r="A2158" s="5" t="s">
        <v>6123</v>
      </c>
      <c r="B2158" s="6" t="s">
        <v>6124</v>
      </c>
      <c r="C2158" s="3" t="str">
        <f ca="1">IFERROR(__xludf.DUMMYFUNCTION("GOOGLETRANSLATE(B2158,""auto"",""en"")"),"The present invention disclosed an IoT -based urban running recommendation system, methods, devices and equipment, including: multiple smart rods, central servers and user terminals set in cities; Collect sensor for collecting environmental parameters nea"&amp;"rby through various environments, and send the environmental parameters to the center server; It is estimated that the right degree of running in multiple target roads at multiple time periods and sending the appropriate degree of running in multiple time"&amp;" periods to the user terminal; the user terminal is used to display the corresponding target road on the display interface on the display interface The appropriateness of running in multiple time periods. The present invention can recommend the time and r"&amp;"oad of running to users to intelligently improve the safety and effect of running exercise.")</f>
        <v>The present invention disclosed an IoT -based urban running recommendation system, methods, devices and equipment, including: multiple smart rods, central servers and user terminals set in cities; Collect sensor for collecting environmental parameters nearby through various environments, and send the environmental parameters to the center server; It is estimated that the right degree of running in multiple target roads at multiple time periods and sending the appropriate degree of running in multiple time periods to the user terminal; the user terminal is used to display the corresponding target road on the display interface on the display interface The appropriateness of running in multiple time periods. The present invention can recommend the time and road of running to users to intelligently improve the safety and effect of running exercise.</v>
      </c>
      <c r="D2158" s="6" t="s">
        <v>6125</v>
      </c>
      <c r="E2158" s="4" t="str">
        <f ca="1">IFERROR(__xludf.DUMMYFUNCTION("GOOGLETRANSLATE(D2158,""auto"",""en"")"),"Urban running recommendation system, methods, devices and equipment based on the Internet of Things")</f>
        <v>Urban running recommendation system, methods, devices and equipment based on the Internet of Things</v>
      </c>
    </row>
    <row r="2159" spans="1:5" ht="15" x14ac:dyDescent="0.25">
      <c r="A2159" s="5" t="s">
        <v>6126</v>
      </c>
      <c r="B2159" s="6" t="s">
        <v>6127</v>
      </c>
      <c r="C2159" s="3" t="str">
        <f ca="1">IFERROR(__xludf.DUMMYFUNCTION("GOOGLETRANSLATE(B2159,""auto"",""en"")"),"During this period of popularity, all activities that bring a large number of personnel are not allowed, because they will become the propagation cluster of COVID-19, which will cause all economic, social, or sports activities to be affected by the epidem"&amp;"ic. This situation will affect the economy of the sports industry, which will affect the finances of sports clubs, because there are no competitions or games that the audience do not see. This is the origin of ideas that make the audience seem to watch th"&amp;"e game at the stadium, not in the stadium, that is, making a robot that can be remotely controlled, which can be based on our wishes. The robot installed in the stadium can adjust the optical zoom, the perspective of the audience, and our screams in the d"&amp;"istance. Each robot is connected to the computer network so that they can sell their control and broadcast rights to fans who are enthusiastic on the club, so that the committee and the club can play in the stadium without audiences, but they can still ge"&amp;"t funds from the ticket sales of funds. Playing robot control. The audience can control the audience's robot after controlling control, choose the location of the robot to watch the live broadcast, adjust the perspective of the robot, enlarge and reduce t"&amp;"he display screen, and encourage players to be transmitted through the Internet, which is issued by the speakers of the stadium or game hall.")</f>
        <v>During this period of popularity, all activities that bring a large number of personnel are not allowed, because they will become the propagation cluster of COVID-19, which will cause all economic, social, or sports activities to be affected by the epidemic. This situation will affect the economy of the sports industry, which will affect the finances of sports clubs, because there are no competitions or games that the audience do not see. This is the origin of ideas that make the audience seem to watch the game at the stadium, not in the stadium, that is, making a robot that can be remotely controlled, which can be based on our wishes. The robot installed in the stadium can adjust the optical zoom, the perspective of the audience, and our screams in the distance. Each robot is connected to the computer network so that they can sell their control and broadcast rights to fans who are enthusiastic on the club, so that the committee and the club can play in the stadium without audiences, but they can still get funds from the ticket sales of funds. Playing robot control. The audience can control the audience's robot after controlling control, choose the location of the robot to watch the live broadcast, adjust the perspective of the robot, enlarge and reduce the display screen, and encourage players to be transmitted through the Internet, which is issued by the speakers of the stadium or game hall.</v>
      </c>
      <c r="D2159" s="6" t="s">
        <v>6128</v>
      </c>
      <c r="E2159" s="4" t="str">
        <f ca="1">IFERROR(__xludf.DUMMYFUNCTION("GOOGLETRANSLATE(D2159,""auto"",""en"")"),"The audience robot in the game is directly based on the Internet of Things")</f>
        <v>The audience robot in the game is directly based on the Internet of Things</v>
      </c>
    </row>
    <row r="2160" spans="1:5" ht="15" x14ac:dyDescent="0.25">
      <c r="A2160" s="5" t="s">
        <v>6129</v>
      </c>
      <c r="B2160" s="6" t="s">
        <v>6130</v>
      </c>
      <c r="C2160" s="3" t="str">
        <f ca="1">IFERROR(__xludf.DUMMYFUNCTION("GOOGLETRANSLATE(B2160,""auto"",""en"")"),"This application provides a running posture detection method and equipment, which is applied to the field of artificial intelligence and human -computer interaction. This method can be executed by the first device. The first device may be wearable devices"&amp;" or terminal devices. This method includes: the first device obtains the user's current running activity data and the user's characteristic information. The first device determines the feature information of the user The reference value interval of the co"&amp;"rresponding N running posture parameters, the first device determines the sample value of the M run -up parameter from the m -running parameter from the m -running position parameter. The number of ginseng, the k running parameters include the impact of t"&amp;"he ground, the first device determines the relationship between the run parameter in the k running posting parameter and the Lyloid of the ground impact. The results of the corresponding user's running posture detection results. This method can evaluate t"&amp;"he user's running posture to guide the user's correct and healthy running.")</f>
        <v>This application provides a running posture detection method and equipment, which is applied to the field of artificial intelligence and human -computer interaction. This method can be executed by the first device. The first device may be wearable devices or terminal devices. This method includes: the first device obtains the user's current running activity data and the user's characteristic information. The first device determines the feature information of the user The reference value interval of the corresponding N running posture parameters, the first device determines the sample value of the M run -up parameter from the m -running parameter from the m -running position parameter. The number of ginseng, the k running parameters include the impact of the ground, the first device determines the relationship between the run parameter in the k running posting parameter and the Lyloid of the ground impact. The results of the corresponding user's running posture detection results. This method can evaluate the user's running posture to guide the user's correct and healthy running.</v>
      </c>
      <c r="D2160" s="6" t="s">
        <v>6131</v>
      </c>
      <c r="E2160" s="4" t="str">
        <f ca="1">IFERROR(__xludf.DUMMYFUNCTION("GOOGLETRANSLATE(D2160,""auto"",""en"")"),"A running posture detection method and equipment")</f>
        <v>A running posture detection method and equipment</v>
      </c>
    </row>
    <row r="2161" spans="1:5" ht="15" x14ac:dyDescent="0.25">
      <c r="A2161" s="5" t="s">
        <v>6132</v>
      </c>
      <c r="B2161" s="6" t="s">
        <v>6133</v>
      </c>
      <c r="C2161" s="3" t="str">
        <f ca="1">IFERROR(__xludf.DUMMYFUNCTION("GOOGLETRANSLATE(B2161,""auto"",""en"")"),"It is used to evaluate the methods, systems and computer program products for evaluating exercise capabilities and generating data. In one embodiment, the athlete's performance data is generated by a computer visual analysis of the video of a video of exe"&amp;"rcise during the exercise or the game.所生成的运动员的表现数据可以包括例如最大速度、最大加速度、达到最大速度的时间、转换时间(例如,改变方向的时间)、接近速度(例如,拉近与另一运动员的距离的时间)、 Average interval (for example, between athletes and another athletes), competition organizational ability, sports ability (for example, "&amp;"combination of weighted computing and/or multiple measurement) and/or other performance data. This performance data can be used to generate files associated with athletes related to athletes, which can be used for higher efficiency and accuracy recruitmen"&amp;"t, reconnaissance, comparison and/or evaluation athletes.")</f>
        <v>It is used to evaluate the methods, systems and computer program products for evaluating exercise capabilities and generating data. In one embodiment, the athlete's performance data is generated by a computer visual analysis of the video of a video of exercise during the exercise or the game.所生成的运动员的表现数据可以包括例如最大速度、最大加速度、达到最大速度的时间、转换时间(例如,改变方向的时间)、接近速度(例如,拉近与另一运动员的距离的时间)、 Average interval (for example, between athletes and another athletes), competition organizational ability, sports ability (for example, combination of weighted computing and/or multiple measurement) and/or other performance data. This performance data can be used to generate files associated with athletes related to athletes, which can be used for higher efficiency and accuracy recruitment, reconnaissance, comparison and/or evaluation athletes.</v>
      </c>
      <c r="D2161" s="6" t="s">
        <v>132</v>
      </c>
      <c r="E2161" s="4" t="str">
        <f ca="1">IFERROR(__xludf.DUMMYFUNCTION("GOOGLETRANSLATE(D2161,""auto"",""en"")"),"Used to evaluate systems, methods and computer program products that generate performance data")</f>
        <v>Used to evaluate systems, methods and computer program products that generate performance data</v>
      </c>
    </row>
    <row r="2162" spans="1:5" ht="15" x14ac:dyDescent="0.25">
      <c r="A2162" s="5" t="s">
        <v>6134</v>
      </c>
      <c r="B2162" s="6" t="s">
        <v>6135</v>
      </c>
      <c r="C2162" s="3" t="str">
        <f ca="1">IFERROR(__xludf.DUMMYFUNCTION("GOOGLETRANSLATE(B2162,""auto"",""en"")"),"This utility model opens a coach car -assisted driving structure based on BDS and GPS, including the structure of the structure. It is characterized by a mobile wheel on one side of the structure of the structure. Set up a controller, bottom plate, barrie"&amp;"r -free module, and BDS/GPS+GPRS module. This utility model has designed technologies including BDS/GPS positioning, GPRS communication, and Arduino single -chip microcomputer to design technologies, including the BDS/GPS dual -mode positioning, GPRS comm"&amp;"unication, and OneNET Internet of Things platform. The car positioning module uses Arduino's main chip, ultrasonic and infrared obstacle avoidance sensor to integrate the main body of the Arduino structure. At the same time, based on Baidu Map API design "&amp;"and development of intelligent driving test simulation software systems, it is used to use high precision positioning and ultrasonic obstacle avoidance methods. With the help of communication and the Internet of Things platforms, create a new one -stop dr"&amp;"iving skills training solution to achieve precise positioning, intelligent judgment and platform monitoring functions.")</f>
        <v>This utility model opens a coach car -assisted driving structure based on BDS and GPS, including the structure of the structure. It is characterized by a mobile wheel on one side of the structure of the structure. Set up a controller, bottom plate, barrier -free module, and BDS/GPS+GPRS module. This utility model has designed technologies including BDS/GPS positioning, GPRS communication, and Arduino single -chip microcomputer to design technologies, including the BDS/GPS dual -mode positioning, GPRS communication, and OneNET Internet of Things platform. The car positioning module uses Arduino's main chip, ultrasonic and infrared obstacle avoidance sensor to integrate the main body of the Arduino structure. At the same time, based on Baidu Map API design and development of intelligent driving test simulation software systems, it is used to use high precision positioning and ultrasonic obstacle avoidance methods. With the help of communication and the Internet of Things platforms, create a new one -stop driving skills training solution to achieve precise positioning, intelligent judgment and platform monitoring functions.</v>
      </c>
      <c r="D2162" s="6" t="s">
        <v>6136</v>
      </c>
      <c r="E2162" s="4" t="str">
        <f ca="1">IFERROR(__xludf.DUMMYFUNCTION("GOOGLETRANSLATE(D2162,""auto"",""en"")"),"A coach car auxiliary driving structure based on BDS and GPS")</f>
        <v>A coach car auxiliary driving structure based on BDS and GPS</v>
      </c>
    </row>
    <row r="2163" spans="1:5" ht="15" x14ac:dyDescent="0.25">
      <c r="A2163" s="5" t="s">
        <v>6137</v>
      </c>
      <c r="B2163" s="6" t="s">
        <v>6138</v>
      </c>
      <c r="C2163" s="3" t="str">
        <f ca="1">IFERROR(__xludf.DUMMYFUNCTION("GOOGLETRANSLATE(B2163,""auto"",""en"")"),"A intelligent voice playback method and device, which involves the field of electronic technology, can be applied to artificial intelligence fitness scenarios, which can play different voice in real time for users' current training status and training act"&amp;"ion. Real -time guidance, rich voice content, and good user experience. This voice playback method includes: the interface of the first application of the electronic device, the first application is used for users to conduct exercise training (1301); the "&amp;"image of collecting user training action (1302); the animation of the standard action, and the user training shows user training Action image (1303); determine multiple voices triggered by the first action unit in the user training action, the first actio"&amp;"n unit is a training action or part of the training action (1304); Play a voice (1305).")</f>
        <v>A intelligent voice playback method and device, which involves the field of electronic technology, can be applied to artificial intelligence fitness scenarios, which can play different voice in real time for users' current training status and training action. Real -time guidance, rich voice content, and good user experience. This voice playback method includes: the interface of the first application of the electronic device, the first application is used for users to conduct exercise training (1301); the image of collecting user training action (1302); the animation of the standard action, and the user training shows user training Action image (1303); determine multiple voices triggered by the first action unit in the user training action, the first action unit is a training action or part of the training action (1304); Play a voice (1305).</v>
      </c>
      <c r="D2163" s="6" t="s">
        <v>6139</v>
      </c>
      <c r="E2163" s="4" t="str">
        <f ca="1">IFERROR(__xludf.DUMMYFUNCTION("GOOGLETRANSLATE(D2163,""auto"",""en"")"),"A smart voice playback method and device")</f>
        <v>A smart voice playback method and device</v>
      </c>
    </row>
    <row r="2164" spans="1:5" ht="15" x14ac:dyDescent="0.25">
      <c r="A2164" s="5" t="s">
        <v>6140</v>
      </c>
      <c r="B2164" s="6" t="s">
        <v>6141</v>
      </c>
      <c r="C2164" s="3" t="str">
        <f ca="1">IFERROR(__xludf.DUMMYFUNCTION("GOOGLETRANSLATE(B2164,""auto"",""en"")"),"A intelligent voice playback method and device involves the field of electronic technology, which can be applied to artificial intelligence fitness scenarios, play different voice in real time, and for the current training status and training movements. U"&amp;"sers, provide users with real -time voice feedback and real -time guidance of action improvement. In addition, the content of the voice is rich and diverse, and the user experience is good. The voice playback method includes: the interface of the first ap"&amp;"plication is displayed through electronic devices, and the first application is used to perform sports training (1301). Image of the training movement of users (1302); video of play standard action, and display the image of the user's training movement (1"&amp;"303); determine the number of voices triggered by the first action unit in the user's training action, of which the first of which is The action unit is part of a training action or a part of a training action (1304); selecting voice from the voice of the"&amp;" election (1305).")</f>
        <v>A intelligent voice playback method and device involves the field of electronic technology, which can be applied to artificial intelligence fitness scenarios, play different voice in real time, and for the current training status and training movements. Users, provide users with real -time voice feedback and real -time guidance of action improvement. In addition, the content of the voice is rich and diverse, and the user experience is good. The voice playback method includes: the interface of the first application is displayed through electronic devices, and the first application is used to perform sports training (1301). Image of the training movement of users (1302); video of play standard action, and display the image of the user's training movement (1303); determine the number of voices triggered by the first action unit in the user's training action, of which the first of which is The action unit is part of a training action or a part of a training action (1304); selecting voice from the voice of the election (1305).</v>
      </c>
      <c r="D2164" s="6" t="s">
        <v>6142</v>
      </c>
      <c r="E2164" s="4" t="str">
        <f ca="1">IFERROR(__xludf.DUMMYFUNCTION("GOOGLETRANSLATE(D2164,""auto"",""en"")"),"Smart voice playback method and device")</f>
        <v>Smart voice playback method and device</v>
      </c>
    </row>
    <row r="2165" spans="1:5" ht="15" x14ac:dyDescent="0.25">
      <c r="A2165" s="5" t="s">
        <v>6143</v>
      </c>
      <c r="B2165" s="6" t="s">
        <v>6144</v>
      </c>
      <c r="C2165" s="3" t="str">
        <f ca="1">IFERROR(__xludf.DUMMYFUNCTION("GOOGLETRANSLATE(B2165,""auto"",""en"")"),"A medical care device based on the Internet of Things, including the rectangular frame, the right opening of the rectangular frame, and the four corners of the bottom side of the rectangular frame fixed the upper end of the supported leg. There are two st"&amp;"rip plates with symmetrical distribution front and rear. The middle part of the strip plate is connected through the first support plate. The left and right sides of the first support plate have a second support plate. The invention can adjust the tilt of"&amp;" the nursing bed board through a driver motor, which is conducive to the patient's head at a high or low level. At the same time, the patient can directly turn the patient from the lying state of 90 degrees, so that the patient stands up and increases the"&amp;" patient's getting up. Convenient, patients can directly conduct stroll training on treadmills after standing, making it more convenient for patients to walk rehabilitation training, can meet market demand, and suitable for promotion.")</f>
        <v>A medical care device based on the Internet of Things, including the rectangular frame, the right opening of the rectangular frame, and the four corners of the bottom side of the rectangular frame fixed the upper end of the supported leg. There are two strip plates with symmetrical distribution front and rear. The middle part of the strip plate is connected through the first support plate. The left and right sides of the first support plate have a second support plate. The invention can adjust the tilt of the nursing bed board through a driver motor, which is conducive to the patient's head at a high or low level. At the same time, the patient can directly turn the patient from the lying state of 90 degrees, so that the patient stands up and increases the patient's getting up. Convenient, patients can directly conduct stroll training on treadmills after standing, making it more convenient for patients to walk rehabilitation training, can meet market demand, and suitable for promotion.</v>
      </c>
      <c r="D2165" s="6" t="s">
        <v>6145</v>
      </c>
      <c r="E2165" s="4" t="str">
        <f ca="1">IFERROR(__xludf.DUMMYFUNCTION("GOOGLETRANSLATE(D2165,""auto"",""en"")"),"A medical care device based on the Internet of Things")</f>
        <v>A medical care device based on the Internet of Things</v>
      </c>
    </row>
    <row r="2166" spans="1:5" ht="15" x14ac:dyDescent="0.25">
      <c r="A2166" s="5" t="s">
        <v>6146</v>
      </c>
      <c r="B2166" s="6" t="s">
        <v>6147</v>
      </c>
      <c r="C2166" s="3" t="str">
        <f ca="1">IFERROR(__xludf.DUMMYFUNCTION("GOOGLETRANSLATE(B2166,""auto"",""en"")"),"The present invention involves the volleyball line processing device and methods based on deep learning and photoelectric detection. Firstly, determine whether there is an object to touch the boundary line. Only one object exists, you can directly identif"&amp;"y whether the object is volleyball or the human body through deep learning training; if there is more than one object in the intercepting monitoring image, it is in the contact temperature sensor to detect whether the object in the touch boundary line is "&amp;"human or volleyball. In this way, the conclusion of whether the volleyball is pressed. The problem of solving the speed of volleyball and human exercise is too fast, and the problem of the volleyball pressure line cannot be directly observed by the naked "&amp;"eye.")</f>
        <v>The present invention involves the volleyball line processing device and methods based on deep learning and photoelectric detection. Firstly, determine whether there is an object to touch the boundary line. Only one object exists, you can directly identify whether the object is volleyball or the human body through deep learning training; if there is more than one object in the intercepting monitoring image, it is in the contact temperature sensor to detect whether the object in the touch boundary line is human or volleyball. In this way, the conclusion of whether the volleyball is pressed. The problem of solving the speed of volleyball and human exercise is too fast, and the problem of the volleyball pressure line cannot be directly observed by the naked eye.</v>
      </c>
      <c r="D2166" s="6" t="s">
        <v>6148</v>
      </c>
      <c r="E2166" s="4" t="str">
        <f ca="1">IFERROR(__xludf.DUMMYFUNCTION("GOOGLETRANSLATE(D2166,""auto"",""en"")"),"Based on deep learning and photoelectric detection volleyball line processing devices and methods")</f>
        <v>Based on deep learning and photoelectric detection volleyball line processing devices and methods</v>
      </c>
    </row>
    <row r="2167" spans="1:5" ht="15" x14ac:dyDescent="0.25">
      <c r="A2167" s="5" t="s">
        <v>6149</v>
      </c>
      <c r="B2167" s="6" t="s">
        <v>6150</v>
      </c>
      <c r="C2167" s="3" t="str">
        <f ca="1">IFERROR(__xludf.DUMMYFUNCTION("GOOGLETRANSLATE(B2167,""auto"",""en"")"),"A dedicated indoor physical training device based on the Internet of Things, which involves the field of Internet of Things application technology. It contains dynamic training areas, static training areas, on -site control centers, cloud data centers, an"&amp;"d computer centers; the dynamic training area includes dynamic training equipment, dynamic auxiliary systems, and dynamic data collection equipment. Equipment, static auxiliary system, static data device. After using the above technology solution, the ben"&amp;"eficial effect of the present invention is: it uses IoT technology, has athlete training auxiliary functions, has excellent auxiliary effects, replaces artificial assistance operations, and can customize training plans for athletes, save training time, gu"&amp;"arantee, guarantee The training effect is available to protect the health of thethletes while the athlete training.")</f>
        <v>A dedicated indoor physical training device based on the Internet of Things, which involves the field of Internet of Things application technology. It contains dynamic training areas, static training areas, on -site control centers, cloud data centers, and computer centers; the dynamic training area includes dynamic training equipment, dynamic auxiliary systems, and dynamic data collection equipment. Equipment, static auxiliary system, static data device. After using the above technology solution, the beneficial effect of the present invention is: it uses IoT technology, has athlete training auxiliary functions, has excellent auxiliary effects, replaces artificial assistance operations, and can customize training plans for athletes, save training time, guarantee, guarantee The training effect is available to protect the health of thethletes while the athlete training.</v>
      </c>
      <c r="D2167" s="6" t="s">
        <v>6151</v>
      </c>
      <c r="E2167" s="4" t="str">
        <f ca="1">IFERROR(__xludf.DUMMYFUNCTION("GOOGLETRANSLATE(D2167,""auto"",""en"")"),"Dedicated indoor physical training system for professional athletes based on the Internet of Things")</f>
        <v>Dedicated indoor physical training system for professional athletes based on the Internet of Things</v>
      </c>
    </row>
    <row r="2168" spans="1:5" ht="15" x14ac:dyDescent="0.25">
      <c r="A2168" s="5" t="s">
        <v>6152</v>
      </c>
      <c r="B2168" s="6" t="s">
        <v>6153</v>
      </c>
      <c r="C2168" s="3" t="str">
        <f ca="1">IFERROR(__xludf.DUMMYFUNCTION("GOOGLETRANSLATE(B2168,""auto"",""en"")"),"Provide remote curriculum systems, and players can receive accurate suggestions through the remote position through the system.
  A remote teaching system (200), including the mobile terminal (2) owned by the player (P) and the cloud server (4) that can"&amp;" communicate with the mobile terminal (2). Mobile terminal 2 includes a data analysis unit. This data analysis unit will send the swing measurement data obtained by measuring player P's actions during the game and converting it to numerical values ​​from "&amp;"the mobile terminal 2 to the cloud server 4. When the swing measurement data is input to the input layer of the neural network, the Cloud Server 4 has a recommended information generation unit. 6. Suggestion information provided by consulting information "&amp;"providers.")</f>
        <v>Provide remote curriculum systems, and players can receive accurate suggestions through the remote position through the system.
  A remote teaching system (200), including the mobile terminal (2) owned by the player (P) and the cloud server (4) that can communicate with the mobile terminal (2). Mobile terminal 2 includes a data analysis unit. This data analysis unit will send the swing measurement data obtained by measuring player P's actions during the game and converting it to numerical values ​​from the mobile terminal 2 to the cloud server 4. When the swing measurement data is input to the input layer of the neural network, the Cloud Server 4 has a recommended information generation unit. 6. Suggestion information provided by consulting information providers.</v>
      </c>
      <c r="D2168" s="6" t="s">
        <v>6154</v>
      </c>
      <c r="E2168" s="4" t="str">
        <f ca="1">IFERROR(__xludf.DUMMYFUNCTION("GOOGLETRANSLATE(D2168,""auto"",""en"")"),"Remote teaching system")</f>
        <v>Remote teaching system</v>
      </c>
    </row>
    <row r="2169" spans="1:5" ht="15" x14ac:dyDescent="0.25">
      <c r="A2169" s="5" t="s">
        <v>6155</v>
      </c>
      <c r="B2169" s="6" t="s">
        <v>6156</v>
      </c>
      <c r="C2169" s="3" t="str">
        <f ca="1">IFERROR(__xludf.DUMMYFUNCTION("GOOGLETRANSLATE(B2169,""auto"",""en"")"),"The present invention involves a detox rehabilitation training system based on virtual reality riding movement. It includes the central control management system, artificial intelligence's main scene control system, physiological data collection managemen"&amp;"t system, big data management storage system, and virtual reality riding training system Through virtual reality riding scenes combined with sports and fitness hardware, exercise rehabilitation training for detoxification personnel, and timely record user"&amp;"s' physiological data, including brain electrical and heart rate data. Monitor the health and health status of the trainers, and the invention solves the problem of interacting with venues, people and equipment in the rehabilitation training center; solve"&amp;" the problem of physical monitoring of students, automatic exercise data acquisition, summary, and analysis; Specialized issues; solve the problem of safety monitoring of rehabilitation training venues.")</f>
        <v>The present invention involves a detox rehabilitation training system based on virtual reality riding movement. It includes the central control management system, artificial intelligence's main scene control system, physiological data collection management system, big data management storage system, and virtual reality riding training system Through virtual reality riding scenes combined with sports and fitness hardware, exercise rehabilitation training for detoxification personnel, and timely record users' physiological data, including brain electrical and heart rate data. Monitor the health and health status of the trainers, and the invention solves the problem of interacting with venues, people and equipment in the rehabilitation training center; solve the problem of physical monitoring of students, automatic exercise data acquisition, summary, and analysis; Specialized issues; solve the problem of safety monitoring of rehabilitation training venues.</v>
      </c>
      <c r="D2169" s="6" t="s">
        <v>6157</v>
      </c>
      <c r="E2169" s="4" t="str">
        <f ca="1">IFERROR(__xludf.DUMMYFUNCTION("GOOGLETRANSLATE(D2169,""auto"",""en"")"),"A detox rehabilitation training system based on virtual reality cycling movement")</f>
        <v>A detox rehabilitation training system based on virtual reality cycling movement</v>
      </c>
    </row>
    <row r="2170" spans="1:5" ht="15" x14ac:dyDescent="0.25">
      <c r="A2170" s="5" t="s">
        <v>6158</v>
      </c>
      <c r="B2170" s="6" t="s">
        <v>6159</v>
      </c>
      <c r="C2170" s="3" t="str">
        <f ca="1">IFERROR(__xludf.DUMMYFUNCTION("GOOGLETRANSLATE(B2170,""auto"",""en"")"),"The present invention involves a detoxification rehabilitation training system based on virtual reality rowing movements. It includes the mid -control management system, artificial intelligence main scene control system, physiological data collection mana"&amp;"gement system, big data management storage system, and virtual reality boat rowing training system. Virtual reality row scenes combined with sports and fitness hardware to conduct exercise rehabilitation training for detoxification personnel, and timely r"&amp;"ecord users' physiological data, including brain electrical and heart rate data, use the analysis technique of artificial intelligence machine learning The physical health status is monitored and managed. The invention solves the problem of interacting wi"&amp;"th venues, people and equipment in the rehabilitation training center; solve the problem of physical monitoring of students, automatic exercise data acquisition, summary, and analysis; Questions; solve the problem of safety monitoring of rehabilitation tr"&amp;"aining venues.")</f>
        <v>The present invention involves a detoxification rehabilitation training system based on virtual reality rowing movements. It includes the mid -control management system, artificial intelligence main scene control system, physiological data collection management system, big data management storage system, and virtual reality boat rowing training system. Virtual reality row scenes combined with sports and fitness hardware to conduct exercise rehabilitation training for detoxification personnel, and timely record users' physiological data, including brain electrical and heart rate data, use the analysis technique of artificial intelligence machine learning The physical health status is monitored and managed. The invention solves the problem of interacting with venues, people and equipment in the rehabilitation training center; solve the problem of physical monitoring of students, automatic exercise data acquisition, summary, and analysis; Questions; solve the problem of safety monitoring of rehabilitation training venues.</v>
      </c>
      <c r="D2170" s="6" t="s">
        <v>6160</v>
      </c>
      <c r="E2170" s="4" t="str">
        <f ca="1">IFERROR(__xludf.DUMMYFUNCTION("GOOGLETRANSLATE(D2170,""auto"",""en"")"),"A detox rehabilitation training system based on virtual reality rowing exercise")</f>
        <v>A detox rehabilitation training system based on virtual reality rowing exercise</v>
      </c>
    </row>
    <row r="2171" spans="1:5" ht="15" x14ac:dyDescent="0.25">
      <c r="A2171" s="5" t="s">
        <v>6161</v>
      </c>
      <c r="B2171" s="6" t="s">
        <v>6162</v>
      </c>
      <c r="C2171" s="3" t="str">
        <f ca="1">IFERROR(__xludf.DUMMYFUNCTION("GOOGLETRANSLATE(B2171,""auto"",""en"")"),"The present invention involves a detoxification rehabilitation training system based on virtual reality mountaineering campaign. It includes the mid -control management system, artificial intelligence main scene control system, physiological data collecti"&amp;"on management system, big data management storage system, and virtual reality mountaineering training system. The virtual reality climbing scene combines sports and hardware to conduct exercise rehabilitation training for detoxification personnel, and tim"&amp;"ely record users' physiological data, including brain electrical and heart rate data. The analysis of artificial intelligence machine learning technologies conduct computing and analysis of physiological data to achieve training staff. The physical health"&amp;" status is monitored and managed. The invention solves the problem of interacting with venues, people and equipment in the rehabilitation training center; solve the problem of physical monitoring of students, automatic exercise data acquisition, summary, "&amp;"and analysis; Questions; solve the problem of safety monitoring of rehabilitation training venues.")</f>
        <v>The present invention involves a detoxification rehabilitation training system based on virtual reality mountaineering campaign. It includes the mid -control management system, artificial intelligence main scene control system, physiological data collection management system, big data management storage system, and virtual reality mountaineering training system. The virtual reality climbing scene combines sports and hardware to conduct exercise rehabilitation training for detoxification personnel, and timely record users' physiological data, including brain electrical and heart rate data. The analysis of artificial intelligence machine learning technologies conduct computing and analysis of physiological data to achieve training staff. The physical health status is monitored and managed. The invention solves the problem of interacting with venues, people and equipment in the rehabilitation training center; solve the problem of physical monitoring of students, automatic exercise data acquisition, summary, and analysis; Questions; solve the problem of safety monitoring of rehabilitation training venues.</v>
      </c>
      <c r="D2171" s="6" t="s">
        <v>6163</v>
      </c>
      <c r="E2171" s="4" t="str">
        <f ca="1">IFERROR(__xludf.DUMMYFUNCTION("GOOGLETRANSLATE(D2171,""auto"",""en"")"),"A detox rehabilitation training system based on virtual reality mountaineering movement")</f>
        <v>A detox rehabilitation training system based on virtual reality mountaineering movement</v>
      </c>
    </row>
    <row r="2172" spans="1:5" ht="15" x14ac:dyDescent="0.25">
      <c r="A2172" s="5" t="s">
        <v>6164</v>
      </c>
      <c r="B2172" s="6" t="s">
        <v>6165</v>
      </c>
      <c r="C2172" s="3" t="str">
        <f ca="1">IFERROR(__xludf.DUMMYFUNCTION("GOOGLETRANSLATE(B2172,""auto"",""en"")"),"This application provides a method, device and terminal device for camera control, which can make users perceive whether the camera is turned on, thereby effectively protecting the privacy of users. The method of the camera control includes: the terminal "&amp;"device obtains the first instruction of the user input, wherein the first instruction is used to play the action tutorial in the first application in the terminal device; The terminal device controls the camera turned on and pops up the terminal device, a"&amp;"nd obtains the image containing user actions after popping the terminal device. Among them, the user action is Essence The methods, devices, and terminal devices of this application embodiment can be applied to artificial intelligence (AI), and more speci"&amp;"fic can be applied to the field of intelligent fitness.")</f>
        <v>This application provides a method, device and terminal device for camera control, which can make users perceive whether the camera is turned on, thereby effectively protecting the privacy of users. The method of the camera control includes: the terminal device obtains the first instruction of the user input, wherein the first instruction is used to play the action tutorial in the first application in the terminal device; The terminal device controls the camera turned on and pops up the terminal device, and obtains the image containing user actions after popping the terminal device. Among them, the user action is Essence The methods, devices, and terminal devices of this application embodiment can be applied to artificial intelligence (AI), and more specific can be applied to the field of intelligent fitness.</v>
      </c>
      <c r="D2172" s="6" t="s">
        <v>6166</v>
      </c>
      <c r="E2172" s="4" t="str">
        <f ca="1">IFERROR(__xludf.DUMMYFUNCTION("GOOGLETRANSLATE(D2172,""auto"",""en"")"),"Method, device and terminal equipment of camera control")</f>
        <v>Method, device and terminal equipment of camera control</v>
      </c>
    </row>
    <row r="2173" spans="1:5" ht="15" x14ac:dyDescent="0.25">
      <c r="A2173" s="5" t="s">
        <v>6167</v>
      </c>
      <c r="B2173" s="6" t="s">
        <v>6168</v>
      </c>
      <c r="C2173" s="3" t="str">
        <f ca="1">IFERROR(__xludf.DUMMYFUNCTION("GOOGLETRANSLATE(B2173,""auto"",""en"")"),"This application provides a camera control method, device and terminal equipment. Users can perceive whether the camera is started to effectively protect user privacy. The camera control method includes: the first instruction of the terminal device to obt"&amp;"ain the user input, which is used to play action tutorials in the first application of the terminal device. The terminal device response to the first instruction to control the camera and pop up from the terminal device, and obtain images containing user "&amp;"actions after the camera pops up from the terminal device. The user's action is used to imitate the action tutorial by the user. The methods, devices and terminal devices of this application embodiment can be applied to the field of artificial intelligenc"&amp;"e (AI), which can be applied to the field of intelligent fitness.")</f>
        <v>This application provides a camera control method, device and terminal equipment. Users can perceive whether the camera is started to effectively protect user privacy. The camera control method includes: the first instruction of the terminal device to obtain the user input, which is used to play action tutorials in the first application of the terminal device. The terminal device response to the first instruction to control the camera and pop up from the terminal device, and obtain images containing user actions after the camera pops up from the terminal device. The user's action is used to imitate the action tutorial by the user. The methods, devices and terminal devices of this application embodiment can be applied to the field of artificial intelligence (AI), which can be applied to the field of intelligent fitness.</v>
      </c>
      <c r="D2173" s="6" t="s">
        <v>6169</v>
      </c>
      <c r="E2173" s="4" t="str">
        <f ca="1">IFERROR(__xludf.DUMMYFUNCTION("GOOGLETRANSLATE(D2173,""auto"",""en"")"),"Camera control method, device, terminal equipment")</f>
        <v>Camera control method, device, terminal equipment</v>
      </c>
    </row>
    <row r="2174" spans="1:5" ht="15" x14ac:dyDescent="0.25">
      <c r="A2174" s="5" t="s">
        <v>6170</v>
      </c>
      <c r="B2174" s="6" t="s">
        <v>6171</v>
      </c>
      <c r="C2174" s="3" t="str">
        <f ca="1">IFERROR(__xludf.DUMMYFUNCTION("GOOGLETRANSLATE(B2174,""auto"",""en"")"),"You can use machine learning to provide the virtual game world of computer games. The use of machine learning enables the virtual game world to be generated by standard consumer hardware equipment when runtime. The machine learning agent receives training"&amp;" in the world's characteristics in advance. Then, these properly trained machine learning agents can be used to generate the relevant parts of the virtual game world, such as the closest part of the game in the virtual game world. It is good for areas tha"&amp;"t can provide a virtual game world with high resolution and can cover a much larger area than conventional.")</f>
        <v>You can use machine learning to provide the virtual game world of computer games. The use of machine learning enables the virtual game world to be generated by standard consumer hardware equipment when runtime. The machine learning agent receives training in the world's characteristics in advance. Then, these properly trained machine learning agents can be used to generate the relevant parts of the virtual game world, such as the closest part of the game in the virtual game world. It is good for areas that can provide a virtual game world with high resolution and can cover a much larger area than conventional.</v>
      </c>
      <c r="D2174" s="6" t="s">
        <v>6172</v>
      </c>
      <c r="E2174" s="4" t="str">
        <f ca="1">IFERROR(__xludf.DUMMYFUNCTION("GOOGLETRANSLATE(D2174,""auto"",""en"")"),"Machine learning virtual game environment")</f>
        <v>Machine learning virtual game environment</v>
      </c>
    </row>
    <row r="2175" spans="1:5" ht="15" x14ac:dyDescent="0.25">
      <c r="A2175" s="5" t="s">
        <v>6173</v>
      </c>
      <c r="B2175" s="6" t="s">
        <v>6171</v>
      </c>
      <c r="C2175" s="3" t="str">
        <f ca="1">IFERROR(__xludf.DUMMYFUNCTION("GOOGLETRANSLATE(B2175,""auto"",""en"")"),"You can use machine learning to provide the virtual game world of computer games. The use of machine learning enables the virtual game world to be generated by standard consumer hardware equipment when runtime. The machine learning agent receives training"&amp;" in the world's characteristics in advance. Then, these properly trained machine learning agents can be used to generate the relevant parts of the virtual game world, such as the closest part of the game in the virtual game world. It is good for areas tha"&amp;"t can provide a virtual game world with high resolution and can cover a much larger area than conventional.")</f>
        <v>You can use machine learning to provide the virtual game world of computer games. The use of machine learning enables the virtual game world to be generated by standard consumer hardware equipment when runtime. The machine learning agent receives training in the world's characteristics in advance. Then, these properly trained machine learning agents can be used to generate the relevant parts of the virtual game world, such as the closest part of the game in the virtual game world. It is good for areas that can provide a virtual game world with high resolution and can cover a much larger area than conventional.</v>
      </c>
      <c r="D2175" s="6" t="s">
        <v>6174</v>
      </c>
      <c r="E2175" s="4" t="str">
        <f ca="1">IFERROR(__xludf.DUMMYFUNCTION("GOOGLETRANSLATE(D2175,""auto"",""en"")"),"Machine learning resolution of virtual gaming environment is enhanced")</f>
        <v>Machine learning resolution of virtual gaming environment is enhanced</v>
      </c>
    </row>
    <row r="2176" spans="1:5" ht="15" x14ac:dyDescent="0.25">
      <c r="A2176" s="5" t="s">
        <v>6175</v>
      </c>
      <c r="B2176" s="6" t="s">
        <v>6176</v>
      </c>
      <c r="C2176" s="3" t="str">
        <f ca="1">IFERROR(__xludf.DUMMYFUNCTION("GOOGLETRANSLATE(B2176,""auto"",""en"")"),"The present invention provides a swimming pool monitoring system, method and intelligent robot, which includes the system collection module, the density collection module of the swimming staff, the status of lifeguards, and the information feedback module"&amp;". The input terminal connection of the density collection module of the swimming staff and the life of the liferior status states, which is connected to the output terminal of the swimmer density collection module and the lifelong collection module. The d"&amp;"ensity of the swimmer in the swimming pool and the status of life -saving staff in real -time testing, unmanned management of lifeguards, and improve the safety of the personnel in the swimming pool.")</f>
        <v>The present invention provides a swimming pool monitoring system, method and intelligent robot, which includes the system collection module, the density collection module of the swimming staff, the status of lifeguards, and the information feedback module. The input terminal connection of the density collection module of the swimming staff and the life of the liferior status states, which is connected to the output terminal of the swimmer density collection module and the lifelong collection module. The density of the swimmer in the swimming pool and the status of life -saving staff in real -time testing, unmanned management of lifeguards, and improve the safety of the personnel in the swimming pool.</v>
      </c>
      <c r="D2176" s="6" t="s">
        <v>6177</v>
      </c>
      <c r="E2176" s="4" t="str">
        <f ca="1">IFERROR(__xludf.DUMMYFUNCTION("GOOGLETRANSLATE(D2176,""auto"",""en"")"),"A swimming pool monitoring system, method and intelligent robot")</f>
        <v>A swimming pool monitoring system, method and intelligent robot</v>
      </c>
    </row>
    <row r="2177" spans="1:5" ht="15" x14ac:dyDescent="0.25">
      <c r="A2177" s="5" t="s">
        <v>6178</v>
      </c>
      <c r="B2177" s="6" t="s">
        <v>6179</v>
      </c>
      <c r="C2177" s="3" t="str">
        <f ca="1">IFERROR(__xludf.DUMMYFUNCTION("GOOGLETRANSLATE(B2177,""auto"",""en"")"),"This openness involves the use of IoT (IoT) devices to promote blockchain affairs. A system and method of promoting the transactions between the Internet of Things (IoT) system and the blockchain without using the smart phone without using a smart phone. "&amp;"This system can have security, channel manager, message formatr, parameter enumerator and formattor, final formattor, notification, monitor, and integrated integrated device. The system can accept blockchain query from IoT devices, and can re -format the "&amp;"blockchain query and change the parameters to formats and parameter frameworks that can be processed by blockchain to other gymnastics operations. The system can also accept the response from the blockchain to the equal body, and it can re -format the res"&amp;"ponse and change the parameter to the format and parameter framework that can operate from the IoT device. The system can send a re -formatted response to the IoT device for display.")</f>
        <v>This openness involves the use of IoT (IoT) devices to promote blockchain affairs. A system and method of promoting the transactions between the Internet of Things (IoT) system and the blockchain without using the smart phone without using a smart phone. This system can have security, channel manager, message formatr, parameter enumerator and formattor, final formattor, notification, monitor, and integrated integrated device. The system can accept blockchain query from IoT devices, and can re -format the blockchain query and change the parameters to formats and parameter frameworks that can be processed by blockchain to other gymnastics operations. The system can also accept the response from the blockchain to the equal body, and it can re -format the response and change the parameter to the format and parameter framework that can operate from the IoT device. The system can send a re -formatted response to the IoT device for display.</v>
      </c>
      <c r="D2177" s="6" t="s">
        <v>6180</v>
      </c>
      <c r="E2177" s="4" t="str">
        <f ca="1">IFERROR(__xludf.DUMMYFUNCTION("GOOGLETRANSLATE(D2177,""auto"",""en"")"),"Use the IoT (IoT) device to promote blockchain affairs")</f>
        <v>Use the IoT (IoT) device to promote blockchain affairs</v>
      </c>
    </row>
    <row r="2178" spans="1:5" ht="15" x14ac:dyDescent="0.25">
      <c r="A2178" s="5" t="s">
        <v>6181</v>
      </c>
      <c r="B2178" s="6" t="s">
        <v>6182</v>
      </c>
      <c r="C2178" s="3" t="str">
        <f ca="1">IFERROR(__xludf.DUMMYFUNCTION("GOOGLETRANSLATE(B2178,""auto"",""en"")"),"The invention provides a system of a special voice recognition model that selects a special voice recognition model through the artificial intelligence voice recognition system for users to choose the appropriate model. In addition to the AI ​​voice recog"&amp;"nition server of General Model, the present invention also prepared voice models in various fields such as sports events, financial news models, and game live broadcast models. Different users can choose different voice models according to their needs or "&amp;"fields to get better services. If different users do not have a special choice, the AI ​​voice recognition server of the general model provides voice recognition services for different users.")</f>
        <v>The invention provides a system of a special voice recognition model that selects a special voice recognition model through the artificial intelligence voice recognition system for users to choose the appropriate model. In addition to the AI ​​voice recognition server of General Model, the present invention also prepared voice models in various fields such as sports events, financial news models, and game live broadcast models. Different users can choose different voice models according to their needs or fields to get better services. If different users do not have a special choice, the AI ​​voice recognition server of the general model provides voice recognition services for different users.</v>
      </c>
      <c r="D2178" s="6" t="s">
        <v>6183</v>
      </c>
      <c r="E2178" s="4" t="str">
        <f ca="1">IFERROR(__xludf.DUMMYFUNCTION("GOOGLETRANSLATE(D2178,""auto"",""en"")"),"Artificial intelligence voice recognition system that can choose models")</f>
        <v>Artificial intelligence voice recognition system that can choose models</v>
      </c>
    </row>
    <row r="2179" spans="1:5" ht="15" x14ac:dyDescent="0.25">
      <c r="A2179" s="5" t="s">
        <v>6184</v>
      </c>
      <c r="B2179" s="6" t="s">
        <v>4139</v>
      </c>
      <c r="C2179" s="3" t="str">
        <f ca="1">IFERROR(__xludf.DUMMYFUNCTION("GOOGLETRANSLATE(B2179,""auto"",""en"")"),"In one embodiment, a method for training a machine learning model with multiple parameters includes instantiated trainers. Each training device is associated with the local version of the work thread, synchronization thread and parameters. Perform trainin"&amp;"g operations, including using its associated work threads to generate the local version for each trainer to generate parameters. At the same time, the work thread is performing training operations, using synchronous threads to perform synchronous operatio"&amp;"ns Based on the global version, the synchronous local version of the parameters of each trainer generates parameters. The synchronous local parameter version continues to perform training operations, and at least based on the final local version of the pa"&amp;"rameter version of the parameter version of the parameter version of the parameter version of the parameter of the parameter of the parameter of the parameter of the parameters of the parameters of the parameters of the parameters of the parameters of the"&amp;" parameters of the parameters. Essence")</f>
        <v>In one embodiment, a method for training a machine learning model with multiple parameters includes instantiated trainers. Each training device is associated with the local version of the work thread, synchronization thread and parameters. Perform training operations, including using its associated work threads to generate the local version for each trainer to generate parameters. At the same time, the work thread is performing training operations, using synchronous threads to perform synchronous operations Based on the global version, the synchronous local version of the parameters of each trainer generates parameters. The synchronous local parameter version continues to perform training operations, and at least based on the final local version of the parameter version of the parameter version of the parameter version of the parameter version of the parameter of the parameter of the parameter of the parameter of the parameters of the parameters of the parameters of the parameters of the parameters of the parameters of the parameters. Essence</v>
      </c>
      <c r="D2179" s="6" t="s">
        <v>4142</v>
      </c>
      <c r="E2179" s="4" t="str">
        <f ca="1">IFERROR(__xludf.DUMMYFUNCTION("GOOGLETRANSLATE(D2179,""auto"",""en"")"),"Execute synchronization in the background for highly scalable distributed training")</f>
        <v>Execute synchronization in the background for highly scalable distributed training</v>
      </c>
    </row>
    <row r="2180" spans="1:5" ht="15" x14ac:dyDescent="0.25">
      <c r="A2180" s="5" t="s">
        <v>6185</v>
      </c>
      <c r="B2180" s="6" t="s">
        <v>6186</v>
      </c>
      <c r="C2180" s="3" t="str">
        <f ca="1">IFERROR(__xludf.DUMMYFUNCTION("GOOGLETRANSLATE(B2180,""auto"",""en"")"),"With the advancement of deep learning, computer vision is developing every day. The residual neural network is one of this image classification technology. The invention is the application of the Resnet 50, the purpose is to use the handwriting biological"&amp;" characteristics to identify the author -signature. Different signature verification competitions use many methods. Here is the SIGCOMP2009 dataset and discuss the results of the experiment. For 780 signatures randomly used from ICDAR 2009 real signature "&amp;"data concentration, ResNet 50 can reach 92% accuracy.")</f>
        <v>With the advancement of deep learning, computer vision is developing every day. The residual neural network is one of this image classification technology. The invention is the application of the Resnet 50, the purpose is to use the handwriting biological characteristics to identify the author -signature. Different signature verification competitions use many methods. Here is the SIGCOMP2009 dataset and discuss the results of the experiment. For 780 signatures randomly used from ICDAR 2009 real signature data concentration, ResNet 50 can reach 92% accuracy.</v>
      </c>
      <c r="D2180" s="6" t="s">
        <v>6187</v>
      </c>
      <c r="E2180" s="4" t="str">
        <f ca="1">IFERROR(__xludf.DUMMYFUNCTION("GOOGLETRANSLATE(D2180,""auto"",""en"")"),"Use neural network for author recognition")</f>
        <v>Use neural network for author recognition</v>
      </c>
    </row>
    <row r="2181" spans="1:5" ht="15" x14ac:dyDescent="0.25">
      <c r="A2181" s="5" t="s">
        <v>6188</v>
      </c>
      <c r="B2181" s="6" t="s">
        <v>6189</v>
      </c>
      <c r="C2181" s="3" t="str">
        <f ca="1">IFERROR(__xludf.DUMMYFUNCTION("GOOGLETRANSLATE(B2181,""auto"",""en"")"),"The invention involves a sprint athlete's muscle fatigue prediction system, including communication module (103) (104), EMG (muscle) sensor (102), amplifier (105), microcontroller (106), and display (107). In this public, the output of the EMG (muscle) se"&amp;"nsor placed on the sprint athlete's muscle is transmitted by transmitting information to the cloud in the cloud, and the muscle fatigue is predicting the muscle fatigue based on the machine algorithm for pattern classification.")</f>
        <v>The invention involves a sprint athlete's muscle fatigue prediction system, including communication module (103) (104), EMG (muscle) sensor (102), amplifier (105), microcontroller (106), and display (107). In this public, the output of the EMG (muscle) sensor placed on the sprint athlete's muscle is transmitted by transmitting information to the cloud in the cloud, and the muscle fatigue is predicting the muscle fatigue based on the machine algorithm for pattern classification.</v>
      </c>
      <c r="D2181" s="6" t="s">
        <v>6190</v>
      </c>
      <c r="E2181" s="4" t="str">
        <f ca="1">IFERROR(__xludf.DUMMYFUNCTION("GOOGLETRANSLATE(D2181,""auto"",""en"")"),"Machine learning -based sprint athlete muscle fatigue prediction system")</f>
        <v>Machine learning -based sprint athlete muscle fatigue prediction system</v>
      </c>
    </row>
    <row r="2182" spans="1:5" ht="15" x14ac:dyDescent="0.25">
      <c r="A2182" s="5" t="s">
        <v>6191</v>
      </c>
      <c r="B2182" s="6" t="s">
        <v>6192</v>
      </c>
      <c r="C2182" s="3" t="str">
        <f ca="1">IFERROR(__xludf.DUMMYFUNCTION("GOOGLETRANSLATE(B2182,""auto"",""en"")"),"1. Design product name: Display sports data graphical user interface of the display screen panel.
 2. The purpose of designing products in this exterior: It is used for running software. The display screen is used for mobile phones, tablets, treadmills,"&amp;" elliptical machines, dynamic bicycles, rowing machines, mountaineers, fitness cars.
 3. Design of the design of the product in this exterior: lies in the software graphics user interface displayed in the screen.
 4. Pictures or photos that can most i"&amp;"ndicate design points: main view.
 5. There is no design point for other views, omitting other views.
 6. The purpose of graphical user interface: This design is used to view the status of other users and the graphical user interface that understands "&amp;"the current motion data and status.
 7. Human -computer interaction method of graphical user interface: The main view is the display interface of the resistance value of the user during the initial state during the movement of the user, the interface ch"&amp;"ange state diagram 1 and the interface change state. 2 is the display interface when different resistance values. Change status Figure 3 is the display interface with the largest resistance value. If the exercise is naturally ends, it will automatically j"&amp;"ump to the interface change state. Figure 4. If someone interfere during exercise, it will show the interface change state. 5.")</f>
        <v>1. Design product name: Display sports data graphical user interface of the display screen panel.
 2. The purpose of designing products in this exterior: It is used for running software. The display screen is used for mobile phones, tablets, treadmills, elliptical machines, dynamic bicycles, rowing machines, mountaineers, fitness cars.
 3. Design of the design of the product in this exterior: lies in the software graphics user interface displayed in the screen.
 4. Pictures or photos that can most indicate design points: main view.
 5. There is no design point for other views, omitting other views.
 6. The purpose of graphical user interface: This design is used to view the status of other users and the graphical user interface that understands the current motion data and status.
 7. Human -computer interaction method of graphical user interface: The main view is the display interface of the resistance value of the user during the initial state during the movement of the user, the interface change state diagram 1 and the interface change state. 2 is the display interface when different resistance values. Change status Figure 3 is the display interface with the largest resistance value. If the exercise is naturally ends, it will automatically jump to the interface change state. Figure 4. If someone interfere during exercise, it will show the interface change state. 5.</v>
      </c>
      <c r="D2182" s="6" t="s">
        <v>6193</v>
      </c>
      <c r="E2182" s="4" t="str">
        <f ca="1">IFERROR(__xludf.DUMMYFUNCTION("GOOGLETRANSLATE(D2182,""auto"",""en"")"),"Display on the display of the display of the sports data graphics user interface of the display screen panel")</f>
        <v>Display on the display of the display of the sports data graphics user interface of the display screen panel</v>
      </c>
    </row>
    <row r="2183" spans="1:5" ht="15" x14ac:dyDescent="0.25">
      <c r="A2183" s="5" t="s">
        <v>6194</v>
      </c>
      <c r="B2183" s="6" t="s">
        <v>6195</v>
      </c>
      <c r="C2183" s="3" t="str">
        <f ca="1">IFERROR(__xludf.DUMMYFUNCTION("GOOGLETRANSLATE(B2183,""auto"",""en"")"),"A mixed method for mixed methods for using AI agents and human agents to provide behavior guidance. Support hybrid coach mode, where the dialogue can be passed to human agents from the AI ​​agent. In some embodiments, the cooperation mode supports guidanc"&amp;"e, where human agency cooperation with AI agents.")</f>
        <v>A mixed method for mixed methods for using AI agents and human agents to provide behavior guidance. Support hybrid coach mode, where the dialogue can be passed to human agents from the AI ​​agent. In some embodiments, the cooperation mode supports guidance, where human agency cooperation with AI agents.</v>
      </c>
      <c r="D2183" s="6" t="s">
        <v>6196</v>
      </c>
      <c r="E2183" s="4" t="str">
        <f ca="1">IFERROR(__xludf.DUMMYFUNCTION("GOOGLETRANSLATE(D2183,""auto"",""en"")"),"Combined with artificial intelligence -based personal assistants and human assistants to achieve long -term goals")</f>
        <v>Combined with artificial intelligence -based personal assistants and human assistants to achieve long -term goals</v>
      </c>
    </row>
    <row r="2184" spans="1:5" ht="15" x14ac:dyDescent="0.25">
      <c r="A2184" s="5" t="s">
        <v>6197</v>
      </c>
      <c r="B2184" s="6" t="s">
        <v>6195</v>
      </c>
      <c r="C2184" s="3" t="str">
        <f ca="1">IFERROR(__xludf.DUMMYFUNCTION("GOOGLETRANSLATE(B2184,""auto"",""en"")"),"A mixed method for mixed methods for using AI agents and human agents to provide behavior guidance. Support hybrid coach mode, where the dialogue can be passed to human agents from the AI ​​agent. In some embodiments, the cooperation mode supports guidanc"&amp;"e, where human agency cooperation with AI agents.")</f>
        <v>A mixed method for mixed methods for using AI agents and human agents to provide behavior guidance. Support hybrid coach mode, where the dialogue can be passed to human agents from the AI ​​agent. In some embodiments, the cooperation mode supports guidance, where human agency cooperation with AI agents.</v>
      </c>
      <c r="D2184" s="6" t="s">
        <v>6196</v>
      </c>
      <c r="E2184" s="4" t="str">
        <f ca="1">IFERROR(__xludf.DUMMYFUNCTION("GOOGLETRANSLATE(D2184,""auto"",""en"")"),"Combined with artificial intelligence -based personal assistants and human assistants to achieve long -term goals")</f>
        <v>Combined with artificial intelligence -based personal assistants and human assistants to achieve long -term goals</v>
      </c>
    </row>
    <row r="2185" spans="1:5" ht="15" x14ac:dyDescent="0.25">
      <c r="A2185" s="5" t="s">
        <v>6198</v>
      </c>
      <c r="B2185" s="6" t="s">
        <v>6199</v>
      </c>
      <c r="C2185" s="3" t="str">
        <f ca="1">IFERROR(__xludf.DUMMYFUNCTION("GOOGLETRANSLATE(B2185,""auto"",""en"")"),"My invention ""Emotional Analysis of Artificial Intelligence"" is a process and technology that provides emotional analysis. Example provides a SAS emotional analysis system that provides tools to enable, describe, inventors, authors, programmers, users, "&amp;"developers, thinkers, actors, Kashan, etc. to combine emotional analysis into their content, such as them The webpage WhatsApp, email and other online blogs or text content. The emotional analysis system includes one or more functional components/modules "&amp;"that work together to provide emotional analysis of a set of content stored in a global database. For example, SAS can include analyzing engines, APIs, and example user interface tools, such as real -time updated small components that can be embedded in o"&amp;"ther content (such as, third -party website). The emotional analysis engine is responsible for the various relationships, inventors, authors, programmers, users, developers, thinkers, actors, and Kashan according to the emotional determination and classif"&amp;"ication of the underlying content. The emotional analysis engine can use different technologies to find emotions, such as using specific verbs, phrases and inspirational relationships, and the same modification of/or combined with machine learning technol"&amp;"ogy. SAS is committed to understanding the emotional or positive and negative expression of entities. You can use emotional API to build a variety of applications, including but not limited to: market intelligence, market research, sports and entertainmen"&amp;"t, brand management, product reviews, etc. Find out a percentage of the positive and negative emotional expression about a entity or the result of the result.")</f>
        <v>My invention "Emotional Analysis of Artificial Intelligence" is a process and technology that provides emotional analysis. Example provides a SAS emotional analysis system that provides tools to enable, describe, inventors, authors, programmers, users, developers, thinkers, actors, Kashan, etc. to combine emotional analysis into their content, such as them The webpage WhatsApp, email and other online blogs or text content. The emotional analysis system includes one or more functional components/modules that work together to provide emotional analysis of a set of content stored in a global database. For example, SAS can include analyzing engines, APIs, and example user interface tools, such as real -time updated small components that can be embedded in other content (such as, third -party website). The emotional analysis engine is responsible for the various relationships, inventors, authors, programmers, users, developers, thinkers, actors, and Kashan according to the emotional determination and classification of the underlying content. The emotional analysis engine can use different technologies to find emotions, such as using specific verbs, phrases and inspirational relationships, and the same modification of/or combined with machine learning technology. SAS is committed to understanding the emotional or positive and negative expression of entities. You can use emotional API to build a variety of applications, including but not limited to: market intelligence, market research, sports and entertainment, brand management, product reviews, etc. Find out a percentage of the positive and negative emotional expression about a entity or the result of the result.</v>
      </c>
      <c r="D2185" s="6" t="s">
        <v>6200</v>
      </c>
      <c r="E2185" s="4" t="str">
        <f ca="1">IFERROR(__xludf.DUMMYFUNCTION("GOOGLETRANSLATE(D2185,""auto"",""en"")"),"Emotional analysis based on artificial intelligence: uses deep learning and machine learning programming based on artificial intelligence -based emotional analysis.")</f>
        <v>Emotional analysis based on artificial intelligence: uses deep learning and machine learning programming based on artificial intelligence -based emotional analysis.</v>
      </c>
    </row>
    <row r="2186" spans="1:5" ht="15" x14ac:dyDescent="0.25">
      <c r="A2186" s="5" t="s">
        <v>6201</v>
      </c>
      <c r="B2186" s="6" t="s">
        <v>6202</v>
      </c>
      <c r="C2186" s="3" t="str">
        <f ca="1">IFERROR(__xludf.DUMMYFUNCTION("GOOGLETRANSLATE(B2186,""auto"",""en"")"),"A monitoring and game recommendation system for football. It uses a combination of historical and real -time data to prove the coach recommendation. In one example, the coach suggests that the proposal to try to shoot, abandon or try the fourth downward c"&amp;"onversion based on the fourth end of the game. Each recommendation is associated with the team's final win probability. The data that the system relies on can be changed according to the scheduled file data of various on -site teams or the attributes of i"&amp;"ndividual teams by changing the attributes of individual teams by the absence or existence of individual players. It is recommended to provide and forward it to the user interface in the form of visualization. The system can also work on the media platfor"&amp;"m to modify live video feedback and present some game winning opportunities to family audiences.")</f>
        <v>A monitoring and game recommendation system for football. It uses a combination of historical and real -time data to prove the coach recommendation. In one example, the coach suggests that the proposal to try to shoot, abandon or try the fourth downward conversion based on the fourth end of the game. Each recommendation is associated with the team's final win probability. The data that the system relies on can be changed according to the scheduled file data of various on -site teams or the attributes of individual teams by changing the attributes of individual teams by the absence or existence of individual players. It is recommended to provide and forward it to the user interface in the form of visualization. The system can also work on the media platform to modify live video feedback and present some game winning opportunities to family audiences.</v>
      </c>
      <c r="D2186" s="6" t="s">
        <v>6203</v>
      </c>
      <c r="E2186" s="4" t="str">
        <f ca="1">IFERROR(__xludf.DUMMYFUNCTION("GOOGLETRANSLATE(D2186,""auto"",""en"")"),"Game monitoring and game decision recommendation system")</f>
        <v>Game monitoring and game decision recommendation system</v>
      </c>
    </row>
    <row r="2187" spans="1:5" ht="15" x14ac:dyDescent="0.25">
      <c r="A2187" s="5" t="s">
        <v>6204</v>
      </c>
      <c r="B2187" s="6" t="s">
        <v>6205</v>
      </c>
      <c r="C2187" s="3" t="str">
        <f ca="1">IFERROR(__xludf.DUMMYFUNCTION("GOOGLETRANSLATE(B2187,""auto"",""en"")"),"The present invention is a recommended system and method of sports supplement, including sports supplements product information and product component information. Sports/diet supplements questionnaires designed by sports nutritionists and sports nutrition"&amp;" coaches to identify the characteristics and product needs of consumers; Determine the factors that consumers consider when buying sports supplements; it includes steps that use artificial intelligence -based customized recommendations designed by sports "&amp;"nutritionists and sports nutrition coaches to recommend products suitable for consumers.")</f>
        <v>The present invention is a recommended system and method of sports supplement, including sports supplements product information and product component information. Sports/diet supplements questionnaires designed by sports nutritionists and sports nutrition coaches to identify the characteristics and product needs of consumers; Determine the factors that consumers consider when buying sports supplements; it includes steps that use artificial intelligence -based customized recommendations designed by sports nutritionists and sports nutrition coaches to recommend products suitable for consumers.</v>
      </c>
      <c r="D2187" s="6" t="s">
        <v>6206</v>
      </c>
      <c r="E2187" s="4" t="str">
        <f ca="1">IFERROR(__xludf.DUMMYFUNCTION("GOOGLETRANSLATE(D2187,""auto"",""en"")"),"Sports supplementary personalized recommendation system and method")</f>
        <v>Sports supplementary personalized recommendation system and method</v>
      </c>
    </row>
    <row r="2188" spans="1:5" ht="15" x14ac:dyDescent="0.25">
      <c r="A2188" s="5" t="s">
        <v>6207</v>
      </c>
      <c r="B2188" s="6" t="s">
        <v>6208</v>
      </c>
      <c r="C2188" s="3" t="str">
        <f ca="1">IFERROR(__xludf.DUMMYFUNCTION("GOOGLETRANSLATE(B2188,""auto"",""en"")"),"The present invention exposes a boxing sandbag synchronization control method, which includes the following steps: set the coach sandbag; use the Internet of Things sensor sensor to induced the coach's boxing action, and convert the position of the boxing"&amp;" movement into the hit position information to Data processing device; set up multiple trainees sandbags; and connect multiple students sandbags to the data processing device, synchronize the hitting location information and convert it to the light number"&amp;" to control the signal The corresponding strike practice area is hit.")</f>
        <v>The present invention exposes a boxing sandbag synchronization control method, which includes the following steps: set the coach sandbag; use the Internet of Things sensor sensor to induced the coach's boxing action, and convert the position of the boxing movement into the hit position information to Data processing device; set up multiple trainees sandbags; and connect multiple students sandbags to the data processing device, synchronize the hitting location information and convert it to the light number to control the signal The corresponding strike practice area is hit.</v>
      </c>
      <c r="D2188" s="6" t="s">
        <v>6209</v>
      </c>
      <c r="E2188" s="4" t="str">
        <f ca="1">IFERROR(__xludf.DUMMYFUNCTION("GOOGLETRANSLATE(D2188,""auto"",""en"")"),"Boxing sandbag synchronization control method")</f>
        <v>Boxing sandbag synchronization control method</v>
      </c>
    </row>
    <row r="2189" spans="1:5" ht="15" x14ac:dyDescent="0.25">
      <c r="A2189" s="5" t="s">
        <v>6210</v>
      </c>
      <c r="B2189" s="6" t="s">
        <v>6211</v>
      </c>
      <c r="C2189" s="3" t="str">
        <f ca="1">IFERROR(__xludf.DUMMYFUNCTION("GOOGLETRANSLATE(B2189,""auto"",""en"")"),"The embodiment of this application provides a target user locking method and electronic equipment, involving the field of electronic equipment. The method provided in this application can be applied to the fitness scene of artificial intelligence (AI). It"&amp;" can ensure the accuracy of the target user's lock. Electronic devices can identify users by identifying user characteristics, or combined with data collected by the wearable device worn by the user, or identify the user's motion mode. Tracking.")</f>
        <v>The embodiment of this application provides a target user locking method and electronic equipment, involving the field of electronic equipment. The method provided in this application can be applied to the fitness scene of artificial intelligence (AI). It can ensure the accuracy of the target user's lock. Electronic devices can identify users by identifying user characteristics, or combined with data collected by the wearable device worn by the user, or identify the user's motion mode. Tracking.</v>
      </c>
      <c r="D2189" s="6" t="s">
        <v>6212</v>
      </c>
      <c r="E2189" s="4" t="str">
        <f ca="1">IFERROR(__xludf.DUMMYFUNCTION("GOOGLETRANSLATE(D2189,""auto"",""en"")"),"A target user lock method and electronic equipment")</f>
        <v>A target user lock method and electronic equipment</v>
      </c>
    </row>
    <row r="2190" spans="1:5" ht="15" x14ac:dyDescent="0.25">
      <c r="A2190" s="5" t="s">
        <v>6213</v>
      </c>
      <c r="B2190" s="6" t="s">
        <v>6214</v>
      </c>
      <c r="C2190" s="3" t="str">
        <f ca="1">IFERROR(__xludf.DUMMYFUNCTION("GOOGLETRANSLATE(B2190,""auto"",""en"")"),"A way of predicting a long -term enjoyment reaction to a predictive individual's rejection of at least one scheduled stimulus. This method includes: (A) During the initial exposure period, the individual exposes multiple times to at least one feeling stim"&amp;"ulus according to the exposure mode; ) Provide data from the running machine algorithm that indicates the personal enjoyment response and exposure mode; (d) Through machine learning algorithm, the predicted predictive prediction period after the initial e"&amp;"xposure period predicts the long -term enjoyment of individuals to sensory stimulation.")</f>
        <v>A way of predicting a long -term enjoyment reaction to a predictive individual's rejection of at least one scheduled stimulus. This method includes: (A) During the initial exposure period, the individual exposes multiple times to at least one feeling stimulus according to the exposure mode; ) Provide data from the running machine algorithm that indicates the personal enjoyment response and exposure mode; (d) Through machine learning algorithm, the predicted predictive prediction period after the initial exposure period predicts the long -term enjoyment of individuals to sensory stimulation.</v>
      </c>
      <c r="D2190" s="6" t="s">
        <v>6215</v>
      </c>
      <c r="E2190" s="4" t="str">
        <f ca="1">IFERROR(__xludf.DUMMYFUNCTION("GOOGLETRANSLATE(D2190,""auto"",""en"")"),"Predictive long -term pleasure reactions to sensory stimuli")</f>
        <v>Predictive long -term pleasure reactions to sensory stimuli</v>
      </c>
    </row>
    <row r="2191" spans="1:5" ht="15" x14ac:dyDescent="0.25">
      <c r="A2191" s="5" t="s">
        <v>6216</v>
      </c>
      <c r="B2191" s="6" t="s">
        <v>6217</v>
      </c>
      <c r="C2191" s="3" t="str">
        <f ca="1">IFERROR(__xludf.DUMMYFUNCTION("GOOGLETRANSLATE(B2191,""auto"",""en"")"),"The embodiments of this application provide a method and electronic equipment that lock the target user, involving the field of electronic equipment. The method provided by this application can be applied to the fitness scene of artificial intelligence (A"&amp;"I) to ensure the accuracy of target users. Electronic devices can identify target users such as data recognition users, identifying motion mode and other methods through identification of user characteristics, reference to the wearable device wearable dev"&amp;"ice, and follow -up users of target users during fitness.")</f>
        <v>The embodiments of this application provide a method and electronic equipment that lock the target user, involving the field of electronic equipment. The method provided by this application can be applied to the fitness scene of artificial intelligence (AI) to ensure the accuracy of target users. Electronic devices can identify target users such as data recognition users, identifying motion mode and other methods through identification of user characteristics, reference to the wearable device wearable device, and follow -up users of target users during fitness.</v>
      </c>
      <c r="D2191" s="6" t="s">
        <v>3010</v>
      </c>
      <c r="E2191" s="4" t="str">
        <f ca="1">IFERROR(__xludf.DUMMYFUNCTION("GOOGLETRANSLATE(D2191,""auto"",""en"")"),"Target user locking method and electronic equipment")</f>
        <v>Target user locking method and electronic equipment</v>
      </c>
    </row>
    <row r="2192" spans="1:5" ht="15" x14ac:dyDescent="0.25">
      <c r="A2192" s="5" t="s">
        <v>6218</v>
      </c>
      <c r="B2192" s="6" t="s">
        <v>6217</v>
      </c>
      <c r="C2192" s="3" t="str">
        <f ca="1">IFERROR(__xludf.DUMMYFUNCTION("GOOGLETRANSLATE(B2192,""auto"",""en"")"),"The embodiments of this application provide a method and electronic equipment that lock the target user, involving the field of electronic equipment. The method provided by this application can be applied to the fitness scene of artificial intelligence (A"&amp;"I) to ensure the accuracy of target users. Electronic devices can identify target users such as data recognition users, identifying motion mode and other methods through identification of user characteristics, reference to the wearable device wearable dev"&amp;"ice, and follow -up users of target users during fitness.")</f>
        <v>The embodiments of this application provide a method and electronic equipment that lock the target user, involving the field of electronic equipment. The method provided by this application can be applied to the fitness scene of artificial intelligence (AI) to ensure the accuracy of target users. Electronic devices can identify target users such as data recognition users, identifying motion mode and other methods through identification of user characteristics, reference to the wearable device wearable device, and follow -up users of target users during fitness.</v>
      </c>
      <c r="D2192" s="6" t="s">
        <v>3010</v>
      </c>
      <c r="E2192" s="4" t="str">
        <f ca="1">IFERROR(__xludf.DUMMYFUNCTION("GOOGLETRANSLATE(D2192,""auto"",""en"")"),"Target user locking method and electronic equipment")</f>
        <v>Target user locking method and electronic equipment</v>
      </c>
    </row>
    <row r="2193" spans="1:5" ht="15" x14ac:dyDescent="0.25">
      <c r="A2193" s="5" t="s">
        <v>6219</v>
      </c>
      <c r="B2193" s="6" t="s">
        <v>6220</v>
      </c>
      <c r="C2193" s="3" t="str">
        <f ca="1">IFERROR(__xludf.DUMMYFUNCTION("GOOGLETRANSLATE(B2193,""auto"",""en"")"),"The embodiment of this application provides a method and electronic equipment that locks the target user, involving the field of electronic equipment. The method provided by this application can be applied to artificial intelligence (AI) fitness scenarios"&amp;", and can ensure the accuracy of target users. By identifying the characteristics of user characteristics, data identification users collected by the wearable device worn by users, and the method of motion of the user's movement, you can identify and trac"&amp;"k the target users of electronic equipment during fitness.")</f>
        <v>The embodiment of this application provides a method and electronic equipment that locks the target user, involving the field of electronic equipment. The method provided by this application can be applied to artificial intelligence (AI) fitness scenarios, and can ensure the accuracy of target users. By identifying the characteristics of user characteristics, data identification users collected by the wearable device worn by users, and the method of motion of the user's movement, you can identify and track the target users of electronic equipment during fitness.</v>
      </c>
      <c r="D2193" s="6" t="s">
        <v>6221</v>
      </c>
      <c r="E2193" s="4" t="str">
        <f ca="1">IFERROR(__xludf.DUMMYFUNCTION("GOOGLETRANSLATE(D2193,""auto"",""en"")"),"Target user locking method and electronic equipment")</f>
        <v>Target user locking method and electronic equipment</v>
      </c>
    </row>
    <row r="2194" spans="1:5" ht="15" x14ac:dyDescent="0.25">
      <c r="A2194" s="5" t="s">
        <v>6222</v>
      </c>
      <c r="B2194" s="6" t="s">
        <v>6223</v>
      </c>
      <c r="C2194" s="3" t="str">
        <f ca="1">IFERROR(__xludf.DUMMYFUNCTION("GOOGLETRANSLATE(B2194,""auto"",""en"")"),"This application disclosed a digital man's fitness coach guidance method, device, electronic equipment and storage medium, involving human -machine interaction technology fields. The body type parameters generate a virtual number person; determine the fit"&amp;"ness guidance information based on the fitness plan of the target object obtained; the fitness guidance information and the virtual number person generate fitness videos based on the fitness guidance information and the virtual digital person. Objects per"&amp;"form fitness guidance. This application can give more accurate action guidance to the target object, and then improve the fitness effect.")</f>
        <v>This application disclosed a digital man's fitness coach guidance method, device, electronic equipment and storage medium, involving human -machine interaction technology fields. The body type parameters generate a virtual number person; determine the fitness guidance information based on the fitness plan of the target object obtained; the fitness guidance information and the virtual number person generate fitness videos based on the fitness guidance information and the virtual digital person. Objects perform fitness guidance. This application can give more accurate action guidance to the target object, and then improve the fitness effect.</v>
      </c>
      <c r="D2194" s="6" t="s">
        <v>6224</v>
      </c>
      <c r="E2194" s="4" t="str">
        <f ca="1">IFERROR(__xludf.DUMMYFUNCTION("GOOGLETRANSLATE(D2194,""auto"",""en"")"),"Digital people's fitness coach guidance methods, devices, electronic equipment and storage media")</f>
        <v>Digital people's fitness coach guidance methods, devices, electronic equipment and storage media</v>
      </c>
    </row>
    <row r="2195" spans="1:5" ht="15" x14ac:dyDescent="0.25">
      <c r="A2195" s="5" t="s">
        <v>6225</v>
      </c>
      <c r="B2195" s="6" t="s">
        <v>6226</v>
      </c>
      <c r="C2195" s="3" t="str">
        <f ca="1">IFERROR(__xludf.DUMMYFUNCTION("GOOGLETRANSLATE(B2195,""auto"",""en"")"),"The present invention disclosed a visual tracking method based on attention mechanism. The specific operation steps are: (1), process the image data set, including the unified size; (2), build a target status estimate deep learning network, extract the lo"&amp;"cation information of the target; Training data input (2) The deep learning network constructed in the training data is trained until the network convergence gets a trained network model, and the network outputs a adjustment vector; (4) use steps (3) trai"&amp;"ning network models for testing. For the target coordinates of the first frame of the first frame picture to be tested, and then enter the steps (2) the target status estimate network and target classification network, the target classification network ob"&amp;"tains a rough target position, and then the target state estimation network will get the network obtain Relatively accurate target status. The method of this invention can more accurately extract the location information of the target, thereby more accura"&amp;"te estimation of tracking target status.")</f>
        <v>The present invention disclosed a visual tracking method based on attention mechanism. The specific operation steps are: (1), process the image data set, including the unified size; (2), build a target status estimate deep learning network, extract the location information of the target; Training data input (2) The deep learning network constructed in the training data is trained until the network convergence gets a trained network model, and the network outputs a adjustment vector; (4) use steps (3) training network models for testing. For the target coordinates of the first frame of the first frame picture to be tested, and then enter the steps (2) the target status estimate network and target classification network, the target classification network obtains a rough target position, and then the target state estimation network will get the network obtain Relatively accurate target status. The method of this invention can more accurately extract the location information of the target, thereby more accurate estimation of tracking target status.</v>
      </c>
      <c r="D2195" s="6" t="s">
        <v>6227</v>
      </c>
      <c r="E2195" s="4" t="str">
        <f ca="1">IFERROR(__xludf.DUMMYFUNCTION("GOOGLETRANSLATE(D2195,""auto"",""en"")"),"A visual tracking method based on attention mechanism")</f>
        <v>A visual tracking method based on attention mechanism</v>
      </c>
    </row>
    <row r="2196" spans="1:5" ht="15" x14ac:dyDescent="0.25">
      <c r="A2196" s="5" t="s">
        <v>6228</v>
      </c>
      <c r="B2196" s="6" t="s">
        <v>6229</v>
      </c>
      <c r="C2196" s="3" t="str">
        <f ca="1">IFERROR(__xludf.DUMMYFUNCTION("GOOGLETRANSLATE(B2196,""auto"",""en"")"),"1. The name of the product in appearance: The map user interface for the display screen panel.
 2. Design product use: The display screen panel is used to display the graphical user interface.
 3. Design of the design of the product in appearance: lie"&amp;"s in the graphic user interface.
 4. Pictures or photos that can most indicate design points: main view.
 5. The purpose of graphical user interface: used to display information, including map/navigation, media/entertainment, and communication informa"&amp;"tion.
 6. Human -computer interaction method of graphical user interface: Graphic user interface can be in contact with, such as touch, light strike, rolling, sliding,/or pressing the screen panel to interact, and/or electronic electronic with the displ"&amp;"ay screen panel by operating operations can be operated by operation. Interaction to interact.
 7.显示屏幕面板和图形用户界面可以应用于计算机、笔记本电脑、用于车辆的显示装置、GPS装置、导航仪、平板电脑、手机、智能手机、智能手环、智能眼镜、手表、智能手表、 Fitness monitor, headset headphones, personal digital assistants, smart spe"&amp;"akers, television, set -top boxes, and game consoles; display screen panels are commonly designed, so omitted other views; The light -gray area marked A in the mark A represents the image, which can be variable content.")</f>
        <v>1. The name of the product in appearance: The map user interface for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graphical user interface: used to display information, including map/navigation, media/entertainment, and communication information.
 6. Human -computer interaction method of graphical user interface: Graphic user interface can be in contact with, such as touch, light strike, rolling, sliding,/or pressing the screen panel to interact, and/or electronic electronic with the display screen panel by operating operations can be operated by operation. Interaction to interact.
 7.显示屏幕面板和图形用户界面可以应用于计算机、笔记本电脑、用于车辆的显示装置、GPS装置、导航仪、平板电脑、手机、智能手机、智能手环、智能眼镜、手表、智能手表、 Fitness monitor, headset headphones, personal digital assistants, smart speakers, television, set -top boxes, and game consoles; display screen panels are commonly designed, so omitted other views; The light -gray area marked A in the mark A represents the image, which can be variable content.</v>
      </c>
      <c r="D2196" s="6" t="s">
        <v>6230</v>
      </c>
      <c r="E2196" s="4" t="str">
        <f ca="1">IFERROR(__xludf.DUMMYFUNCTION("GOOGLETRANSLATE(D2196,""auto"",""en"")"),"Map graphic user interface for display screen panel")</f>
        <v>Map graphic user interface for display screen panel</v>
      </c>
    </row>
    <row r="2197" spans="1:5" ht="15" x14ac:dyDescent="0.25">
      <c r="A2197" s="5" t="s">
        <v>6231</v>
      </c>
      <c r="B2197" s="6" t="s">
        <v>6232</v>
      </c>
      <c r="C2197" s="3" t="str">
        <f ca="1">IFERROR(__xludf.DUMMYFUNCTION("GOOGLETRANSLATE(B2197,""auto"",""en"")"),"1. The name of the product in appearance: The map user interface for the display screen panel.
 2. Design product use: The display screen panel is used to display the graphical user interface.
 3. Design of the design of the product in appearance: lie"&amp;"s in the graphic user interface.
 4. Pictures or photos that can best show design: Design 1 main view.
 5. Specify design 1 is the basic design.
 6. The purpose of graphical user interface: used to display information, including map/navigation, medi"&amp;"a/entertainment, calendar/dating, and communication information.
 7. Human -computer interaction method of graphical user interface: Graphic user interface can be in contact with, such as touch, light strike, rolling, sliding,/or pressing the screen pan"&amp;"el to interact, and/or electronics that can be used by operating the display screen panel Interaction to interact.
 8.显示屏幕面板和图形用户界面可以应用于计算机、笔记本电脑、用于车辆的显示装置、GPS装置、导航仪、平板电脑、手机、智能手机、智能手环、智能眼镜、手表、智能手表、 Fitness monitor, headset headphones, personal digital a"&amp;"ssistants, smart speakers, television, set -top boxes, game consoles; display screen panels are commonly designed, so they omit other views; Design 2 Light -gray regional representative images in the reference diagram using the reference label A and A ', "&amp;"respectively, can be a variable content.")</f>
        <v>1. The name of the product in appearance: The map user interface for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graphical user interface: used to display information, including map/navigation, media/entertainment, calendar/dating, and communication information.
 7. Human -computer interaction method of graphical user interface: Graphic user interface can be in contact with, such as touch, light strike, rolling, sliding,/or pressing the screen panel to interact, and/or electronics that can be used by operating the display screen panel Interaction to interact.
 8.显示屏幕面板和图形用户界面可以应用于计算机、笔记本电脑、用于车辆的显示装置、GPS装置、导航仪、平板电脑、手机、智能手机、智能手环、智能眼镜、手表、智能手表、 Fitness monitor, headset headphones, personal digital assistants, smart speakers, television, set -top boxes, game consoles; display screen panels are commonly designed, so they omit other views; Design 2 Light -gray regional representative images in the reference diagram using the reference label A and A ', respectively, can be a variable content.</v>
      </c>
      <c r="D2197" s="6" t="s">
        <v>6230</v>
      </c>
      <c r="E2197" s="4" t="str">
        <f ca="1">IFERROR(__xludf.DUMMYFUNCTION("GOOGLETRANSLATE(D2197,""auto"",""en"")"),"Map graphic user interface for display screen panel")</f>
        <v>Map graphic user interface for display screen panel</v>
      </c>
    </row>
    <row r="2198" spans="1:5" ht="15" x14ac:dyDescent="0.25">
      <c r="A2198" s="5" t="s">
        <v>6233</v>
      </c>
      <c r="B2198" s="6" t="s">
        <v>6234</v>
      </c>
      <c r="C2198" s="3" t="str">
        <f ca="1">IFERROR(__xludf.DUMMYFUNCTION("GOOGLETRANSLATE(B2198,""auto"",""en"")"),"The present invention involves a tennis pick -up robot for picking up tennis scattered in the stadium. The invention is a compact robot with larger ball collection ability and smaller area. The present invention includes a computing system, a customized n"&amp;"eural network, vision and close to sensor for the customized training on the computing system, and the mechanical devices and power supplies used to collect tennis collections in the ball. Customized training neural networks use datasets for training to e"&amp;"ffectively collect the ball with cameras and distance sensors.")</f>
        <v>The present invention involves a tennis pick -up robot for picking up tennis scattered in the stadium. The invention is a compact robot with larger ball collection ability and smaller area. The present invention includes a computing system, a customized neural network, vision and close to sensor for the customized training on the computing system, and the mechanical devices and power supplies used to collect tennis collections in the ball. Customized training neural networks use datasets for training to effectively collect the ball with cameras and distance sensors.</v>
      </c>
      <c r="D2198" s="6" t="s">
        <v>6235</v>
      </c>
      <c r="E2198" s="4" t="str">
        <f ca="1">IFERROR(__xludf.DUMMYFUNCTION("GOOGLETRANSLATE(D2198,""auto"",""en"")"),"Collect tennis systems and devices on the court")</f>
        <v>Collect tennis systems and devices on the court</v>
      </c>
    </row>
    <row r="2199" spans="1:5" ht="15" x14ac:dyDescent="0.25">
      <c r="A2199" s="5" t="s">
        <v>6236</v>
      </c>
      <c r="B2199" s="6" t="s">
        <v>6237</v>
      </c>
      <c r="C2199" s="3" t="str">
        <f ca="1">IFERROR(__xludf.DUMMYFUNCTION("GOOGLETRANSLATE(B2199,""auto"",""en"")"),"The present invention proposes a physiological parameter monitoring device based on a neural network, including monitoring units and signal detection units, monitoring physiological signals monitoring units, and input the monitored signal to the signal de"&amp;"tection unit to achieve physiological parameters Monitoring; the monitoring unit includes phase -sensitive optical time -domain reflex system and the monitoring body; The detection signal of the time domain reflector is accepted by the signal output port "&amp;"via the fan and enters the monitoring body, and the scattering signal generated by the body generates the phase -sensitive optical time domain reflexor. Models and evaluation results. The present invention proposes a physiological parameter monitoring dev"&amp;"ice based on a neural network, which can be used to intelligently feedback to guide the body's rehabilitation training and the skill training of athletes.")</f>
        <v>The present invention proposes a physiological parameter monitoring device based on a neural network, including monitoring units and signal detection units, monitoring physiological signals monitoring units, and input the monitored signal to the signal detection unit to achieve physiological parameters Monitoring; the monitoring unit includes phase -sensitive optical time -domain reflex system and the monitoring body; The detection signal of the time domain reflector is accepted by the signal output port via the fan and enters the monitoring body, and the scattering signal generated by the body generates the phase -sensitive optical time domain reflexor. Models and evaluation results. The present invention proposes a physiological parameter monitoring device based on a neural network, which can be used to intelligently feedback to guide the body's rehabilitation training and the skill training of athletes.</v>
      </c>
      <c r="D2199" s="6" t="s">
        <v>6238</v>
      </c>
      <c r="E2199" s="4" t="str">
        <f ca="1">IFERROR(__xludf.DUMMYFUNCTION("GOOGLETRANSLATE(D2199,""auto"",""en"")"),"A wearable optical fiber sensor based on neural networks to human biological parameters monitoring device")</f>
        <v>A wearable optical fiber sensor based on neural networks to human biological parameters monitoring device</v>
      </c>
    </row>
    <row r="2200" spans="1:5" ht="15" x14ac:dyDescent="0.25">
      <c r="A2200" s="5" t="s">
        <v>6239</v>
      </c>
      <c r="B2200" s="6" t="s">
        <v>6240</v>
      </c>
      <c r="C2200" s="3" t="str">
        <f ca="1">IFERROR(__xludf.DUMMYFUNCTION("GOOGLETRANSLATE(B2200,""auto"",""en"")"),"1. The name of the product of the design of the product: the body management smart mirror with a figure interface.
 2. Design products in this exterior: for a smart mirror.
 3. Design of the design of the product in appearance: lies in the content of "&amp;"the graphic user interface on the product screen.
 4. Pictures or photos that can most indicate design points: main view.
 5. No design points, omittime view, left view, right view, push -view, and view view.
 6. The purpose of graphical user interf"&amp;"ace: It is used for body management through human -computer interoperability.
 The interface change status in the main view is the main interface state.
 7. The area of ​​the graphic user interface in the product: The graphic user interface of this pr"&amp;"oduct is located on the screen of the smart mirror in the main view.
 8. Change state description of graphic user interface: Login: Interface change status Figure 1 is the user login interface of the user's user, click ""face login"" in the figure, ente"&amp;"r the interface change status Figure 2; registration: interface change status graph 3 is to 3 is the interface change state diagram 3 is the interface change state graph 3 is the interface change state graph 3 is the interface change state graph 3 is the "&amp;"interface change status 3 is the interface change state graph 3 is the interface change status 3 is the interface change status 3 is the interface change state graph 3 is the interface change state graph 3 is the interface changes. The user registration i"&amp;"nterface of the smart mirror, click ""Registration"" in the figure, enter the interface change status Figure 4, enter the face of the person, enter the interface change state Figure 5, enter the interface change state after the front entry is completed, A"&amp;"fter entering the interface change state Figure 7; body management: interface state change diagram 8 is the main interface, click ""historical curve"" in Figure 8, enter the interface change state figure 9, click the ""fitness plan"" in the figure, enter "&amp;"the interface state change change Figure 10 (Fitness Plan Format Women) or Interface Status Change (Fitness Plan Men); click ""Shopping"" in Figure 8 to enter the interface change status Figure 12; click ""Online Private Teaching"" in Figure 8 to enter Th"&amp;"e interface change state Figure 13; click ""My"" in Figure 8 to enter the interface change state Figure 14; click ""figure data"" in Figure 8 to enter the interface state change graph 15; fitness: select the interface state change graph 10 (fitness The pl"&amp;"an to formulate a female) or the interface state change diagram 11 (fitness scheme formulated male) fitness items enter the interface status change graph 16, interface status change graph 16 is today's fitness content interface. Change status Figure 17.")</f>
        <v>1. The name of the product of the design of the product: the body management smart mirror with a figure interface.
 2. Design products in this exterior: for a smart mirror.
 3. Design of the design of the product in appearance: lies in the content of the graphic user interface on the product screen.
 4. Pictures or photos that can most indicate design points: main view.
 5. No design points, omittime view, left view, right view, push -view, and view view.
 6. The purpose of graphical user interface: It is used for body management through human -computer interoperability.
 The interface change status in the main view is the main interface state.
 7. The area of ​​the graphic user interface in the product: The graphic user interface of this product is located on the screen of the smart mirror in the main view.
 8. Change state description of graphic user interface: Login: Interface change status Figure 1 is the user login interface of the user's user, click "face login" in the figure, enter the interface change status Figure 2; registration: interface change status graph 3 is to 3 is the interface change state diagram 3 is the interface change state graph 3 is the interface change state graph 3 is the interface change state graph 3 is the interface change status 3 is the interface change state graph 3 is the interface change status 3 is the interface change status 3 is the interface change state graph 3 is the interface change state graph 3 is the interface changes. The user registration interface of the smart mirror, click "Registration" in the figure, enter the interface change status Figure 4, enter the face of the person, enter the interface change state Figure 5, enter the interface change state after the front entry is completed, After entering the interface change state Figure 7; body management: interface state change diagram 8 is the main interface, click "historical curve" in Figure 8, enter the interface change state figure 9, click the "fitness plan" in the figure, enter the interface state change change Figure 10 (Fitness Plan Format Women) or Interface Status Change (Fitness Plan Men); click "Shopping" in Figure 8 to enter the interface change status Figure 12; click "Online Private Teaching" in Figure 8 to enter The interface change state Figure 13; click "My" in Figure 8 to enter the interface change state Figure 14; click "figure data" in Figure 8 to enter the interface state change graph 15; fitness: select the interface state change graph 10 (fitness The plan to formulate a female) or the interface state change diagram 11 (fitness scheme formulated male) fitness items enter the interface status change graph 16, interface status change graph 16 is today's fitness content interface. Change status Figure 17.</v>
      </c>
      <c r="D2200" s="6" t="s">
        <v>6241</v>
      </c>
      <c r="E2200" s="4" t="str">
        <f ca="1">IFERROR(__xludf.DUMMYFUNCTION("GOOGLETRANSLATE(D2200,""auto"",""en"")"),"Smart mirror with a figure interface")</f>
        <v>Smart mirror with a figure interface</v>
      </c>
    </row>
    <row r="2201" spans="1:5" ht="15" x14ac:dyDescent="0.25">
      <c r="A2201" s="5" t="s">
        <v>6242</v>
      </c>
      <c r="B2201" s="6" t="s">
        <v>6243</v>
      </c>
      <c r="C2201" s="3" t="str">
        <f ca="1">IFERROR(__xludf.DUMMYFUNCTION("GOOGLETRANSLATE(B2201,""auto"",""en"")"),"The present invention disclosed an intelligent evaluation method and system based on image recognition. The projection device is set to the area of ​​table tennis desktop desktop desktop according to the mobile phone APP settings; the camera collects the "&amp;"image of table tennis desktop, image analysis software uses image recognition learning methods to identify the background area and the ball speed information, right The quality of the ball is given an evaluation. The mobile APP software is responsible for"&amp;" parameter settings, evaluation information feedback, and analysis guidance. The system has changed the boring and boring and non -targeted training of table tennis hair goal machine training, and increases the fun and pertinence of training.")</f>
        <v>The present invention disclosed an intelligent evaluation method and system based on image recognition. The projection device is set to the area of ​​table tennis desktop desktop desktop according to the mobile phone APP settings; the camera collects the image of table tennis desktop, image analysis software uses image recognition learning methods to identify the background area and the ball speed information, right The quality of the ball is given an evaluation. The mobile APP software is responsible for parameter settings, evaluation information feedback, and analysis guidance. The system has changed the boring and boring and non -targeted training of table tennis hair goal machine training, and increases the fun and pertinence of training.</v>
      </c>
      <c r="D2201" s="6" t="s">
        <v>6244</v>
      </c>
      <c r="E2201" s="4" t="str">
        <f ca="1">IFERROR(__xludf.DUMMYFUNCTION("GOOGLETRANSLATE(D2201,""auto"",""en"")"),"Smart evaluation method and system of table tennis training based on image recognition")</f>
        <v>Smart evaluation method and system of table tennis training based on image recognition</v>
      </c>
    </row>
    <row r="2202" spans="1:5" ht="15" x14ac:dyDescent="0.25">
      <c r="A2202" s="5" t="s">
        <v>6245</v>
      </c>
      <c r="B2202" s="6" t="s">
        <v>6246</v>
      </c>
      <c r="C2202" s="3" t="str">
        <f ca="1">IFERROR(__xludf.DUMMYFUNCTION("GOOGLETRANSLATE(B2202,""auto"",""en"")"),"The present invention provides a competitive intelligent video review system, method, medium, and terminal. The system includes: image collection module, which is set in the image information of the target objects in real -time collection of the game in t"&amp;"he competition venue; storage module, image processing module and Auxiliary penalty terminals; the present invention can accurately give correct scoring judgments to the collected sports data through artificial intelligence. When the athletes in the compe"&amp;"tition have violated or lost points, they can timely notify the auxiliary penalty information to the referee in time to the referee The referee can immediately give accurate penalties, the maximum reduction of human factors affects the results of the game"&amp;", improves the integrity of the game, reduces the probability of misjudgment, and is conducive to the fairness of the game.")</f>
        <v>The present invention provides a competitive intelligent video review system, method, medium, and terminal. The system includes: image collection module, which is set in the image information of the target objects in real -time collection of the game in the competition venue; storage module, image processing module and Auxiliary penalty terminals; the present invention can accurately give correct scoring judgments to the collected sports data through artificial intelligence. When the athletes in the competition have violated or lost points, they can timely notify the auxiliary penalty information to the referee in time to the referee The referee can immediately give accurate penalties, the maximum reduction of human factors affects the results of the game, improves the integrity of the game, reduces the probability of misjudgment, and is conducive to the fairness of the game.</v>
      </c>
      <c r="D2202" s="6" t="s">
        <v>6247</v>
      </c>
      <c r="E2202" s="4" t="str">
        <f ca="1">IFERROR(__xludf.DUMMYFUNCTION("GOOGLETRANSLATE(D2202,""auto"",""en"")"),"A competitive competition intelligent video review system, method, medium and terminal")</f>
        <v>A competitive competition intelligent video review system, method, medium and terminal</v>
      </c>
    </row>
    <row r="2203" spans="1:5" ht="15" x14ac:dyDescent="0.25">
      <c r="A2203" s="5" t="s">
        <v>6248</v>
      </c>
      <c r="B2203" s="6" t="s">
        <v>6249</v>
      </c>
      <c r="C2203" s="3" t="str">
        <f ca="1">IFERROR(__xludf.DUMMYFUNCTION("GOOGLETRANSLATE(B2203,""auto"",""en"")"),"The invention disclosed a method based on CT image measurement. The specific operation method includes the following steps: A, image pre -processing; B, image block cutting operations; C. Merit curve segmentation through deep learning; D, skeletalization "&amp;"Treatment; E. Edge connection; F, accumulated pixels converted to the abdomen, the present invention aims to propose a method that can directly obtain the abdominal circumference based on CT images. Then skeletal treatment of the segmentation results, and"&amp;" finally calculate the peripheral pixel point multiplied by the length of each pixel point to obtain the abdominal circumference, to obtain a more accurate implementation of abdominal circumference.")</f>
        <v>The invention disclosed a method based on CT image measurement. The specific operation method includes the following steps: A, image pre -processing; B, image block cutting operations; C. Merit curve segmentation through deep learning; D, skeletalization Treatment; E. Edge connection; F, accumulated pixels converted to the abdomen, the present invention aims to propose a method that can directly obtain the abdominal circumference based on CT images. Then skeletal treatment of the segmentation results, and finally calculate the peripheral pixel point multiplied by the length of each pixel point to obtain the abdominal circumference, to obtain a more accurate implementation of abdominal circumference.</v>
      </c>
      <c r="D2203" s="6" t="s">
        <v>6250</v>
      </c>
      <c r="E2203" s="4" t="str">
        <f ca="1">IFERROR(__xludf.DUMMYFUNCTION("GOOGLETRANSLATE(D2203,""auto"",""en"")"),"A method of measuring abdomen based on CT image")</f>
        <v>A method of measuring abdomen based on CT image</v>
      </c>
    </row>
    <row r="2204" spans="1:5" ht="15" x14ac:dyDescent="0.25">
      <c r="A2204" s="5" t="s">
        <v>6251</v>
      </c>
      <c r="B2204" s="6" t="s">
        <v>6252</v>
      </c>
      <c r="C2204" s="3" t="str">
        <f ca="1">IFERROR(__xludf.DUMMYFUNCTION("GOOGLETRANSLATE(B2204,""auto"",""en"")"),"Without occupying the display area, cheers, competitions, etc. are displayed as comments on the display.
  Cara OK Device (10) Store lyrics and background video data of each song. The karaoke device includes acquisition unit (23), which is used to obtai"&amp;"n the voice signals of participants other than participating in the karaoke singer during the song of the song, and the voice signal of the participants in each scheduled performance range Voice recognition processing. The generating unit (24) for generat"&amp;"ing text data and the text data and lyrics inserting data for each predetermined part and delete the same content as the lyrics insertion data to correct the correction unit of the text data (25) The display control part (26) is used to display the image "&amp;"-based text data and background image data on the display part.")</f>
        <v>Without occupying the display area, cheers, competitions, etc. are displayed as comments on the display.
  Cara OK Device (10) Store lyrics and background video data of each song. The karaoke device includes acquisition unit (23), which is used to obtain the voice signals of participants other than participating in the karaoke singer during the song of the song, and the voice signal of the participants in each scheduled performance range Voice recognition processing. The generating unit (24) for generating text data and the text data and lyrics inserting data for each predetermined part and delete the same content as the lyrics insertion data to correct the correction unit of the text data (25) The display control part (26) is used to display the image -based text data and background image data on the display part.</v>
      </c>
      <c r="D2204" s="6" t="s">
        <v>6253</v>
      </c>
      <c r="E2204" s="4" t="str">
        <f ca="1">IFERROR(__xludf.DUMMYFUNCTION("GOOGLETRANSLATE(D2204,""auto"",""en"")"),"Karaoke device")</f>
        <v>Karaoke device</v>
      </c>
    </row>
    <row r="2205" spans="1:5" ht="15" x14ac:dyDescent="0.25">
      <c r="A2205" s="5" t="s">
        <v>6254</v>
      </c>
      <c r="B2205" s="6" t="s">
        <v>6255</v>
      </c>
      <c r="C2205" s="3" t="str">
        <f ca="1">IFERROR(__xludf.DUMMYFUNCTION("GOOGLETRANSLATE(B2205,""auto"",""en"")"),"The present invention provides a way to identify a tennis elbow based on a muscle signal. Use the camera to capture the patient's elbow flexion and extension movement, use Vicon software to model the captured movements, establish the model after the model"&amp;" is established, and then complete the elbow flexion trajectory of the model to obtain the motion model. Import in the Visual 3D software to analyze the elbow flexion and extension motion, get the corresponding muscle electrococcal shape, and then import "&amp;"the model of learning using the convolutional neural network algorithm (CNN) to identify the tennis elbow.")</f>
        <v>The present invention provides a way to identify a tennis elbow based on a muscle signal. Use the camera to capture the patient's elbow flexion and extension movement, use Vicon software to model the captured movements, establish the model after the model is established, and then complete the elbow flexion trajectory of the model to obtain the motion model. Import in the Visual 3D software to analyze the elbow flexion and extension motion, get the corresponding muscle electrococcal shape, and then import the model of learning using the convolutional neural network algorithm (CNN) to identify the tennis elbow.</v>
      </c>
      <c r="D2205" s="6" t="s">
        <v>6256</v>
      </c>
      <c r="E2205" s="4" t="str">
        <f ca="1">IFERROR(__xludf.DUMMYFUNCTION("GOOGLETRANSLATE(D2205,""auto"",""en"")"),"A method of identifying a muscle -based signal -based signal")</f>
        <v>A method of identifying a muscle -based signal -based signal</v>
      </c>
    </row>
    <row r="2206" spans="1:5" ht="15" x14ac:dyDescent="0.25">
      <c r="A2206" s="5" t="s">
        <v>6257</v>
      </c>
      <c r="B2206" s="6" t="s">
        <v>6258</v>
      </c>
      <c r="C2206" s="3" t="str">
        <f ca="1">IFERROR(__xludf.DUMMYFUNCTION("GOOGLETRANSLATE(B2206,""auto"",""en"")"),"The present invention disclosed a police health management system and method, including police smart bracelets, APPs loaded on police mobile devices, and health management clouds, communication connections between police smart bracelets and APPs, APPs and"&amp;" health Manage the cloud communication connection, collect the real -time physiological indicators and psychological table data of police personnel through police smart bracelets, establish a healthy classification model after deep learning in the health "&amp;"management cloud, and then use the established health model to analyze real -time physiological and physiological, physiological, Psychological health data is drawn to the current physical health of police officers, conduct a lifestyle prompt, arrange fit"&amp;"ness plans, and guide the health issues according to their health conditions, and achieve the purpose of improving the physical and mental health of police officers. According to real -time collection of data, the present invention can timely discover the"&amp;" health risks of police officers, especially for emergencies, and achieve rapid emergency response, which can reduce the amount of people who sacrifice police officers due to a health crisis.")</f>
        <v>The present invention disclosed a police health management system and method, including police smart bracelets, APPs loaded on police mobile devices, and health management clouds, communication connections between police smart bracelets and APPs, APPs and health Manage the cloud communication connection, collect the real -time physiological indicators and psychological table data of police personnel through police smart bracelets, establish a healthy classification model after deep learning in the health management cloud, and then use the established health model to analyze real -time physiological and physiological, physiological, Psychological health data is drawn to the current physical health of police officers, conduct a lifestyle prompt, arrange fitness plans, and guide the health issues according to their health conditions, and achieve the purpose of improving the physical and mental health of police officers. According to real -time collection of data, the present invention can timely discover the health risks of police officers, especially for emergencies, and achieve rapid emergency response, which can reduce the amount of people who sacrifice police officers due to a health crisis.</v>
      </c>
      <c r="D2206" s="6" t="s">
        <v>6259</v>
      </c>
      <c r="E2206" s="4" t="str">
        <f ca="1">IFERROR(__xludf.DUMMYFUNCTION("GOOGLETRANSLATE(D2206,""auto"",""en"")"),"Police Health Management System and Health Management Method")</f>
        <v>Police Health Management System and Health Management Method</v>
      </c>
    </row>
    <row r="2207" spans="1:5" ht="15" x14ac:dyDescent="0.25">
      <c r="A2207" s="5" t="s">
        <v>6260</v>
      </c>
      <c r="B2207" s="6" t="s">
        <v>6261</v>
      </c>
      <c r="C2207" s="3" t="str">
        <f ca="1">IFERROR(__xludf.DUMMYFUNCTION("GOOGLETRANSLATE(B2207,""auto"",""en"")"),"This utility model opens the Internet of Things home fire automatic alarm device, including the installation board and alarm device. The end thread runs through the connection with a snail sales. The front of the alarm device has a door cover connecting t"&amp;"he inner cavity. There are smoke sensors, temperature sensors and flawed gas sensors in the port. The alarm device is installed with a processor and wireless communication module in the inner cavity of the alarm device. This utility model will split the i"&amp;"nstallation board and alarm device ontology, and use a simple connection structure to install and disassemble the installation board at will. The overall operation is simple, easy to disassemble, and better practical effect.")</f>
        <v>This utility model opens the Internet of Things home fire automatic alarm device, including the installation board and alarm device. The end thread runs through the connection with a snail sales. The front of the alarm device has a door cover connecting the inner cavity. There are smoke sensors, temperature sensors and flawed gas sensors in the port. The alarm device is installed with a processor and wireless communication module in the inner cavity of the alarm device. This utility model will split the installation board and alarm device ontology, and use a simple connection structure to install and disassemble the installation board at will. The overall operation is simple, easy to disassemble, and better practical effect.</v>
      </c>
      <c r="D2207" s="6" t="s">
        <v>6262</v>
      </c>
      <c r="E2207" s="4" t="str">
        <f ca="1">IFERROR(__xludf.DUMMYFUNCTION("GOOGLETRANSLATE(D2207,""auto"",""en"")"),"Automatic alarm device of the Internet of Things household fire")</f>
        <v>Automatic alarm device of the Internet of Things household fire</v>
      </c>
    </row>
    <row r="2208" spans="1:5" ht="15" x14ac:dyDescent="0.25">
      <c r="A2208" s="5" t="s">
        <v>6263</v>
      </c>
      <c r="B2208" s="6" t="s">
        <v>6264</v>
      </c>
      <c r="C2208" s="3" t="str">
        <f ca="1">IFERROR(__xludf.DUMMYFUNCTION("GOOGLETRANSLATE(B2208,""auto"",""en"")"),"An intelligent auxiliary training method and system for coaching car. This method includes: obtain the training venue image information through the camera in real time, and upload it to the machine learning model; detect the training venue images through "&amp;"the model to determine the type of the training site, and to determine whether there is a trainer in the training venue image; if the coach exists The car, through the model calculation and analysis processing, generates a vehicle path; the model determin"&amp;"es whether the driving path deviates from the preset path by calculating and analyzing the driving path; Car; display and play the correction information in the car, so that the students in the car adjust their driving movements according to the correctio"&amp;"n information, so that the driving path is close to the preset path by adjusting. To a certain extent, the coach can be replaced to a certain extent, providing intelligent car training assistance for students during the car training process, and improved "&amp;"the training level of students.")</f>
        <v>An intelligent auxiliary training method and system for coaching car. This method includes: obtain the training venue image information through the camera in real time, and upload it to the machine learning model; detect the training venue images through the model to determine the type of the training site, and to determine whether there is a trainer in the training venue image; if the coach exists The car, through the model calculation and analysis processing, generates a vehicle path; the model determines whether the driving path deviates from the preset path by calculating and analyzing the driving path; Car; display and play the correction information in the car, so that the students in the car adjust their driving movements according to the correction information, so that the driving path is close to the preset path by adjusting. To a certain extent, the coach can be replaced to a certain extent, providing intelligent car training assistance for students during the car training process, and improved the training level of students.</v>
      </c>
      <c r="D2208" s="6" t="s">
        <v>6265</v>
      </c>
      <c r="E2208" s="4" t="str">
        <f ca="1">IFERROR(__xludf.DUMMYFUNCTION("GOOGLETRANSLATE(D2208,""auto"",""en"")"),"An intelligent auxiliary training method and system for coaching car")</f>
        <v>An intelligent auxiliary training method and system for coaching car</v>
      </c>
    </row>
    <row r="2209" spans="1:5" ht="15" x14ac:dyDescent="0.25">
      <c r="A2209" s="5" t="s">
        <v>6266</v>
      </c>
      <c r="B2209" s="6" t="s">
        <v>6267</v>
      </c>
      <c r="C2209" s="3" t="str">
        <f ca="1">IFERROR(__xludf.DUMMYFUNCTION("GOOGLETRANSLATE(B2209,""auto"",""en"")"),"The present invention provides a cloud intelligent treadmill human aircraft interactive control system. The present invention includes user management modules, free running modules, motion plan modules, real -life run modules, AI voice control modules and"&amp;" system setting modules, which are used to collect, store personal information and customize personal sports solutions according to personal information; freedom of freedom; freedom The running module is used to run according to the personal sports plan o"&amp;"r manually adjust the treadmill parameters; the motion plan module is used to formulate a sports plan according to the needs of the runner; the real -life running module is used to achieve the synchronization with real -life video playback during the runn"&amp;"ing process; AI voice control The module is used to realize the voice interaction between the runner and the treadmill, including the working status of the treadmill according to the receiving voice instructions, and the output voice prompt; System settin"&amp;"gs. The present invention has greatly enhanced the user's home experience and movement viscosity.")</f>
        <v>The present invention provides a cloud intelligent treadmill human aircraft interactive control system. The present invention includes user management modules, free running modules, motion plan modules, real -life run modules, AI voice control modules and system setting modules, which are used to collect, store personal information and customize personal sports solutions according to personal information; freedom of freedom; freedom The running module is used to run according to the personal sports plan or manually adjust the treadmill parameters; the motion plan module is used to formulate a sports plan according to the needs of the runner; the real -life running module is used to achieve the synchronization with real -life video playback during the running process; AI voice control The module is used to realize the voice interaction between the runner and the treadmill, including the working status of the treadmill according to the receiving voice instructions, and the output voice prompt; System settings. The present invention has greatly enhanced the user's home experience and movement viscosity.</v>
      </c>
      <c r="D2209" s="6" t="s">
        <v>6268</v>
      </c>
      <c r="E2209" s="4" t="str">
        <f ca="1">IFERROR(__xludf.DUMMYFUNCTION("GOOGLETRANSLATE(D2209,""auto"",""en"")"),"A kind of cloud intelligent treadmill human aircraft interactive control system")</f>
        <v>A kind of cloud intelligent treadmill human aircraft interactive control system</v>
      </c>
    </row>
    <row r="2210" spans="1:5" ht="15" x14ac:dyDescent="0.25">
      <c r="A2210" s="5" t="s">
        <v>6269</v>
      </c>
      <c r="B2210" s="6" t="s">
        <v>6270</v>
      </c>
      <c r="C2210" s="3" t="str">
        <f ca="1">IFERROR(__xludf.DUMMYFUNCTION("GOOGLETRANSLATE(B2210,""auto"",""en"")"),"This application discloses a method of judging the ricibility or not and the speed of the serve speed. The judgment method includes: build convolutional neural networks; training the convolutional neural network described; use the trained convolutional ne"&amp;"ural network to deal with the volleyball Send a video to determine whether the volleyball team will pass the net. The constructing convolutional neural network, including: build a six -layer convolutional neural network; the sixth layers include the first"&amp;" convolutional layer, the second layer of the pool layer, the third layer of convolutional layers, and the fourth layer pool The fifth layer, the fifth layer full connection layer and the sixth layer output layer. The method of judging the volleyball serv"&amp;"ing of the volleyball serving in this application, using convolutional neural network to process volleyball to serve the video to determine whether the volleyball team passes the network, the judgment results are accurate, the processing speed is fast, an"&amp;"d the accuracy is high. Artificial costs can well meet the needs of practical applications.")</f>
        <v>This application discloses a method of judging the ricibility or not and the speed of the serve speed. The judgment method includes: build convolutional neural networks; training the convolutional neural network described; use the trained convolutional neural network to deal with the volleyball Send a video to determine whether the volleyball team will pass the net. The constructing convolutional neural network, including: build a six -layer convolutional neural network; the sixth layers include the first convolutional layer, the second layer of the pool layer, the third layer of convolutional layers, and the fourth layer pool The fifth layer, the fifth layer full connection layer and the sixth layer output layer. The method of judging the volleyball serving of the volleyball serving in this application, using convolutional neural network to process volleyball to serve the video to determine whether the volleyball team passes the network, the judgment results are accurate, the processing speed is fast, and the accuracy is high. Artificial costs can well meet the needs of practical applications.</v>
      </c>
      <c r="D2210" s="6" t="s">
        <v>6271</v>
      </c>
      <c r="E2210" s="4" t="str">
        <f ca="1">IFERROR(__xludf.DUMMYFUNCTION("GOOGLETRANSLATE(D2210,""auto"",""en"")"),"The method of judging or not with the volleyball goal and the method of getting the speed of serving")</f>
        <v>The method of judging or not with the volleyball goal and the method of getting the speed of serving</v>
      </c>
    </row>
    <row r="2211" spans="1:5" ht="15" x14ac:dyDescent="0.25">
      <c r="A2211" s="5" t="s">
        <v>6272</v>
      </c>
      <c r="B2211" s="6" t="s">
        <v>6273</v>
      </c>
      <c r="C2211" s="3" t="str">
        <f ca="1">IFERROR(__xludf.DUMMYFUNCTION("GOOGLETRANSLATE(B2211,""auto"",""en"")"),"This application involves the field of artificial intelligence technology, which provides a video -based sports evaluation method, device, computer equipment and storage media. Sports video recognition users' movement type; extract the first key frame ima"&amp;"ge in the first sports video according to the type of motion and extract the second key frame image in the second sports video; detect the first key point of the first key frame image in the first key frame image And detect the key points of the second bo"&amp;"dy in the second key frame image; calculate the difference between the key points of the first human body and the key points of the second human body; evaluate the sports score of users based on the degree of difference and the sports type. This applicati"&amp;"on can extract key frame images based on the adaptive type of motion type and calculate the differences. Combine the movement of the user and the degree of differentiality to evaluate the user's movement, the accuracy rate is higher. In addition, this app"&amp;"lication also involves blockchain technology, which can be stored in the blockchain node.")</f>
        <v>This application involves the field of artificial intelligence technology, which provides a video -based sports evaluation method, device, computer equipment and storage media. Sports video recognition users' movement type; extract the first key frame image in the first sports video according to the type of motion and extract the second key frame image in the second sports video; detect the first key point of the first key frame image in the first key frame image And detect the key points of the second body in the second key frame image; calculate the difference between the key points of the first human body and the key points of the second human body; evaluate the sports score of users based on the degree of difference and the sports type. This application can extract key frame images based on the adaptive type of motion type and calculate the differences. Combine the movement of the user and the degree of differentiality to evaluate the user's movement, the accuracy rate is higher. In addition, this application also involves blockchain technology, which can be stored in the blockchain node.</v>
      </c>
      <c r="D2211" s="6" t="s">
        <v>6274</v>
      </c>
      <c r="E2211" s="4" t="str">
        <f ca="1">IFERROR(__xludf.DUMMYFUNCTION("GOOGLETRANSLATE(D2211,""auto"",""en"")"),"Video -based motion evaluation methods, devices, computer equipment and storage media")</f>
        <v>Video -based motion evaluation methods, devices, computer equipment and storage media</v>
      </c>
    </row>
    <row r="2212" spans="1:5" ht="15" x14ac:dyDescent="0.25">
      <c r="A2212" s="5" t="s">
        <v>6275</v>
      </c>
      <c r="B2212" s="6" t="s">
        <v>6276</v>
      </c>
      <c r="C2212" s="3" t="str">
        <f ca="1">IFERROR(__xludf.DUMMYFUNCTION("GOOGLETRANSLATE(B2212,""auto"",""en"")"),"The present invention involves a service system and methods of using at least one student terminal 300, teacher terminal 200, mentor terminal 400, and artificial intelligence technology learning management platform service systems and methods connected th"&amp;"rough network 500. Edutech Learning Management Platform Service System, Database Unit 120, used to store student information, question bank information, consultation information, experience learning information, study abroad information, book information,"&amp;" and sports information; when the student terminal 300 is connected, certification, when the student terminal When selecting the menu, according to the selected menu, in the question bank information, consulting information, experience learning informatio"&amp;"n, studying information, studying information, book information, and art and sports information, as well as at least one server 110. In this embodiment of the present invention, the use of EDU-Tech's education and evaluation methods can be used to overcom"&amp;"e the limitation of time and space by using artificial intelligence to improve the quality of education and evaluation content, and to achieve fair education and evaluation.")</f>
        <v>The present invention involves a service system and methods of using at least one student terminal 300, teacher terminal 200, mentor terminal 400, and artificial intelligence technology learning management platform service systems and methods connected through network 500. Edutech Learning Management Platform Service System, Database Unit 120, used to store student information, question bank information, consultation information, experience learning information, study abroad information, book information, and sports information; when the student terminal 300 is connected, certification, when the student terminal When selecting the menu, according to the selected menu, in the question bank information, consulting information, experience learning information, studying information, studying information, book information, and art and sports information, as well as at least one server 110. In this embodiment of the present invention, the use of EDU-Tech's education and evaluation methods can be used to overcome the limitation of time and space by using artificial intelligence to improve the quality of education and evaluation content, and to achieve fair education and evaluation.</v>
      </c>
      <c r="D2212" s="6" t="s">
        <v>6277</v>
      </c>
      <c r="E2212" s="4" t="str">
        <f ca="1">IFERROR(__xludf.DUMMYFUNCTION("GOOGLETRANSLATE(D2212,""auto"",""en"")"),"Use artificial intelligence Edutech learning management platform service system and method")</f>
        <v>Use artificial intelligence Edutech learning management platform service system and method</v>
      </c>
    </row>
    <row r="2213" spans="1:5" ht="15" x14ac:dyDescent="0.25">
      <c r="A2213" s="5" t="s">
        <v>6278</v>
      </c>
      <c r="B2213" s="6" t="s">
        <v>6279</v>
      </c>
      <c r="C2213" s="3" t="str">
        <f ca="1">IFERROR(__xludf.DUMMYFUNCTION("GOOGLETRANSLATE(B2213,""auto"",""en"")"),"When controlling the robot in the environment, use the user interface input of the remote client device. The implementation is related to the training instance of an object -based operation parameter. This parameter is defined by the instance entered by t"&amp;"he user interface, and the machine learning model is trained to predict the object operating parameter. These realizations can later reduce the number of instances required to use a pair of robotic operations to perform a pair of robotics operations from "&amp;"remote client devices when using trained machine learning models. When performing a group of robotics, the input degree of remote client equipment can be reduced. In addition, the realization of the visual data of the object operating by the robot operati"&amp;"on before using the robot to capture the object space of the robot before using the robot to operate before the robot reaches the object and can reduce the time to reduce time.")</f>
        <v>When controlling the robot in the environment, use the user interface input of the remote client device. The implementation is related to the training instance of an object -based operation parameter. This parameter is defined by the instance entered by the user interface, and the machine learning model is trained to predict the object operating parameter. These realizations can later reduce the number of instances required to use a pair of robotic operations to perform a pair of robotics operations from remote client devices when using trained machine learning models. When performing a group of robotics, the input degree of remote client equipment can be reduced. In addition, the realization of the visual data of the object operating by the robot operation before using the robot to capture the object space of the robot before using the robot to operate before the robot reaches the object and can reduce the time to reduce time.</v>
      </c>
      <c r="D2213" s="6" t="s">
        <v>6280</v>
      </c>
      <c r="E2213" s="4" t="str">
        <f ca="1">IFERROR(__xludf.DUMMYFUNCTION("GOOGLETRANSLATE(D2213,""auto"",""en"")"),"Efficient robot control based on remote client devices input")</f>
        <v>Efficient robot control based on remote client devices input</v>
      </c>
    </row>
    <row r="2214" spans="1:5" ht="15" x14ac:dyDescent="0.25">
      <c r="A2214" s="5" t="s">
        <v>6281</v>
      </c>
      <c r="B2214" s="6" t="s">
        <v>6282</v>
      </c>
      <c r="C2214" s="3" t="str">
        <f ca="1">IFERROR(__xludf.DUMMYFUNCTION("GOOGLETRANSLATE(B2214,""auto"",""en"")"),"The present invention disclosed a racket net strings regulator, which is the field of net strings regulator. A racket net strings regulator. This solution can be realized in the process of resetting tennis rackets. The pre -tightening effect can be effect"&amp;"ively improved. At the same time, it will not be easy to loosen quickly under the impact of tennis. It does not require athletes to make continuous adjustment. Correct the user's swing action to increase the effect of the user's swing training. At the sam"&amp;"e time, through the vibration feedback of the vibration motor, the user's memory of the irregular swing posture is used to facilitate subsequent action corrections. At the same time, users make reasonable real -time adjustments to their own waves based on"&amp;" racket vibration caused by vibration motor. There is no need to frequently go to the processing terminal for inspection, which greatly increases the efficiency of waving training.")</f>
        <v>The present invention disclosed a racket net strings regulator, which is the field of net strings regulator. A racket net strings regulator. This solution can be realized in the process of resetting tennis rackets. The pre -tightening effect can be effectively improved. At the same time, it will not be easy to loosen quickly under the impact of tennis. It does not require athletes to make continuous adjustment. Correct the user's swing action to increase the effect of the user's swing training. At the same time, through the vibration feedback of the vibration motor, the user's memory of the irregular swing posture is used to facilitate subsequent action corrections. At the same time, users make reasonable real -time adjustments to their own waves based on racket vibration caused by vibration motor. There is no need to frequently go to the processing terminal for inspection, which greatly increases the efficiency of waving training.</v>
      </c>
      <c r="D2214" s="6" t="s">
        <v>6283</v>
      </c>
      <c r="E2214" s="4" t="str">
        <f ca="1">IFERROR(__xludf.DUMMYFUNCTION("GOOGLETRANSLATE(D2214,""auto"",""en"")"),"A racket network string regulator")</f>
        <v>A racket network string regulator</v>
      </c>
    </row>
    <row r="2215" spans="1:5" ht="15" x14ac:dyDescent="0.25">
      <c r="A2215" s="5" t="s">
        <v>6284</v>
      </c>
      <c r="B2215" s="6" t="s">
        <v>6285</v>
      </c>
      <c r="C2215" s="3" t="str">
        <f ca="1">IFERROR(__xludf.DUMMYFUNCTION("GOOGLETRANSLATE(B2215,""auto"",""en"")"),"1. Design product name: The virtual stadium graphics user interface for display screen panels.
 2. Design products in this exterior: used to display information.
 3. Design of design products in this appearance: lies in the graphic user interface in t"&amp;"he screen.
 4. Pictures or photos that can best show design: Design 1 main view.
 5. Specify design 1 is the basic design.
 6. The purpose of the graphical user interface: The graphic user interface designed in this exterior is the graphic user inte"&amp;"rface of the virtual stadium. The interface is used to watch videos and view the live information of the game.
 7. Human -computer interaction method of graphics user interface: In design 1 to design 3, the main screen interface is the interface in the "&amp;"game live broadcast. Users can watch the live information in the game and scoring card control, slide the interface or click on the interface Any control of the control performs more, such as switching different column target signs to view classification "&amp;"information, sliding interface to view the text broadcast content of each time in the game.
 In Design 4 and Design 5, the view interface is the interface before the live broadcast. Users can watch the live information in the gameplay control, slide the"&amp;" interface or click on any control in the interface to perform more operations, such as switching different column target signs to view view Category information, sliding interface to view the text broadcast content of each time in each game.
 In design"&amp;" 6, when a player initiated a shot and hit, the corresponding player's avatar rose, the stadium control displayed shooting animation, and then a prompt message appeared. The content of the text broadcast shows the interface dynamic change effect of the ma"&amp;"in view to the interface change state.
 In the design 7, when a player launched an offense, the stadium control appeared on the offensive turnaround information box of a team. The offensive direction of the offensive direction and the changes in the pos"&amp;"ition of the players appeared on the court control. And the player's standing point disappears, showing the interface dynamic change effect of the main view to the interface change state.
 In design 8, when a player launched an offense, the stadium cont"&amp;"rol appeared on the offensive turnaround information box of a team, and the attack direction animation display and players' position changes appeared on the stadium control. The interface dynamic change effect of the main view to the interface changes.
"&amp;" The circular or rectangular blank areas in each design interface are content screens, such as icons, user avatars, pictures, etc.
 The fork number in each design interface represents text and/or numbers.
 8. The display screen panel can be used for m"&amp;"obile phones, computers, tablets, vehicle central control screens, smart TVs, smart watches.")</f>
        <v>1. Design product name: The virtual stadium graphics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graphic user interface designed in this exterior is the graphic user interface of the virtual stadium. The interface is used to watch videos and view the live information of the game.
 7. Human -computer interaction method of graphics user interface: In design 1 to design 3, the main screen interface is the interface in the game live broadcast. Users can watch the live information in the game and scoring card control, slide the interface or click on the interface Any control of the control performs more, such as switching different column target signs to view classification information, sliding interface to view the text broadcast content of each time in the game.
 In Design 4 and Design 5, the view interface is the interface before the live broadcast. Users can watch the live information in the gameplay control, slide the interface or click on any control in the interface to perform more operations, such as switching different column target signs to view view Category information, sliding interface to view the text broadcast content of each time in each game.
 In design 6, when a player initiated a shot and hit, the corresponding player's avatar rose, the stadium control displayed shooting animation, and then a prompt message appeared. The content of the text broadcast shows the interface dynamic change effect of the main view to the interface change state.
 In the design 7, when a player launched an offense, the stadium control appeared on the offensive turnaround information box of a team. The offensive direction of the offensive direction and the changes in the position of the players appeared on the court control. And the player's standing point disappears, showing the interface dynamic change effect of the main view to the interface change state.
 In design 8, when a player launched an offense, the stadium control appeared on the offensive turnaround information box of a team, and the attack direction animation display and players' position changes appeared on the stadium control. The interface dynamic change effect of the main view to the interface changes.
 The circular or rectangular blank areas in each design interface are content screens, such as icons, user avatars, pictures, etc.
 The fork number in each design interface represents text and/or numbers.
 8. The display screen panel can be used for mobile phones, computers, tablets, vehicle central control screens, smart TVs, smart watches.</v>
      </c>
      <c r="D2215" s="6" t="s">
        <v>6286</v>
      </c>
      <c r="E2215" s="4" t="str">
        <f ca="1">IFERROR(__xludf.DUMMYFUNCTION("GOOGLETRANSLATE(D2215,""auto"",""en"")"),"Virtual stadium graphics user interface for display screen panels")</f>
        <v>Virtual stadium graphics user interface for display screen panels</v>
      </c>
    </row>
    <row r="2216" spans="1:5" ht="15" x14ac:dyDescent="0.25">
      <c r="A2216" s="5" t="s">
        <v>6287</v>
      </c>
      <c r="B2216" s="6" t="s">
        <v>6288</v>
      </c>
      <c r="C2216" s="3" t="str">
        <f ca="1">IFERROR(__xludf.DUMMYFUNCTION("GOOGLETRANSLATE(B2216,""auto"",""en"")"),"A sports training system includes athlete data storage, adaptive algorithms, and at least one training unit. Athlete data storage includes athletes' biological characteristics and performance data. Adaptive algorithms can access the athletes of the athlet"&amp;"es, and train them based on biological characteristics and performance data to generate specific training programs used with the training unit. Each athlete's specific training plan applies to the biological characteristics and performance data of a singl"&amp;"e athlete. The training unit includes electronic adjustable motion resistance equipment and controller. The controller is configured to receive at least one athlete's specific training plan in a specific training plan for multiple athletes, and in respons"&amp;"e to the receiving athlete specific training plan to adjust the resistance level of adjustable resistance equipment. The controller is also configured to record the performance data of the athletes using the training unit based on the receiving athlete sp"&amp;"ecial training plan.")</f>
        <v>A sports training system includes athlete data storage, adaptive algorithms, and at least one training unit. Athlete data storage includes athletes' biological characteristics and performance data. Adaptive algorithms can access the athletes of the athletes, and train them based on biological characteristics and performance data to generate specific training programs used with the training unit. Each athlete's specific training plan applies to the biological characteristics and performance data of a single athlete. The training unit includes electronic adjustable motion resistance equipment and controller. The controller is configured to receive at least one athlete's specific training plan in a specific training plan for multiple athletes, and in response to the receiving athlete specific training plan to adjust the resistance level of adjustable resistance equipment. The controller is also configured to record the performance data of the athletes using the training unit based on the receiving athlete special training plan.</v>
      </c>
      <c r="D2216" s="6" t="s">
        <v>6289</v>
      </c>
      <c r="E2216" s="4" t="str">
        <f ca="1">IFERROR(__xludf.DUMMYFUNCTION("GOOGLETRANSLATE(D2216,""auto"",""en"")"),"Physical training system with machine learning training program")</f>
        <v>Physical training system with machine learning training program</v>
      </c>
    </row>
    <row r="2217" spans="1:5" ht="15" x14ac:dyDescent="0.25">
      <c r="A2217" s="5" t="s">
        <v>6290</v>
      </c>
      <c r="B2217" s="6" t="s">
        <v>6291</v>
      </c>
      <c r="C2217" s="3" t="str">
        <f ca="1">IFERROR(__xludf.DUMMYFUNCTION("GOOGLETRANSLATE(B2217,""auto"",""en"")"),"The invention involves a sports optimization training system and method based on virtual reality technology, which is a virtual reality technology field. This method includes: S1: Install the pressure sensor at the force point of the training equipment to"&amp;" collect the pressure value applied by the experiencer; S2: Use high -resolution camera equipment to collect experiencer information to generate VR technology generates source standard model, and combines the source standard model with the experiencer mod"&amp;"el as a standard model customized; S4: Set evaluation parameters, optimize the standard model generated by machine learning; It becomes a translucent and the same proportion model, covering the experiencer model, and shows to the experiencer from three vi"&amp;"ews or three -dimensional graphics, so as to correct the movement of the experiencer. The present invention optimizes the simulation comparison function of the existing VR equipment, accurately simulates the posture and strength of the trainer, and prompt"&amp;"ly adjust the training posture and strength.")</f>
        <v>The invention involves a sports optimization training system and method based on virtual reality technology, which is a virtual reality technology field. This method includes: S1: Install the pressure sensor at the force point of the training equipment to collect the pressure value applied by the experiencer; S2: Use high -resolution camera equipment to collect experiencer information to generate VR technology generates source standard model, and combines the source standard model with the experiencer model as a standard model customized; S4: Set evaluation parameters, optimize the standard model generated by machine learning; It becomes a translucent and the same proportion model, covering the experiencer model, and shows to the experiencer from three views or three -dimensional graphics, so as to correct the movement of the experiencer. The present invention optimizes the simulation comparison function of the existing VR equipment, accurately simulates the posture and strength of the trainer, and promptly adjust the training posture and strength.</v>
      </c>
      <c r="D2217" s="6" t="s">
        <v>6292</v>
      </c>
      <c r="E2217" s="4" t="str">
        <f ca="1">IFERROR(__xludf.DUMMYFUNCTION("GOOGLETRANSLATE(D2217,""auto"",""en"")"),"A sports optimization training system and method based on virtual reality technology")</f>
        <v>A sports optimization training system and method based on virtual reality technology</v>
      </c>
    </row>
    <row r="2218" spans="1:5" ht="15" x14ac:dyDescent="0.25">
      <c r="A2218" s="5" t="s">
        <v>6293</v>
      </c>
      <c r="B2218" s="6" t="s">
        <v>6288</v>
      </c>
      <c r="C2218" s="3" t="str">
        <f ca="1">IFERROR(__xludf.DUMMYFUNCTION("GOOGLETRANSLATE(B2218,""auto"",""en"")"),"A sports training system includes athlete data storage, adaptive algorithms, and at least one training unit. Athlete data storage includes athletes' biological characteristics and performance data. Adaptive algorithms can access the athletes of the athlet"&amp;"es, and train them based on biological characteristics and performance data to generate specific training programs used with the training unit. Each athlete's specific training plan applies to the biological characteristics and performance data of a singl"&amp;"e athlete. The training unit includes electronic adjustable motion resistance equipment and controller. The controller is configured to receive at least one athlete's specific training plan in a specific training plan for multiple athletes, and in respons"&amp;"e to the receiving athlete specific training plan to adjust the resistance level of adjustable resistance equipment. The controller is also configured to record the performance data of the athletes using the training unit based on the receiving athlete sp"&amp;"ecial training plan.")</f>
        <v>A sports training system includes athlete data storage, adaptive algorithms, and at least one training unit. Athlete data storage includes athletes' biological characteristics and performance data. Adaptive algorithms can access the athletes of the athletes, and train them based on biological characteristics and performance data to generate specific training programs used with the training unit. Each athlete's specific training plan applies to the biological characteristics and performance data of a single athlete. The training unit includes electronic adjustable motion resistance equipment and controller. The controller is configured to receive at least one athlete's specific training plan in a specific training plan for multiple athletes, and in response to the receiving athlete specific training plan to adjust the resistance level of adjustable resistance equipment. The controller is also configured to record the performance data of the athletes using the training unit based on the receiving athlete special training plan.</v>
      </c>
      <c r="D2218" s="6" t="s">
        <v>6289</v>
      </c>
      <c r="E2218" s="4" t="str">
        <f ca="1">IFERROR(__xludf.DUMMYFUNCTION("GOOGLETRANSLATE(D2218,""auto"",""en"")"),"Physical training system with machine learning training program")</f>
        <v>Physical training system with machine learning training program</v>
      </c>
    </row>
    <row r="2219" spans="1:5" ht="15" x14ac:dyDescent="0.25">
      <c r="A2219" s="5" t="s">
        <v>6294</v>
      </c>
      <c r="B2219" s="6" t="s">
        <v>6295</v>
      </c>
      <c r="C2219" s="3" t="str">
        <f ca="1">IFERROR(__xludf.DUMMYFUNCTION("GOOGLETRANSLATE(B2219,""auto"",""en"")"),"A sports training system includes athlete data storage, adaptive algorithms, and at least one training unit. Athlete data storage contains athletes' biological characteristics and performance data. Adaptive algorithm access athlete data storage, training "&amp;"according to biological characteristics and performance data, and generate training plans for athletes for training units. The specific training plan of each athlete is adjusted according to the biomass and performance data of the athletes. The training u"&amp;"nit includes adjustable motion resistance equipment and controller. The controller receives at least one athlete's specific training plan in the specific training plan of multiple athletes, and is in response to the resistance level of adjustable resistan"&amp;"ce devices. The controller also records the performance data of the athletes using the training unit based on the receiving athlete specific training plan.")</f>
        <v>A sports training system includes athlete data storage, adaptive algorithms, and at least one training unit. Athlete data storage contains athletes' biological characteristics and performance data. Adaptive algorithm access athlete data storage, training according to biological characteristics and performance data, and generate training plans for athletes for training units. The specific training plan of each athlete is adjusted according to the biomass and performance data of the athletes. The training unit includes adjustable motion resistance equipment and controller. The controller receives at least one athlete's specific training plan in the specific training plan of multiple athletes, and is in response to the resistance level of adjustable resistance devices. The controller also records the performance data of the athletes using the training unit based on the receiving athlete specific training plan.</v>
      </c>
      <c r="D2219" s="6" t="s">
        <v>6289</v>
      </c>
      <c r="E2219" s="4" t="str">
        <f ca="1">IFERROR(__xludf.DUMMYFUNCTION("GOOGLETRANSLATE(D2219,""auto"",""en"")"),"Physical training system with machine learning training program")</f>
        <v>Physical training system with machine learning training program</v>
      </c>
    </row>
    <row r="2220" spans="1:5" ht="15" x14ac:dyDescent="0.25">
      <c r="A2220" s="5" t="s">
        <v>6296</v>
      </c>
      <c r="B2220" s="6" t="s">
        <v>6288</v>
      </c>
      <c r="C2220" s="3" t="str">
        <f ca="1">IFERROR(__xludf.DUMMYFUNCTION("GOOGLETRANSLATE(B2220,""auto"",""en"")"),"A sports training system includes athlete data storage, adaptive algorithms, and at least one training unit. Athlete data storage includes athletes' biological characteristics and performance data. Adaptive algorithms can access the athletes of the athlet"&amp;"es, and train them based on biological characteristics and performance data to generate specific training programs used with the training unit. Each athlete's specific training plan applies to the biological characteristics and performance data of a singl"&amp;"e athlete. The training unit includes electronic adjustable motion resistance equipment and controller. The controller is configured to receive at least one athlete's specific training plan in a specific training plan for multiple athletes, and in respons"&amp;"e to the receiving athlete specific training plan to adjust the resistance level of adjustable resistance equipment. The controller is also configured to record the performance data of the athletes using the training unit based on the receiving athlete sp"&amp;"ecial training plan.")</f>
        <v>A sports training system includes athlete data storage, adaptive algorithms, and at least one training unit. Athlete data storage includes athletes' biological characteristics and performance data. Adaptive algorithms can access the athletes of the athletes, and train them based on biological characteristics and performance data to generate specific training programs used with the training unit. Each athlete's specific training plan applies to the biological characteristics and performance data of a single athlete. The training unit includes electronic adjustable motion resistance equipment and controller. The controller is configured to receive at least one athlete's specific training plan in a specific training plan for multiple athletes, and in response to the receiving athlete specific training plan to adjust the resistance level of adjustable resistance equipment. The controller is also configured to record the performance data of the athletes using the training unit based on the receiving athlete special training plan.</v>
      </c>
      <c r="D2220" s="6" t="s">
        <v>6289</v>
      </c>
      <c r="E2220" s="4" t="str">
        <f ca="1">IFERROR(__xludf.DUMMYFUNCTION("GOOGLETRANSLATE(D2220,""auto"",""en"")"),"Physical training system with machine learning training program")</f>
        <v>Physical training system with machine learning training program</v>
      </c>
    </row>
    <row r="2221" spans="1:5" ht="15" x14ac:dyDescent="0.25">
      <c r="A2221" s="5" t="s">
        <v>6297</v>
      </c>
      <c r="B2221" s="6" t="s">
        <v>6298</v>
      </c>
      <c r="C2221" s="3" t="str">
        <f ca="1">IFERROR(__xludf.DUMMYFUNCTION("GOOGLETRANSLATE(B2221,""auto"",""en"")"),"Multi -camera and multi -target athletes track the shooting video generation system and methods. The present invention is an identification system that is detected by artificial intelligence pedestrians. The system can obtain video data obtained by multip"&amp;"le cameras to achieve unanimous tracking and shooting of athletes in a certain athlete area in a certain sports venue area to reduce the workload and difficulty of photographers. It is convenient for the shooting of sports events. The structure of this sy"&amp;"stem is simple, only camera equipment, host server, central server and client. It is easy to deploy and the cost is low. The client can use existing PCs to upgrade and maintain. Generally, as long as the software of the center server and host server is up"&amp;"graded. Yes, the upgrade and maintenance cost is low, the degree of intelligence is high, no large number of manual intervention is required, the shooting effect is stable, and the accuracy is high. The present invention can greatly improve the existing t"&amp;"racking and shooting scenarios for athletes, and has strong use value and ideal application prospects.")</f>
        <v>Multi -camera and multi -target athletes track the shooting video generation system and methods. The present invention is an identification system that is detected by artificial intelligence pedestrians. The system can obtain video data obtained by multiple cameras to achieve unanimous tracking and shooting of athletes in a certain athlete area in a certain sports venue area to reduce the workload and difficulty of photographers. It is convenient for the shooting of sports events. The structure of this system is simple, only camera equipment, host server, central server and client. It is easy to deploy and the cost is low. The client can use existing PCs to upgrade and maintain. Generally, as long as the software of the center server and host server is upgraded. Yes, the upgrade and maintenance cost is low, the degree of intelligence is high, no large number of manual intervention is required, the shooting effect is stable, and the accuracy is high. The present invention can greatly improve the existing tracking and shooting scenarios for athletes, and has strong use value and ideal application prospects.</v>
      </c>
      <c r="D2221" s="6" t="s">
        <v>6299</v>
      </c>
      <c r="E2221" s="4" t="str">
        <f ca="1">IFERROR(__xludf.DUMMYFUNCTION("GOOGLETRANSLATE(D2221,""auto"",""en"")"),"Athletes with multi -camera and multi -target trace shooting video generation system and method")</f>
        <v>Athletes with multi -camera and multi -target trace shooting video generation system and method</v>
      </c>
    </row>
    <row r="2222" spans="1:5" ht="15" x14ac:dyDescent="0.25">
      <c r="A2222" s="5" t="s">
        <v>6300</v>
      </c>
      <c r="B2222" s="6" t="s">
        <v>6301</v>
      </c>
      <c r="C2222" s="3" t="str">
        <f ca="1">IFERROR(__xludf.DUMMYFUNCTION("GOOGLETRANSLATE(B2222,""auto"",""en"")"),"The printing server for public examinations and security examinations has an encrypted and distributed network, and the test questions are selected through artificial intelligence. The patent of the present invention involves an innovative open bidding an"&amp;"d a safe entry test printing server equipment. It has cryptographic and distributed blockchain networks to select topics through artificial intelligence. Safe cloud server storage (1), through all -digital artificial intelligence software to select public"&amp;" competitions and entrance examinations without artificial operations, separate the problem according to the difficulty level, and never repeat the same problems in the test. This choice is only a few minutes before the test start. For security measures, "&amp;"system operators are responsible for testing and determining the best security data transmission channels used by satellite (3). GSM LTE data network through the Internet provider (4) or the honeycomb operator's GSM LTE data network (2). In this way, the "&amp;"security digital signal is guided to a security printing server (5), and the certification of the previously authorized supervisor was performed on the spot with the asymmetric key to authorize the printing machine (6) A3 or A4 Media production is made in"&amp;" the entrance examination or public competition. Entry examinations or public competitions and answering paper (7) Provide candidates' names or do not according to the requirements of managers in a personalized manner, but they are printed with the test l"&amp;"ocation, the date and time of time.")</f>
        <v>The printing server for public examinations and security examinations has an encrypted and distributed network, and the test questions are selected through artificial intelligence. The patent of the present invention involves an innovative open bidding and a safe entry test printing server equipment. It has cryptographic and distributed blockchain networks to select topics through artificial intelligence. Safe cloud server storage (1), through all -digital artificial intelligence software to select public competitions and entrance examinations without artificial operations, separate the problem according to the difficulty level, and never repeat the same problems in the test. This choice is only a few minutes before the test start. For security measures, system operators are responsible for testing and determining the best security data transmission channels used by satellite (3). GSM LTE data network through the Internet provider (4) or the honeycomb operator's GSM LTE data network (2). In this way, the security digital signal is guided to a security printing server (5), and the certification of the previously authorized supervisor was performed on the spot with the asymmetric key to authorize the printing machine (6) A3 or A4 Media production is made in the entrance examination or public competition. Entry examinations or public competitions and answering paper (7) Provide candidates' names or do not according to the requirements of managers in a personalized manner, but they are printed with the test location, the date and time of time.</v>
      </c>
      <c r="D2222" s="6" t="s">
        <v>6302</v>
      </c>
      <c r="E2222" s="4" t="str">
        <f ca="1">IFERROR(__xludf.DUMMYFUNCTION("GOOGLETRANSLATE(D2222,""auto"",""en"")"),"Safe competitions and enrollment examination printing servers, with encryption and decentralized networks, selecting test questions through artificial intelligence")</f>
        <v>Safe competitions and enrollment examination printing servers, with encryption and decentralized networks, selecting test questions through artificial intelligence</v>
      </c>
    </row>
    <row r="2223" spans="1:5" ht="15" x14ac:dyDescent="0.25">
      <c r="A2223" s="5" t="s">
        <v>6303</v>
      </c>
      <c r="B2223" s="6" t="s">
        <v>6304</v>
      </c>
      <c r="C2223" s="3" t="str">
        <f ca="1">IFERROR(__xludf.DUMMYFUNCTION("GOOGLETRANSLATE(B2223,""auto"",""en"")"),"Examples of this embodiment provide a security device for rapid recognition of TATP. The device includes the gas capture department, the image recognition department, the gas collection department, the gas transmission department, the gas analysis departm"&amp;"ent, and the control department. The TATP security device provided by the present invention can perform TATP security checks on multiple personnel and/or items at the same time. At the same time, it can be widely used in dense places such as airports, sta"&amp;"tions, and stadiums, which greatly improves the efficiency of security inspection.")</f>
        <v>Examples of this embodiment provide a security device for rapid recognition of TATP. The device includes the gas capture department, the image recognition department, the gas collection department, the gas transmission department, the gas analysis department, and the control department. The TATP security device provided by the present invention can perform TATP security checks on multiple personnel and/or items at the same time. At the same time, it can be widely used in dense places such as airports, stations, and stadiums, which greatly improves the efficiency of security inspection.</v>
      </c>
      <c r="D2223" s="6" t="s">
        <v>6305</v>
      </c>
      <c r="E2223" s="4" t="str">
        <f ca="1">IFERROR(__xludf.DUMMYFUNCTION("GOOGLETRANSLATE(D2223,""auto"",""en"")"),"TATP security device")</f>
        <v>TATP security device</v>
      </c>
    </row>
    <row r="2224" spans="1:5" ht="15" x14ac:dyDescent="0.25">
      <c r="A2224" s="5" t="s">
        <v>6306</v>
      </c>
      <c r="B2224" s="6" t="s">
        <v>6307</v>
      </c>
      <c r="C2224" s="3" t="str">
        <f ca="1">IFERROR(__xludf.DUMMYFUNCTION("GOOGLETRANSLATE(B2224,""auto"",""en"")"),"The present invention disclosed a real -time football target detection method based on neural networks, which mainly solves the problem of slow and low accuracy of existing football target detection. The solution is: 1) Get the football target detection n"&amp;"etwork YOLOV4; 2) to build the football target training data set; 3) obtain the ancestral frame size of the training data set, and replace it to the target detection network YOLov4's prior box; 4) Perform data on the training data set; 5) Use the widely a"&amp;"dded data set to train the target detection network YOLOV4; 6) Enter the football target video to be tested to Detection marking, output the detection results of football targets. The present invention enhances the network recognition and positioning capa"&amp;"bilities, improves the detection speed and accuracy of football targets, ensures the real -time nature of football target detection, and can be used for human -computer interaction, sports events, live broadcast and sports analysis.")</f>
        <v>The present invention disclosed a real -time football target detection method based on neural networks, which mainly solves the problem of slow and low accuracy of existing football target detection. The solution is: 1) Get the football target detection network YOLOV4; 2) to build the football target training data set; 3) obtain the ancestral frame size of the training data set, and replace it to the target detection network YOLov4's prior box; 4) Perform data on the training data set; 5) Use the widely added data set to train the target detection network YOLOV4; 6) Enter the football target video to be tested to Detection marking, output the detection results of football targets. The present invention enhances the network recognition and positioning capabilities, improves the detection speed and accuracy of football targets, ensures the real -time nature of football target detection, and can be used for human -computer interaction, sports events, live broadcast and sports analysis.</v>
      </c>
      <c r="D2224" s="6" t="s">
        <v>6308</v>
      </c>
      <c r="E2224" s="4" t="str">
        <f ca="1">IFERROR(__xludf.DUMMYFUNCTION("GOOGLETRANSLATE(D2224,""auto"",""en"")"),"Real -time football target detection method based on neural network")</f>
        <v>Real -time football target detection method based on neural network</v>
      </c>
    </row>
    <row r="2225" spans="1:5" ht="15" x14ac:dyDescent="0.25">
      <c r="A2225" s="5" t="s">
        <v>6309</v>
      </c>
      <c r="B2225" s="6" t="s">
        <v>6310</v>
      </c>
      <c r="C2225" s="3" t="str">
        <f ca="1">IFERROR(__xludf.DUMMYFUNCTION("GOOGLETRANSLATE(B2225,""auto"",""en"")"),"Examples of this embodiment provide a security device for rapid recognition of TATP. The device includes the gas capture department, the image recognition department, the gas collection department, the gas transmission department, the gas analysis departm"&amp;"ent, and the automatic human sidewalk. The TATP security device provided by this utility model can perform TATP security checks on multiple personnel and/or items at the same time. At the same time, it can be widely used in dense places such as airports, "&amp;"stations, and stadiums, which greatly improves the efficiency of security inspection.")</f>
        <v>Examples of this embodiment provide a security device for rapid recognition of TATP. The device includes the gas capture department, the image recognition department, the gas collection department, the gas transmission department, the gas analysis department, and the automatic human sidewalk. The TATP security device provided by this utility model can perform TATP security checks on multiple personnel and/or items at the same time. At the same time, it can be widely used in dense places such as airports, stations, and stadiums, which greatly improves the efficiency of security inspection.</v>
      </c>
      <c r="D2225" s="6" t="s">
        <v>6305</v>
      </c>
      <c r="E2225" s="4" t="str">
        <f ca="1">IFERROR(__xludf.DUMMYFUNCTION("GOOGLETRANSLATE(D2225,""auto"",""en"")"),"TATP security device")</f>
        <v>TATP security device</v>
      </c>
    </row>
    <row r="2226" spans="1:5" ht="15" x14ac:dyDescent="0.25">
      <c r="A2226" s="5" t="s">
        <v>6311</v>
      </c>
      <c r="B2226" s="6" t="s">
        <v>6312</v>
      </c>
      <c r="C2226" s="3" t="str">
        <f ca="1">IFERROR(__xludf.DUMMYFUNCTION("GOOGLETRANSLATE(B2226,""auto"",""en"")"),"Visibility enhanced equipment and systems enable human users to view their surrounding environment in an incompetent or low visibility environment. The system provides a multi -functional method to enhance the safety and visibility in many cases, such as "&amp;"runners, security personnel, hiking travelers, people riding bicycles, people riding motorcycles, divers, swimmers, coasts, coasts, coasts Guard, naval personnel, crew, etc. The device has batteries that supply enhanced units, controllers, user interfaces"&amp;", and power supply and systems. The user interface can be controlled by control panel, remote control, attached-dismantling vehicle bracket, or integrated into the electronic equipment of the vehicle. The device and system can be put on various clothes an"&amp;"d coats. This system can be detachable to the steering signal technology, mobile phone storage, drugs, hydro -synthesis, etc. The system can be taught automatically through artificial intelligence, or through control panels, applications, voice recognitio"&amp;"n or trigger technology through control panels, applications, voice recognition or trigger.")</f>
        <v>Visibility enhanced equipment and systems enable human users to view their surrounding environment in an incompetent or low visibility environment. The system provides a multi -functional method to enhance the safety and visibility in many cases, such as runners, security personnel, hiking travelers, people riding bicycles, people riding motorcycles, divers, swimmers, coasts, coasts, coasts Guard, naval personnel, crew, etc. The device has batteries that supply enhanced units, controllers, user interfaces, and power supply and systems. The user interface can be controlled by control panel, remote control, attached-dismantling vehicle bracket, or integrated into the electronic equipment of the vehicle. The device and system can be put on various clothes and coats. This system can be detachable to the steering signal technology, mobile phone storage, drugs, hydro -synthesis, etc. The system can be taught automatically through artificial intelligence, or through control panels, applications, voice recognition or trigger technology through control panels, applications, voice recognition or trigger.</v>
      </c>
      <c r="D2226" s="6" t="s">
        <v>6313</v>
      </c>
      <c r="E2226" s="4" t="str">
        <f ca="1">IFERROR(__xludf.DUMMYFUNCTION("GOOGLETRANSLATE(D2226,""auto"",""en"")"),"Enhanced visible human equipment and multi -function system")</f>
        <v>Enhanced visible human equipment and multi -function system</v>
      </c>
    </row>
    <row r="2227" spans="1:5" ht="15" x14ac:dyDescent="0.25">
      <c r="A2227" s="5" t="s">
        <v>6314</v>
      </c>
      <c r="B2227" s="6" t="s">
        <v>6315</v>
      </c>
      <c r="C2227" s="3" t="str">
        <f ca="1">IFERROR(__xludf.DUMMYFUNCTION("GOOGLETRANSLATE(B2227,""auto"",""en"")"),"The advantage of the present invention is that when using machine learning design composite materials, the design parameters of the fiber of the target value required by the designer can be exported, so that the composite materials can be designed faster "&amp;"and effectively. In addition, in the large amount of big data obtained in the fall impact experiment, the maximum absorption energy, maximum load, maximum speed, and manufacturing cost of each fiber composite material are input variables. The advantage of"&amp;" the use of fiber type as the output variable is that the target value required by the designer when designing the actual composite material can generate running models for fiber settings, running running through the running model for fiber settings.")</f>
        <v>The advantage of the present invention is that when using machine learning design composite materials, the design parameters of the fiber of the target value required by the designer can be exported, so that the composite materials can be designed faster and effectively. In addition, in the large amount of big data obtained in the fall impact experiment, the maximum absorption energy, maximum load, maximum speed, and manufacturing cost of each fiber composite material are input variables. The advantage of the use of fiber type as the output variable is that the target value required by the designer when designing the actual composite material can generate running models for fiber settings, running running through the running model for fiber settings.</v>
      </c>
      <c r="D2227" s="6" t="s">
        <v>6316</v>
      </c>
      <c r="E2227" s="4" t="str">
        <f ca="1">IFERROR(__xludf.DUMMYFUNCTION("GOOGLETRANSLATE(D2227,""auto"",""en"")"),"How to use machine learning to establish design parameters for fiber design for composite materials")</f>
        <v>How to use machine learning to establish design parameters for fiber design for composite materials</v>
      </c>
    </row>
    <row r="2228" spans="1:5" ht="15" x14ac:dyDescent="0.25">
      <c r="A2228" s="5" t="s">
        <v>6317</v>
      </c>
      <c r="B2228" s="6" t="s">
        <v>6318</v>
      </c>
      <c r="C2228" s="3" t="str">
        <f ca="1">IFERROR(__xludf.DUMMYFUNCTION("GOOGLETRANSLATE(B2228,""auto"",""en"")"),"The present invention is about a coaching car intelligent auxiliary training method and system. This method includes: obtain the training venue image information through the camera in real time, and upload it to the machine learning model; detect the trai"&amp;"ning venue images through the model to determine the type of the training site, and to determine whether there is a trainer in the training venue image; if the coach exists The car, through the model calculation and analysis processing, generates a vehicl"&amp;"e path; the model determines whether the driving path deviates from the preset path by calculating and analyzing the driving path; Car; display and play the correction information in the car, so that the students in the car adjust their driving movements "&amp;"according to the correction information, so that the driving path is close to the preset path by adjusting. The invention can replace the coach to a certain extent, providing students with intelligent car training assistance during the car training proces"&amp;"s, and improved the training level of students.")</f>
        <v>The present invention is about a coaching car intelligent auxiliary training method and system. This method includes: obtain the training venue image information through the camera in real time, and upload it to the machine learning model; detect the training venue images through the model to determine the type of the training site, and to determine whether there is a trainer in the training venue image; if the coach exists The car, through the model calculation and analysis processing, generates a vehicle path; the model determines whether the driving path deviates from the preset path by calculating and analyzing the driving path; Car; display and play the correction information in the car, so that the students in the car adjust their driving movements according to the correction information, so that the driving path is close to the preset path by adjusting. The invention can replace the coach to a certain extent, providing students with intelligent car training assistance during the car training process, and improved the training level of students.</v>
      </c>
      <c r="D2228" s="6" t="s">
        <v>6265</v>
      </c>
      <c r="E2228" s="4" t="str">
        <f ca="1">IFERROR(__xludf.DUMMYFUNCTION("GOOGLETRANSLATE(D2228,""auto"",""en"")"),"An intelligent auxiliary training method and system for coaching car")</f>
        <v>An intelligent auxiliary training method and system for coaching car</v>
      </c>
    </row>
    <row r="2229" spans="1:5" ht="15" x14ac:dyDescent="0.25">
      <c r="A2229" s="5" t="s">
        <v>6319</v>
      </c>
      <c r="B2229" s="6" t="s">
        <v>6320</v>
      </c>
      <c r="C2229" s="3" t="str">
        <f ca="1">IFERROR(__xludf.DUMMYFUNCTION("GOOGLETRANSLATE(B2229,""auto"",""en"")"),"This publicly revealed the flight simulation training system of the trainer, including: multiple flight simulators, including the solution computer, graphic instrument and audio computer, vision display computer, simulation cockpit, shaking system, shakin"&amp;"g system, shocking system, and viewing system. Ring force system and audio system; command simulator, including Tatai TV view terminals, airspace view terminals, flight plan terminals, voice recognition communication terminals and command terminals; netwo"&amp;"rk switches, which are configured to make multiple flight simulation The device establishes a communication connection with the command simulator. This practical new trainer flight simulation training system can achieve simulation training for a variety o"&amp;"f flight training programs based on a command simulator and multiple flight simulators under different meteorological conditions.")</f>
        <v>This publicly revealed the flight simulation training system of the trainer, including: multiple flight simulators, including the solution computer, graphic instrument and audio computer, vision display computer, simulation cockpit, shaking system, shaking system, shocking system, and viewing system. Ring force system and audio system; command simulator, including Tatai TV view terminals, airspace view terminals, flight plan terminals, voice recognition communication terminals and command terminals; network switches, which are configured to make multiple flight simulation The device establishes a communication connection with the command simulator. This practical new trainer flight simulation training system can achieve simulation training for a variety of flight training programs based on a command simulator and multiple flight simulators under different meteorological conditions.</v>
      </c>
      <c r="D2229" s="6" t="s">
        <v>6321</v>
      </c>
      <c r="E2229" s="4" t="str">
        <f ca="1">IFERROR(__xludf.DUMMYFUNCTION("GOOGLETRANSLATE(D2229,""auto"",""en"")"),"Trainer flight simulation training system")</f>
        <v>Trainer flight simulation training system</v>
      </c>
    </row>
    <row r="2230" spans="1:5" ht="15" x14ac:dyDescent="0.25">
      <c r="A2230" s="5" t="s">
        <v>6322</v>
      </c>
      <c r="B2230" s="6" t="s">
        <v>6323</v>
      </c>
      <c r="C2230" s="3" t="str">
        <f ca="1">IFERROR(__xludf.DUMMYFUNCTION("GOOGLETRANSLATE(B2230,""auto"",""en"")"),"1. The name of the product of the design of the product: The display screen panel with the training information display graphical user interface.
 2.本外观设计产品的用途：用于运行程序、显示图形图像；显示屏幕面板用于智能手表、智能手环、可穿戴式计算机、智能自行车码表、智能椭圆机、智能跑步机、手机、 Tablet, TV, computer display,"&amp;" laptop.
 3. Design of the design of the product in this exterior: lies in the content of the graphic user interface.
 4. Pictures or photos that can best show design: Design 1 main view.
 5. The display screen panel is commonly designed. The rear v"&amp;"iew, left view, right view, down -view view, and upper view of the design 1 to design 7 are omitted.
 6. Specify design 1 is the basic design.
 7. The purpose of graphical user interface: used to show the user's daily training plan and whether there a"&amp;"re training plans for other days.
 8. Human -computer interaction method of graphical user interface: According to the system sensing device, the day is weekly, the corresponding lines are displayed in the corresponding week; if there is a training plan"&amp;" on the day, the area of ​​the week is high; Without a training plan, its area is darker; it can also show whether there are training plans in other days. If there are also training plans in other days, the frame of its area is high; if there are no train"&amp;"ing plans in other days, it shows that the area of ​​the week shows the area of ​​the week is the area of ​​the week. darken.
 9. The black area is the content screen area.")</f>
        <v>1. The name of the product of the design of the product: The display screen panel with the training information display graphical user interface.
 2.本外观设计产品的用途：用于运行程序、显示图形图像；显示屏幕面板用于智能手表、智能手环、可穿戴式计算机、智能自行车码表、智能椭圆机、智能跑步机、手机、 Tablet, TV, computer display, laptop.
 3. Design of the design of the product in this exterior: lies in the content of the graphic user interface.
 4. Pictures or photos that can best show design: Design 1 main view.
 5. The display screen panel is commonly designed. The rear view, left view, right view, down -view view, and upper view of the design 1 to design 7 are omitted.
 6. Specify design 1 is the basic design.
 7. The purpose of graphical user interface: used to show the user's daily training plan and whether there are training plans for other days.
 8. Human -computer interaction method of graphical user interface: According to the system sensing device, the day is weekly, the corresponding lines are displayed in the corresponding week; if there is a training plan on the day, the area of ​​the week is high; Without a training plan, its area is darker; it can also show whether there are training plans in other days. If there are also training plans in other days, the frame of its area is high; if there are no training plans in other days, it shows that the area of ​​the week shows the area of ​​the week is the area of ​​the week. darken.
 9. The black area is the content screen area.</v>
      </c>
      <c r="D2230" s="6" t="s">
        <v>6324</v>
      </c>
      <c r="E2230" s="4" t="str">
        <f ca="1">IFERROR(__xludf.DUMMYFUNCTION("GOOGLETRANSLATE(D2230,""auto"",""en"")"),"Display screen panel with training information display graphics user interface")</f>
        <v>Display screen panel with training information display graphics user interface</v>
      </c>
    </row>
    <row r="2231" spans="1:5" ht="15" x14ac:dyDescent="0.25">
      <c r="A2231" s="5" t="s">
        <v>6325</v>
      </c>
      <c r="B2231" s="6" t="s">
        <v>6326</v>
      </c>
      <c r="C2231" s="3" t="str">
        <f ca="1">IFERROR(__xludf.DUMMYFUNCTION("GOOGLETRANSLATE(B2231,""auto"",""en"")"),"1. The name of the product in appearance: The display screen panel with information display graphic user interface.
 2.本外观设计产品的用途：用于运行程序、显示图形图像；显示屏幕面板用于智能手表、智能手环、可穿戴式计算机、智能自行车码表、智能椭圆机、智能跑步机、手机、 Tablet, TV, computer display, laptop.
 3. Design of the d"&amp;"esign of the product in this exterior: lies in the content of the graphic user interface.
 4. Pictures or photos that can most indicate design points: main view.
 5. The display screen panel is commonly designed, omittime, left view, left view, right "&amp;"view, down -view, upper view.
 6. The purpose of graphical user interface: used to show information such as the user's current physical power, reserve energy level, pressure value, recovery value and other information.
 7. Human -computer interaction "&amp;"method of graphical user interface: The main view shows that the user's current physical power, reserve energy level, pressure value, recovery value and other information are displayed according to the system sensing device. Swipe the screen on the left c"&amp;"an also enter the lower -level interface.")</f>
        <v>1. The name of the product in appearance: The display screen panel with information display graphic user interface.
 2.本外观设计产品的用途：用于运行程序、显示图形图像；显示屏幕面板用于智能手表、智能手环、可穿戴式计算机、智能自行车码表、智能椭圆机、智能跑步机、手机、 Tablet, TV, computer display, laptop.
 3. Design of the design of the product in this exterior: lies in the content of the graphic user interface.
 4. Pictures or photos that can most indicate design points: main view.
 5. The display screen panel is commonly designed, omittime, left view, left view, right view, down -view, upper view.
 6. The purpose of graphical user interface: used to show information such as the user's current physical power, reserve energy level, pressure value, recovery value and other information.
 7. Human -computer interaction method of graphical user interface: The main view shows that the user's current physical power, reserve energy level, pressure value, recovery value and other information are displayed according to the system sensing device. Swipe the screen on the left can also enter the lower -level interface.</v>
      </c>
      <c r="D2231" s="6" t="s">
        <v>6327</v>
      </c>
      <c r="E2231" s="4" t="str">
        <f ca="1">IFERROR(__xludf.DUMMYFUNCTION("GOOGLETRANSLATE(D2231,""auto"",""en"")"),"The display screen panel with information display graphical user interface")</f>
        <v>The display screen panel with information display graphical user interface</v>
      </c>
    </row>
    <row r="2232" spans="1:5" ht="15" x14ac:dyDescent="0.25">
      <c r="A2232" s="5" t="s">
        <v>6328</v>
      </c>
      <c r="B2232" s="6" t="s">
        <v>6329</v>
      </c>
      <c r="C2232" s="3" t="str">
        <f ca="1">IFERROR(__xludf.DUMMYFUNCTION("GOOGLETRANSLATE(B2232,""auto"",""en"")"),"1. The name of the product in appearance: The display screen panel with information display graphic user interface.
 2.本外观设计产品的用途：用于运行程序、显示图形图像；显示屏幕面板用于智能手表、智能手环、可穿戴式计算机、智能自行车码表、智能椭圆机、智能跑步机、手机、 Tablet, TV, computer display, laptop.
 3. Design of the d"&amp;"esign of the product in this exterior: lies in the content of the graphic user interface.
 4. Pictures or photos that can best show design: Design 1 main view.
 5. The display screen panel is commonly designed, omitted design 1. Design 2, Design 3, De"&amp;"sign 4, Design 5, Design 6 for other views.
 6. Specify design 1 is the basic design.
 7. The purpose of the graphical user interface: for information display; display information such as heart rate, pace, distance, calorie, altitude, duration, step n"&amp;"umber and other information.
 8. Human -computer interaction method of graphical user interface: Design 1 Main view according to the system sensing device to display the value of heart rate, real -time heart rate value, pace, distance and other informat"&amp;"ion; design 2 Main view according to the system sensing device to display the value of heart rate changes, the condition of the heart rate value, the condition of the heart rate, and the condition of the heart rate value, and Real -time heart rate values,"&amp;" steps, calories and other information; design 3 main views according to the system sensing device to display the changes in heart rate, real -time heart rate value, altitude, time, etc. Information, pace, distance and other information; design 5 main vie"&amp;"ws according to the system sensing device to display the changes in heart rate, real -time heart rate value, step, calorie and other information; design 6 main views according to the system sensing device display heart rate changes, real -time real -time "&amp;"real -time, real -time real time Heart rate value, altitude, length and other information.")</f>
        <v>1. The name of the product in appearance: The display screen panel with information display graphic user interface.
 2.本外观设计产品的用途：用于运行程序、显示图形图像；显示屏幕面板用于智能手表、智能手环、可穿戴式计算机、智能自行车码表、智能椭圆机、智能跑步机、手机、 Tablet, TV, computer display, laptop.
 3. Design of the design of the product in this exterior: lies in the content of the graphic user interface.
 4. Pictures or photos that can best show design: Design 1 main view.
 5. The display screen panel is commonly designed, omitted design 1. Design 2, Design 3, Design 4, Design 5, Design 6 for other views.
 6. Specify design 1 is the basic design.
 7. The purpose of the graphical user interface: for information display; display information such as heart rate, pace, distance, calorie, altitude, duration, step number and other information.
 8. Human -computer interaction method of graphical user interface: Design 1 Main view according to the system sensing device to display the value of heart rate, real -time heart rate value, pace, distance and other information; design 2 Main view according to the system sensing device to display the value of heart rate changes, the condition of the heart rate value, the condition of the heart rate, and the condition of the heart rate value, and Real -time heart rate values, steps, calories and other information; design 3 main views according to the system sensing device to display the changes in heart rate, real -time heart rate value, altitude, time, etc. Information, pace, distance and other information; design 5 main views according to the system sensing device to display the changes in heart rate, real -time heart rate value, step, calorie and other information; design 6 main views according to the system sensing device display heart rate changes, real -time real -time real -time, real -time real time Heart rate value, altitude, length and other information.</v>
      </c>
      <c r="D2232" s="6" t="s">
        <v>6327</v>
      </c>
      <c r="E2232" s="4" t="str">
        <f ca="1">IFERROR(__xludf.DUMMYFUNCTION("GOOGLETRANSLATE(D2232,""auto"",""en"")"),"The display screen panel with information display graphical user interface")</f>
        <v>The display screen panel with information display graphical user interface</v>
      </c>
    </row>
    <row r="2233" spans="1:5" ht="15" x14ac:dyDescent="0.25">
      <c r="A2233" s="5" t="s">
        <v>6330</v>
      </c>
      <c r="B2233" s="6" t="s">
        <v>6331</v>
      </c>
      <c r="C2233" s="3" t="str">
        <f ca="1">IFERROR(__xludf.DUMMYFUNCTION("GOOGLETRANSLATE(B2233,""auto"",""en"")"),"A prompting method and electronic equipment for fitness training involve the field of artificial intelligence. This method includes: the space required for training, the space required for the training is used to complete one or more training actions (801"&amp;"); according to the training scenario of the user and the space required for the training, it is determined by the training location recommended by the user. (802); Based on the training location of the user recommended by the user, the user's training ac"&amp;"tion (803). By recommending the appropriate training location for users based on the training scenes and space required by the user, users can also carry out training normally when there is an obstacle and lack of venue in the scenario of sports space.")</f>
        <v>A prompting method and electronic equipment for fitness training involve the field of artificial intelligence. This method includes: the space required for training, the space required for the training is used to complete one or more training actions (801); according to the training scenario of the user and the space required for the training, it is determined by the training location recommended by the user. (802); Based on the training location of the user recommended by the user, the user's training action (803). By recommending the appropriate training location for users based on the training scenes and space required by the user, users can also carry out training normally when there is an obstacle and lack of venue in the scenario of sports space.</v>
      </c>
      <c r="D2233" s="6" t="s">
        <v>6332</v>
      </c>
      <c r="E2233" s="4" t="str">
        <f ca="1">IFERROR(__xludf.DUMMYFUNCTION("GOOGLETRANSLATE(D2233,""auto"",""en"")"),"Reminder method and electronic equipment for fitness training")</f>
        <v>Reminder method and electronic equipment for fitness training</v>
      </c>
    </row>
    <row r="2234" spans="1:5" ht="15" x14ac:dyDescent="0.25">
      <c r="A2234" s="5" t="s">
        <v>6333</v>
      </c>
      <c r="B2234" s="6" t="s">
        <v>6334</v>
      </c>
      <c r="C2234" s="3" t="str">
        <f ca="1">IFERROR(__xludf.DUMMYFUNCTION("GOOGLETRANSLATE(B2234,""auto"",""en"")"),"A method of assisting fitness in the field of artificial intelligence is characterized by: electronic equipment to obtain user actions (S601); electronic devices determine from the user's movement determine Alternative action (S602); electronic equipment "&amp;"determines the amplitude of the action of the second limbs in the alternative action (S603); the electronic equipment determines the output guidance information (S604) according to the amplitude of the action change. By determining the alternative action "&amp;"of the limb movement trajectory to meet the first preset conditions, the user can accurately determine the user's fitness action according to the changes in physical movement in the alternative action. Output guidance information when determining the user"&amp;"'s fitness action can improve the accuracy of the output guidance information and improve the user experience.")</f>
        <v>A method of assisting fitness in the field of artificial intelligence is characterized by: electronic equipment to obtain user actions (S601); electronic devices determine from the user's movement determine Alternative action (S602); electronic equipment determines the amplitude of the action of the second limbs in the alternative action (S603); the electronic equipment determines the output guidance information (S604) according to the amplitude of the action change. By determining the alternative action of the limb movement trajectory to meet the first preset conditions, the user can accurately determine the user's fitness action according to the changes in physical movement in the alternative action. Output guidance information when determining the user's fitness action can improve the accuracy of the output guidance information and improve the user experience.</v>
      </c>
      <c r="D2234" s="6" t="s">
        <v>6335</v>
      </c>
      <c r="E2234" s="4" t="str">
        <f ca="1">IFERROR(__xludf.DUMMYFUNCTION("GOOGLETRANSLATE(D2234,""auto"",""en"")"),"Auxiliary fitness methods and electronic devices")</f>
        <v>Auxiliary fitness methods and electronic devices</v>
      </c>
    </row>
    <row r="2235" spans="1:5" ht="15" x14ac:dyDescent="0.25">
      <c r="A2235" s="5" t="s">
        <v>6336</v>
      </c>
      <c r="B2235" s="6" t="s">
        <v>6337</v>
      </c>
      <c r="C2235" s="3" t="str">
        <f ca="1">IFERROR(__xludf.DUMMYFUNCTION("GOOGLETRANSLATE(B2235,""auto"",""en"")"),"1. The name of the product in appearance: The display screen panel with the user interface with the user's operation graphics user interface.
 2.本外观设计产品的用途：用于运行程序、显示图形图像；显示屏幕面板用于智能手表、智能手环、可穿戴式计算机、智能自行车码表、智能椭圆机、智能跑步机、手机、 Tablet, TV, computer display, lap"&amp;"top.
 3. Design of the design of the product in this exterior: lies in the content of the graphic user interface.
 4. Pictures or photos that can best show design: Design 1 main view.
 5. The display screen panel is commonly designed, omitted design"&amp;" 1. Design 2. Design 2. Design 3, design 4 of other views.
 6. Specify design 1 is the basic design.
 7. The purpose of graphical user interface: for user operation and information display.
 8. Human -computer interaction method of graphical user in"&amp;"terface: Design 1 Main view Select ""My Fitness"" and display the design 1 change status chart; design 2 main view ""My Day"" after display design 2 changes status chart; design 3 main view selection The ""A"" ministry shows the design 3 change status dia"&amp;"gram; the design 4 main view selects the ""B"" part of the design 4 change status diagram.")</f>
        <v>1. The name of the product in appearance: The display screen panel with the user interface with the user's operation graphics user interface.
 2.本外观设计产品的用途：用于运行程序、显示图形图像；显示屏幕面板用于智能手表、智能手环、可穿戴式计算机、智能自行车码表、智能椭圆机、智能跑步机、手机、 Tablet, TV, computer display, laptop.
 3. Design of the design of the product in this exterior: lies in the content of the graphic user interface.
 4. Pictures or photos that can best show design: Design 1 main view.
 5. The display screen panel is commonly designed, omitted design 1. Design 2. Design 2. Design 3, design 4 of other views.
 6. Specify design 1 is the basic design.
 7. The purpose of graphical user interface: for user operation and information display.
 8. Human -computer interaction method of graphical user interface: Design 1 Main view Select "My Fitness" and display the design 1 change status chart; design 2 main view "My Day" after display design 2 changes status chart; design 3 main view selection The "A" ministry shows the design 3 change status diagram; the design 4 main view selects the "B" part of the design 4 change status diagram.</v>
      </c>
      <c r="D2235" s="6" t="s">
        <v>6338</v>
      </c>
      <c r="E2235" s="4" t="str">
        <f ca="1">IFERROR(__xludf.DUMMYFUNCTION("GOOGLETRANSLATE(D2235,""auto"",""en"")"),"The display screen panel with the user interface with the user interface")</f>
        <v>The display screen panel with the user interface with the user interface</v>
      </c>
    </row>
    <row r="2236" spans="1:5" ht="15" x14ac:dyDescent="0.25">
      <c r="A2236" s="5" t="s">
        <v>6339</v>
      </c>
      <c r="B2236" s="6" t="s">
        <v>6340</v>
      </c>
      <c r="C2236" s="3" t="str">
        <f ca="1">IFERROR(__xludf.DUMMYFUNCTION("GOOGLETRANSLATE(B2236,""auto"",""en"")"),"This application provides a method of warming training and electronic equipment, involving artificial intelligence. This method includes: obtain the required training space, the required training space is used to complete one or more training movements; a"&amp;"ccording to the training scenario of the user and the required training space, determine the training location recommended to the user; Collect the training movement of users recommended by users. According to the training scenario of the user and the req"&amp;"uired training space, the appropriate training location is recommended for users. Therefore, users can also train normally in the scenario of sports space, such as when there are obstacles or venues.")</f>
        <v>This application provides a method of warming training and electronic equipment, involving artificial intelligence. This method includes: obtain the required training space, the required training space is used to complete one or more training movements; according to the training scenario of the user and the required training space, determine the training location recommended to the user; Collect the training movement of users recommended by users. According to the training scenario of the user and the required training space, the appropriate training location is recommended for users. Therefore, users can also train normally in the scenario of sports space, such as when there are obstacles or venues.</v>
      </c>
      <c r="D2236" s="6" t="s">
        <v>6341</v>
      </c>
      <c r="E2236" s="4" t="str">
        <f ca="1">IFERROR(__xludf.DUMMYFUNCTION("GOOGLETRANSLATE(D2236,""auto"",""en"")"),"Method and electronic device in physical training")</f>
        <v>Method and electronic device in physical training</v>
      </c>
    </row>
    <row r="2237" spans="1:5" ht="15" x14ac:dyDescent="0.25">
      <c r="A2237" s="5" t="s">
        <v>6342</v>
      </c>
      <c r="B2237" s="6" t="s">
        <v>6343</v>
      </c>
      <c r="C2237" s="3" t="str">
        <f ca="1">IFERROR(__xludf.DUMMYFUNCTION("GOOGLETRANSLATE(B2237,""auto"",""en"")"),"The present invention provides an auxiliary fitness method in the field of artificial intelligence, including the following steps: electronic equipment, capturing user actions (S601); electronic equipment judges the first body part of the user's movement "&amp;"from the user's movement Candidates with conditions (S602); Electronic equipment (S603) of the displacement change in the second body part of the candidate movement (S603); the electronic equipment determines the guidance information (S604) according to t"&amp;"he amplitude of the motion. Candidate movements that determine the trajectory of the body part of the first preset conditions can accurately determine according to the motion changes of the body part of the candidate movement. It is a user who performs fi"&amp;"tness action. Giving guidance information when identifying users can improve the accuracy of the output guidance information and improve the user experience. The invention also involves an electronic machine, a computer storage medium, and a chip system.")</f>
        <v>The present invention provides an auxiliary fitness method in the field of artificial intelligence, including the following steps: electronic equipment, capturing user actions (S601); electronic equipment judges the first body part of the user's movement from the user's movement Candidates with conditions (S602); Electronic equipment (S603) of the displacement change in the second body part of the candidate movement (S603); the electronic equipment determines the guidance information (S604) according to the amplitude of the motion. Candidate movements that determine the trajectory of the body part of the first preset conditions can accurately determine according to the motion changes of the body part of the candidate movement. It is a user who performs fitness action. Giving guidance information when identifying users can improve the accuracy of the output guidance information and improve the user experience. The invention also involves an electronic machine, a computer storage medium, and a chip system.</v>
      </c>
      <c r="D2237" s="6" t="s">
        <v>6344</v>
      </c>
      <c r="E2237" s="4" t="str">
        <f ca="1">IFERROR(__xludf.DUMMYFUNCTION("GOOGLETRANSLATE(D2237,""auto"",""en"")"),"Methods to support fitness, electronics, computer storage media and chip systems")</f>
        <v>Methods to support fitness, electronics, computer storage media and chip systems</v>
      </c>
    </row>
    <row r="2238" spans="1:5" ht="15" x14ac:dyDescent="0.25">
      <c r="A2238" s="5" t="s">
        <v>6345</v>
      </c>
      <c r="B2238" s="6" t="s">
        <v>6346</v>
      </c>
      <c r="C2238" s="3" t="str">
        <f ca="1">IFERROR(__xludf.DUMMYFUNCTION("GOOGLETRANSLATE(B2238,""auto"",""en"")"),"This application provides a method of reminder of fitness training and electronic equipment, involving artificial intelligence. This method includes: obtaining the required training space, the training space required for the training to complete one or mo"&amp;"re training movements (801); according to the training scene where the user is located and the required training space, determine the training location recommended to the user (802 ); Collect the user's training action based on the training location recom"&amp;"mended by the user (803). According to the training scene where the user is located and the required training space, the appropriate training location is recommended to the user. Therefore, in the scenario of limited sports space, users can also be traine"&amp;"d normally if there are obstacles or inadequate venues.")</f>
        <v>This application provides a method of reminder of fitness training and electronic equipment, involving artificial intelligence. This method includes: obtaining the required training space, the training space required for the training to complete one or more training movements (801); according to the training scene where the user is located and the required training space, determine the training location recommended to the user (802 ); Collect the user's training action based on the training location recommended by the user (803). According to the training scene where the user is located and the required training space, the appropriate training location is recommended to the user. Therefore, in the scenario of limited sports space, users can also be trained normally if there are obstacles or inadequate venues.</v>
      </c>
      <c r="D2238" s="6" t="s">
        <v>6347</v>
      </c>
      <c r="E2238" s="4" t="str">
        <f ca="1">IFERROR(__xludf.DUMMYFUNCTION("GOOGLETRANSLATE(D2238,""auto"",""en"")"),"Method and electronic equipment for fitness training")</f>
        <v>Method and electronic equipment for fitness training</v>
      </c>
    </row>
    <row r="2239" spans="1:5" ht="15" x14ac:dyDescent="0.25">
      <c r="A2239" s="5" t="s">
        <v>6348</v>
      </c>
      <c r="B2239" s="6" t="s">
        <v>6349</v>
      </c>
      <c r="C2239" s="3" t="str">
        <f ca="1">IFERROR(__xludf.DUMMYFUNCTION("GOOGLETRANSLATE(B2239,""auto"",""en"")"),"An auxiliary fitness method in the field of artificial intelligence, including: electronic equipment to obtain user actions (S601); electronic equipment determines the movement trajectory of the first body part of the user's movement from the user's movem"&amp;"ent to meet the first preset conditions (S602) ; Electronic device determines the amplitude of the movement of the second body part of the candidate action (S603); the electronic device determines the output guidance information based on the amplitude of "&amp;"the movement (S604). Determine the exercise trajectory of the body part to meet the candidate movement of the first preset conditions. According to the motion changes of the body part in the candidate action, the user can accurately judge the fitness exer"&amp;"cise. Output guidance information when determining the user's fitness exercise can improve the accuracy of the output guidance information and improve the user experience.")</f>
        <v>An auxiliary fitness method in the field of artificial intelligence, including: electronic equipment to obtain user actions (S601); electronic equipment determines the movement trajectory of the first body part of the user's movement from the user's movement to meet the first preset conditions (S602) ; Electronic device determines the amplitude of the movement of the second body part of the candidate action (S603); the electronic device determines the output guidance information based on the amplitude of the movement (S604). Determine the exercise trajectory of the body part to meet the candidate movement of the first preset conditions. According to the motion changes of the body part in the candidate action, the user can accurately judge the fitness exercise. Output guidance information when determining the user's fitness exercise can improve the accuracy of the output guidance information and improve the user experience.</v>
      </c>
      <c r="D2239" s="6" t="s">
        <v>6350</v>
      </c>
      <c r="E2239" s="4" t="str">
        <f ca="1">IFERROR(__xludf.DUMMYFUNCTION("GOOGLETRANSLATE(D2239,""auto"",""en"")"),"Fitness auxiliary methods and electronic devices")</f>
        <v>Fitness auxiliary methods and electronic devices</v>
      </c>
    </row>
    <row r="2240" spans="1:5" ht="15" x14ac:dyDescent="0.25">
      <c r="A2240" s="5" t="s">
        <v>6351</v>
      </c>
      <c r="B2240" s="6" t="s">
        <v>6352</v>
      </c>
      <c r="C2240" s="3" t="str">
        <f ca="1">IFERROR(__xludf.DUMMYFUNCTION("GOOGLETRANSLATE(B2240,""auto"",""en"")"),"A fitness support method in the field of artificial intelligence, including: electronic equipment to obtain user actions (S601); determine the candidate action (S602) that meets the preset conditions; determine the (S604) output guidance information based"&amp;" on the amplitude of motion changes. Determine the candidate movement that meets the first preset conditions of the motion of the body, and accurately determines that the user is performing fitness according to the motion changes of the body part in the c"&amp;"andidate. The output guidance information can be output when determining the user's fitness activities, which can improve the accuracy of the output guidance information and improve the user experience.")</f>
        <v>A fitness support method in the field of artificial intelligence, including: electronic equipment to obtain user actions (S601); determine the candidate action (S602) that meets the preset conditions; determine the (S604) output guidance information based on the amplitude of motion changes. Determine the candidate movement that meets the first preset conditions of the motion of the body, and accurately determines that the user is performing fitness according to the motion changes of the body part in the candidate. The output guidance information can be output when determining the user's fitness activities, which can improve the accuracy of the output guidance information and improve the user experience.</v>
      </c>
      <c r="D2240" s="6" t="s">
        <v>6353</v>
      </c>
      <c r="E2240" s="4" t="str">
        <f ca="1">IFERROR(__xludf.DUMMYFUNCTION("GOOGLETRANSLATE(D2240,""auto"",""en"")"),"Fitness auxiliary methods and electronic equipment")</f>
        <v>Fitness auxiliary methods and electronic equipment</v>
      </c>
    </row>
    <row r="2241" spans="1:5" ht="15" x14ac:dyDescent="0.25">
      <c r="A2241" s="5" t="s">
        <v>6354</v>
      </c>
      <c r="B2241" s="6" t="s">
        <v>6355</v>
      </c>
      <c r="C2241" s="3" t="str">
        <f ca="1">IFERROR(__xludf.DUMMYFUNCTION("GOOGLETRANSLATE(B2241,""auto"",""en"")"),"The analysis device based on multi -neural network models based on the embodiment of the present invention obtains competition images including multiple frames and provides information about the first team, the second team and the stadium to analyze in th"&amp;"e game image. The competition image is input to the first neural network that is trained to specify and determine the position of the objects including basketball, goal pillars and players in the frame. Generate related first information; enter the game v"&amp;"ideo into the trained second neural network to distinguish different team uniforms in the frame, and create the designated and location of the first and second team uniform contained in the video action frame of the game video action frame The second info"&amp;"rmation; by input multiple continuous frames in the game video to the third neural network that judges whether the goal is successful from multiple frames to learn, and generate the third information of the success or failure of multiple continuous frames"&amp;"; and It can include analysis information on game video based on the first, second, and third information.")</f>
        <v>The analysis device based on multi -neural network models based on the embodiment of the present invention obtains competition images including multiple frames and provides information about the first team, the second team and the stadium to analyze in the game image. The competition image is input to the first neural network that is trained to specify and determine the position of the objects including basketball, goal pillars and players in the frame. Generate related first information; enter the game video into the trained second neural network to distinguish different team uniforms in the frame, and create the designated and location of the first and second team uniform contained in the video action frame of the game video action frame The second information; by input multiple continuous frames in the game video to the third neural network that judges whether the goal is successful from multiple frames to learn, and generate the third information of the success or failure of multiple continuous frames; and It can include analysis information on game video based on the first, second, and third information.</v>
      </c>
      <c r="D2241" s="6" t="s">
        <v>6356</v>
      </c>
      <c r="E2241" s="4" t="str">
        <f ca="1">IFERROR(__xludf.DUMMYFUNCTION("GOOGLETRANSLATE(D2241,""auto"",""en"")"),"Analysis device and method of basketball competition based on multiple neural network models")</f>
        <v>Analysis device and method of basketball competition based on multiple neural network models</v>
      </c>
    </row>
    <row r="2242" spans="1:5" ht="15" x14ac:dyDescent="0.25">
      <c r="A2242" s="5" t="s">
        <v>6357</v>
      </c>
      <c r="B2242" s="6" t="s">
        <v>6358</v>
      </c>
      <c r="C2242" s="3" t="str">
        <f ca="1">IFERROR(__xludf.DUMMYFUNCTION("GOOGLETRANSLATE(B2242,""auto"",""en"")"),"The present invention involves the field of artificial intelligence technology and provides a dance scoring method and related equipment based on posture recognition models, including: calling posture recognition model recognition of coaches and students'"&amp;" dance videos to obtain physical points sequences; The action of dance video starts and stops alignment; determine the first target limb sequence corresponding to the coach's dance videos, and the second target limb beeper of the second target limb of the"&amp;" student's dance video; according to the first and second and second The target limb sequence sequence calculation of the standard degree of action, the degree of grasp of the rhythm, and the degree of dance skills, and calculate the total score of the se"&amp;"cond dance video based on these three degrees. The present invention can align the coach's first dance video with the students' second dance videos to ensure that the actions of students and coaches correspond to it, so that the calculated scores are more"&amp;" reliable and accurate.")</f>
        <v>The present invention involves the field of artificial intelligence technology and provides a dance scoring method and related equipment based on posture recognition models, including: calling posture recognition model recognition of coaches and students' dance videos to obtain physical points sequences; The action of dance video starts and stops alignment; determine the first target limb sequence corresponding to the coach's dance videos, and the second target limb beeper of the second target limb of the student's dance video; according to the first and second and second The target limb sequence sequence calculation of the standard degree of action, the degree of grasp of the rhythm, and the degree of dance skills, and calculate the total score of the second dance video based on these three degrees. The present invention can align the coach's first dance video with the students' second dance videos to ensure that the actions of students and coaches correspond to it, so that the calculated scores are more reliable and accurate.</v>
      </c>
      <c r="D2242" s="6" t="s">
        <v>6359</v>
      </c>
      <c r="E2242" s="4" t="str">
        <f ca="1">IFERROR(__xludf.DUMMYFUNCTION("GOOGLETRANSLATE(D2242,""auto"",""en"")"),"Dance scoring method and related equipment based on posture recognition model")</f>
        <v>Dance scoring method and related equipment based on posture recognition model</v>
      </c>
    </row>
    <row r="2243" spans="1:5" ht="15" x14ac:dyDescent="0.25">
      <c r="A2243" s="5" t="s">
        <v>6360</v>
      </c>
      <c r="B2243" s="6" t="s">
        <v>6361</v>
      </c>
      <c r="C2243" s="3" t="str">
        <f ca="1">IFERROR(__xludf.DUMMYFUNCTION("GOOGLETRANSLATE(B2243,""auto"",""en"")"),"1. Design product name: Display screen panel with Douge challenge the dynamic graphical user interface.
 2. Design products in this exterior: used to display information.
 3. Design of design products in this appearance: lies in the graphic user inter"&amp;"face in the screen.
 4. Pictures or photos that can best show design: Design 1 main view.
 5. Specify design 1 is the basic design.
 6. The purpose of the graphical user interface: This design is a display screen panel with Douge challenge the dynam"&amp;"ic graphical user interface. The graphic user interface is used to provide users with interaction of the fighting challenge process.
 7. Human -computer interaction method of graphical user interface: In design 1 to design 4, when the user clicks the bo"&amp;"unty challenge entrance to the central part of the main view interface to enter the participating page, the interface jumps to the change state Figure 1.
 Further click the ""Participation"" button to remove the gold coin and enter the selection pages. "&amp;"The interface jumps to the change state Figure 2.
 Click ""Singing"" to enter the matching opponent until the match is successful. The interface jumps to the change state Figure 4 in turn.
 After the matching is successful, the two sides enter the gam"&amp;"e page. Users and opponents will sing successively, and the system performs intelligent scores and gives scores after the singing. The interface jumps from the change state to the change state in turn.
 After the singing of the two sides, the game shows"&amp;" the results of the game, and the interface jumps to the change state Figure 13.
 Users can perform the next step according to the results of the game.
 In Design 5 and Design 6, when the user clicks the bounty challenge entrance to the main view inte"&amp;"rface to enter the entry page, the interface jumps to the change state Figure 1.
 Further click the ""Participation"" button to remove the gold coin and enter the selection pages. The interface jumps to the change state Figure 2.
 Click ""Singing"" to"&amp;" enter the matching opponent until the match is successful. The interface jumps to the change state Figure 4 in turn.
 After the matching is successful, the two sides enter the game page. Users and opponents will sing successively, and the system perfor"&amp;"ms intelligent scores and gives scores after the singing. The interface jumps from the change state to the change state in turn.
 When the user win or the negative game reached a certain number of times in this round of this round, the game ended, and t"&amp;"he interface jumped to the change state Figure 13.
 Further click ""Receive Reward"" for gift settlement, and the interface jumps to the change state Figure 14.
 In the design 7, the main view of the interface is that the challenge time has begun, and"&amp;" the user has participated and this round of challenges has clicked on the main view interface interface in the middle of the bounty challenge entrance to enter the participating page. The interface jumps to the change state Figure 1.
 Further click the"&amp;" ""Start Challenge"" button to enter the selection page, and the interface jumps to the change state Figure 2.
 Click ""Singing"" to enter the matching opponent until the match is successful. The interface jumps to the change state Figure 4 in turn.
 "&amp;"After the matching is successful, the two sides enter the game page. Users and opponents will sing successively, and the system performs intelligent scores and gives scores after the singing. The interface jumps from the change state to the change state i"&amp;"n turn.
 When the user win or the negative game reached a certain number of times in this round of this round, the game ended, and the interface jumped to the change state Figure 13.
 Further click ""Receive Reward"" for gift settlement, and the inter"&amp;"face jumps to the change state Figure 14.
 The circular or round rectangular blank areas in each design interface are content screens, such as user avatars, album covers.
 The fork number in each design interface represents text and/or numbers.
 8. "&amp;"The display screen panel can be used for mobile phones, computers, tablets, car navigators.")</f>
        <v>1. Design product name: Display screen panel with Douge challenge the dynamic graphical user interface.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design is a display screen panel with Douge challenge the dynamic graphical user interface. The graphic user interface is used to provide users with interaction of the fighting challenge process.
 7. Human -computer interaction method of graphical user interface: In design 1 to design 4, when the user clicks the bounty challenge entrance to the central part of the main view interface to enter the participating page, the interface jumps to the change state Figure 1.
 Further click the "Participation" button to remove the gold coin and enter the selection pages. The interface jumps to the change state Figure 2.
 Click "Singing" to enter the matching opponent until the match is successful. The interface jumps to the change state Figure 4 in turn.
 After the matching is successful, the two sides enter the game page. Users and opponents will sing successively, and the system performs intelligent scores and gives scores after the singing. The interface jumps from the change state to the change state in turn.
 After the singing of the two sides, the game shows the results of the game, and the interface jumps to the change state Figure 13.
 Users can perform the next step according to the results of the game.
 In Design 5 and Design 6, when the user clicks the bounty challenge entrance to the main view interface to enter the entry page, the interface jumps to the change state Figure 1.
 Further click the "Participation" button to remove the gold coin and enter the selection pages. The interface jumps to the change state Figure 2.
 Click "Singing" to enter the matching opponent until the match is successful. The interface jumps to the change state Figure 4 in turn.
 After the matching is successful, the two sides enter the game page. Users and opponents will sing successively, and the system performs intelligent scores and gives scores after the singing. The interface jumps from the change state to the change state in turn.
 When the user win or the negative game reached a certain number of times in this round of this round, the game ended, and the interface jumped to the change state Figure 13.
 Further click "Receive Reward" for gift settlement, and the interface jumps to the change state Figure 14.
 In the design 7, the main view of the interface is that the challenge time has begun, and the user has participated and this round of challenges has clicked on the main view interface interface in the middle of the bounty challenge entrance to enter the participating page. The interface jumps to the change state Figure 1.
 Further click the "Start Challenge" button to enter the selection page, and the interface jumps to the change state Figure 2.
 Click "Singing" to enter the matching opponent until the match is successful. The interface jumps to the change state Figure 4 in turn.
 After the matching is successful, the two sides enter the game page. Users and opponents will sing successively, and the system performs intelligent scores and gives scores after the singing. The interface jumps from the change state to the change state in turn.
 When the user win or the negative game reached a certain number of times in this round of this round, the game ended, and the interface jumped to the change state Figure 13.
 Further click "Receive Reward" for gift settlement, and the interface jumps to the change state Figure 14.
 The circular or round rectangular blank areas in each design interface are content screens, such as user avatars, album covers.
 The fork number in each design interface represents text and/or numbers.
 8. The display screen panel can be used for mobile phones, computers, tablets, car navigators.</v>
      </c>
      <c r="D2243" s="6" t="s">
        <v>6362</v>
      </c>
      <c r="E2243" s="4" t="str">
        <f ca="1">IFERROR(__xludf.DUMMYFUNCTION("GOOGLETRANSLATE(D2243,""auto"",""en"")"),"Display screen panel with Douge challenge the dynamic graphical user interface")</f>
        <v>Display screen panel with Douge challenge the dynamic graphical user interface</v>
      </c>
    </row>
    <row r="2244" spans="1:5" ht="15" x14ac:dyDescent="0.25">
      <c r="A2244" s="5" t="s">
        <v>6363</v>
      </c>
      <c r="B2244" s="6" t="s">
        <v>6364</v>
      </c>
      <c r="C2244" s="3" t="str">
        <f ca="1">IFERROR(__xludf.DUMMYFUNCTION("GOOGLETRANSLATE(B2244,""auto"",""en"")"),"1. Design product name: Display screen panel with a live graphic user interface with the event.
 2. The purpose of designing products in this exterior: The graphic user interface of the design of the product is used for human -computer interaction on th"&amp;"e display screen panel. The display screen panel is used for mobile phones and tablets.
 3. Design of the design of the product in this exterior: lies in the graphical user interface displayed in the display screen panel.
 4. Pictures or photos that c"&amp;"an best show design: Design 1 main view.
 5. No design points, omit the rear view, left view, right view, down -view view and retry view of the product design of this design product design 1‑2.
 6. Specify design 1 is the basic design.
 7. The purpo"&amp;"se of the graphic user interface: The interface of the product design product is used for the live broadcast of the event, especially for the live broadcast of the golf event. The interface displayed by the main view of the main view is the live interface"&amp;" of the golf event. The scoring card and live broadcast interaction. The real -time scoring card has the day's score, total score, and the progress of the current competition, but also has the total results of the leader; the interface displayed by the ma"&amp;"in view of the main view is the live broadcast interface of the golf. The interface has live video screens, real -time scoring cards, and live streaming interactions. Real -time scoring cards have the total scores of the leaders, and also have the perform"&amp;"ance, total results, and current competition progress of players with the top players. The white frame represents the live screen image, the player's national picture, the user avatar, and the advertising information image. The design 1‑2 uses the status "&amp;"reference map shows the design of the design product design in this exterior.")</f>
        <v>1. Design product name: Display screen panel with a live graphic user interface with the event.
 2. The purpose of designing products in this exterior: The graphic user interface of the design of the product is used for human -computer interaction on the display screen panel. The display screen panel is used for mobile phones and tablets.
 3. Design of the design of the product in this exterior: lies in the graphical user interface displayed in the display screen panel.
 4. Pictures or photos that can best show design: Design 1 main view.
 5. No design points, omit the rear view, left view, right view, down -view view and retry view of the product design of this design product design 1‑2.
 6. Specify design 1 is the basic design.
 7. The purpose of the graphic user interface: The interface of the product design product is used for the live broadcast of the event, especially for the live broadcast of the golf event. The interface displayed by the main view of the main view is the live interface of the golf event. The scoring card and live broadcast interaction. The real -time scoring card has the day's score, total score, and the progress of the current competition, but also has the total results of the leader; the interface displayed by the main view of the main view is the live broadcast interface of the golf. The interface has live video screens, real -time scoring cards, and live streaming interactions. Real -time scoring cards have the total scores of the leaders, and also have the performance, total results, and current competition progress of players with the top players. The white frame represents the live screen image, the player's national picture, the user avatar, and the advertising information image. The design 1‑2 uses the status reference map shows the design of the design product design in this exterior.</v>
      </c>
      <c r="D2244" s="6" t="s">
        <v>6365</v>
      </c>
      <c r="E2244" s="4" t="str">
        <f ca="1">IFERROR(__xludf.DUMMYFUNCTION("GOOGLETRANSLATE(D2244,""auto"",""en"")"),"Display screen panel with a live graphics user interface with the event")</f>
        <v>Display screen panel with a live graphics user interface with the event</v>
      </c>
    </row>
    <row r="2245" spans="1:5" ht="15" x14ac:dyDescent="0.25">
      <c r="A2245" s="5" t="s">
        <v>6366</v>
      </c>
      <c r="B2245" s="6" t="s">
        <v>6367</v>
      </c>
      <c r="C2245" s="3" t="str">
        <f ca="1">IFERROR(__xludf.DUMMYFUNCTION("GOOGLETRANSLATE(B2245,""auto"",""en"")"),"1. Design product name: Display screen panel with a live graphic user interface with the event.
 2. The purpose of designing products in this exterior: The graphic user interface of the design of the product is used for human -computer interaction on th"&amp;"e display screen panel. The display screen panel is used for mobile phones and tablets.
 3. Design of the design of the product in this exterior: lies in the graphical user interface displayed in the display screen panel.
 4. Pictures or photos that c"&amp;"an best show design: Design 1 main view.
 5. No design points, omit the rear view, left view, right view, down -view view and retry view of this product design product design 1‑4.
 6. Specify design 1 is the basic design.
 7. The purpose of the grap"&amp;"hic user interface: The interface of the product design product is used for the live broadcast of the event, especially for the live broadcast of the golf event. The interface displayed by the main view of the main view is the live interface of the golf e"&amp;"vent. Point card and live streaming interaction, there is an event advertising area on the real -time points card; the interface displayed by the design 2 main view is the live interface of the golf event. The interface has a live video screen, real -time"&amp;" integration card, and live streaming interaction. It has a real -time points card. The holes information to be performed; the interface displayed by the main view of the 3 main view is the live interface of the golf event. The interface has a live video "&amp;"screen, real -time points card, and live streaming interaction. It has the event bonus distribution information on the real -time points card; The displayed interface is the live interface of the golf game. The interface has a live video screen, real -tim"&amp;"e integral card, and live streaming interaction. It has the recent end of the ball cave game and bonus information on the real -time points card. Screen images, players, user avatars, and advertising information images, design 1 Reference status refer to "&amp;"Figure 1‑2, design 2‑4 Reference status reference map shows the design of this design product design 1‑4 main view in the actual application.")</f>
        <v>1. Design product name: Display screen panel with a live graphic user interface with the event.
 2. The purpose of designing products in this exterior: The graphic user interface of the design of the product is used for human -computer interaction on the display screen panel. The display screen panel is used for mobile phones and tablets.
 3. Design of the design of the product in this exterior: lies in the graphical user interface displayed in the display screen panel.
 4. Pictures or photos that can best show design: Design 1 main view.
 5. No design points, omit the rear view, left view, right view, down -view view and retry view of this product design product design 1‑4.
 6. Specify design 1 is the basic design.
 7. The purpose of the graphic user interface: The interface of the product design product is used for the live broadcast of the event, especially for the live broadcast of the golf event. The interface displayed by the main view of the main view is the live interface of the golf event. Point card and live streaming interaction, there is an event advertising area on the real -time points card; the interface displayed by the design 2 main view is the live interface of the golf event. The interface has a live video screen, real -time integration card, and live streaming interaction. It has a real -time points card. The holes information to be performed; the interface displayed by the main view of the 3 main view is the live interface of the golf event. The interface has a live video screen, real -time points card, and live streaming interaction. It has the event bonus distribution information on the real -time points card; The displayed interface is the live interface of the golf game. The interface has a live video screen, real -time integral card, and live streaming interaction. It has the recent end of the ball cave game and bonus information on the real -time points card. Screen images, players, user avatars, and advertising information images, design 1 Reference status refer to Figure 1‑2, design 2‑4 Reference status reference map shows the design of this design product design 1‑4 main view in the actual application.</v>
      </c>
      <c r="D2245" s="6" t="s">
        <v>6365</v>
      </c>
      <c r="E2245" s="4" t="str">
        <f ca="1">IFERROR(__xludf.DUMMYFUNCTION("GOOGLETRANSLATE(D2245,""auto"",""en"")"),"Display screen panel with a live graphics user interface with the event")</f>
        <v>Display screen panel with a live graphics user interface with the event</v>
      </c>
    </row>
    <row r="2246" spans="1:5" ht="15" x14ac:dyDescent="0.25">
      <c r="A2246" s="5" t="s">
        <v>6368</v>
      </c>
      <c r="B2246" s="6" t="s">
        <v>6369</v>
      </c>
      <c r="C2246" s="3" t="str">
        <f ca="1">IFERROR(__xludf.DUMMYFUNCTION("GOOGLETRANSLATE(B2246,""auto"",""en"")"),"The present invention involves a multi -channel fitness exercise method based on human bone joints, including: step 1, collect the depth image data data of the human body movement; Essence The beneficial effect of the present invention is that after learn"&amp;"ing and training through the LSTM -based deep learning algorithm -based deep learning algorithm, the motion posture is identified. The bone joint data data is more accurate than the traditional image data, positioning and detecting the human body Exercise"&amp;" is more accurate; introducing the ground equation can accurately judge the space relationship of the human joint node and the ground, and then can more accurately identify the human space relationship, enhance the adaptability of different environmental "&amp;"changes in different environments; first adopt NTU RGB+ D Data setting skeleton data train the model, and then use the self -built human fitness sports data set for migration and training to enhance the accuracy of model recognition.")</f>
        <v>The present invention involves a multi -channel fitness exercise method based on human bone joints, including: step 1, collect the depth image data data of the human body movement; Essence The beneficial effect of the present invention is that after learning and training through the LSTM -based deep learning algorithm -based deep learning algorithm, the motion posture is identified. The bone joint data data is more accurate than the traditional image data, positioning and detecting the human body Exercise is more accurate; introducing the ground equation can accurately judge the space relationship of the human joint node and the ground, and then can more accurately identify the human space relationship, enhance the adaptability of different environmental changes in different environments; first adopt NTU RGB+ D Data setting skeleton data train the model, and then use the self -built human fitness sports data set for migration and training to enhance the accuracy of model recognition.</v>
      </c>
      <c r="D2246" s="6" t="s">
        <v>6370</v>
      </c>
      <c r="E2246" s="4" t="str">
        <f ca="1">IFERROR(__xludf.DUMMYFUNCTION("GOOGLETRANSLATE(D2246,""auto"",""en"")"),"A multi -channel fitness exercise recognition method based on human bone joints")</f>
        <v>A multi -channel fitness exercise recognition method based on human bone joints</v>
      </c>
    </row>
    <row r="2247" spans="1:5" ht="15" x14ac:dyDescent="0.25">
      <c r="A2247" s="5" t="s">
        <v>6371</v>
      </c>
      <c r="B2247" s="6" t="s">
        <v>6372</v>
      </c>
      <c r="C2247" s="3" t="str">
        <f ca="1">IFERROR(__xludf.DUMMYFUNCTION("GOOGLETRANSLATE(B2247,""auto"",""en"")"),"The present invention disclosed a system and method to provide alarm when transmitting digital content. For example, when interesting digital content is imminent, for example, when the start of the football game, the attention of one or more audiences is "&amp;"attracted to Digital content. The present invention is also configured to embed business information in combination with warnings to guide audiences. The system is suitable for manual or automatic activation alarm. In addition, the system is available to "&amp;"use the artificial intelligence (AI) system to implement it. The system uses deep learning to train to identify the appropriate time to automatically trigger the alarm/business message sequence. You can train artificial intelligence systems by monitoring "&amp;"manual control activated alerts.")</f>
        <v>The present invention disclosed a system and method to provide alarm when transmitting digital content. For example, when interesting digital content is imminent, for example, when the start of the football game, the attention of one or more audiences is attracted to Digital content. The present invention is also configured to embed business information in combination with warnings to guide audiences. The system is suitable for manual or automatic activation alarm. In addition, the system is available to use the artificial intelligence (AI) system to implement it. The system uses deep learning to train to identify the appropriate time to automatically trigger the alarm/business message sequence. You can train artificial intelligence systems by monitoring manual control activated alerts.</v>
      </c>
      <c r="D2247" s="6" t="s">
        <v>6373</v>
      </c>
      <c r="E2247" s="4" t="str">
        <f ca="1">IFERROR(__xludf.DUMMYFUNCTION("GOOGLETRANSLATE(D2247,""auto"",""en"")"),"Provide a system and method for the alarm of the transmission of digital content.")</f>
        <v>Provide a system and method for the alarm of the transmission of digital content.</v>
      </c>
    </row>
    <row r="2248" spans="1:5" ht="15" x14ac:dyDescent="0.25">
      <c r="A2248" s="5" t="s">
        <v>6374</v>
      </c>
      <c r="B2248" s="6" t="s">
        <v>6375</v>
      </c>
      <c r="C2248" s="3" t="str">
        <f ca="1">IFERROR(__xludf.DUMMYFUNCTION("GOOGLETRANSLATE(B2248,""auto"",""en"")"),"The present invention involves the field of action capture and identification technology, and has disclosed a training and evaluation system and method of juvenile sports special skills groups based on the Internet of Things and machine learning. Movement"&amp;" data for test movements; computers are used to obtain test data of multiple test action standard samples, and establish motion trajectory models; cloud storage servers are used to store standard sample databases; smart mobile terminal devices, smart mobi"&amp;"le terminal devices respectively, respectively, respectively. Wearable measuring sensors and cloud storage server wireless communication connections. Smart mobile terminal devices collect multiple test data of multiple testing actions through wearable sen"&amp;"sors, and compare with standard sample databases. The technical solution of the present invention can accurately evaluate sports skills, help improve the level of training, and the equipment cost is low and easy to use.")</f>
        <v>The present invention involves the field of action capture and identification technology, and has disclosed a training and evaluation system and method of juvenile sports special skills groups based on the Internet of Things and machine learning. Movement data for test movements; computers are used to obtain test data of multiple test action standard samples, and establish motion trajectory models; cloud storage servers are used to store standard sample databases; smart mobile terminal devices, smart mobile terminal devices respectively, respectively, respectively. Wearable measuring sensors and cloud storage server wireless communication connections. Smart mobile terminal devices collect multiple test data of multiple testing actions through wearable sensors, and compare with standard sample databases. The technical solution of the present invention can accurately evaluate sports skills, help improve the level of training, and the equipment cost is low and easy to use.</v>
      </c>
      <c r="D2248" s="6" t="s">
        <v>6376</v>
      </c>
      <c r="E2248" s="4" t="str">
        <f ca="1">IFERROR(__xludf.DUMMYFUNCTION("GOOGLETRANSLATE(D2248,""auto"",""en"")"),"Youth Sports Special Skills Group Training and Evaluation System and Methods based on the Special Skills Skills of the Internet of Things and machine learning")</f>
        <v>Youth Sports Special Skills Group Training and Evaluation System and Methods based on the Special Skills Skills of the Internet of Things and machine learning</v>
      </c>
    </row>
    <row r="2249" spans="1:5" ht="15" x14ac:dyDescent="0.25">
      <c r="A2249" s="5" t="s">
        <v>6377</v>
      </c>
      <c r="B2249" s="6" t="s">
        <v>6378</v>
      </c>
      <c r="C2249" s="3" t="str">
        <f ca="1">IFERROR(__xludf.DUMMYFUNCTION("GOOGLETRANSLATE(B2249,""auto"",""en"")"),"This utility model is open to the technology field of sports equipment and equipment. It is specifically a IoT -based basketball shooting training equipment, including rebounds, infrared sensors, baskets, main rods and bases. Identifying the device and po"&amp;"wer management module, the fixed setting of the front end of the rebounds has a lighting system. Basketball shooting training equipment and Internet of Things system, including the motherboard, lighting system, collecting camera, infrared sensor, and radi"&amp;"o frequency identification device. The trainers can connect the device only through the Bluetooth of the mobile phone to get the image in the basketball training process, and Information such as shooting percentage is not only available for training, but "&amp;"everyone can understand and observe the posture of their own training shooting.")</f>
        <v>This utility model is open to the technology field of sports equipment and equipment. It is specifically a IoT -based basketball shooting training equipment, including rebounds, infrared sensors, baskets, main rods and bases. Identifying the device and power management module, the fixed setting of the front end of the rebounds has a lighting system. Basketball shooting training equipment and Internet of Things system, including the motherboard, lighting system, collecting camera, infrared sensor, and radio frequency identification device. The trainers can connect the device only through the Bluetooth of the mobile phone to get the image in the basketball training process, and Information such as shooting percentage is not only available for training, but everyone can understand and observe the posture of their own training shooting.</v>
      </c>
      <c r="D2249" s="6" t="s">
        <v>6379</v>
      </c>
      <c r="E2249" s="4" t="str">
        <f ca="1">IFERROR(__xludf.DUMMYFUNCTION("GOOGLETRANSLATE(D2249,""auto"",""en"")"),"A basketball shooting training equipment based on the Internet of Things")</f>
        <v>A basketball shooting training equipment based on the Internet of Things</v>
      </c>
    </row>
    <row r="2250" spans="1:5" ht="15" x14ac:dyDescent="0.25">
      <c r="A2250" s="5" t="s">
        <v>6380</v>
      </c>
      <c r="B2250" s="6" t="s">
        <v>6381</v>
      </c>
      <c r="C2250" s="3" t="str">
        <f ca="1">IFERROR(__xludf.DUMMYFUNCTION("GOOGLETRANSLATE(B2250,""auto"",""en"")"),"The present invention involves a coaching two -dimensional visual device and high -precision stereo visual image acquisition method. It is a three -dimensional visual technology field. It solves the problems that existing three -dimensional visual devices"&amp;" cannot meet the requirements of high precision and low precision. At the same time, cost. This device includes: two -dimensional visual units, which are used to collect double -minded sample images in the field of view and online collection and measureme"&amp;"nt of real -time images in the field of vision. Visual images of Me stands; a coach unit for obtaining 10 accurate three -dimensional visual images in the same field of vision, and a smart learning unit for training deep convolutional neural networks stor"&amp;"ed in intelligent learning units until deep convolution The neural network is based on a three-dimensional image, matching cost chart of non-stand-up images, and two-dimensional visual images based on 15 double-looking sample images and precise three-dime"&amp;"nsional visual images. The three -dimensional visual image is based on the convergent real -time images that are processed in real -time images in the measurement field.")</f>
        <v>The present invention involves a coaching two -dimensional visual device and high -precision stereo visual image acquisition method. It is a three -dimensional visual technology field. It solves the problems that existing three -dimensional visual devices cannot meet the requirements of high precision and low precision. At the same time, cost. This device includes: two -dimensional visual units, which are used to collect double -minded sample images in the field of view and online collection and measurement of real -time images in the field of vision. Visual images of Me stands; a coach unit for obtaining 10 accurate three -dimensional visual images in the same field of vision, and a smart learning unit for training deep convolutional neural networks stored in intelligent learning units until deep convolution The neural network is based on a three-dimensional image, matching cost chart of non-stand-up images, and two-dimensional visual images based on 15 double-looking sample images and precise three-dimensional visual images. The three -dimensional visual image is based on the convergent real -time images that are processed in real -time images in the measurement field.</v>
      </c>
      <c r="D2250" s="6" t="s">
        <v>6382</v>
      </c>
      <c r="E2250" s="4" t="str">
        <f ca="1">IFERROR(__xludf.DUMMYFUNCTION("GOOGLETRANSLATE(D2250,""auto"",""en"")"),"A coach -type three -dimensional visual device and method of obtaining high -precision stereo visual images")</f>
        <v>A coach -type three -dimensional visual device and method of obtaining high -precision stereo visual images</v>
      </c>
    </row>
    <row r="2251" spans="1:5" ht="15" x14ac:dyDescent="0.25">
      <c r="A2251" s="5" t="s">
        <v>6383</v>
      </c>
      <c r="B2251" s="6" t="s">
        <v>6384</v>
      </c>
      <c r="C2251" s="3" t="str">
        <f ca="1">IFERROR(__xludf.DUMMYFUNCTION("GOOGLETRANSLATE(B2251,""auto"",""en"")"),"The present invention involves a type of arrow boxing sparring robot. It belongs to the application of computer technology auxiliary robots in the field of sports, including three -dimensional visual device, target zone device, mechanical bilateral device"&amp;", data processing device and information display interactive device; three -dimensional visual device is used to provide measurement of boxer sports data; target area; target area The device is used to provide athlete's attack training; the mechanical arm"&amp;"s device is used to simulate the punch attack and provide defense training for athletes; the data processing device is used for software to read and analyze the stress sensor data, three -dimensional visual image data, and Operation and control of dual -r"&amp;"obotic arm; information display interactive device provides the function of motion data, action posture scores and error prompt display and human -computer interaction. The present invention can alleviate the public's needs for boxing coach, improve the s"&amp;"tandardization of boxing teaching, provide professional boxing training, and enhance the entertainment of boxing.")</f>
        <v>The present invention involves a type of arrow boxing sparring robot. It belongs to the application of computer technology auxiliary robots in the field of sports, including three -dimensional visual device, target zone device, mechanical bilateral device, data processing device and information display interactive device; three -dimensional visual device is used to provide measurement of boxer sports data; target area; target area The device is used to provide athlete's attack training; the mechanical arms device is used to simulate the punch attack and provide defense training for athletes; the data processing device is used for software to read and analyze the stress sensor data, three -dimensional visual image data, and Operation and control of dual -robotic arm; information display interactive device provides the function of motion data, action posture scores and error prompt display and human -computer interaction. The present invention can alleviate the public's needs for boxing coach, improve the standardization of boxing teaching, provide professional boxing training, and enhance the entertainment of boxing.</v>
      </c>
      <c r="D2251" s="6" t="s">
        <v>6385</v>
      </c>
      <c r="E2251" s="4" t="str">
        <f ca="1">IFERROR(__xludf.DUMMYFUNCTION("GOOGLETRANSLATE(D2251,""auto"",""en"")"),"An arrow boxing sparring robot")</f>
        <v>An arrow boxing sparring robot</v>
      </c>
    </row>
    <row r="2252" spans="1:5" ht="15" x14ac:dyDescent="0.25">
      <c r="A2252" s="5" t="s">
        <v>6386</v>
      </c>
      <c r="B2252" s="6" t="s">
        <v>6387</v>
      </c>
      <c r="C2252" s="3" t="str">
        <f ca="1">IFERROR(__xludf.DUMMYFUNCTION("GOOGLETRANSLATE(B2252,""auto"",""en"")"),"The present invention disclosed a fake system for fighting training, entertainment and security. The following is referred to as the fighting fake system. The dummy of this system is by smart boxing gloves, image recognition modules, rubber fakes, sound a"&amp;"nd light modules, limbs, limbs, limbs, limbs, limbs, limbs, limbs, limbs, limbs, limbs, limbs, limbs, limbs Composition of action mechanisms, base brackets, and circuit systems; users wear smart boxing gloves to conduct pseudo -purse training; use gloves "&amp;"and the internal sensors inside the dummy to perform voice broadcast, and interact with the user with voice, and also emit brightly. Lighting effects; the pressure of fighting training, pressure venting of stressful people, fitness weight loss entertainme"&amp;"nt movements.")</f>
        <v>The present invention disclosed a fake system for fighting training, entertainment and security. The following is referred to as the fighting fake system. The dummy of this system is by smart boxing gloves, image recognition modules, rubber fakes, sound and light modules, limbs, limbs, limbs, limbs, limbs, limbs, limbs, limbs, limbs, limbs, limbs, limbs, limbs Composition of action mechanisms, base brackets, and circuit systems; users wear smart boxing gloves to conduct pseudo -purse training; use gloves and the internal sensors inside the dummy to perform voice broadcast, and interact with the user with voice, and also emit brightly. Lighting effects; the pressure of fighting training, pressure venting of stressful people, fitness weight loss entertainment movements.</v>
      </c>
      <c r="D2252" s="6" t="s">
        <v>6388</v>
      </c>
      <c r="E2252" s="4" t="str">
        <f ca="1">IFERROR(__xludf.DUMMYFUNCTION("GOOGLETRANSLATE(D2252,""auto"",""en"")"),"A dummy for fighting training, entertainment and security")</f>
        <v>A dummy for fighting training, entertainment and security</v>
      </c>
    </row>
    <row r="2253" spans="1:5" ht="15" x14ac:dyDescent="0.25">
      <c r="A2253" s="5" t="s">
        <v>6389</v>
      </c>
      <c r="B2253" s="6" t="s">
        <v>6390</v>
      </c>
      <c r="C2253" s="3" t="str">
        <f ca="1">IFERROR(__xludf.DUMMYFUNCTION("GOOGLETRANSLATE(B2253,""auto"",""en"")"),"This application involves a virtual physical examination method and device based on VR technology. Among them, virtual physical examination teaching methods based on VR technology include: build virtual scenes and virtual patients; Virtual patients intera"&amp;"ct with trainers; identify modules through limbs and gestures to identify the physical examination of trainers; identify the voice information of the trainer through voice recognition equipment; Whether the voice information is described to the trainer; t"&amp;"he real -time monitoring of the trainer's physical examination operation and voice information are in line with the specifications, and statistical and evaluation of the operational behavior and voice information of the gymnastics and guidance are given, "&amp;"and the training results and guidance suggestions are given.")</f>
        <v>This application involves a virtual physical examination method and device based on VR technology. Among them, virtual physical examination teaching methods based on VR technology include: build virtual scenes and virtual patients; Virtual patients interact with trainers; identify modules through limbs and gestures to identify the physical examination of trainers; identify the voice information of the trainer through voice recognition equipment; Whether the voice information is described to the trainer; the real -time monitoring of the trainer's physical examination operation and voice information are in line with the specifications, and statistical and evaluation of the operational behavior and voice information of the gymnastics and guidance are given, and the training results and guidance suggestions are given.</v>
      </c>
      <c r="D2253" s="6" t="s">
        <v>6391</v>
      </c>
      <c r="E2253" s="4" t="str">
        <f ca="1">IFERROR(__xludf.DUMMYFUNCTION("GOOGLETRANSLATE(D2253,""auto"",""en"")"),"Virtual physical examination methods and devices based on VR technology")</f>
        <v>Virtual physical examination methods and devices based on VR technology</v>
      </c>
    </row>
    <row r="2254" spans="1:5" ht="15" x14ac:dyDescent="0.25">
      <c r="A2254" s="5" t="s">
        <v>6392</v>
      </c>
      <c r="B2254" s="6" t="s">
        <v>6393</v>
      </c>
      <c r="C2254" s="3" t="str">
        <f ca="1">IFERROR(__xludf.DUMMYFUNCTION("GOOGLETRANSLATE(B2254,""auto"",""en"")"),"This utility model involves the technology field of cloud platform terminal equipment, and an artificial intelligence interactive terminal device based on the cloud platform is disclosed, including treadmills and smart bracelets. There are two parallel br"&amp;"ackets in the fixed connection. The upper part of the brackets are tilted and fixed with a display case. The upper part of the display shell is embedded with a display screen. There are storage tanks upwards. After connecting the Bluetooth transmission mo"&amp;"dule on the treadmill through its Bluetooth transmission module through its Bluetooth transmission module through the smart bracelet, the data and heart rate monitoring module data in the database on the smart bracelet is recorded in the gym in the gym. I"&amp;"n the process of interacting, and during the exercise, the exercise staff can also press and stop switches to control the treadmill for start and stop. The security is greatly improved, and artificial intelligence interaction is more convenient.")</f>
        <v>This utility model involves the technology field of cloud platform terminal equipment, and an artificial intelligence interactive terminal device based on the cloud platform is disclosed, including treadmills and smart bracelets. There are two parallel brackets in the fixed connection. The upper part of the brackets are tilted and fixed with a display case. The upper part of the display shell is embedded with a display screen. There are storage tanks upwards. After connecting the Bluetooth transmission module on the treadmill through its Bluetooth transmission module through its Bluetooth transmission module through the smart bracelet, the data and heart rate monitoring module data in the database on the smart bracelet is recorded in the gym in the gym. In the process of interacting, and during the exercise, the exercise staff can also press and stop switches to control the treadmill for start and stop. The security is greatly improved, and artificial intelligence interaction is more convenient.</v>
      </c>
      <c r="D2254" s="6" t="s">
        <v>6394</v>
      </c>
      <c r="E2254" s="4" t="str">
        <f ca="1">IFERROR(__xludf.DUMMYFUNCTION("GOOGLETRANSLATE(D2254,""auto"",""en"")"),"An artificial intelligence interactive terminal device based on the cloud platform")</f>
        <v>An artificial intelligence interactive terminal device based on the cloud platform</v>
      </c>
    </row>
    <row r="2255" spans="1:5" ht="15" x14ac:dyDescent="0.25">
      <c r="A2255" s="5" t="s">
        <v>6395</v>
      </c>
      <c r="B2255" s="6" t="s">
        <v>6396</v>
      </c>
      <c r="C2255" s="3" t="str">
        <f ca="1">IFERROR(__xludf.DUMMYFUNCTION("GOOGLETRANSLATE(B2255,""auto"",""en"")"),"The invention involves the field of action capture and identification technology, and a football action recognition evaluation system and method based on wearable devices and machine learning, including wearable measurement sensors, to collect one or more"&amp;" movement actions in the limbs of football players. Movement data; computers, used to obtain the motion data of multiple professional football players and football amateur enthusiasts, use it as training data and establish an action trajectory model; extr"&amp;"act the characteristic parameters of the data from all data, enter the SVM classification of feature parameters into SVM classification from all data Instrument, perform parameters of the SVM classifier. After the training is completed, the classification"&amp;" model is obtained; the intelligent mobile terminal device is used to classify the classification model that is trained in the training of feature parameters to obtain the final classification result. The technical scheme of the present invention can accu"&amp;"rately classify football action and divide the level of action.")</f>
        <v>The invention involves the field of action capture and identification technology, and a football action recognition evaluation system and method based on wearable devices and machine learning, including wearable measurement sensors, to collect one or more movement actions in the limbs of football players. Movement data; computers, used to obtain the motion data of multiple professional football players and football amateur enthusiasts, use it as training data and establish an action trajectory model; extract the characteristic parameters of the data from all data, enter the SVM classification of feature parameters into SVM classification from all data Instrument, perform parameters of the SVM classifier. After the training is completed, the classification model is obtained; the intelligent mobile terminal device is used to classify the classification model that is trained in the training of feature parameters to obtain the final classification result. The technical scheme of the present invention can accurately classify football action and divide the level of action.</v>
      </c>
      <c r="D2255" s="6" t="s">
        <v>6397</v>
      </c>
      <c r="E2255" s="4" t="str">
        <f ca="1">IFERROR(__xludf.DUMMYFUNCTION("GOOGLETRANSLATE(D2255,""auto"",""en"")"),"Football action recognition evaluation system and method based on wearable devices and machine learning")</f>
        <v>Football action recognition evaluation system and method based on wearable devices and machine learning</v>
      </c>
    </row>
    <row r="2256" spans="1:5" ht="15" x14ac:dyDescent="0.25">
      <c r="A2256" s="5" t="s">
        <v>6398</v>
      </c>
      <c r="B2256" s="6" t="s">
        <v>6399</v>
      </c>
      <c r="C2256" s="3" t="str">
        <f ca="1">IFERROR(__xludf.DUMMYFUNCTION("GOOGLETRANSLATE(B2256,""auto"",""en"")"),"The present invention generally involves platform technology that can be tested in non -face -to -face way. Specifically, the present invention conducts candidates for personal identification (DID) based on biological characteristics, and provides non -fa"&amp;"ce -to -face test questions based on VR flow to candidates, and uses VR -based voice recognition and motion mode recognition in the VR test content UI/UX. Streaming media's non -face -to -face test platform technology, configuration provides a framework f"&amp;"or answering questions, monitoring the original authority of the test questions and the damage record of the storage test questions and scoring through sharing and management of the test behavior information based on blockchain -based testing. According t"&amp;"o the present invention, in the non -face -to -face examination, the candidate behavior is monitored through the camera, and the information of the examination behavior events is shared through the blockchain to ensure the reliability of the test process "&amp;"and the reliability of the VR streaming media test. For candidates, through different settings and transmission, it is conducive to preventing candidates from cheating at the same place in the same place. In addition, according to the present invention, y"&amp;"ou can evaluate the immersion of the classroom by collecting and analyzing the VR videos of the candidate in the non -face -to -face class, and have the advantages that can be evaluated by non -face -to -face evaluation methods. Especially in the field of"&amp;" art and sports.")</f>
        <v>The present invention generally involves platform technology that can be tested in non -face -to -face way. Specifically, the present invention conducts candidates for personal identification (DID) based on biological characteristics, and provides non -face -to -face test questions based on VR flow to candidates, and uses VR -based voice recognition and motion mode recognition in the VR test content UI/UX. Streaming media's non -face -to -face test platform technology, configuration provides a framework for answering questions, monitoring the original authority of the test questions and the damage record of the storage test questions and scoring through sharing and management of the test behavior information based on blockchain -based testing. According to the present invention, in the non -face -to -face examination, the candidate behavior is monitored through the camera, and the information of the examination behavior events is shared through the blockchain to ensure the reliability of the test process and the reliability of the VR streaming media test. For candidates, through different settings and transmission, it is conducive to preventing candidates from cheating at the same place in the same place. In addition, according to the present invention, you can evaluate the immersion of the classroom by collecting and analyzing the VR videos of the candidate in the non -face -to -face class, and have the advantages that can be evaluated by non -face -to -face evaluation methods. Especially in the field of art and sports.</v>
      </c>
      <c r="D2256" s="6" t="s">
        <v>6400</v>
      </c>
      <c r="E2256" s="4" t="str">
        <f ca="1">IFERROR(__xludf.DUMMYFUNCTION("GOOGLETRANSLATE(D2256,""auto"",""en"")"),"Non -faceted test platform system based on VR streaming media")</f>
        <v>Non -faceted test platform system based on VR streaming media</v>
      </c>
    </row>
    <row r="2257" spans="1:5" ht="15" x14ac:dyDescent="0.25">
      <c r="A2257" s="5" t="s">
        <v>6401</v>
      </c>
      <c r="B2257" s="6" t="s">
        <v>6402</v>
      </c>
      <c r="C2257" s="3" t="str">
        <f ca="1">IFERROR(__xludf.DUMMYFUNCTION("GOOGLETRANSLATE(B2257,""auto"",""en"")"),"Used to judge or determine at least one contestant or runner (P1, P2, P3) on the line (2) in sports competitions in sports competitions ) Take it when you shoot through the middle or end line of the competition. Artificial intelligence algorithm processin"&amp;"g is used to automatically place one or more cursor on the image to complete the image.")</f>
        <v>Used to judge or determine at least one contestant or runner (P1, P2, P3) on the line (2) in sports competitions in sports competitions ) Take it when you shoot through the middle or end line of the competition. Artificial intelligence algorithm processing is used to automatically place one or more cursor on the image to complete the image.</v>
      </c>
      <c r="D2257" s="6" t="s">
        <v>6403</v>
      </c>
      <c r="E2257" s="4" t="str">
        <f ca="1">IFERROR(__xludf.DUMMYFUNCTION("GOOGLETRANSLATE(D2257,""auto"",""en"")"),"System and operation method of judging or determining the position of the sports competition end line")</f>
        <v>System and operation method of judging or determining the position of the sports competition end line</v>
      </c>
    </row>
    <row r="2258" spans="1:5" ht="15" x14ac:dyDescent="0.25">
      <c r="A2258" s="5" t="s">
        <v>6404</v>
      </c>
      <c r="B2258" s="6" t="s">
        <v>6405</v>
      </c>
      <c r="C2258" s="3" t="str">
        <f ca="1">IFERROR(__xludf.DUMMYFUNCTION("GOOGLETRANSLATE(B2258,""auto"",""en"")"),"A way of choosing a path to use vehicle route guidance was disclosed. This method receives multiple requests, including multiple food combinations and multiple destinations; calculate the expected nutritional guidance order volume based on the first machi"&amp;"ne learning process; determine multiple assembly time, which includes multiple assembly time as a nutritional guidance order order The assembly time of each food combination of the amount of the function; select the runner route from multiple runner route"&amp;"s, and use at least one food combination of multiple food combinations as a function of multiple assembly time; The closer of the destination and the aggregation site generate multiple prediction routes; and paired with the courier to optimize the predict"&amp;"ive route of the target function. A path selection system was also released.")</f>
        <v>A way of choosing a path to use vehicle route guidance was disclosed. This method receives multiple requests, including multiple food combinations and multiple destinations; calculate the expected nutritional guidance order volume based on the first machine learning process; determine multiple assembly time, which includes multiple assembly time as a nutritional guidance order order The assembly time of each food combination of the amount of the function; select the runner route from multiple runner routes, and use at least one food combination of multiple food combinations as a function of multiple assembly time; The closer of the destination and the aggregation site generate multiple prediction routes; and paired with the courier to optimize the predictive route of the target function. A path selection system was also released.</v>
      </c>
      <c r="D2258" s="6" t="s">
        <v>6406</v>
      </c>
      <c r="E2258" s="4" t="str">
        <f ca="1">IFERROR(__xludf.DUMMYFUNCTION("GOOGLETRANSLATE(D2258,""auto"",""en"")"),"Methods and systems used to select the delivery path")</f>
        <v>Methods and systems used to select the delivery path</v>
      </c>
    </row>
    <row r="2259" spans="1:5" ht="15" x14ac:dyDescent="0.25">
      <c r="A2259" s="5" t="s">
        <v>6407</v>
      </c>
      <c r="B2259" s="6" t="s">
        <v>6408</v>
      </c>
      <c r="C2259" s="3" t="str">
        <f ca="1">IFERROR(__xludf.DUMMYFUNCTION("GOOGLETRANSLATE(B2259,""auto"",""en"")"),"The invention involves a system and method of recommending sports facilities through location -based services when purchasing sports products, which involves a system and method that recommends sports facilities related to categories. By providing a syste"&amp;"m and method of recommending sports facilities based on location -based services, users can find nearby sports facilities according to the information of the sports equipment purchased by the user and the user's area setting information, thereby reducing "&amp;"the search cost. It has its purpose to provide the activation of life and sports for various users. In order to achieve the above goals, the system and method of recommending sports facilities based on the location -based service to recommend sports facil"&amp;"ities based on the present invention are: collecting facilities information; Distributed file system; (C) receiving order orders from users; (D) use the category information such as sports equipment, the area of ​​the user set by the user, search for spor"&amp;"ts facilities; Sports facilities nearby. As mentioned above, the invention automatically recommends nearby sports facilities from the process of searching for sports equipment to assist in actual exercise activities. This step can promote the vitality of "&amp;"sports in the lives of all classes by reducing search costs. For the busy petty bourgeoisie and low -income class, they can save time and money through the advantages of increasing convenience through the present invention, and feel a greater sense of sat"&amp;"isfaction when looking for sports facilities information. In addition, due to the lack of information about sports facilities, there are many cases of disabled people who do not exercise for life. However, because the invention includes sports facilities "&amp;"used for disabled people, this problem can solve this problem and activate lifelong sports in related courses. The fact that the consumption and information search process is easy to increase consumption. This will help to revitalize the daily sporting go"&amp;"ods market and have the economic effects of increasing profit and efficiency for the surrounding business districts. In addition, it is accompanied by the social effects of long -term health improvement by activating people's life movements.")</f>
        <v>The invention involves a system and method of recommending sports facilities through location -based services when purchasing sports products, which involves a system and method that recommends sports facilities related to categories. By providing a system and method of recommending sports facilities based on location -based services, users can find nearby sports facilities according to the information of the sports equipment purchased by the user and the user's area setting information, thereby reducing the search cost. It has its purpose to provide the activation of life and sports for various users. In order to achieve the above goals, the system and method of recommending sports facilities based on the location -based service to recommend sports facilities based on the present invention are: collecting facilities information; Distributed file system; (C) receiving order orders from users; (D) use the category information such as sports equipment, the area of ​​the user set by the user, search for sports facilities; Sports facilities nearby. As mentioned above, the invention automatically recommends nearby sports facilities from the process of searching for sports equipment to assist in actual exercise activities. This step can promote the vitality of sports in the lives of all classes by reducing search costs. For the busy petty bourgeoisie and low -income class, they can save time and money through the advantages of increasing convenience through the present invention, and feel a greater sense of satisfaction when looking for sports facilities information. In addition, due to the lack of information about sports facilities, there are many cases of disabled people who do not exercise for life. However, because the invention includes sports facilities used for disabled people, this problem can solve this problem and activate lifelong sports in related courses. The fact that the consumption and information search process is easy to increase consumption. This will help to revitalize the daily sporting goods market and have the economic effects of increasing profit and efficiency for the surrounding business districts. In addition, it is accompanied by the social effects of long -term health improvement by activating people's life movements.</v>
      </c>
      <c r="D2259" s="6" t="s">
        <v>6409</v>
      </c>
      <c r="E2259" s="4" t="str">
        <f ca="1">IFERROR(__xludf.DUMMYFUNCTION("GOOGLETRANSLATE(D2259,""auto"",""en"")"),"When buying sports products, the system and method of recommending sports facilities based on location -based services")</f>
        <v>When buying sports products, the system and method of recommending sports facilities based on location -based services</v>
      </c>
    </row>
    <row r="2260" spans="1:5" ht="15" x14ac:dyDescent="0.25">
      <c r="A2260" s="5" t="s">
        <v>6410</v>
      </c>
      <c r="B2260" s="6" t="s">
        <v>6411</v>
      </c>
      <c r="C2260" s="3" t="str">
        <f ca="1">IFERROR(__xludf.DUMMYFUNCTION("GOOGLETRANSLATE(B2260,""auto"",""en"")"),"Used to judge or determine at least one contestant or runner (P1, P2, P3) on the line (2) in sports competitions in sports competitions (1) of the position or posture of/or time (1) on the line (2) ) Use to shoot when the middle line of the competition is"&amp;" used to define the system input of the system, and the processing unit of the shooting line of the shooting, and the processing unit connected to the camera (3) to use it to use the receiving ending line image and algorithm The processing combined with a"&amp;"rtificial intelligence is used to automatically place one or more cursor on the printed image.")</f>
        <v>Used to judge or determine at least one contestant or runner (P1, P2, P3) on the line (2) in sports competitions in sports competitions (1) of the position or posture of/or time (1) on the line (2) ) Use to shoot when the middle line of the competition is used to define the system input of the system, and the processing unit of the shooting line of the shooting, and the processing unit connected to the camera (3) to use it to use the receiving ending line image and algorithm The processing combined with artificial intelligence is used to automatically place one or more cursor on the printed image.</v>
      </c>
      <c r="D2260" s="6" t="s">
        <v>6412</v>
      </c>
      <c r="E2260" s="4" t="str">
        <f ca="1">IFERROR(__xludf.DUMMYFUNCTION("GOOGLETRANSLATE(D2260,""auto"",""en"")"),"It is used to determine or determine at least one contestant or runner on the pass line and/or time system in sports competitions.")</f>
        <v>It is used to determine or determine at least one contestant or runner on the pass line and/or time system in sports competitions.</v>
      </c>
    </row>
    <row r="2261" spans="1:5" ht="15" x14ac:dyDescent="0.25">
      <c r="A2261" s="5" t="s">
        <v>6413</v>
      </c>
      <c r="B2261" s="6" t="s">
        <v>6414</v>
      </c>
      <c r="C2261" s="3" t="str">
        <f ca="1">IFERROR(__xludf.DUMMYFUNCTION("GOOGLETRANSLATE(B2261,""auto"",""en"")"),"A system, method and device for smart server platforms are provided, which uses genetic algorithms to perform adaptive server migration. The platform can locate the functional relationship between hardware and software workpieces and mapping workpieces. T"&amp;"he workpiece can be clustered based on mutual dependence to ensure that functional -related workpieces are migrated as a unit. The platform can apply a fitness agreement to generate fitness scores for each cluster and choose a cluster based on fitness sco"&amp;"res. The platform can apply cross -protocol to optimize the selected cluster to meet corporate standards. The platform can iterate the cross agreement and modify the convergence target based on the continuous generation population. The platform can rank w"&amp;"orkpiece and generate migration protocols. The platform can be implemented according to the migration agreement.")</f>
        <v>A system, method and device for smart server platforms are provided, which uses genetic algorithms to perform adaptive server migration. The platform can locate the functional relationship between hardware and software workpieces and mapping workpieces. The workpiece can be clustered based on mutual dependence to ensure that functional -related workpieces are migrated as a unit. The platform can apply a fitness agreement to generate fitness scores for each cluster and choose a cluster based on fitness scores. The platform can apply cross -protocol to optimize the selected cluster to meet corporate standards. The platform can iterate the cross agreement and modify the convergence target based on the continuous generation population. The platform can rank workpiece and generate migration protocols. The platform can be implemented according to the migration agreement.</v>
      </c>
      <c r="D2261" s="6" t="s">
        <v>6415</v>
      </c>
      <c r="E2261" s="4" t="str">
        <f ca="1">IFERROR(__xludf.DUMMYFUNCTION("GOOGLETRANSLATE(D2261,""auto"",""en"")"),"Smart server migration platform")</f>
        <v>Smart server migration platform</v>
      </c>
    </row>
    <row r="2262" spans="1:5" ht="15" x14ac:dyDescent="0.25">
      <c r="A2262" s="5" t="s">
        <v>6416</v>
      </c>
      <c r="B2262" s="6" t="s">
        <v>4293</v>
      </c>
      <c r="C2262" s="3" t="str">
        <f ca="1">IFERROR(__xludf.DUMMYFUNCTION("GOOGLETRANSLATE(B2262,""auto"",""en"")"),"It describes a method and system that uses artificial intelligence to analyze game events.")</f>
        <v>It describes a method and system that uses artificial intelligence to analyze game events.</v>
      </c>
      <c r="D2262" s="6" t="s">
        <v>6417</v>
      </c>
      <c r="E2262" s="4" t="str">
        <f ca="1">IFERROR(__xludf.DUMMYFUNCTION("GOOGLETRANSLATE(D2262,""auto"",""en"")"),"Methods and systems for automatic analysis of sports events")</f>
        <v>Methods and systems for automatic analysis of sports events</v>
      </c>
    </row>
    <row r="2263" spans="1:5" ht="15" x14ac:dyDescent="0.25">
      <c r="A2263" s="5" t="s">
        <v>6418</v>
      </c>
      <c r="B2263" s="6" t="s">
        <v>6419</v>
      </c>
      <c r="C2263" s="3" t="str">
        <f ca="1">IFERROR(__xludf.DUMMYFUNCTION("GOOGLETRANSLATE(B2263,""auto"",""en"")"),"The present invention combines various methods for video indexes for AV streams and various methods for building natural language user interfaces in order to use verbal or text commands to locate AV streams. Allow navigation or enhance its viewing effect "&amp;"in the stream.
  One method uses an automatic voice recognition (ASR) system to convert the user's voice into text, and then provides the text that is converted to the natural language understanding (NLU) system to obtain its meaning. Finally, control r"&amp;"elated AV stream playback (previously or currently processed under video index steps) based on the meaning of this extraction. Oral commands are enhanced by enhancing viewing.
  【Selection Figure】 Figure 1")</f>
        <v>The present invention combines various methods for video indexes for AV streams and various methods for building natural language user interfaces in order to use verbal or text commands to locate AV streams. Allow navigation or enhance its viewing effect in the stream.
  One method uses an automatic voice recognition (ASR) system to convert the user's voice into text, and then provides the text that is converted to the natural language understanding (NLU) system to obtain its meaning. Finally, control related AV stream playback (previously or currently processed under video index steps) based on the meaning of this extraction. Oral commands are enhanced by enhancing viewing.
  【Selection Figure】 Figure 1</v>
      </c>
      <c r="D2263" s="6" t="s">
        <v>6420</v>
      </c>
      <c r="E2263" s="4" t="str">
        <f ca="1">IFERROR(__xludf.DUMMYFUNCTION("GOOGLETRANSLATE(D2263,""auto"",""en"")"),"Natural language navigation and indexing audio video streams (especially sports competitions)")</f>
        <v>Natural language navigation and indexing audio video streams (especially sports competitions)</v>
      </c>
    </row>
    <row r="2264" spans="1:5" ht="15" x14ac:dyDescent="0.25">
      <c r="A2264" s="5" t="s">
        <v>6421</v>
      </c>
      <c r="B2264" s="6" t="s">
        <v>6422</v>
      </c>
      <c r="C2264" s="3" t="str">
        <f ca="1">IFERROR(__xludf.DUMMYFUNCTION("GOOGLETRANSLATE(B2264,""auto"",""en"")"),"The present invention involves the field of sports fitness technology, especially a fitness recommendation system and method based on sports records. The method is applied to the system that includes information collection modules: used to obtain parts in"&amp;"formation that users want to exercise; It is also used to obtain the user's exercise history or preliminary evaluation information of the body; plan to generate a module: a training plan for generating several sets of different attributes; plan to send mo"&amp;"dules: to recommend several training plans to users, and receive the user selected by the user selected Training plan; plan completion record module: exercise data used to record users conduct exercise data according to the training plan; plan optimizatio"&amp;"n module: use the training plan for this recommended training plan to analyze, learn optimization, and recommend it to users next time to users Essence The present invention can solve the problem that users lack fitness experience or lack professional fit"&amp;"ness knowledge training, and are prone to poor and poor effects during fitness.")</f>
        <v>The present invention involves the field of sports fitness technology, especially a fitness recommendation system and method based on sports records. The method is applied to the system that includes information collection modules: used to obtain parts information that users want to exercise; It is also used to obtain the user's exercise history or preliminary evaluation information of the body; plan to generate a module: a training plan for generating several sets of different attributes; plan to send modules: to recommend several training plans to users, and receive the user selected by the user selected Training plan; plan completion record module: exercise data used to record users conduct exercise data according to the training plan; plan optimization module: use the training plan for this recommended training plan to analyze, learn optimization, and recommend it to users next time to users Essence The present invention can solve the problem that users lack fitness experience or lack professional fitness knowledge training, and are prone to poor and poor effects during fitness.</v>
      </c>
      <c r="D2264" s="6" t="s">
        <v>6423</v>
      </c>
      <c r="E2264" s="4" t="str">
        <f ca="1">IFERROR(__xludf.DUMMYFUNCTION("GOOGLETRANSLATE(D2264,""auto"",""en"")"),"Fitness recommendation system and method based on sports records")</f>
        <v>Fitness recommendation system and method based on sports records</v>
      </c>
    </row>
    <row r="2265" spans="1:5" ht="15" x14ac:dyDescent="0.25">
      <c r="A2265" s="5" t="s">
        <v>6424</v>
      </c>
      <c r="B2265" s="6" t="s">
        <v>6425</v>
      </c>
      <c r="C2265" s="3" t="str">
        <f ca="1">IFERROR(__xludf.DUMMYFUNCTION("GOOGLETRANSLATE(B2265,""auto"",""en"")"),"This application proposes a method of identifying the operation content of the grid scheduling work text, including the segmentation of the grid scheduling work text, and the vector reorganization operation of the obtained phrases; output the vector reorg"&amp;"anization to the depth of the two -way LSTM and CNN depth based on the depth of the two -way LSTM and CNN Learn the network, get the probability value of the corresponding power grid scheduling work text corresponding to the phrase; select the grid schedu"&amp;"ling work text corresponding to the maximum probability value for the fuzzy match calculation based on the editing distance, and determine the specific operation type corresponding to the phrases output based on the calculation results; right The determin"&amp;"ed specific operation types are processed for details based on string -based computing. By adopting deep learning networks to avoid interference of other information about the content information of the operation content; in addition, the introduction of "&amp;"the key information in the division based on the rules based on the editing distance and the string matching, which improves the type of operating equipment in the grid scheduling work text. And the accuracy of the identification of type information.")</f>
        <v>This application proposes a method of identifying the operation content of the grid scheduling work text, including the segmentation of the grid scheduling work text, and the vector reorganization operation of the obtained phrases; output the vector reorganization to the depth of the two -way LSTM and CNN depth based on the depth of the two -way LSTM and CNN Learn the network, get the probability value of the corresponding power grid scheduling work text corresponding to the phrase; select the grid scheduling work text corresponding to the maximum probability value for the fuzzy match calculation based on the editing distance, and determine the specific operation type corresponding to the phrases output based on the calculation results; right The determined specific operation types are processed for details based on string -based computing. By adopting deep learning networks to avoid interference of other information about the content information of the operation content; in addition, the introduction of the key information in the division based on the rules based on the editing distance and the string matching, which improves the type of operating equipment in the grid scheduling work text. And the accuracy of the identification of type information.</v>
      </c>
      <c r="D2265" s="6" t="s">
        <v>6426</v>
      </c>
      <c r="E2265" s="4" t="str">
        <f ca="1">IFERROR(__xludf.DUMMYFUNCTION("GOOGLETRANSLATE(D2265,""auto"",""en"")"),"An operation content recognition method of a grid scheduling work text")</f>
        <v>An operation content recognition method of a grid scheduling work text</v>
      </c>
    </row>
    <row r="2266" spans="1:5" ht="15" x14ac:dyDescent="0.25">
      <c r="A2266" s="5" t="s">
        <v>6427</v>
      </c>
      <c r="B2266" s="6" t="s">
        <v>6428</v>
      </c>
      <c r="C2266" s="3" t="str">
        <f ca="1">IFERROR(__xludf.DUMMYFUNCTION("GOOGLETRANSLATE(B2266,""auto"",""en"")"),"The present invention disclosed a method of extracting a badminton player based on deep learning. It is characterized by the extraction of the trajectory of badminton players. The mapping model of the plane coordinate system of the stadium, calculate the "&amp;"steps of coordinates, sneakers and bipolar positioning and technical statistics in the plane coordinate system. Compared with the existing technology, the present invention has accurately restoring the sports trajectory of badminton players in the game, w"&amp;"hich improves the athlete's footwork training. The methods are simple, time -saving, effort, economy, and efficient.")</f>
        <v>The present invention disclosed a method of extracting a badminton player based on deep learning. It is characterized by the extraction of the trajectory of badminton players. The mapping model of the plane coordinate system of the stadium, calculate the steps of coordinates, sneakers and bipolar positioning and technical statistics in the plane coordinate system. Compared with the existing technology, the present invention has accurately restoring the sports trajectory of badminton players in the game, which improves the athlete's footwork training. The methods are simple, time -saving, effort, economy, and efficient.</v>
      </c>
      <c r="D2266" s="6" t="s">
        <v>6429</v>
      </c>
      <c r="E2266" s="4" t="str">
        <f ca="1">IFERROR(__xludf.DUMMYFUNCTION("GOOGLETRANSLATE(D2266,""auto"",""en"")"),"A method of extracting a badminton player based on deep learning")</f>
        <v>A method of extracting a badminton player based on deep learning</v>
      </c>
    </row>
    <row r="2267" spans="1:5" ht="15" x14ac:dyDescent="0.25">
      <c r="A2267" s="5" t="s">
        <v>6430</v>
      </c>
      <c r="B2267" s="6" t="s">
        <v>6431</v>
      </c>
      <c r="C2267" s="3" t="str">
        <f ca="1">IFERROR(__xludf.DUMMYFUNCTION("GOOGLETRANSLATE(B2267,""auto"",""en"")"),"Examples of the present invention provide a heat pump system control method, including parameter query and modification control solutions. This parameter query and modification control scheme includes parameter query control logic and parameter modificati"&amp;"on control logic. The key can enter the parameter query mode, and then select the parameter you need to view by pressing the addition and subtraction key; after entering the parameter query mode, press the settings to enter the parameter setting mode agai"&amp;"n, and then press the addition and subtract key to set the parameter settings. Finally Press the settings key to complete the confirmation. By setting two keys and addition and subtraction keys, you can perform parameter query and parameter setting operat"&amp;"ion of different modes of heat pumps, and the specific operation process is completed by only short pressing or long press. The operation process is not complicated. The human -machine interaction method is straightforward, which can meet the user's exper"&amp;"ience to the greatest extent.")</f>
        <v>Examples of the present invention provide a heat pump system control method, including parameter query and modification control solutions. This parameter query and modification control scheme includes parameter query control logic and parameter modification control logic. The key can enter the parameter query mode, and then select the parameter you need to view by pressing the addition and subtraction key; after entering the parameter query mode, press the settings to enter the parameter setting mode again, and then press the addition and subtract key to set the parameter settings. Finally Press the settings key to complete the confirmation. By setting two keys and addition and subtraction keys, you can perform parameter query and parameter setting operation of different modes of heat pumps, and the specific operation process is completed by only short pressing or long press. The operation process is not complicated. The human -machine interaction method is straightforward, which can meet the user's experience to the greatest extent.</v>
      </c>
      <c r="D2267" s="6" t="s">
        <v>6432</v>
      </c>
      <c r="E2267" s="4" t="str">
        <f ca="1">IFERROR(__xludf.DUMMYFUNCTION("GOOGLETRANSLATE(D2267,""auto"",""en"")"),"A heat pump system control method")</f>
        <v>A heat pump system control method</v>
      </c>
    </row>
    <row r="2268" spans="1:5" ht="15" x14ac:dyDescent="0.25">
      <c r="A2268" s="5" t="s">
        <v>6433</v>
      </c>
      <c r="B2268" s="6" t="s">
        <v>6434</v>
      </c>
      <c r="C2268" s="3" t="str">
        <f ca="1">IFERROR(__xludf.DUMMYFUNCTION("GOOGLETRANSLATE(B2268,""auto"",""en"")"),"This utility model embodiment provides a heat pump control system, including the touch screen system and processor module, which includes setting key modules and addition and subtraction key modules, as well as parameter query and modification control sys"&amp;"tems. The control system includes the parameter query module and the parameter setting module. The parameter query module and the parameter setting module are connected to the settings of the setting key module and the additional reduction module power th"&amp;"rough the processor module. By setting the two modules of the key module and the addition and subtraction module, the parameter query and parameter setting operation of different modes of the heat pump can be performed. Not complicated, the human -machine"&amp;" interaction method is straightforward, which can meet the user's experience to the greatest extent.")</f>
        <v>This utility model embodiment provides a heat pump control system, including the touch screen system and processor module, which includes setting key modules and addition and subtraction key modules, as well as parameter query and modification control systems. The control system includes the parameter query module and the parameter setting module. The parameter query module and the parameter setting module are connected to the settings of the setting key module and the additional reduction module power through the processor module. By setting the two modules of the key module and the addition and subtraction module, the parameter query and parameter setting operation of different modes of the heat pump can be performed. Not complicated, the human -machine interaction method is straightforward, which can meet the user's experience to the greatest extent.</v>
      </c>
      <c r="D2268" s="6" t="s">
        <v>6435</v>
      </c>
      <c r="E2268" s="4" t="str">
        <f ca="1">IFERROR(__xludf.DUMMYFUNCTION("GOOGLETRANSLATE(D2268,""auto"",""en"")"),"A heat pump control system")</f>
        <v>A heat pump control system</v>
      </c>
    </row>
    <row r="2269" spans="1:5" ht="15" x14ac:dyDescent="0.25">
      <c r="A2269" s="5" t="s">
        <v>6436</v>
      </c>
      <c r="B2269" s="6" t="s">
        <v>6437</v>
      </c>
      <c r="C2269" s="3" t="str">
        <f ca="1">IFERROR(__xludf.DUMMYFUNCTION("GOOGLETRANSLATE(B2269,""auto"",""en"")"),"A airbag device is provided based on the Internet of Things (IoT) to protect users from accidental damage. The device includes user 102, body movement tracking sensor 104, microcontroller 106, massage device 108, airbag device 110, and changing system 112"&amp;". Physical exercise tracking sensor 104 sensor user 102's falling movement relative to the coordinate system. When the body movement tracking sensor 104 feels the falling movement 10 and drown in the swimming pool, the airbag device 110 expands the airbag"&amp;"s to protect the user 102. Micro controller 106 executes (a) to record the user's initial body position through the device, (b) to track the user through the movement of the body by the body movement to sensor the user's falling movement. The user's falli"&amp;"ng movement has a fixed threshold, and (d) When the user's falling movement is greater than the fixed threshold, the airbag device is inflated to the airbag device to protect the user from harm. 15 Figure 1")</f>
        <v>A airbag device is provided based on the Internet of Things (IoT) to protect users from accidental damage. The device includes user 102, body movement tracking sensor 104, microcontroller 106, massage device 108, airbag device 110, and changing system 112. Physical exercise tracking sensor 104 sensor user 102's falling movement relative to the coordinate system. When the body movement tracking sensor 104 feels the falling movement 10 and drown in the swimming pool, the airbag device 110 expands the airbags to protect the user 102. Micro controller 106 executes (a) to record the user's initial body position through the device, (b) to track the user through the movement of the body by the body movement to sensor the user's falling movement. The user's falling movement has a fixed threshold, and (d) When the user's falling movement is greater than the fixed threshold, the airbag device is inflated to the airbag device to protect the user from harm. 15 Figure 1</v>
      </c>
      <c r="D2269" s="6" t="s">
        <v>6438</v>
      </c>
      <c r="E2269" s="4" t="str">
        <f ca="1">IFERROR(__xludf.DUMMYFUNCTION("GOOGLETRANSLATE(D2269,""auto"",""en"")"),"Airbag device based on the Internet of Things (IoT)")</f>
        <v>Airbag device based on the Internet of Things (IoT)</v>
      </c>
    </row>
    <row r="2270" spans="1:5" ht="15" x14ac:dyDescent="0.25">
      <c r="A2270" s="5" t="s">
        <v>6439</v>
      </c>
      <c r="B2270" s="6" t="s">
        <v>6440</v>
      </c>
      <c r="C2270" s="3" t="str">
        <f ca="1">IFERROR(__xludf.DUMMYFUNCTION("GOOGLETRANSLATE(B2270,""auto"",""en"")"),"Methods for detecting mob (10-12) in specific areas (5), including the following steps: -Seep multiple physical cameras around the area (5); - to form a panoramic video stream; The corresponding local view (26) of the panorama (23) and define one or more "&amp;"virtual camera views (25) by reflecting the local view (26) into a square view (27); - Twist each one to distort the view view (27) Feed to deep learning neural networks; and -to detect the corresponding parts of the area (5).")</f>
        <v>Methods for detecting mob (10-12) in specific areas (5), including the following steps: -Seep multiple physical cameras around the area (5); - to form a panoramic video stream; The corresponding local view (26) of the panorama (23) and define one or more virtual camera views (25) by reflecting the local view (26) into a square view (27); - Twist each one to distort the view view (27) Feed to deep learning neural networks; and -to detect the corresponding parts of the area (5).</v>
      </c>
      <c r="D2270" s="6" t="s">
        <v>6441</v>
      </c>
      <c r="E2270" s="4" t="str">
        <f ca="1">IFERROR(__xludf.DUMMYFUNCTION("GOOGLETRANSLATE(D2270,""auto"",""en"")"),"Methods for detecting and/or tracking mobile objects in specific areas and sports video production systems that implement this method.")</f>
        <v>Methods for detecting and/or tracking mobile objects in specific areas and sports video production systems that implement this method.</v>
      </c>
    </row>
    <row r="2271" spans="1:5" ht="15" x14ac:dyDescent="0.25">
      <c r="A2271" s="5" t="s">
        <v>6442</v>
      </c>
      <c r="B2271" s="6" t="s">
        <v>6443</v>
      </c>
      <c r="C2271" s="3" t="str">
        <f ca="1">IFERROR(__xludf.DUMMYFUNCTION("GOOGLETRANSLATE(B2271,""auto"",""en"")"),"The fish monitoring system deployed in specific areas to obtain fish images is described. Neural networks and machine learning technology can be implemented to regularly train fish monitoring systems and generate monitoring modes to capture high -quality "&amp;"fish images according to conditions in the given area. When the conditions that match the monitoring mode are detected, the camera system can be configured according to the settings (such as position, perspective) specified by the monitoring mode. Each mo"&amp;"nitoring mode can be associated with one or more fish activities, such as sleeping, eating, swimming alone, and one or more parameters, such as time, location and fish types.")</f>
        <v>The fish monitoring system deployed in specific areas to obtain fish images is described. Neural networks and machine learning technology can be implemented to regularly train fish monitoring systems and generate monitoring modes to capture high -quality fish images according to conditions in the given area. When the conditions that match the monitoring mode are detected, the camera system can be configured according to the settings (such as position, perspective) specified by the monitoring mode. Each monitoring mode can be associated with one or more fish activities, such as sleeping, eating, swimming alone, and one or more parameters, such as time, location and fish types.</v>
      </c>
      <c r="D2271" s="6" t="s">
        <v>6444</v>
      </c>
      <c r="E2271" s="4" t="str">
        <f ca="1">IFERROR(__xludf.DUMMYFUNCTION("GOOGLETRANSLATE(D2271,""auto"",""en"")"),"Fish measuring station maintenance.")</f>
        <v>Fish measuring station maintenance.</v>
      </c>
    </row>
    <row r="2272" spans="1:5" ht="15" x14ac:dyDescent="0.25">
      <c r="A2272" s="5" t="s">
        <v>6445</v>
      </c>
      <c r="B2272" s="6" t="s">
        <v>6446</v>
      </c>
      <c r="C2272" s="3" t="str">
        <f ca="1">IFERROR(__xludf.DUMMYFUNCTION("GOOGLETRANSLATE(B2272,""auto"",""en"")"),"The present invention disclosed a method of human posture recognition based on time and channel dual -attention, including: use the built -in sensor of the mobile device to collect the original data of various types of human movements, and attach the attr"&amp;"ibute label of the action, use sliding window, and return one Treatment and cut into training sample sets and test sample sets, establish a dual -atly -based deep convolutional neural network model based on time and channel, introduce training samples and"&amp;" test samples for training and optimization adjustment to obtain the recognition results of human movements. Due to the superposition of channel attention and timing, the present invention can accurately determine the category and time of the target movem"&amp;"ent after a large amount of coarse -grained training data training, which greatly reduces the tediousness of artificial marking training data. , Interactive games, healthcare, and general surveillance systems have a very important role.")</f>
        <v>The present invention disclosed a method of human posture recognition based on time and channel dual -attention, including: use the built -in sensor of the mobile device to collect the original data of various types of human movements, and attach the attribute label of the action, use sliding window, and return one Treatment and cut into training sample sets and test sample sets, establish a dual -atly -based deep convolutional neural network model based on time and channel, introduce training samples and test samples for training and optimization adjustment to obtain the recognition results of human movements. Due to the superposition of channel attention and timing, the present invention can accurately determine the category and time of the target movement after a large amount of coarse -grained training data training, which greatly reduces the tediousness of artificial marking training data. , Interactive games, healthcare, and general surveillance systems have a very important role.</v>
      </c>
      <c r="D2272" s="6" t="s">
        <v>6447</v>
      </c>
      <c r="E2272" s="4" t="str">
        <f ca="1">IFERROR(__xludf.DUMMYFUNCTION("GOOGLETRANSLATE(D2272,""auto"",""en"")"),"A method based on the dual -attention of time and channel attention")</f>
        <v>A method based on the dual -attention of time and channel attention</v>
      </c>
    </row>
    <row r="2273" spans="1:5" ht="15" x14ac:dyDescent="0.25">
      <c r="A2273" s="5" t="s">
        <v>6448</v>
      </c>
      <c r="B2273" s="6" t="s">
        <v>6449</v>
      </c>
      <c r="C2273" s="3" t="str">
        <f ca="1">IFERROR(__xludf.DUMMYFUNCTION("GOOGLETRANSLATE(B2273,""auto"",""en"")"),"This utility model discloses a gym intelligent IoT controller, including dehumidifier, which is connected to a new air duct on the surface of the dehumidifier. The lower end of the body has a regular replacement tide -removing mechanism, which is set up b"&amp;"etween the new air duct and the dehumidifier box. The wet box is provided with a tilt limestone. This practical new model can omit the problem of humidity in the swimming pool area in the gym to avoid the problem of greater humidity, avoiding the problem "&amp;"of damage to electrical components after moisture.")</f>
        <v>This utility model discloses a gym intelligent IoT controller, including dehumidifier, which is connected to a new air duct on the surface of the dehumidifier. The lower end of the body has a regular replacement tide -removing mechanism, which is set up between the new air duct and the dehumidifier box. The wet box is provided with a tilt limestone. This practical new model can omit the problem of humidity in the swimming pool area in the gym to avoid the problem of greater humidity, avoiding the problem of damage to electrical components after moisture.</v>
      </c>
      <c r="D2273" s="6" t="s">
        <v>6450</v>
      </c>
      <c r="E2273" s="4" t="str">
        <f ca="1">IFERROR(__xludf.DUMMYFUNCTION("GOOGLETRANSLATE(D2273,""auto"",""en"")"),"A gym intelligent IoT controller")</f>
        <v>A gym intelligent IoT controller</v>
      </c>
    </row>
    <row r="2274" spans="1:5" ht="15" x14ac:dyDescent="0.25">
      <c r="A2274" s="5" t="s">
        <v>6451</v>
      </c>
      <c r="B2274" s="6" t="s">
        <v>6452</v>
      </c>
      <c r="C2274" s="3" t="str">
        <f ca="1">IFERROR(__xludf.DUMMYFUNCTION("GOOGLETRANSLATE(B2274,""auto"",""en"")"),"A computer implementation method for users to create personalized weight training programs for users in one -to -one fitness settings and/or group fitness settings. This method includes a personalized weight training plan by the user's input user informat"&amp;"ion, entering user information or its combination through machine learning models. This method includes the power and weakness assessment of the user's muscle and the progress assessment between users and/or users.")</f>
        <v>A computer implementation method for users to create personalized weight training programs for users in one -to -one fitness settings and/or group fitness settings. This method includes a personalized weight training plan by the user's input user information, entering user information or its combination through machine learning models. This method includes the power and weakness assessment of the user's muscle and the progress assessment between users and/or users.</v>
      </c>
      <c r="D2274" s="6" t="s">
        <v>6453</v>
      </c>
      <c r="E2274" s="4" t="str">
        <f ca="1">IFERROR(__xludf.DUMMYFUNCTION("GOOGLETRANSLATE(D2274,""auto"",""en"")"),"A method of generating a personalized anti -resistance training scheme")</f>
        <v>A method of generating a personalized anti -resistance training scheme</v>
      </c>
    </row>
    <row r="2275" spans="1:5" ht="15" x14ac:dyDescent="0.25">
      <c r="A2275" s="5" t="s">
        <v>6454</v>
      </c>
      <c r="B2275" s="6" t="s">
        <v>6455</v>
      </c>
      <c r="C2275" s="3" t="str">
        <f ca="1">IFERROR(__xludf.DUMMYFUNCTION("GOOGLETRANSLATE(B2275,""auto"",""en"")"),"The invention is based on a single factor that can determine the health status of the user based on a single factors such as oxygen capacity (PMVO2). After the user executes the body test specified by the system's fitness application, the user is measured"&amp;" for the user. Heart rate measurement value is converted to PMVO2 value and compares with other people's PMVO2 values. The system allocates fitness levels based on comparison results. The system also includes helping users move from a level to a higher -l"&amp;"evel artificial intelligence system.")</f>
        <v>The invention is based on a single factor that can determine the health status of the user based on a single factors such as oxygen capacity (PMVO2). After the user executes the body test specified by the system's fitness application, the user is measured for the user. Heart rate measurement value is converted to PMVO2 value and compares with other people's PMVO2 values. The system allocates fitness levels based on comparison results. The system also includes helping users move from a level to a higher -level artificial intelligence system.</v>
      </c>
      <c r="D2275" s="6" t="s">
        <v>6456</v>
      </c>
      <c r="E2275" s="4" t="str">
        <f ca="1">IFERROR(__xludf.DUMMYFUNCTION("GOOGLETRANSLATE(D2275,""auto"",""en"")"),"Fitness system and method")</f>
        <v>Fitness system and method</v>
      </c>
    </row>
    <row r="2276" spans="1:5" ht="15" x14ac:dyDescent="0.25">
      <c r="A2276" s="5" t="s">
        <v>6457</v>
      </c>
      <c r="B2276" s="6" t="s">
        <v>6458</v>
      </c>
      <c r="C2276" s="3" t="str">
        <f ca="1">IFERROR(__xludf.DUMMYFUNCTION("GOOGLETRANSLATE(B2276,""auto"",""en"")"),"This utility model involves the field of badminton sports posture identification technology, and has disclosed a badminton -based badminton sports posture identification system, including mobile terminals. The mobile terminal connects the data collection "&amp;"module on the racket through Bluetooth. Gyroscopes, when badminton, accelerate sensors, magnetic sensors, and gyroscopes to collect users' athlete data at the same time, and transmit motion data to the mobile terminal. The mobile terminal will upload the "&amp;"motion data to the server. The server includes the data processing module and the neural network module. After processing the data processing module is processed, the exercise data will be transmitted to the neural network module. The neural network modul"&amp;"e can analyze the data, evaluate the user's movements, and score the intelligence. The motion data after the evaluation is transmitted again To the mobile terminal, it is convenient for users to understand their own technical statistics.")</f>
        <v>This utility model involves the field of badminton sports posture identification technology, and has disclosed a badminton -based badminton sports posture identification system, including mobile terminals. The mobile terminal connects the data collection module on the racket through Bluetooth. Gyroscopes, when badminton, accelerate sensors, magnetic sensors, and gyroscopes to collect users' athlete data at the same time, and transmit motion data to the mobile terminal. The mobile terminal will upload the motion data to the server. The server includes the data processing module and the neural network module. After processing the data processing module is processed, the exercise data will be transmitted to the neural network module. The neural network module can analyze the data, evaluate the user's movements, and score the intelligence. The motion data after the evaluation is transmitted again To the mobile terminal, it is convenient for users to understand their own technical statistics.</v>
      </c>
      <c r="D2276" s="6" t="s">
        <v>6459</v>
      </c>
      <c r="E2276" s="4" t="str">
        <f ca="1">IFERROR(__xludf.DUMMYFUNCTION("GOOGLETRANSLATE(D2276,""auto"",""en"")"),"Badminton -based badminton posture attitude recognition system")</f>
        <v>Badminton -based badminton posture attitude recognition system</v>
      </c>
    </row>
    <row r="2277" spans="1:5" ht="15" x14ac:dyDescent="0.25">
      <c r="A2277" s="5" t="s">
        <v>6460</v>
      </c>
      <c r="B2277" s="6" t="s">
        <v>6461</v>
      </c>
      <c r="C2277" s="3" t="str">
        <f ca="1">IFERROR(__xludf.DUMMYFUNCTION("GOOGLETRANSLATE(B2277,""auto"",""en"")"),"The invention disclosed a platform based on the industrial Internet of Things teaching training platform, which involves the field of Internet of Things training technology. It solves the current training platform test that has fewer testing functions. Th"&amp;"ere is no problem with the function of contrasting exercises. An IoT teaching training platform, including the training platform; the training platform also includes a storage slot, a garbage slot and a fixed frame; the two sides of the training platform "&amp;"have five storage tanks, storage storage, storage, storage, and storage. The inner bottom of the groove is fixed with a bargaining lift, and the top of the top -cut lifting machine is equipped with a lifting tablet. By setting up a drill, a matte device, "&amp;"a cutting device, the Taiwanese tiger clamping and the card can provide more than five industries with more than five types of industries. Technical training provides a convenient and diverse training function for learners, and can conduct comparison trai"&amp;"ning for two people. Through competitive training, the advantages of the other party are conducive to the learning and practice of learners.")</f>
        <v>The invention disclosed a platform based on the industrial Internet of Things teaching training platform, which involves the field of Internet of Things training technology. It solves the current training platform test that has fewer testing functions. There is no problem with the function of contrasting exercises. An IoT teaching training platform, including the training platform; the training platform also includes a storage slot, a garbage slot and a fixed frame; the two sides of the training platform have five storage tanks, storage storage, storage, storage, and storage. The inner bottom of the groove is fixed with a bargaining lift, and the top of the top -cut lifting machine is equipped with a lifting tablet. By setting up a drill, a matte device, a cutting device, the Taiwanese tiger clamping and the card can provide more than five industries with more than five types of industries. Technical training provides a convenient and diverse training function for learners, and can conduct comparison training for two people. Through competitive training, the advantages of the other party are conducive to the learning and practice of learners.</v>
      </c>
      <c r="D2277" s="6" t="s">
        <v>6462</v>
      </c>
      <c r="E2277" s="4" t="str">
        <f ca="1">IFERROR(__xludf.DUMMYFUNCTION("GOOGLETRANSLATE(D2277,""auto"",""en"")"),"A platform based on industrial Internet of Things teaching and training")</f>
        <v>A platform based on industrial Internet of Things teaching and training</v>
      </c>
    </row>
    <row r="2278" spans="1:5" ht="15" x14ac:dyDescent="0.25">
      <c r="A2278" s="5" t="s">
        <v>6463</v>
      </c>
      <c r="B2278" s="6" t="s">
        <v>6464</v>
      </c>
      <c r="C2278" s="3" t="str">
        <f ca="1">IFERROR(__xludf.DUMMYFUNCTION("GOOGLETRANSLATE(B2278,""auto"",""en"")"),"The present invention involves the presentation of information transmission methods, devices and terminals of a multi -person online battle program. This method includes steps: display (301) the user interface of multiplayer online competition, and receiv"&amp;"e directed operations on the user interface. This direction operation is used to activate the demonstration information transmission function and is an operation to the target display. Elements in the user interface; steps based on target display elements"&amp;" and matching information predictive targets (303); send the target presentation information (304) to the character's virtual character, or all the participating virtual characters. This method improves the interaction efficiency of human -computer intera"&amp;"ction with other users when communicating with other users.")</f>
        <v>The present invention involves the presentation of information transmission methods, devices and terminals of a multi -person online battle program. This method includes steps: display (301) the user interface of multiplayer online competition, and receive directed operations on the user interface. This direction operation is used to activate the demonstration information transmission function and is an operation to the target display. Elements in the user interface; steps based on target display elements and matching information predictive targets (303); send the target presentation information (304) to the character's virtual character, or all the participating virtual characters. This method improves the interaction efficiency of human -computer interaction with other users when communicating with other users.</v>
      </c>
      <c r="D2278" s="6" t="s">
        <v>6465</v>
      </c>
      <c r="E2278" s="4" t="str">
        <f ca="1">IFERROR(__xludf.DUMMYFUNCTION("GOOGLETRANSLATE(D2278,""auto"",""en"")"),"Demonstration information transmission method, demonstration information display method, demonstration information transmission device, demonstration information display device, terminal, and multi -person online computer program")</f>
        <v>Demonstration information transmission method, demonstration information display method, demonstration information transmission device, demonstration information display device, terminal, and multi -person online computer program</v>
      </c>
    </row>
    <row r="2279" spans="1:5" ht="15" x14ac:dyDescent="0.25">
      <c r="A2279" s="5" t="s">
        <v>6466</v>
      </c>
      <c r="B2279" s="6" t="s">
        <v>4416</v>
      </c>
      <c r="C2279" s="3" t="str">
        <f ca="1">IFERROR(__xludf.DUMMYFUNCTION("GOOGLETRANSLATE(B2279,""auto"",""en"")"),"This application provides a method, electronic equipment, and system that controls the treadmill, which can be used for artificial intelligence (AI) terminal. This method includes: the heart rate value of users sent by electronic equipment receiving weara"&amp;"ble devices; the user information stored in electronic equipment based on the user information stored in the electronic device to determine the user's running purpose and the recovery time of the running; Determine the first target heart rate range; the e"&amp;"lectronic equipment adjusts the running shown in accordance with the heart rate and the first target heart rate range. Examples of this application will help improve the degree of intelligence of electronic devices (such as smart terminal devices, such as"&amp;" mobile phones), and at the same time can improve the user experience of users when using treadmills.")</f>
        <v>This application provides a method, electronic equipment, and system that controls the treadmill, which can be used for artificial intelligence (AI) terminal. This method includes: the heart rate value of users sent by electronic equipment receiving wearable devices; the user information stored in electronic equipment based on the user information stored in the electronic device to determine the user's running purpose and the recovery time of the running; Determine the first target heart rate range; the electronic equipment adjusts the running shown in accordance with the heart rate and the first target heart rate range. Examples of this application will help improve the degree of intelligence of electronic devices (such as smart terminal devices, such as mobile phones), and at the same time can improve the user experience of users when using treadmills.</v>
      </c>
      <c r="D2279" s="6" t="s">
        <v>4417</v>
      </c>
      <c r="E2279" s="4" t="str">
        <f ca="1">IFERROR(__xludf.DUMMYFUNCTION("GOOGLETRANSLATE(D2279,""auto"",""en"")"),"A method of controlling treadmills, electronic equipment and systems")</f>
        <v>A method of controlling treadmills, electronic equipment and systems</v>
      </c>
    </row>
    <row r="2280" spans="1:5" ht="15" x14ac:dyDescent="0.25">
      <c r="A2280" s="5" t="s">
        <v>6467</v>
      </c>
      <c r="B2280" s="6" t="s">
        <v>6468</v>
      </c>
      <c r="C2280" s="3" t="str">
        <f ca="1">IFERROR(__xludf.DUMMYFUNCTION("GOOGLETRANSLATE(B2280,""auto"",""en"")"),"1. The name of the product design product: The scales of the graphics user interface of the display screen panel.
 2. Design products in this exterior: used to display information.
 3. Design of design products in this appearance: lies in the graphic "&amp;"user interface in the screen.
 4. Pictures or photos that can best show design: Design 1 main view.
 5. Specify design 1 is the basic design.
 6. The purpose of the graphical user interface: This graphic user interface display the graphical user int"&amp;"erface for the game points of the application software client.
 The interface is used to display competition points, dialogue chat or other service operations.
 7. Human -computer interaction method of graphics user interface: Design 1 to Design 8 Mai"&amp;"n view is the interface displayed by the results of the competition results. Users can click the ""Share Record"" control in the interface or the ""return one game"" control to perform the corresponding operation. The user also also You can click on any c"&amp;"ontrol in the interface to perform more operations.
 8. The display screen panel can be used for mobile phones, computers, tablets, and car navigators.")</f>
        <v>1. The name of the product design product: The scales of the graphics user interface of the display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graphic user interface display the graphical user interface for the game points of the application software client.
 The interface is used to display competition points, dialogue chat or other service operations.
 7. Human -computer interaction method of graphics user interface: Design 1 to Design 8 Main view is the interface displayed by the results of the competition results. Users can click the "Share Record" control in the interface or the "return one game" control to perform the corresponding operation. The user also also You can click on any control in the interface to perform more operations.
 8. The display screen panel can be used for mobile phones, computers, tablets, and car navigators.</v>
      </c>
      <c r="D2280" s="6" t="s">
        <v>6469</v>
      </c>
      <c r="E2280" s="4" t="str">
        <f ca="1">IFERROR(__xludf.DUMMYFUNCTION("GOOGLETRANSLATE(D2280,""auto"",""en"")"),"Display screen panel competition points display graphic user interface")</f>
        <v>Display screen panel competition points display graphic user interface</v>
      </c>
    </row>
    <row r="2281" spans="1:5" ht="15" x14ac:dyDescent="0.25">
      <c r="A2281" s="5" t="s">
        <v>6470</v>
      </c>
      <c r="B2281" s="6" t="s">
        <v>6471</v>
      </c>
      <c r="C2281" s="3" t="str">
        <f ca="1">IFERROR(__xludf.DUMMYFUNCTION("GOOGLETRANSLATE(B2281,""auto"",""en"")"),"The present invention involves the technology field, and a smart swimming lifebencies based on the Internet of Things are disclosed, including the intelligent control system, which is characterized by the intelligent control system includes a processor, m"&amp;"emory, alarm, wireless receiver, data collector, and data collecting sons Systems, power control subsystems, motion control subsystems, wireless routes, Ethernets, servers and remote monitoring terminals. The present invention can record the high -definit"&amp;"ion camera through the high -definition camera to record the landscape and route along the water. Through the GPS positioner's records of the water coordinates, the position that can be feeded in time to facilitate later rescue work. It can help to contro"&amp;"l the life circle through the processor and improve the safety performance.")</f>
        <v>The present invention involves the technology field, and a smart swimming lifebencies based on the Internet of Things are disclosed, including the intelligent control system, which is characterized by the intelligent control system includes a processor, memory, alarm, wireless receiver, data collector, and data collecting sons Systems, power control subsystems, motion control subsystems, wireless routes, Ethernets, servers and remote monitoring terminals. The present invention can record the high -definition camera through the high -definition camera to record the landscape and route along the water. Through the GPS positioner's records of the water coordinates, the position that can be feeded in time to facilitate later rescue work. It can help to control the life circle through the processor and improve the safety performance.</v>
      </c>
      <c r="D2281" s="6" t="s">
        <v>6472</v>
      </c>
      <c r="E2281" s="4" t="str">
        <f ca="1">IFERROR(__xludf.DUMMYFUNCTION("GOOGLETRANSLATE(D2281,""auto"",""en"")"),"A smart swimming lifebentec in the Internet of Things -based")</f>
        <v>A smart swimming lifebentec in the Internet of Things -based</v>
      </c>
    </row>
    <row r="2282" spans="1:5" ht="15" x14ac:dyDescent="0.25">
      <c r="A2282" s="5" t="s">
        <v>6473</v>
      </c>
      <c r="B2282" s="6" t="s">
        <v>6474</v>
      </c>
      <c r="C2282" s="3" t="str">
        <f ca="1">IFERROR(__xludf.DUMMYFUNCTION("GOOGLETRANSLATE(B2282,""auto"",""en"")"),"Optimize the method of enhancing learning models that include steps to receive data sets receiving tagged data sets. Receive an unbar data set. Generate model parameters, use the labeled dataset as a training data set to form an initial enhanced learning "&amp;"model. Use the initial reinforcement learning model to find multiple matching of one or more targets in the unblocked data set. Rank multiple competitions. The subset of the ranking matching and one or more goals, the subsets of the ranking matching compa"&amp;"tibility include the highest ranking matching items. Receiving a signal indicates that one or more matching of the highest ranking matching is incorrect matching. Add an incorrect one or more matching and corresponding targets and marking data sets to for"&amp;"m a new training dataset. Update the model parameters of the initial enhanced learning model, to use new training data sets to form an updated enhanced learning model.")</f>
        <v>Optimize the method of enhancing learning models that include steps to receive data sets receiving tagged data sets. Receive an unbar data set. Generate model parameters, use the labeled dataset as a training data set to form an initial enhanced learning model. Use the initial reinforcement learning model to find multiple matching of one or more targets in the unblocked data set. Rank multiple competitions. The subset of the ranking matching and one or more goals, the subsets of the ranking matching compatibility include the highest ranking matching items. Receiving a signal indicates that one or more matching of the highest ranking matching is incorrect matching. Add an incorrect one or more matching and corresponding targets and marking data sets to form a new training dataset. Update the model parameters of the initial enhanced learning model, to use new training data sets to form an updated enhanced learning model.</v>
      </c>
      <c r="D2282" s="6" t="s">
        <v>6475</v>
      </c>
      <c r="E2282" s="4" t="str">
        <f ca="1">IFERROR(__xludf.DUMMYFUNCTION("GOOGLETRANSLATE(D2282,""auto"",""en"")"),"Optimize machine learning")</f>
        <v>Optimize machine learning</v>
      </c>
    </row>
    <row r="2283" spans="1:5" ht="15" x14ac:dyDescent="0.25">
      <c r="A2283" s="5" t="s">
        <v>6476</v>
      </c>
      <c r="B2283" s="6" t="s">
        <v>6477</v>
      </c>
      <c r="C2283" s="3" t="str">
        <f ca="1">IFERROR(__xludf.DUMMYFUNCTION("GOOGLETRANSLATE(B2283,""auto"",""en"")"),"The architecture of an unmanned smart hanging system described in the present invention includes a perception layer, decision -making layer, and control layer; Real -time collection environment and tower crane itself, use the Kalman filter algorithm to pr"&amp;"ocess the collected data, and feedback to the decision -making layer in real time to achieve various information collection functions of the perception layer. The online expert system makes decisions and the specific operation instructions of the output t"&amp;"ower crane; the main function of the control layer is to receive the control instructions of the output of the decision -making layer, and complete the actual operation of the hardware through the vehicle control system according to the control instructio"&amp;"ns; , Accurate positioning, high production efficiency, low operating risk, reduced the labor cost of the construction process.")</f>
        <v>The architecture of an unmanned smart hanging system described in the present invention includes a perception layer, decision -making layer, and control layer; Real -time collection environment and tower crane itself, use the Kalman filter algorithm to process the collected data, and feedback to the decision -making layer in real time to achieve various information collection functions of the perception layer. The online expert system makes decisions and the specific operation instructions of the output tower crane; the main function of the control layer is to receive the control instructions of the output of the decision -making layer, and complete the actual operation of the hardware through the vehicle control system according to the control instructions; , Accurate positioning, high production efficiency, low operating risk, reduced the labor cost of the construction process.</v>
      </c>
      <c r="D2283" s="6" t="s">
        <v>6478</v>
      </c>
      <c r="E2283" s="4" t="str">
        <f ca="1">IFERROR(__xludf.DUMMYFUNCTION("GOOGLETRANSLATE(D2283,""auto"",""en"")"),"A structure of an unmanned smart hanging system")</f>
        <v>A structure of an unmanned smart hanging system</v>
      </c>
    </row>
    <row r="2284" spans="1:5" ht="15" x14ac:dyDescent="0.25">
      <c r="A2284" s="5" t="s">
        <v>6479</v>
      </c>
      <c r="B2284" s="6" t="s">
        <v>6480</v>
      </c>
      <c r="C2284" s="3" t="str">
        <f ca="1">IFERROR(__xludf.DUMMYFUNCTION("GOOGLETRANSLATE(B2284,""auto"",""en"")"),"The present invention disclosed a fitness solution recommendation method based on the AKC (automatic encoder and K‑Means algorithm) model, including: obtaining the near -infrared spectrum data of the human body to be measured, combined with the input age,"&amp;" gender, weight, measurement, and arm circumference , A variety of data such as leg circumference, import the body fat detection model to obtain body fat data; enter the above data into an automatic encoder based on a full connection neural network to get"&amp;" the user's low -dimensional special signal matrix and enter the user's low -dimensional special signaling matrix input input In the classification model based on the K‑Means algorithm, the user's body type is obtained. The fitness scheme is set as a solu"&amp;"tion module based on the user's body type and multiple exercise expectations. Finally, according to the user's physical type and motion expectations, the combination solution module, output the fitness scheme. Users can simultaneously understand their pro"&amp;"gress and changes in different fitness stages and adjust the fitness solution accordingly, helping users improve the efficiency of fitness training.")</f>
        <v>The present invention disclosed a fitness solution recommendation method based on the AKC (automatic encoder and K‑Means algorithm) model, including: obtaining the near -infrared spectrum data of the human body to be measured, combined with the input age, gender, weight, measurement, and arm circumference , A variety of data such as leg circumference, import the body fat detection model to obtain body fat data; enter the above data into an automatic encoder based on a full connection neural network to get the user's low -dimensional special signal matrix and enter the user's low -dimensional special signaling matrix input input In the classification model based on the K‑Means algorithm, the user's body type is obtained. The fitness scheme is set as a solution module based on the user's body type and multiple exercise expectations. Finally, according to the user's physical type and motion expectations, the combination solution module, output the fitness scheme. Users can simultaneously understand their progress and changes in different fitness stages and adjust the fitness solution accordingly, helping users improve the efficiency of fitness training.</v>
      </c>
      <c r="D2284" s="6" t="s">
        <v>6481</v>
      </c>
      <c r="E2284" s="4" t="str">
        <f ca="1">IFERROR(__xludf.DUMMYFUNCTION("GOOGLETRANSLATE(D2284,""auto"",""en"")"),"Fitness solution recommendation method based on the AKC model")</f>
        <v>Fitness solution recommendation method based on the AKC model</v>
      </c>
    </row>
    <row r="2285" spans="1:5" ht="15" x14ac:dyDescent="0.25">
      <c r="A2285" s="5" t="s">
        <v>6482</v>
      </c>
      <c r="B2285" s="6" t="s">
        <v>6483</v>
      </c>
      <c r="C2285" s="3" t="str">
        <f ca="1">IFERROR(__xludf.DUMMYFUNCTION("GOOGLETRANSLATE(B2285,""auto"",""en"")"),"This utility model involves a treadmill, including the treadmill body, the first signal acquisition unit, and the human -computer interaction system; of which, the treadmill body includes running boards; the first signal collection unit includes multiple "&amp;"pressure sensors and multiple pressure sensors with multiple pressure sensors Data processing module of the communication connection; multiple pressure sensors are arranged on the running board; the pressure sensor is used to collect the user's foot press"&amp;"ure distribution data, and transmits data distribution data to the data processing module; data processing module and The human machine interactive system communication connection, the data processing module is used to process the data distribution data o"&amp;"f the foot pressure to form a user's movement information, and sends the exercise information to the human -machine interaction system; Essence The trooper can accurately obtain the user's sports information and help scientific training.")</f>
        <v>This utility model involves a treadmill, including the treadmill body, the first signal acquisition unit, and the human -computer interaction system; of which, the treadmill body includes running boards; the first signal collection unit includes multiple pressure sensors and multiple pressure sensors with multiple pressure sensors Data processing module of the communication connection; multiple pressure sensors are arranged on the running board; the pressure sensor is used to collect the user's foot pressure distribution data, and transmits data distribution data to the data processing module; data processing module and The human machine interactive system communication connection, the data processing module is used to process the data distribution data of the foot pressure to form a user's movement information, and sends the exercise information to the human -machine interaction system; Essence The trooper can accurately obtain the user's sports information and help scientific training.</v>
      </c>
      <c r="D2285" s="6" t="s">
        <v>6484</v>
      </c>
      <c r="E2285" s="4" t="str">
        <f ca="1">IFERROR(__xludf.DUMMYFUNCTION("GOOGLETRANSLATE(D2285,""auto"",""en"")"),"A treadmill")</f>
        <v>A treadmill</v>
      </c>
    </row>
    <row r="2286" spans="1:5" ht="15" x14ac:dyDescent="0.25">
      <c r="A2286" s="5" t="s">
        <v>6485</v>
      </c>
      <c r="B2286" s="6" t="s">
        <v>6486</v>
      </c>
      <c r="C2286" s="3" t="str">
        <f ca="1">IFERROR(__xludf.DUMMYFUNCTION("GOOGLETRANSLATE(B2286,""auto"",""en"")"),"Fitness equipment with health care monitoring functions is the current demand. The public invention here solves this problem through the fitness belt that supports the Internet of Things. On the fitness end, the belt uses the ultrasonic sensor and the str"&amp;"ain meter to help calculate the perfect push -ups and identify long -term bending. The heartbeat sensor located in the belt helps monitor the heart rate and conduct treadmill testing on the health care end. The controller controls the entire system, and t"&amp;"he data is stored in a mobile application. The application is also used to adjust the push -up distance, lazy time, and remind users to nominate during abnormal heart rate. The device helps measure accurate exercise mode and user health.")</f>
        <v>Fitness equipment with health care monitoring functions is the current demand. The public invention here solves this problem through the fitness belt that supports the Internet of Things. On the fitness end, the belt uses the ultrasonic sensor and the strain meter to help calculate the perfect push -ups and identify long -term bending. The heartbeat sensor located in the belt helps monitor the heart rate and conduct treadmill testing on the health care end. The controller controls the entire system, and the data is stored in a mobile application. The application is also used to adjust the push -up distance, lazy time, and remind users to nominate during abnormal heart rate. The device helps measure accurate exercise mode and user health.</v>
      </c>
      <c r="D2286" s="6" t="s">
        <v>6487</v>
      </c>
      <c r="E2286" s="4" t="str">
        <f ca="1">IFERROR(__xludf.DUMMYFUNCTION("GOOGLETRANSLATE(D2286,""auto"",""en"")"),"Shoulder straps for fitness assistance")</f>
        <v>Shoulder straps for fitness assistance</v>
      </c>
    </row>
    <row r="2287" spans="1:5" ht="15" x14ac:dyDescent="0.25">
      <c r="A2287" s="5" t="s">
        <v>6488</v>
      </c>
      <c r="B2287" s="6" t="s">
        <v>6489</v>
      </c>
      <c r="C2287" s="3" t="str">
        <f ca="1">IFERROR(__xludf.DUMMYFUNCTION("GOOGLETRANSLATE(B2287,""auto"",""en"")"),"The present invention involves a treadmill, including the treadmill body, the first signal collection unit, and the human -machine interaction system; Among them, the treadmill body includes running boards; the first signal collection unit includes multip"&amp;"le pressure sensors and communication with multiple pressure sensors The connected data processing module; multiple pressure sensors are arranged on the running board; the pressure sensor is used to collect the user's foot pressure distribution data and t"&amp;"ransmits the data distribution data to the data processing module; the data processing module and the person Communication connection of machinery and interactive systems, data processing modules are used to process data distribution data of the foot pres"&amp;"sure to form the user's motion information, and send motion information to the human -machine interaction system; the human -machine interaction system is used to display the motion information. The trooper can accurately obtain the user's sports informat"&amp;"ion and help scientific training.")</f>
        <v>The present invention involves a treadmill, including the treadmill body, the first signal collection unit, and the human -machine interaction system; Among them, the treadmill body includes running boards; the first signal collection unit includes multiple pressure sensors and communication with multiple pressure sensors The connected data processing module; multiple pressure sensors are arranged on the running board; the pressure sensor is used to collect the user's foot pressure distribution data and transmits the data distribution data to the data processing module; the data processing module and the person Communication connection of machinery and interactive systems, data processing modules are used to process data distribution data of the foot pressure to form the user's motion information, and send motion information to the human -machine interaction system; the human -machine interaction system is used to display the motion information. The trooper can accurately obtain the user's sports information and help scientific training.</v>
      </c>
      <c r="D2287" s="6" t="s">
        <v>6484</v>
      </c>
      <c r="E2287" s="4" t="str">
        <f ca="1">IFERROR(__xludf.DUMMYFUNCTION("GOOGLETRANSLATE(D2287,""auto"",""en"")"),"A treadmill")</f>
        <v>A treadmill</v>
      </c>
    </row>
    <row r="2288" spans="1:5" ht="15" x14ac:dyDescent="0.25">
      <c r="A2288" s="5" t="s">
        <v>6490</v>
      </c>
      <c r="B2288" s="6" t="s">
        <v>6491</v>
      </c>
      <c r="C2288" s="3" t="str">
        <f ca="1">IFERROR(__xludf.DUMMYFUNCTION("GOOGLETRANSLATE(B2288,""auto"",""en"")"),"1. Design product name: Virtual runway graphics user interface for mobile phones.
 2. Design products in appearance: used for running procedures and content display.
 3. Design of the design of the product in this appearance: lies in the graphic user "&amp;"interface content in the screen.
 4. Pictures or photos that can best show design points: Figure 8 of the interface change state.
 5. The mobile phone is a common design, omitting the rear view of the mobile phone; the mobile phone is a common design,"&amp;" omit the left view of the mobile phone; the mobile phone is a common design, omit the right view of the mobile phone; Omitting the viewing view of the mobile phone.
 6. The purpose of the graphical user interface: It is used to log in to the ""Run all "&amp;"over the Sichuan"" APP software, and achieve the display of the marathon series and schedule through human -machine interaction.
 The main view is the graphic user interface displayed after the user starts the ""Running through the Sichuan"" APP softwar"&amp;"e; the interface changes state Figure 1 is to enter the login in the main view in the main view, or click the ""other login method"" below Among them, the graphic user interface displayed after any icon; the interface change state Figure 2 shows the graph"&amp;"ic user interface displayed after the ""My"" button in the ""My"" button in the interface change state; The graphic user interface displayed after the word ""My Tournament""; the interface change state Figure 4 is the graphic user interface displayed afte"&amp;"r the word ""start running"" in the user clicks interface changes; 4 Display the graphic user interface displayed after 1 second; the interface change state Figure 6 is the interface change state. 5 Display the graphical user interface displayed after 1 s"&amp;"econd; Interface; interface change state Figure 8 is the graphical user interface displayed after the ""pause"" button in the click -through state of the click interface; State Figure 10 shows the graphical user interface displayed after the ""Long Press "&amp;"End"" button in the transformation of the interface.")</f>
        <v>1. Design product name: Virtual runway graphics user interface for mobile phones.
 2. Design products in appearance: used for running procedures and content display.
 3. Design of the design of the product in this appearance: lies in the graphic user interface content in the screen.
 4. Pictures or photos that can best show design points: Figure 8 of the interface change state.
 5. The mobile phone is a common design, omitting the rear view of the mobile phone; the mobile phone is a common design, omit the left view of the mobile phone; the mobile phone is a common design, omit the right view of the mobile phone; Omitting the viewing view of the mobile phone.
 6. The purpose of the graphical user interface: It is used to log in to the "Run all over the Sichuan" APP software, and achieve the display of the marathon series and schedule through human -machine interaction.
 The main view is the graphic user interface displayed after the user starts the "Running through the Sichuan" APP software; the interface changes state Figure 1 is to enter the login in the main view in the main view, or click the "other login method" below Among them, the graphic user interface displayed after any icon; the interface change state Figure 2 shows the graphic user interface displayed after the "My" button in the "My" button in the interface change state; The graphic user interface displayed after the word "My Tournament"; the interface change state Figure 4 is the graphic user interface displayed after the word "start running" in the user clicks interface changes; 4 Display the graphic user interface displayed after 1 second; the interface change state Figure 6 is the interface change state. 5 Display the graphical user interface displayed after 1 second; Interface; interface change state Figure 8 is the graphical user interface displayed after the "pause" button in the click -through state of the click interface; State Figure 10 shows the graphical user interface displayed after the "Long Press End" button in the transformation of the interface.</v>
      </c>
      <c r="D2288" s="6" t="s">
        <v>6492</v>
      </c>
      <c r="E2288" s="4" t="str">
        <f ca="1">IFERROR(__xludf.DUMMYFUNCTION("GOOGLETRANSLATE(D2288,""auto"",""en"")"),"Virtual runway graphics user interface for mobile phones")</f>
        <v>Virtual runway graphics user interface for mobile phones</v>
      </c>
    </row>
    <row r="2289" spans="1:5" ht="15" x14ac:dyDescent="0.25">
      <c r="A2289" s="5" t="s">
        <v>6493</v>
      </c>
      <c r="B2289" s="6" t="s">
        <v>6494</v>
      </c>
      <c r="C2289" s="3" t="str">
        <f ca="1">IFERROR(__xludf.DUMMYFUNCTION("GOOGLETRANSLATE(B2289,""auto"",""en"")"),"This utility model involves a real -time monitoring system suitable for group sports activities. Its technical features are: including data collection points, mobile base stations, and data monitoring platforms. Data collection points are connected with m"&amp;"obile base stations through the Internet of Things, mobile base stations via wireless network through wireless networks Connected to the data monitoring platform, the data collection point includes a number of wearable device group worn by each person in "&amp;"monitoring group sports activities. The data monitoring platform sends control instructions under the data collection point through the mobile base station. All individual signs and sports data in all individuals are transmitted to the data monitoring pla"&amp;"tform through mobile base stations. The practical new design is reasonable, and the human signs and sports data collected through the wearable device reflect the physical condition and movement of the tested athletes to a certain extent. Problems such as "&amp;"group measurement.")</f>
        <v>This utility model involves a real -time monitoring system suitable for group sports activities. Its technical features are: including data collection points, mobile base stations, and data monitoring platforms. Data collection points are connected with mobile base stations through the Internet of Things, mobile base stations via wireless network through wireless networks Connected to the data monitoring platform, the data collection point includes a number of wearable device group worn by each person in monitoring group sports activities. The data monitoring platform sends control instructions under the data collection point through the mobile base station. All individual signs and sports data in all individuals are transmitted to the data monitoring platform through mobile base stations. The practical new design is reasonable, and the human signs and sports data collected through the wearable device reflect the physical condition and movement of the tested athletes to a certain extent. Problems such as group measurement.</v>
      </c>
      <c r="D2289" s="6" t="s">
        <v>6495</v>
      </c>
      <c r="E2289" s="4" t="str">
        <f ca="1">IFERROR(__xludf.DUMMYFUNCTION("GOOGLETRANSLATE(D2289,""auto"",""en"")"),"A real -time monitoring system suitable for group sports activities")</f>
        <v>A real -time monitoring system suitable for group sports activities</v>
      </c>
    </row>
    <row r="2290" spans="1:5" ht="15" x14ac:dyDescent="0.25">
      <c r="A2290" s="5" t="s">
        <v>6496</v>
      </c>
      <c r="B2290" s="6" t="s">
        <v>6497</v>
      </c>
      <c r="C2290" s="3" t="str">
        <f ca="1">IFERROR(__xludf.DUMMYFUNCTION("GOOGLETRANSLATE(B2290,""auto"",""en"")"),"The present invention provides a child physical training runner and speed control method, including the treadmill body, the runner side module group is set on the treadmill body. Module, display terminal, fingerprint recognition module, information entry "&amp;"module, speed control module, voice recognition module, and weight detection module; also include the wearable device side module group that is set on the user's wrist and can be removed. The second processing module, the second communication module, the "&amp;"heart rate detection module, the battery module, the speed regulatory module, and the blood pressure detection module; the speed control method of a treadmill, the heart rate detection module detect the user's heart rate; the blood pressure detection modu"&amp;"le detect the user's blood pressure, Adjust the speed of the treadmill according to heartbeat and blood pressure. The invention has the advantages of high degree of intelligence.")</f>
        <v>The present invention provides a child physical training runner and speed control method, including the treadmill body, the runner side module group is set on the treadmill body. Module, display terminal, fingerprint recognition module, information entry module, speed control module, voice recognition module, and weight detection module; also include the wearable device side module group that is set on the user's wrist and can be removed. The second processing module, the second communication module, the heart rate detection module, the battery module, the speed regulatory module, and the blood pressure detection module; the speed control method of a treadmill, the heart rate detection module detect the user's heart rate; the blood pressure detection module detect the user's blood pressure, Adjust the speed of the treadmill according to heartbeat and blood pressure. The invention has the advantages of high degree of intelligence.</v>
      </c>
      <c r="D2290" s="6" t="s">
        <v>6498</v>
      </c>
      <c r="E2290" s="4" t="str">
        <f ca="1">IFERROR(__xludf.DUMMYFUNCTION("GOOGLETRANSLATE(D2290,""auto"",""en"")"),"A child physical training runner and speed control method")</f>
        <v>A child physical training runner and speed control method</v>
      </c>
    </row>
    <row r="2291" spans="1:5" ht="15" x14ac:dyDescent="0.25">
      <c r="A2291" s="5" t="s">
        <v>6499</v>
      </c>
      <c r="B2291" s="6" t="s">
        <v>2834</v>
      </c>
      <c r="C2291" s="3" t="str">
        <f ca="1">IFERROR(__xludf.DUMMYFUNCTION("GOOGLETRANSLATE(B2291,""auto"",""en"")"),"The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flowing to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flowing to the student learning system.</v>
      </c>
      <c r="D2291" s="6" t="s">
        <v>6500</v>
      </c>
      <c r="E2291" s="4" t="str">
        <f ca="1">IFERROR(__xludf.DUMMYFUNCTION("GOOGLETRANSLATE(D2291,""auto"",""en"")"),"Soft connection node of neural networks")</f>
        <v>Soft connection node of neural networks</v>
      </c>
    </row>
    <row r="2292" spans="1:5" ht="15" x14ac:dyDescent="0.25">
      <c r="A2292" s="5" t="s">
        <v>6501</v>
      </c>
      <c r="B2292" s="6" t="s">
        <v>6502</v>
      </c>
      <c r="C2292" s="3" t="str">
        <f ca="1">IFERROR(__xludf.DUMMYFUNCTION("GOOGLETRANSLATE(B2292,""auto"",""en"")"),"This utility model provides a children's physical training treadmill, including the treadmill ontology, which has a runner -side module group on the treadmill body. Storage module, display terminal, fingerprint recognition module, information entry module"&amp;", speed control module, voice recognition module, and weight detection module; also include the wearable device module group that is set on the user's wrist The module group includes the second processing module, the second communication module, the heart"&amp;" rate detection module, the battery module, the speed adjustment module, and the blood pressure detection module; the utility model has the advantages of high degree of intelligence.")</f>
        <v>This utility model provides a children's physical training treadmill, including the treadmill ontology, which has a runner -side module group on the treadmill body. Storage module, display terminal, fingerprint recognition module, information entry module, speed control module, voice recognition module, and weight detection module; also include the wearable device module group that is set on the user's wrist The module group includes the second processing module, the second communication module, the heart rate detection module, the battery module, the speed adjustment module, and the blood pressure detection module; the utility model has the advantages of high degree of intelligence.</v>
      </c>
      <c r="D2292" s="6" t="s">
        <v>6503</v>
      </c>
      <c r="E2292" s="4" t="str">
        <f ca="1">IFERROR(__xludf.DUMMYFUNCTION("GOOGLETRANSLATE(D2292,""auto"",""en"")"),"A kind of children's physical training treadmill")</f>
        <v>A kind of children's physical training treadmill</v>
      </c>
    </row>
    <row r="2293" spans="1:5" ht="15" x14ac:dyDescent="0.25">
      <c r="A2293" s="5" t="s">
        <v>6504</v>
      </c>
      <c r="B2293" s="6" t="s">
        <v>6505</v>
      </c>
      <c r="C2293" s="3" t="str">
        <f ca="1">IFERROR(__xludf.DUMMYFUNCTION("GOOGLETRANSLATE(B2293,""auto"",""en"")"),"The present invention disclosed a smart sports auxiliary training system and training method based on video analysis, including: video surveillance system, which includes multiple cameras for collecting video information; host server, which through networ"&amp;"k equipment and video monitoring systems through network equipment and the video monitoring system Connect, it is used to receive video information and perform video analysis; the center server, which is connected to the host server through the network de"&amp;"vice, is used to receive video analysis data, and forms an analysis report after deep learning; the client, its network equipment and institutes through network equipment and institutes The center server is connected and interacts with the center server t"&amp;"hrough the Internet or LAN.")</f>
        <v>The present invention disclosed a smart sports auxiliary training system and training method based on video analysis, including: video surveillance system, which includes multiple cameras for collecting video information; host server, which through network equipment and video monitoring systems through network equipment and the video monitoring system Connect, it is used to receive video information and perform video analysis; the center server, which is connected to the host server through the network device, is used to receive video analysis data, and forms an analysis report after deep learning; the client, its network equipment and institutes through network equipment and institutes The center server is connected and interacts with the center server through the Internet or LAN.</v>
      </c>
      <c r="D2293" s="6" t="s">
        <v>6506</v>
      </c>
      <c r="E2293" s="4" t="str">
        <f ca="1">IFERROR(__xludf.DUMMYFUNCTION("GOOGLETRANSLATE(D2293,""auto"",""en"")"),"A smart sports auxiliary training system and training method based on video analysis")</f>
        <v>A smart sports auxiliary training system and training method based on video analysis</v>
      </c>
    </row>
    <row r="2294" spans="1:5" ht="15" x14ac:dyDescent="0.25">
      <c r="A2294" s="5" t="s">
        <v>6507</v>
      </c>
      <c r="B2294" s="6" t="s">
        <v>6508</v>
      </c>
      <c r="C2294" s="3" t="str">
        <f ca="1">IFERROR(__xludf.DUMMYFUNCTION("GOOGLETRANSLATE(B2294,""auto"",""en"")"),"The present invention disclosed a body fitness analysis system based on artificial intelligence -based body fitness. Registration, numbers and storage of age, height and weight data are registered, numbered, and stored in order to quickly find out the cus"&amp;"tomer's body analysis according to the name, and it is convenient to compare and analyze according to multiple sets of data; Detection module; 4. Data output module. This analysis system based on artificial intelligence body fitness can not only play a ro"&amp;"le in fitness, but also record and analyze the body's body posture after fitness. It can also analyze and record various data inside the human body to meet the contemporary contemporary contemporary contemporary More people's use needs.")</f>
        <v>The present invention disclosed a body fitness analysis system based on artificial intelligence -based body fitness. Registration, numbers and storage of age, height and weight data are registered, numbered, and stored in order to quickly find out the customer's body analysis according to the name, and it is convenient to compare and analyze according to multiple sets of data; Detection module; 4. Data output module. This analysis system based on artificial intelligence body fitness can not only play a role in fitness, but also record and analyze the body's body posture after fitness. It can also analyze and record various data inside the human body to meet the contemporary contemporary contemporary contemporary More people's use needs.</v>
      </c>
      <c r="D2294" s="6" t="s">
        <v>6509</v>
      </c>
      <c r="E2294" s="4" t="str">
        <f ca="1">IFERROR(__xludf.DUMMYFUNCTION("GOOGLETRANSLATE(D2294,""auto"",""en"")"),"An analysis system based on artificial intelligence -based body fitness")</f>
        <v>An analysis system based on artificial intelligence -based body fitness</v>
      </c>
    </row>
    <row r="2295" spans="1:5" ht="15" x14ac:dyDescent="0.25">
      <c r="A2295" s="5" t="s">
        <v>6510</v>
      </c>
      <c r="B2295" s="6" t="s">
        <v>6511</v>
      </c>
      <c r="C2295" s="3" t="str">
        <f ca="1">IFERROR(__xludf.DUMMYFUNCTION("GOOGLETRANSLATE(B2295,""auto"",""en"")"),"The present invention involves a robot enhanced learning training environment system for robotics for the Robomaster artificial intelligence challenge. This environment is based on ROS, Python, and C ++. It uses the Gazebo simulator as a physical engine a"&amp;"nd constructs a unified interface based on OpenAI Gym strengthening learning. This environment can truly simulate the robot movement and referee system data during the competition in the Robomaster's artificial intelligence challenge. Users can freely des"&amp;"ign status feedback and rewards according to the situation. The present invention enables various algorithms based on strengthening learning to easily conduct training and effect evaluation based on this environment, which greatly reduces the difficulty o"&amp;"f studying the Robomaster artificial intelligence challenge decision -making system.")</f>
        <v>The present invention involves a robot enhanced learning training environment system for robotics for the Robomaster artificial intelligence challenge. This environment is based on ROS, Python, and C ++. It uses the Gazebo simulator as a physical engine and constructs a unified interface based on OpenAI Gym strengthening learning. This environment can truly simulate the robot movement and referee system data during the competition in the Robomaster's artificial intelligence challenge. Users can freely design status feedback and rewards according to the situation. The present invention enables various algorithms based on strengthening learning to easily conduct training and effect evaluation based on this environment, which greatly reduces the difficulty of studying the Robomaster artificial intelligence challenge decision -making system.</v>
      </c>
      <c r="D2295" s="6" t="s">
        <v>6512</v>
      </c>
      <c r="E2295" s="4" t="str">
        <f ca="1">IFERROR(__xludf.DUMMYFUNCTION("GOOGLETRANSLATE(D2295,""auto"",""en"")"),"Robots used for Robomaster's artificial intelligence challenge strengthening learning training environment system")</f>
        <v>Robots used for Robomaster's artificial intelligence challenge strengthening learning training environment system</v>
      </c>
    </row>
    <row r="2296" spans="1:5" ht="15" x14ac:dyDescent="0.25">
      <c r="A2296" s="5" t="s">
        <v>6513</v>
      </c>
      <c r="B2296" s="6" t="s">
        <v>6514</v>
      </c>
      <c r="C2296" s="3" t="str">
        <f ca="1">IFERROR(__xludf.DUMMYFUNCTION("GOOGLETRANSLATE(B2296,""auto"",""en"")"),"1. The name of the product of the design of the product: The grabbed graphic user interface used for display screen panels.
 2. Design products in this exterior: used to display information.
 3. Design of design products in this appearance: lies in th"&amp;"e graphic user interface in the screen.
 4. Pictures or photos that can best show design: Design 1 main view.
 5. Specify design 1 is the basic design.
 6. The purpose of the graphical user interface: This graphic user interface is the grabbing grap"&amp;"hic user interface of the application software client.
 The interface is used to guess song competition, chat comments, singing songs, or other service operations.
 7. Human -computer interaction method of graphical user interface: Design 1 to Design "&amp;"6 is the interface of the competition room. Users can click on any control in the interface to perform more operations.
 In the design 7, when the main view shows the prompt of ""START"", the question card area displays the content of the question. The "&amp;"countdown appears in the lower right corner of the interface, showing the interface change from the main view to the interface state changes.
 When the countdown is over, the ""grab wheat"" control appears in the lower right corner of the interface, sho"&amp;"wing the interface change of the interface change state. 2 to the interface changes. Figure 3 changes.
 In Figure 3 in the interface change state, users can click the ""grab wheat"" control in the lower right corner of the interface to start to answer.
"&amp;" 
 In Design 8, the main view shows the successful user avatars, and then the user began to recording, showing the interface change from the main view to the interface changes.
 In Figure 1 of the interface change state, when the user continuously click"&amp;"s the ""Call"" control in the lower right corner of the interface, the ""call call"" effect is displayed in the question card area, showing the interface changes of the interface change state change state change status 4.
 Subsequently, the user recordi"&amp;"ng the answer to the end of the next question, showing the interface changes of the interface change status Figure 4 to the interface changes. Figure 5.
 In Figure 4 of the interface changes, users can click on any control to perform more operations.
"&amp;" In Design 9, the main view is the interface recorded by the user. When the other users ""call"" in the recording, the ""call call"" effect displayed by the question card area shows the interface change from the main view to the interface changes.
 In t"&amp;"he design 10, when the main view shows the prompt of ""START"", the question card area displays the content of the question. The countdown appears in the lower right corner of the interface, showing the interface change from the main view to the interface"&amp;" state change.
 When the countdown is over, the ""grab wheat"" control appears in the lower right corner of the interface, showing the interface change of the interface change state. 2 to the interface changes. Figure 3 changes.
 In Figure 3 in the in"&amp;"terface change state, when other users take the lead in clicking the ""grabbing"" control, the question card area shows the prompts grabbed by other users, showing the interface change of the interface change state change state change state.
 Subsequent"&amp;"ly, other users began to recording answers, showing the interface change of the interface change state Figure 4 to the interface changes.
 In Figure 5 of the interface changes, users can click the ""Call"" control in the lower right corner of the interf"&amp;"ace to vote for the user.
 The blank areas in each design interface are content screens, such as background screens, user avatars, etc.
 The fork number in each design interface represents text and/or numbers.
 8. This graphic user interface can be "&amp;"used for display screens for mobile phones, computers, tablets, and vehicle navigators.")</f>
        <v>1. The name of the product of the design of the product: The grabbed graphic user interface used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graphic user interface is the grabbing graphic user interface of the application software client.
 The interface is used to guess song competition, chat comments, singing songs, or other service operations.
 7. Human -computer interaction method of graphical user interface: Design 1 to Design 6 is the interface of the competition room. Users can click on any control in the interface to perform more operations.
 In the design 7, when the main view shows the prompt of "START", the question card area displays the content of the question. The countdown appears in the lower right corner of the interface, showing the interface change from the main view to the interface state changes.
 When the countdown is over, the "grab wheat" control appears in the lower right corner of the interface, showing the interface change of the interface change state. 2 to the interface changes. Figure 3 changes.
 In Figure 3 in the interface change state, users can click the "grab wheat" control in the lower right corner of the interface to start to answer.
 In Design 8, the main view shows the successful user avatars, and then the user began to recording, showing the interface change from the main view to the interface changes.
 In Figure 1 of the interface change state, when the user continuously clicks the "Call" control in the lower right corner of the interface, the "call call" effect is displayed in the question card area, showing the interface changes of the interface change state change state change status 4.
 Subsequently, the user recording the answer to the end of the next question, showing the interface changes of the interface change status Figure 4 to the interface changes. Figure 5.
 In Figure 4 of the interface changes, users can click on any control to perform more operations.
 In Design 9, the main view is the interface recorded by the user. When the other users "call" in the recording, the "call call" effect displayed by the question card area shows the interface change from the main view to the interface changes.
 In the design 10, when the main view shows the prompt of "START", the question card area displays the content of the question. The countdown appears in the lower right corner of the interface, showing the interface change from the main view to the interface state change.
 When the countdown is over, the "grab wheat" control appears in the lower right corner of the interface, showing the interface change of the interface change state. 2 to the interface changes. Figure 3 changes.
 In Figure 3 in the interface change state, when other users take the lead in clicking the "grabbing" control, the question card area shows the prompts grabbed by other users, showing the interface change of the interface change state change state change state.
 Subsequently, other users began to recording answers, showing the interface change of the interface change state Figure 4 to the interface changes.
 In Figure 5 of the interface changes, users can click the "Call" control in the lower right corner of the interface to vote for the user.
 The blank areas in each design interface are content screens, such as background screens, user avatars, etc.
 The fork number in each design interface represents text and/or numbers.
 8. This graphic user interface can be used for display screens for mobile phones, computers, tablets, and vehicle navigators.</v>
      </c>
      <c r="D2296" s="6" t="s">
        <v>6515</v>
      </c>
      <c r="E2296" s="4" t="str">
        <f ca="1">IFERROR(__xludf.DUMMYFUNCTION("GOOGLETRANSLATE(D2296,""auto"",""en"")"),"Answer competition graphics user interface for display screen panels")</f>
        <v>Answer competition graphics user interface for display screen panels</v>
      </c>
    </row>
    <row r="2297" spans="1:5" ht="15" x14ac:dyDescent="0.25">
      <c r="A2297" s="5" t="s">
        <v>6516</v>
      </c>
      <c r="B2297" s="6" t="s">
        <v>6517</v>
      </c>
      <c r="C2297" s="3" t="str">
        <f ca="1">IFERROR(__xludf.DUMMYFUNCTION("GOOGLETRANSLATE(B2297,""auto"",""en"")"),"The automated fantasy sports game controlled by the crowd is a number of software robots with automated machine learning capabilities, including software for running fantasy sports games at the same time, and an online game controlled by automated machine"&amp;" learning software robots that can be replaced and re -compiled. And video game code to improve its performance in completing crowd control performance standards. The automated fantasy sports game controlled by the crowd provides active user games before,"&amp;" before, during and after the conventional competition, and simulation games for testing and practice to achieve huge room for improvement in all areas. Based on the intelligent control operation of the computer, the system function and gaming services ar"&amp;"e completely unprepared by human interaction or influence, ensuring the fairness of the game and equality of all users' games.")</f>
        <v>The automated fantasy sports game controlled by the crowd is a number of software robots with automated machine learning capabilities, including software for running fantasy sports games at the same time, and an online game controlled by automated machine learning software robots that can be replaced and re -compiled. And video game code to improve its performance in completing crowd control performance standards. The automated fantasy sports game controlled by the crowd provides active user games before, before, during and after the conventional competition, and simulation games for testing and practice to achieve huge room for improvement in all areas. Based on the intelligent control operation of the computer, the system function and gaming services are completely unprepared by human interaction or influence, ensuring the fairness of the game and equality of all users' games.</v>
      </c>
      <c r="D2297" s="6" t="s">
        <v>6518</v>
      </c>
      <c r="E2297" s="4" t="str">
        <f ca="1">IFERROR(__xludf.DUMMYFUNCTION("GOOGLETRANSLATE(D2297,""auto"",""en"")"),"Automantized fantasy sports games controlled by crowd")</f>
        <v>Automantized fantasy sports games controlled by crowd</v>
      </c>
    </row>
    <row r="2298" spans="1:5" ht="15" x14ac:dyDescent="0.25">
      <c r="A2298" s="5" t="s">
        <v>6519</v>
      </c>
      <c r="B2298" s="6" t="s">
        <v>6520</v>
      </c>
      <c r="C2298" s="3" t="str">
        <f ca="1">IFERROR(__xludf.DUMMYFUNCTION("GOOGLETRANSLATE(B2298,""auto"",""en"")"),"1. The name of the product in appearance: The information graphics user interface for display sports events for mobile phones.
 2. Design products in this exterior: run program, display information and communication.
 3. Design of the design of the pr"&amp;"oduct in this exterior: lies in the interface content of the graphic user interface in the screen.
 4. Pictures or photos that can most indicate design points: main view.
 5. The design of this appearance is a thin product, and other views are omitted"&amp;".
 6. The purpose of the graphical user interface: The interface of the design of the product in this appearance is the interface of the application software client. The graphic user interface is used for human -computer interaction and the function of "&amp;"product or software client. The interface is displayed for the refreshing state of the event; the user shows the display information update display by clicking the operation; the specific information shown in the interface is only an example, which is not"&amp;" a design element.")</f>
        <v>1. The name of the product in appearance: The information graphics user interface for display sports events for mobile phones.
 2. Design products in this exterior: run program, display information and communication.
 3. Design of the design of the product in this exterior: lies in the interface content of the graphic user interface in the screen.
 4. Pictures or photos that can most indicate design points: main view.
 5. The design of this appearance is a thin product, and other views are omitted.
 6. The purpose of the graphical user interface: The interface of the design of the product in this appearance is the interface of the application software client. The graphic user interface is used for human -computer interaction and the function of product or software client. The interface is displayed for the refreshing state of the event; the user shows the display information update display by clicking the operation; the specific information shown in the interface is only an example, which is not a design element.</v>
      </c>
      <c r="D2298" s="6" t="s">
        <v>6521</v>
      </c>
      <c r="E2298" s="4" t="str">
        <f ca="1">IFERROR(__xludf.DUMMYFUNCTION("GOOGLETRANSLATE(D2298,""auto"",""en"")"),"For mobile phone display sports events information graphical user interface")</f>
        <v>For mobile phone display sports events information graphical user interface</v>
      </c>
    </row>
    <row r="2299" spans="1:5" ht="15" x14ac:dyDescent="0.25">
      <c r="A2299" s="5" t="s">
        <v>6522</v>
      </c>
      <c r="B2299" s="6" t="s">
        <v>6523</v>
      </c>
      <c r="C2299" s="3" t="str">
        <f ca="1">IFERROR(__xludf.DUMMYFUNCTION("GOOGLETRANSLATE(B2299,""auto"",""en"")"),"1. The name of the product in appearance: The information graphics user interface for sports events for mobile phones.
 2. Design products in this exterior: run program, display information and communication.
 3. Design of the design of the product in"&amp;" this exterior: lies in the interface content of the graphic user interface in the screen.
 4. Pictures or photos that can most indicate design points: main view.
 5. The design of this appearance is a thin product, and other views are omitted.
 6. "&amp;"The purpose of the graphical user interface: The interface of the design of the product in this appearance is the interface of the application software client. The graphic user interface is used for human -computer interaction and the function of product "&amp;"or software client. This interface is used to display the information of sports events; The interface in the middle is displayed when the sports events are not carried out; the user slides upward and shows more event information, showing the interface of "&amp;"the interface change state Figure 1; After sliding upward, the user shows more event information, showing the interface of the interface change state 3; the specific information shown in the interface is only an example, which is not a design element.")</f>
        <v>1. The name of the product in appearance: The information graphics user interface for sports events for mobile phones.
 2. Design products in this exterior: run program, display information and communication.
 3. Design of the design of the product in this exterior: lies in the interface content of the graphic user interface in the screen.
 4. Pictures or photos that can most indicate design points: main view.
 5. The design of this appearance is a thin product, and other views are omitted.
 6. The purpose of the graphical user interface: The interface of the design of the product in this appearance is the interface of the application software client. The graphic user interface is used for human -computer interaction and the function of product or software client. This interface is used to display the information of sports events; The interface in the middle is displayed when the sports events are not carried out; the user slides upward and shows more event information, showing the interface of the interface change state Figure 1; After sliding upward, the user shows more event information, showing the interface of the interface change state 3; the specific information shown in the interface is only an example, which is not a design element.</v>
      </c>
      <c r="D2299" s="6" t="s">
        <v>6524</v>
      </c>
      <c r="E2299" s="4" t="str">
        <f ca="1">IFERROR(__xludf.DUMMYFUNCTION("GOOGLETRANSLATE(D2299,""auto"",""en"")"),"Sports information graphics user interface for mobile phones")</f>
        <v>Sports information graphics user interface for mobile phones</v>
      </c>
    </row>
    <row r="2300" spans="1:5" ht="15" x14ac:dyDescent="0.25">
      <c r="A2300" s="5" t="s">
        <v>6525</v>
      </c>
      <c r="B2300" s="6" t="s">
        <v>6526</v>
      </c>
      <c r="C2300" s="3" t="str">
        <f ca="1">IFERROR(__xludf.DUMMYFUNCTION("GOOGLETRANSLATE(B2300,""auto"",""en"")"),"The statistical monitoring system of public fitness utilization based on big data involves the technology field of public fitness facilities. With the invention of public fitness utilization efficiency statistics monitoring system based on big data, use "&amp;"""Internet+"", big data and efficiency statistical statistical monitoring system technology to design a new type of green intelligent fitness system. Uploading to the cloud server function, users can check their own exercise data and ranking information a"&amp;"t any time through the mobile app to realize the sharing of data. At the same time, focus on the ""Internet+"" and fitness industry. Establish a big data platform to process massive fitness data, and use a machine learning algorithm on the big data platfo"&amp;"rm to analyze the collected user exercise data, find the hidden value in the data, and improve the user experience.")</f>
        <v>The statistical monitoring system of public fitness utilization based on big data involves the technology field of public fitness facilities. With the invention of public fitness utilization efficiency statistics monitoring system based on big data, use "Internet+", big data and efficiency statistical statistical monitoring system technology to design a new type of green intelligent fitness system. Uploading to the cloud server function, users can check their own exercise data and ranking information at any time through the mobile app to realize the sharing of data. At the same time, focus on the "Internet+" and fitness industry. Establish a big data platform to process massive fitness data, and use a machine learning algorithm on the big data platform to analyze the collected user exercise data, find the hidden value in the data, and improve the user experience.</v>
      </c>
      <c r="D2300" s="6" t="s">
        <v>6527</v>
      </c>
      <c r="E2300" s="4" t="str">
        <f ca="1">IFERROR(__xludf.DUMMYFUNCTION("GOOGLETRANSLATE(D2300,""auto"",""en"")"),"Public fitness utilization efficiency statistics monitoring system based on big data")</f>
        <v>Public fitness utilization efficiency statistics monitoring system based on big data</v>
      </c>
    </row>
    <row r="2301" spans="1:5" ht="15" x14ac:dyDescent="0.25">
      <c r="A2301" s="5" t="s">
        <v>6528</v>
      </c>
      <c r="B2301" s="6" t="s">
        <v>6529</v>
      </c>
      <c r="C2301" s="3" t="str">
        <f ca="1">IFERROR(__xludf.DUMMYFUNCTION("GOOGLETRANSLATE(B2301,""auto"",""en"")"),"1. The name of the product in this appearance: The graphic user interface used for the screen panel for display screen panels.
 2. Design products in this exterior: used to display information.
 3. Design of design products in this appearance: lies in"&amp;" the graphic user interface in the screen.
 4. Pictures or photos that can best show design: Design 1 main view.
 5. Specify design 1 is the basic design.
 6. The purpose of the graphical user interface: This graphic user interface is the graphic us"&amp;"er interface of the screen panel.
 The interface is used to listen to songs, select song names, or other service operations.
 7. Human -computer interaction method of graphical user interface: Design 1 to Design 3 is the interface of the answer compet"&amp;"ition. Users can click on any control in the interface to perform more operations.
 The circular gray areas in each design interface are content screens, such as: user avatars, etc.
 8. This graphic user interface can be used for display screens for m"&amp;"obile phones, computers, tablets, and vehicle navigators.")</f>
        <v>1. The name of the product in this appearance: The graphic user interface used for the screen panel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This graphic user interface is the graphic user interface of the screen panel.
 The interface is used to listen to songs, select song names, or other service operations.
 7. Human -computer interaction method of graphical user interface: Design 1 to Design 3 is the interface of the answer competition. Users can click on any control in the interface to perform more operations.
 The circular gray areas in each design interface are content screens, such as: user avatars, etc.
 8. This graphic user interface can be used for display screens for mobile phones, computers, tablets, and vehicle navigators.</v>
      </c>
      <c r="D2301" s="6" t="s">
        <v>6530</v>
      </c>
      <c r="E2301" s="4" t="str">
        <f ca="1">IFERROR(__xludf.DUMMYFUNCTION("GOOGLETRANSLATE(D2301,""auto"",""en"")"),"Answer competition graphic user interface for the display screen panel")</f>
        <v>Answer competition graphic user interface for the display screen panel</v>
      </c>
    </row>
    <row r="2302" spans="1:5" ht="15" x14ac:dyDescent="0.25">
      <c r="A2302" s="5" t="s">
        <v>6531</v>
      </c>
      <c r="B2302" s="6" t="s">
        <v>6532</v>
      </c>
      <c r="C2302" s="3" t="str">
        <f ca="1">IFERROR(__xludf.DUMMYFUNCTION("GOOGLETRANSLATE(B2302,""auto"",""en"")"),"1. Design product name: Deep learning smart car.
 2. The purpose of designing products in this exterior: for robotics, robotics teaching aids, robotics competition equipment, etc.
 3. Design of the design of the product in appearance: lies in the shap"&amp;"e.
 4. Pictures or photos that are best to show design points: stereo drawing 1.")</f>
        <v>1. Design product name: Deep learning smart car.
 2. The purpose of designing products in this exterior: for robotics, robotics teaching aids, robotics competition equipment, etc.
 3. Design of the design of the product in appearance: lies in the shape.
 4. Pictures or photos that are best to show design points: stereo drawing 1.</v>
      </c>
      <c r="D2302" s="6" t="s">
        <v>6533</v>
      </c>
      <c r="E2302" s="4" t="str">
        <f ca="1">IFERROR(__xludf.DUMMYFUNCTION("GOOGLETRANSLATE(D2302,""auto"",""en"")"),"Deep learning smart car")</f>
        <v>Deep learning smart car</v>
      </c>
    </row>
    <row r="2303" spans="1:5" ht="15" x14ac:dyDescent="0.25">
      <c r="A2303" s="5" t="s">
        <v>6534</v>
      </c>
      <c r="B2303" s="6" t="s">
        <v>6535</v>
      </c>
      <c r="C2303" s="3" t="str">
        <f ca="1">IFERROR(__xludf.DUMMYFUNCTION("GOOGLETRANSLATE(B2303,""auto"",""en"")"),"The invention disclosed a treadmill method for action recognition, including the following steps: step s1: human data collection; step S2: character modeling and virtual scene construction; step s3: bone point information acquisition and binding; step s4 "&amp;"S4 : Action recognition judgment. The user of the present invention can use the limbs to send the operation instructions to the system through the screen prompts to control the virtual characters to walk, run, jump and other actions in the design scene. T"&amp;"he human -machine interaction experience is strong. The running route designed in the system is divided into virtual game routes and real -view routes, which avoids people's boring sports experience during the long running for a long time.")</f>
        <v>The invention disclosed a treadmill method for action recognition, including the following steps: step s1: human data collection; step S2: character modeling and virtual scene construction; step s3: bone point information acquisition and binding; step s4 S4 : Action recognition judgment. The user of the present invention can use the limbs to send the operation instructions to the system through the screen prompts to control the virtual characters to walk, run, jump and other actions in the design scene. The human -machine interaction experience is strong. The running route designed in the system is divided into virtual game routes and real -view routes, which avoids people's boring sports experience during the long running for a long time.</v>
      </c>
      <c r="D2303" s="6" t="s">
        <v>6536</v>
      </c>
      <c r="E2303" s="4" t="str">
        <f ca="1">IFERROR(__xludf.DUMMYFUNCTION("GOOGLETRANSLATE(D2303,""auto"",""en"")"),"A way of action recognition of running machines")</f>
        <v>A way of action recognition of running machines</v>
      </c>
    </row>
    <row r="2304" spans="1:5" ht="15" x14ac:dyDescent="0.25">
      <c r="A2304" s="5" t="s">
        <v>6537</v>
      </c>
      <c r="B2304" s="6" t="s">
        <v>518</v>
      </c>
      <c r="C2304" s="3" t="str">
        <f ca="1">IFERROR(__xludf.DUMMYFUNCTION("GOOGLETRANSLATE(B2304,""auto"",""en"")"),"-")</f>
        <v>-</v>
      </c>
      <c r="D2304" s="6" t="s">
        <v>6538</v>
      </c>
      <c r="E2304" s="4" t="str">
        <f ca="1">IFERROR(__xludf.DUMMYFUNCTION("GOOGLETRANSLATE(D2304,""auto"",""en"")"),"Smart sports video from artificial intelligence recognition events")</f>
        <v>Smart sports video from artificial intelligence recognition events</v>
      </c>
    </row>
    <row r="2305" spans="1:5" ht="15" x14ac:dyDescent="0.25">
      <c r="A2305" s="5" t="s">
        <v>6539</v>
      </c>
      <c r="B2305" s="6" t="s">
        <v>6540</v>
      </c>
      <c r="C2305" s="3" t="str">
        <f ca="1">IFERROR(__xludf.DUMMYFUNCTION("GOOGLETRANSLATE(B2305,""auto"",""en"")"),"The invention discloses the supine sitting detection system and methods based on the human body and bone key points recognition. The system includes: image collection module, using high -definition cameras to collect video image The key points of the huma"&amp;"n bone bone; the action detection module, detect the tested human bone key points in the consecutive frame of the tester, the straight line and the relatively horizontal position changes composed of key points and shoulder key points of the waist In the p"&amp;"rocess of lying down or sitting, or from lying down to sitting; judge and count the module, judge and record the number of sit -ups completed by the testers during the test time; The number of sit -ups completed during the test time. The present invention"&amp;" is fast and low in terms of cost. At the same time, it can be adapted to single or multi -person testing. It can be applied to sports family operations and exercise detection in the state of emergency response.")</f>
        <v>The invention discloses the supine sitting detection system and methods based on the human body and bone key points recognition. The system includes: image collection module, using high -definition cameras to collect video image The key points of the human bone bone; the action detection module, detect the tested human bone key points in the consecutive frame of the tester, the straight line and the relatively horizontal position changes composed of key points and shoulder key points of the waist In the process of lying down or sitting, or from lying down to sitting; judge and count the module, judge and record the number of sit -ups completed by the testers during the test time; The number of sit -ups completed during the test time. The present invention is fast and low in terms of cost. At the same time, it can be adapted to single or multi -person testing. It can be applied to sports family operations and exercise detection in the state of emergency response.</v>
      </c>
      <c r="D2305" s="6" t="s">
        <v>6541</v>
      </c>
      <c r="E2305" s="4" t="str">
        <f ca="1">IFERROR(__xludf.DUMMYFUNCTION("GOOGLETRANSLATE(D2305,""auto"",""en"")"),"Sitting detection system and methods based on the human body and bone key points recognition")</f>
        <v>Sitting detection system and methods based on the human body and bone key points recognition</v>
      </c>
    </row>
    <row r="2306" spans="1:5" ht="15" x14ac:dyDescent="0.25">
      <c r="A2306" s="5" t="s">
        <v>6542</v>
      </c>
      <c r="B2306" s="6" t="s">
        <v>6543</v>
      </c>
      <c r="C2306" s="3" t="str">
        <f ca="1">IFERROR(__xludf.DUMMYFUNCTION("GOOGLETRANSLATE(B2306,""auto"",""en"")"),"The present invention involves the field of human posture evaluation, and specificly involves a badminton player movement posture evaluation method; including the following steps: S1: Enter the skeletal point coordinates of the gesture of the gesture of t"&amp;"he gesture; The cumulative difference of the stance model; S4: Calculate the cumulative error and output the stance model number with the smallest accumulation error. The invention uses a group of bone point coordinates of badminton players under the imag"&amp;"e pixel coordinate system to search for data of the candidate gesture library. During the search process, it matches the optimal attitude model and calculates the cumulative errors. For evaluation, a new quantitative standard is proposed. Compared with th"&amp;"e traditional action recognition method based on machine learning, the similarities of quantifying the human body and standard posture are used with cumulative errors. It can compare the differences in the posture of the human body from the data level.")</f>
        <v>The present invention involves the field of human posture evaluation, and specificly involves a badminton player movement posture evaluation method; including the following steps: S1: Enter the skeletal point coordinates of the gesture of the gesture of the gesture; The cumulative difference of the stance model; S4: Calculate the cumulative error and output the stance model number with the smallest accumulation error. The invention uses a group of bone point coordinates of badminton players under the image pixel coordinate system to search for data of the candidate gesture library. During the search process, it matches the optimal attitude model and calculates the cumulative errors. For evaluation, a new quantitative standard is proposed. Compared with the traditional action recognition method based on machine learning, the similarities of quantifying the human body and standard posture are used with cumulative errors. It can compare the differences in the posture of the human body from the data level.</v>
      </c>
      <c r="D2306" s="6" t="s">
        <v>6544</v>
      </c>
      <c r="E2306" s="4" t="str">
        <f ca="1">IFERROR(__xludf.DUMMYFUNCTION("GOOGLETRANSLATE(D2306,""auto"",""en"")"),"A badminton player sports posture evaluation method")</f>
        <v>A badminton player sports posture evaluation method</v>
      </c>
    </row>
    <row r="2307" spans="1:5" ht="15" x14ac:dyDescent="0.25">
      <c r="A2307" s="5" t="s">
        <v>6545</v>
      </c>
      <c r="B2307" s="6" t="s">
        <v>6546</v>
      </c>
      <c r="C2307" s="3" t="str">
        <f ca="1">IFERROR(__xludf.DUMMYFUNCTION("GOOGLETRANSLATE(B2307,""auto"",""en"")"),"The present invention involves the field of estimation of human posture, and specifically involves a badminton player motion gesture estimation method and system; the present invention first collects the motion gesture image of badminton players, and pre "&amp;"-processes the motion posture image; Sports attitude image input is predicted in pre -trained forecast network models, and finally outputs a set of human bone point coordinates under the image pixel coordinate system. The present invention obtains a set o"&amp;"f human bone bone point coordinates in the image pixel coordinate system by predicting a new deeper neural network model. The deep neural network model proposed by the present invention has reduced the number of convolutional layers in the overall process"&amp;", shortening the prediction time, and compared with the traditional human posture estimation model, the model predicts shorter time and higher efficiency.")</f>
        <v>The present invention involves the field of estimation of human posture, and specifically involves a badminton player motion gesture estimation method and system; the present invention first collects the motion gesture image of badminton players, and pre -processes the motion posture image; Sports attitude image input is predicted in pre -trained forecast network models, and finally outputs a set of human bone point coordinates under the image pixel coordinate system. The present invention obtains a set of human bone bone point coordinates in the image pixel coordinate system by predicting a new deeper neural network model. The deep neural network model proposed by the present invention has reduced the number of convolutional layers in the overall process, shortening the prediction time, and compared with the traditional human posture estimation model, the model predicts shorter time and higher efficiency.</v>
      </c>
      <c r="D2307" s="6" t="s">
        <v>6547</v>
      </c>
      <c r="E2307" s="4" t="str">
        <f ca="1">IFERROR(__xludf.DUMMYFUNCTION("GOOGLETRANSLATE(D2307,""auto"",""en"")"),"A badminton player movement attitude estimation method and system")</f>
        <v>A badminton player movement attitude estimation method and system</v>
      </c>
    </row>
    <row r="2308" spans="1:5" ht="15" x14ac:dyDescent="0.25">
      <c r="A2308" s="5" t="s">
        <v>6548</v>
      </c>
      <c r="B2308" s="6" t="s">
        <v>6549</v>
      </c>
      <c r="C2308" s="3" t="str">
        <f ca="1">IFERROR(__xludf.DUMMYFUNCTION("GOOGLETRANSLATE(B2308,""auto"",""en"")"),"The present invention provides a method of frictional recognition of industrial robots based on deep learning. The specific operating steps are to allow the robot to exercise in different attitudes in different attitudes. , Speed ​​planning, computing pow"&amp;"er torque, actual measurement torque; use measured torque to reduce the calculation torque to calculate the error torque; the present invention provides a method of frictional recognition of industrial robotics based on deep learning to solve the existing"&amp;" friction model Accurate issues. The invention uses the error of the measured torque and the calculation torque as a friction, and uses deep learning to identify the error torque to solve the problem of not accurate the existing friction model. Get the co"&amp;"mputing torque that is more consistent with the actual friction.")</f>
        <v>The present invention provides a method of frictional recognition of industrial robots based on deep learning. The specific operating steps are to allow the robot to exercise in different attitudes in different attitudes. , Speed ​​planning, computing power torque, actual measurement torque; use measured torque to reduce the calculation torque to calculate the error torque; the present invention provides a method of frictional recognition of industrial robotics based on deep learning to solve the existing friction model Accurate issues. The invention uses the error of the measured torque and the calculation torque as a friction, and uses deep learning to identify the error torque to solve the problem of not accurate the existing friction model. Get the computing torque that is more consistent with the actual friction.</v>
      </c>
      <c r="D2308" s="6" t="s">
        <v>6550</v>
      </c>
      <c r="E2308" s="4" t="str">
        <f ca="1">IFERROR(__xludf.DUMMYFUNCTION("GOOGLETRANSLATE(D2308,""auto"",""en"")"),"A method of frictional friction based on deep -learning industrial robots")</f>
        <v>A method of frictional friction based on deep -learning industrial robots</v>
      </c>
    </row>
    <row r="2309" spans="1:5" ht="15" x14ac:dyDescent="0.25">
      <c r="A2309" s="5" t="s">
        <v>6551</v>
      </c>
      <c r="B2309" s="6" t="s">
        <v>6552</v>
      </c>
      <c r="C2309" s="3" t="str">
        <f ca="1">IFERROR(__xludf.DUMMYFUNCTION("GOOGLETRANSLATE(B2309,""auto"",""en"")"),"The present invention is a sports technology field in the field of sports technology. A sports auxiliary training system that MR smart glasses based on eye tracing technology are disclosed. Expert terminals use AR/MR smart glasses equipment to collect exp"&amp;"ert eye movement behavior data and video and video data, and will be collected to the collection to collected to The data is transmitted to the cloud server; the cloud server can build AI artificial intelligence data training on the relevant data received"&amp;", analyze eye movement data, and receive requests sent by the novice user module to feedback the corresponding data model; the novice user module via AR/MR smart glasses glasses The device uploads the previous location and the corresponding request, and c"&amp;"ombines AR/MR smart glasses equipment for real -time learning. The invention uses AI artificial intelligence technology to identify the movement events in video data during the eye movement data analysis process, and the image recognition technology autom"&amp;"atically draws interest areas in the video content in the video to improve the efficiency of eye movement data analysis.")</f>
        <v>The present invention is a sports technology field in the field of sports technology. A sports auxiliary training system that MR smart glasses based on eye tracing technology are disclosed. Expert terminals use AR/MR smart glasses equipment to collect expert eye movement behavior data and video and video data, and will be collected to the collection to collected to The data is transmitted to the cloud server; the cloud server can build AI artificial intelligence data training on the relevant data received, analyze eye movement data, and receive requests sent by the novice user module to feedback the corresponding data model; the novice user module via AR/MR smart glasses glasses The device uploads the previous location and the corresponding request, and combines AR/MR smart glasses equipment for real -time learning. The invention uses AI artificial intelligence technology to identify the movement events in video data during the eye movement data analysis process, and the image recognition technology automatically draws interest areas in the video content in the video to improve the efficiency of eye movement data analysis.</v>
      </c>
      <c r="D2309" s="6" t="s">
        <v>6553</v>
      </c>
      <c r="E2309" s="4" t="str">
        <f ca="1">IFERROR(__xludf.DUMMYFUNCTION("GOOGLETRANSLATE(D2309,""auto"",""en"")"),"A sports auxiliary training system based on eye movement tracking technology")</f>
        <v>A sports auxiliary training system based on eye movement tracking technology</v>
      </c>
    </row>
    <row r="2310" spans="1:5" ht="15" x14ac:dyDescent="0.25">
      <c r="A2310" s="5" t="s">
        <v>6554</v>
      </c>
      <c r="B2310" s="6" t="s">
        <v>6555</v>
      </c>
      <c r="C2310" s="3" t="str">
        <f ca="1">IFERROR(__xludf.DUMMYFUNCTION("GOOGLETRANSLATE(B2310,""auto"",""en"")"),"A curling state estimation method of the invention is an artificial intelligence and image processing field. Step 1: Establish an ice pot data set to train the ice pot goal target detection network and corner detection network; step 2: use the trained cur"&amp;"ling target detection network to detect the video sequence of the curling game to obtain the curved ball boundary border Frame information; step 3: Take out the curling ball boundary frame information, initialize the curbolic goal target tracking the netw"&amp;"ork, continuously track the curing goal target in subsequent video frames to get the central coordinate of the curling ball; step 4: according to the curling ball Border frame information, intercept the curling from the original image, and send it to the "&amp;"training corner detection network for corner extraction; step 5: through the coordinate conversion, the central coordinate and corner conversion of the curd coordinate tied to the image coordinate tied Curbal coordinates and corners on the curling arena. "&amp;"The present invention's estimation results in the status of curling and handle are more accurate.")</f>
        <v>A curling state estimation method of the invention is an artificial intelligence and image processing field. Step 1: Establish an ice pot data set to train the ice pot goal target detection network and corner detection network; step 2: use the trained curling target detection network to detect the video sequence of the curling game to obtain the curved ball boundary border Frame information; step 3: Take out the curling ball boundary frame information, initialize the curbolic goal target tracking the network, continuously track the curing goal target in subsequent video frames to get the central coordinate of the curling ball; step 4: according to the curling ball Border frame information, intercept the curling from the original image, and send it to the training corner detection network for corner extraction; step 5: through the coordinate conversion, the central coordinate and corner conversion of the curd coordinate tied to the image coordinate tied Curbal coordinates and corners on the curling arena. The present invention's estimation results in the status of curling and handle are more accurate.</v>
      </c>
      <c r="D2310" s="6" t="s">
        <v>6556</v>
      </c>
      <c r="E2310" s="4" t="str">
        <f ca="1">IFERROR(__xludf.DUMMYFUNCTION("GOOGLETRANSLATE(D2310,""auto"",""en"")"),"A curling status estimation method")</f>
        <v>A curling status estimation method</v>
      </c>
    </row>
    <row r="2311" spans="1:5" ht="15" x14ac:dyDescent="0.25">
      <c r="A2311" s="5" t="s">
        <v>6557</v>
      </c>
      <c r="B2311" s="6" t="s">
        <v>6558</v>
      </c>
      <c r="C2311" s="3" t="str">
        <f ca="1">IFERROR(__xludf.DUMMYFUNCTION("GOOGLETRANSLATE(B2311,""auto"",""en"")"),"This application discloses an application of the operation guidance method, device, equipment, and readable storage media of the application, involving the field of voice recognition technology. The specific implementation scheme is: the operation guidanc"&amp;"e data sent by the first application, and provide the operation guidance data to the user; receive the voice information entered by the user, and determine the target operation that matches the voice information. Guide data; send the target operation guid"&amp;"ance data to the first application for the first application of the first application to guide the next operation according to the target operation guidance data to achieve efficient and convenient active multi -wheeled operation guidance. No user memory "&amp;"is required; at the same time, it is convenient for the first application to obtain the specific operating behavior of the user, which is conducive to conducting behavior analysis of users.")</f>
        <v>This application discloses an application of the operation guidance method, device, equipment, and readable storage media of the application, involving the field of voice recognition technology. The specific implementation scheme is: the operation guidance data sent by the first application, and provide the operation guidance data to the user; receive the voice information entered by the user, and determine the target operation that matches the voice information. Guide data; send the target operation guidance data to the first application for the first application of the first application to guide the next operation according to the target operation guidance data to achieve efficient and convenient active multi -wheeled operation guidance. No user memory is required; at the same time, it is convenient for the first application to obtain the specific operating behavior of the user, which is conducive to conducting behavior analysis of users.</v>
      </c>
      <c r="D2311" s="6" t="s">
        <v>6559</v>
      </c>
      <c r="E2311" s="4" t="str">
        <f ca="1">IFERROR(__xludf.DUMMYFUNCTION("GOOGLETRANSLATE(D2311,""auto"",""en"")"),"Application guidance methods, devices, equipment and readable storage media")</f>
        <v>Application guidance methods, devices, equipment and readable storage media</v>
      </c>
    </row>
    <row r="2312" spans="1:5" ht="15" x14ac:dyDescent="0.25">
      <c r="A2312" s="5" t="s">
        <v>6560</v>
      </c>
      <c r="B2312" s="6" t="s">
        <v>6561</v>
      </c>
      <c r="C2312" s="3" t="str">
        <f ca="1">IFERROR(__xludf.DUMMYFUNCTION("GOOGLETRANSLATE(B2312,""auto"",""en"")"),"This application disclosed the Duanyun user interaction method, system and corresponding equipment, and storage medium. Among them, there is a control information instruction channel between the terminal and the cloud, the Duanyun collaborative rendering "&amp;"channel, and/or audio and video data interactive channels. : The terminal through control information instruction channel uploads human -machine interaction, system events and/or messages to the cloud, and cloud -based human -computer interaction instruct"&amp;"ions, system events and/or message update messages are distributed. The instruction channel calls the terminal kernel program to complete the specific operation of the terminal; the end cloud coordinated graphic rendering is performed with/or the meter cl"&amp;"oud collaborative rendering channel, and the graphic is output in the terminal. Terminals play cloud -end audio video resources through audio and video data interactive channels, and upload the collected audio and video to the cloud. The invention can imp"&amp;"rove the real -time, sensitivity and stability of the end cloud integration operating system.")</f>
        <v>This application disclosed the Duanyun user interaction method, system and corresponding equipment, and storage medium. Among them, there is a control information instruction channel between the terminal and the cloud, the Duanyun collaborative rendering channel, and/or audio and video data interactive channels. : The terminal through control information instruction channel uploads human -machine interaction, system events and/or messages to the cloud, and cloud -based human -computer interaction instructions, system events and/or message update messages are distributed. The instruction channel calls the terminal kernel program to complete the specific operation of the terminal; the end cloud coordinated graphic rendering is performed with/or the meter cloud collaborative rendering channel, and the graphic is output in the terminal. Terminals play cloud -end audio video resources through audio and video data interactive channels, and upload the collected audio and video to the cloud. The invention can improve the real -time, sensitivity and stability of the end cloud integration operating system.</v>
      </c>
      <c r="D2312" s="6" t="s">
        <v>6562</v>
      </c>
      <c r="E2312" s="4" t="str">
        <f ca="1">IFERROR(__xludf.DUMMYFUNCTION("GOOGLETRANSLATE(D2312,""auto"",""en"")"),"Duanyun user interaction method, system and corresponding equipment, storage medium")</f>
        <v>Duanyun user interaction method, system and corresponding equipment, storage medium</v>
      </c>
    </row>
    <row r="2313" spans="1:5" ht="15" x14ac:dyDescent="0.25">
      <c r="A2313" s="5" t="s">
        <v>6563</v>
      </c>
      <c r="B2313" s="6" t="s">
        <v>6564</v>
      </c>
      <c r="C2313" s="3" t="str">
        <f ca="1">IFERROR(__xludf.DUMMYFUNCTION("GOOGLETRANSLATE(B2313,""auto"",""en"")"),"1. Design product name: Robotic arm.
 2. The purpose of designing products in this exterior: products are used for the mechanical claw arms of colleges and universities scientific research applications, STEAM education, artificial intelligence competiti"&amp;"ons and other industrial fields.
 3. Design of the design of the product in appearance: lies in the shape.
 4. Pictures or photos that can best show design: stereo.")</f>
        <v>1. Design product name: Robotic arm.
 2. The purpose of designing products in this exterior: products are used for the mechanical claw arms of colleges and universities scientific research applications, STEAM education, artificial intelligence competitions and other industrial fields.
 3. Design of the design of the product in appearance: lies in the shape.
 4. Pictures or photos that can best show design: stereo.</v>
      </c>
      <c r="D2313" s="6" t="s">
        <v>6565</v>
      </c>
      <c r="E2313" s="4" t="str">
        <f ca="1">IFERROR(__xludf.DUMMYFUNCTION("GOOGLETRANSLATE(D2313,""auto"",""en"")"),"Mechanical arm")</f>
        <v>Mechanical arm</v>
      </c>
    </row>
    <row r="2314" spans="1:5" ht="15" x14ac:dyDescent="0.25">
      <c r="A2314" s="5" t="s">
        <v>6566</v>
      </c>
      <c r="B2314" s="6" t="s">
        <v>6567</v>
      </c>
      <c r="C2314" s="3" t="str">
        <f ca="1">IFERROR(__xludf.DUMMYFUNCTION("GOOGLETRANSLATE(B2314,""auto"",""en"")"),"1. Design the name of this product: Mechanical Claw.
 2. The purpose of designing products in this exterior: This appearance product is used for the mechanical claws of objects of objects in colleges and universities, STEAM Education, Artificial Intelli"&amp;"gence Competition and other industrial fields.
 3. Design of the design of the product in appearance: lies in the shape.
 4. Pictures or photos that can best show design: stereo.")</f>
        <v>1. Design the name of this product: Mechanical Claw.
 2. The purpose of designing products in this exterior: This appearance product is used for the mechanical claws of objects of objects in colleges and universities, STEAM Education, Artificial Intelligence Competition and other industrial fields.
 3. Design of the design of the product in appearance: lies in the shape.
 4. Pictures or photos that can best show design: stereo.</v>
      </c>
      <c r="D2314" s="6" t="s">
        <v>6568</v>
      </c>
      <c r="E2314" s="4" t="str">
        <f ca="1">IFERROR(__xludf.DUMMYFUNCTION("GOOGLETRANSLATE(D2314,""auto"",""en"")"),"Mechanical claw")</f>
        <v>Mechanical claw</v>
      </c>
    </row>
    <row r="2315" spans="1:5" ht="15" x14ac:dyDescent="0.25">
      <c r="A2315" s="5" t="s">
        <v>6569</v>
      </c>
      <c r="B2315" s="6" t="s">
        <v>6570</v>
      </c>
      <c r="C2315" s="3" t="str">
        <f ca="1">IFERROR(__xludf.DUMMYFUNCTION("GOOGLETRANSLATE(B2315,""auto"",""en"")"),"1. The name of the product in appearance: two -footed humanoid robot.
 2. The purpose of designing products in this exterior: This appearance product is used for humanoid robots, artificial intelligence competitions, STEAM education and learning.
 3. "&amp;"Design of the design of the product in appearance: lies in the shape.
 4. Pictures or photos that can best show design: stereo.")</f>
        <v>1. The name of the product in appearance: two -footed humanoid robot.
 2. The purpose of designing products in this exterior: This appearance product is used for humanoid robots, artificial intelligence competitions, STEAM education and learning.
 3. Design of the design of the product in appearance: lies in the shape.
 4. Pictures or photos that can best show design: stereo.</v>
      </c>
      <c r="D2315" s="6" t="s">
        <v>6571</v>
      </c>
      <c r="E2315" s="4" t="str">
        <f ca="1">IFERROR(__xludf.DUMMYFUNCTION("GOOGLETRANSLATE(D2315,""auto"",""en"")"),"Both feet humanoid robot")</f>
        <v>Both feet humanoid robot</v>
      </c>
    </row>
    <row r="2316" spans="1:5" ht="15" x14ac:dyDescent="0.25">
      <c r="A2316" s="5" t="s">
        <v>6572</v>
      </c>
      <c r="B2316" s="6" t="s">
        <v>6573</v>
      </c>
      <c r="C2316" s="3" t="str">
        <f ca="1">IFERROR(__xludf.DUMMYFUNCTION("GOOGLETRANSLATE(B2316,""auto"",""en"")"),"A human action recognition device and method, electronic equipment.
  This method first detects the human boundary box in the input image, and then detects the human body by selectively detecting the human body based on the key points and/or/or based on"&amp;" the detected boundary box to detect the human body to detect the human body. Physical action. Using this step -by -step method, the processing speed is fast and the accuracy of recognition is high. In addition, by combining the two detection methods, dif"&amp;"ferent detection methods can be selected according to different situations, which can flexibly meet various scenarios and needs.
  【Selection Figure】 Figure 1")</f>
        <v>A human action recognition device and method, electronic equipment.
  This method first detects the human boundary box in the input image, and then detects the human body by selectively detecting the human body based on the key points and/or/or based on the detected boundary box to detect the human body to detect the human body. Physical action. Using this step -by -step method, the processing speed is fast and the accuracy of recognition is high. In addition, by combining the two detection methods, different detection methods can be selected according to different situations, which can flexibly meet various scenarios and needs.
  【Selection Figure】 Figure 1</v>
      </c>
      <c r="D2316" s="6" t="s">
        <v>6574</v>
      </c>
      <c r="E2316" s="4" t="str">
        <f ca="1">IFERROR(__xludf.DUMMYFUNCTION("GOOGLETRANSLATE(D2316,""auto"",""en"")"),"Hypertrigue operation identification devices and methods, electronic devices")</f>
        <v>Hypertrigue operation identification devices and methods, electronic devices</v>
      </c>
    </row>
    <row r="2317" spans="1:5" ht="15" x14ac:dyDescent="0.25">
      <c r="A2317" s="5" t="s">
        <v>6575</v>
      </c>
      <c r="B2317" s="6" t="s">
        <v>6576</v>
      </c>
      <c r="C2317" s="3" t="str">
        <f ca="1">IFERROR(__xludf.DUMMYFUNCTION("GOOGLETRANSLATE(B2317,""auto"",""en"")"),"The present invention disclosed a multi -tasking basketball video event and target online detection method. The present invention uses deep convolutional neural network to share multi -tasking weights, and can conduct event detection and target detection "&amp;"of basketball game videos online or offline. Based on the multi -task -based mixed loss function, the losses of their respective tasks reversely spread to the corresponding branches, respectively, accelerating the speed of their respective task branches. "&amp;"The losses obtained by the two tasks obtain the overall losses and reverse the propagation according to the specific weight, so that the backbone network can learn the potential characteristics of the two mixed tasks. The semi -supervised pseudo -label mi"&amp;"ning expands the training data, effectively suppressing the low -quality event prediction box and the low -quality enclosure box generated by the departure of the low -quality events generated at the climax of the incident. The multi -scale network struct"&amp;"ure of time and space makes full use of multi -stride time domain information, summarizing multi -scale historical characteristics, and effectively improving the recall and accuracy of event detection.")</f>
        <v>The present invention disclosed a multi -tasking basketball video event and target online detection method. The present invention uses deep convolutional neural network to share multi -tasking weights, and can conduct event detection and target detection of basketball game videos online or offline. Based on the multi -task -based mixed loss function, the losses of their respective tasks reversely spread to the corresponding branches, respectively, accelerating the speed of their respective task branches. The losses obtained by the two tasks obtain the overall losses and reverse the propagation according to the specific weight, so that the backbone network can learn the potential characteristics of the two mixed tasks. The semi -supervised pseudo -label mining expands the training data, effectively suppressing the low -quality event prediction box and the low -quality enclosure box generated by the departure of the low -quality events generated at the climax of the incident. The multi -scale network structure of time and space makes full use of multi -stride time domain information, summarizing multi -scale historical characteristics, and effectively improving the recall and accuracy of event detection.</v>
      </c>
      <c r="D2317" s="6" t="s">
        <v>6577</v>
      </c>
      <c r="E2317" s="4" t="str">
        <f ca="1">IFERROR(__xludf.DUMMYFUNCTION("GOOGLETRANSLATE(D2317,""auto"",""en"")"),"A multi -task -based basketball video event and target online detection method")</f>
        <v>A multi -task -based basketball video event and target online detection method</v>
      </c>
    </row>
    <row r="2318" spans="1:5" ht="15" x14ac:dyDescent="0.25">
      <c r="A2318" s="5" t="s">
        <v>6578</v>
      </c>
      <c r="B2318" s="6" t="s">
        <v>6579</v>
      </c>
      <c r="C2318" s="3" t="str">
        <f ca="1">IFERROR(__xludf.DUMMYFUNCTION("GOOGLETRANSLATE(B2318,""auto"",""en"")"),"The present invention discloses the production method and equipment of a basketball position point, which includes: training basketball detection model based on deep learning training; continuous video frames for the shooting process video; enter the vide"&amp;"o frame into the basketball detection model, output the basketball detection box; filter the filtering The detection box for error output; calculate the actual detection box data on the video frame of the filtering detection box and/or the/or missed detec"&amp;"tion box based on the unique detection box, and generate the basketball detection box data during the complete shooting process. The present invention generates accurate basketball positions and the position point of the size of the information, which has"&amp;" canceled artificial participation and greatly improves the production efficiency of basketball positions and size during basketball shooting.")</f>
        <v>The present invention discloses the production method and equipment of a basketball position point, which includes: training basketball detection model based on deep learning training; continuous video frames for the shooting process video; enter the video frame into the basketball detection model, output the basketball detection box; filter the filtering The detection box for error output; calculate the actual detection box data on the video frame of the filtering detection box and/or the/or missed detection box based on the unique detection box, and generate the basketball detection box data during the complete shooting process. The present invention generates accurate basketball positions and the position point of the size of the information, which has canceled artificial participation and greatly improves the production efficiency of basketball positions and size during basketball shooting.</v>
      </c>
      <c r="D2318" s="6" t="s">
        <v>6580</v>
      </c>
      <c r="E2318" s="4" t="str">
        <f ca="1">IFERROR(__xludf.DUMMYFUNCTION("GOOGLETRANSLATE(D2318,""auto"",""en"")"),"The generation method and equipment of a basketball position point")</f>
        <v>The generation method and equipment of a basketball position point</v>
      </c>
    </row>
    <row r="2319" spans="1:5" ht="15" x14ac:dyDescent="0.25">
      <c r="A2319" s="5" t="s">
        <v>6581</v>
      </c>
      <c r="B2319" s="6" t="s">
        <v>6582</v>
      </c>
      <c r="C2319" s="3" t="str">
        <f ca="1">IFERROR(__xludf.DUMMYFUNCTION("GOOGLETRANSLATE(B2319,""auto"",""en"")"),"A system and method of the most meaningful multimedia content predicting users, including in response to the user's request requesting multimedia operation and enable the sensing equipment on the user's device, in response to multimedia operations, perfor"&amp;"m multimedia operation, identify behavior and substantially in the multimedia content of multimedia content. The interactive prompts of users and sensing equipment during multimedia operations are updated from the multimedia content collection of multimed"&amp;"ia content represented by identification and interaction tips, and the updated recommendations are presented to users.")</f>
        <v>A system and method of the most meaningful multimedia content predicting users, including in response to the user's request requesting multimedia operation and enable the sensing equipment on the user's device, in response to multimedia operations, perform multimedia operation, identify behavior and substantially in the multimedia content of multimedia content. The interactive prompts of users and sensing equipment during multimedia operations are updated from the multimedia content collection of multimedia content represented by identification and interaction tips, and the updated recommendations are presented to users.</v>
      </c>
      <c r="D2319" s="6" t="s">
        <v>6583</v>
      </c>
      <c r="E2319" s="4" t="str">
        <f ca="1">IFERROR(__xludf.DUMMYFUNCTION("GOOGLETRANSLATE(D2319,""auto"",""en"")"),"Content recommendation system and method based on user behavior")</f>
        <v>Content recommendation system and method based on user behavior</v>
      </c>
    </row>
    <row r="2320" spans="1:5" ht="15" x14ac:dyDescent="0.25">
      <c r="A2320" s="5" t="s">
        <v>6584</v>
      </c>
      <c r="B2320" s="6" t="s">
        <v>6585</v>
      </c>
      <c r="C2320" s="3" t="str">
        <f ca="1">IFERROR(__xludf.DUMMYFUNCTION("GOOGLETRANSLATE(B2320,""auto"",""en"")"),"This utility model discloses an artificial intelligence automatic speed adjustment treadmill, including the treadmill, which is a supporting foot on the lower surface of the tank. There is a fixed column with a fixed connection, which is fixed with a fixe"&amp;"d surface of the fixed column. There are smart voice receivers. The artificial intelligence automatic speed adjusts the treadmill. By setting up the control panel, rotor motor, controller, and running with gravity sensor, the gravity of the running belt c"&amp;"an be perceived. Until stopping, the rotation speed is reduced to stop, so as to achieve the speed of controlling the treadmill gravity, it will not fall due to the fast speed of the treadmill.")</f>
        <v>This utility model discloses an artificial intelligence automatic speed adjustment treadmill, including the treadmill, which is a supporting foot on the lower surface of the tank. There is a fixed column with a fixed connection, which is fixed with a fixed surface of the fixed column. There are smart voice receivers. The artificial intelligence automatic speed adjusts the treadmill. By setting up the control panel, rotor motor, controller, and running with gravity sensor, the gravity of the running belt can be perceived. Until stopping, the rotation speed is reduced to stop, so as to achieve the speed of controlling the treadmill gravity, it will not fall due to the fast speed of the treadmill.</v>
      </c>
      <c r="D2320" s="6" t="s">
        <v>2577</v>
      </c>
      <c r="E2320" s="4" t="str">
        <f ca="1">IFERROR(__xludf.DUMMYFUNCTION("GOOGLETRANSLATE(D2320,""auto"",""en"")"),"A kind of artificial intelligence automatic speed adjustment runner")</f>
        <v>A kind of artificial intelligence automatic speed adjustment runner</v>
      </c>
    </row>
    <row r="2321" spans="1:5" ht="15" x14ac:dyDescent="0.25">
      <c r="A2321" s="5" t="s">
        <v>6586</v>
      </c>
      <c r="B2321" s="6" t="s">
        <v>6587</v>
      </c>
      <c r="C2321" s="3" t="str">
        <f ca="1">IFERROR(__xludf.DUMMYFUNCTION("GOOGLETRANSLATE(B2321,""auto"",""en"")"),"In the present invention, the first team's first team information, the competition results information of the competition played by multiple first teams, and multiple information calculated based on the first team's information and game results informatio"&amp;"n are stored in memory. The ranking information for storing the ranking between the first team, including communication circuits for multiple second teams to participate in sports competitions, and processors connecting to memory and communication circuit"&amp;"s by electricity. The results of the game results of the competition of the first team and the ranking system of the first team information calculation are estimated to estimate that the communication circuit of the second team ranking involves the rankin"&amp;"g system used to store sports competitions.")</f>
        <v>In the present invention, the first team's first team information, the competition results information of the competition played by multiple first teams, and multiple information calculated based on the first team's information and game results information are stored in memory. The ranking information for storing the ranking between the first team, including communication circuits for multiple second teams to participate in sports competitions, and processors connecting to memory and communication circuits by electricity. The results of the game results of the competition of the first team and the ranking system of the first team information calculation are estimated to estimate that the communication circuit of the second team ranking involves the ranking system used to store sports competitions.</v>
      </c>
      <c r="D2321" s="6" t="s">
        <v>6588</v>
      </c>
      <c r="E2321" s="4" t="str">
        <f ca="1">IFERROR(__xludf.DUMMYFUNCTION("GOOGLETRANSLATE(D2321,""auto"",""en"")"),"System of sports competition ranking between storage members")</f>
        <v>System of sports competition ranking between storage members</v>
      </c>
    </row>
    <row r="2322" spans="1:5" ht="15" x14ac:dyDescent="0.25">
      <c r="A2322" s="5" t="s">
        <v>6589</v>
      </c>
      <c r="B2322" s="6" t="s">
        <v>6590</v>
      </c>
      <c r="C2322" s="3" t="str">
        <f ca="1">IFERROR(__xludf.DUMMYFUNCTION("GOOGLETRANSLATE(B2322,""auto"",""en"")"),"The present invention disclosed a picker -based pick -up robot based on the Internet of Things, including: ball pick -up robot body, sphere detection module, walking module, and control module; On the ball -picking robot body, the sphere detection module "&amp;"is used to detect the sphere; the walking module is set at the bottom of the ball pick -up robot body, which is used to realize the movement of the ball pick -up robot body; The control module is set in the body of the ball pick -up robot. The control mod"&amp;"ule is used to control the ball pick -up robot body, the sphere detection module, and the walking module. The Internet -based pick -up robot based on the Internet of Things described in the present invention mainly includes the ball pick -up robot body, s"&amp;"phere detection module, walking module, and control module to pick up the sphere instead of athletes. Essence")</f>
        <v>The present invention disclosed a picker -based pick -up robot based on the Internet of Things, including: ball pick -up robot body, sphere detection module, walking module, and control module; On the ball -picking robot body, the sphere detection module is used to detect the sphere; the walking module is set at the bottom of the ball pick -up robot body, which is used to realize the movement of the ball pick -up robot body; The control module is set in the body of the ball pick -up robot. The control module is used to control the ball pick -up robot body, the sphere detection module, and the walking module. The Internet -based pick -up robot based on the Internet of Things described in the present invention mainly includes the ball pick -up robot body, sphere detection module, walking module, and control module to pick up the sphere instead of athletes. Essence</v>
      </c>
      <c r="D2322" s="6" t="s">
        <v>6591</v>
      </c>
      <c r="E2322" s="4" t="str">
        <f ca="1">IFERROR(__xludf.DUMMYFUNCTION("GOOGLETRANSLATE(D2322,""auto"",""en"")"),"A ball pick -up robot based on the Internet of Things")</f>
        <v>A ball pick -up robot based on the Internet of Things</v>
      </c>
    </row>
    <row r="2323" spans="1:5" ht="15" x14ac:dyDescent="0.25">
      <c r="A2323" s="5" t="s">
        <v>6592</v>
      </c>
      <c r="B2323" s="6" t="s">
        <v>6593</v>
      </c>
      <c r="C2323" s="3" t="str">
        <f ca="1">IFERROR(__xludf.DUMMYFUNCTION("GOOGLETRANSLATE(B2323,""auto"",""en"")"),"The invention specifically involves a yoga action guidance system and method based on computer vision. Its yoga action guidance system includes: image collection module, which is used for real -time collection of trainer and coach videos. Used to obtain h"&amp;"uman skeleton information from the image, and evaluate the posture of trainer based on human skeleton information and the reasoning of action guidance statements; voice broadcast and evaluation display module, to remind the trainer's posture standard and "&amp;"give action according to the action sentence according to the action statement. Guidance is also used to display the motion evaluation data of the trainer; cloud data management modules, respectively, interact with image collection modules, image processi"&amp;"ng and evaluation modules, voice broadcasting and evaluation display modules. The present invention provides a convenient way to guide the trainer to help traineers make standard actions without the need of coaches to improve training efficiency, while av"&amp;"oiding damage to the body due to wrong training postures.")</f>
        <v>The invention specifically involves a yoga action guidance system and method based on computer vision. Its yoga action guidance system includes: image collection module, which is used for real -time collection of trainer and coach videos. Used to obtain human skeleton information from the image, and evaluate the posture of trainer based on human skeleton information and the reasoning of action guidance statements; voice broadcast and evaluation display module, to remind the trainer's posture standard and give action according to the action sentence according to the action statement. Guidance is also used to display the motion evaluation data of the trainer; cloud data management modules, respectively, interact with image collection modules, image processing and evaluation modules, voice broadcasting and evaluation display modules. The present invention provides a convenient way to guide the trainer to help traineers make standard actions without the need of coaches to improve training efficiency, while avoiding damage to the body due to wrong training postures.</v>
      </c>
      <c r="D2323" s="6" t="s">
        <v>6594</v>
      </c>
      <c r="E2323" s="4" t="str">
        <f ca="1">IFERROR(__xludf.DUMMYFUNCTION("GOOGLETRANSLATE(D2323,""auto"",""en"")"),"A yoga action guidance system and method based on computer vision")</f>
        <v>A yoga action guidance system and method based on computer vision</v>
      </c>
    </row>
    <row r="2324" spans="1:5" ht="15" x14ac:dyDescent="0.25">
      <c r="A2324" s="5" t="s">
        <v>6595</v>
      </c>
      <c r="B2324" s="6" t="s">
        <v>6596</v>
      </c>
      <c r="C2324" s="3" t="str">
        <f ca="1">IFERROR(__xludf.DUMMYFUNCTION("GOOGLETRANSLATE(B2324,""auto"",""en"")"),"The present invention involves an artificial intelligence -based integration transaction price determination system and its driving method. It responds to the points sales request of the sales client terminal. Sales personnel who request points for sale r"&amp;"ecords the integral information of each point in the blockchain account. Member company, when receiving a purchase request from the blockchain ledger's conversion server and purchasing client terminals, and stored in the ledger storage node, the sales wai"&amp;"ter preferably handle the ledger transaction, and then the sales waiter who stored in the ledger storage node The deduction of the points distribution server in the member company's points will convert the points to the points to pay the buyer. The pricin"&amp;"g server is based on the sales request and purchase request learning price. Through the price -based artificial intelligence setting price, a integration transaction pricing system that can prevent manipulating price and increase price reliability can be "&amp;"provided. Treadmill pricing systems based on artificial intelligence -based integral transaction pricing systems include obtained effects.")</f>
        <v>The present invention involves an artificial intelligence -based integration transaction price determination system and its driving method. It responds to the points sales request of the sales client terminal. Sales personnel who request points for sale records the integral information of each point in the blockchain account. Member company, when receiving a purchase request from the blockchain ledger's conversion server and purchasing client terminals, and stored in the ledger storage node, the sales waiter preferably handle the ledger transaction, and then the sales waiter who stored in the ledger storage node The deduction of the points distribution server in the member company's points will convert the points to the points to pay the buyer. The pricing server is based on the sales request and purchase request learning price. Through the price -based artificial intelligence setting price, a integration transaction pricing system that can prevent manipulating price and increase price reliability can be provided. Treadmill pricing systems based on artificial intelligence -based integral transaction pricing systems include obtained effects.</v>
      </c>
      <c r="D2324" s="6" t="s">
        <v>6597</v>
      </c>
      <c r="E2324" s="4" t="str">
        <f ca="1">IFERROR(__xludf.DUMMYFUNCTION("GOOGLETRANSLATE(D2324,""auto"",""en"")"),"Point transaction price determination system and its driving method based on artificial intelligence")</f>
        <v>Point transaction price determination system and its driving method based on artificial intelligence</v>
      </c>
    </row>
    <row r="2325" spans="1:5" ht="15" x14ac:dyDescent="0.25">
      <c r="A2325" s="5" t="s">
        <v>6598</v>
      </c>
      <c r="B2325" s="6" t="s">
        <v>6599</v>
      </c>
      <c r="C2325" s="3" t="str">
        <f ca="1">IFERROR(__xludf.DUMMYFUNCTION("GOOGLETRANSLATE(B2325,""auto"",""en"")"),"The present invention disclosed an AI heart rate motion system that includes the first hardware equipped with the AI ​​heart rate motion system. Power trainer, etc.; The second hardware with wireless communication capabilities that collect the human signs"&amp;". The second hardware is any one or two in the human scale and heart rate watches; The present invention takes heart rate as the basis for exercise, and adjusts the motor strength value of the hardware output through AI as the core software program. Multi"&amp;" -dimensional collection of physical signs, using exercise science as the basis for exercise, through real -time voice, image guidance and prompts, informing users of their own sports status and correct posture can avoid the blindness of exercise. Through"&amp;" the identification of signs, exercise, expressions, and abnormal heart rates to achieve human -machine interaction to prevent exercise accidents from occurring.")</f>
        <v>The present invention disclosed an AI heart rate motion system that includes the first hardware equipped with the AI ​​heart rate motion system. Power trainer, etc.; The second hardware with wireless communication capabilities that collect the human signs. The second hardware is any one or two in the human scale and heart rate watches; The present invention takes heart rate as the basis for exercise, and adjusts the motor strength value of the hardware output through AI as the core software program. Multi -dimensional collection of physical signs, using exercise science as the basis for exercise, through real -time voice, image guidance and prompts, informing users of their own sports status and correct posture can avoid the blindness of exercise. Through the identification of signs, exercise, expressions, and abnormal heart rates to achieve human -machine interaction to prevent exercise accidents from occurring.</v>
      </c>
      <c r="D2325" s="6" t="s">
        <v>6600</v>
      </c>
      <c r="E2325" s="4" t="str">
        <f ca="1">IFERROR(__xludf.DUMMYFUNCTION("GOOGLETRANSLATE(D2325,""auto"",""en"")"),"A AI heart rate motion system")</f>
        <v>A AI heart rate motion system</v>
      </c>
    </row>
    <row r="2326" spans="1:5" ht="15" x14ac:dyDescent="0.25">
      <c r="A2326" s="5" t="s">
        <v>6601</v>
      </c>
      <c r="B2326" s="6" t="s">
        <v>6602</v>
      </c>
      <c r="C2326" s="3" t="str">
        <f ca="1">IFERROR(__xludf.DUMMYFUNCTION("GOOGLETRANSLATE(B2326,""auto"",""en"")"),"The present invention disclosed a semi -immersive bowling training system and methods based on LED display, including: bowling physical training facilities, LED display, and visual system; The throwing action; the visual system is used to collect video im"&amp;"ages in the three -dimensional space of the training site, and use a computer visual algorithm to analyze the video images to reconstruct the user's throwing age and the motion of the bowling ball; The LED display is used to display the virtual bowling ve"&amp;"nue and display the rebuilding three -dimensional attitude in the virtual bowling venue. Through the embodiment of the present invention, build a hybrid reality system around the LED display, combine the virtual world and the physical environment to help "&amp;"users record and analyze exercise data during training and competitions, help users accurately formulate training plans, and further improve further improvement Sports skills and sports level.")</f>
        <v>The present invention disclosed a semi -immersive bowling training system and methods based on LED display, including: bowling physical training facilities, LED display, and visual system; The throwing action; the visual system is used to collect video images in the three -dimensional space of the training site, and use a computer visual algorithm to analyze the video images to reconstruct the user's throwing age and the motion of the bowling ball; The LED display is used to display the virtual bowling venue and display the rebuilding three -dimensional attitude in the virtual bowling venue. Through the embodiment of the present invention, build a hybrid reality system around the LED display, combine the virtual world and the physical environment to help users record and analyze exercise data during training and competitions, help users accurately formulate training plans, and further improve further improvement Sports skills and sports level.</v>
      </c>
      <c r="D2326" s="6" t="s">
        <v>6603</v>
      </c>
      <c r="E2326" s="4" t="str">
        <f ca="1">IFERROR(__xludf.DUMMYFUNCTION("GOOGLETRANSLATE(D2326,""auto"",""en"")"),"A semi -immersion bowling training system and method based on LED display")</f>
        <v>A semi -immersion bowling training system and method based on LED display</v>
      </c>
    </row>
    <row r="2327" spans="1:5" ht="15" x14ac:dyDescent="0.25">
      <c r="A2327" s="5" t="s">
        <v>6604</v>
      </c>
      <c r="B2327" s="6" t="s">
        <v>619</v>
      </c>
      <c r="C2327" s="3" t="str">
        <f ca="1">IFERROR(__xludf.DUMMYFUNCTION("GOOGLETRANSLATE(B2327,""auto"",""en"")"),"Here is a system and method for generating a game prediction for the team. The computing system retrieves multiple played trajectory data from the data storage. The computing system uses a variable automatic encoder and a neural network to generate a pred"&amp;"ictive model. The method is to generate one or more input data sets. The automatic encoder is learned to generate multiple variants for each playback in multiple playback. Learn, through neural network, a team style corresponds to every game in multiple g"&amp;"ames. The computing system receives trajectory data corresponding to the target game. The predictive model generates the possibility of performing target games by determining the number of target variables corresponding to the target team identity of the "&amp;"target team.")</f>
        <v>Here is a system and method for generating a game prediction for the team. The computing system retrieves multiple played trajectory data from the data storage. The computing system uses a variable automatic encoder and a neural network to generate a predictive model. The method is to generate one or more input data sets. The automatic encoder is learned to generate multiple variants for each playback in multiple playback. Learn, through neural network, a team style corresponds to every game in multiple games. The computing system receives trajectory data corresponding to the target game. The predictive model generates the possibility of performing target games by determining the number of target variables corresponding to the target team identity of the target team.</v>
      </c>
      <c r="D2327" s="6" t="s">
        <v>620</v>
      </c>
      <c r="E2327" s="4" t="str">
        <f ca="1">IFERROR(__xludf.DUMMYFUNCTION("GOOGLETRANSLATE(D2327,""auto"",""en"")"),"Systems and methods of sports content and style prediction")</f>
        <v>Systems and methods of sports content and style prediction</v>
      </c>
    </row>
    <row r="2328" spans="1:5" ht="15" x14ac:dyDescent="0.25">
      <c r="A2328" s="5" t="s">
        <v>6605</v>
      </c>
      <c r="B2328" s="6" t="s">
        <v>6606</v>
      </c>
      <c r="C2328" s="3" t="str">
        <f ca="1">IFERROR(__xludf.DUMMYFUNCTION("GOOGLETRANSLATE(B2328,""auto"",""en"")"),"This article revealed a system and method for generating the game prediction for the team. The computing system retrieves the trajectory data of multiple competitions from the data storage. The computing system uses the variable automatic encoder and the "&amp;"neural network to generate a predictive model through the following operations: generate one or more input data sets, learn from the automatic encoder to learn to generate multiple in each game in multiple competitions Variations and the team style corres"&amp;"ponding to each game through neural networks. The computing system receives trajectory data corresponding to the target competition. The predictive model generates the possibility of the target team performing the target game by determining multiple targe"&amp;"t variants corresponding to the target team of the target team.")</f>
        <v>This article revealed a system and method for generating the game prediction for the team. The computing system retrieves the trajectory data of multiple competitions from the data storage. The computing system uses the variable automatic encoder and the neural network to generate a predictive model through the following operations: generate one or more input data sets, learn from the automatic encoder to learn to generate multiple in each game in multiple competitions Variations and the team style corresponding to each game through neural networks. The computing system receives trajectory data corresponding to the target competition. The predictive model generates the possibility of the target team performing the target game by determining multiple target variants corresponding to the target team of the target team.</v>
      </c>
      <c r="D2328" s="6" t="s">
        <v>6607</v>
      </c>
      <c r="E2328" s="4" t="str">
        <f ca="1">IFERROR(__xludf.DUMMYFUNCTION("GOOGLETRANSLATE(D2328,""auto"",""en"")"),"Systems and methods for content and style prediction in sports")</f>
        <v>Systems and methods for content and style prediction in sports</v>
      </c>
    </row>
    <row r="2329" spans="1:5" ht="15" x14ac:dyDescent="0.25">
      <c r="A2329" s="5" t="s">
        <v>6608</v>
      </c>
      <c r="B2329" s="6" t="s">
        <v>619</v>
      </c>
      <c r="C2329" s="3" t="str">
        <f ca="1">IFERROR(__xludf.DUMMYFUNCTION("GOOGLETRANSLATE(B2329,""auto"",""en"")"),"Here is a system and method for generating a game prediction for the team. The computing system retrieves multiple played trajectory data from the data storage. The computing system uses a variable automatic encoder and a neural network to generate a pred"&amp;"ictive model. The method is to generate one or more input data sets. The automatic encoder is learned to generate multiple variants for each playback in multiple playback. Learn, through neural network, a team style corresponds to every game in multiple g"&amp;"ames. The computing system receives trajectory data corresponding to the target game. The predictive model generates the possibility of performing target games by determining the number of target variables corresponding to the target team identity of the "&amp;"target team.")</f>
        <v>Here is a system and method for generating a game prediction for the team. The computing system retrieves multiple played trajectory data from the data storage. The computing system uses a variable automatic encoder and a neural network to generate a predictive model. The method is to generate one or more input data sets. The automatic encoder is learned to generate multiple variants for each playback in multiple playback. Learn, through neural network, a team style corresponds to every game in multiple games. The computing system receives trajectory data corresponding to the target game. The predictive model generates the possibility of performing target games by determining the number of target variables corresponding to the target team identity of the target team.</v>
      </c>
      <c r="D2329" s="6" t="s">
        <v>6609</v>
      </c>
      <c r="E2329" s="4" t="str">
        <f ca="1">IFERROR(__xludf.DUMMYFUNCTION("GOOGLETRANSLATE(D2329,""auto"",""en"")"),"Systems and methods for sports content and style prediction")</f>
        <v>Systems and methods for sports content and style prediction</v>
      </c>
    </row>
    <row r="2330" spans="1:5" ht="15" x14ac:dyDescent="0.25">
      <c r="A2330" s="5" t="s">
        <v>6610</v>
      </c>
      <c r="B2330" s="6" t="s">
        <v>619</v>
      </c>
      <c r="C2330" s="3" t="str">
        <f ca="1">IFERROR(__xludf.DUMMYFUNCTION("GOOGLETRANSLATE(B2330,""auto"",""en"")"),"Here is a system and method for generating a game prediction for the team. The computing system retrieves multiple played trajectory data from the data storage. The computing system uses a variable automatic encoder and a neural network to generate a pred"&amp;"ictive model. The method is to generate one or more input data sets. The automatic encoder is learned to generate multiple variants for each playback in multiple playback. Learn, through neural network, a team style corresponds to every game in multiple g"&amp;"ames. The computing system receives trajectory data corresponding to the target game. The predictive model generates the possibility of performing target games by determining the number of target variables corresponding to the target team identity of the "&amp;"target team.")</f>
        <v>Here is a system and method for generating a game prediction for the team. The computing system retrieves multiple played trajectory data from the data storage. The computing system uses a variable automatic encoder and a neural network to generate a predictive model. The method is to generate one or more input data sets. The automatic encoder is learned to generate multiple variants for each playback in multiple playback. Learn, through neural network, a team style corresponds to every game in multiple games. The computing system receives trajectory data corresponding to the target game. The predictive model generates the possibility of performing target games by determining the number of target variables corresponding to the target team identity of the target team.</v>
      </c>
      <c r="D2330" s="6" t="s">
        <v>6609</v>
      </c>
      <c r="E2330" s="4" t="str">
        <f ca="1">IFERROR(__xludf.DUMMYFUNCTION("GOOGLETRANSLATE(D2330,""auto"",""en"")"),"Systems and methods for sports content and style prediction")</f>
        <v>Systems and methods for sports content and style prediction</v>
      </c>
    </row>
    <row r="2331" spans="1:5" ht="15" x14ac:dyDescent="0.25">
      <c r="A2331" s="5" t="s">
        <v>6611</v>
      </c>
      <c r="B2331" s="6" t="s">
        <v>6612</v>
      </c>
      <c r="C2331" s="3" t="str">
        <f ca="1">IFERROR(__xludf.DUMMYFUNCTION("GOOGLETRANSLATE(B2331,""auto"",""en"")"),"The present invention disclosed the straight aisle detection and chronograph system and methods based on face and human body recognition. The system includes image collection units, which uses cameras to collect video images by frame by frame; image recog"&amp;"nition unit to detect the human body from the video image frame 2. Track the human body detected in the detection area and perform the body and Taoist recognition of the testers; the group detection unit, use a group inspection, identify the tester throug"&amp;"h the face detection method, and assign them to the corresponding Taoism; initiate by the host initiated by the host; Running instructions, sending group information to the server, establishing a group test task; the rushing line detection and time unit, "&amp;"to intersect the test channel lines set at the initialization of the detected human body frame to determine whether the tester is flushed; Determine whether the tester has completed the running by the number of human bearing lines; the time stamp of the t"&amp;"ime stamp of the instruction from the time stamp of the punching time stamp from the machine to reaching the number of times when the line is reached to the number of times is detected to indicate the length of the tester's running.")</f>
        <v>The present invention disclosed the straight aisle detection and chronograph system and methods based on face and human body recognition. The system includes image collection units, which uses cameras to collect video images by frame by frame; image recognition unit to detect the human body from the video image frame 2. Track the human body detected in the detection area and perform the body and Taoist recognition of the testers; the group detection unit, use a group inspection, identify the tester through the face detection method, and assign them to the corresponding Taoism; initiate by the host initiated by the host; Running instructions, sending group information to the server, establishing a group test task; the rushing line detection and time unit, to intersect the test channel lines set at the initialization of the detected human body frame to determine whether the tester is flushed; Determine whether the tester has completed the running by the number of human bearing lines; the time stamp of the time stamp of the instruction from the time stamp of the punching time stamp from the machine to reaching the number of times when the line is reached to the number of times is detected to indicate the length of the tester's running.</v>
      </c>
      <c r="D2331" s="6" t="s">
        <v>6613</v>
      </c>
      <c r="E2331" s="4" t="str">
        <f ca="1">IFERROR(__xludf.DUMMYFUNCTION("GOOGLETRANSLATE(D2331,""auto"",""en"")"),"Straight running detection and chronograph system and method based on human face and human recognition")</f>
        <v>Straight running detection and chronograph system and method based on human face and human recognition</v>
      </c>
    </row>
    <row r="2332" spans="1:5" ht="15" x14ac:dyDescent="0.25">
      <c r="A2332" s="5" t="s">
        <v>6614</v>
      </c>
      <c r="B2332" s="6" t="s">
        <v>6615</v>
      </c>
      <c r="C2332" s="3" t="str">
        <f ca="1">IFERROR(__xludf.DUMMYFUNCTION("GOOGLETRANSLATE(B2332,""auto"",""en"")"),"This publicly provides verification of vehicle images. The computer includes a processor and memory. The memory includes the execution of the processor to generate a pair of synthetic stereo images and the corresponding synthetic depth diagram and the ima"&amp;"ging engine. The synthetic stereo image corresponds to the real three -dimensional image stereo camera and synthetic depth captured by the imaging engine. The picture is the three -dimensional (3D) map of the 3D scene observed by the stereo camera, and th"&amp;"is pair of the pair of images in the synthetic stereo images independently generates a fake image (GAN) to generate a fake image image, which corresponds to one of the synthetic stereo images Fake images. These instructions can also include the following "&amp;"instructions: processing a pair of three -dimensional fake images to form a fake depth diagram, using a single conjoined neural network to compare the fake depth with the synthetic depth. One or more fake images to identify the object and operate the vehi"&amp;"cle according to the physiological operation.")</f>
        <v>This publicly provides verification of vehicle images. The computer includes a processor and memory. The memory includes the execution of the processor to generate a pair of synthetic stereo images and the corresponding synthetic depth diagram and the imaging engine. The synthetic stereo image corresponds to the real three -dimensional image stereo camera and synthetic depth captured by the imaging engine. The picture is the three -dimensional (3D) map of the 3D scene observed by the stereo camera, and this pair of the pair of images in the synthetic stereo images independently generates a fake image (GAN) to generate a fake image image, which corresponds to one of the synthetic stereo images Fake images. These instructions can also include the following instructions: processing a pair of three -dimensional fake images to form a fake depth diagram, using a single conjoined neural network to compare the fake depth with the synthetic depth. One or more fake images to identify the object and operate the vehicle according to the physiological operation.</v>
      </c>
      <c r="D2332" s="6" t="s">
        <v>6616</v>
      </c>
      <c r="E2332" s="4" t="str">
        <f ca="1">IFERROR(__xludf.DUMMYFUNCTION("GOOGLETRANSLATE(D2332,""auto"",""en"")"),"Verify vehicle picture")</f>
        <v>Verify vehicle picture</v>
      </c>
    </row>
    <row r="2333" spans="1:5" ht="15" x14ac:dyDescent="0.25">
      <c r="A2333" s="5" t="s">
        <v>6617</v>
      </c>
      <c r="B2333" s="6" t="s">
        <v>6618</v>
      </c>
      <c r="C2333" s="3" t="str">
        <f ca="1">IFERROR(__xludf.DUMMYFUNCTION("GOOGLETRANSLATE(B2333,""auto"",""en"")"),"An emotional analysis method based on deep learning and natural language processing was released. Methods of deep learning analysis film reviews include: obtaining film review text data, marking positive and negative emotions in the film review; pre -proc"&amp;"essing film reviews by deleting redundant information; according to the word bag model vectorized movie review text; Training set and test set; establish an initial deep learning model for emotional analysis of film review, connect and integrate four conv"&amp;"olutional neural network layers, two pooling layers, and two full connection layers; Finally deep learning model, use the final deep learning model to detect the film review collection and output the test results. The present invention can accurately dist"&amp;"inguish the positive and negative emotions of film reviews. The deep learning model has a simple structure and a small amount of calculation, which has increased the speed of film review emotional analysis. 1 Original Comments-Delete HTML, Comments Text-N"&amp;" N letters-only lowercase letters and split into a separate clean comment 4 Movie. Mary also likes it. John also likes to watch football games. mokes ""52 to"": 3 John likes watching movies. Mary also likes it. John also likes to watch football games. [1,"&amp;" 1, 1, 1, 0, 1, 1, 1, 1, 0, 0] Figure 2 1")</f>
        <v>An emotional analysis method based on deep learning and natural language processing was released. Methods of deep learning analysis film reviews include: obtaining film review text data, marking positive and negative emotions in the film review; pre -processing film reviews by deleting redundant information; according to the word bag model vectorized movie review text; Training set and test set; establish an initial deep learning model for emotional analysis of film review, connect and integrate four convolutional neural network layers, two pooling layers, and two full connection layers; Finally deep learning model, use the final deep learning model to detect the film review collection and output the test results. The present invention can accurately distinguish the positive and negative emotions of film reviews. The deep learning model has a simple structure and a small amount of calculation, which has increased the speed of film review emotional analysis. 1 Original Comments-Delete HTML, Comments Text-N N letters-only lowercase letters and split into a separate clean comment 4 Movie. Mary also likes it. John also likes to watch football games. mokes "52 to": 3 John likes watching movies. Mary also likes it. John also likes to watch football games. [1, 1, 1, 1, 0, 1, 1, 1, 1, 0, 0] Figure 2 1</v>
      </c>
      <c r="D2333" s="6" t="s">
        <v>6619</v>
      </c>
      <c r="E2333" s="4" t="str">
        <f ca="1">IFERROR(__xludf.DUMMYFUNCTION("GOOGLETRANSLATE(D2333,""auto"",""en"")"),"Film review emotional analysis methods based on deep learning and natural language processing")</f>
        <v>Film review emotional analysis methods based on deep learning and natural language processing</v>
      </c>
    </row>
    <row r="2334" spans="1:5" ht="15" x14ac:dyDescent="0.25">
      <c r="A2334" s="5" t="s">
        <v>6620</v>
      </c>
      <c r="B2334" s="6" t="s">
        <v>6621</v>
      </c>
      <c r="C2334" s="3" t="str">
        <f ca="1">IFERROR(__xludf.DUMMYFUNCTION("GOOGLETRANSLATE(B2334,""auto"",""en"")"),"Today's available sports data tracking system detects and track the goals on the court based on dedicated hardware. Although it is effective, implementing and maintaining these systems has brought many challenges, including high cost and close manual moni"&amp;"toring. On the other hand, the sports analysis community has been exploring artificial computing and crowdsourcing to generate tracking data worthy of trust, cheaper and easier to obtain. However, the most advanced method requires a large number of users "&amp;"to execute comments, or bring too much burden on a single user. It describes the example method, system, and user interface that promotes the tracking data sequence (such as the baseball game) by using a large number of historical data set thermal notes t"&amp;"o promote the creation of events.")</f>
        <v>Today's available sports data tracking system detects and track the goals on the court based on dedicated hardware. Although it is effective, implementing and maintaining these systems has brought many challenges, including high cost and close manual monitoring. On the other hand, the sports analysis community has been exploring artificial computing and crowdsourcing to generate tracking data worthy of trust, cheaper and easier to obtain. However, the most advanced method requires a large number of users to execute comments, or bring too much burden on a single user. It describes the example method, system, and user interface that promotes the tracking data sequence (such as the baseball game) by using a large number of historical data set thermal notes to promote the creation of events.</v>
      </c>
      <c r="D2334" s="6" t="s">
        <v>6622</v>
      </c>
      <c r="E2334" s="4" t="str">
        <f ca="1">IFERROR(__xludf.DUMMYFUNCTION("GOOGLETRANSLATE(D2334,""auto"",""en"")"),"Reduce the human -computer interaction in the game annotation")</f>
        <v>Reduce the human -computer interaction in the game annotation</v>
      </c>
    </row>
    <row r="2335" spans="1:5" ht="15" x14ac:dyDescent="0.25">
      <c r="A2335" s="5" t="s">
        <v>6623</v>
      </c>
      <c r="B2335" s="6" t="s">
        <v>6624</v>
      </c>
      <c r="C2335" s="3" t="str">
        <f ca="1">IFERROR(__xludf.DUMMYFUNCTION("GOOGLETRANSLATE(B2335,""auto"",""en"")"),"Examples of the present invention disclose a sports data analysis system and method based on machine learning. By checking the key skeletal nodes of the player and the player's body, the joint node of the athlete body movement will be used as a machine le"&amp;"arning model for a period of time. Come to identify exercise. Because the input data of the model is the body's node information, the category of movement movement can not only be recognized, but also the standard level of the action can be judged, and a "&amp;"targeted training scheme is formulated. In addition, the system and methods are tracked by tracking the three -dimensional trajectory of the athletes and objects in the competition. By analyzing the movement interaction of athletes and objects, the athlet"&amp;"e's movement was analyzed and recognized, so as to analyze the understanding of the entire competition or training event.")</f>
        <v>Examples of the present invention disclose a sports data analysis system and method based on machine learning. By checking the key skeletal nodes of the player and the player's body, the joint node of the athlete body movement will be used as a machine learning model for a period of time. Come to identify exercise. Because the input data of the model is the body's node information, the category of movement movement can not only be recognized, but also the standard level of the action can be judged, and a targeted training scheme is formulated. In addition, the system and methods are tracked by tracking the three -dimensional trajectory of the athletes and objects in the competition. By analyzing the movement interaction of athletes and objects, the athlete's movement was analyzed and recognized, so as to analyze the understanding of the entire competition or training event.</v>
      </c>
      <c r="D2335" s="6" t="s">
        <v>6625</v>
      </c>
      <c r="E2335" s="4" t="str">
        <f ca="1">IFERROR(__xludf.DUMMYFUNCTION("GOOGLETRANSLATE(D2335,""auto"",""en"")"),"A sports data analysis system and method based on machine learning")</f>
        <v>A sports data analysis system and method based on machine learning</v>
      </c>
    </row>
    <row r="2336" spans="1:5" ht="15" x14ac:dyDescent="0.25">
      <c r="A2336" s="5" t="s">
        <v>6626</v>
      </c>
      <c r="B2336" s="6" t="s">
        <v>6627</v>
      </c>
      <c r="C2336" s="3" t="str">
        <f ca="1">IFERROR(__xludf.DUMMYFUNCTION("GOOGLETRANSLATE(B2336,""auto"",""en"")"),"A system and method to monitor biological monitoring of athletes' health, and provide warnings to reduce damage when determining excessive training status. Through the implementation of efficient system architecture, the use of micro -artificial intellige"&amp;"nce is very practical for the lack of Internet coverage or no movement.")</f>
        <v>A system and method to monitor biological monitoring of athletes' health, and provide warnings to reduce damage when determining excessive training status. Through the implementation of efficient system architecture, the use of micro -artificial intelligence is very practical for the lack of Internet coverage or no movement.</v>
      </c>
      <c r="D2336" s="6" t="s">
        <v>5067</v>
      </c>
      <c r="E2336" s="4" t="str">
        <f ca="1">IFERROR(__xludf.DUMMYFUNCTION("GOOGLETRANSLATE(D2336,""auto"",""en"")"),"Move intelligent damage minimization system and method")</f>
        <v>Move intelligent damage minimization system and method</v>
      </c>
    </row>
    <row r="2337" spans="1:5" ht="15" x14ac:dyDescent="0.25">
      <c r="A2337" s="5" t="s">
        <v>6628</v>
      </c>
      <c r="B2337" s="6" t="s">
        <v>6629</v>
      </c>
      <c r="C2337" s="3" t="str">
        <f ca="1">IFERROR(__xludf.DUMMYFUNCTION("GOOGLETRANSLATE(B2337,""auto"",""en"")"),"The machine vision system has obtained a well -trained synthetic dataset related to virtual sports events, and the function of a well -trained synthetic data set, including functions related to virtual sports events. The machine vision system can further "&amp;"train the synthetic data sets related to real -life data sets related to actual sports events to further train for annotation. The detection and improvement of data sets with trained training is based on. Comment in this section, add the notes to the trai"&amp;"ned synthetic data concentration to obtain a dataset for extended training. The availability of the synthetic dataset and the recognized result of the result, using part of the dataset of the extended training as a part of the trained synthetic dataset in"&amp;" the next iteration, repeatedly expand it, and provides the extended data set to the machine video system.")</f>
        <v>The machine vision system has obtained a well -trained synthetic dataset related to virtual sports events, and the function of a well -trained synthetic data set, including functions related to virtual sports events. The machine vision system can further train the synthetic data sets related to real -life data sets related to actual sports events to further train for annotation. The detection and improvement of data sets with trained training is based on. Comment in this section, add the notes to the trained synthetic data concentration to obtain a dataset for extended training. The availability of the synthetic dataset and the recognized result of the result, using part of the dataset of the extended training as a part of the trained synthetic dataset in the next iteration, repeatedly expand it, and provides the extended data set to the machine video system.</v>
      </c>
      <c r="D2337" s="6" t="s">
        <v>6630</v>
      </c>
      <c r="E2337" s="4" t="str">
        <f ca="1">IFERROR(__xludf.DUMMYFUNCTION("GOOGLETRANSLATE(D2337,""auto"",""en"")"),"Expand knowledge data in machine vision")</f>
        <v>Expand knowledge data in machine vision</v>
      </c>
    </row>
    <row r="2338" spans="1:5" ht="15" x14ac:dyDescent="0.25">
      <c r="A2338" s="5" t="s">
        <v>6631</v>
      </c>
      <c r="B2338" s="6" t="s">
        <v>6632</v>
      </c>
      <c r="C2338" s="3" t="str">
        <f ca="1">IFERROR(__xludf.DUMMYFUNCTION("GOOGLETRANSLATE(B2338,""auto"",""en"")"),"The present invention involves the field of artificial intelligence technology, providing a video -based sports evaluation method, device, computer equipment and storage medium. Sports video recognition users' movement type; extract the first key frame im"&amp;"age in the first sports video according to the type of motion and extract the second key frame image in the second sports video; detect the first key point of the first key frame image in the first key frame image And detect the key points of the second b"&amp;"ody in the second key frame image; calculate the difference between the key points of the first human body and the key points of the second human body; evaluate the sports score of users based on the degree of difference and the sports type. The present i"&amp;"nvention can extract keyframe images based on the sporty type and calculate the differences. Combine the motion type and different degrees of evaluation of the user's movement, the accuracy rate is higher. In addition, the present invention also involves "&amp;"blockchain technology, which can be stored in the blockchain node.")</f>
        <v>The present invention involves the field of artificial intelligence technology, providing a video -based sports evaluation method, device, computer equipment and storage medium. Sports video recognition users' movement type; extract the first key frame image in the first sports video according to the type of motion and extract the second key frame image in the second sports video; detect the first key point of the first key frame image in the first key frame image And detect the key points of the second body in the second key frame image; calculate the difference between the key points of the first human body and the key points of the second human body; evaluate the sports score of users based on the degree of difference and the sports type. The present invention can extract keyframe images based on the sporty type and calculate the differences. Combine the motion type and different degrees of evaluation of the user's movement, the accuracy rate is higher. In addition, the present invention also involves blockchain technology, which can be stored in the blockchain node.</v>
      </c>
      <c r="D2338" s="6" t="s">
        <v>6274</v>
      </c>
      <c r="E2338" s="4" t="str">
        <f ca="1">IFERROR(__xludf.DUMMYFUNCTION("GOOGLETRANSLATE(D2338,""auto"",""en"")"),"Video -based motion evaluation methods, devices, computer equipment and storage media")</f>
        <v>Video -based motion evaluation methods, devices, computer equipment and storage media</v>
      </c>
    </row>
    <row r="2339" spans="1:5" ht="15" x14ac:dyDescent="0.25">
      <c r="A2339" s="5" t="s">
        <v>6633</v>
      </c>
      <c r="B2339" s="6" t="s">
        <v>6634</v>
      </c>
      <c r="C2339" s="3" t="str">
        <f ca="1">IFERROR(__xludf.DUMMYFUNCTION("GOOGLETRANSLATE(B2339,""auto"",""en"")"),"The present invention accurately identifies each landing position of the Go opponent between specific opponents and each floor -to -ceiling stone is black or white, encrypted a series of landing processes, manages real -time transmission records in the Go"&amp;" relay server, allows a large number of audiences to remotely remotely This is a relay system that uses smart Go boards that allow users to watch Go games on their terminals. It has the shape of a chessboard, and identifies the color artificial intelligen"&amp;"ce of the Go Polyza in each of the 361 landing points, records and manage game order data, records and manage game order data, encrypted into blockchain data according to the order of the big country, Bag frames, smart chessboards transmitted by multiple "&amp;"communication paths at the same time are composed of multiple activated communication units. They receive each data packet sent by multiple communication paths through multiple communication paths and have no transmission data packets. The command, throug"&amp;"h the functions of the game relay server records and managed it in the division area. Through artificial intelligence, the color of the chess pieces at each intersection of the chessboard 361 is judged to judge that Black Poses or Bai Chezi. Real -time tr"&amp;"ansmission to remote servers plays a role in reducing and blocking others' unfair hackers.")</f>
        <v>The present invention accurately identifies each landing position of the Go opponent between specific opponents and each floor -to -ceiling stone is black or white, encrypted a series of landing processes, manages real -time transmission records in the Go relay server, allows a large number of audiences to remotely remotely This is a relay system that uses smart Go boards that allow users to watch Go games on their terminals. It has the shape of a chessboard, and identifies the color artificial intelligence of the Go Polyza in each of the 361 landing points, records and manage game order data, records and manage game order data, encrypted into blockchain data according to the order of the big country, Bag frames, smart chessboards transmitted by multiple communication paths at the same time are composed of multiple activated communication units. They receive each data packet sent by multiple communication paths through multiple communication paths and have no transmission data packets. The command, through the functions of the game relay server records and managed it in the division area. Through artificial intelligence, the color of the chess pieces at each intersection of the chessboard 361 is judged to judge that Black Poses or Bai Chezi. Real -time transmission to remote servers plays a role in reducing and blocking others' unfair hackers.</v>
      </c>
      <c r="D2339" s="6" t="s">
        <v>6635</v>
      </c>
      <c r="E2339" s="4" t="str">
        <f ca="1">IFERROR(__xludf.DUMMYFUNCTION("GOOGLETRANSLATE(D2339,""auto"",""en"")"),"Use smart chessboard's relay system")</f>
        <v>Use smart chessboard's relay system</v>
      </c>
    </row>
    <row r="2340" spans="1:5" ht="15" x14ac:dyDescent="0.25">
      <c r="A2340" s="5" t="s">
        <v>6636</v>
      </c>
      <c r="B2340" s="6" t="s">
        <v>6637</v>
      </c>
      <c r="C2340" s="3" t="str">
        <f ca="1">IFERROR(__xludf.DUMMYFUNCTION("GOOGLETRANSLATE(B2340,""auto"",""en"")"),"This utility model involves the technology field of cloud platform terminal equipment, and an artificial intelligence interactive terminal device based on the cloud platform is disclosed, including intelligent interactive terminals and smart bracelets. Th"&amp;"e speaker, input keyboard and card reader, the camera is located on the top of the display screen, the speaker is located on the left and right sides of the display screen. The input keyboard is located at the bottom of the display screen. Essence After c"&amp;"onnecting the Bluetooth transmission module on the intelligent interactive terminal through its Bluetooth transmission module through its Bluetooth transmission module through the smart bracelet, the information (motion target, weight, and physical state)"&amp;" and real -time monitoring module on the database on the smart bracelet The data is recorded in the gym's cloud database, and then captures the module through the action on the smart bracelet, captures the user's movement information, identifies the captu"&amp;"red action information, and finally feedback through the intelligent interactive terminal.")</f>
        <v>This utility model involves the technology field of cloud platform terminal equipment, and an artificial intelligence interactive terminal device based on the cloud platform is disclosed, including intelligent interactive terminals and smart bracelets. The speaker, input keyboard and card reader, the camera is located on the top of the display screen, the speaker is located on the left and right sides of the display screen. The input keyboard is located at the bottom of the display screen. Essence After connecting the Bluetooth transmission module on the intelligent interactive terminal through its Bluetooth transmission module through its Bluetooth transmission module through the smart bracelet, the information (motion target, weight, and physical state) and real -time monitoring module on the database on the smart bracelet The data is recorded in the gym's cloud database, and then captures the module through the action on the smart bracelet, captures the user's movement information, identifies the captured action information, and finally feedback through the intelligent interactive terminal.</v>
      </c>
      <c r="D2340" s="6" t="s">
        <v>6394</v>
      </c>
      <c r="E2340" s="4" t="str">
        <f ca="1">IFERROR(__xludf.DUMMYFUNCTION("GOOGLETRANSLATE(D2340,""auto"",""en"")"),"An artificial intelligence interactive terminal device based on the cloud platform")</f>
        <v>An artificial intelligence interactive terminal device based on the cloud platform</v>
      </c>
    </row>
    <row r="2341" spans="1:5" ht="15" x14ac:dyDescent="0.25">
      <c r="A2341" s="5" t="s">
        <v>6638</v>
      </c>
      <c r="B2341" s="6" t="s">
        <v>6639</v>
      </c>
      <c r="C2341" s="3" t="str">
        <f ca="1">IFERROR(__xludf.DUMMYFUNCTION("GOOGLETRANSLATE(B2341,""auto"",""en"")"),"A sports video search method and search system that uses artificial intelligence. According to the motion video search method of an embodiment, select a representative picture for each scene from the collected sports video data, extract at least one featu"&amp;"re information corresponding to the representative picture of the representative picture, and correspond to the establishment of the deep learning learning model of each representative screen. Create a model in the steps; the steps of indexing information"&amp;" construction, the index storage with the time information of each representative picture and characteristic information with the time information of the representative picture; and search execution steps, receive search words, use the input search word a"&amp;"s keyword search index information, and find to find It also provides sports videos that include a representative screen corresponding to the index information. This is efficient, because there is no need to manually create individual metadata, and artifi"&amp;"cial intelligence can be used to obtain high -precision and fast search results.")</f>
        <v>A sports video search method and search system that uses artificial intelligence. According to the motion video search method of an embodiment, select a representative picture for each scene from the collected sports video data, extract at least one feature information corresponding to the representative picture of the representative picture, and correspond to the establishment of the deep learning learning model of each representative screen. Create a model in the steps; the steps of indexing information construction, the index storage with the time information of each representative picture and characteristic information with the time information of the representative picture; and search execution steps, receive search words, use the input search word as keyword search index information, and find to find It also provides sports videos that include a representative screen corresponding to the index information. This is efficient, because there is no need to manually create individual metadata, and artificial intelligence can be used to obtain high -precision and fast search results.</v>
      </c>
      <c r="D2341" s="6" t="s">
        <v>6640</v>
      </c>
      <c r="E2341" s="4" t="str">
        <f ca="1">IFERROR(__xludf.DUMMYFUNCTION("GOOGLETRANSLATE(D2341,""auto"",""en"")"),"Use artificial intelligence sports video search method and search system")</f>
        <v>Use artificial intelligence sports video search method and search system</v>
      </c>
    </row>
    <row r="2342" spans="1:5" ht="15" x14ac:dyDescent="0.25">
      <c r="A2342" s="5" t="s">
        <v>6641</v>
      </c>
      <c r="B2342" s="6" t="s">
        <v>6642</v>
      </c>
      <c r="C2342" s="3" t="str">
        <f ca="1">IFERROR(__xludf.DUMMYFUNCTION("GOOGLETRANSLATE(B2342,""auto"",""en"")"),"The training service of the present invention provides terminals include input devices for receiving physical information from the first user; network communication module is used to receive the training action data related to the first exercise selected "&amp;"from the first user; For reference data based on physical information; wearable sensors, wearing the physical body of the first user and detecting the movement of the first user; and the movement and reference of the first user detected by the first user,"&amp;" the detected first user, the detected first user's action and reference Data display, where the training analysis module uses physical information to generate an artificial neural network model, and the reference data for learning artificial neural netwo"&amp;"rk models is generated according to the result. The reference data includes the angle of the spine and thighs of the first user. The hip joint position, and the angle of the knee joint of the first user and the calf. First user. Including any one")</f>
        <v>The training service of the present invention provides terminals include input devices for receiving physical information from the first user; network communication module is used to receive the training action data related to the first exercise selected from the first user; For reference data based on physical information; wearable sensors, wearing the physical body of the first user and detecting the movement of the first user; and the movement and reference of the first user detected by the first user, the detected first user, the detected first user's action and reference Data display, where the training analysis module uses physical information to generate an artificial neural network model, and the reference data for learning artificial neural network models is generated according to the result. The reference data includes the angle of the spine and thighs of the first user. The hip joint position, and the angle of the knee joint of the first user and the calf. First user. Including any one</v>
      </c>
      <c r="D2342" s="6" t="s">
        <v>6643</v>
      </c>
      <c r="E2342" s="4" t="str">
        <f ca="1">IFERROR(__xludf.DUMMYFUNCTION("GOOGLETRANSLATE(D2342,""auto"",""en"")"),"Fitness Center Training Service Provide System")</f>
        <v>Fitness Center Training Service Provide System</v>
      </c>
    </row>
    <row r="2343" spans="1:5" ht="15" x14ac:dyDescent="0.25">
      <c r="A2343" s="5" t="s">
        <v>6644</v>
      </c>
      <c r="B2343" s="6" t="s">
        <v>6645</v>
      </c>
      <c r="C2343" s="3" t="str">
        <f ca="1">IFERROR(__xludf.DUMMYFUNCTION("GOOGLETRANSLATE(B2343,""auto"",""en"")"),"This article describes the methods and systems for refereeing or auxiliary referees used to make baseball or softball games. The position of the hit area is determined according to the video image of the hitter standing next to the home base. The position"&amp;" of the ball moved to the hitter and the position of the strike stick held by the hitter is automatically tracked by a computer vision based on the video image captured by at least two cameras with different positions. In addition, whether the position of"&amp;" the ball is intersecting with the hit area, and whether the hitter really tries to wave the ball into the ball, there is an autonomous judgment, and at least one in these judgments, there is an autonomous judgment whether the ""strike"" or ""ball"". In a"&amp;"ddition, whether to automatically output the instructions of ""hitting"" or ""ball"".")</f>
        <v>This article describes the methods and systems for refereeing or auxiliary referees used to make baseball or softball games. The position of the hit area is determined according to the video image of the hitter standing next to the home base. The position of the ball moved to the hitter and the position of the strike stick held by the hitter is automatically tracked by a computer vision based on the video image captured by at least two cameras with different positions. In addition, whether the position of the ball is intersecting with the hit area, and whether the hitter really tries to wave the ball into the ball, there is an autonomous judgment, and at least one in these judgments, there is an autonomous judgment whether the "strike" or "ball". In addition, whether to automatically output the instructions of "hitting" or "ball".</v>
      </c>
      <c r="D2343" s="6" t="s">
        <v>2652</v>
      </c>
      <c r="E2343" s="4" t="str">
        <f ca="1">IFERROR(__xludf.DUMMYFUNCTION("GOOGLETRANSLATE(D2343,""auto"",""en"")"),"Use a computer vision to automatically or assist the referee on baseball games")</f>
        <v>Use a computer vision to automatically or assist the referee on baseball games</v>
      </c>
    </row>
    <row r="2344" spans="1:5" ht="15" x14ac:dyDescent="0.25">
      <c r="A2344" s="5" t="s">
        <v>6646</v>
      </c>
      <c r="B2344" s="6" t="s">
        <v>6647</v>
      </c>
      <c r="C2344" s="3" t="str">
        <f ca="1">IFERROR(__xludf.DUMMYFUNCTION("GOOGLETRANSLATE(B2344,""auto"",""en"")"),"Enter the user inquiry (for example, the user inquiry processed by the online game system) into a well -trained machine learning model. The machine learning model can predict the candidate language of the user's query, and output the language confidence s"&amp;"core of the candidate language. The user inquiry also related to the storage query data associated with the game information in a single language database in each candidate language. You can determine the matching score according to the certainty of the r"&amp;"esponse matching. The competition score and language confidence score can be weighted to determine the weighted score. The weighted score that responds to the matching of the game information retrieved from the determined database is used to form a respon"&amp;"se to the search results of the user.")</f>
        <v>Enter the user inquiry (for example, the user inquiry processed by the online game system) into a well -trained machine learning model. The machine learning model can predict the candidate language of the user's query, and output the language confidence score of the candidate language. The user inquiry also related to the storage query data associated with the game information in a single language database in each candidate language. You can determine the matching score according to the certainty of the response matching. The competition score and language confidence score can be weighted to determine the weighted score. The weighted score that responds to the matching of the game information retrieved from the determined database is used to form a response to the search results of the user.</v>
      </c>
      <c r="D2344" s="6" t="s">
        <v>4725</v>
      </c>
      <c r="E2344" s="4" t="str">
        <f ca="1">IFERROR(__xludf.DUMMYFUNCTION("GOOGLETRANSLATE(D2344,""auto"",""en"")"),"Online game user input text language detection")</f>
        <v>Online game user input text language detection</v>
      </c>
    </row>
    <row r="2345" spans="1:5" ht="15" x14ac:dyDescent="0.25">
      <c r="A2345" s="5" t="s">
        <v>6648</v>
      </c>
      <c r="B2345" s="6" t="s">
        <v>6649</v>
      </c>
      <c r="C2345" s="3" t="str">
        <f ca="1">IFERROR(__xludf.DUMMYFUNCTION("GOOGLETRANSLATE(B2345,""auto"",""en"")"),"1. The name of the product in appearance: The program control the graphic user interface for the program used for the drum washing camera.
 2. Design products in appearance: It is used to control the operation of washing clothing.
 3. Design of the de"&amp;"sign of the product in this appearance: lies in the product's graphics user interface content.
 4. Pictures or photos that can best show design: Putting big pictures in the main interface.
 5. Rear view, left view, right view, downward view, and the m"&amp;"ain point of viewing the viewing map, omittime view, left view, right view, pult view, upper view.
 6. The purpose of the graphical user interface: The functions of the drum washing machine through human -computer interaction operations.
 7. The area "&amp;"of ​​the graphic user interface in the product: The graphic user interface of the design of the product is located on the drum washing machine panel.
 8. Change state description of the graphic user interface: The main visual interface is amplified as t"&amp;"he interface in the ""cotton and linen"" state in the laundry program. The user can click on the above and below the arrow of the program for the program selection. The arrow below the program in the interface amplification diagram enters the interface in"&amp;" the ""quick washing"" state in the laundry program; the interface changes state Figure 2 is the arrow under the click state change state. The interface in the state; the interface change state Figure 3 is the arrow under the click state change state of t"&amp;"he click interface, enter the interface in the ""wool"" state in the laundry program; The arrow below enters the interface in the ""single drying"" state in the laundry program; the interface change state Figure 5 is the arrow under the click state change"&amp;" status of the click interface. ; The interface change state Figure 6 is the arrow below the program 5 in the clicks of the interface change state to enter the interface in the ""monocular"" state in the laundry program; Enter the interface in the ""down"&amp;""" state in the laundry program; the interface change state Figure 8 is the arrow under the click state change state of the click interface. In order to click the arrow under the program 8 to enter the arrow under the program 8, enter the interface in the"&amp;" ""mixed"" state in the laundry program; The interface in the state of the cradle is soft washing; The arrow below the program in Figure 11 Enter the interface in the ""chemical fiber"" state in the laundry program; The interface below; the interface chan"&amp;"ge state Figure 14 is the arrow under the click state change state of the click interface. The arrow below the program enters the interface in the ""self -cleaning"" state in the laundry program; the interface changes state Figure 16 is the arrow under th"&amp;"e click state change state of the click interface. Interface; interface change state Figure 17 is the arrow under the click state change state in the click interface, enter the interface in the ""shirt washing"" state in the laundry program; Arrow, enter "&amp;"the interface in the ""fitness sports washing"" state in the laundry program; the interface change status diagram 19 is the arrow under the click state change status of the click interface. The interface change state Figure 20 is the ""time"" icon in the "&amp;"click interface change state. 19 to enter the interface displayed by the current washing time. The user can click the ""Time"" icon to select the time; The ""temperature"" icon in Status 19 Enter the interface displayed by the current washing temperature."&amp;" Users can click the ""Temperature"" icon to select the washing temperature again; In the interface of the current washing speed display, users can click the ""speed"" icon to select the speed selection; The user can click the ""Rinse"" icon to choose the"&amp;" drift time again; the interface change state Figure 24 is the ""drying"" icon in the click state change status of the click interface. Drying ""icon to choose from drying time; interface change state Figure 25 is the"" air washing ""icon in the click int"&amp;"erface change state. 19 to enter the interface of time required for air washing. Users can click the"" air washing ""icon again. Select the air washing time; the interface change state Figure 26 is the ""start"" button in the zoom in the main vision inter"&amp;"face to enter the interface of the water inlet state during the washing process; After the state is over, the interface of the drift state is automatically jumped; the interface change state Figure 28 is the interface change state Figure 27 The interface "&amp;"of the dehydration state is automatically jumped to the dehydration state after the rinsing state is over; After the state is over, jump to the interface where the drying state is automatically jumped.")</f>
        <v>1. The name of the product in appearance: The program control the graphic user interface for the program used for the drum washing camera.
 2. Design products in appearance: It is used to control the operation of washing clothing.
 3. Design of the design of the product in this appearance: lies in the product's graphics user interface content.
 4. Pictures or photos that can best show design: Putting big pictures in the main interface.
 5. Rear view, left view, right view, downward view, and the main point of viewing the viewing map, omittime view, left view, right view, pult view, upper view.
 6. The purpose of the graphical user interface: The functions of the drum washing machine through human -computer interaction operations.
 7. The area of ​​the graphic user interface in the product: The graphic user interface of the design of the product is located on the drum washing machine panel.
 8. Change state description of the graphic user interface: The main visual interface is amplified as the interface in the "cotton and linen" state in the laundry program. The user can click on the above and below the arrow of the program for the program selection. The arrow below the program in the interface amplification diagram enters the interface in the "quick washing" state in the laundry program; the interface changes state Figure 2 is the arrow under the click state change state. The interface in the state; the interface change state Figure 3 is the arrow under the click state change state of the click interface, enter the interface in the "wool" state in the laundry program; The arrow below enters the interface in the "single drying" state in the laundry program; the interface change state Figure 5 is the arrow under the click state change status of the click interface. ; The interface change state Figure 6 is the arrow below the program 5 in the clicks of the interface change state to enter the interface in the "monocular" state in the laundry program; Enter the interface in the "down" state in the laundry program; the interface change state Figure 8 is the arrow under the click state change state of the click interface. In order to click the arrow under the program 8 to enter the arrow under the program 8, enter the interface in the "mixed" state in the laundry program; The interface in the state of the cradle is soft washing; The arrow below the program in Figure 11 Enter the interface in the "chemical fiber" state in the laundry program; The interface below; the interface change state Figure 14 is the arrow under the click state change state of the click interface. The arrow below the program enters the interface in the "self -cleaning" state in the laundry program; the interface changes state Figure 16 is the arrow under the click state change state of the click interface. Interface; interface change state Figure 17 is the arrow under the click state change state in the click interface, enter the interface in the "shirt washing" state in the laundry program; Arrow, enter the interface in the "fitness sports washing" state in the laundry program; the interface change status diagram 19 is the arrow under the click state change status of the click interface. The interface change state Figure 20 is the "time" icon in the click interface change state. 19 to enter the interface displayed by the current washing time. The user can click the "Time" icon to select the time; The "temperature" icon in Status 19 Enter the interface displayed by the current washing temperature. Users can click the "Temperature" icon to select the washing temperature again; In the interface of the current washing speed display, users can click the "speed" icon to select the speed selection; The user can click the "Rinse" icon to choose the drift time again; the interface change state Figure 24 is the "drying" icon in the click state change status of the click interface. Drying "icon to choose from drying time; interface change state Figure 25 is the" air washing "icon in the click interface change state. 19 to enter the interface of time required for air washing. Users can click the" air washing "icon again. Select the air washing time; the interface change state Figure 26 is the "start" button in the zoom in the main vision interface to enter the interface of the water inlet state during the washing process; After the state is over, the interface of the drift state is automatically jumped; the interface change state Figure 28 is the interface change state Figure 27 The interface of the dehydration state is automatically jumped to the dehydration state after the rinsing state is over; After the state is over, jump to the interface where the drying state is automatically jumped.</v>
      </c>
      <c r="D2345" s="6" t="s">
        <v>6650</v>
      </c>
      <c r="E2345" s="4" t="str">
        <f ca="1">IFERROR(__xludf.DUMMYFUNCTION("GOOGLETRANSLATE(D2345,""auto"",""en"")"),"Program control graphics user interface for drum washing machine panels")</f>
        <v>Program control graphics user interface for drum washing machine panels</v>
      </c>
    </row>
    <row r="2346" spans="1:5" ht="15" x14ac:dyDescent="0.25">
      <c r="A2346" s="5" t="s">
        <v>6651</v>
      </c>
      <c r="B2346" s="6" t="s">
        <v>6652</v>
      </c>
      <c r="C2346" s="3" t="str">
        <f ca="1">IFERROR(__xludf.DUMMYFUNCTION("GOOGLETRANSLATE(B2346,""auto"",""en"")"),"【Item use】
  This design is a graphical user interface for wearable device dials, such as watches and bracelets, such as watches and bracelets. The graphic user interface of this design is used for human -computer interaction, while running, displa"&amp;"ying information and communication.
  【Design Notes】 
  In the front view of this design, the wearable device dial exposed by a little chain line. Specifically, the color filling part of the grayscale is the dial frame of the wearable device"&amp;", which is designed for the design of the case. In the front view, the graphic in the user interface revealed by the dotted line, namely, numbers, text, and symbols, which are designed for the designed part of the case.
  The graphic user interface"&amp;" of this design is circular in the center of the dial, showing the date, time, weather, power and calories. When wearable devices are induced by the user, the images of motion displayed inside the ring, and the calorie consumption gradually increases.")</f>
        <v>【Item use】
  This design is a graphical user interface for wearable device dials, such as watches and bracelets, such as watches and bracelets. The graphic user interface of this design is used for human -computer interaction, while running, displaying information and communication.
  【Design Notes】 
  In the front view of this design, the wearable device dial exposed by a little chain line. Specifically, the color filling part of the grayscale is the dial frame of the wearable device, which is designed for the design of the case. In the front view, the graphic in the user interface revealed by the dotted line, namely, numbers, text, and symbols, which are designed for the designed part of the case.
  The graphic user interface of this design is circular in the center of the dial, showing the date, time, weather, power and calories. When wearable devices are induced by the user, the images of motion displayed inside the ring, and the calorie consumption gradually increases.</v>
      </c>
      <c r="D2346" s="6" t="s">
        <v>6653</v>
      </c>
      <c r="E2346" s="4" t="str">
        <f ca="1">IFERROR(__xludf.DUMMYFUNCTION("GOOGLETRANSLATE(D2346,""auto"",""en"")"),"Graphical user interface for wearable device dials")</f>
        <v>Graphical user interface for wearable device dials</v>
      </c>
    </row>
    <row r="2347" spans="1:5" ht="15" x14ac:dyDescent="0.25">
      <c r="A2347" s="5" t="s">
        <v>6654</v>
      </c>
      <c r="B2347" s="6" t="s">
        <v>6655</v>
      </c>
      <c r="C2347" s="3" t="str">
        <f ca="1">IFERROR(__xludf.DUMMYFUNCTION("GOOGLETRANSLATE(B2347,""auto"",""en"")"),"An intelligent monitoring system and its monitoring method for training are the face recognition device, behavioral video lens, voice pickup, and hidden image design as an integrated central rearview mirror. The identity authentication is not only used to"&amp;" realize the automatic timing of trainees, but also to manage the situation of students and coaches, and supervise the coach accompaniment in real time; use joint recognition and voice recognition technology to protect the legitimate rights and interests "&amp;"of the trainees; It can be hidden, avoiding the attention of decentralized trainees and affecting driving safety; a set of horizontal gears and a set of vertical gears are installed in the rearview mirror to achieve automatic adjustment of the upper and l"&amp;"ower and left of the central rearview mirror; When the rearview mirror is adjusted, the location of the camera panel is unchanged, and the image is stable.")</f>
        <v>An intelligent monitoring system and its monitoring method for training are the face recognition device, behavioral video lens, voice pickup, and hidden image design as an integrated central rearview mirror. The identity authentication is not only used to realize the automatic timing of trainees, but also to manage the situation of students and coaches, and supervise the coach accompaniment in real time; use joint recognition and voice recognition technology to protect the legitimate rights and interests of the trainees; It can be hidden, avoiding the attention of decentralized trainees and affecting driving safety; a set of horizontal gears and a set of vertical gears are installed in the rearview mirror to achieve automatic adjustment of the upper and lower and left of the central rearview mirror; When the rearview mirror is adjusted, the location of the camera panel is unchanged, and the image is stable.</v>
      </c>
      <c r="D2347" s="6" t="s">
        <v>6656</v>
      </c>
      <c r="E2347" s="4" t="str">
        <f ca="1">IFERROR(__xludf.DUMMYFUNCTION("GOOGLETRANSLATE(D2347,""auto"",""en"")"),"A car intelligent monitoring system and its monitoring method for training")</f>
        <v>A car intelligent monitoring system and its monitoring method for training</v>
      </c>
    </row>
    <row r="2348" spans="1:5" ht="15" x14ac:dyDescent="0.25">
      <c r="A2348" s="5" t="s">
        <v>6657</v>
      </c>
      <c r="B2348" s="6" t="s">
        <v>6658</v>
      </c>
      <c r="C2348" s="3" t="str">
        <f ca="1">IFERROR(__xludf.DUMMYFUNCTION("GOOGLETRANSLATE(B2348,""auto"",""en"")"),"【Item use】
  This design is a graphical user interface for wearable device dials, such as watches and bracelets, such as watches and bracelets. The graphic user interface of this design is used for human -computer interaction, while running, displa"&amp;"ying information and communication.
  【Design Notes】 
  This design is a derivative design of the patent application No. 109302194.
  In the front view of this design, wearable devices and dials exposed by a little chain line are desi"&amp;"gned for the designed part of the case. In the front view, the graphic in the user interface revealed by the dotted line, namely, numbers, text, and symbols, which are designed for the designed part of the case.
  The graphic user interface of this"&amp;" design is circular in the center of the dial, showing the date, time, weather, power and calories. When wearable devices are induced by the user, the images of motion displayed inside the ring, and the calorie consumption gradually increases.")</f>
        <v>【Item use】
  This design is a graphical user interface for wearable device dials, such as watches and bracelets, such as watches and bracelets. The graphic user interface of this design is used for human -computer interaction, while running, displaying information and communication.
  【Design Notes】 
  This design is a derivative design of the patent application No. 109302194.
  In the front view of this design, wearable devices and dials exposed by a little chain line are designed for the designed part of the case. In the front view, the graphic in the user interface revealed by the dotted line, namely, numbers, text, and symbols, which are designed for the designed part of the case.
  The graphic user interface of this design is circular in the center of the dial, showing the date, time, weather, power and calories. When wearable devices are induced by the user, the images of motion displayed inside the ring, and the calorie consumption gradually increases.</v>
      </c>
      <c r="D2348" s="6" t="s">
        <v>6653</v>
      </c>
      <c r="E2348" s="4" t="str">
        <f ca="1">IFERROR(__xludf.DUMMYFUNCTION("GOOGLETRANSLATE(D2348,""auto"",""en"")"),"Graphical user interface for wearable device dials")</f>
        <v>Graphical user interface for wearable device dials</v>
      </c>
    </row>
    <row r="2349" spans="1:5" ht="15" x14ac:dyDescent="0.25">
      <c r="A2349" s="5" t="s">
        <v>6659</v>
      </c>
      <c r="B2349" s="6" t="s">
        <v>6660</v>
      </c>
      <c r="C2349" s="3" t="str">
        <f ca="1">IFERROR(__xludf.DUMMYFUNCTION("GOOGLETRANSLATE(B2349,""auto"",""en"")"),"A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athletes who start the image with the athletes of the athletes to identify the athletes and enter them into the incident without the need for athletes to register a specific event in advance. Enhanced recognitio"&amp;"n technology combined with 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athletes who start the image with the athletes of the athletes to identify the athletes and enter them into the incident without the need for athletes to register a specific event in advance. Enhanced recognition technology combined with mode recognition can be used to improve identity accuracy.</v>
      </c>
      <c r="D2349" s="6" t="s">
        <v>6661</v>
      </c>
      <c r="E2349" s="4" t="str">
        <f ca="1">IFERROR(__xludf.DUMMYFUNCTION("GOOGLETRANSLATE(D2349,""auto"",""en"")"),"A sports event athlete image recognition registration system and method")</f>
        <v>A sports event athlete image recognition registration system and method</v>
      </c>
    </row>
    <row r="2350" spans="1:5" ht="15" x14ac:dyDescent="0.25">
      <c r="A2350" s="5" t="s">
        <v>6662</v>
      </c>
      <c r="B2350" s="6" t="s">
        <v>6663</v>
      </c>
      <c r="C2350" s="3" t="str">
        <f ca="1">IFERROR(__xludf.DUMMYFUNCTION("GOOGLETRANSLATE(B2350,""auto"",""en"")"),"The present invention involves the field of clothing treatment technology, and it provides a method of operationing for clothing treatment equipment, which aims to solve the problem of insufficient existing clothing processing equipment. For this purpose,"&amp;" the operation method of the present invention includes the following steps: obtain the current time; compare the current time and preset time; according to the comparison results of the current time and preset time, selectively remind users to perform fi"&amp;"tness exercise. According to the results of the current time and preset time, the operation of the present invention selectively remind users to perform fitness exercise, which can remind users in time to give fitness exercise, give reasonable exercise su"&amp;"ggestions, so that users can reasonably arrange fitness plans and choose reasonable selection. The fitness method and timely fitness exercise realize the interaction of clothing processing equipment and users, such as voice interaction, making the intelli"&amp;"gent control of clothing processing equipment more humane, meet the needs of users' multiple aspects, and enhance the user experience.")</f>
        <v>The present invention involves the field of clothing treatment technology, and it provides a method of operationing for clothing treatment equipment, which aims to solve the problem of insufficient existing clothing processing equipment. For this purpose, the operation method of the present invention includes the following steps: obtain the current time; compare the current time and preset time; according to the comparison results of the current time and preset time, selectively remind users to perform fitness exercise. According to the results of the current time and preset time, the operation of the present invention selectively remind users to perform fitness exercise, which can remind users in time to give fitness exercise, give reasonable exercise suggestions, so that users can reasonably arrange fitness plans and choose reasonable selection. The fitness method and timely fitness exercise realize the interaction of clothing processing equipment and users, such as voice interaction, making the intelligent control of clothing processing equipment more humane, meet the needs of users' multiple aspects, and enhance the user experience.</v>
      </c>
      <c r="D2350" s="6" t="s">
        <v>6664</v>
      </c>
      <c r="E2350" s="4" t="str">
        <f ca="1">IFERROR(__xludf.DUMMYFUNCTION("GOOGLETRANSLATE(D2350,""auto"",""en"")"),"Used for the operation method of clothing processing equipment")</f>
        <v>Used for the operation method of clothing processing equipment</v>
      </c>
    </row>
    <row r="2351" spans="1:5" ht="15" x14ac:dyDescent="0.25">
      <c r="A2351" s="5" t="s">
        <v>6665</v>
      </c>
      <c r="B2351" s="6" t="s">
        <v>6666</v>
      </c>
      <c r="C2351" s="3" t="str">
        <f ca="1">IFERROR(__xludf.DUMMYFUNCTION("GOOGLETRANSLATE(B2351,""auto"",""en"")"),"One or more embodiments of this instructions provide a smart basketball training system based on the Internet of Things, which involves the field of sports training technology, including: basketball racks consisting of support frames, bases, rebounds, and"&amp;" baskets. Internal installation control terminal, the surface surface of the base is chimeric installation weight scale, which is installed with a displacement sensor in the lower surface of the front surface of the support frame, which is installed on th"&amp;"e inside of the basket Display, face recognition device and acquisition device, which are connected to the client electrical signal through a communication module through a communication module; a smart basketball training system provided by the invention"&amp;". Body index and number of goals, comprehensive evaluation training results.")</f>
        <v>One or more embodiments of this instructions provide a smart basketball training system based on the Internet of Things, which involves the field of sports training technology, including: basketball racks consisting of support frames, bases, rebounds, and baskets. Internal installation control terminal, the surface surface of the base is chimeric installation weight scale, which is installed with a displacement sensor in the lower surface of the front surface of the support frame, which is installed on the inside of the basket Display, face recognition device and acquisition device, which are connected to the client electrical signal through a communication module through a communication module; a smart basketball training system provided by the invention. Body index and number of goals, comprehensive evaluation training results.</v>
      </c>
      <c r="D2351" s="6" t="s">
        <v>6667</v>
      </c>
      <c r="E2351" s="4" t="str">
        <f ca="1">IFERROR(__xludf.DUMMYFUNCTION("GOOGLETRANSLATE(D2351,""auto"",""en"")"),"A smart basketball training system based on the Internet of Things")</f>
        <v>A smart basketball training system based on the Internet of Things</v>
      </c>
    </row>
    <row r="2352" spans="1:5" ht="15" x14ac:dyDescent="0.25">
      <c r="A2352" s="5" t="s">
        <v>6668</v>
      </c>
      <c r="B2352" s="6" t="s">
        <v>6669</v>
      </c>
      <c r="C2352" s="3" t="str">
        <f ca="1">IFERROR(__xludf.DUMMYFUNCTION("GOOGLETRANSLATE(B2352,""auto"",""en"")"),"【Item use】
  This design is a dynamic graphical user interface for wearable device dials, such as watches and bracelets, such as watches and bracelets. The dynamic graphic user interface of this design is used in human -computer interaction, while "&amp;"running programs, display information and communication.
  【Design Notes】 
  In the front view of this design, wearable devices and dials (display panels) exposed by a little chain line (display panel) are specifically speaking. Essence In t"&amp;"he front view, the graphic in the user interface revealed by the dotted line, that is, numbers and text, is the design of the designed part of the case.
  The change of the front view of this design Figure 1 The change of the view of the view of th"&amp;"e front view only shows the dial frame and the display panel. This case does not advocate the design of the design. The change of the front view status Figure 1 to the change of view of the view. The graphic in the user interface exposed by the dotted lin"&amp;"e, the figures and text exposed by the dotted line, is the design of the design of the case.
  The front view shows that the dynamic graphic user interface of this design is applied to wearable devices. The various views revealed by the graphic can"&amp;" be changed from the front view of the front view. Dynamic graphical user interface design of the appearance.
  Specifically, the display date above the display panel and related weather are displayed. The center of the display panel is the relevan"&amp;"t information list. Users can click on the information in the list to view the specific details. The display panel is the control item image component. Users can click the image element for further operation, such as viewing cycling materials, running mat"&amp;"erials, or cardiac information. When the user clicks any information in the display panel, the display panel jump display the information details of the information, presenting the change of the front view state Figure 1 to the change of the state of the "&amp;"front view. Figure 3.
  The color of the dynamic graphical user interface revealed by the graphic is designed by the claim in the case.
  Reference status refer to Figure 1 to usage status. 4 is a schematic diagram of the use status of the w"&amp;"earable device dial.")</f>
        <v>【Item use】
  This design is a dynamic graphical user interface for wearable device dials, such as watches and bracelets, such as watches and bracelets. The dynamic graphic user interface of this design is used in human -computer interaction, while running programs, display information and communication.
  【Design Notes】 
  In the front view of this design, wearable devices and dials (display panels) exposed by a little chain line (display panel) are specifically speaking. Essence In the front view, the graphic in the user interface revealed by the dotted line, that is, numbers and text, is the design of the designed part of the case.
  The change of the front view of this design Figure 1 The change of the view of the view of the front view only shows the dial frame and the display panel. This case does not advocate the design of the design. The change of the front view status Figure 1 to the change of view of the view. The graphic in the user interface exposed by the dotted line, the figures and text exposed by the dotted line, is the design of the design of the case.
  The front view shows that the dynamic graphic user interface of this design is applied to wearable devices. The various views revealed by the graphic can be changed from the front view of the front view. Dynamic graphical user interface design of the appearance.
  Specifically, the display date above the display panel and related weather are displayed. The center of the display panel is the relevant information list. Users can click on the information in the list to view the specific details. The display panel is the control item image component. Users can click the image element for further operation, such as viewing cycling materials, running materials, or cardiac information. When the user clicks any information in the display panel, the display panel jump display the information details of the information, presenting the change of the front view state Figure 1 to the change of the state of the front view. Figure 3.
  The color of the dynamic graphical user interface revealed by the graphic is designed by the claim in the case.
  Reference status refer to Figure 1 to usage status. 4 is a schematic diagram of the use status of the wearable device dial.</v>
      </c>
      <c r="D2352" s="6" t="s">
        <v>6670</v>
      </c>
      <c r="E2352" s="4" t="str">
        <f ca="1">IFERROR(__xludf.DUMMYFUNCTION("GOOGLETRANSLATE(D2352,""auto"",""en"")"),"Dynamic graphical user interface for wearable device dials")</f>
        <v>Dynamic graphical user interface for wearable device dials</v>
      </c>
    </row>
    <row r="2353" spans="1:5" ht="15" x14ac:dyDescent="0.25">
      <c r="A2353" s="5" t="s">
        <v>6671</v>
      </c>
      <c r="B2353" s="6" t="s">
        <v>6672</v>
      </c>
      <c r="C2353" s="3" t="str">
        <f ca="1">IFERROR(__xludf.DUMMYFUNCTION("GOOGLETRANSLATE(B2353,""auto"",""en"")"),"1. Design product name: IoT ball valve actuator.
 2. The purpose of designing products in this exterior: The execution device for controlling and regulating the status of the ball valve.
 3. Design of the design of the product in appearance: lies in t"&amp;"he shape.
 4. Pictures or photos that are best to show design points: stereo drawing 1.")</f>
        <v>1. Design product name: IoT ball valve actuator.
 2. The purpose of designing products in this exterior: The execution device for controlling and regulating the status of the ball valve.
 3. Design of the design of the product in appearance: lies in the shape.
 4. Pictures or photos that are best to show design points: stereo drawing 1.</v>
      </c>
      <c r="D2353" s="6" t="s">
        <v>6673</v>
      </c>
      <c r="E2353" s="4" t="str">
        <f ca="1">IFERROR(__xludf.DUMMYFUNCTION("GOOGLETRANSLATE(D2353,""auto"",""en"")"),"IoT ball valve actuator")</f>
        <v>IoT ball valve actuator</v>
      </c>
    </row>
    <row r="2354" spans="1:5" ht="15" x14ac:dyDescent="0.25">
      <c r="A2354" s="5" t="s">
        <v>6674</v>
      </c>
      <c r="B2354" s="6" t="s">
        <v>6675</v>
      </c>
      <c r="C2354" s="3" t="str">
        <f ca="1">IFERROR(__xludf.DUMMYFUNCTION("GOOGLETRANSLATE(B2354,""auto"",""en"")"),"The invention involves the field of sports equipment, especially a ice hockey training device and evaluation system. Including: one iceball; a training platform, which is moving on the training platform, the training platform includes: a first line; a con"&amp;"nection rod; one glance at the sensor; a central control device; the central control device; The device also includes a human -machine interconnection interface to display the evaluation results. The above technical solutions have the following advantages"&amp;" or beneficial effects: Through this technical solution, it is convenient for athletes to conduct ice hockey training at home. By obtaining the trajectory of the athlete's ice and hockey training and comparing, they can evaluate the training process of th"&amp;"e athletes, so that the athletes to themselves to themselves to themselves The training situation has an intuitive and clear understanding, and then improves the training effect of athletes; this technical solution also has the value of popularization and"&amp;" promotion of entertainment and ice hockey activities.")</f>
        <v>The invention involves the field of sports equipment, especially a ice hockey training device and evaluation system. Including: one iceball; a training platform, which is moving on the training platform, the training platform includes: a first line; a connection rod; one glance at the sensor; a central control device; the central control device; The device also includes a human -machine interconnection interface to display the evaluation results. The above technical solutions have the following advantages or beneficial effects: Through this technical solution, it is convenient for athletes to conduct ice hockey training at home. By obtaining the trajectory of the athlete's ice and hockey training and comparing, they can evaluate the training process of the athletes, so that the athletes to themselves to themselves to themselves The training situation has an intuitive and clear understanding, and then improves the training effect of athletes; this technical solution also has the value of popularization and promotion of entertainment and ice hockey activities.</v>
      </c>
      <c r="D2354" s="6" t="s">
        <v>5882</v>
      </c>
      <c r="E2354" s="4" t="str">
        <f ca="1">IFERROR(__xludf.DUMMYFUNCTION("GOOGLETRANSLATE(D2354,""auto"",""en"")"),"A kind of ice hockey training device and evaluation system")</f>
        <v>A kind of ice hockey training device and evaluation system</v>
      </c>
    </row>
    <row r="2355" spans="1:5" ht="15" x14ac:dyDescent="0.25">
      <c r="A2355" s="5" t="s">
        <v>6676</v>
      </c>
      <c r="B2355" s="6" t="s">
        <v>6677</v>
      </c>
      <c r="C2355" s="3" t="str">
        <f ca="1">IFERROR(__xludf.DUMMYFUNCTION("GOOGLETRANSLATE(B2355,""auto"",""en"")"),"The present invention discloses a method of neural network model prediction to predict the risk of sports injury risk of college men's football players, including the following steps: S1, collecting the basic information data of the subject, functional ac"&amp;"tion evaluation index data; Investigate the injury situation and divide into the damage group and non -damage group; S3, collect the P value between the damage group and the non -injury group, respectively, and use the P value as the standard for determin"&amp;"ing whether the various types of data is screened as the risk factor; S4 The use of damage risk factor as an independent variable and no contact damage as a multi -layer perception model due to variables; S5, using multi -layer perception models to predic"&amp;"t the risk of non -contact injury of college men's football players. The present invention has an effective prediction of the risk of non -contact damage of Chinese men's college student football players, the accuracy rate of 87 % of the diagnosis of non "&amp;"-damaged people, and the accuracy of the diagnosis of the damage is 93.3 %.")</f>
        <v>The present invention discloses a method of neural network model prediction to predict the risk of sports injury risk of college men's football players, including the following steps: S1, collecting the basic information data of the subject, functional action evaluation index data; Investigate the injury situation and divide into the damage group and non -damage group; S3, collect the P value between the damage group and the non -injury group, respectively, and use the P value as the standard for determining whether the various types of data is screened as the risk factor; S4 The use of damage risk factor as an independent variable and no contact damage as a multi -layer perception model due to variables; S5, using multi -layer perception models to predict the risk of non -contact injury of college men's football players. The present invention has an effective prediction of the risk of non -contact damage of Chinese men's college student football players, the accuracy rate of 87 % of the diagnosis of non -damaged people, and the accuracy of the diagnosis of the damage is 93.3 %.</v>
      </c>
      <c r="D2355" s="6" t="s">
        <v>6678</v>
      </c>
      <c r="E2355" s="4" t="str">
        <f ca="1">IFERROR(__xludf.DUMMYFUNCTION("GOOGLETRANSLATE(D2355,""auto"",""en"")"),"The method of neural network model predicting the risk of sports injury risk of college men and men's football players")</f>
        <v>The method of neural network model predicting the risk of sports injury risk of college men and men's football players</v>
      </c>
    </row>
    <row r="2356" spans="1:5" ht="15" x14ac:dyDescent="0.25">
      <c r="A2356" s="5" t="s">
        <v>6679</v>
      </c>
      <c r="B2356" s="6" t="s">
        <v>6680</v>
      </c>
      <c r="C2356" s="3" t="str">
        <f ca="1">IFERROR(__xludf.DUMMYFUNCTION("GOOGLETRANSLATE(B2356,""auto"",""en"")"),"Field: Medicine. Material: The present invention refers to medicine, otolaryngology, and vocal science, which can be used for diagnosis and rehabilitation of patients with patients with diseases. A method is made public, including the test tasks of variou"&amp;"s types of pronunciation in the patient, collect the voice samples of the patient, record the patient's voice sample in the database, and determine the frequency of the voice through Fourier analysis. The neural network determines the network, the obtaine"&amp;"d sound data is associated with the patient diagnosis, and the frequency amplitude characteristics of the voice formation of the voice and voice therapy and the reference voice database of the patient can be recorded. Analyze the frequency-amplitude chara"&amp;"cteristics of the patient, compare the frequency-amplitude characteristics of the sound of patients with voice dysfunction with the frequency-amplitude feature of the sound of patients from the database. Account dependencies s about their voice and rehabi"&amp;"litation frequency-amplitude characteristics. In addition, the patient's rehabilitation procedure is performed using a sports complex, including voice gymnastics, comparing the patient's sound characteristics with its sound characteristics, and the dynami"&amp;"cs of continuous monitoring during the initial diagnosis and rehabilitation exercises. And the reference performance of the record exercise and correct the rehabilitation procedure according to the results of rehabilitation dynamics. Effect: Methods provi"&amp;"de accurate diagnosis, high rehabilitation rate, and treatment success rate and no recurrence. It does not require extra expensive equipment. It can even be implemented with modern telephone devices; the method is not expensive and easy to implement. 1 Cl"&amp;", 1 DWG")</f>
        <v>Field: Medicine. Material: The present invention refers to medicine, otolaryngology, and vocal science, which can be used for diagnosis and rehabilitation of patients with patients with diseases. A method is made public, including the test tasks of various types of pronunciation in the patient, collect the voice samples of the patient, record the patient's voice sample in the database, and determine the frequency of the voice through Fourier analysis. The neural network determines the network, the obtained sound data is associated with the patient diagnosis, and the frequency amplitude characteristics of the voice formation of the voice and voice therapy and the reference voice database of the patient can be recorded. Analyze the frequency-amplitude characteristics of the patient, compare the frequency-amplitude characteristics of the sound of patients with voice dysfunction with the frequency-amplitude feature of the sound of patients from the database. Account dependencies s about their voice and rehabilitation frequency-amplitude characteristics. In addition, the patient's rehabilitation procedure is performed using a sports complex, including voice gymnastics, comparing the patient's sound characteristics with its sound characteristics, and the dynamics of continuous monitoring during the initial diagnosis and rehabilitation exercises. And the reference performance of the record exercise and correct the rehabilitation procedure according to the results of rehabilitation dynamics. Effect: Methods provide accurate diagnosis, high rehabilitation rate, and treatment success rate and no recurrence. It does not require extra expensive equipment. It can even be implemented with modern telephone devices; the method is not expensive and easy to implement. 1 Cl, 1 DWG</v>
      </c>
      <c r="D2356" s="6" t="s">
        <v>6681</v>
      </c>
      <c r="E2356" s="4" t="str">
        <f ca="1">IFERROR(__xludf.DUMMYFUNCTION("GOOGLETRANSLATE(D2356,""auto"",""en"")"),"Diagnosis and rehabilitation of patients with voice dysfunction")</f>
        <v>Diagnosis and rehabilitation of patients with voice dysfunction</v>
      </c>
    </row>
    <row r="2357" spans="1:5" ht="15" x14ac:dyDescent="0.25">
      <c r="A2357" s="5" t="s">
        <v>6682</v>
      </c>
      <c r="B2357" s="6" t="s">
        <v>6683</v>
      </c>
      <c r="C2357" s="3" t="str">
        <f ca="1">IFERROR(__xludf.DUMMYFUNCTION("GOOGLETRANSLATE(B2357,""auto"",""en"")"),"This article describes the systems and methods for achieving dynamic games or competition management platforms. The platform can integrate with the programmatic advertising system and be configured to use basic real -time programmatic advertising informat"&amp;"ion, predict analysis, and/or one or more artificial intelligence (AI) algorithms to dynamically adjust parameters related to games or competitions. The AI ​​algorithm can predict the number of future advertising revenue in a certain period of time in a s"&amp;"pecific time period with historical advertising revenue information and many other advertising revenue prediction factors described herein. Based on this forecast, the competition management platform can be configured to adjust various parameters to dynam"&amp;"ically adjust the game or the game itself and one or more storage models. Essence a period of time.")</f>
        <v>This article describes the systems and methods for achieving dynamic games or competition management platforms. The platform can integrate with the programmatic advertising system and be configured to use basic real -time programmatic advertising information, predict analysis, and/or one or more artificial intelligence (AI) algorithms to dynamically adjust parameters related to games or competitions. The AI ​​algorithm can predict the number of future advertising revenue in a certain period of time in a specific time period with historical advertising revenue information and many other advertising revenue prediction factors described herein. Based on this forecast, the competition management platform can be configured to adjust various parameters to dynamically adjust the game or the game itself and one or more storage models. Essence a period of time.</v>
      </c>
      <c r="D2357" s="6" t="s">
        <v>6684</v>
      </c>
      <c r="E2357" s="4" t="str">
        <f ca="1">IFERROR(__xludf.DUMMYFUNCTION("GOOGLETRANSLATE(D2357,""auto"",""en"")"),"Dynamic game management platform, use prediction analysis to modify the game parameters in real time")</f>
        <v>Dynamic game management platform, use prediction analysis to modify the game parameters in real time</v>
      </c>
    </row>
    <row r="2358" spans="1:5" ht="15" x14ac:dyDescent="0.25">
      <c r="A2358" s="5" t="s">
        <v>6685</v>
      </c>
      <c r="B2358" s="6" t="s">
        <v>6686</v>
      </c>
      <c r="C2358" s="3" t="str">
        <f ca="1">IFERROR(__xludf.DUMMYFUNCTION("GOOGLETRANSLATE(B2358,""auto"",""en"")"),"The present invention disclosed a sports intelligent analysis system and method of sports. Through sports analysis of the terminal, the user's physiological parameters are obtained, and the physiological parameters are uploaded to the cloud server; The sp"&amp;"orts projects matched by the user corresponding to the actual parameters, as well as the extreme exercise of the extreme; push the matching sports project to the sports analysis terminal to obtain the instructions selected by the user; And analysis, and d"&amp;"isplay related sports data. Realize the intelligent monitoring and analysis of the entire process of user sports, and then guide the scientific movement, provide personalized sports suggestions, and improve the user experience.")</f>
        <v>The present invention disclosed a sports intelligent analysis system and method of sports. Through sports analysis of the terminal, the user's physiological parameters are obtained, and the physiological parameters are uploaded to the cloud server; The sports projects matched by the user corresponding to the actual parameters, as well as the extreme exercise of the extreme; push the matching sports project to the sports analysis terminal to obtain the instructions selected by the user; And analysis, and display related sports data. Realize the intelligent monitoring and analysis of the entire process of user sports, and then guide the scientific movement, provide personalized sports suggestions, and improve the user experience.</v>
      </c>
      <c r="D2358" s="6" t="s">
        <v>6687</v>
      </c>
      <c r="E2358" s="4" t="str">
        <f ca="1">IFERROR(__xludf.DUMMYFUNCTION("GOOGLETRANSLATE(D2358,""auto"",""en"")"),"A sports intelligent analysis system and method of sports")</f>
        <v>A sports intelligent analysis system and method of sports</v>
      </c>
    </row>
    <row r="2359" spans="1:5" ht="15" x14ac:dyDescent="0.25">
      <c r="A2359" s="5" t="s">
        <v>6688</v>
      </c>
      <c r="B2359" s="6" t="s">
        <v>6689</v>
      </c>
      <c r="C2359" s="3" t="str">
        <f ca="1">IFERROR(__xludf.DUMMYFUNCTION("GOOGLETRANSLATE(B2359,""auto"",""en"")"),"The present invention discloses a system and method that provides alerts when transmitting digital content. For example, when the interesting digital content is coming, such as the start of the football game, to guide the attention of one or more audience"&amp;"s to the attention of the audience. To digital content. The present invention is also configured as an embedded business news and alert on the focus of the audience. The system is suitable for manual or automatic activation alarm. In addition, the system "&amp;"can be implemented by an artificial intelligence (AI) system. The system uses deep learning to train to identify the appropriate time to automatically trigger the alarm/business message sequence. You can train the AI ​​system by monitoring manual control "&amp;"activated alert.")</f>
        <v>The present invention discloses a system and method that provides alerts when transmitting digital content. For example, when the interesting digital content is coming, such as the start of the football game, to guide the attention of one or more audiences to the attention of the audience. To digital content. The present invention is also configured as an embedded business news and alert on the focus of the audience. The system is suitable for manual or automatic activation alarm. In addition, the system can be implemented by an artificial intelligence (AI) system. The system uses deep learning to train to identify the appropriate time to automatically trigger the alarm/business message sequence. You can train the AI ​​system by monitoring manual control activated alert.</v>
      </c>
      <c r="D2359" s="6" t="s">
        <v>6690</v>
      </c>
      <c r="E2359" s="4" t="str">
        <f ca="1">IFERROR(__xludf.DUMMYFUNCTION("GOOGLETRANSLATE(D2359,""auto"",""en"")"),"Systems and methods for providing alerts when transmitting digital content")</f>
        <v>Systems and methods for providing alerts when transmitting digital content</v>
      </c>
    </row>
    <row r="2360" spans="1:5" ht="15" x14ac:dyDescent="0.25">
      <c r="A2360" s="5" t="s">
        <v>6691</v>
      </c>
      <c r="B2360" s="6" t="s">
        <v>6692</v>
      </c>
      <c r="C2360" s="3" t="str">
        <f ca="1">IFERROR(__xludf.DUMMYFUNCTION("GOOGLETRANSLATE(B2360,""auto"",""en"")"),"The present invention disclosed a method of explaining the explanations of custom sports events for users. It is separated from the sound patterns in the explanatory video, and the sound patterns of individual commentators are shielded according to the us"&amp;"er settings to achieve a better viewing experience. During the extraction of human sound pattern, the audio is divided into division, Fourier transforms, and through deep circulating neural network treatment, the pure human voice time frame is extracted. "&amp;"In the process of identification of the commentator, first of all, from the time frame through the general background model, the maximum post -test estimation is performed according to a specific time frame, and the feature vector of the time frame is ext"&amp;"racted. For a clustering of the eigencies of the time frame, each category is a commentator, and the average value of each category is the identity vector of the commentator to complete the identification and shielding function of the commentator.")</f>
        <v>The present invention disclosed a method of explaining the explanations of custom sports events for users. It is separated from the sound patterns in the explanatory video, and the sound patterns of individual commentators are shielded according to the user settings to achieve a better viewing experience. During the extraction of human sound pattern, the audio is divided into division, Fourier transforms, and through deep circulating neural network treatment, the pure human voice time frame is extracted. In the process of identification of the commentator, first of all, from the time frame through the general background model, the maximum post -test estimation is performed according to a specific time frame, and the feature vector of the time frame is extracted. For a clustering of the eigencies of the time frame, each category is a commentator, and the average value of each category is the identity vector of the commentator to complete the identification and shielding function of the commentator.</v>
      </c>
      <c r="D2360" s="6" t="s">
        <v>6693</v>
      </c>
      <c r="E2360" s="4" t="str">
        <f ca="1">IFERROR(__xludf.DUMMYFUNCTION("GOOGLETRANSLATE(D2360,""auto"",""en"")"),"An enhancement method for self -defined sports events for users")</f>
        <v>An enhancement method for self -defined sports events for users</v>
      </c>
    </row>
    <row r="2361" spans="1:5" ht="15" x14ac:dyDescent="0.25">
      <c r="A2361" s="5" t="s">
        <v>6694</v>
      </c>
      <c r="B2361" s="6" t="s">
        <v>6695</v>
      </c>
      <c r="C2361" s="3" t="str">
        <f ca="1">IFERROR(__xludf.DUMMYFUNCTION("GOOGLETRANSLATE(B2361,""auto"",""en"")"),"A basic auxiliary training system based on Kinect's badminton is a man -machine interaction. The invention has a problem of small applicable scope and low accuracy in order to solve the badminton action guidance system using the DTW algorithm. The inventi"&amp;"on system includes data acquisition modules, action feature extraction and identification modules, and the degree of action standard analysis and guidance module; data acquisition module: use Kinect V2 somatosensory device to monitor real -time monitoring"&amp;" of athletes, collect athletes three -dimensional coordinate data of 25 joint nodes in the whole body of the athletes; action Feature extraction and identification module: establish a standard template; obtain the similarity of the user and the standard t"&amp;"emplate action; analyze and guide module of the degree of action standard: judge the category of the current action of the active action of the user to be measured according to similarity, and then according to the category action technology technology An"&amp;"alysis of the angle of the bone clamping of the evaluation rules analyzes whether the current action of the user currently meets the standard.")</f>
        <v>A basic auxiliary training system based on Kinect's badminton is a man -machine interaction. The invention has a problem of small applicable scope and low accuracy in order to solve the badminton action guidance system using the DTW algorithm. The invention system includes data acquisition modules, action feature extraction and identification modules, and the degree of action standard analysis and guidance module; data acquisition module: use Kinect V2 somatosensory device to monitor real -time monitoring of athletes, collect athletes three -dimensional coordinate data of 25 joint nodes in the whole body of the athletes; action Feature extraction and identification module: establish a standard template; obtain the similarity of the user and the standard template action; analyze and guide module of the degree of action standard: judge the category of the current action of the active action of the user to be measured according to similarity, and then according to the category action technology technology Analysis of the angle of the bone clamping of the evaluation rules analyzes whether the current action of the user currently meets the standard.</v>
      </c>
      <c r="D2361" s="6" t="s">
        <v>6696</v>
      </c>
      <c r="E2361" s="4" t="str">
        <f ca="1">IFERROR(__xludf.DUMMYFUNCTION("GOOGLETRANSLATE(D2361,""auto"",""en"")"),"A basic action auxiliary training system based on Kinect")</f>
        <v>A basic action auxiliary training system based on Kinect</v>
      </c>
    </row>
    <row r="2362" spans="1:5" ht="15" x14ac:dyDescent="0.25">
      <c r="A2362" s="5" t="s">
        <v>6697</v>
      </c>
      <c r="B2362" s="6" t="s">
        <v>6698</v>
      </c>
      <c r="C2362" s="3" t="str">
        <f ca="1">IFERROR(__xludf.DUMMYFUNCTION("GOOGLETRANSLATE(B2362,""auto"",""en"")"),"The invention provides a method of identification and positioning of sports participants and systems. The system includes face recognition subsystems, number plate recognition subsystems, accurate matching and fuzzy matching subsystems, and global matchin"&amp;"g subsystems. Deep learning executor's face recognition; number plate recognition subsystems perform number card recognition based on deep learning, number card recognition subsystem to obtain sports events, identify each image in turn, and use text recog"&amp;"nition to all the number plates contained in the image through text recognition. Saved in the background database, after the number plate recognition subsystem obtains the personal number entered by the sports participants, the image that should be includ"&amp;"ed in this number plate should be extracted and distributed to the user; the precise matching and the fuzzy matching subsystem will accurately match and blur the blurred subsystem The matching is combined to perform the identification of the number plate;"&amp;" the global matching subsystem is based on the global execution of individual face information and the matching of number plate information.")</f>
        <v>The invention provides a method of identification and positioning of sports participants and systems. The system includes face recognition subsystems, number plate recognition subsystems, accurate matching and fuzzy matching subsystems, and global matching subsystems. Deep learning executor's face recognition; number plate recognition subsystems perform number card recognition based on deep learning, number card recognition subsystem to obtain sports events, identify each image in turn, and use text recognition to all the number plates contained in the image through text recognition. Saved in the background database, after the number plate recognition subsystem obtains the personal number entered by the sports participants, the image that should be included in this number plate should be extracted and distributed to the user; the precise matching and the fuzzy matching subsystem will accurately match and blur the blurred subsystem The matching is combined to perform the identification of the number plate; the global matching subsystem is based on the global execution of individual face information and the matching of number plate information.</v>
      </c>
      <c r="D2362" s="6" t="s">
        <v>6699</v>
      </c>
      <c r="E2362" s="4" t="str">
        <f ca="1">IFERROR(__xludf.DUMMYFUNCTION("GOOGLETRANSLATE(D2362,""auto"",""en"")"),"Sports participant recognition and positioning methods, systems and equipment")</f>
        <v>Sports participant recognition and positioning methods, systems and equipment</v>
      </c>
    </row>
    <row r="2363" spans="1:5" ht="15" x14ac:dyDescent="0.25">
      <c r="A2363" s="5" t="s">
        <v>6700</v>
      </c>
      <c r="B2363" s="6" t="s">
        <v>6701</v>
      </c>
      <c r="C2363" s="3" t="str">
        <f ca="1">IFERROR(__xludf.DUMMYFUNCTION("GOOGLETRANSLATE(B2363,""auto"",""en"")"),"This utility model discloses a VR human -machine interactive treadmill, including running platforms, rollers, columns, and human -computer interaction equipment. The direction horizontal parallel frame is erected, the roller is rolled with the running tab"&amp;"le, which can be fixed on the top of the column, which can be fixed on the top of the column. The front part of the platform is opened for the second storage slot for the interactive equipment of the man -machine and machine. When the column flipped to th"&amp;"e horizontal plane, the human -machine interactive equipment can be placed inside the second storage slot. The two sides are used to connect to the bottom card of the column and perform a stop blocking component. A VR human -machine interactive treadmill "&amp;"described in this practical new model can be folded on the running table to facilitate transportation operations, and the user is convenient when installing and use, which can reduce its occupation space.")</f>
        <v>This utility model discloses a VR human -machine interactive treadmill, including running platforms, rollers, columns, and human -computer interaction equipment. The direction horizontal parallel frame is erected, the roller is rolled with the running table, which can be fixed on the top of the column, which can be fixed on the top of the column. The front part of the platform is opened for the second storage slot for the interactive equipment of the man -machine and machine. When the column flipped to the horizontal plane, the human -machine interactive equipment can be placed inside the second storage slot. The two sides are used to connect to the bottom card of the column and perform a stop blocking component. A VR human -machine interactive treadmill described in this practical new model can be folded on the running table to facilitate transportation operations, and the user is convenient when installing and use, which can reduce its occupation space.</v>
      </c>
      <c r="D2363" s="6" t="s">
        <v>6702</v>
      </c>
      <c r="E2363" s="4" t="str">
        <f ca="1">IFERROR(__xludf.DUMMYFUNCTION("GOOGLETRANSLATE(D2363,""auto"",""en"")"),"A VR man -machine interactive treadmill")</f>
        <v>A VR man -machine interactive treadmill</v>
      </c>
    </row>
    <row r="2364" spans="1:5" ht="15" x14ac:dyDescent="0.25">
      <c r="A2364" s="5" t="s">
        <v>6703</v>
      </c>
      <c r="B2364" s="6" t="s">
        <v>6704</v>
      </c>
      <c r="C2364" s="3" t="str">
        <f ca="1">IFERROR(__xludf.DUMMYFUNCTION("GOOGLETRANSLATE(B2364,""auto"",""en"")"),"This application discloses a motion prompt method, device, electronic equipment, and storage medium. It involves the field of image recognition technology. The specific implementation scheme is: obtaining user sports images, and obtaining three -dimension"&amp;"al identification of key points of each limb in the user's motion image. Coordinates; according to the three -dimensional identification coordinates, determine the user actions that match the user's motion image; according to the mapping relationship betw"&amp;"een the user's movement and the key points of the limb, in the identified key points of the limb, screen out the key limb key key points Points; obtain the three -dimensional standard coordinates corresponding to the key points of each target limb and the"&amp;" user's movement; the motion prompts are made according to the difference between the three -dimensional standard coordinates of the target limb key points and the three -dimensional recognition coordinates. This application can make effective movement pr"&amp;"ompts on users during the fitness process of user fitness.")</f>
        <v>This application discloses a motion prompt method, device, electronic equipment, and storage medium. It involves the field of image recognition technology. The specific implementation scheme is: obtaining user sports images, and obtaining three -dimensional identification of key points of each limb in the user's motion image. Coordinates; according to the three -dimensional identification coordinates, determine the user actions that match the user's motion image; according to the mapping relationship between the user's movement and the key points of the limb, in the identified key points of the limb, screen out the key limb key key points Points; obtain the three -dimensional standard coordinates corresponding to the key points of each target limb and the user's movement; the motion prompts are made according to the difference between the three -dimensional standard coordinates of the target limb key points and the three -dimensional recognition coordinates. This application can make effective movement prompts on users during the fitness process of user fitness.</v>
      </c>
      <c r="D2364" s="6" t="s">
        <v>6705</v>
      </c>
      <c r="E2364" s="4" t="str">
        <f ca="1">IFERROR(__xludf.DUMMYFUNCTION("GOOGLETRANSLATE(D2364,""auto"",""en"")"),"Movement method, device, electronic equipment and storage media")</f>
        <v>Movement method, device, electronic equipment and storage media</v>
      </c>
    </row>
    <row r="2365" spans="1:5" ht="15" x14ac:dyDescent="0.25">
      <c r="A2365" s="5" t="s">
        <v>6706</v>
      </c>
      <c r="B2365" s="6" t="s">
        <v>6707</v>
      </c>
      <c r="C2365" s="3" t="str">
        <f ca="1">IFERROR(__xludf.DUMMYFUNCTION("GOOGLETRANSLATE(B2365,""auto"",""en"")"),"The invention disclosed a risk control evaluation system and application of fine chemicals in offline terminals. For the fine chemical industry enterprises, we can build a credit indicator assessment system from 5 dimensions including enterprise operation"&amp;" information, industry evaluation information, and commercial credit information. By building a model management architecture, the business application of credit warnings and tracking verification is to build a model management structure. , To design an o"&amp;"ffline business terminal platform that serves the era of big data and artificial intelligence. The platform integrates advanced technologies such as knowledge reasoning, knowledge maps, and offline business terminals. It uses structured and non -alleviati"&amp;"ng data in the enterprise to establish a risk control relationship evaluation model. It can directly get credit to users through offline business terminals. Its beneficial effects are as follows: The offline terminal and the risk control evaluation system"&amp;" platform integrates the fine chemical industry, and realizes the combination of theory and practice. The specific operation process is convenient, simple, and stable in operating performance. Reduce risk and reduce costs.")</f>
        <v>The invention disclosed a risk control evaluation system and application of fine chemicals in offline terminals. For the fine chemical industry enterprises, we can build a credit indicator assessment system from 5 dimensions including enterprise operation information, industry evaluation information, and commercial credit information. By building a model management architecture, the business application of credit warnings and tracking verification is to build a model management structure. , To design an offline business terminal platform that serves the era of big data and artificial intelligence. The platform integrates advanced technologies such as knowledge reasoning, knowledge maps, and offline business terminals. It uses structured and non -alleviating data in the enterprise to establish a risk control relationship evaluation model. It can directly get credit to users through offline business terminals. Its beneficial effects are as follows: The offline terminal and the risk control evaluation system platform integrates the fine chemical industry, and realizes the combination of theory and practice. The specific operation process is convenient, simple, and stable in operating performance. Reduce risk and reduce costs.</v>
      </c>
      <c r="D2365" s="6" t="s">
        <v>6708</v>
      </c>
      <c r="E2365" s="4" t="str">
        <f ca="1">IFERROR(__xludf.DUMMYFUNCTION("GOOGLETRANSLATE(D2365,""auto"",""en"")"),"A risk control evaluation system and application of offline terminal fusion fine chemicals")</f>
        <v>A risk control evaluation system and application of offline terminal fusion fine chemicals</v>
      </c>
    </row>
    <row r="2366" spans="1:5" ht="15" x14ac:dyDescent="0.25">
      <c r="A2366" s="5" t="s">
        <v>6709</v>
      </c>
      <c r="B2366" s="6" t="s">
        <v>6710</v>
      </c>
      <c r="C2366" s="3" t="str">
        <f ca="1">IFERROR(__xludf.DUMMYFUNCTION("GOOGLETRANSLATE(B2366,""auto"",""en"")"),"The present invention disclosed a prediction method based on graphic convolution networks and long -term memory networks, including the following steps: S1, testing individuals in the video frequency band of the video units of the basketball game, based o"&amp;"n the personal location detected, in space Perform video slices in time, and then send the sliced ​​video into the three -dimensional residual convolution network for feature extraction; S2, build basketball based on the convolutional neural network, the "&amp;"model predicting the model; With long -term memory nerve realization, the prediction of the next unit of the next unit of a basketball video. The present invention defines the new type of diagram convolutional neural network, which can effectively capture"&amp;" the relationship between people and people, effectively consider the important information of the border weight, and use the global characteristics as a model input, so that the model can portray the video characteristics from partial to global to the gl"&amp;"obal portrait. , So as to get a more complete basketball game description, and then effectively predict future goals.")</f>
        <v>The present invention disclosed a prediction method based on graphic convolution networks and long -term memory networks, including the following steps: S1, testing individuals in the video frequency band of the video units of the basketball game, based on the personal location detected, in space Perform video slices in time, and then send the sliced ​​video into the three -dimensional residual convolution network for feature extraction; S2, build basketball based on the convolutional neural network, the model predicting the model; With long -term memory nerve realization, the prediction of the next unit of the next unit of a basketball video. The present invention defines the new type of diagram convolutional neural network, which can effectively capture the relationship between people and people, effectively consider the important information of the border weight, and use the global characteristics as a model input, so that the model can portray the video characteristics from partial to global to the global portrait. , So as to get a more complete basketball game description, and then effectively predict future goals.</v>
      </c>
      <c r="D2366" s="6" t="s">
        <v>6711</v>
      </c>
      <c r="E2366" s="4" t="str">
        <f ca="1">IFERROR(__xludf.DUMMYFUNCTION("GOOGLETRANSLATE(D2366,""auto"",""en"")"),"Event prediction methods based on graphic convolution networks and long -term memory networks")</f>
        <v>Event prediction methods based on graphic convolution networks and long -term memory networks</v>
      </c>
    </row>
    <row r="2367" spans="1:5" ht="15" x14ac:dyDescent="0.25">
      <c r="A2367" s="5" t="s">
        <v>6712</v>
      </c>
      <c r="B2367" s="6" t="s">
        <v>6713</v>
      </c>
      <c r="C2367" s="3" t="str">
        <f ca="1">IFERROR(__xludf.DUMMYFUNCTION("GOOGLETRANSLATE(B2367,""auto"",""en"")"),"1. Design product name: Graphic user interface for smart home equipment management for mobile phones.
 2. Design products in this exterior: for running software and programs.
 3. Design of the design of the product in this exterior: lies in the softwa"&amp;"re graphics user interface displayed in the screen.
 4. Pictures or photos that can best show design points: Figure 1 of the interface change state.
 5. There is no design point, omittime, left view, left view, right view, push -view, viewing view.
"&amp;" 6. The purpose of the graphical user interface: for the management and control of intelligent equipment in smart home systems.
 7. Human -computer interaction method of graphics user interface: The main view is the software login/registration page of t"&amp;"he software; after filling in the account password in the main view, click ""Login"" to get the interface change status Figure 1 and enter the homepage; click the interface change status chart The ""Join Family"" in 1 The pop -up of the ""Family"" informa"&amp;"tion box to fill it. After joining, you can control the smart devices of the corresponding family, as shown in the transformation of the figure interface. , Get the interface change state Figure 3, create a virtual ""family"", for subsequent adding smart "&amp;"devices, the positioning box pops up first; after the ""family"" settings are completed, the interface changes status Figure 4 is obtained; The homepage clicks ""add room"" in the interface change state Figure 4 to obtain the interface change status Figur"&amp;"e 5. This page prompts users to find the smart main control device of ""Frog Smart Switch"" in the real room and scan the QR code of the device; click Interface change state Figure 5 ""Scan and Scan"" option, scan the two -dimensional code on the real fro"&amp;"g smart switch screen, get the interface change state Figure 6 to prompt the user to set Wi‑Fi; click the interface change state figure 6 ""to set Wi to set Wi得Fi ""concluded that the interface change state Figure 7 to make the switch set up to access Wi‑"&amp;"Fi; in the interface change state Figure 7 click"" Configuration ""to get the interface changes. Later, this page is to select the space (room) where the intelligent switch is located. After the interface changes are changed, in any type of space, registe"&amp;"r the electronic switch of the smart switch "", each electronic switch is used as a road output, the control center The connection of the electrical electrical appliances is shown in the state of the interface interface. Electrical appliances; after regis"&amp;"ter the electrical appliances corresponding to the ""electronic switch"", jump back to the interface change state Figure 9, and click ""OK"" in the upper right corner of the interface change state in the upper right corner of the interface. The frog smart"&amp;" switch in it; after accessing the frog smart switch in the same space, the interface change state Figure 11 click ""skip"" and convert to the interface change state Figure 12 to remind the user to access the specific operation of the frog series products"&amp;"; the interface interface; the interface Change status Figure 12 Click ""OK"" to turn to interface change state Figure 13, prompts the registration of smart products, determine the required electronic products, click ""Confirm"" after access; ""After ente"&amp;"ring the interface change state Figure 14, it is prompted to access the device with remote control; click on the interface change state Figure 14 to get the interface changes in the interface. Click on the corresponding TV brand to get the interface chang"&amp;"e state Figure 16 to indicate the user's operation method of accessing the TV; after the pairing is completed, the interface changes are shown in page 17; ""Add later"" to get the room page shown in the interface change state (the space here is the ""bedr"&amp;"oom"" selected by the interface changes in Figure 8); Get the interface change status figure 19; interface change state Figure 18 click ""TV"" in the device bar to get the interface change state figure 20; click ""monitor"" in the interface change status "&amp;"graph In Status Figure 18, ""Voice"", gets the interface change state Figure 22. You can use smart home equipment to separate other ""frog smart switches"" in the family for ""broadcast"" or select a ""frog smart switch"" in the family for ""intercom"" op"&amp;"eration ; Click on the interface change status Figure 22 ""broadcast"" to get the interface change state Figure 23, which can be broadcast indoors; click the interface change status Figure 18 The upper menu icon pops up the menu bar. ; Click the ""bedroom"&amp;""" drop -down arrow in the interface change status. ""Switch the family"" to get the interface change state Figure 26; click the ""enter settings"" of the pull menu bar in the upper right corner of the upper right corner of the interface to get the interf"&amp;"ace changes. For users to register account information, as shown in the interface change status Figure 28.")</f>
        <v>1. Design product name: Graphic user interface for smart home equipment management for mobile phones.
 2. Design products in this exterior: for running software and programs.
 3. Design of the design of the product in this exterior: lies in the software graphics user interface displayed in the screen.
 4. Pictures or photos that can best show design points: Figure 1 of the interface change state.
 5. There is no design point, omittime, left view, left view, right view, push -view, viewing view.
 6. The purpose of the graphical user interface: for the management and control of intelligent equipment in smart home systems.
 7. Human -computer interaction method of graphics user interface: The main view is the software login/registration page of the software; after filling in the account password in the main view, click "Login" to get the interface change status Figure 1 and enter the homepage; click the interface change status chart The "Join Family" in 1 The pop -up of the "Family" information box to fill it. After joining, you can control the smart devices of the corresponding family, as shown in the transformation of the figure interface. , Get the interface change state Figure 3, create a virtual "family", for subsequent adding smart devices, the positioning box pops up first; after the "family" settings are completed, the interface changes status Figure 4 is obtained; The homepage clicks "add room" in the interface change state Figure 4 to obtain the interface change status Figure 5. This page prompts users to find the smart main control device of "Frog Smart Switch" in the real room and scan the QR code of the device; click Interface change state Figure 5 "Scan and Scan" option, scan the two -dimensional code on the real frog smart switch screen, get the interface change state Figure 6 to prompt the user to set Wi‑Fi; click the interface change state figure 6 "to set Wi to set Wi得Fi "concluded that the interface change state Figure 7 to make the switch set up to access Wi‑Fi; in the interface change state Figure 7 click" Configuration "to get the interface changes. Later, this page is to select the space (room) where the intelligent switch is located. After the interface changes are changed, in any type of space, register the electronic switch of the smart switch ", each electronic switch is used as a road output, the control center The connection of the electrical electrical appliances is shown in the state of the interface interface. Electrical appliances; after register the electrical appliances corresponding to the "electronic switch", jump back to the interface change state Figure 9, and click "OK" in the upper right corner of the interface change state in the upper right corner of the interface. The frog smart switch in it; after accessing the frog smart switch in the same space, the interface change state Figure 11 click "skip" and convert to the interface change state Figure 12 to remind the user to access the specific operation of the frog series products; the interface interface; the interface Change status Figure 12 Click "OK" to turn to interface change state Figure 13, prompts the registration of smart products, determine the required electronic products, click "Confirm" after access; "After entering the interface change state Figure 14, it is prompted to access the device with remote control; click on the interface change state Figure 14 to get the interface changes in the interface. Click on the corresponding TV brand to get the interface change state Figure 16 to indicate the user's operation method of accessing the TV; after the pairing is completed, the interface changes are shown in page 17; "Add later" to get the room page shown in the interface change state (the space here is the "bedroom" selected by the interface changes in Figure 8); Get the interface change status figure 19; interface change state Figure 18 click "TV" in the device bar to get the interface change state figure 20; click "monitor" in the interface change status graph In Status Figure 18, "Voice", gets the interface change state Figure 22. You can use smart home equipment to separate other "frog smart switches" in the family for "broadcast" or select a "frog smart switch" in the family for "intercom" operation ; Click on the interface change status Figure 22 "broadcast" to get the interface change state Figure 23, which can be broadcast indoors; click the interface change status Figure 18 The upper menu icon pops up the menu bar. ; Click the "bedroom" drop -down arrow in the interface change status. "Switch the family" to get the interface change state Figure 26; click the "enter settings" of the pull menu bar in the upper right corner of the upper right corner of the interface to get the interface changes. For users to register account information, as shown in the interface change status Figure 28.</v>
      </c>
      <c r="D2367" s="6" t="s">
        <v>6714</v>
      </c>
      <c r="E2367" s="4" t="str">
        <f ca="1">IFERROR(__xludf.DUMMYFUNCTION("GOOGLETRANSLATE(D2367,""auto"",""en"")"),"Graphical user interface for smart home equipment management for mobile phones")</f>
        <v>Graphical user interface for smart home equipment management for mobile phones</v>
      </c>
    </row>
    <row r="2368" spans="1:5" ht="15" x14ac:dyDescent="0.25">
      <c r="A2368" s="5" t="s">
        <v>6715</v>
      </c>
      <c r="B2368" s="6" t="s">
        <v>6716</v>
      </c>
      <c r="C2368" s="3" t="str">
        <f ca="1">IFERROR(__xludf.DUMMYFUNCTION("GOOGLETRANSLATE(B2368,""auto"",""en"")"),"Virtual interactive coach operated by the graphic user interface of the computing device and the relevant computing system. This includes interactive problems to users to obtain the input of relevant users' simplified data, financial data, financial goals"&amp;" and other related information. The system uses artificial intelligence algorithms to identify the most related issues and action items to be presented to each user.")</f>
        <v>Virtual interactive coach operated by the graphic user interface of the computing device and the relevant computing system. This includes interactive problems to users to obtain the input of relevant users' simplified data, financial data, financial goals and other related information. The system uses artificial intelligence algorithms to identify the most related issues and action items to be presented to each user.</v>
      </c>
      <c r="D2368" s="6" t="s">
        <v>6717</v>
      </c>
      <c r="E2368" s="4" t="str">
        <f ca="1">IFERROR(__xludf.DUMMYFUNCTION("GOOGLETRANSLATE(D2368,""auto"",""en"")"),"Interactive counseling interface")</f>
        <v>Interactive counseling interface</v>
      </c>
    </row>
    <row r="2369" spans="1:5" ht="15" x14ac:dyDescent="0.25">
      <c r="A2369" s="5" t="s">
        <v>6718</v>
      </c>
      <c r="B2369" s="6" t="s">
        <v>6719</v>
      </c>
      <c r="C2369" s="3" t="str">
        <f ca="1">IFERROR(__xludf.DUMMYFUNCTION("GOOGLETRANSLATE(B2369,""auto"",""en"")"),"A game monitoring system on the game venue desk, including at least one camera to capture the image of the game surface; the calculation device communicates with at least one camera. The machine learning process is used to identify the game objects, game "&amp;"events and players in the image captured image.")</f>
        <v>A game monitoring system on the game venue desk, including at least one camera to capture the image of the game surface; the calculation device communicates with at least one camera. The machine learning process is used to identify the game objects, game events and players in the image captured image.</v>
      </c>
      <c r="D2369" s="6" t="s">
        <v>6720</v>
      </c>
      <c r="E2369" s="4" t="str">
        <f ca="1">IFERROR(__xludf.DUMMYFUNCTION("GOOGLETRANSLATE(D2369,""auto"",""en"")"),"Monitor the system and method of the game game on the gambling place")</f>
        <v>Monitor the system and method of the game game on the gambling place</v>
      </c>
    </row>
    <row r="2370" spans="1:5" ht="15" x14ac:dyDescent="0.25">
      <c r="A2370" s="5" t="s">
        <v>6721</v>
      </c>
      <c r="B2370" s="6" t="s">
        <v>6722</v>
      </c>
      <c r="C2370" s="3" t="str">
        <f ca="1">IFERROR(__xludf.DUMMYFUNCTION("GOOGLETRANSLATE(B2370,""auto"",""en"")"),"This application disclosed a virtual racing control method and device, storage medium and device based on artificial intelligence. The method executed by the terminal uses the client logged in with the first account, and controls the first virtual car tha"&amp;"t controls the first account to move on the virtual map of a round of high -speed racing games. When the first virtual car collides with the second one, The virtual racing on the virtual map shows the durability value of the second virtual car to the clie"&amp;"nt, and the durability value of the second virtual car is lower than the predetermined threshold. The condition is that the second or first virtual car must run to the scheduled target. There is no need to complete a round of speed games, and the second d"&amp;"esk to improve the virtual game of the second desk to complete this round of virtual games.")</f>
        <v>This application disclosed a virtual racing control method and device, storage medium and device based on artificial intelligence. The method executed by the terminal uses the client logged in with the first account, and controls the first virtual car that controls the first account to move on the virtual map of a round of high -speed racing games. When the first virtual car collides with the second one, The virtual racing on the virtual map shows the durability value of the second virtual car to the client, and the durability value of the second virtual car is lower than the predetermined threshold. The condition is that the second or first virtual car must run to the scheduled target. There is no need to complete a round of speed games, and the second desk to improve the virtual game of the second desk to complete this round of virtual games.</v>
      </c>
      <c r="D2370" s="6" t="s">
        <v>6723</v>
      </c>
      <c r="E2370" s="4" t="str">
        <f ca="1">IFERROR(__xludf.DUMMYFUNCTION("GOOGLETRANSLATE(D2370,""auto"",""en"")"),"Virtual racing control method and device, device and computer program")</f>
        <v>Virtual racing control method and device, device and computer program</v>
      </c>
    </row>
    <row r="2371" spans="1:5" ht="15" x14ac:dyDescent="0.25">
      <c r="A2371" s="5" t="s">
        <v>6724</v>
      </c>
      <c r="B2371" s="6" t="s">
        <v>6725</v>
      </c>
      <c r="C2371" s="3" t="str">
        <f ca="1">IFERROR(__xludf.DUMMYFUNCTION("GOOGLETRANSLATE(B2371,""auto"",""en"")"),"The present invention disclosed a training platform based on artificial intelligence -based vocational skills competition, including: user unit, competition training unit, detection unit, data service unit, artificial intelligence service unit, and cloud "&amp;"service platform unit. The present invention aims to provide a set of methods for training content, learner ability tracking and path intelligent planning through task game -type breakthrough mode and artificial intelligence analysis. The teacher does not"&amp;" have a unified training mode and training system.")</f>
        <v>The present invention disclosed a training platform based on artificial intelligence -based vocational skills competition, including: user unit, competition training unit, detection unit, data service unit, artificial intelligence service unit, and cloud service platform unit. The present invention aims to provide a set of methods for training content, learner ability tracking and path intelligent planning through task game -type breakthrough mode and artificial intelligence analysis. The teacher does not have a unified training mode and training system.</v>
      </c>
      <c r="D2371" s="6" t="s">
        <v>6726</v>
      </c>
      <c r="E2371" s="4" t="str">
        <f ca="1">IFERROR(__xludf.DUMMYFUNCTION("GOOGLETRANSLATE(D2371,""auto"",""en"")"),"An artificial intelligence -based vocational skills competition training platform")</f>
        <v>An artificial intelligence -based vocational skills competition training platform</v>
      </c>
    </row>
    <row r="2372" spans="1:5" ht="15" x14ac:dyDescent="0.25">
      <c r="A2372" s="5" t="s">
        <v>6727</v>
      </c>
      <c r="B2372" s="6" t="s">
        <v>6728</v>
      </c>
      <c r="C2372" s="3" t="str">
        <f ca="1">IFERROR(__xludf.DUMMYFUNCTION("GOOGLETRANSLATE(B2372,""auto"",""en"")"),"1. The name of the product in appearance: a display screen panel with a replacement graphic user interface.
 2. Design products in this exterior: for running programs and communication.
 3. Design of the design of the product in this exterior: lies in"&amp;" the graphic user interface content in the screen. The displayed carrier equipment is designed for the existing design, and other surfaces do not involve design points.
 The display screen panel is used in mobile phones, tablets, tablet -type computers,"&amp;" TVs, and trial installations.
 4. Pictures or photos that can best show design points: Design 1 interface change status diagram.
 5. Most design, omitting the design of the design, left view, right view, downward view, and view view of each design of"&amp;" this design.
 6. Specify design 1 is the basic design.
 7. The purpose of the graphic user interface: The interface of the product design product is used to provide an AR dressing interaction. When the user walks in front of the design of the product"&amp;", it is Dresses, ball uniforms, long skirts, etc. These clothes are the clothes that have completed three -dimensional models. At the same time, the user three -dimensional model is established to replace the face of the basic three -dimensional model to "&amp;"the user's face and display it on the screen. Establish a good, and facilitate users to view and experience the trial effect in real time.
 Human -machine interaction method: As shown in each view of design 1 ~ Design 3, when the user clicks icons such "&amp;"as clothing, jewelry or shoes on the left side of the interface, the replacement effect is displayed on the right side of the interface.
 In addition, different clothes match different dressing movements. You need to make a prescribed dressing action ac"&amp;"cording to the user's choice to make the clothes fit with the user's body image.
 For example, the dress corresponding to the dress corresponds to the dress. If the user needs to extend the left arm first, the clothes are fitted to the left arm, and the"&amp;"n the user extends out of the right arm, the dress is fitted to the right arm, and the overall fits the user to the user as a whole to the user. On the body.
 Then, when three -dimensional clothes and three -dimensional users are fitted, when the user's"&amp;" waist, arm circumference, and leg thickness exceed the optimal value, the actual effect and optimal effect (A2 box) are displayed at the same time on the interface, and the left side of the interface is displayed on the left side of the interface. Recomm"&amp;"ended test results and fitness sports information content (A1, B, C boxes), and QR codes (D box) of related apps.")</f>
        <v>1. The name of the product in appearance: a display screen panel with a replacement graphic user interface.
 2. Design products in this exterior: for running programs and communication.
 3. Design of the design of the product in this exterior: lies in the graphic user interface content in the screen. The displayed carrier equipment is designed for the existing design, and other surfaces do not involve design points.
 The display screen panel is used in mobile phones, tablets, tablet -type computers, TVs, and trial installations.
 4. Pictures or photos that can best show design points: Design 1 interface change status diagram.
 5. Most design, omitting the design of the design, left view, right view, downward view, and view view of each design of this design.
 6. Specify design 1 is the basic design.
 7. The purpose of the graphic user interface: The interface of the product design product is used to provide an AR dressing interaction. When the user walks in front of the design of the product, it is Dresses, ball uniforms, long skirts, etc. These clothes are the clothes that have completed three -dimensional models. At the same time, the user three -dimensional model is established to replace the face of the basic three -dimensional model to the user's face and display it on the screen. Establish a good, and facilitate users to view and experience the trial effect in real time.
 Human -machine interaction method: As shown in each view of design 1 ~ Design 3, when the user clicks icons such as clothing, jewelry or shoes on the left side of the interface, the replacement effect is displayed on the right side of the interface.
 In addition, different clothes match different dressing movements. You need to make a prescribed dressing action according to the user's choice to make the clothes fit with the user's body image.
 For example, the dress corresponding to the dress corresponds to the dress. If the user needs to extend the left arm first, the clothes are fitted to the left arm, and then the user extends out of the right arm, the dress is fitted to the right arm, and the overall fits the user to the user as a whole to the user. On the body.
 Then, when three -dimensional clothes and three -dimensional users are fitted, when the user's waist, arm circumference, and leg thickness exceed the optimal value, the actual effect and optimal effect (A2 box) are displayed at the same time on the interface, and the left side of the interface is displayed on the left side of the interface. Recommended test results and fitness sports information content (A1, B, C boxes), and QR codes (D box) of related apps.</v>
      </c>
      <c r="D2372" s="6" t="s">
        <v>6729</v>
      </c>
      <c r="E2372" s="4" t="str">
        <f ca="1">IFERROR(__xludf.DUMMYFUNCTION("GOOGLETRANSLATE(D2372,""auto"",""en"")"),"The display screen panel with a replacement graphical user interface")</f>
        <v>The display screen panel with a replacement graphical user interface</v>
      </c>
    </row>
    <row r="2373" spans="1:5" ht="15" x14ac:dyDescent="0.25">
      <c r="A2373" s="5" t="s">
        <v>6730</v>
      </c>
      <c r="B2373" s="6" t="s">
        <v>4915</v>
      </c>
      <c r="C2373" s="3" t="str">
        <f ca="1">IFERROR(__xludf.DUMMYFUNCTION("GOOGLETRANSLATE(B2373,""auto"",""en"")"),"This application provides a running posture detection method and wearable device, which is applied to the field of artificial intelligence and human -computer interaction. This method includes: During the use of the user's left foot wearing equipment runn"&amp;"ing, the wearable device detects the first running postal parameter of the user's left foot; The state in the middle; or, during the process of running the right foot wearing equipment running, the wearable device detects the second running parameter of t"&amp;"he user's right foot; Status during running; determine the user's balance according to the first running parameter parameter and the second running parameter; according to the balance, determine whether the user's running posture is correct. In this metho"&amp;"d, wearable devices can evaluate the user's running posture to guide the user's correct and healthy running.")</f>
        <v>This application provides a running posture detection method and wearable device, which is applied to the field of artificial intelligence and human -computer interaction. This method includes: During the use of the user's left foot wearing equipment running, the wearable device detects the first running postal parameter of the user's left foot; The state in the middle; or, during the process of running the right foot wearing equipment running, the wearable device detects the second running parameter of the user's right foot; Status during running; determine the user's balance according to the first running parameter parameter and the second running parameter; according to the balance, determine whether the user's running posture is correct. In this method, wearable devices can evaluate the user's running posture to guide the user's correct and healthy running.</v>
      </c>
      <c r="D2373" s="6" t="s">
        <v>4916</v>
      </c>
      <c r="E2373" s="4" t="str">
        <f ca="1">IFERROR(__xludf.DUMMYFUNCTION("GOOGLETRANSLATE(D2373,""auto"",""en"")"),"A running posture detection method and wearable equipment")</f>
        <v>A running posture detection method and wearable equipment</v>
      </c>
    </row>
    <row r="2374" spans="1:5" ht="15" x14ac:dyDescent="0.25">
      <c r="A2374" s="5" t="s">
        <v>6731</v>
      </c>
      <c r="B2374" s="6" t="s">
        <v>4915</v>
      </c>
      <c r="C2374" s="3" t="str">
        <f ca="1">IFERROR(__xludf.DUMMYFUNCTION("GOOGLETRANSLATE(B2374,""auto"",""en"")"),"This application provides a running posture detection method and wearable device, which is applied to the field of artificial intelligence and human -computer interaction. This method includes: During the use of the user's left foot wearing equipment runn"&amp;"ing, the wearable device detects the first running postal parameter of the user's left foot; The state in the middle; or, during the process of running the right foot wearing equipment running, the wearable device detects the second running parameter of t"&amp;"he user's right foot; Status during running; determine the user's balance according to the first running parameter parameter and the second running parameter; according to the balance, determine whether the user's running posture is correct. In this metho"&amp;"d, wearable devices can evaluate the user's running posture to guide the user's correct and healthy running.")</f>
        <v>This application provides a running posture detection method and wearable device, which is applied to the field of artificial intelligence and human -computer interaction. This method includes: During the use of the user's left foot wearing equipment running, the wearable device detects the first running postal parameter of the user's left foot; The state in the middle; or, during the process of running the right foot wearing equipment running, the wearable device detects the second running parameter of the user's right foot; Status during running; determine the user's balance according to the first running parameter parameter and the second running parameter; according to the balance, determine whether the user's running posture is correct. In this method, wearable devices can evaluate the user's running posture to guide the user's correct and healthy running.</v>
      </c>
      <c r="D2374" s="6" t="s">
        <v>4916</v>
      </c>
      <c r="E2374" s="4" t="str">
        <f ca="1">IFERROR(__xludf.DUMMYFUNCTION("GOOGLETRANSLATE(D2374,""auto"",""en"")"),"A running posture detection method and wearable equipment")</f>
        <v>A running posture detection method and wearable equipment</v>
      </c>
    </row>
    <row r="2375" spans="1:5" ht="15" x14ac:dyDescent="0.25">
      <c r="A2375" s="5" t="s">
        <v>6732</v>
      </c>
      <c r="B2375" s="6" t="s">
        <v>6733</v>
      </c>
      <c r="C2375" s="3" t="str">
        <f ca="1">IFERROR(__xludf.DUMMYFUNCTION("GOOGLETRANSLATE(B2375,""auto"",""en"")"),"A system and method for computer implementation for vocal training. Measure and evaluate the user's voice. It also obtains the personalized attributes of users, including the user's goals.基于用户语音的测量方面和获取的用户属性(基于用户报告数据、机械评估和/或人工智能确定的分析的组合),(1) 生成关于用户的报告(2) "&amp;"针对用户的声音、发声能力、 Sound comfort zone boundary and user goals, provides users with personalized feedback, courses, and vocal practices in a scientific way, forming a virtual vocal coach. Technology and goals can be provided to users in real time, and/or to gen"&amp;"erate new exercises and training. By continuously measured and scoring the progress of users, a continuous overall voice strategy is generated to help users achieve their continuous sound development goals.")</f>
        <v>A system and method for computer implementation for vocal training. Measure and evaluate the user's voice. It also obtains the personalized attributes of users, including the user's goals.基于用户语音的测量方面和获取的用户属性(基于用户报告数据、机械评估和/或人工智能确定的分析的组合),(1) 生成关于用户的报告(2) 针对用户的声音、发声能力、 Sound comfort zone boundary and user goals, provides users with personalized feedback, courses, and vocal practices in a scientific way, forming a virtual vocal coach. Technology and goals can be provided to users in real time, and/or to generate new exercises and training. By continuously measured and scoring the progress of users, a continuous overall voice strategy is generated to help users achieve their continuous sound development goals.</v>
      </c>
      <c r="D2375" s="6" t="s">
        <v>6734</v>
      </c>
      <c r="E2375" s="4" t="str">
        <f ca="1">IFERROR(__xludf.DUMMYFUNCTION("GOOGLETRANSLATE(D2375,""auto"",""en"")"),"Vocal training system and method")</f>
        <v>Vocal training system and method</v>
      </c>
    </row>
    <row r="2376" spans="1:5" ht="15" x14ac:dyDescent="0.25">
      <c r="A2376" s="5" t="s">
        <v>6735</v>
      </c>
      <c r="B2376" s="6" t="s">
        <v>6736</v>
      </c>
      <c r="C2376" s="3" t="str">
        <f ca="1">IFERROR(__xludf.DUMMYFUNCTION("GOOGLETRANSLATE(B2376,""auto"",""en"")"),"This utility model opens up a 5G technology -based IoT display device in the Internet of Things display equipment technology, including the shell, display and keys. The above screen is equipped with a magnetic bar reader, one side of the shell is set. The"&amp;"re are fingerprint recognition and scan buttons. On the other side of the shell, there is a charging interface and a USB interface. The back of the shell is a barcode scanner, a camera, and an RFID identification device. The useful new type of useful new "&amp;"type is that it is a multi -functional Internet of Things display device, which is equipped with a magnetic strip reader, fingerprint recognition, barcode scanner, camera, and RFID identification device. The needs of users, the collection information is s"&amp;"imple and easy to query and monitor; the use of 5G interconnection to achieve long -distance rapid transmission, eliminating the use of network cable transmission information to save costs. The Internet of Things shows that the appearance of the device is"&amp;" simple, the overall operation is comfortable, and the user experience is good.")</f>
        <v>This utility model opens up a 5G technology -based IoT display device in the Internet of Things display equipment technology, including the shell, display and keys. The above screen is equipped with a magnetic bar reader, one side of the shell is set. There are fingerprint recognition and scan buttons. On the other side of the shell, there is a charging interface and a USB interface. The back of the shell is a barcode scanner, a camera, and an RFID identification device. The useful new type of useful new type is that it is a multi -functional Internet of Things display device, which is equipped with a magnetic strip reader, fingerprint recognition, barcode scanner, camera, and RFID identification device. The needs of users, the collection information is simple and easy to query and monitor; the use of 5G interconnection to achieve long -distance rapid transmission, eliminating the use of network cable transmission information to save costs. The Internet of Things shows that the appearance of the device is simple, the overall operation is comfortable, and the user experience is good.</v>
      </c>
      <c r="D2376" s="6" t="s">
        <v>6737</v>
      </c>
      <c r="E2376" s="4" t="str">
        <f ca="1">IFERROR(__xludf.DUMMYFUNCTION("GOOGLETRANSLATE(D2376,""auto"",""en"")"),"A 5G technology -based IoT display device")</f>
        <v>A 5G technology -based IoT display device</v>
      </c>
    </row>
    <row r="2377" spans="1:5" ht="15" x14ac:dyDescent="0.25">
      <c r="A2377" s="5" t="s">
        <v>6738</v>
      </c>
      <c r="B2377" s="6" t="s">
        <v>5117</v>
      </c>
      <c r="C2377" s="3" t="str">
        <f ca="1">IFERROR(__xludf.DUMMYFUNCTION("GOOGLETRANSLATE(B2377,""auto"",""en"")"),"A system that uses artificial intelligence analysis of advertising in sports videos. Advertising analysis system estimates the area ratio of the ground area in sports images, calculates the height of the object detected in sports images, and determines th"&amp;"e scenario of sports images. According to the advertising area in the advertising area, the advertising images detected in the generated advertising area are classified according to the advertising type of the advertising area, and whether the category of"&amp;" advertising images correspond to the official advertising and advertising effect analysis module calculation module is determined in real time. The cumulative exposure time, cumulative exposure and effect of advertising images are used as the analysis re"&amp;"sults, and the analysis results are displayed in real time in sports videos.")</f>
        <v>A system that uses artificial intelligence analysis of advertising in sports videos. Advertising analysis system estimates the area ratio of the ground area in sports images, calculates the height of the object detected in sports images, and determines the scenario of sports images. According to the advertising area in the advertising area, the advertising images detected in the generated advertising area are classified according to the advertising type of the advertising area, and whether the category of advertising images correspond to the official advertising and advertising effect analysis module calculation module is determined in real time. The cumulative exposure time, cumulative exposure and effect of advertising images are used as the analysis results, and the analysis results are displayed in real time in sports videos.</v>
      </c>
      <c r="D2377" s="6" t="s">
        <v>5118</v>
      </c>
      <c r="E2377" s="4" t="str">
        <f ca="1">IFERROR(__xludf.DUMMYFUNCTION("GOOGLETRANSLATE(D2377,""auto"",""en"")"),"Sports video advertising analysis system and analysis method based on artificial intelligence")</f>
        <v>Sports video advertising analysis system and analysis method based on artificial intelligence</v>
      </c>
    </row>
    <row r="2378" spans="1:5" ht="15" x14ac:dyDescent="0.25">
      <c r="A2378" s="5" t="s">
        <v>6739</v>
      </c>
      <c r="B2378" s="6" t="s">
        <v>6740</v>
      </c>
      <c r="C2378" s="3" t="str">
        <f ca="1">IFERROR(__xludf.DUMMYFUNCTION("GOOGLETRANSLATE(B2378,""auto"",""en"")"),"The devices provided by the present invention include a communication module for communication, the storage module of the coach rating information of each coach for each coach who stores multiple coaches, and the coaching course request from the first use"&amp;"r device through the communication module. 1 When receiving the user's push rod image, including the image extraction unit, it is used to extract the reading image of the first user from the first user's pushing rod image from the first user, and multiple"&amp;" layers composed of multiple operations. , An artificial neural network, for a user's reading image, by performing multiple calculations of the application of the input image application right, the output of the push rod posture of the first user belongs "&amp;"to each one in multiple irregular posture types. The probability. Enter; according to the probability of each type of irregular posture type, determine the type of incorrect posture, and refer to the coach to export the list of recommendation coaches, whi"&amp;"ch is used to recommend coach scoring information that is suitable for determined incorrect posture types, as well as exported exported It is recommended to include the coaching course providing unit, which is used to transmit the coach list to the first "&amp;"user device through a communication module.")</f>
        <v>The devices provided by the present invention include a communication module for communication, the storage module of the coach rating information of each coach for each coach who stores multiple coaches, and the coaching course request from the first user device through the communication module. 1 When receiving the user's push rod image, including the image extraction unit, it is used to extract the reading image of the first user from the first user's pushing rod image from the first user, and multiple layers composed of multiple operations. , An artificial neural network, for a user's reading image, by performing multiple calculations of the application of the input image application right, the output of the push rod posture of the first user belongs to each one in multiple irregular posture types. The probability. Enter; according to the probability of each type of irregular posture type, determine the type of incorrect posture, and refer to the coach to export the list of recommendation coaches, which is used to recommend coach scoring information that is suitable for determined incorrect posture types, as well as exported exported It is recommended to include the coaching course providing unit, which is used to transmit the coach list to the first user device through a communication module.</v>
      </c>
      <c r="D2378" s="6" t="s">
        <v>6741</v>
      </c>
      <c r="E2378" s="4" t="str">
        <f ca="1">IFERROR(__xludf.DUMMYFUNCTION("GOOGLETRANSLATE(D2378,""auto"",""en"")"),"The device and method of providing golf coaching services")</f>
        <v>The device and method of providing golf coaching services</v>
      </c>
    </row>
    <row r="2379" spans="1:5" ht="15" x14ac:dyDescent="0.25">
      <c r="A2379" s="5" t="s">
        <v>6742</v>
      </c>
      <c r="B2379" s="6" t="s">
        <v>6743</v>
      </c>
      <c r="C2379" s="3" t="str">
        <f ca="1">IFERROR(__xludf.DUMMYFUNCTION("GOOGLETRANSLATE(B2379,""auto"",""en"")"),"1. Design product name: Smart voice collection interface for sports events for mobile phones.
 2. The purpose of designing products in this exterior: This design product is used for artificial intelligence voice collection, operation procedures and comm"&amp;"unications for sports events.
 3. Design of the design of the product in this exterior: lies in the interface content of the operation of the image user interface.
 4. Pictures or photos that can most indicate design points: main view.
 5. There is "&amp;"no design point, omittime, left view, left view, right view, push -view, viewing view.
 6. The purpose of the graphical user interface: The graphical user interface is the application interface of the display screen panel. The display screen panel is us"&amp;"ed for mobile phones and computers.
 The main interface change state diagram is the homepage of the user after opening the software to log in.
 I. In the main view of the interface change state, click the lower arrow at the ""Guangdong Vocational Leag"&amp;"ue"" at the top of the interface to enter the interface change state Figure 2.
 II, in the main view of the interface change state, click the ""Historical Record"" option on the right to enter the interface change state Figure 3.
 A1. In Figure 3 of t"&amp;"he interface change state, click the ""Team Filter"" option in the upper right corner to enter the interface change state Figure 4.
 A2. In Figure 3 of the interface change state, click the ""time screening"" option in the upper right corner to enter th"&amp;"e interface change state Figure 5.
 A3. In Figure 3 of the interface change state, click the ""Event List"" option on the right to enter the interface change state Figure 6.
 In the main view of III, in the main view of the interface changes, click th"&amp;"e ""Event Collection"" or ""Reporter"" option in the list of the events below to enter the interface change state Figure 7.
 B1. In the interface change state Figure 7, when selecting the option of ""reporter"", enter the interface change state Figure 8"&amp;".
 In the interface change state Figure 8, click the ""Score"" option of the interface to enter the interface change state Figure 9.
 B2. In Figure 7 of the interface change state, when selecting the option of ""event collection"", enter the interface"&amp;" change state Figure 10.
 In Figure 10 of the interface change state, click the ""Player Number"" in the interface to enter the interface change status Figure 11.
 In Figure 10 of the interface change state, click the ""Player Incident"" in the interf"&amp;"ace to enter the interface change status Figure 12.
 IV. In the main view of the interface change state, click the ""Event List"" option in the lower right corner of the interface to enter the interface change state Figure 13.
 In the interface change"&amp;" state Figure 13, click the ""identity selection"" option in the upper right corner of the interface to enter the interface change state Figure 14.
 V. In the main view of the interface change state, click the ""data statistics"" option in the lower rig"&amp;"ht corner to enter the interface change state Figure 15.
 C1. In Figure 15 of the interface change state, click the ""Statistics"" option below to enter the interface change state Figure 16.
 C2. In Figure 15 of the interface change state, click the "&amp;"""Settings"" option in the upper right corner to enter the interface change state Figure 17.
 C3. In Figure 15 of the interface change state, click the ""Voice Hot Spot Collection"" option below to enter the interface change state Figure 18.
 C4. In F"&amp;"igure 15 of the interface change state, click the ""Voice Collection"" option below to enter the interface change state Figure 19.
 VI, in the main view of the interface change state, click the ""Modification"" option in the lower right corner of the in"&amp;"terface to enter the interface change state Figure 20.
 VII, in the main view, click the ""New Tournament"" option on the left side of the interface to enter the interface change state Figure 21.")</f>
        <v>1. Design product name: Smart voice collection interface for sports events for mobile phones.
 2. The purpose of designing products in this exterior: This design product is used for artificial intelligence voice collection, operation procedures and communications for sports events.
 3. Design of the design of the product in this exterior: lies in the interface content of the operation of the image user interface.
 4. Pictures or photos that can most indicate design points: main view.
 5. There is no design point, omittime, left view, left view, right view, push -view, viewing view.
 6. The purpose of the graphical user interface: The graphical user interface is the application interface of the display screen panel. The display screen panel is used for mobile phones and computers.
 The main interface change state diagram is the homepage of the user after opening the software to log in.
 I. In the main view of the interface change state, click the lower arrow at the "Guangdong Vocational League" at the top of the interface to enter the interface change state Figure 2.
 II, in the main view of the interface change state, click the "Historical Record" option on the right to enter the interface change state Figure 3.
 A1. In Figure 3 of the interface change state, click the "Team Filter" option in the upper right corner to enter the interface change state Figure 4.
 A2. In Figure 3 of the interface change state, click the "time screening" option in the upper right corner to enter the interface change state Figure 5.
 A3. In Figure 3 of the interface change state, click the "Event List" option on the right to enter the interface change state Figure 6.
 In the main view of III, in the main view of the interface changes, click the "Event Collection" or "Reporter" option in the list of the events below to enter the interface change state Figure 7.
 B1. In the interface change state Figure 7, when selecting the option of "reporter", enter the interface change state Figure 8.
 In the interface change state Figure 8, click the "Score" option of the interface to enter the interface change state Figure 9.
 B2. In Figure 7 of the interface change state, when selecting the option of "event collection", enter the interface change state Figure 10.
 In Figure 10 of the interface change state, click the "Player Number" in the interface to enter the interface change status Figure 11.
 In Figure 10 of the interface change state, click the "Player Incident" in the interface to enter the interface change status Figure 12.
 IV. In the main view of the interface change state, click the "Event List" option in the lower right corner of the interface to enter the interface change state Figure 13.
 In the interface change state Figure 13, click the "identity selection" option in the upper right corner of the interface to enter the interface change state Figure 14.
 V. In the main view of the interface change state, click the "data statistics" option in the lower right corner to enter the interface change state Figure 15.
 C1. In Figure 15 of the interface change state, click the "Statistics" option below to enter the interface change state Figure 16.
 C2. In Figure 15 of the interface change state, click the "Settings" option in the upper right corner to enter the interface change state Figure 17.
 C3. In Figure 15 of the interface change state, click the "Voice Hot Spot Collection" option below to enter the interface change state Figure 18.
 C4. In Figure 15 of the interface change state, click the "Voice Collection" option below to enter the interface change state Figure 19.
 VI, in the main view of the interface change state, click the "Modification" option in the lower right corner of the interface to enter the interface change state Figure 20.
 VII, in the main view, click the "New Tournament" option on the left side of the interface to enter the interface change state Figure 21.</v>
      </c>
      <c r="D2379" s="6" t="s">
        <v>6744</v>
      </c>
      <c r="E2379" s="4" t="str">
        <f ca="1">IFERROR(__xludf.DUMMYFUNCTION("GOOGLETRANSLATE(D2379,""auto"",""en"")"),"Smart voice collection interface for sports events for mobile phones")</f>
        <v>Smart voice collection interface for sports events for mobile phones</v>
      </c>
    </row>
    <row r="2380" spans="1:5" ht="15" x14ac:dyDescent="0.25">
      <c r="A2380" s="5" t="s">
        <v>6745</v>
      </c>
      <c r="B2380" s="6" t="s">
        <v>6746</v>
      </c>
      <c r="C2380" s="3" t="str">
        <f ca="1">IFERROR(__xludf.DUMMYFUNCTION("GOOGLETRANSLATE(B2380,""auto"",""en"")"),"The present invention involves an IoT god racket exercise device and a racket exercise system that uses the device. The IoT cinema exercise device based on the examples of the invention includes the head formed as an oval head and the supporting part of t"&amp;"he head. The main part includes the main part, connecting to the support part and forming a shape of the shape that can be held as a person, and forms at least one in the main part or the handle to detect the sensing information including the tilt, speed,"&amp;" and acceleration. It includes a sensing unit, a communication unit that forms in the holding part and communicates with external user terminals, and the control unit is used to transmit sensing information to the user terminal.")</f>
        <v>The present invention involves an IoT god racket exercise device and a racket exercise system that uses the device. The IoT cinema exercise device based on the examples of the invention includes the head formed as an oval head and the supporting part of the head. The main part includes the main part, connecting to the support part and forming a shape of the shape that can be held as a person, and forms at least one in the main part or the handle to detect the sensing information including the tilt, speed, and acceleration. It includes a sensing unit, a communication unit that forms in the holding part and communicates with external user terminals, and the control unit is used to transmit sensing information to the user terminal.</v>
      </c>
      <c r="D2380" s="6" t="s">
        <v>6747</v>
      </c>
      <c r="E2380" s="4" t="str">
        <f ca="1">IFERROR(__xludf.DUMMYFUNCTION("GOOGLETRANSLATE(D2380,""auto"",""en"")"),"IoT Sports Device and the racket sports system using the device")</f>
        <v>IoT Sports Device and the racket sports system using the device</v>
      </c>
    </row>
    <row r="2381" spans="1:5" ht="15" x14ac:dyDescent="0.25">
      <c r="A2381" s="5" t="s">
        <v>6748</v>
      </c>
      <c r="B2381" s="6" t="s">
        <v>6033</v>
      </c>
      <c r="C2381" s="3" t="str">
        <f ca="1">IFERROR(__xludf.DUMMYFUNCTION("GOOGLETRANSLATE(B2381,""auto"",""en"")"),"The present invention generally involves the analysis of neuropathy medical data, and specifically involves the process of providing effective data for back pain caused by physical activity and problems caused by neck pain. This process includes the follo"&amp;"wing steps: the user will input data related to the back and neck area into the mobile application interface; transmit the input data to the server for pre -processing; use the multi -classifier in the server Data processing data; use machine learning and"&amp;" data analysis technology to compare the input data with the pre -stored data stored in the server. Among them, the pre -stored data is related to medical reports with back pain and neck pain; And remedy suggestions; display reports to users on the screen"&amp;" of the mobile application interface.")</f>
        <v>The present invention generally involves the analysis of neuropathy medical data, and specifically involves the process of providing effective data for back pain caused by physical activity and problems caused by neck pain. This process includes the following steps: the user will input data related to the back and neck area into the mobile application interface; transmit the input data to the server for pre -processing; use the multi -classifier in the server Data processing data; use machine learning and data analysis technology to compare the input data with the pre -stored data stored in the server. Among them, the pre -stored data is related to medical reports with back pain and neck pain; And remedy suggestions; display reports to users on the screen of the mobile application interface.</v>
      </c>
      <c r="D2381" s="6" t="s">
        <v>6034</v>
      </c>
      <c r="E2381" s="4" t="str">
        <f ca="1">IFERROR(__xludf.DUMMYFUNCTION("GOOGLETRANSLATE(D2381,""auto"",""en"")"),"Provide a process of valid data about back pain and neck pain caused by sports activities")</f>
        <v>Provide a process of valid data about back pain and neck pain caused by sports activities</v>
      </c>
    </row>
    <row r="2382" spans="1:5" ht="15" x14ac:dyDescent="0.25">
      <c r="A2382" s="5" t="s">
        <v>6749</v>
      </c>
      <c r="B2382" s="6" t="s">
        <v>6750</v>
      </c>
      <c r="C2382" s="3" t="str">
        <f ca="1">IFERROR(__xludf.DUMMYFUNCTION("GOOGLETRANSLATE(B2382,""auto"",""en"")"),"The present invention provides an unmanned fitness analysis method based on artificial intelligence, involving the field of unmanned fitness technology, including the following steps: S1: The rules of the analysis of exercise index based on the key point "&amp;"of the human body, generate the rules table; Sport images, obtain the skeleton point information of the athlete; S3: Input the skeleton point information to the regular table; S4: whether the data error value in the skeleton point information and the rule"&amp;"s table is less than the scheduled threshold. If so, the action is qualified On the contrary, output error set information information. The invention of the interactive stage lighting color method uses artificial intelligence, big data, cloud computing, s"&amp;"omatosensory control and other technologies to guide the health and intelligent fitness guidance of home scenes, and manage the identification, tracking, and positioning of massive video image data; Study sports training, fitness guidance, sports rehabili"&amp;"tation and other fitness guidance, and carry out multi -functional, intelligent sports fitness analysis and guidance.")</f>
        <v>The present invention provides an unmanned fitness analysis method based on artificial intelligence, involving the field of unmanned fitness technology, including the following steps: S1: The rules of the analysis of exercise index based on the key point of the human body, generate the rules table; Sport images, obtain the skeleton point information of the athlete; S3: Input the skeleton point information to the regular table; S4: whether the data error value in the skeleton point information and the rules table is less than the scheduled threshold. If so, the action is qualified On the contrary, output error set information information. The invention of the interactive stage lighting color method uses artificial intelligence, big data, cloud computing, somatosensory control and other technologies to guide the health and intelligent fitness guidance of home scenes, and manage the identification, tracking, and positioning of massive video image data; Study sports training, fitness guidance, sports rehabilitation and other fitness guidance, and carry out multi -functional, intelligent sports fitness analysis and guidance.</v>
      </c>
      <c r="D2382" s="6" t="s">
        <v>6751</v>
      </c>
      <c r="E2382" s="4" t="str">
        <f ca="1">IFERROR(__xludf.DUMMYFUNCTION("GOOGLETRANSLATE(D2382,""auto"",""en"")"),"An an artificial intelligence -based unmanned fitness analysis method")</f>
        <v>An an artificial intelligence -based unmanned fitness analysis method</v>
      </c>
    </row>
    <row r="2383" spans="1:5" ht="15" x14ac:dyDescent="0.25">
      <c r="A2383" s="5" t="s">
        <v>6752</v>
      </c>
      <c r="B2383" s="6" t="s">
        <v>6753</v>
      </c>
      <c r="C2383" s="3" t="str">
        <f ca="1">IFERROR(__xludf.DUMMYFUNCTION("GOOGLETRANSLATE(B2383,""auto"",""en"")"),"The system and methods of online health systems based on computer reasoning and personal preparation methods. At present, the body type data includes the body's three -dimensional display information, body arrangement, key, weight, volume, body moisture a"&amp;"nd body shape data. Filtering through the body can help customize the body shape of the executive plan. Can be carried out more systematic and increased the impact of personal preparation. Similarly, through some terminal testing, the nutrition and exerci"&amp;"se volume ingested from the outside of fitness places, and reflect it to the managers' body plan, can more systematically manage personal health boards and body plates. implement.")</f>
        <v>The system and methods of online health systems based on computer reasoning and personal preparation methods. At present, the body type data includes the body's three -dimensional display information, body arrangement, key, weight, volume, body moisture and body shape data. Filtering through the body can help customize the body shape of the executive plan. Can be carried out more systematic and increased the impact of personal preparation. Similarly, through some terminal testing, the nutrition and exercise volume ingested from the outside of fitness places, and reflect it to the managers' body plan, can more systematically manage personal health boards and body plates. implement.</v>
      </c>
      <c r="D2383" s="6" t="s">
        <v>6754</v>
      </c>
      <c r="E2383" s="4" t="str">
        <f ca="1">IFERROR(__xludf.DUMMYFUNCTION("GOOGLETRANSLATE(D2383,""auto"",""en"")"),"Online fitness and private education systems and methods based on artificial intelligence")</f>
        <v>Online fitness and private education systems and methods based on artificial intelligence</v>
      </c>
    </row>
    <row r="2384" spans="1:5" ht="15" x14ac:dyDescent="0.25">
      <c r="A2384" s="5" t="s">
        <v>6755</v>
      </c>
      <c r="B2384" s="6" t="s">
        <v>6756</v>
      </c>
      <c r="C2384" s="3" t="str">
        <f ca="1">IFERROR(__xludf.DUMMYFUNCTION("GOOGLETRANSLATE(B2384,""auto"",""en"")"),"Users are allowed to interact with artificial intelligence chat robots to automatically identify systems and methods of gene spectrum tests they are interested in, and at least part of the genetic map test results based on personalized health and fitness "&amp;"products and/or planned users. Such recommendations can include, such as additional diagnostic testing, recommended nutritional supplements, and recommendations for specific programs that are very suitable for users.")</f>
        <v>Users are allowed to interact with artificial intelligence chat robots to automatically identify systems and methods of gene spectrum tests they are interested in, and at least part of the genetic map test results based on personalized health and fitness products and/or planned users. Such recommendations can include, such as additional diagnostic testing, recommended nutritional supplements, and recommendations for specific programs that are very suitable for users.</v>
      </c>
      <c r="D2384" s="6" t="s">
        <v>6757</v>
      </c>
      <c r="E2384" s="4" t="str">
        <f ca="1">IFERROR(__xludf.DUMMYFUNCTION("GOOGLETRANSLATE(D2384,""auto"",""en"")"),"The genetic test of robot improvement to obtain artificial intelligence systems and methods")</f>
        <v>The genetic test of robot improvement to obtain artificial intelligence systems and methods</v>
      </c>
    </row>
    <row r="2385" spans="1:5" ht="15" x14ac:dyDescent="0.25">
      <c r="A2385" s="5" t="s">
        <v>6758</v>
      </c>
      <c r="B2385" s="6" t="s">
        <v>6759</v>
      </c>
      <c r="C2385" s="3" t="str">
        <f ca="1">IFERROR(__xludf.DUMMYFUNCTION("GOOGLETRANSLATE(B2385,""auto"",""en"")"),"The present invention disclosed a image recognition method based on the gray -based symbiotic matrix adjustment learning rate. It includes collecting remote mobilization images through a camera, summarizing the collected image; Gaussian filtering the orig"&amp;"inal image, obtaining the incident image; the incident image and the original The image is reduced to get reflected images; according to the segrance symbiotic matrix of the eight neighbors in the four directions, the learning rate is updated; the athlete"&amp;" extraction; the present invention can effectively realize the rapid detection and advance of the athletes when the light is poor. In order to achieve automatic recognition of the athlete's position, the athlete's position can further analyze the athlete'"&amp;"s posture.")</f>
        <v>The present invention disclosed a image recognition method based on the gray -based symbiotic matrix adjustment learning rate. It includes collecting remote mobilization images through a camera, summarizing the collected image; Gaussian filtering the original image, obtaining the incident image; the incident image and the original The image is reduced to get reflected images; according to the segrance symbiotic matrix of the eight neighbors in the four directions, the learning rate is updated; the athlete extraction; the present invention can effectively realize the rapid detection and advance of the athletes when the light is poor. In order to achieve automatic recognition of the athlete's position, the athlete's position can further analyze the athlete's posture.</v>
      </c>
      <c r="D2385" s="6" t="s">
        <v>6760</v>
      </c>
      <c r="E2385" s="4" t="str">
        <f ca="1">IFERROR(__xludf.DUMMYFUNCTION("GOOGLETRANSLATE(D2385,""auto"",""en"")"),"An image recognition method based on gray -based symbiotic matrix adjustment learning rate")</f>
        <v>An image recognition method based on gray -based symbiotic matrix adjustment learning rate</v>
      </c>
    </row>
    <row r="2386" spans="1:5" ht="15" x14ac:dyDescent="0.25">
      <c r="A2386" s="5" t="s">
        <v>6761</v>
      </c>
      <c r="B2386" s="6" t="s">
        <v>6762</v>
      </c>
      <c r="C2386" s="3" t="str">
        <f ca="1">IFERROR(__xludf.DUMMYFUNCTION("GOOGLETRANSLATE(B2386,""auto"",""en"")"),"The invention involves a human face recognition automatic card issuing device, which is used to perform face recognition and automatic card issuing cards for visitors, including: subject; touch screen unit installed on the subject, for input information a"&amp;"nd display devices operation status; installation The camera shooting unit on the subject is used to identify the face of the visitors through the image; the pass supply unit is installed on the subject, one by one supply the pass; Is the passport good or"&amp;" defective and discharged by options; the controller is installed on the subject to control the overall operation required by the device. Among them, the pass is the RFIC chip installation pass. Recorded information.
  According to the invention, visito"&amp;"rs can perform their facial recognition and registration through automated equipment, obtain information through the facial recognition and registration of the visitor, and automatically issue a pass. Can eliminate inconvenience and trouble. Exchange ID c"&amp;"ards and pass permits, and provides the advantages of increasing security based on visitors.")</f>
        <v>The invention involves a human face recognition automatic card issuing device, which is used to perform face recognition and automatic card issuing cards for visitors, including: subject; touch screen unit installed on the subject, for input information and display devices operation status; installation The camera shooting unit on the subject is used to identify the face of the visitors through the image; the pass supply unit is installed on the subject, one by one supply the pass; Is the passport good or defective and discharged by options; the controller is installed on the subject to control the overall operation required by the device. Among them, the pass is the RFIC chip installation pass. Recorded information.
  According to the invention, visitors can perform their facial recognition and registration through automated equipment, obtain information through the facial recognition and registration of the visitor, and automatically issue a pass. Can eliminate inconvenience and trouble. Exchange ID cards and pass permits, and provides the advantages of increasing security based on visitors.</v>
      </c>
      <c r="D2386" s="6" t="s">
        <v>6763</v>
      </c>
      <c r="E2386" s="4" t="str">
        <f ca="1">IFERROR(__xludf.DUMMYFUNCTION("GOOGLETRANSLATE(D2386,""auto"",""en"")"),"Unmanned Face recognition Pass issuance device")</f>
        <v>Unmanned Face recognition Pass issuance device</v>
      </c>
    </row>
    <row r="2387" spans="1:5" ht="15" x14ac:dyDescent="0.25">
      <c r="A2387" s="5" t="s">
        <v>6764</v>
      </c>
      <c r="B2387" s="6" t="s">
        <v>6765</v>
      </c>
      <c r="C2387" s="3" t="str">
        <f ca="1">IFERROR(__xludf.DUMMYFUNCTION("GOOGLETRANSLATE(B2387,""auto"",""en"")"),"This utility model opens an industrial robot interface control device controlled by a computer PLC, including the control device shell. The upper end of the control device shell has a rectangular groove, the human -machine interaction interface is provide"&amp;"d in the rectangular groove, the human -computer interaction interface interface is provided, and the human -machine interaction interface interface is provided. Through the connection between the mobile mechanism and the control device case, the control "&amp;"device shell is provided with a opening corresponding to the interactive interface position of the human -computer interface. Set, and the lower side of the silicone jacket is equipped with a silicone ball, and the lower end of the silicone jacket is equi"&amp;"pped with a groove with a superiority with the silicone ball. When using this utility model, it can be protected by the human -computer interaction interface through the shell. When the human -computer interaction interface needs to be operated, the human"&amp;" -machine interaction interface is required. In the interface, the human -machine interaction interface is protected. The finger set will be disinfected after use, and the safety is high during overall operation.")</f>
        <v>This utility model opens an industrial robot interface control device controlled by a computer PLC, including the control device shell. The upper end of the control device shell has a rectangular groove, the human -machine interaction interface is provided in the rectangular groove, the human -computer interaction interface interface is provided, and the human -machine interaction interface interface is provided. Through the connection between the mobile mechanism and the control device case, the control device shell is provided with a opening corresponding to the interactive interface position of the human -computer interface. Set, and the lower side of the silicone jacket is equipped with a silicone ball, and the lower end of the silicone jacket is equipped with a groove with a superiority with the silicone ball. When using this utility model, it can be protected by the human -computer interaction interface through the shell. When the human -computer interaction interface needs to be operated, the human -machine interaction interface is required. In the interface, the human -machine interaction interface is protected. The finger set will be disinfected after use, and the safety is high during overall operation.</v>
      </c>
      <c r="D2387" s="6" t="s">
        <v>6766</v>
      </c>
      <c r="E2387" s="4" t="str">
        <f ca="1">IFERROR(__xludf.DUMMYFUNCTION("GOOGLETRANSLATE(D2387,""auto"",""en"")"),"An industrial robot interface control device controlled by computer PLC")</f>
        <v>An industrial robot interface control device controlled by computer PLC</v>
      </c>
    </row>
    <row r="2388" spans="1:5" ht="15" x14ac:dyDescent="0.25">
      <c r="A2388" s="5" t="s">
        <v>6767</v>
      </c>
      <c r="B2388" s="6" t="s">
        <v>6768</v>
      </c>
      <c r="C2388" s="3" t="str">
        <f ca="1">IFERROR(__xludf.DUMMYFUNCTION("GOOGLETRANSLATE(B2388,""auto"",""en"")"),"This utility model provides a signs based on narrow belt -based IoT, including: shells, emergency buttons, batteries, radio frequency antennas, TM cards, circuit boards, bottom plates, shell warehouses, wristbands; among them, circuit boards include: Sign"&amp;", control module, Internet of Things module and button detection module. This practical new types of storage container key and life signs are one in one. When users are in danger, they will be alert to timely alarm and joint guards to rescue them as soon "&amp;"as possible to minimize the danger. At the same time, you can link the background to collect data for data analysis, and provide a one -to -one intimate fitness guidance for fitness users. Products are based on narrow belt Internet of Things, ultra -low p"&amp;"ower consumption, wide coverage, saving costs, making batch procurement in fitness venues possible.")</f>
        <v>This utility model provides a signs based on narrow belt -based IoT, including: shells, emergency buttons, batteries, radio frequency antennas, TM cards, circuit boards, bottom plates, shell warehouses, wristbands; among them, circuit boards include: Sign, control module, Internet of Things module and button detection module. This practical new types of storage container key and life signs are one in one. When users are in danger, they will be alert to timely alarm and joint guards to rescue them as soon as possible to minimize the danger. At the same time, you can link the background to collect data for data analysis, and provide a one -to -one intimate fitness guidance for fitness users. Products are based on narrow belt Internet of Things, ultra -low power consumption, wide coverage, saving costs, making batch procurement in fitness venues possible.</v>
      </c>
      <c r="D2388" s="6" t="s">
        <v>6769</v>
      </c>
      <c r="E2388" s="4" t="str">
        <f ca="1">IFERROR(__xludf.DUMMYFUNCTION("GOOGLETRANSLATE(D2388,""auto"",""en"")"),"A signs based on the Narrow -based Internet of Things")</f>
        <v>A signs based on the Narrow -based Internet of Things</v>
      </c>
    </row>
    <row r="2389" spans="1:5" ht="15" x14ac:dyDescent="0.25">
      <c r="A2389" s="5" t="s">
        <v>6770</v>
      </c>
      <c r="B2389" s="6" t="s">
        <v>6771</v>
      </c>
      <c r="C2389" s="3" t="str">
        <f ca="1">IFERROR(__xludf.DUMMYFUNCTION("GOOGLETRANSLATE(B2389,""auto"",""en"")"),"The present invention discloses a fitness ring -based use of the Internet of Things technology, including: step 1: users wear the corresponding location fitness ring, the server obtains the position of the fitness ring in real time, step 2: According to d"&amp;"ifferent difficulty, the server uses VR glasses to use it to use it to use by VR glasses to use towards the use of VR glasses. The person shows the corresponding difficulty walls, arrows, bullets, fruits, etc. Step 3: The wearer avoids or makes the corres"&amp;"ponding posture in accordance with the corresponding requirements. Step 4: The server judges the posture of the wearer, records the score and deduction of the wearer, and step 5: When the wearer error occurs in real time, the fitness ring shakes in real t"&amp;"ime, so that the wearer can perceive which part of the part is not in accordance with the corresponding rules in accordance with the corresponding rules. Essence The invention involves the field of Internet of Things equipment. Specifically, it involves a"&amp;" fitness ring -based use of IoT technology. The present invention is convenient for wearer's physical dexterity training.")</f>
        <v>The present invention discloses a fitness ring -based use of the Internet of Things technology, including: step 1: users wear the corresponding location fitness ring, the server obtains the position of the fitness ring in real time, step 2: According to different difficulty, the server uses VR glasses to use it to use it to use by VR glasses to use towards the use of VR glasses. The person shows the corresponding difficulty walls, arrows, bullets, fruits, etc. Step 3: The wearer avoids or makes the corresponding posture in accordance with the corresponding requirements. Step 4: The server judges the posture of the wearer, records the score and deduction of the wearer, and step 5: When the wearer error occurs in real time, the fitness ring shakes in real time, so that the wearer can perceive which part of the part is not in accordance with the corresponding rules in accordance with the corresponding rules. Essence The invention involves the field of Internet of Things equipment. Specifically, it involves a fitness ring -based use of IoT technology. The present invention is convenient for wearer's physical dexterity training.</v>
      </c>
      <c r="D2389" s="6" t="s">
        <v>6772</v>
      </c>
      <c r="E2389" s="4" t="str">
        <f ca="1">IFERROR(__xludf.DUMMYFUNCTION("GOOGLETRANSLATE(D2389,""auto"",""en"")"),"A fitness ring based on IoT technology")</f>
        <v>A fitness ring based on IoT technology</v>
      </c>
    </row>
    <row r="2390" spans="1:5" ht="15" x14ac:dyDescent="0.25">
      <c r="A2390" s="5" t="s">
        <v>6773</v>
      </c>
      <c r="B2390" s="6" t="s">
        <v>6774</v>
      </c>
      <c r="C2390" s="3" t="str">
        <f ca="1">IFERROR(__xludf.DUMMYFUNCTION("GOOGLETRANSLATE(B2390,""auto"",""en"")"),"This practical new model has disclosed an IoT smart sandbag, including boxing sandbag entities and intelligent systems. The intelligent system is installed inside the boxing sandbag entity, including single -chip microcomputer, film switch, acceleration s"&amp;"ensor, dot -matrix flexible screen, BT Bluetooth, screen drive and power supply. The single -chip microcomputer is connected to the film switch, the acceleration sensor, the LED flexible screen, the BT Bluetooth electronics, the screen drive and the dot m"&amp;"atrix LED flexible screen electrical and provide electrical energy. And provide electrical energy; collect all kinds of data uploaded by boxing sandbag entities through intelligent systems and data interaction with external computers to improve entertainm"&amp;"ent and substitution. This utility model can improve the entertainment and substitution of boxing sandbags allows people to insist on fitness activities.")</f>
        <v>This practical new model has disclosed an IoT smart sandbag, including boxing sandbag entities and intelligent systems. The intelligent system is installed inside the boxing sandbag entity, including single -chip microcomputer, film switch, acceleration sensor, dot -matrix flexible screen, BT Bluetooth, screen drive and power supply. The single -chip microcomputer is connected to the film switch, the acceleration sensor, the LED flexible screen, the BT Bluetooth electronics, the screen drive and the dot matrix LED flexible screen electrical and provide electrical energy. And provide electrical energy; collect all kinds of data uploaded by boxing sandbag entities through intelligent systems and data interaction with external computers to improve entertainment and substitution. This utility model can improve the entertainment and substitution of boxing sandbags allows people to insist on fitness activities.</v>
      </c>
      <c r="D2390" s="6" t="s">
        <v>6775</v>
      </c>
      <c r="E2390" s="4" t="str">
        <f ca="1">IFERROR(__xludf.DUMMYFUNCTION("GOOGLETRANSLATE(D2390,""auto"",""en"")"),"A smart sandbag of the Internet of Things")</f>
        <v>A smart sandbag of the Internet of Things</v>
      </c>
    </row>
    <row r="2391" spans="1:5" ht="15" x14ac:dyDescent="0.25">
      <c r="A2391" s="5" t="s">
        <v>6776</v>
      </c>
      <c r="B2391" s="6" t="s">
        <v>6777</v>
      </c>
      <c r="C2391" s="3" t="str">
        <f ca="1">IFERROR(__xludf.DUMMYFUNCTION("GOOGLETRANSLATE(B2391,""auto"",""en"")"),"The present invention involves a table tennis target training system and method that uses artificial intelligence,
  The composition of the present invention is the table tennis supply device that launch a table tennis to users; display the device to di"&amp;"splay the target area requested to the user on the table tennis table; collect table tennis to hit the table tennis table, the sound sensor measured value Capture the image and transmit the data of the measurement value and capture images to the integrate"&amp;"d sensor device of the integrated sensor device of the smart device through wired or wired; the user selects or the target area he has recommended on the table tennis table is transmitted to the display device. The data sent by a communication receiving i"&amp;"ntegrated sensor device, and transmitted the received data to the server, the server a smart device, using the data managed by judgment model and smart device to determine whether the table tennis enters the target area; The shooting images from the devic"&amp;"e are featured and compared to determine whether table tennis has entered the target area on table tennis tables, and has the function of storing user training, results, or artistic servers; it is characterized by.")</f>
        <v>The present invention involves a table tennis target training system and method that uses artificial intelligence,
  The composition of the present invention is the table tennis supply device that launch a table tennis to users; display the device to display the target area requested to the user on the table tennis table; collect table tennis to hit the table tennis table, the sound sensor measured value Capture the image and transmit the data of the measurement value and capture images to the integrated sensor device of the integrated sensor device of the smart device through wired or wired; the user selects or the target area he has recommended on the table tennis table is transmitted to the display device. The data sent by a communication receiving integrated sensor device, and transmitted the received data to the server, the server a smart device, using the data managed by judgment model and smart device to determine whether the table tennis enters the target area; The shooting images from the device are featured and compared to determine whether table tennis has entered the target area on table tennis tables, and has the function of storing user training, results, or artistic servers; it is characterized by.</v>
      </c>
      <c r="D2391" s="6" t="s">
        <v>6778</v>
      </c>
      <c r="E2391" s="4" t="str">
        <f ca="1">IFERROR(__xludf.DUMMYFUNCTION("GOOGLETRANSLATE(D2391,""auto"",""en"")"),"Use artificial intelligence's table tennis target training system and operation method")</f>
        <v>Use artificial intelligence's table tennis target training system and operation method</v>
      </c>
    </row>
    <row r="2392" spans="1:5" ht="15" x14ac:dyDescent="0.25">
      <c r="A2392" s="5" t="s">
        <v>6779</v>
      </c>
      <c r="B2392" s="6" t="s">
        <v>6780</v>
      </c>
      <c r="C2392" s="3" t="str">
        <f ca="1">IFERROR(__xludf.DUMMYFUNCTION("GOOGLETRANSLATE(B2392,""auto"",""en"")"),"本发明公开了一种汉画像石体育图像采集比对装置，具体涉及汉画像石研究领域，包括图像采集装置、图像处理终端，图像采集装置包括底座、竖杆、电磁滑套、连接杆、横向Sliding rails, electromagnetic slides, cameras, the bottom of the camera is connected to the top surface of the horizontal slider through the electromagnetic slider. The interior"&amp;" of the image processing terminal has pre -processing modules, information analysis modules, and data analysis modules. By achieving the automatic transformation and identification and classification function of the portrait stone of the Han portrait ston"&amp;"e, the entire algorithm system is upgraded through human intervention and optimization algorithm under the intervention of the artificial intelligence algorithm, and the classification label of a large number of Chinese portrait stones is based on the art"&amp;"ificial intelligence algorithm technology technology. Control, fulfillment of fully automation, does not need to rely on the operator's experience and knowledge without adjusting the parameters repeatedly through multiple adjustments, and the processing p"&amp;"rocess is simple and efficient.")</f>
        <v>本发明公开了一种汉画像石体育图像采集比对装置，具体涉及汉画像石研究领域，包括图像采集装置、图像处理终端，图像采集装置包括底座、竖杆、电磁滑套、连接杆、横向Sliding rails, electromagnetic slides, cameras, the bottom of the camera is connected to the top surface of the horizontal slider through the electromagnetic slider. The interior of the image processing terminal has pre -processing modules, information analysis modules, and data analysis modules. By achieving the automatic transformation and identification and classification function of the portrait stone of the Han portrait stone, the entire algorithm system is upgraded through human intervention and optimization algorithm under the intervention of the artificial intelligence algorithm, and the classification label of a large number of Chinese portrait stones is based on the artificial intelligence algorithm technology technology. Control, fulfillment of fully automation, does not need to rely on the operator's experience and knowledge without adjusting the parameters repeatedly through multiple adjustments, and the processing process is simple and efficient.</v>
      </c>
      <c r="D2392" s="6" t="s">
        <v>5270</v>
      </c>
      <c r="E2392" s="4" t="str">
        <f ca="1">IFERROR(__xludf.DUMMYFUNCTION("GOOGLETRANSLATE(D2392,""auto"",""en"")"),"A Chinese portrait stone sports image collection and comparison device")</f>
        <v>A Chinese portrait stone sports image collection and comparison device</v>
      </c>
    </row>
    <row r="2393" spans="1:5" ht="15" x14ac:dyDescent="0.25">
      <c r="A2393" s="5" t="s">
        <v>6781</v>
      </c>
      <c r="B2393" s="6" t="s">
        <v>6782</v>
      </c>
      <c r="C2393" s="3" t="str">
        <f ca="1">IFERROR(__xludf.DUMMYFUNCTION("GOOGLETRANSLATE(B2393,""auto"",""en"")"),"The present invention involves the field of sports technology, and a method of automatic wire -off line -based automatic line -based wireless lines based on computer vision is released. First of all, the camera shooting screen is transmitted in real time "&amp;"to the server; intercepting the instantaneous image of the offensive player players on the server; through the software Treatment the image to obtain the lawn area and the white edge line, and obtain the coordinates of the four horns (A0, A1, A2, A3) on t"&amp;"he half line edge of the half. According to the outdrophine rules The principle of perspective and formula is calculated and the offside line is generated. Compared with the existing technology, the degree of automation and accuracy of this method and sys"&amp;"tem is high, which avoids the disadvantages of the current manual line method, and can assist the referee to make more accurate penalties.")</f>
        <v>The present invention involves the field of sports technology, and a method of automatic wire -off line -based automatic line -based wireless lines based on computer vision is released. First of all, the camera shooting screen is transmitted in real time to the server; intercepting the instantaneous image of the offensive player players on the server; through the software Treatment the image to obtain the lawn area and the white edge line, and obtain the coordinates of the four horns (A0, A1, A2, A3) on the half line edge of the half. According to the outdrophine rules The principle of perspective and formula is calculated and the offside line is generated. Compared with the existing technology, the degree of automation and accuracy of this method and system is high, which avoids the disadvantages of the current manual line method, and can assist the referee to make more accurate penalties.</v>
      </c>
      <c r="D2393" s="6" t="s">
        <v>6783</v>
      </c>
      <c r="E2393" s="4" t="str">
        <f ca="1">IFERROR(__xludf.DUMMYFUNCTION("GOOGLETRANSLATE(D2393,""auto"",""en"")"),"A method of automatic line -based automatic lines based on computer vision")</f>
        <v>A method of automatic line -based automatic lines based on computer vision</v>
      </c>
    </row>
    <row r="2394" spans="1:5" ht="15" x14ac:dyDescent="0.25">
      <c r="A2394" s="5" t="s">
        <v>6784</v>
      </c>
      <c r="B2394" s="6" t="s">
        <v>6785</v>
      </c>
      <c r="C2394" s="3" t="str">
        <f ca="1">IFERROR(__xludf.DUMMYFUNCTION("GOOGLETRANSLATE(B2394,""auto"",""en"")"),"A athlete incentive recommendation system, including biosensor, environmental sensor, personal information module, database, processor and computing equipment. Biosensor detect biological data. The environment sensor is installed in the field to detect en"&amp;"vironmental data. Personal information module receives the personal data of athletes from an administrator. Database receiving and storage biological data, environmental data and personal data. The processor executes the abstraction and classification of "&amp;"biological data, environmental data and personal data, analyzes real -time analysis and makes suggestions to the athletes, and evaluates real -time analysis and suggestions. The computing device presents the result, such as the first threshold value of th"&amp;"e athlete's performance without physical damage, the instructions to break the second threshold required by the previous record, and the third threshold of the dangerous state of the physical condition. The most explanatory figure: Figure 2.")</f>
        <v>A athlete incentive recommendation system, including biosensor, environmental sensor, personal information module, database, processor and computing equipment. Biosensor detect biological data. The environment sensor is installed in the field to detect environmental data. Personal information module receives the personal data of athletes from an administrator. Database receiving and storage biological data, environmental data and personal data. The processor executes the abstraction and classification of biological data, environmental data and personal data, analyzes real -time analysis and makes suggestions to the athletes, and evaluates real -time analysis and suggestions. The computing device presents the result, such as the first threshold value of the athlete's performance without physical damage, the instructions to break the second threshold required by the previous record, and the third threshold of the dangerous state of the physical condition. The most explanatory figure: Figure 2.</v>
      </c>
      <c r="D2394" s="6" t="s">
        <v>6786</v>
      </c>
      <c r="E2394" s="4" t="str">
        <f ca="1">IFERROR(__xludf.DUMMYFUNCTION("GOOGLETRANSLATE(D2394,""auto"",""en"")"),"Motor recommendation system and method")</f>
        <v>Motor recommendation system and method</v>
      </c>
    </row>
    <row r="2395" spans="1:5" ht="15" x14ac:dyDescent="0.25">
      <c r="A2395" s="5" t="s">
        <v>6787</v>
      </c>
      <c r="B2395" s="6" t="s">
        <v>6788</v>
      </c>
      <c r="C2395" s="3" t="str">
        <f ca="1">IFERROR(__xludf.DUMMYFUNCTION("GOOGLETRANSLATE(B2395,""auto"",""en"")"),"The present invention involves an appraisal method for football players based on emotional calculations, which belongs to the field of artificial intelligence machine learning technology. In this method, the use of emotional computing technology and text "&amp;"information extraction technology to quantify and quantify the expression of player performance in the football report, and then quantify it. After that, combine it with statistical data, and use the linear regression algorithm to output the player perfor"&amp;"mance score. Based on the technical statistics of the player, this method can be quantified by introducing the text information of the war report and using emotional computing technology to quantify the quality of the event, so as to take into account the"&amp;" number and quality of the technical items. judge.")</f>
        <v>The present invention involves an appraisal method for football players based on emotional calculations, which belongs to the field of artificial intelligence machine learning technology. In this method, the use of emotional computing technology and text information extraction technology to quantify and quantify the expression of player performance in the football report, and then quantify it. After that, combine it with statistical data, and use the linear regression algorithm to output the player performance score. Based on the technical statistics of the player, this method can be quantified by introducing the text information of the war report and using emotional computing technology to quantify the quality of the event, so as to take into account the number and quality of the technical items. judge.</v>
      </c>
      <c r="D2395" s="6" t="s">
        <v>6789</v>
      </c>
      <c r="E2395" s="4" t="str">
        <f ca="1">IFERROR(__xludf.DUMMYFUNCTION("GOOGLETRANSLATE(D2395,""auto"",""en"")"),"A method of performance evaluation of football players based on emotional calculations")</f>
        <v>A method of performance evaluation of football players based on emotional calculations</v>
      </c>
    </row>
    <row r="2396" spans="1:5" ht="15" x14ac:dyDescent="0.25">
      <c r="A2396" s="5" t="s">
        <v>6790</v>
      </c>
      <c r="B2396" s="6" t="s">
        <v>6791</v>
      </c>
      <c r="C2396" s="3" t="str">
        <f ca="1">IFERROR(__xludf.DUMMYFUNCTION("GOOGLETRANSLATE(B2396,""auto"",""en"")"),"A savvy social insurance management based on artificial intelligence is given, and no matter how a exercise plan is generated, and if any situation is selected in any case In any case, the achievement information collected from the wearable bracelet, incl"&amp;"uding the sensor, includes the situation of the client, client's current status of the client for identifying customers to develop express vehicles. The dealer's 3D data observation terminal is used to organize the achievement information in the 2D drawin"&amp;"g after the tissue conversion, and the transmission unit is used to transmit a exercise program to the client terminal no matter how it is used to control the control unit.")</f>
        <v>A savvy social insurance management based on artificial intelligence is given, and no matter how a exercise plan is generated, and if any situation is selected in any case In any case, the achievement information collected from the wearable bracelet, including the sensor, includes the situation of the client, client's current status of the client for identifying customers to develop express vehicles. The dealer's 3D data observation terminal is used to organize the achievement information in the 2D drawing after the tissue conversion, and the transmission unit is used to transmit a exercise program to the client terminal no matter how it is used to control the control unit.</v>
      </c>
      <c r="D2396" s="6" t="s">
        <v>6792</v>
      </c>
      <c r="E2396" s="4" t="str">
        <f ca="1">IFERROR(__xludf.DUMMYFUNCTION("GOOGLETRANSLATE(D2396,""auto"",""en"")"),"Used to provide customers with health -related systems and methods")</f>
        <v>Used to provide customers with health -related systems and methods</v>
      </c>
    </row>
    <row r="2397" spans="1:5" ht="15" x14ac:dyDescent="0.25">
      <c r="A2397" s="5" t="s">
        <v>6793</v>
      </c>
      <c r="B2397" s="6" t="s">
        <v>6794</v>
      </c>
      <c r="C2397" s="3" t="str">
        <f ca="1">IFERROR(__xludf.DUMMYFUNCTION("GOOGLETRANSLATE(B2397,""auto"",""en"")"),"Export 3D (3D) data from the 600 -motion environmental data to determine whether to comply with offside rules. Receive image data from at least one camera 601A-D and detect at least one object in the environment 602A-F. The object is classified and the 2D"&amp;" skeleton is determined by the neural network, and the 3D skeleton is determined by mapping the 2D skeleton to 3D. You can classify multiple associated sub-objects (404A-C, Figure 4B) that represents the part of the person. The 2D skeleton can be mapped t"&amp;"o 3D. It can use neural networks, statistics, or probability methods, and can be used to use the body anatomy complete constraint. The image data can include the frame sequence sorted by each collected time sorting from each of multiple cameras, and the o"&amp;"bject can be classified and tracked across the frame sequence in each frame. The 3D model of the environment can be used at the same time and mapping to estimate the position and direction of each camera to build, and it can build a 3D embodiment by integ"&amp;"rating the 3D skeleton and the object of the object. The object can be athletes and sports equipment in the real -world sports environment.")</f>
        <v>Export 3D (3D) data from the 600 -motion environmental data to determine whether to comply with offside rules. Receive image data from at least one camera 601A-D and detect at least one object in the environment 602A-F. The object is classified and the 2D skeleton is determined by the neural network, and the 3D skeleton is determined by mapping the 2D skeleton to 3D. You can classify multiple associated sub-objects (404A-C, Figure 4B) that represents the part of the person. The 2D skeleton can be mapped to 3D. It can use neural networks, statistics, or probability methods, and can be used to use the body anatomy complete constraint. The image data can include the frame sequence sorted by each collected time sorting from each of multiple cameras, and the object can be classified and tracked across the frame sequence in each frame. The 3D model of the environment can be used at the same time and mapping to estimate the position and direction of each camera to build, and it can build a 3D embodiment by integrating the 3D skeleton and the object of the object. The object can be athletes and sports equipment in the real -world sports environment.</v>
      </c>
      <c r="D2397" s="6" t="s">
        <v>6795</v>
      </c>
      <c r="E2397" s="4" t="str">
        <f ca="1">IFERROR(__xludf.DUMMYFUNCTION("GOOGLETRANSLATE(D2397,""auto"",""en"")"),"The 4D space -time model used to generate the sports environment to determine whether the real -time system that meets the offside rules")</f>
        <v>The 4D space -time model used to generate the sports environment to determine whether the real -time system that meets the offside rules</v>
      </c>
    </row>
    <row r="2398" spans="1:5" ht="15" x14ac:dyDescent="0.25">
      <c r="A2398" s="5" t="s">
        <v>6796</v>
      </c>
      <c r="B2398" s="6" t="s">
        <v>6797</v>
      </c>
      <c r="C2398" s="3" t="str">
        <f ca="1">IFERROR(__xludf.DUMMYFUNCTION("GOOGLETRANSLATE(B2398,""auto"",""en"")"),"A method and system that is used to provide an integrated personal fashion guidance and help that is easy to use on the user's communication devices. It includes: (a) to provide clothing and fitness services after receiving the input images and personal p"&amp;"arameters from from receiving the input images and personal parameters. Users; (B) Use body models and sizes and input images of F &amp; A projects to provide a trial service; (C) By matching the past and current fashion and clothing (F &amp; A) image files that "&amp;"are exchanged from the user and the seller by matching The input images of the F &amp; A project provide intelligent style services; (d) providing users with recommendation services to users by looking for popular trends, stores, locations, locations, and app"&amp;"ropriate discount prices.")</f>
        <v>A method and system that is used to provide an integrated personal fashion guidance and help that is easy to use on the user's communication devices. It includes: (a) to provide clothing and fitness services after receiving the input images and personal parameters from from receiving the input images and personal parameters. Users; (B) Use body models and sizes and input images of F &amp; A projects to provide a trial service; (C) By matching the past and current fashion and clothing (F &amp; A) image files that are exchanged from the user and the seller by matching The input images of the F &amp; A project provide intelligent style services; (d) providing users with recommendation services to users by looking for popular trends, stores, locations, locations, and appropriate discount prices.</v>
      </c>
      <c r="D2398" s="6" t="s">
        <v>6798</v>
      </c>
      <c r="E2398" s="4" t="str">
        <f ca="1">IFERROR(__xludf.DUMMYFUNCTION("GOOGLETRANSLATE(D2398,""auto"",""en"")"),"Use artificial intelligence and point network database to conduct integrated personal fashion guidance and assistance methods and systems")</f>
        <v>Use artificial intelligence and point network database to conduct integrated personal fashion guidance and assistance methods and systems</v>
      </c>
    </row>
    <row r="2399" spans="1:5" ht="15" x14ac:dyDescent="0.25">
      <c r="A2399" s="5" t="s">
        <v>6799</v>
      </c>
      <c r="B2399" s="6" t="s">
        <v>6800</v>
      </c>
      <c r="C2399" s="3" t="str">
        <f ca="1">IFERROR(__xludf.DUMMYFUNCTION("GOOGLETRANSLATE(B2399,""auto"",""en"")"),"The present invention involves an artificial intelligence intelligent table tennis practice system and operation method,
  The composition of the present invention is the table tennis supply device that launch table tennis to users; a intelligent integr"&amp;"ated sensor device to measure the user's table tennis posture image and one or more table tennis position sensor detection measurement measurement measurement measurement Values ​​are transmitted to smart devices through wired or wireless ways. Communicat"&amp;"ion; transmit the shooting images and location measurement values ​​from wired or wireless communication to receive the shooting image and location measurement value from wired or wireless communication, transmit the receiving table tennis images and posi"&amp;"tion measurement value to the server, and use the shooting image as input. Learning learning model judging the type of table tennis posture. According to the user's table tennis posture type or the measurement value of the table tennis position, the contr"&amp;"ol value of the table tennis supply device is changed, and the role of the user's selected or smart device or server is selected. The server includes the characteristics of using the characteristics of the type of table tennis posture and comparing it wit"&amp;"h the reference image to determine the deep learning learning model of the type of table tennis posture and the function of the exercise results and historical functions used to store users. Character display device; it is characterized by it.")</f>
        <v>The present invention involves an artificial intelligence intelligent table tennis practice system and operation method,
  The composition of the present invention is the table tennis supply device that launch table tennis to users; a intelligent integrated sensor device to measure the user's table tennis posture image and one or more table tennis position sensor detection measurement measurement measurement measurement Values ​​are transmitted to smart devices through wired or wireless ways. Communication; transmit the shooting images and location measurement values ​​from wired or wireless communication to receive the shooting image and location measurement value from wired or wireless communication, transmit the receiving table tennis images and position measurement value to the server, and use the shooting image as input. Learning learning model judging the type of table tennis posture. According to the user's table tennis posture type or the measurement value of the table tennis position, the control value of the table tennis supply device is changed, and the role of the user's selected or smart device or server is selected. The server includes the characteristics of using the characteristics of the type of table tennis posture and comparing it with the reference image to determine the deep learning learning model of the type of table tennis posture and the function of the exercise results and historical functions used to store users. Character display device; it is characterized by it.</v>
      </c>
      <c r="D2399" s="6" t="s">
        <v>6801</v>
      </c>
      <c r="E2399" s="4" t="str">
        <f ca="1">IFERROR(__xludf.DUMMYFUNCTION("GOOGLETRANSLATE(D2399,""auto"",""en"")"),"Artificial intelligence intelligent table tennis practice system and operation method")</f>
        <v>Artificial intelligence intelligent table tennis practice system and operation method</v>
      </c>
    </row>
    <row r="2400" spans="1:5" ht="15" x14ac:dyDescent="0.25">
      <c r="A2400" s="5" t="s">
        <v>6802</v>
      </c>
      <c r="B2400" s="6" t="s">
        <v>6803</v>
      </c>
      <c r="C2400" s="3" t="str">
        <f ca="1">IFERROR(__xludf.DUMMYFUNCTION("GOOGLETRANSLATE(B2400,""auto"",""en"")"),"The present invention provides a Tai Chi push -handed robot for sports and martial arts sparring, which aims to solve the key link of pushing hands in Taijiquan practice. A Tai Chi pushing hand robot for sports and martial arts, including: robot subject, "&amp;"uses human simulation design; drive systems to drive robot subjects to perform action; robots and environmental exchange systems are used to achieve coordination of robots and external equipment; Feel the system to obtain information in the internal and e"&amp;"xternal environment of the robot's subject; control the system to issue the control command of the robot's main action according to the preset program or receiving the external feedback signal; Interactive function. The invention gives the anthropomorphic"&amp;" function of physical robots in the field of sports training, and fills the gap between people and machines in martial arts training.")</f>
        <v>The present invention provides a Tai Chi push -handed robot for sports and martial arts sparring, which aims to solve the key link of pushing hands in Taijiquan practice. A Tai Chi pushing hand robot for sports and martial arts, including: robot subject, uses human simulation design; drive systems to drive robot subjects to perform action; robots and environmental exchange systems are used to achieve coordination of robots and external equipment; Feel the system to obtain information in the internal and external environment of the robot's subject; control the system to issue the control command of the robot's main action according to the preset program or receiving the external feedback signal; Interactive function. The invention gives the anthropomorphic function of physical robots in the field of sports training, and fills the gap between people and machines in martial arts training.</v>
      </c>
      <c r="D2400" s="6" t="s">
        <v>6804</v>
      </c>
      <c r="E2400" s="4" t="str">
        <f ca="1">IFERROR(__xludf.DUMMYFUNCTION("GOOGLETRANSLATE(D2400,""auto"",""en"")"),"A Tai Chi push hand robot for sports and martial arts sparring")</f>
        <v>A Tai Chi push hand robot for sports and martial arts sparring</v>
      </c>
    </row>
    <row r="2401" spans="1:5" ht="15" x14ac:dyDescent="0.25">
      <c r="A2401" s="5" t="s">
        <v>6805</v>
      </c>
      <c r="B2401" s="6" t="s">
        <v>6806</v>
      </c>
      <c r="C2401" s="3" t="str">
        <f ca="1">IFERROR(__xludf.DUMMYFUNCTION("GOOGLETRANSLATE(B2401,""auto"",""en"")"),"The invention disclosed a swimming training evaluation system and method based on convolutional neural networks. The underwater high -definition camera was filmed from the bottom of the pool on the bottom of the swimming pool; the high -definition camera "&amp;"was filled horizontally on the side of the pool on the side of the pool side pool on the side of the pool; Swimming moves forward; the method is to sampling images at intervals, analyze and process the swimming movement data. A complete swimming action cy"&amp;"cle is multiple times as input, swimming scores as output, using convolutional neural networks to establish swimming evaluation models to simulate the swimming posture of athletes. Calculate the performance after the simulation adjustment posture, and the"&amp;"n improve the swimming posture. The present invention is used in the assistance of swimming training. It captures the swimming posture and interval images of the swimming posture and movement through the camera, adjusts and predict the sample swimming mov"&amp;"ement data, and feeds feedback to help improve the swimming performance.")</f>
        <v>The invention disclosed a swimming training evaluation system and method based on convolutional neural networks. The underwater high -definition camera was filmed from the bottom of the pool on the bottom of the swimming pool; the high -definition camera was filled horizontally on the side of the pool on the side of the pool side pool on the side of the pool; Swimming moves forward; the method is to sampling images at intervals, analyze and process the swimming movement data. A complete swimming action cycle is multiple times as input, swimming scores as output, using convolutional neural networks to establish swimming evaluation models to simulate the swimming posture of athletes. Calculate the performance after the simulation adjustment posture, and then improve the swimming posture. The present invention is used in the assistance of swimming training. It captures the swimming posture and interval images of the swimming posture and movement through the camera, adjusts and predict the sample swimming movement data, and feeds feedback to help improve the swimming performance.</v>
      </c>
      <c r="D2401" s="6" t="s">
        <v>6807</v>
      </c>
      <c r="E2401" s="4" t="str">
        <f ca="1">IFERROR(__xludf.DUMMYFUNCTION("GOOGLETRANSLATE(D2401,""auto"",""en"")"),"Swimming training evaluation system and methods based on convolutional neural networks")</f>
        <v>Swimming training evaluation system and methods based on convolutional neural networks</v>
      </c>
    </row>
    <row r="2402" spans="1:5" ht="15" x14ac:dyDescent="0.25">
      <c r="A2402" s="5" t="s">
        <v>6808</v>
      </c>
      <c r="B2402" s="6" t="s">
        <v>6809</v>
      </c>
      <c r="C2402" s="3" t="str">
        <f ca="1">IFERROR(__xludf.DUMMYFUNCTION("GOOGLETRANSLATE(B2402,""auto"",""en"")"),"One of the goals of the present invention is to provide a method of score display system based on deep learning and the operation method of using artificial intelligence mobile applications. The configuration of the present invention is to collect videos "&amp;"and sounds for sports among athletes, teams or users. Terminal; mobile applications transmit the analysis results from the video and sound received from the mobile terminal to the deep learning server, and display the analysis results to the player, team "&amp;"or user; Explain the hybrid characteristics of videos and sound received from mobile applications, and store the results and history of sports events; and how it works.")</f>
        <v>One of the goals of the present invention is to provide a method of score display system based on deep learning and the operation method of using artificial intelligence mobile applications. The configuration of the present invention is to collect videos and sounds for sports among athletes, teams or users. Terminal; mobile applications transmit the analysis results from the video and sound received from the mobile terminal to the deep learning server, and display the analysis results to the player, team or user; Explain the hybrid characteristics of videos and sound received from mobile applications, and store the results and history of sports events; and how it works.</v>
      </c>
      <c r="D2402" s="6" t="s">
        <v>6810</v>
      </c>
      <c r="E2402" s="4" t="str">
        <f ca="1">IFERROR(__xludf.DUMMYFUNCTION("GOOGLETRANSLATE(D2402,""auto"",""en"")"),"Deep learning -based score display system and operation method using mobile applications")</f>
        <v>Deep learning -based score display system and operation method using mobile applications</v>
      </c>
    </row>
    <row r="2403" spans="1:5" ht="15" x14ac:dyDescent="0.25">
      <c r="A2403" s="5" t="s">
        <v>6811</v>
      </c>
      <c r="B2403" s="6" t="s">
        <v>6812</v>
      </c>
      <c r="C2403" s="3" t="str">
        <f ca="1">IFERROR(__xludf.DUMMYFUNCTION("GOOGLETRANSLATE(B2403,""auto"",""en"")"),"This utility model opens a football intelligent robot with a serve, including the base, the first telescopic cylinder, the driving motor, and the second telescopic cylinder. The outer surface is connected to a spherical cylinder through a shaft activity. "&amp;"The top surface of the top of the base is fixed with the first telescopic cylinder. The top fixing welding of the top tendon cylinder has a motor case. The output end of the drive motor is fixed welded with a friction wheel. This utility type can be adjus"&amp;"ted through the first telescopic cylinder, driving motor, friction wheel, and supporting rack composition angle. From its angle, adjustable goal mechanisms can be trained when football trainers are alone, and the angle can be adjusted through the angle. T"&amp;"he angle of its launch can be changed. It can exercise the various ball pose postures of football trainers, and the structure is simple and convenient to operate.")</f>
        <v>This utility model opens a football intelligent robot with a serve, including the base, the first telescopic cylinder, the driving motor, and the second telescopic cylinder. The outer surface is connected to a spherical cylinder through a shaft activity. The top surface of the top of the base is fixed with the first telescopic cylinder. The top fixing welding of the top tendon cylinder has a motor case. The output end of the drive motor is fixed welded with a friction wheel. This utility type can be adjusted through the first telescopic cylinder, driving motor, friction wheel, and supporting rack composition angle. From its angle, adjustable goal mechanisms can be trained when football trainers are alone, and the angle can be adjusted through the angle. The angle of its launch can be changed. It can exercise the various ball pose postures of football trainers, and the structure is simple and convenient to operate.</v>
      </c>
      <c r="D2403" s="6" t="s">
        <v>6813</v>
      </c>
      <c r="E2403" s="4" t="str">
        <f ca="1">IFERROR(__xludf.DUMMYFUNCTION("GOOGLETRANSLATE(D2403,""auto"",""en"")"),"A football intelligent robot with a serve mechanism")</f>
        <v>A football intelligent robot with a serve mechanism</v>
      </c>
    </row>
    <row r="2404" spans="1:5" ht="15" x14ac:dyDescent="0.25">
      <c r="A2404" s="5" t="s">
        <v>6814</v>
      </c>
      <c r="B2404" s="6" t="s">
        <v>6815</v>
      </c>
      <c r="C2404" s="3" t="str">
        <f ca="1">IFERROR(__xludf.DUMMYFUNCTION("GOOGLETRANSLATE(B2404,""auto"",""en"")"),"[Objectives] Strengthen online education by expanding the pseudo -participation of the game after the end of the game.
  [Solution] A kind of information processing system, processing programming competitions in human resources education through network"&amp;" processing AI (artificial intelligence), and providing challenges to the first participants during the competition. The task provides part; the second task provides the task of the second participant after the holding period is over; the solution release"&amp;"d by the first participant will be provided by the first task; The solutions released by the two participants to provide tasks to provide a ranking table for the sequence of evaluation results by the assignment.
  【Selection Figure】 Figure 1")</f>
        <v>[Objectives] Strengthen online education by expanding the pseudo -participation of the game after the end of the game.
  [Solution] A kind of information processing system, processing programming competitions in human resources education through network processing AI (artificial intelligence), and providing challenges to the first participants during the competition. The task provides part; the second task provides the task of the second participant after the holding period is over; the solution released by the first participant will be provided by the first task; The solutions released by the two participants to provide tasks to provide a ranking table for the sequence of evaluation results by the assignment.
  【Selection Figure】 Figure 1</v>
      </c>
      <c r="D2404" s="6" t="s">
        <v>6816</v>
      </c>
      <c r="E2404" s="4" t="str">
        <f ca="1">IFERROR(__xludf.DUMMYFUNCTION("GOOGLETRANSLATE(D2404,""auto"",""en"")"),"Information processing system, information processing method and information processing program")</f>
        <v>Information processing system, information processing method and information processing program</v>
      </c>
    </row>
    <row r="2405" spans="1:5" ht="15" x14ac:dyDescent="0.25">
      <c r="A2405" s="5" t="s">
        <v>6817</v>
      </c>
      <c r="B2405" s="6" t="s">
        <v>6818</v>
      </c>
      <c r="C2405" s="3" t="str">
        <f ca="1">IFERROR(__xludf.DUMMYFUNCTION("GOOGLETRANSLATE(B2405,""auto"",""en"")"),"A volleyball group behavior recognition method based on multimodal information integration is applied in the field of computer vision group behavior recognition. Due to the widespread application of sports analysis, automatic video monitoring system, huma"&amp;"n -machine interaction application, and video recommendation system, group behavior recognition tasks have attracted much attention. For group behavior recognition in multiplayer scenes, the relationship modeling between goals and goals and movement mode "&amp;"can provide visual clues with unique power. The present invention aims to introduce the relationship between image targets and motion modes as multi -mode information, and then use the sequence model GRU to effectively encode this information and global r"&amp;"easoning. Finally, based on the attention mechanism, the information obtained by the inferred module from the perspective of the time domain and obtained the final result. This method realizes group behavior recognition for volleyball data sets, and has v"&amp;"erified the feasibility of the method through testing, and has important application value.")</f>
        <v>A volleyball group behavior recognition method based on multimodal information integration is applied in the field of computer vision group behavior recognition. Due to the widespread application of sports analysis, automatic video monitoring system, human -machine interaction application, and video recommendation system, group behavior recognition tasks have attracted much attention. For group behavior recognition in multiplayer scenes, the relationship modeling between goals and goals and movement mode can provide visual clues with unique power. The present invention aims to introduce the relationship between image targets and motion modes as multi -mode information, and then use the sequence model GRU to effectively encode this information and global reasoning. Finally, based on the attention mechanism, the information obtained by the inferred module from the perspective of the time domain and obtained the final result. This method realizes group behavior recognition for volleyball data sets, and has verified the feasibility of the method through testing, and has important application value.</v>
      </c>
      <c r="D2405" s="6" t="s">
        <v>6819</v>
      </c>
      <c r="E2405" s="4" t="str">
        <f ca="1">IFERROR(__xludf.DUMMYFUNCTION("GOOGLETRANSLATE(D2405,""auto"",""en"")"),"A method of rowing group behavior recognition method based on multi -mode information fusion")</f>
        <v>A method of rowing group behavior recognition method based on multi -mode information fusion</v>
      </c>
    </row>
    <row r="2406" spans="1:5" ht="15" x14ac:dyDescent="0.25">
      <c r="A2406" s="5" t="s">
        <v>6820</v>
      </c>
      <c r="B2406" s="6" t="s">
        <v>6821</v>
      </c>
      <c r="C2406" s="3" t="str">
        <f ca="1">IFERROR(__xludf.DUMMYFUNCTION("GOOGLETRANSLATE(B2406,""auto"",""en"")"),"The purpose of the present invention is to provide a ping -poverty posture correction system and operation method that uses deep learning.
  The configuration of the present invention includes: user device, which is used to receive the shooting posture "&amp;"of table tennis or pre -recorded images; the application can transmit images of table tennis posture collected through user devices to the server and display deep learning through deep learning through deep learning Determine the correction information of"&amp;" the corresponding images; a table tennis posture posture correction system and operation, including the server, which provides deep learning learning models to extract and evaluate the movement posture from the image to the application, and stores the us"&amp;"er table tennis movement The history of correction of posture.")</f>
        <v>The purpose of the present invention is to provide a ping -poverty posture correction system and operation method that uses deep learning.
  The configuration of the present invention includes: user device, which is used to receive the shooting posture of table tennis or pre -recorded images; the application can transmit images of table tennis posture collected through user devices to the server and display deep learning through deep learning through deep learning Determine the correction information of the corresponding images; a table tennis posture posture correction system and operation, including the server, which provides deep learning learning models to extract and evaluate the movement posture from the image to the application, and stores the user table tennis movement The history of correction of posture.</v>
      </c>
      <c r="D2406" s="6" t="s">
        <v>6822</v>
      </c>
      <c r="E2406" s="4" t="str">
        <f ca="1">IFERROR(__xludf.DUMMYFUNCTION("GOOGLETRANSLATE(D2406,""auto"",""en"")"),"Use deep -learning table tennis posture correction system and operation method")</f>
        <v>Use deep -learning table tennis posture correction system and operation method</v>
      </c>
    </row>
    <row r="2407" spans="1:5" ht="15" x14ac:dyDescent="0.25">
      <c r="A2407" s="5" t="s">
        <v>6823</v>
      </c>
      <c r="B2407" s="6" t="s">
        <v>6824</v>
      </c>
      <c r="C2407" s="3" t="str">
        <f ca="1">IFERROR(__xludf.DUMMYFUNCTION("GOOGLETRANSLATE(B2407,""auto"",""en"")"),"A wearable device based on artificial intelligence is used for muscle health monitoring, for muscle reinforcement and rehabilitation. This device includes a motion sensing unit for determining the movement of the limbs and the direction of the limbs and t"&amp;"he force sensing unit for determining muscle activity or vibration related to muscle fiber contraction. At the same time, the subject is performing the exercise procedure. The sensor device can monitor the muscle health of the wearer for a long time, and "&amp;"recommends adaptive exercise solutions based on the potential of health/damaged subjects.")</f>
        <v>A wearable device based on artificial intelligence is used for muscle health monitoring, for muscle reinforcement and rehabilitation. This device includes a motion sensing unit for determining the movement of the limbs and the direction of the limbs and the force sensing unit for determining muscle activity or vibration related to muscle fiber contraction. At the same time, the subject is performing the exercise procedure. The sensor device can monitor the muscle health of the wearer for a long time, and recommends adaptive exercise solutions based on the potential of health/damaged subjects.</v>
      </c>
      <c r="D2407" s="6" t="s">
        <v>6825</v>
      </c>
      <c r="E2407" s="4" t="str">
        <f ca="1">IFERROR(__xludf.DUMMYFUNCTION("GOOGLETRANSLATE(D2407,""auto"",""en"")"),"Auxiliary devices based on artificial intelligence for fitness and rehabilitation applications")</f>
        <v>Auxiliary devices based on artificial intelligence for fitness and rehabilitation applications</v>
      </c>
    </row>
    <row r="2408" spans="1:5" ht="15" x14ac:dyDescent="0.25">
      <c r="A2408" s="5" t="s">
        <v>6826</v>
      </c>
      <c r="B2408" s="6" t="s">
        <v>6827</v>
      </c>
      <c r="C2408" s="3" t="str">
        <f ca="1">IFERROR(__xludf.DUMMYFUNCTION("GOOGLETRANSLATE(B2408,""auto"",""en"")"),"The present invention refers to the control and monitoring center of smart cities, construction and commercial furniture (parking lots, bicycle parking lots, parking tabs, and various public and private means, large -scale display cabinets and smart scree"&amp;"ns, management and communication centers, management and communication centers, management and communication centers, management and communication centers. Interactive screens, digital road signs, toll stations, smart totems, smart enterprise signs drones"&amp;", public transportation, shops, stores, department stores, airports, schools, parks, shopping centers, gymnasiums, stadiums, etc. Digital ads), suitable for external and internal use and public space. The present invention includes a communication channel"&amp;" open 24 hours a day, providing information through the Internet, and a cloud storage system that sends, receive, respond, transmission, and process various information to intelligent leaders through artificial intelligence (HOB). Furniture and intelligen"&amp;"t, commercial, police and road robots.")</f>
        <v>The present invention refers to the control and monitoring center of smart cities, construction and commercial furniture (parking lots, bicycle parking lots, parking tabs, and various public and private means, large -scale display cabinets and smart screens, management and communication centers, management and communication centers, management and communication centers, management and communication centers. Interactive screens, digital road signs, toll stations, smart totems, smart enterprise signs drones, public transportation, shops, stores, department stores, airports, schools, parks, shopping centers, gymnasiums, stadiums, etc. Digital ads), suitable for external and internal use and public space. The present invention includes a communication channel open 24 hours a day, providing information through the Internet, and a cloud storage system that sends, receive, respond, transmission, and process various information to intelligent leaders through artificial intelligence (HOB). Furniture and intelligent, commercial, police and road robots.</v>
      </c>
      <c r="D2408" s="6" t="s">
        <v>6828</v>
      </c>
      <c r="E2408" s="4" t="str">
        <f ca="1">IFERROR(__xludf.DUMMYFUNCTION("GOOGLETRANSLATE(D2408,""auto"",""en"")"),"Smart street furniture with remote management functions")</f>
        <v>Smart street furniture with remote management functions</v>
      </c>
    </row>
    <row r="2409" spans="1:5" ht="15" x14ac:dyDescent="0.25">
      <c r="A2409" s="5" t="s">
        <v>6829</v>
      </c>
      <c r="B2409" s="6" t="s">
        <v>6830</v>
      </c>
      <c r="C2409" s="3" t="str">
        <f ca="1">IFERROR(__xludf.DUMMYFUNCTION("GOOGLETRANSLATE(B2409,""auto"",""en"")"),"A method of artificial intelligence sparring, characterized by: quantitatively testing the position data of the trainee; according to the position of the position, the intelligent processing module is used to infer the level of movement; when the level of"&amp;" the motion is lower than the training standard, formulate a exercise plan; and according to this according to this Sports plan, braking sparring machine module to train the trainee. Among them, while braking the sparring machine module, the steps of the "&amp;"trainer's posture data are performed. Because of the big data that can access the clouds, that is, more data in more databases, you can more effectively simulate the response of a player, or the players at a certain stage. In this way, the effectiveness o"&amp;"f artificial intelligence sparring can surpass the sparring provided by humans and achieve the sparring effect of the degree of election at any time.")</f>
        <v>A method of artificial intelligence sparring, characterized by: quantitatively testing the position data of the trainee; according to the position of the position, the intelligent processing module is used to infer the level of movement; when the level of the motion is lower than the training standard, formulate a exercise plan; and according to this according to this Sports plan, braking sparring machine module to train the trainee. Among them, while braking the sparring machine module, the steps of the trainer's posture data are performed. Because of the big data that can access the clouds, that is, more data in more databases, you can more effectively simulate the response of a player, or the players at a certain stage. In this way, the effectiveness of artificial intelligence sparring can surpass the sparring provided by humans and achieve the sparring effect of the degree of election at any time.</v>
      </c>
      <c r="D2409" s="6" t="s">
        <v>6831</v>
      </c>
      <c r="E2409" s="4" t="str">
        <f ca="1">IFERROR(__xludf.DUMMYFUNCTION("GOOGLETRANSLATE(D2409,""auto"",""en"")"),"Artificial intelligence sparring system and method")</f>
        <v>Artificial intelligence sparring system and method</v>
      </c>
    </row>
    <row r="2410" spans="1:5" ht="15" x14ac:dyDescent="0.25">
      <c r="A2410" s="5" t="s">
        <v>6832</v>
      </c>
      <c r="B2410" s="6" t="s">
        <v>6689</v>
      </c>
      <c r="C2410" s="3" t="str">
        <f ca="1">IFERROR(__xludf.DUMMYFUNCTION("GOOGLETRANSLATE(B2410,""auto"",""en"")"),"The present invention discloses a system and method that provides alerts when transmitting digital content. For example, when the interesting digital content is coming, such as the start of the football game, to guide the attention of one or more audience"&amp;"s to the attention of the audience. To digital content. The present invention is also configured as an embedded business news and alert on the focus of the audience. The system is suitable for manual or automatic activation alarm. In addition, the system "&amp;"can be implemented by an artificial intelligence (AI) system. The system uses deep learning to train to identify the appropriate time to automatically trigger the alarm/business message sequence. You can train the AI ​​system by monitoring manual control "&amp;"activated alert.")</f>
        <v>The present invention discloses a system and method that provides alerts when transmitting digital content. For example, when the interesting digital content is coming, such as the start of the football game, to guide the attention of one or more audiences to the attention of the audience. To digital content. The present invention is also configured as an embedded business news and alert on the focus of the audience. The system is suitable for manual or automatic activation alarm. In addition, the system can be implemented by an artificial intelligence (AI) system. The system uses deep learning to train to identify the appropriate time to automatically trigger the alarm/business message sequence. You can train the AI ​​system by monitoring manual control activated alert.</v>
      </c>
      <c r="D2410" s="6" t="s">
        <v>6833</v>
      </c>
      <c r="E2410" s="4" t="str">
        <f ca="1">IFERROR(__xludf.DUMMYFUNCTION("GOOGLETRANSLATE(D2410,""auto"",""en"")"),"Systems and methods for providing alarms and advertising while transmitting digital content")</f>
        <v>Systems and methods for providing alarms and advertising while transmitting digital content</v>
      </c>
    </row>
    <row r="2411" spans="1:5" ht="15" x14ac:dyDescent="0.25">
      <c r="A2411" s="5" t="s">
        <v>6834</v>
      </c>
      <c r="B2411" s="6" t="s">
        <v>3415</v>
      </c>
      <c r="C2411" s="3" t="str">
        <f ca="1">IFERROR(__xludf.DUMMYFUNCTION("GOOGLETRANSLATE(B2411,""auto"",""en"")"),"This article describes a system and method that generates the prediction of players. Calculate the system to retrieve the broadcast video feedback of sports events. The computing system sends the broadcast video to a unified view. The computing system gen"&amp;"erates multiple data sets based on multiple tracking frames. The computing system is based on the body posture information calibration and the camera associated with each tracking frame. The computing system generates multiple sets of short trajectories b"&amp;"ased on multiple tracking frames and body posture information. The computing system generates a sports field vector for each player in multiple tracking frames to connect each group of short trajectories. The computing system uses a neural network based o"&amp;"n the player's sports field vector to predict the future movement of the player.")</f>
        <v>This article describes a system and method that generates the prediction of players. Calculate the system to retrieve the broadcast video feedback of sports events. The computing system sends the broadcast video to a unified view. The computing system generates multiple data sets based on multiple tracking frames. The computing system is based on the body posture information calibration and the camera associated with each tracking frame. The computing system generates multiple sets of short trajectories based on multiple tracking frames and body posture information. The computing system generates a sports field vector for each player in multiple tracking frames to connect each group of short trajectories. The computing system uses a neural network based on the player's sports field vector to predict the future movement of the player.</v>
      </c>
      <c r="D2411" s="6" t="s">
        <v>3416</v>
      </c>
      <c r="E2411" s="4" t="str">
        <f ca="1">IFERROR(__xludf.DUMMYFUNCTION("GOOGLETRANSLATE(D2411,""auto"",""en"")"),"Used to generate the system and method of tracking the data from the broadcast video")</f>
        <v>Used to generate the system and method of tracking the data from the broadcast video</v>
      </c>
    </row>
    <row r="2412" spans="1:5" ht="15" x14ac:dyDescent="0.25">
      <c r="A2412" s="5" t="s">
        <v>6835</v>
      </c>
      <c r="B2412" s="6" t="s">
        <v>6836</v>
      </c>
      <c r="C2412" s="3" t="str">
        <f ca="1">IFERROR(__xludf.DUMMYFUNCTION("GOOGLETRANSLATE(B2412,""auto"",""en"")"),"Here it provides a system and method of re -identifying players in broadcast video feedback. Calculate the system to retrieve the broadcast video feedback of sports events. Broadcast video feedback includes multiple video frames. The computing system gene"&amp;"rates multiple tracks based on multiple video frames. Each track includes multiple image blocks associated with at least one player. Each image block in multiple image blocks is a subset of the corresponding frames of multiple video frames. For each orbit"&amp;", the computing system generates a image patch. You can see the jersey number of each player in each image patch in the gallery. The computing system matches the track of the gallery through the convolution automatic encoder. The computing system measures"&amp;" the similarity score of each matching orbit through the neural network, and is associated with the two orbit according to the measurement similarity.")</f>
        <v>Here it provides a system and method of re -identifying players in broadcast video feedback. Calculate the system to retrieve the broadcast video feedback of sports events. Broadcast video feedback includes multiple video frames. The computing system generates multiple tracks based on multiple video frames. Each track includes multiple image blocks associated with at least one player. Each image block in multiple image blocks is a subset of the corresponding frames of multiple video frames. For each orbit, the computing system generates a image patch. You can see the jersey number of each player in each image patch in the gallery. The computing system matches the track of the gallery through the convolution automatic encoder. The computing system measures the similarity score of each matching orbit through the neural network, and is associated with the two orbit according to the measurement similarity.</v>
      </c>
      <c r="D2412" s="6" t="s">
        <v>6837</v>
      </c>
      <c r="E2412" s="4" t="str">
        <f ca="1">IFERROR(__xludf.DUMMYFUNCTION("GOOGLETRANSLATE(D2412,""auto"",""en"")"),"The system and method of re -identification of players in the broadcast video")</f>
        <v>The system and method of re -identification of players in the broadcast video</v>
      </c>
    </row>
    <row r="2413" spans="1:5" ht="15" x14ac:dyDescent="0.25">
      <c r="A2413" s="5" t="s">
        <v>6838</v>
      </c>
      <c r="B2413" s="6" t="s">
        <v>6839</v>
      </c>
      <c r="C2413" s="3" t="str">
        <f ca="1">IFERROR(__xludf.DUMMYFUNCTION("GOOGLETRANSLATE(B2413,""auto"",""en"")"),"Here is a system and method of calibrating the mobile camera that calibrates sports events. Calculate the system to retrieve the broadcast video feedback of sports events. Broadcast video feedback includes multiple video frames. The computing system can c"&amp;"apture the component of the game surface caught in each video frame through the neural network mark. The computing system matches the subset of the label video frame with a set of templates with various camera perspectives. The computing system fits the g"&amp;"ame surface model to the label video frame that matches the template set. The computing system uses the light current model to identify the camera movement in each video frame. The computing system based on the fitting surface model and camera motion to g"&amp;"enerate a single stress matrix for each video frame. The computing system calibrates each camera based on a single -response matrix generated by each video frame.")</f>
        <v>Here is a system and method of calibrating the mobile camera that calibrates sports events. Calculate the system to retrieve the broadcast video feedback of sports events. Broadcast video feedback includes multiple video frames. The computing system can capture the component of the game surface caught in each video frame through the neural network mark. The computing system matches the subset of the label video frame with a set of templates with various camera perspectives. The computing system fits the game surface model to the label video frame that matches the template set. The computing system uses the light current model to identify the camera movement in each video frame. The computing system based on the fitting surface model and camera motion to generate a single stress matrix for each video frame. The computing system calibrates each camera based on a single -response matrix generated by each video frame.</v>
      </c>
      <c r="D2413" s="6" t="s">
        <v>6840</v>
      </c>
      <c r="E2413" s="4" t="str">
        <f ca="1">IFERROR(__xludf.DUMMYFUNCTION("GOOGLETRANSLATE(D2413,""auto"",""en"")"),"Systems and methods used to calibrate the mobile camera that capture broadcast videos")</f>
        <v>Systems and methods used to calibrate the mobile camera that capture broadcast videos</v>
      </c>
    </row>
    <row r="2414" spans="1:5" ht="15" x14ac:dyDescent="0.25">
      <c r="A2414" s="5" t="s">
        <v>6841</v>
      </c>
      <c r="B2414" s="6" t="s">
        <v>6842</v>
      </c>
      <c r="C2414" s="3" t="str">
        <f ca="1">IFERROR(__xludf.DUMMYFUNCTION("GOOGLETRANSLATE(B2414,""auto"",""en"")"),"One of the purpose of the present invention is to provide a table tennis training system and operation method that uses the Internet of Things sensor technology. The configuration of the present invention enables users to collect the sensor data generated"&amp;" by his or her swing training through combining table tennis rackets. ; The mobile terminal can receive at least one of the measured data generated by the speed sensor, geomagnetic sensor and vibration sensor of the smart racket set; personal computers th"&amp;"at can receive the same measurement data as the mobile terminal; Data transmission to the server, and provide the analysis results of the measurement data to the user; the website transmits the measurement data collected by a personal computer to the serv"&amp;"er through the same features as the mobile application, and provide users with the analysis results of the measurement data; a management of management; The server can provide the current status and historical records of the measurement data by storing th"&amp;"e measurement data generated with the smart racket cover in mobile applications or websites; a table tennis training system and operation method, which is characterized by: including:")</f>
        <v>One of the purpose of the present invention is to provide a table tennis training system and operation method that uses the Internet of Things sensor technology. The configuration of the present invention enables users to collect the sensor data generated by his or her swing training through combining table tennis rackets. ; The mobile terminal can receive at least one of the measured data generated by the speed sensor, geomagnetic sensor and vibration sensor of the smart racket set; personal computers that can receive the same measurement data as the mobile terminal; Data transmission to the server, and provide the analysis results of the measurement data to the user; the website transmits the measurement data collected by a personal computer to the server through the same features as the mobile application, and provide users with the analysis results of the measurement data; a management of management; The server can provide the current status and historical records of the measurement data by storing the measurement data generated with the smart racket cover in mobile applications or websites; a table tennis training system and operation method, which is characterized by: including:</v>
      </c>
      <c r="D2414" s="6" t="s">
        <v>6843</v>
      </c>
      <c r="E2414" s="4" t="str">
        <f ca="1">IFERROR(__xludf.DUMMYFUNCTION("GOOGLETRANSLATE(D2414,""auto"",""en"")"),"Table tennis training system and operation method of using the Internet of Things sensor technology")</f>
        <v>Table tennis training system and operation method of using the Internet of Things sensor technology</v>
      </c>
    </row>
    <row r="2415" spans="1:5" ht="15" x14ac:dyDescent="0.25">
      <c r="A2415" s="5" t="s">
        <v>6844</v>
      </c>
      <c r="B2415" s="6" t="s">
        <v>6845</v>
      </c>
      <c r="C2415" s="3" t="str">
        <f ca="1">IFERROR(__xludf.DUMMYFUNCTION("GOOGLETRANSLATE(B2415,""auto"",""en"")"),"This publicly describes a system and method for generating athletes tracking predictions. Calculate the system to retrieve the broadcast video feedback of sports events. The computing system sends the broadcast video to a unified view. The computing syste"&amp;"m generates multiple data sets based on multiple tracking frames. Calculate the system based on physical posture information to calibrate the camera associated with each tracking frame. The computing system generates multiple short sets based on multiple "&amp;"tracking frames and physical posture information. The computing system connects each short set by generating a sports field vector for each athletes in multiple tracking frames. The computing system uses a neural network based on athlete's sports field ve"&amp;"ctor to predict the future movement of athletes.")</f>
        <v>This publicly describes a system and method for generating athletes tracking predictions. Calculate the system to retrieve the broadcast video feedback of sports events. The computing system sends the broadcast video to a unified view. The computing system generates multiple data sets based on multiple tracking frames. Calculate the system based on physical posture information to calibrate the camera associated with each tracking frame. The computing system generates multiple short sets based on multiple tracking frames and physical posture information. The computing system connects each short set by generating a sports field vector for each athletes in multiple tracking frames. The computing system uses a neural network based on athlete's sports field vector to predict the future movement of athletes.</v>
      </c>
      <c r="D2415" s="6" t="s">
        <v>6846</v>
      </c>
      <c r="E2415" s="4" t="str">
        <f ca="1">IFERROR(__xludf.DUMMYFUNCTION("GOOGLETRANSLATE(D2415,""auto"",""en"")"),"From a broadcast video to generate a athlete tracking data system and method")</f>
        <v>From a broadcast video to generate a athlete tracking data system and method</v>
      </c>
    </row>
    <row r="2416" spans="1:5" ht="15" x14ac:dyDescent="0.25">
      <c r="A2416" s="5" t="s">
        <v>6847</v>
      </c>
      <c r="B2416" s="6" t="s">
        <v>6848</v>
      </c>
      <c r="C2416" s="3" t="str">
        <f ca="1">IFERROR(__xludf.DUMMYFUNCTION("GOOGLETRANSLATE(B2416,""auto"",""en"")"),"This article revealed a method of generating athletes. The computing system retrieves data from the data storage. The computing system uses an artificial neural network to generate a prediction model. The artificial neural network generates one or more in"&amp;"dividualized embedded, one or more individualized embedded in the athlete -based athlete specific information. The computing system selects one or more features related to each shooting attempts captured in the data. The artificial neural network is at le"&amp;"ast based on one or more individualized embedded and one or more features related to each shooting attempt to learn the results of each shooting attempt.")</f>
        <v>This article revealed a method of generating athletes. The computing system retrieves data from the data storage. The computing system uses an artificial neural network to generate a prediction model. The artificial neural network generates one or more individualized embedded, one or more individualized embedded in the athlete -based athlete specific information. The computing system selects one or more features related to each shooting attempts captured in the data. The artificial neural network is at least based on one or more individualized embedded and one or more features related to each shooting attempt to learn the results of each shooting attempt.</v>
      </c>
      <c r="D2416" s="6" t="s">
        <v>6849</v>
      </c>
      <c r="E2416" s="4" t="str">
        <f ca="1">IFERROR(__xludf.DUMMYFUNCTION("GOOGLETRANSLATE(D2416,""auto"",""en"")"),"Analyze the performance of data and body posture to personalize the performance to personalize the performance")</f>
        <v>Analyze the performance of data and body posture to personalize the performance to personalize the performance</v>
      </c>
    </row>
    <row r="2417" spans="1:5" ht="15" x14ac:dyDescent="0.25">
      <c r="A2417" s="5" t="s">
        <v>6850</v>
      </c>
      <c r="B2417" s="6" t="s">
        <v>6851</v>
      </c>
      <c r="C2417" s="3" t="str">
        <f ca="1">IFERROR(__xludf.DUMMYFUNCTION("GOOGLETRANSLATE(B2417,""auto"",""en"")"),"This publicly provides a system and method of re -identifying the broadcast video feedback to the athletes. Calculate the system to retrieve the broadcast video feedback of sports events. Broadcast video feedback includes multiple video frames. The comput"&amp;"ing system generates multiple traces based on multiple video frames. Each trace includes multiple image patch associated with at least one athlete. Each image patch in multiple image patch is a subset of the corresponding frames in multiple video frames. "&amp;"For each trace, the computing system generate image patch gallery. Each athlete's uniform number can be seen in each image patch of the gallery. The computing system matches the trace of the gallery via the convolution self -encoder. The computing system "&amp;"determines the similarity of each matching trace through the neural network and associates two traces based on the determined similarity.")</f>
        <v>This publicly provides a system and method of re -identifying the broadcast video feedback to the athletes. Calculate the system to retrieve the broadcast video feedback of sports events. Broadcast video feedback includes multiple video frames. The computing system generates multiple traces based on multiple video frames. Each trace includes multiple image patch associated with at least one athlete. Each image patch in multiple image patch is a subset of the corresponding frames in multiple video frames. For each trace, the computing system generate image patch gallery. Each athlete's uniform number can be seen in each image patch of the gallery. The computing system matches the trace of the gallery via the convolution self -encoder. The computing system determines the similarity of each matching trace through the neural network and associates two traces based on the determined similarity.</v>
      </c>
      <c r="D2417" s="6" t="s">
        <v>6852</v>
      </c>
      <c r="E2417" s="4" t="str">
        <f ca="1">IFERROR(__xludf.DUMMYFUNCTION("GOOGLETRANSLATE(D2417,""auto"",""en"")"),"The system and method of re -recognition of the athletes in the broadcast video")</f>
        <v>The system and method of re -recognition of the athletes in the broadcast video</v>
      </c>
    </row>
    <row r="2418" spans="1:5" ht="15" x14ac:dyDescent="0.25">
      <c r="A2418" s="5" t="s">
        <v>6853</v>
      </c>
      <c r="B2418" s="6" t="s">
        <v>6854</v>
      </c>
      <c r="C2418" s="3" t="str">
        <f ca="1">IFERROR(__xludf.DUMMYFUNCTION("GOOGLETRANSLATE(B2418,""auto"",""en"")"),"This article discloses a system and method of calibrating the mobile camera to calibrate sports events. Calculate the system to retrieve the broadcast video feedback of sports events. Broadcast video feedback includes multiple video frames. The computing "&amp;"system is marked by the neural network to be captured in each video frame. The computing system will match the video frame set to match the template set with various camera perspectives. The computing system combines the field model to the labeling video "&amp;"frame that matches the template set. The computing system uses the light flow model to identify the camera movement in each video frame. The computing system is based on the fitting model model and camera movement to generate a single -response matrix for"&amp;" each video frame. The computing system calibrates each camera based on a single -response matrix generated by each video frame.")</f>
        <v>This article discloses a system and method of calibrating the mobile camera to calibrate sports events. Calculate the system to retrieve the broadcast video feedback of sports events. Broadcast video feedback includes multiple video frames. The computing system is marked by the neural network to be captured in each video frame. The computing system will match the video frame set to match the template set with various camera perspectives. The computing system combines the field model to the labeling video frame that matches the template set. The computing system uses the light flow model to identify the camera movement in each video frame. The computing system is based on the fitting model model and camera movement to generate a single -response matrix for each video frame. The computing system calibrates each camera based on a single -response matrix generated by each video frame.</v>
      </c>
      <c r="D2418" s="6" t="s">
        <v>6855</v>
      </c>
      <c r="E2418" s="4" t="str">
        <f ca="1">IFERROR(__xludf.DUMMYFUNCTION("GOOGLETRANSLATE(D2418,""auto"",""en"")"),"The system and method of calibrating to capture the mobile camera that capture the mobile camera")</f>
        <v>The system and method of calibrating to capture the mobile camera that capture the mobile camera</v>
      </c>
    </row>
    <row r="2419" spans="1:5" ht="15" x14ac:dyDescent="0.25">
      <c r="A2419" s="5" t="s">
        <v>6856</v>
      </c>
      <c r="B2419" s="6" t="s">
        <v>6857</v>
      </c>
      <c r="C2419" s="3" t="str">
        <f ca="1">IFERROR(__xludf.DUMMYFUNCTION("GOOGLETRANSLATE(B2419,""auto"",""en"")"),"This article provides a system and method of reconstruction of the player in the video feedback from the video. Calculate the system to retrieve the broadcast video feedback of sports events. Broadcast video feedback includes multiple video frames. The co"&amp;"mputing system generates multiple tracks based on multiple video frames. Each track includes multiple image blocks associated with at least one player. Each image block in multiple image blocks is a subset of the corresponding frames of multiple video fra"&amp;"mes. For each orbit, the computing system generates an image patch. The jersey number of each player can be seen in each image block of the gallery. The computing system matches the track of the gallery through the convolution automatic encoder. The compu"&amp;"ting system measures the similarity score of each matching orbit through the neural network, and is associated with the two orbit according to the measurement similarity.")</f>
        <v>This article provides a system and method of reconstruction of the player in the video feedback from the video. Calculate the system to retrieve the broadcast video feedback of sports events. Broadcast video feedback includes multiple video frames. The computing system generates multiple tracks based on multiple video frames. Each track includes multiple image blocks associated with at least one player. Each image block in multiple image blocks is a subset of the corresponding frames of multiple video frames. For each orbit, the computing system generates an image patch. The jersey number of each player can be seen in each image block of the gallery. The computing system matches the track of the gallery through the convolution automatic encoder. The computing system measures the similarity score of each matching orbit through the neural network, and is associated with the two orbit according to the measurement similarity.</v>
      </c>
      <c r="D2419" s="6" t="s">
        <v>3473</v>
      </c>
      <c r="E2419" s="4" t="str">
        <f ca="1">IFERROR(__xludf.DUMMYFUNCTION("GOOGLETRANSLATE(D2419,""auto"",""en"")"),"The system and method of re -identifying the player in the broadcast video")</f>
        <v>The system and method of re -identifying the player in the broadcast video</v>
      </c>
    </row>
    <row r="2420" spans="1:5" ht="15" x14ac:dyDescent="0.25">
      <c r="A2420" s="5" t="s">
        <v>6858</v>
      </c>
      <c r="B2420" s="6" t="s">
        <v>6859</v>
      </c>
      <c r="C2420" s="3" t="str">
        <f ca="1">IFERROR(__xludf.DUMMYFUNCTION("GOOGLETRANSLATE(B2420,""auto"",""en"")"),"Topic: Comprehensive health management system and method of artificial intelligence assistance
  Summary 
  This public involves systems and methods for remote monitoring multiple health parameters. this 
  The five main aspects of the monitoring of"&amp;" the present invention are physical health and fitness based on the signs of life
  Parameter -based physical health, cognitive health, behavioral health and mental health. this 
  The public content also includes a method of impact on health or combi"&amp;"nation on health.
  Personalized sleep and activity mode and indications, including but not limited to blood
  Stress, blood sugar and obesity.")</f>
        <v>Topic: Comprehensive health management system and method of artificial intelligence assistance
  Summary 
  This public involves systems and methods for remote monitoring multiple health parameters. this 
  The five main aspects of the monitoring of the present invention are physical health and fitness based on the signs of life
  Parameter -based physical health, cognitive health, behavioral health and mental health. this 
  The public content also includes a method of impact on health or combination on health.
  Personalized sleep and activity mode and indications, including but not limited to blood
  Stress, blood sugar and obesity.</v>
      </c>
      <c r="D2420" s="6" t="s">
        <v>6860</v>
      </c>
      <c r="E2420" s="4" t="str">
        <f ca="1">IFERROR(__xludf.DUMMYFUNCTION("GOOGLETRANSLATE(D2420,""auto"",""en"")"),"Artificial Intelligence Auxiliary Comprehensive Health Management System and Methods")</f>
        <v>Artificial Intelligence Auxiliary Comprehensive Health Management System and Methods</v>
      </c>
    </row>
    <row r="2421" spans="1:5" ht="15" x14ac:dyDescent="0.25">
      <c r="A2421" s="5" t="s">
        <v>6861</v>
      </c>
      <c r="B2421" s="6" t="s">
        <v>3415</v>
      </c>
      <c r="C2421" s="3" t="str">
        <f ca="1">IFERROR(__xludf.DUMMYFUNCTION("GOOGLETRANSLATE(B2421,""auto"",""en"")"),"This article describes a system and method that generates the prediction of players. Calculate the system to retrieve the broadcast video feedback of sports events. The computing system sends the broadcast video to a unified view. The computing system gen"&amp;"erates multiple data sets based on multiple tracking frames. The computing system is based on the body posture information calibration and the camera associated with each tracking frame. The computing system generates multiple sets of short trajectories b"&amp;"ased on multiple tracking frames and body posture information. The computing system generates a sports field vector for each player in multiple tracking frames to connect each group of short trajectories. The computing system uses a neural network based o"&amp;"n the player's sports field vector to predict the future movement of the player.")</f>
        <v>This article describes a system and method that generates the prediction of players. Calculate the system to retrieve the broadcast video feedback of sports events. The computing system sends the broadcast video to a unified view. The computing system generates multiple data sets based on multiple tracking frames. The computing system is based on the body posture information calibration and the camera associated with each tracking frame. The computing system generates multiple sets of short trajectories based on multiple tracking frames and body posture information. The computing system generates a sports field vector for each player in multiple tracking frames to connect each group of short trajectories. The computing system uses a neural network based on the player's sports field vector to predict the future movement of the player.</v>
      </c>
      <c r="D2421" s="6" t="s">
        <v>3416</v>
      </c>
      <c r="E2421" s="4" t="str">
        <f ca="1">IFERROR(__xludf.DUMMYFUNCTION("GOOGLETRANSLATE(D2421,""auto"",""en"")"),"Used to generate the system and method of tracking the data from the broadcast video")</f>
        <v>Used to generate the system and method of tracking the data from the broadcast video</v>
      </c>
    </row>
    <row r="2422" spans="1:5" ht="15" x14ac:dyDescent="0.25">
      <c r="A2422" s="5" t="s">
        <v>6862</v>
      </c>
      <c r="B2422" s="6" t="s">
        <v>6836</v>
      </c>
      <c r="C2422" s="3" t="str">
        <f ca="1">IFERROR(__xludf.DUMMYFUNCTION("GOOGLETRANSLATE(B2422,""auto"",""en"")"),"Here it provides a system and method of re -identifying players in broadcast video feedback. Calculate the system to retrieve the broadcast video feedback of sports events. Broadcast video feedback includes multiple video frames. The computing system gene"&amp;"rates multiple tracks based on multiple video frames. Each track includes multiple image blocks associated with at least one player. Each image block in multiple image blocks is a subset of the corresponding frames of multiple video frames. For each orbit"&amp;", the computing system generates a image patch. You can see the jersey number of each player in each image patch in the gallery. The computing system matches the track of the gallery through the convolution automatic encoder. The computing system measures"&amp;" the similarity score of each matching orbit through the neural network, and is associated with the two orbit according to the measurement similarity.")</f>
        <v>Here it provides a system and method of re -identifying players in broadcast video feedback. Calculate the system to retrieve the broadcast video feedback of sports events. Broadcast video feedback includes multiple video frames. The computing system generates multiple tracks based on multiple video frames. Each track includes multiple image blocks associated with at least one player. Each image block in multiple image blocks is a subset of the corresponding frames of multiple video frames. For each orbit, the computing system generates a image patch. You can see the jersey number of each player in each image patch in the gallery. The computing system matches the track of the gallery through the convolution automatic encoder. The computing system measures the similarity score of each matching orbit through the neural network, and is associated with the two orbit according to the measurement similarity.</v>
      </c>
      <c r="D2422" s="6" t="s">
        <v>3473</v>
      </c>
      <c r="E2422" s="4" t="str">
        <f ca="1">IFERROR(__xludf.DUMMYFUNCTION("GOOGLETRANSLATE(D2422,""auto"",""en"")"),"The system and method of re -identifying the player in the broadcast video")</f>
        <v>The system and method of re -identifying the player in the broadcast video</v>
      </c>
    </row>
    <row r="2423" spans="1:5" ht="15" x14ac:dyDescent="0.25">
      <c r="A2423" s="5" t="s">
        <v>6863</v>
      </c>
      <c r="B2423" s="6" t="s">
        <v>3415</v>
      </c>
      <c r="C2423" s="3" t="str">
        <f ca="1">IFERROR(__xludf.DUMMYFUNCTION("GOOGLETRANSLATE(B2423,""auto"",""en"")"),"This article describes a system and method that generates the prediction of players. Calculate the system to retrieve the broadcast video feedback of sports events. The computing system sends the broadcast video to a unified view. The computing system gen"&amp;"erates multiple data sets based on multiple tracking frames. The computing system is based on the body posture information calibration and the camera associated with each tracking frame. The computing system generates multiple sets of short trajectories b"&amp;"ased on multiple tracking frames and body posture information. The computing system generates a sports field vector for each player in multiple tracking frames to connect each group of short trajectories. The computing system uses a neural network based o"&amp;"n the player's sports field vector to predict the future movement of the player.")</f>
        <v>This article describes a system and method that generates the prediction of players. Calculate the system to retrieve the broadcast video feedback of sports events. The computing system sends the broadcast video to a unified view. The computing system generates multiple data sets based on multiple tracking frames. The computing system is based on the body posture information calibration and the camera associated with each tracking frame. The computing system generates multiple sets of short trajectories based on multiple tracking frames and body posture information. The computing system generates a sports field vector for each player in multiple tracking frames to connect each group of short trajectories. The computing system uses a neural network based on the player's sports field vector to predict the future movement of the player.</v>
      </c>
      <c r="D2423" s="6" t="s">
        <v>3416</v>
      </c>
      <c r="E2423" s="4" t="str">
        <f ca="1">IFERROR(__xludf.DUMMYFUNCTION("GOOGLETRANSLATE(D2423,""auto"",""en"")"),"Used to generate the system and method of tracking the data from the broadcast video")</f>
        <v>Used to generate the system and method of tracking the data from the broadcast video</v>
      </c>
    </row>
    <row r="2424" spans="1:5" ht="15" x14ac:dyDescent="0.25">
      <c r="A2424" s="5" t="s">
        <v>6864</v>
      </c>
      <c r="B2424" s="6" t="s">
        <v>6839</v>
      </c>
      <c r="C2424" s="3" t="str">
        <f ca="1">IFERROR(__xludf.DUMMYFUNCTION("GOOGLETRANSLATE(B2424,""auto"",""en"")"),"Here is a system and method of calibrating the mobile camera that calibrates sports events. Calculate the system to retrieve the broadcast video feedback of sports events. Broadcast video feedback includes multiple video frames. The computing system can c"&amp;"apture the component of the game surface caught in each video frame through the neural network mark. The computing system matches the subset of the label video frame with a set of templates with various camera perspectives. The computing system fits the g"&amp;"ame surface model to the label video frame that matches the template set. The computing system uses the light current model to identify the camera movement in each video frame. The computing system based on the fitting surface model and camera motion to g"&amp;"enerate a single stress matrix for each video frame. The computing system calibrates each camera based on a single -response matrix generated by each video frame.")</f>
        <v>Here is a system and method of calibrating the mobile camera that calibrates sports events. Calculate the system to retrieve the broadcast video feedback of sports events. Broadcast video feedback includes multiple video frames. The computing system can capture the component of the game surface caught in each video frame through the neural network mark. The computing system matches the subset of the label video frame with a set of templates with various camera perspectives. The computing system fits the game surface model to the label video frame that matches the template set. The computing system uses the light current model to identify the camera movement in each video frame. The computing system based on the fitting surface model and camera motion to generate a single stress matrix for each video frame. The computing system calibrates each camera based on a single -response matrix generated by each video frame.</v>
      </c>
      <c r="D2424" s="6" t="s">
        <v>483</v>
      </c>
      <c r="E2424" s="4" t="str">
        <f ca="1">IFERROR(__xludf.DUMMYFUNCTION("GOOGLETRANSLATE(D2424,""auto"",""en"")"),"Systems and methods used to calibrate the mobile camera that captures the mobile camera")</f>
        <v>Systems and methods used to calibrate the mobile camera that captures the mobile camera</v>
      </c>
    </row>
    <row r="2425" spans="1:5" ht="15" x14ac:dyDescent="0.25">
      <c r="A2425" s="5" t="s">
        <v>6865</v>
      </c>
      <c r="B2425" s="6" t="s">
        <v>6839</v>
      </c>
      <c r="C2425" s="3" t="str">
        <f ca="1">IFERROR(__xludf.DUMMYFUNCTION("GOOGLETRANSLATE(B2425,""auto"",""en"")"),"Here is a system and method of calibrating the mobile camera that calibrates sports events. Calculate the system to retrieve the broadcast video feedback of sports events. Broadcast video feedback includes multiple video frames. The computing system can c"&amp;"apture the component of the game surface caught in each video frame through the neural network mark. The computing system matches the subset of the label video frame with a set of templates with various camera perspectives. The computing system fits the g"&amp;"ame surface model to the label video frame that matches the template set. The computing system uses the light current model to identify the camera movement in each video frame. The computing system based on the fitting surface model and camera motion to g"&amp;"enerate a single stress matrix for each video frame. The computing system calibrates each camera based on a single -response matrix generated by each video frame.")</f>
        <v>Here is a system and method of calibrating the mobile camera that calibrates sports events. Calculate the system to retrieve the broadcast video feedback of sports events. Broadcast video feedback includes multiple video frames. The computing system can capture the component of the game surface caught in each video frame through the neural network mark. The computing system matches the subset of the label video frame with a set of templates with various camera perspectives. The computing system fits the game surface model to the label video frame that matches the template set. The computing system uses the light current model to identify the camera movement in each video frame. The computing system based on the fitting surface model and camera motion to generate a single stress matrix for each video frame. The computing system calibrates each camera based on a single -response matrix generated by each video frame.</v>
      </c>
      <c r="D2425" s="6" t="s">
        <v>483</v>
      </c>
      <c r="E2425" s="4" t="str">
        <f ca="1">IFERROR(__xludf.DUMMYFUNCTION("GOOGLETRANSLATE(D2425,""auto"",""en"")"),"Systems and methods used to calibrate the mobile camera that captures the mobile camera")</f>
        <v>Systems and methods used to calibrate the mobile camera that captures the mobile camera</v>
      </c>
    </row>
    <row r="2426" spans="1:5" ht="15" x14ac:dyDescent="0.25">
      <c r="A2426" s="5" t="s">
        <v>6866</v>
      </c>
      <c r="B2426" s="6" t="s">
        <v>6867</v>
      </c>
      <c r="C2426" s="3" t="str">
        <f ca="1">IFERROR(__xludf.DUMMYFUNCTION("GOOGLETRANSLATE(B2426,""auto"",""en"")"),"This application disclosed a sports war reporting method, device, electronic equipment and storage media, involving the field of knowledge map technology. The specific implementation plan is: obtain two or more events and event attributes of each competit"&amp;"ion event in the playback information of sports competitions; according to the attributes of more than two events and event attributes of each competition event, build the corresponding context map of the sports competition; The context map corresponding "&amp;"to the sports competition and the pre -set title templates to build the title of the sports war report; through the corresponding vein map of the sports competition and the pre -set database to build the basic information of sports competitions; ; Title, "&amp;"basic information of sports competitions, and key events in sports competitions, and generate sports war reports. The embodiment of this application can associate the game information, which can generate richer sports reports and have stronger readability"&amp;".")</f>
        <v>This application disclosed a sports war reporting method, device, electronic equipment and storage media, involving the field of knowledge map technology. The specific implementation plan is: obtain two or more events and event attributes of each competition event in the playback information of sports competitions; according to the attributes of more than two events and event attributes of each competition event, build the corresponding context map of the sports competition; The context map corresponding to the sports competition and the pre -set title templates to build the title of the sports war report; through the corresponding vein map of the sports competition and the pre -set database to build the basic information of sports competitions; ; Title, basic information of sports competitions, and key events in sports competitions, and generate sports war reports. The embodiment of this application can associate the game information, which can generate richer sports reports and have stronger readability.</v>
      </c>
      <c r="D2426" s="6" t="s">
        <v>6868</v>
      </c>
      <c r="E2426" s="4" t="str">
        <f ca="1">IFERROR(__xludf.DUMMYFUNCTION("GOOGLETRANSLATE(D2426,""auto"",""en"")"),"A sports war reporting method, device, electronic equipment and storage media")</f>
        <v>A sports war reporting method, device, electronic equipment and storage media</v>
      </c>
    </row>
    <row r="2427" spans="1:5" ht="15" x14ac:dyDescent="0.25">
      <c r="A2427" s="5" t="s">
        <v>6869</v>
      </c>
      <c r="B2427" s="6" t="s">
        <v>6870</v>
      </c>
      <c r="C2427" s="3" t="str">
        <f ca="1">IFERROR(__xludf.DUMMYFUNCTION("GOOGLETRANSLATE(B2427,""auto"",""en"")"),"An analysis method based on the group of ice hockey players based on GA and blurred frequent items. It is characterized by the first use of a genetic algorithm to generate the affiliated function and redesign the adaptation function to make the division o"&amp;"f the fuzzy interval more reasonable; then according to the characteristics of ice hockey results, the characteristics of the ice hockey performance are paired. Optimize the affiliated function with the highest adaptation, use the optimized affiliate func"&amp;"tion to blurred the quantitative database; finally introduce the selection strategy of the threshold when the structure of the blurred mode tree is introduced and improved the original algorithm blurred attribute area, retaining more fuzzy areas , Make th"&amp;"e algorithm have better fuzzy frequent items. The invention can more comprehensively and accurately analyze the key factors affecting the athletes 'competition results by testing the abnormal phenomenon in the results of ice hockey players, thereby assist"&amp;"ing the coaches' effective and reasonable guidance to the athletes.")</f>
        <v>An analysis method based on the group of ice hockey players based on GA and blurred frequent items. It is characterized by the first use of a genetic algorithm to generate the affiliated function and redesign the adaptation function to make the division of the fuzzy interval more reasonable; then according to the characteristics of ice hockey results, the characteristics of the ice hockey performance are paired. Optimize the affiliated function with the highest adaptation, use the optimized affiliate function to blurred the quantitative database; finally introduce the selection strategy of the threshold when the structure of the blurred mode tree is introduced and improved the original algorithm blurred attribute area, retaining more fuzzy areas , Make the algorithm have better fuzzy frequent items. The invention can more comprehensively and accurately analyze the key factors affecting the athletes 'competition results by testing the abnormal phenomenon in the results of ice hockey players, thereby assisting the coaches' effective and reasonable guidance to the athletes.</v>
      </c>
      <c r="D2427" s="6" t="s">
        <v>6871</v>
      </c>
      <c r="E2427" s="4" t="str">
        <f ca="1">IFERROR(__xludf.DUMMYFUNCTION("GOOGLETRANSLATE(D2427,""auto"",""en"")"),"An analysis method based on the cause of the clustering of ice hockey players based on GA and blurred items")</f>
        <v>An analysis method based on the cause of the clustering of ice hockey players based on GA and blurred items</v>
      </c>
    </row>
    <row r="2428" spans="1:5" ht="15" x14ac:dyDescent="0.25">
      <c r="A2428" s="5" t="s">
        <v>6872</v>
      </c>
      <c r="B2428" s="6" t="s">
        <v>6873</v>
      </c>
      <c r="C2428" s="3" t="str">
        <f ca="1">IFERROR(__xludf.DUMMYFUNCTION("GOOGLETRANSLATE(B2428,""auto"",""en"")"),"1. Design product name: Live game user interface of the display screen panel.
 2. Design products in this exterior: used to display information.
 3. Design of design products in this appearance: lies in the graphic user interface in the screen.
 4. "&amp;"Pictures or photos that can best show design: Design 1 main view.
 5. Specify design 1 is the basic design.
 6. The purpose of the graphical user interface: The design of the graphic user interface in this exterior design is the livestone graphic user"&amp;" interface of the application software client. The interface is used for team battle competitions or watching comments.
 7. Human -computer interaction method of graphical user interface: In designing 1 main view, when the user clicks the ""START"" cont"&amp;"rol in the middle of the main view, the ""Ready"" prompt appears in the user's area. The next game starts, presenting the main view of the main view. To the interface changes in the interface changes, the interface change.
 At the end of the team battle"&amp;", the floating window of the game results popped up in the middle of the interface, showing the interface change of the interface change state. 2 to the interface changes.
 Users can click on the interface change state. Figure 3 Ritting controls perform"&amp;" more operations.
 In the design 2 main view, when the user clicks the additional number control in the middle of the main view to invite friends. When the friend joins, the additional control is transformed into a friend avatar, showing the interface c"&amp;"hange from the main view to the interface state change state.
 When the user clicks the ""Start"" control, the user's area appears ""Ready"" prompts, and then the competition starts, showing the interface change of the interface changes to the interface"&amp;" changes.
 At the end of the team battle, the floating window of the game results popped up in the middle of the interface, showing the interface change of the interface change state. 3 to the interface changes.
 Users can click on the interface chang"&amp;"e state Figure 4 to perform more operations.
 The blank areas in each design interface are content screens, such as user avatars, pictures, etc.
 The fork number in each design interface represents text and/or numbers.
 8. The display screen panel c"&amp;"an be used for mobile phones, computers, tablets, and car navigators.")</f>
        <v>1. Design product name: Live game user interface of the display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The design of the graphic user interface in this exterior design is the livestone graphic user interface of the application software client. The interface is used for team battle competitions or watching comments.
 7. Human -computer interaction method of graphical user interface: In designing 1 main view, when the user clicks the "START" control in the middle of the main view, the "Ready" prompt appears in the user's area. The next game starts, presenting the main view of the main view. To the interface changes in the interface changes, the interface change.
 At the end of the team battle, the floating window of the game results popped up in the middle of the interface, showing the interface change of the interface change state. 2 to the interface changes.
 Users can click on the interface change state. Figure 3 Ritting controls perform more operations.
 In the design 2 main view, when the user clicks the additional number control in the middle of the main view to invite friends. When the friend joins, the additional control is transformed into a friend avatar, showing the interface change from the main view to the interface state change state.
 When the user clicks the "Start" control, the user's area appears "Ready" prompts, and then the competition starts, showing the interface change of the interface changes to the interface changes.
 At the end of the team battle, the floating window of the game results popped up in the middle of the interface, showing the interface change of the interface change state. 3 to the interface changes.
 Users can click on the interface change state Figure 4 to perform more operations.
 The blank areas in each design interface are content screens, such as user avatars, pictures, etc.
 The fork number in each design interface represents text and/or numbers.
 8. The display screen panel can be used for mobile phones, computers, tablets, and car navigators.</v>
      </c>
      <c r="D2428" s="6" t="s">
        <v>6874</v>
      </c>
      <c r="E2428" s="4" t="str">
        <f ca="1">IFERROR(__xludf.DUMMYFUNCTION("GOOGLETRANSLATE(D2428,""auto"",""en"")"),"Live game user interface of the display screen panel")</f>
        <v>Live game user interface of the display screen panel</v>
      </c>
    </row>
    <row r="2429" spans="1:5" ht="15" x14ac:dyDescent="0.25">
      <c r="A2429" s="5" t="s">
        <v>6875</v>
      </c>
      <c r="B2429" s="6" t="s">
        <v>6876</v>
      </c>
      <c r="C2429" s="3" t="str">
        <f ca="1">IFERROR(__xludf.DUMMYFUNCTION("GOOGLETRANSLATE(B2429,""auto"",""en"")"),"This creation is related to the instant time rescue system of a swimming pool IoT. It is made from a bracelet and a waterproof controller. Among them, it is equipped with a waterproof heartbeat sensing module and waterproof temperature sensing module to d"&amp;"etect the heartbeat and body temperature of the wearer And waterproof tactile sensing module, can press for a long time in an emergency to display the dangerous state on the waterproof RGBLED module. The rescue system is used to control the sliding rail m"&amp;"odule, the lifeburn launch module and the alarm system of life -saving. The device confirms the physiological status of the wearer and achieves the safety monitoring of swimmers in the pool to ensure the safety purpose of swimmer being rescued in real -ti"&amp;"me rescue in emergency situations.")</f>
        <v>This creation is related to the instant time rescue system of a swimming pool IoT. It is made from a bracelet and a waterproof controller. Among them, it is equipped with a waterproof heartbeat sensing module and waterproof temperature sensing module to detect the heartbeat and body temperature of the wearer And waterproof tactile sensing module, can press for a long time in an emergency to display the dangerous state on the waterproof RGBLED module. The rescue system is used to control the sliding rail module, the lifeburn launch module and the alarm system of life -saving. The device confirms the physiological status of the wearer and achieves the safety monitoring of swimmers in the pool to ensure the safety purpose of swimmer being rescued in real -time rescue in emergency situations.</v>
      </c>
      <c r="D2429" s="6" t="s">
        <v>6877</v>
      </c>
      <c r="E2429" s="4" t="str">
        <f ca="1">IFERROR(__xludf.DUMMYFUNCTION("GOOGLETRANSLATE(D2429,""auto"",""en"")"),"Swimming IoT Instant Rescue System")</f>
        <v>Swimming IoT Instant Rescue System</v>
      </c>
    </row>
    <row r="2430" spans="1:5" ht="15" x14ac:dyDescent="0.25">
      <c r="A2430" s="5" t="s">
        <v>6878</v>
      </c>
      <c r="B2430" s="6" t="s">
        <v>6879</v>
      </c>
      <c r="C2430" s="3" t="str">
        <f ca="1">IFERROR(__xludf.DUMMYFUNCTION("GOOGLETRANSLATE(B2430,""auto"",""en"")"),"The present invention involves the use of machine learning -based smart floating panels to analyze the system and methods of underwater movement of users. According to the use of the example of the invention, the use of machine learning based on smart flo"&amp;"ating board analysis The user's underwater movement system is the user's swimming pose, the underwater exercise rehabilitation training, or the sensor -based underwater motion monitoring and analysis. It has a built -in space for installing electronic equ"&amp;"ipment in the predetermined site of the body; a sensor for measuring the movement of the movement of the user using floating plates in the underwater or operating underwater; Machine learning model to infer the data measured by sensors to classify and ana"&amp;"lyze the user's swimming or underwater movement; wireless communication module, which is used to transmit the data after the classification and analysis of microprocessors to external devices. And wireless communication modules provide drive power. Accord"&amp;"ing to the present invention, using a sensor -based intelligent floating plate measurement and analyzing user underwater movement based on machine learning, thereby correcting swimming balance and posture, identifying the type and quality of motion, or ab"&amp;"normal conditions to quickly detect and respond.")</f>
        <v>The present invention involves the use of machine learning -based smart floating panels to analyze the system and methods of underwater movement of users. According to the use of the example of the invention, the use of machine learning based on smart floating board analysis The user's underwater movement system is the user's swimming pose, the underwater exercise rehabilitation training, or the sensor -based underwater motion monitoring and analysis. It has a built -in space for installing electronic equipment in the predetermined site of the body; a sensor for measuring the movement of the movement of the user using floating plates in the underwater or operating underwater; Machine learning model to infer the data measured by sensors to classify and analyze the user's swimming or underwater movement; wireless communication module, which is used to transmit the data after the classification and analysis of microprocessors to external devices. And wireless communication modules provide drive power. According to the present invention, using a sensor -based intelligent floating plate measurement and analyzing user underwater movement based on machine learning, thereby correcting swimming balance and posture, identifying the type and quality of motion, or abnormal conditions to quickly detect and respond.</v>
      </c>
      <c r="D2430" s="6" t="s">
        <v>6880</v>
      </c>
      <c r="E2430" s="4" t="str">
        <f ca="1">IFERROR(__xludf.DUMMYFUNCTION("GOOGLETRANSLATE(D2430,""auto"",""en"")"),"User underwater sports analysis systems and methods using smart kick -based kick -based kick -based kick -based kick boards")</f>
        <v>User underwater sports analysis systems and methods using smart kick -based kick -based kick -based kick -based kick boards</v>
      </c>
    </row>
    <row r="2431" spans="1:5" ht="15" x14ac:dyDescent="0.25">
      <c r="A2431" s="5" t="s">
        <v>6881</v>
      </c>
      <c r="B2431" s="6" t="s">
        <v>6882</v>
      </c>
      <c r="C2431" s="3" t="str">
        <f ca="1">IFERROR(__xludf.DUMMYFUNCTION("GOOGLETRANSLATE(B2431,""auto"",""en"")"),"FDML-Fitness: Use machine learning and deep learning to export fitness functions. Abstract My invention of ""FDML-Fitness"" a method of using machine learning and deep learning to solve the method of complex problems with the results of ""approximation+po"&amp;"sitive"" (incident) or ""approximate negative"" results (incidents did not occur). The modern probability of modernity is very low, and the consequences of positive results are significant. Obtain training and test data, and extract another set of the dat"&amp;"a to apply to deep learning systems. Training and testing data include some records in the records corresponding to the positive results, some nearest neighbors in the records corresponding to negative results, and some other records corresponding to nega"&amp;"tive results. Machine learning, deep learning systems use coordinated evolution methods to obtain a regular set for predicting results after multiple cycles. ""FDML-Fitness"" uses the adaptation function exported to the type of problem type, such as a rul"&amp;"e-based sensitivity and adaptation function of positive predictive values. In this prediction, the adaptation function data is fully mapped among Indians.")</f>
        <v>FDML-Fitness: Use machine learning and deep learning to export fitness functions. Abstract My invention of "FDML-Fitness" a method of using machine learning and deep learning to solve the method of complex problems with the results of "approximation+positive" (incident) or "approximate negative" results (incidents did not occur). The modern probability of modernity is very low, and the consequences of positive results are significant. Obtain training and test data, and extract another set of the data to apply to deep learning systems. Training and testing data include some records in the records corresponding to the positive results, some nearest neighbors in the records corresponding to negative results, and some other records corresponding to negative results. Machine learning, deep learning systems use coordinated evolution methods to obtain a regular set for predicting results after multiple cycles. "FDML-Fitness" uses the adaptation function exported to the type of problem type, such as a rule-based sensitivity and adaptation function of positive predictive values. In this prediction, the adaptation function data is fully mapped among Indians.</v>
      </c>
      <c r="D2431" s="6" t="s">
        <v>6883</v>
      </c>
      <c r="E2431" s="4" t="str">
        <f ca="1">IFERROR(__xludf.DUMMYFUNCTION("GOOGLETRANSLATE(D2431,""auto"",""en"")"),"FDML-Fitness: Using the adaptation function of the export of machine learning and deep learning.")</f>
        <v>FDML-Fitness: Using the adaptation function of the export of machine learning and deep learning.</v>
      </c>
    </row>
    <row r="2432" spans="1:5" ht="15" x14ac:dyDescent="0.25">
      <c r="A2432" s="5" t="s">
        <v>6884</v>
      </c>
      <c r="B2432" s="6" t="s">
        <v>6885</v>
      </c>
      <c r="C2432" s="3" t="str">
        <f ca="1">IFERROR(__xludf.DUMMYFUNCTION("GOOGLETRANSLATE(B2432,""auto"",""en"")"),"The present invention disclosed a kind of smart human -computer interaction system of the blind tennis field, including the blind tennis sports field smart human -computer interaction system with 2 pairs of wireless earphone sports headphones and 4 wide -"&amp;"angle cameras. Tennis hats with special colors arrows, special colors and sound source tennis, the system now automatically obtains the position and status of blind athletes and tennis, and can intelligently remind the blind athletes how to exercise, dete"&amp;"rmine whether fouls, etc., intelligentization, etc., intelligentization, etc. The degree of high degree, the smart human -computer interaction system designed by the present invention adopts multi -camera multi -angle detection and positioning, wireless h"&amp;"eadphones voice prompts the blind athletes related to the prompt, comfortable exercise, low cost and high degree of intelligence, easy to blind people, easy to blind people Carry out tennis.")</f>
        <v>The present invention disclosed a kind of smart human -computer interaction system of the blind tennis field, including the blind tennis sports field smart human -computer interaction system with 2 pairs of wireless earphone sports headphones and 4 wide -angle cameras. Tennis hats with special colors arrows, special colors and sound source tennis, the system now automatically obtains the position and status of blind athletes and tennis, and can intelligently remind the blind athletes how to exercise, determine whether fouls, etc., intelligentization, etc., intelligentization, etc. The degree of high degree, the smart human -computer interaction system designed by the present invention adopts multi -camera multi -angle detection and positioning, wireless headphones voice prompts the blind athletes related to the prompt, comfortable exercise, low cost and high degree of intelligence, easy to blind people, easy to blind people Carry out tennis.</v>
      </c>
      <c r="D2432" s="6" t="s">
        <v>6886</v>
      </c>
      <c r="E2432" s="4" t="str">
        <f ca="1">IFERROR(__xludf.DUMMYFUNCTION("GOOGLETRANSLATE(D2432,""auto"",""en"")"),"A kind of blind tennis sports field smart man -machine interaction system")</f>
        <v>A kind of blind tennis sports field smart man -machine interaction system</v>
      </c>
    </row>
    <row r="2433" spans="1:5" ht="15" x14ac:dyDescent="0.25">
      <c r="A2433" s="5" t="s">
        <v>6887</v>
      </c>
      <c r="B2433" s="6" t="s">
        <v>6888</v>
      </c>
      <c r="C2433" s="3" t="str">
        <f ca="1">IFERROR(__xludf.DUMMYFUNCTION("GOOGLETRANSLATE(B2433,""auto"",""en"")"),"The technology used to fill the audiovisual editing (for example, the audiovisual editing of sports events) is to make the editing have a predetermined duration, so that the editing of the filled editing of the viewer's interest evaluation can be evaluate"&amp;"d by the viewer's interest. if. Unopened editing fills with audiovisual fragments, which will cause the filling editing to have the level where the audience is interested in if it is not filled. Filling fragments are synthetic images generated by generati"&amp;"ng confrontation networks, so that synthetic images will have the same level of audience interest (judgment by ML algorithm (310)), as if the uns filter is shot longer.")</f>
        <v>The technology used to fill the audiovisual editing (for example, the audiovisual editing of sports events) is to make the editing have a predetermined duration, so that the editing of the filled editing of the viewer's interest evaluation can be evaluated by the viewer's interest. if. Unopened editing fills with audiovisual fragments, which will cause the filling editing to have the level where the audience is interested in if it is not filled. Filling fragments are synthetic images generated by generating confrontation networks, so that synthetic images will have the same level of audience interest (judgment by ML algorithm (310)), as if the uns filter is shot longer.</v>
      </c>
      <c r="D2433" s="6" t="s">
        <v>6011</v>
      </c>
      <c r="E2433" s="4" t="str">
        <f ca="1">IFERROR(__xludf.DUMMYFUNCTION("GOOGLETRANSLATE(D2433,""auto"",""en"")"),"Dynamic audiovisual fragments used for machine learning")</f>
        <v>Dynamic audiovisual fragments used for machine learning</v>
      </c>
    </row>
    <row r="2434" spans="1:5" ht="15" x14ac:dyDescent="0.25">
      <c r="A2434" s="5" t="s">
        <v>6889</v>
      </c>
      <c r="B2434" s="6" t="s">
        <v>6890</v>
      </c>
      <c r="C2434" s="3" t="str">
        <f ca="1">IFERROR(__xludf.DUMMYFUNCTION("GOOGLETRANSLATE(B2434,""auto"",""en"")"),"The technology for filling the audiovisual editing (e.g., an audiovisual editing of sports events) is used to enable the editing to have a scheduled time to enable the filling to evaluate the interests of viewers through machine learning (ML) algorithm (3"&amp;"10). Use one or more audiovisual fragments to fill in unsatisted editing. The audiovisual clip will make the filled editing have the interest level of viewers who have the interest of viewers without filling the editing. The filled fragment is a synthetic"&amp;" image generated by the generated opponent network, so that the synthetic image will have the level of interest level (ML algorithm (310)) with a clip that has been photographed as long as the same as.")</f>
        <v>The technology for filling the audiovisual editing (e.g., an audiovisual editing of sports events) is used to enable the editing to have a scheduled time to enable the filling to evaluate the interests of viewers through machine learning (ML) algorithm (310). Use one or more audiovisual fragments to fill in unsatisted editing. The audiovisual clip will make the filled editing have the interest level of viewers who have the interest of viewers without filling the editing. The filled fragment is a synthetic image generated by the generated opponent network, so that the synthetic image will have the level of interest level (ML algorithm (310)) with a clip that has been photographed as long as the same as.</v>
      </c>
      <c r="D2434" s="6" t="s">
        <v>6891</v>
      </c>
      <c r="E2434" s="4" t="str">
        <f ca="1">IFERROR(__xludf.DUMMYFUNCTION("GOOGLETRANSLATE(D2434,""auto"",""en"")"),"Dynamic audio fragments used for machine learning")</f>
        <v>Dynamic audio fragments used for machine learning</v>
      </c>
    </row>
    <row r="2435" spans="1:5" ht="15" x14ac:dyDescent="0.25">
      <c r="A2435" s="5" t="s">
        <v>6892</v>
      </c>
      <c r="B2435" s="6" t="s">
        <v>6888</v>
      </c>
      <c r="C2435" s="3" t="str">
        <f ca="1">IFERROR(__xludf.DUMMYFUNCTION("GOOGLETRANSLATE(B2435,""auto"",""en"")"),"The technology used to fill the audiovisual editing (for example, the audiovisual editing of sports events) is to make the editing have a predetermined duration, so that the editing of the filled editing of the viewer's interest evaluation can be evaluate"&amp;"d by the viewer's interest. if. Unopened editing fills with audiovisual fragments, which will cause the filling editing to have the level where the audience is interested in if it is not filled. Filling fragments are synthetic images generated by generati"&amp;"ng confrontation networks, so that synthetic images will have the same level of audience interest (judgment by ML algorithm (310)), as if the uns filter is shot longer.")</f>
        <v>The technology used to fill the audiovisual editing (for example, the audiovisual editing of sports events) is to make the editing have a predetermined duration, so that the editing of the filled editing of the viewer's interest evaluation can be evaluated by the viewer's interest. if. Unopened editing fills with audiovisual fragments, which will cause the filling editing to have the level where the audience is interested in if it is not filled. Filling fragments are synthetic images generated by generating confrontation networks, so that synthetic images will have the same level of audience interest (judgment by ML algorithm (310)), as if the uns filter is shot longer.</v>
      </c>
      <c r="D2435" s="6" t="s">
        <v>6011</v>
      </c>
      <c r="E2435" s="4" t="str">
        <f ca="1">IFERROR(__xludf.DUMMYFUNCTION("GOOGLETRANSLATE(D2435,""auto"",""en"")"),"Dynamic audiovisual fragments used for machine learning")</f>
        <v>Dynamic audiovisual fragments used for machine learning</v>
      </c>
    </row>
    <row r="2436" spans="1:5" ht="15" x14ac:dyDescent="0.25">
      <c r="A2436" s="5" t="s">
        <v>6893</v>
      </c>
      <c r="B2436" s="6" t="s">
        <v>6894</v>
      </c>
      <c r="C2436" s="3" t="str">
        <f ca="1">IFERROR(__xludf.DUMMYFUNCTION("GOOGLETRANSLATE(B2436,""auto"",""en"")"),"It is used to fill the audiovisual editing (such as the audiovisual editing of sports events). It has a technique that has a scheduled duration in the editing so that machine learning (ML) algorithm can evaluate the filling editing to gain the interest of"&amp;" the audience. Unopened editing is filled with audiovisual clips, so that the editing of the filling has the level of interest that the audience is interested in when the editing that is not filled for a long time. In some embodiments, the filling clips a"&amp;"re adjusted, so that synthetic images have the same level of interest level (determined by the ML algorithm), as if the unopened editing has been taken longer. Synthetic images generated by generating confrontation networks.")</f>
        <v>It is used to fill the audiovisual editing (such as the audiovisual editing of sports events). It has a technique that has a scheduled duration in the editing so that machine learning (ML) algorithm can evaluate the filling editing to gain the interest of the audience. Unopened editing is filled with audiovisual clips, so that the editing of the filling has the level of interest that the audience is interested in when the editing that is not filled for a long time. In some embodiments, the filling clips are adjusted, so that synthetic images have the same level of interest level (determined by the ML algorithm), as if the unopened editing has been taken longer. Synthetic images generated by generating confrontation networks.</v>
      </c>
      <c r="D2436" s="6" t="s">
        <v>6895</v>
      </c>
      <c r="E2436" s="4" t="str">
        <f ca="1">IFERROR(__xludf.DUMMYFUNCTION("GOOGLETRANSLATE(D2436,""auto"",""en"")"),"Dynamic audiovisual segment filling in machine learning")</f>
        <v>Dynamic audiovisual segment filling in machine learning</v>
      </c>
    </row>
    <row r="2437" spans="1:5" ht="15" x14ac:dyDescent="0.25">
      <c r="A2437" s="5" t="s">
        <v>6896</v>
      </c>
      <c r="B2437" s="6" t="s">
        <v>6897</v>
      </c>
      <c r="C2437" s="3" t="str">
        <f ca="1">IFERROR(__xludf.DUMMYFUNCTION("GOOGLETRANSLATE(B2437,""auto"",""en"")"),"The present invention involves an underwater safety first -aid intelligent robot, including the base shell, which is set with inner concave cavities at the top of the base shell. The airbag start -up mechanical device includes a driver component, battery "&amp;"and control board installed inside the internal capsule of the base shell. The control board is connected to the drive component and battery. Connected to the active arm, the active arm is rotated at the end of the installation of the motor arm. The one e"&amp;"nd of the motor arm is connected to the auxiliary airbag starting mechanical device. There is a walking mechanism at the bottom of the shell, and the top of the base shell is also installed with a detection danger sensing device. The work of the present i"&amp;"nvention is safe and reliable, flexible, but not only can satisfy a variety of types of swimming pools, but also play a certain protective role in single -person swimming.")</f>
        <v>The present invention involves an underwater safety first -aid intelligent robot, including the base shell, which is set with inner concave cavities at the top of the base shell. The airbag start -up mechanical device includes a driver component, battery and control board installed inside the internal capsule of the base shell. The control board is connected to the drive component and battery. Connected to the active arm, the active arm is rotated at the end of the installation of the motor arm. The one end of the motor arm is connected to the auxiliary airbag starting mechanical device. There is a walking mechanism at the bottom of the shell, and the top of the base shell is also installed with a detection danger sensing device. The work of the present invention is safe and reliable, flexible, but not only can satisfy a variety of types of swimming pools, but also play a certain protective role in single -person swimming.</v>
      </c>
      <c r="D2437" s="6" t="s">
        <v>6898</v>
      </c>
      <c r="E2437" s="4" t="str">
        <f ca="1">IFERROR(__xludf.DUMMYFUNCTION("GOOGLETRANSLATE(D2437,""auto"",""en"")"),"A kind of underwater safety first aid intelligent robot")</f>
        <v>A kind of underwater safety first aid intelligent robot</v>
      </c>
    </row>
    <row r="2438" spans="1:5" ht="15" x14ac:dyDescent="0.25">
      <c r="A2438" s="5" t="s">
        <v>6899</v>
      </c>
      <c r="B2438" s="6" t="s">
        <v>6900</v>
      </c>
      <c r="C2438" s="3" t="str">
        <f ca="1">IFERROR(__xludf.DUMMYFUNCTION("GOOGLETRANSLATE(B2438,""auto"",""en"")"),"The present invention disclosed a healthy slimming method and package recommendation system, which is the field of weight loss technology, including the following steps: S1: Formulate to determine the user's fat weight according to the user's physical qua"&amp;"lity information; S2: used to match from the fitness database matching N projects that meet the conditions and sports preferences of users; S3: It is used to train N sports models with pre -trained health sports models; S4: Refers to the sports plan movem"&amp;"ent by users; Food grams and oils are prepared for food and diet. Calculate the calorie consumed by the user's daily weight loss according to the target fatter degree of the user during the planning time, and then match the own conditions that meet the us"&amp;"er's own conditions and some of the sports preferences of the day's sports. Users are also in line with the personalized sports solution that users like, which helps the user's health and improves the user's weight loss.")</f>
        <v>The present invention disclosed a healthy slimming method and package recommendation system, which is the field of weight loss technology, including the following steps: S1: Formulate to determine the user's fat weight according to the user's physical quality information; S2: used to match from the fitness database matching N projects that meet the conditions and sports preferences of users; S3: It is used to train N sports models with pre -trained health sports models; S4: Refers to the sports plan movement by users; Food grams and oils are prepared for food and diet. Calculate the calorie consumed by the user's daily weight loss according to the target fatter degree of the user during the planning time, and then match the own conditions that meet the user's own conditions and some of the sports preferences of the day's sports. Users are also in line with the personalized sports solution that users like, which helps the user's health and improves the user's weight loss.</v>
      </c>
      <c r="D2438" s="6" t="s">
        <v>6901</v>
      </c>
      <c r="E2438" s="4" t="str">
        <f ca="1">IFERROR(__xludf.DUMMYFUNCTION("GOOGLETRANSLATE(D2438,""auto"",""en"")"),"A health slimming method and package recommendation system")</f>
        <v>A health slimming method and package recommendation system</v>
      </c>
    </row>
    <row r="2439" spans="1:5" ht="15" x14ac:dyDescent="0.25">
      <c r="A2439" s="5" t="s">
        <v>6902</v>
      </c>
      <c r="B2439" s="6" t="s">
        <v>6903</v>
      </c>
      <c r="C2439" s="3" t="str">
        <f ca="1">IFERROR(__xludf.DUMMYFUNCTION("GOOGLETRANSLATE(B2439,""auto"",""en"")"),"A fantasy sports visual simulation system provides audiovisual experience, allowing competitors and audiences to watch virtual fantasy sports competition video game models. These simulations can occur at any time between any two or more competitors, such "&amp;"as mini competitions in a wider league background. Once the alliance is established and the list of teams is established, numerical calculations will be performed based on the statistical data of the real athletes to determine the current performance of a"&amp;"ll virtual athletes in the game. Artificial intelligence, guidance, randomization and other factors can provide further simulation input. This statistical analysis is the basis for distributing performance variables for each virtual athlete. It allows the"&amp;" system to calculate the value point value based on the performance of each virtual athlete and team in this fantasy sports visual simulation system. Participants can experience simulation through various audiovisual equipment, including expansion reality"&amp;".")</f>
        <v>A fantasy sports visual simulation system provides audiovisual experience, allowing competitors and audiences to watch virtual fantasy sports competition video game models. These simulations can occur at any time between any two or more competitors, such as mini competitions in a wider league background. Once the alliance is established and the list of teams is established, numerical calculations will be performed based on the statistical data of the real athletes to determine the current performance of all virtual athletes in the game. Artificial intelligence, guidance, randomization and other factors can provide further simulation input. This statistical analysis is the basis for distributing performance variables for each virtual athlete. It allows the system to calculate the value point value based on the performance of each virtual athlete and team in this fantasy sports visual simulation system. Participants can experience simulation through various audiovisual equipment, including expansion reality.</v>
      </c>
      <c r="D2439" s="6" t="s">
        <v>6904</v>
      </c>
      <c r="E2439" s="4" t="str">
        <f ca="1">IFERROR(__xludf.DUMMYFUNCTION("GOOGLETRANSLATE(D2439,""auto"",""en"")"),"Visually representing virtual fantasy sports competition II")</f>
        <v>Visually representing virtual fantasy sports competition II</v>
      </c>
    </row>
    <row r="2440" spans="1:5" ht="15" x14ac:dyDescent="0.25">
      <c r="A2440" s="5" t="s">
        <v>6905</v>
      </c>
      <c r="B2440" s="6" t="s">
        <v>6906</v>
      </c>
      <c r="C2440" s="3" t="str">
        <f ca="1">IFERROR(__xludf.DUMMYFUNCTION("GOOGLETRANSLATE(B2440,""auto"",""en"")"),"1. Design product name: Sports fitness guidance assistant interface (web).
 2. Design product designed products: It is used to run the PC -based unmanned coach movement guidance software based on artificial intelligence.
 3. Design of the design of th"&amp;"e product in this exterior: lies in the interface change state Figure 1.
 4. Pictures or photos that can best show design points: Figure 1 of the interface change state.
 5. The purpose of the graphical user interface: It is used to run the PC -based "&amp;"unmanned coach movement software based on artificial intelligence.
 6. Human -computer interaction method of graphical user interface: touch and body sensor.")</f>
        <v>1. Design product name: Sports fitness guidance assistant interface (web).
 2. Design product designed products: It is used to run the PC -based unmanned coach movement guidance software based on artificial intelligence.
 3. Design of the design of the product in this exterior: lies in the interface change state Figure 1.
 4. Pictures or photos that can best show design points: Figure 1 of the interface change state.
 5. The purpose of the graphical user interface: It is used to run the PC -based unmanned coach movement software based on artificial intelligence.
 6. Human -computer interaction method of graphical user interface: touch and body sensor.</v>
      </c>
      <c r="D2440" s="6" t="s">
        <v>6907</v>
      </c>
      <c r="E2440" s="4" t="str">
        <f ca="1">IFERROR(__xludf.DUMMYFUNCTION("GOOGLETRANSLATE(D2440,""auto"",""en"")"),"Sports and fitness guidance assistant interface (web end)")</f>
        <v>Sports and fitness guidance assistant interface (web end)</v>
      </c>
    </row>
    <row r="2441" spans="1:5" ht="15" x14ac:dyDescent="0.25">
      <c r="A2441" s="5" t="s">
        <v>6908</v>
      </c>
      <c r="B2441" s="6" t="s">
        <v>6909</v>
      </c>
      <c r="C2441" s="3" t="str">
        <f ca="1">IFERROR(__xludf.DUMMYFUNCTION("GOOGLETRANSLATE(B2441,""auto"",""en"")"),"1. Design product name: Sports and fitness guidance assistant interface (Android).
 2. Design products for this product: It is used to run Android -based unmanned coach movement guidance software.
 3. Design of the design of the product in this exteri"&amp;"or: lies in the interface change state Figure 1.
 4. Pictures or photos that can best show design points: Figure 1 of the interface change state.
 5. Graphic user interface in the area in the product: graphic user interface in the screen.
 6. Human "&amp;"-computer interaction method of graphical user interface: touch.")</f>
        <v>1. Design product name: Sports and fitness guidance assistant interface (Android).
 2. Design products for this product: It is used to run Android -based unmanned coach movement guidance software.
 3. Design of the design of the product in this exterior: lies in the interface change state Figure 1.
 4. Pictures or photos that can best show design points: Figure 1 of the interface change state.
 5. Graphic user interface in the area in the product: graphic user interface in the screen.
 6. Human -computer interaction method of graphical user interface: touch.</v>
      </c>
      <c r="D2441" s="6" t="s">
        <v>6910</v>
      </c>
      <c r="E2441" s="4" t="str">
        <f ca="1">IFERROR(__xludf.DUMMYFUNCTION("GOOGLETRANSLATE(D2441,""auto"",""en"")"),"Sports and fitness guidance assistant interface (Android end)")</f>
        <v>Sports and fitness guidance assistant interface (Android end)</v>
      </c>
    </row>
    <row r="2442" spans="1:5" ht="15" x14ac:dyDescent="0.25">
      <c r="A2442" s="5" t="s">
        <v>6911</v>
      </c>
      <c r="B2442" s="6" t="s">
        <v>6912</v>
      </c>
      <c r="C2442" s="3" t="str">
        <f ca="1">IFERROR(__xludf.DUMMYFUNCTION("GOOGLETRANSLATE(B2442,""auto"",""en"")"),"Provide a computing system to extract dialogue features from multiple dialogues (for example, between coaches and students), apply dialogue features to machine learning systems to generate dialogue analysis indicators and apply the mapping of dialogue ana"&amp;"lysis indicators to action and inference to determine Act or inference for multi -party dialogue. In various embodiments, the action and inference can include the scores of the multi -party dialogue, such as the scores towards the progress of the guidance"&amp;" goal, the instant score of each point in the entire dialogue, the conversation effect score, and the ownership score. These scores can be, for example, together with the context and benchmark indicators, appear in various user interfaces to select resour"&amp;"ces for coaches or students, to update the coach/student matching, to provide real -time alarm to indicate the progress of the dialogue, etc. Essence")</f>
        <v>Provide a computing system to extract dialogue features from multiple dialogues (for example, between coaches and students), apply dialogue features to machine learning systems to generate dialogue analysis indicators and apply the mapping of dialogue analysis indicators to action and inference to determine Act or inference for multi -party dialogue. In various embodiments, the action and inference can include the scores of the multi -party dialogue, such as the scores towards the progress of the guidance goal, the instant score of each point in the entire dialogue, the conversation effect score, and the ownership score. These scores can be, for example, together with the context and benchmark indicators, appear in various user interfaces to select resources for coaches or students, to update the coach/student matching, to provide real -time alarm to indicate the progress of the dialogue, etc. Essence</v>
      </c>
      <c r="D2442" s="6" t="s">
        <v>1862</v>
      </c>
      <c r="E2442" s="4" t="str">
        <f ca="1">IFERROR(__xludf.DUMMYFUNCTION("GOOGLETRANSLATE(D2442,""auto"",""en"")"),"Report to multi -party dialogue in calculation")</f>
        <v>Report to multi -party dialogue in calculation</v>
      </c>
    </row>
    <row r="2443" spans="1:5" ht="15" x14ac:dyDescent="0.25">
      <c r="A2443" s="5" t="s">
        <v>6913</v>
      </c>
      <c r="B2443" s="6" t="s">
        <v>6914</v>
      </c>
      <c r="C2443" s="3" t="str">
        <f ca="1">IFERROR(__xludf.DUMMYFUNCTION("GOOGLETRANSLATE(B2443,""auto"",""en"")"),"The present invention belongs to the field of video surveillance technology, involving a swimming pool drown detection method based on end -to -end 3D convolutional neural network; including S1, pixel -grade two -value marks on the original monitoring vid"&amp;"eo; Enter the 3D convolutional neural network to obtain the input video fragment VI feature cube FI in the 3D convolutional neural network; S3, a pixel -level prediction of the background or behavioral prospects of the background or behavioral prospects o"&amp;"f the VI in VI in the video fragment; The characteristic input recognition branch at the corresponding position of the FI, to perform toi pooling, and obtain predicted behavior labels; S5. Read the real -time video stream of the swimming pool area, locate"&amp;" the behavior position of the swimmer, predict the behavior label, and determine whether there are abnormal behaviors such as drowning and other abnormal behaviors ; The method uses a pixel -level two -value mark method, which saves the time spending the "&amp;"sample consumption, provides pixel -level behavior positioning, more accurate positioning method, solving the problem of backing the backing of the border.")</f>
        <v>The present invention belongs to the field of video surveillance technology, involving a swimming pool drown detection method based on end -to -end 3D convolutional neural network; including S1, pixel -grade two -value marks on the original monitoring video; Enter the 3D convolutional neural network to obtain the input video fragment VI feature cube FI in the 3D convolutional neural network; S3, a pixel -level prediction of the background or behavioral prospects of the background or behavioral prospects of the VI in VI in the video fragment; The characteristic input recognition branch at the corresponding position of the FI, to perform toi pooling, and obtain predicted behavior labels; S5. Read the real -time video stream of the swimming pool area, locate the behavior position of the swimmer, predict the behavior label, and determine whether there are abnormal behaviors such as drowning and other abnormal behaviors ; The method uses a pixel -level two -value mark method, which saves the time spending the sample consumption, provides pixel -level behavior positioning, more accurate positioning method, solving the problem of backing the backing of the border.</v>
      </c>
      <c r="D2443" s="6" t="s">
        <v>6915</v>
      </c>
      <c r="E2443" s="4" t="str">
        <f ca="1">IFERROR(__xludf.DUMMYFUNCTION("GOOGLETRANSLATE(D2443,""auto"",""en"")"),"A swimming pool drowning detection method based on end -to -end 3D convolutional neural network")</f>
        <v>A swimming pool drowning detection method based on end -to -end 3D convolutional neural network</v>
      </c>
    </row>
    <row r="2444" spans="1:5" ht="15" x14ac:dyDescent="0.25">
      <c r="A2444" s="5" t="s">
        <v>6916</v>
      </c>
      <c r="B2444" s="6" t="s">
        <v>6917</v>
      </c>
      <c r="C2444" s="3" t="str">
        <f ca="1">IFERROR(__xludf.DUMMYFUNCTION("GOOGLETRANSLATE(B2444,""auto"",""en"")"),"One system, including: a camera configured to capture one or more images that capture the user's hand; and the computer is configured to receive one or more captured images, and apply the mapping function to the receiving one or more. A sprint, thereby ge"&amp;"nerating one or more coordinates associated with at least one feature of the user's hand. Among them, the mapping function comes from a set of marking images generated by applying the training data of the image including the image of the coach. These imag"&amp;"es are marked with coordinates obtained from multiple magnetic sensors attached to the coach.")</f>
        <v>One system, including: a camera configured to capture one or more images that capture the user's hand; and the computer is configured to receive one or more captured images, and apply the mapping function to the receiving one or more. A sprint, thereby generating one or more coordinates associated with at least one feature of the user's hand. Among them, the mapping function comes from a set of marking images generated by applying the training data of the image including the image of the coach. These images are marked with coordinates obtained from multiple magnetic sensors attached to the coach.</v>
      </c>
      <c r="D2444" s="6" t="s">
        <v>6918</v>
      </c>
      <c r="E2444" s="4" t="str">
        <f ca="1">IFERROR(__xludf.DUMMYFUNCTION("GOOGLETRANSLATE(D2444,""auto"",""en"")"),"Use multi -sensory data for gesture recognition")</f>
        <v>Use multi -sensory data for gesture recognition</v>
      </c>
    </row>
    <row r="2445" spans="1:5" ht="15" x14ac:dyDescent="0.25">
      <c r="A2445" s="5" t="s">
        <v>6919</v>
      </c>
      <c r="B2445" s="6" t="s">
        <v>6920</v>
      </c>
      <c r="C2445" s="3" t="str">
        <f ca="1">IFERROR(__xludf.DUMMYFUNCTION("GOOGLETRANSLATE(B2445,""auto"",""en"")"),"[0001] The present invention involves an autonomous treatment auxiliary system. More specifically, machine learning and the Internet of Things support muscle strain activities. Subsequently, including physical therapists and yoga therapists in real time, "&amp;"including physical exercise, including rehabilitation procedures, including rehabilitation procedures, including physical exercise, including including rehabilitation, including physical exercise, including Multiple wearable muscle activity capture equipm"&amp;"ent [200] includes an electro -electrocomputer (EMG), which is used to perceive the muscles during exercise. A computing unit with built -in wireless communication capabilities and a rechargeable battery power supply; the central government can be availab"&amp;"le in the center. Wearing device [300] from multiple connected muscle activity capture equipment to collect muscle activity data; Central Cloud Server [400] collects muscle activity data from the central wearable device [300]; The application programming "&amp;"interface is configured to receive communication from the Central Cloud Server [400].")</f>
        <v>[0001] The present invention involves an autonomous treatment auxiliary system. More specifically, machine learning and the Internet of Things support muscle strain activities. Subsequently, including physical therapists and yoga therapists in real time, including physical exercise, including rehabilitation procedures, including rehabilitation procedures, including physical exercise, including including rehabilitation, including physical exercise, including Multiple wearable muscle activity capture equipment [200] includes an electro -electrocomputer (EMG), which is used to perceive the muscles during exercise. A computing unit with built -in wireless communication capabilities and a rechargeable battery power supply; the central government can be available in the center. Wearing device [300] from multiple connected muscle activity capture equipment to collect muscle activity data; Central Cloud Server [400] collects muscle activity data from the central wearable device [300]; The application programming interface is configured to receive communication from the Central Cloud Server [400].</v>
      </c>
      <c r="D2445" s="6" t="s">
        <v>6921</v>
      </c>
      <c r="E2445" s="4" t="str">
        <f ca="1">IFERROR(__xludf.DUMMYFUNCTION("GOOGLETRANSLATE(D2445,""auto"",""en"")"),"Autonomous and reconstructed treatment auxiliary system")</f>
        <v>Autonomous and reconstructed treatment auxiliary system</v>
      </c>
    </row>
    <row r="2446" spans="1:5" ht="15" x14ac:dyDescent="0.25">
      <c r="A2446" s="5" t="s">
        <v>6922</v>
      </c>
      <c r="B2446" s="6" t="s">
        <v>6923</v>
      </c>
      <c r="C2446" s="3" t="str">
        <f ca="1">IFERROR(__xludf.DUMMYFUNCTION("GOOGLETRANSLATE(B2446,""auto"",""en"")"),"The present invention discloses an artificial intelligence treadmill for assisted running, including the body, which has the top surface of the body with a supporting rod and a load box, respectively. The right side of the support rod has a handrail in th"&amp;"e symmetrical fixation of the support rod. The present invention can regulate the tight -pressed spring that can regulate the elastic size, which can make a load running on the treadmill. Compared with the traditional treadmill, the functionality can be i"&amp;"ncreased. At the same time, this can be increased. At the same time The invention can regulate the angle of the body and simulate the mode of running in different environments. At the same time, the concept of incorporating artificial intelligence in the "&amp;"present invention can effectively prevent people from being dangerous to throw out the treadmill out of the treadmill because of falling.")</f>
        <v>The present invention discloses an artificial intelligence treadmill for assisted running, including the body, which has the top surface of the body with a supporting rod and a load box, respectively. The right side of the support rod has a handrail in the symmetrical fixation of the support rod. The present invention can regulate the tight -pressed spring that can regulate the elastic size, which can make a load running on the treadmill. Compared with the traditional treadmill, the functionality can be increased. At the same time, this can be increased. At the same time The invention can regulate the angle of the body and simulate the mode of running in different environments. At the same time, the concept of incorporating artificial intelligence in the present invention can effectively prevent people from being dangerous to throw out the treadmill out of the treadmill because of falling.</v>
      </c>
      <c r="D2446" s="6" t="s">
        <v>6924</v>
      </c>
      <c r="E2446" s="4" t="str">
        <f ca="1">IFERROR(__xludf.DUMMYFUNCTION("GOOGLETRANSLATE(D2446,""auto"",""en"")"),"An artificial intelligence treadmill for assisting running")</f>
        <v>An artificial intelligence treadmill for assisting running</v>
      </c>
    </row>
    <row r="2447" spans="1:5" ht="15" x14ac:dyDescent="0.25">
      <c r="A2447" s="5" t="s">
        <v>6925</v>
      </c>
      <c r="B2447" s="6" t="s">
        <v>6926</v>
      </c>
      <c r="C2447" s="3" t="str">
        <f ca="1">IFERROR(__xludf.DUMMYFUNCTION("GOOGLETRANSLATE(B2447,""auto"",""en"")"),"Describe a method for training characters for game. This method includes a display of one or more scenes of the game. One or more scenes include characters and virtual objects. This method also includes input data that receives the interaction between the"&amp;" user to control the role and the virtual object, and analyzes the input data to identify the interaction mode of the character in one or more scenes. The interactive mode defines an artificial intelligence (AI) model associated with the user account of t"&amp;"he user's user account. This method includes enabling characters to interact with new scenarios based on AI models. This method includes the interaction between tracking characters and new scenes to perform additional training of the AI ​​model.")</f>
        <v>Describe a method for training characters for game. This method includes a display of one or more scenes of the game. One or more scenes include characters and virtual objects. This method also includes input data that receives the interaction between the user to control the role and the virtual object, and analyzes the input data to identify the interaction mode of the character in one or more scenes. The interactive mode defines an artificial intelligence (AI) model associated with the user account of the user's user account. This method includes enabling characters to interact with new scenarios based on AI models. This method includes the interaction between tracking characters and new scenes to perform additional training of the AI ​​model.</v>
      </c>
      <c r="D2447" s="6" t="s">
        <v>6927</v>
      </c>
      <c r="E2447" s="4" t="str">
        <f ca="1">IFERROR(__xludf.DUMMYFUNCTION("GOOGLETRANSLATE(D2447,""auto"",""en"")"),"Systems and methods for training for artificial intelligence models for competitions")</f>
        <v>Systems and methods for training for artificial intelligence models for competitions</v>
      </c>
    </row>
    <row r="2448" spans="1:5" ht="15" x14ac:dyDescent="0.25">
      <c r="A2448" s="5" t="s">
        <v>6928</v>
      </c>
      <c r="B2448" s="6" t="s">
        <v>6929</v>
      </c>
      <c r="C2448" s="3" t="str">
        <f ca="1">IFERROR(__xludf.DUMMYFUNCTION("GOOGLETRANSLATE(B2448,""auto"",""en"")"),"Describe a method of training the role of a training game. The method includes the display of one or more scenes of the game. One or more scenes include the character and virtual object. The method also includes input data that receives the role used to i"&amp;"nteract with the virtual object through the user, and analyzes the input data to identify the interaction mode of one or more characters in one or more scenarios. The interactive mode defines input an artificial intelligence (AI) model associated with the"&amp;" user account of the user's user account. The statement includes enabling characters to interact with new scenes based on AI models. The statement includes tracking the interaction of the character and the new scene of the new scene to perform additional "&amp;"training of the AI ​​model.")</f>
        <v>Describe a method of training the role of a training game. The method includes the display of one or more scenes of the game. One or more scenes include the character and virtual object. The method also includes input data that receives the role used to interact with the virtual object through the user, and analyzes the input data to identify the interaction mode of one or more characters in one or more scenarios. The interactive mode defines input an artificial intelligence (AI) model associated with the user account of the user's user account. The statement includes enabling characters to interact with new scenes based on AI models. The statement includes tracking the interaction of the character and the new scene of the new scene to perform additional training of the AI ​​model.</v>
      </c>
      <c r="D2448" s="6" t="s">
        <v>6930</v>
      </c>
      <c r="E2448" s="4" t="str">
        <f ca="1">IFERROR(__xludf.DUMMYFUNCTION("GOOGLETRANSLATE(D2448,""auto"",""en"")"),"Systems and methods for the artificial intelligence model for training")</f>
        <v>Systems and methods for the artificial intelligence model for training</v>
      </c>
    </row>
    <row r="2449" spans="1:5" ht="15" x14ac:dyDescent="0.25">
      <c r="A2449" s="5" t="s">
        <v>6931</v>
      </c>
      <c r="B2449" s="6" t="s">
        <v>6926</v>
      </c>
      <c r="C2449" s="3" t="str">
        <f ca="1">IFERROR(__xludf.DUMMYFUNCTION("GOOGLETRANSLATE(B2449,""auto"",""en"")"),"Describe a method for training characters for game. This method includes a display of one or more scenes of the game. One or more scenes include characters and virtual objects. This method also includes input data that receives the interaction between the"&amp;" user to control the role and the virtual object, and analyzes the input data to identify the interaction mode of the character in one or more scenes. The interactive mode defines an artificial intelligence (AI) model associated with the user account of t"&amp;"he user's user account. This method includes enabling characters to interact with new scenarios based on AI models. This method includes the interaction between tracking characters and new scenes to perform additional training of the AI ​​model.")</f>
        <v>Describe a method for training characters for game. This method includes a display of one or more scenes of the game. One or more scenes include characters and virtual objects. This method also includes input data that receives the interaction between the user to control the role and the virtual object, and analyzes the input data to identify the interaction mode of the character in one or more scenes. The interactive mode defines an artificial intelligence (AI) model associated with the user account of the user's user account. This method includes enabling characters to interact with new scenarios based on AI models. This method includes the interaction between tracking characters and new scenes to perform additional training of the AI ​​model.</v>
      </c>
      <c r="D2449" s="6" t="s">
        <v>6932</v>
      </c>
      <c r="E2449" s="4" t="str">
        <f ca="1">IFERROR(__xludf.DUMMYFUNCTION("GOOGLETRANSLATE(D2449,""auto"",""en"")"),"Train the system and method of artificial intelligence model for competition")</f>
        <v>Train the system and method of artificial intelligence model for competition</v>
      </c>
    </row>
    <row r="2450" spans="1:5" ht="15" x14ac:dyDescent="0.25">
      <c r="A2450" s="5" t="s">
        <v>6933</v>
      </c>
      <c r="B2450" s="6" t="s">
        <v>6934</v>
      </c>
      <c r="C2450" s="3" t="str">
        <f ca="1">IFERROR(__xludf.DUMMYFUNCTION("GOOGLETRANSLATE(B2450,""auto"",""en"")"),"Describe a method of training game characters. This method includes a display of one or more scenes of the game.
  One or more scenes include characters and virtual objects. This method includes receiving input data for users to manipulate characters to"&amp;" interact with virtual objects, as well as analyzing input data to identify the interactive mode of the character in one or more scenarios, and further includes. The interactive mode defines the input of artificial intelligence (AI) model associated with "&amp;"user accounts associated with user accounts. This method involves allows characters to interact with new scenarios based on AI models. This method involves the interaction between tracking characters and new scenes to conduct additional training on the AI"&amp;" ​​model.")</f>
        <v>Describe a method of training game characters. This method includes a display of one or more scenes of the game.
  One or more scenes include characters and virtual objects. This method includes receiving input data for users to manipulate characters to interact with virtual objects, as well as analyzing input data to identify the interactive mode of the character in one or more scenarios, and further includes. The interactive mode defines the input of artificial intelligence (AI) model associated with user accounts associated with user accounts. This method involves allows characters to interact with new scenarios based on AI models. This method involves the interaction between tracking characters and new scenes to conduct additional training on the AI ​​model.</v>
      </c>
      <c r="D2450" s="6" t="s">
        <v>6935</v>
      </c>
      <c r="E2450" s="4" t="str">
        <f ca="1">IFERROR(__xludf.DUMMYFUNCTION("GOOGLETRANSLATE(D2450,""auto"",""en"")"),"Train the system and method of artificial intelligence models for competitive competitions")</f>
        <v>Train the system and method of artificial intelligence models for competitive competitions</v>
      </c>
    </row>
    <row r="2451" spans="1:5" ht="15" x14ac:dyDescent="0.25">
      <c r="A2451" s="5" t="s">
        <v>6936</v>
      </c>
      <c r="B2451" s="6" t="s">
        <v>6937</v>
      </c>
      <c r="C2451" s="3" t="str">
        <f ca="1">IFERROR(__xludf.DUMMYFUNCTION("GOOGLETRANSLATE(B2451,""auto"",""en"")"),"Inventory of ""Intelligent Forecast Analysis of Deep Learning"", a method of using deep learning to solve the problem of ""+affirmative"" results (incidents) or ""-negative"" results (not incidental). Among them, the probability of positive results is ver"&amp;"y low The consequences of positive results are significant. Another set of training data and extraction of the data is applied to deep learning systems. Advanced training data include some records in the records corresponding to the affirmative results, s"&amp;"ome nearest neighbors in the records corresponding to negative results, and some other records corresponding to negative results. Deep learning system uses a method of collaborative evolution to obtain a rule set to predict the results after multiple cycl"&amp;"es. ""Fitness Intelligent Predictive Analytics USING Deep Learning"" uses the adaptation function exported according to the type of problem type, such as a regular sensitivity and adaptation function of positive predictive values. Use the entire closed tr"&amp;"aining data set verification rules.")</f>
        <v>Inventory of "Intelligent Forecast Analysis of Deep Learning", a method of using deep learning to solve the problem of "+affirmative" results (incidents) or "-negative" results (not incidental). Among them, the probability of positive results is very low The consequences of positive results are significant. Another set of training data and extraction of the data is applied to deep learning systems. Advanced training data include some records in the records corresponding to the affirmative results, some nearest neighbors in the records corresponding to negative results, and some other records corresponding to negative results. Deep learning system uses a method of collaborative evolution to obtain a rule set to predict the results after multiple cycles. "Fitness Intelligent Predictive Analytics USING Deep Learning" uses the adaptation function exported according to the type of problem type, such as a regular sensitivity and adaptation function of positive predictive values. Use the entire closed training data set verification rules.</v>
      </c>
      <c r="D2451" s="6" t="s">
        <v>6938</v>
      </c>
      <c r="E2451" s="4" t="str">
        <f ca="1">IFERROR(__xludf.DUMMYFUNCTION("GOOGLETRANSLATE(D2451,""auto"",""en"")"),"Fitness intelligent prediction analysis using deep learning")</f>
        <v>Fitness intelligent prediction analysis using deep learning</v>
      </c>
    </row>
    <row r="2452" spans="1:5" ht="15" x14ac:dyDescent="0.25">
      <c r="A2452" s="5" t="s">
        <v>6939</v>
      </c>
      <c r="B2452" s="6" t="s">
        <v>6940</v>
      </c>
      <c r="C2452" s="3" t="str">
        <f ca="1">IFERROR(__xludf.DUMMYFUNCTION("GOOGLETRANSLATE(B2452,""auto"",""en"")"),"1. The name of the product designed this product: The voice query service graphics user interface used for the car screen.
 2. Design products in this exterior: for running software.
 3. Design of the design of the product in this exterior: lies in th"&amp;"e software graphics user interface displayed in the screen.
 4. Pictures or photos that can most indicate design points: main view.
 5. The car screen is used to usual, and other views have no design points, and other views are omitted.
 6. The purp"&amp;"ose of graphical user interface: This design is a graphical user interface for the vehicle system to provide users with voice query services.
 7. Human -computer interaction method of graphic user interface: The main vision interface is the interface di"&amp;"splayed when the vehicle is turned on; when the user says, ""I want to listen to XXX news"", it will jump to the news.
 The interface is shown in the interface changes. Figure 1, click the right icon on the right side of the highlight news list, the veh"&amp;"icle machine system stops broadcasting, the entry is high and disappeared, as shown in the interface change state Figure 2; A list of news list in Figure 2, enter the news details page as shown in the interface changes. Figure 3 shows that the interface c"&amp;"hanges state Figure 4 is the interface displayed by the news cover after entering the news details page; There are a certain number of words. When the car is driving, the interface of the news details will display the interface of the driving mode. As sho"&amp;"wn in the interface change state, if the interface changes are shown, when the interface of the news list is not good, when the interface is entered into the news details interface, the interface is not good. Display interface change state Figure 6.
 Wh"&amp;"en the user wakes up the voice, in the interface of the main map: ""What does XXX say in X language?"", The system automatically broadcasts the translation of the corresponding language, as shown in the interface change state Figure 7.
 When the transla"&amp;"tion results are broadcast, the content of the broadcast content is high, and the highlight disappears is exposed as shown in the interface change state.
 When the user wakes up the voice, in the interface of the main map: ""What time is XX now?"", The "&amp;"time, week and date of the user's target place to broadcast the user's target place, display the text of the icon and broadcast as shown in the interface changes.
 When the user wakes up the voice and said in the interface of the main view: ""How about "&amp;"XXX road conditions"", the road conditions information information on the target road section of the vehicle system is automatically broadcast. At the same time, the interface display interface changes.
 When the user wakes up the voice and said in the "&amp;"interface of the main map: ""What are the limited ends of the XX?"", The vehicle system broadcasts today's current regional limited line number, the interface is displayed as shown in the interface changes.
 When the user said in the interface of the ma"&amp;"in map: ""How about the weather in XX tomorrow"", the vehicle system broadcasts the user to query the weather conditions and temperatures of the corresponding time in the area. The interface is displayed as shown in the interface change state.
 When the"&amp;" user said in the interface of the main view: ""XXX's recent winning number"", the vehicle system broadcasts: ""Find the XXX winning number of the latest issue for you"", and at the same time, the interface changes state Figure 13.
 When the user said i"&amp;"n the main vision interface: ""The score of the XXX game today"", the vehicle system automatically query and report ""Find the following results for you"", and at the same time display the interface change state Figure 14.
 When the user said in the mai"&amp;"n view of the diagram: ""What is XXX"", the encyclopedia search searched by the vehicle system broadcasts, and at the same time display the interface changes status. Driving mode style, as shown in the interface change state. 16.
 When the user said in "&amp;"the interface of the main view: ""How many X is equal to X"", the transition result of the automatic broadcast unit of the vehicle system: ""1x is equal to xxxxx pounds"", and at the same time, the interface changes state Figure 17.")</f>
        <v>1. The name of the product designed this product: The voice query service graphics user interface used for the car screen.
 2. Design products in this exterior: for running software.
 3. Design of the design of the product in this exterior: lies in the software graphics user interface displayed in the screen.
 4. Pictures or photos that can most indicate design points: main view.
 5. The car screen is used to usual, and other views have no design points, and other views are omitted.
 6. The purpose of graphical user interface: This design is a graphical user interface for the vehicle system to provide users with voice query services.
 7. Human -computer interaction method of graphic user interface: The main vision interface is the interface displayed when the vehicle is turned on; when the user says, "I want to listen to XXX news", it will jump to the news.
 The interface is shown in the interface changes. Figure 1, click the right icon on the right side of the highlight news list, the vehicle machine system stops broadcasting, the entry is high and disappeared, as shown in the interface change state Figure 2; A list of news list in Figure 2, enter the news details page as shown in the interface changes. Figure 3 shows that the interface changes state Figure 4 is the interface displayed by the news cover after entering the news details page; There are a certain number of words. When the car is driving, the interface of the news details will display the interface of the driving mode. As shown in the interface change state, if the interface changes are shown, when the interface of the news list is not good, when the interface is entered into the news details interface, the interface is not good. Display interface change state Figure 6.
 When the user wakes up the voice, in the interface of the main map: "What does XXX say in X language?", The system automatically broadcasts the translation of the corresponding language, as shown in the interface change state Figure 7.
 When the translation results are broadcast, the content of the broadcast content is high, and the highlight disappears is exposed as shown in the interface change state.
 When the user wakes up the voice, in the interface of the main map: "What time is XX now?", The time, week and date of the user's target place to broadcast the user's target place, display the text of the icon and broadcast as shown in the interface changes.
 When the user wakes up the voice and said in the interface of the main view: "How about XXX road conditions", the road conditions information information on the target road section of the vehicle system is automatically broadcast. At the same time, the interface display interface changes.
 When the user wakes up the voice and said in the interface of the main map: "What are the limited ends of the XX?", The vehicle system broadcasts today's current regional limited line number, the interface is displayed as shown in the interface changes.
 When the user said in the interface of the main map: "How about the weather in XX tomorrow", the vehicle system broadcasts the user to query the weather conditions and temperatures of the corresponding time in the area. The interface is displayed as shown in the interface change state.
 When the user said in the interface of the main view: "XXX's recent winning number", the vehicle system broadcasts: "Find the XXX winning number of the latest issue for you", and at the same time, the interface changes state Figure 13.
 When the user said in the main vision interface: "The score of the XXX game today", the vehicle system automatically query and report "Find the following results for you", and at the same time display the interface change state Figure 14.
 When the user said in the main view of the diagram: "What is XXX", the encyclopedia search searched by the vehicle system broadcasts, and at the same time display the interface changes status. Driving mode style, as shown in the interface change state. 16.
 When the user said in the interface of the main view: "How many X is equal to X", the transition result of the automatic broadcast unit of the vehicle system: "1x is equal to xxxxx pounds", and at the same time, the interface changes state Figure 17.</v>
      </c>
      <c r="D2452" s="6" t="s">
        <v>6941</v>
      </c>
      <c r="E2452" s="4" t="str">
        <f ca="1">IFERROR(__xludf.DUMMYFUNCTION("GOOGLETRANSLATE(D2452,""auto"",""en"")"),"Voice query service graphical user interface used for car screens")</f>
        <v>Voice query service graphical user interface used for car screens</v>
      </c>
    </row>
    <row r="2453" spans="1:5" ht="15" x14ac:dyDescent="0.25">
      <c r="A2453" s="5" t="s">
        <v>6942</v>
      </c>
      <c r="B2453" s="6" t="s">
        <v>6943</v>
      </c>
      <c r="C2453" s="3" t="str">
        <f ca="1">IFERROR(__xludf.DUMMYFUNCTION("GOOGLETRANSLATE(B2453,""auto"",""en"")"),"It describes the practical procedures for solving operating vulnerabilities in private IT environmental devices to improve normal operation time and integrity. Operation vulnerabilities from various hardware and software vendors are structured and associa"&amp;"ted with configuration items to determine whether the equipment in the dedicated network is affected by the operating vulnerability announcement. When determining the correlation, one or more remedies can be performed, such as generating problem records, "&amp;"generating events, generating knowledge base articles, generating events, generating tasks, generating alarms, generating work items, upgrading or downgrade affected equipment. And/or application change method, and other examples. Machine learning engines"&amp;" can be used to identify and optimize solutions and provide interruption probability that and/or no recommended solutions.")</f>
        <v>It describes the practical procedures for solving operating vulnerabilities in private IT environmental devices to improve normal operation time and integrity. Operation vulnerabilities from various hardware and software vendors are structured and associated with configuration items to determine whether the equipment in the dedicated network is affected by the operating vulnerability announcement. When determining the correlation, one or more remedies can be performed, such as generating problem records, generating events, generating knowledge base articles, generating events, generating tasks, generating alarms, generating work items, upgrading or downgrade affected equipment. And/or application change method, and other examples. Machine learning engines can be used to identify and optimize solutions and provide interruption probability that and/or no recommended solutions.</v>
      </c>
      <c r="D2453" s="6" t="s">
        <v>6944</v>
      </c>
      <c r="E2453" s="4" t="str">
        <f ca="1">IFERROR(__xludf.DUMMYFUNCTION("GOOGLETRANSLATE(D2453,""auto"",""en"")"),"Identification and repair of the technology of operating loopholes")</f>
        <v>Identification and repair of the technology of operating loopholes</v>
      </c>
    </row>
    <row r="2454" spans="1:5" ht="15" x14ac:dyDescent="0.25">
      <c r="A2454" s="5" t="s">
        <v>6945</v>
      </c>
      <c r="B2454" s="6" t="s">
        <v>6946</v>
      </c>
      <c r="C2454" s="3" t="str">
        <f ca="1">IFERROR(__xludf.DUMMYFUNCTION("GOOGLETRANSLATE(B2454,""auto"",""en"")"),"It describes a practical program for solving the loopholes in the private IT environmental device to improve the normal operation time and the integrity of the overall operation. Operation vulnerabilities from various hardware and software vendors are str"&amp;"uctured and associated with configuration items to determine whether the equipment in the dedicated network is constrained by the operating vulnerability announcement. When determining the correlation, one or more remedial measures can be performed, such "&amp;"as generating problem records, generating events, generating knowledge base articles, generating events, generating tasks, generating alarms, generating work items, upgrading or downgrade affected equipment. , And/or application change methods, etc. Machi"&amp;"ne learning engines can be used to identify and optimize solutions and provide the probability of interrupting the interruption when there is/or no recommendation solution.")</f>
        <v>It describes a practical program for solving the loopholes in the private IT environmental device to improve the normal operation time and the integrity of the overall operation. Operation vulnerabilities from various hardware and software vendors are structured and associated with configuration items to determine whether the equipment in the dedicated network is constrained by the operating vulnerability announcement. When determining the correlation, one or more remedial measures can be performed, such as generating problem records, generating events, generating knowledge base articles, generating events, generating tasks, generating alarms, generating work items, upgrading or downgrade affected equipment. , And/or application change methods, etc. Machine learning engines can be used to identify and optimize solutions and provide the probability of interrupting the interruption when there is/or no recommendation solution.</v>
      </c>
      <c r="D2454" s="6" t="s">
        <v>6944</v>
      </c>
      <c r="E2454" s="4" t="str">
        <f ca="1">IFERROR(__xludf.DUMMYFUNCTION("GOOGLETRANSLATE(D2454,""auto"",""en"")"),"Identification and repair of the technology of operating loopholes")</f>
        <v>Identification and repair of the technology of operating loopholes</v>
      </c>
    </row>
    <row r="2455" spans="1:5" ht="15" x14ac:dyDescent="0.25">
      <c r="A2455" s="5" t="s">
        <v>6947</v>
      </c>
      <c r="B2455" s="6" t="s">
        <v>6948</v>
      </c>
      <c r="C2455" s="3" t="str">
        <f ca="1">IFERROR(__xludf.DUMMYFUNCTION("GOOGLETRANSLATE(B2455,""auto"",""en"")"),"Methods, devices, systems and software for distributed microservices for real -time multi -view computer vision flow applications. On the one hand, it provides a method for making sports video content that is used. Receive multiple video feedback from mul"&amp;"tiple physical cameras (PCAM) installed in the stadium or venue in the data center. Among them, PCAM has at least one of the venues or stadiums in the stadium or venue in the stadium or the court, and one or more or more Players participate in a sport per"&amp;"formed in the stadium or venue. Use multiple distributed and state -free processing services to handle multiple video feedback in parallel processing in data center to generate three -dimensional point clouds including volume models containing multiple vi"&amp;"ruses and process multiple virtual cameras with each virtual camera ( VCAM) associated multiple viewpoints to output video streams in real time.")</f>
        <v>Methods, devices, systems and software for distributed microservices for real -time multi -view computer vision flow applications. On the one hand, it provides a method for making sports video content that is used. Receive multiple video feedback from multiple physical cameras (PCAM) installed in the stadium or venue in the data center. Among them, PCAM has at least one of the venues or stadiums in the stadium or venue in the stadium or the court, and one or more or more Players participate in a sport performed in the stadium or venue. Use multiple distributed and state -free processing services to handle multiple video feedback in parallel processing in data center to generate three -dimensional point clouds including volume models containing multiple viruses and process multiple virtual cameras with each virtual camera ( VCAM) associated multiple viewpoints to output video streams in real time.</v>
      </c>
      <c r="D2455" s="6" t="s">
        <v>6949</v>
      </c>
      <c r="E2455" s="4" t="str">
        <f ca="1">IFERROR(__xludf.DUMMYFUNCTION("GOOGLETRANSLATE(D2455,""auto"",""en"")"),"Distributed microservice network real -time multi -view computer visual flow application communication")</f>
        <v>Distributed microservice network real -time multi -view computer visual flow application communication</v>
      </c>
    </row>
    <row r="2456" spans="1:5" ht="15" x14ac:dyDescent="0.25">
      <c r="A2456" s="5" t="s">
        <v>6950</v>
      </c>
      <c r="B2456" s="6" t="s">
        <v>6951</v>
      </c>
      <c r="C2456" s="3" t="str">
        <f ca="1">IFERROR(__xludf.DUMMYFUNCTION("GOOGLETRANSLATE(B2456,""auto"",""en"")"),"The method of recommending the best exercise load based on the implementation of a machine learning algorithm based on the implementation example of the present invention includes the following steps: from the athlete, group or team at least one of the mo"&amp;"tion load plans within the scheduled time period. Coaches, input to receive the degree of improvement of the basic exercise load plan, input the motion load plan into the first neural network based on the learning algorithm learning of the scheduled machi"&amp;"ne, and evaluate the motion load plan, and evaluate the motion load to improve the motion load plan according to the degree of improvement. Enter the motion load plan to the second neural network based on the learning algorithm learning and recommend the "&amp;"exercise load plan.")</f>
        <v>The method of recommending the best exercise load based on the implementation of a machine learning algorithm based on the implementation example of the present invention includes the following steps: from the athlete, group or team at least one of the motion load plans within the scheduled time period. Coaches, input to receive the degree of improvement of the basic exercise load plan, input the motion load plan into the first neural network based on the learning algorithm learning of the scheduled machine, and evaluate the motion load plan, and evaluate the motion load to improve the motion load plan according to the degree of improvement. Enter the motion load plan to the second neural network based on the learning algorithm learning and recommend the exercise load plan.</v>
      </c>
      <c r="D2456" s="6" t="s">
        <v>6952</v>
      </c>
      <c r="E2456" s="4" t="str">
        <f ca="1">IFERROR(__xludf.DUMMYFUNCTION("GOOGLETRANSLATE(D2456,""auto"",""en"")"),"The best exercise load plan recommended method, device and computer program based on machine learning algorithm")</f>
        <v>The best exercise load plan recommended method, device and computer program based on machine learning algorithm</v>
      </c>
    </row>
    <row r="2457" spans="1:5" ht="15" x14ac:dyDescent="0.25">
      <c r="A2457" s="5" t="s">
        <v>6953</v>
      </c>
      <c r="B2457" s="6" t="s">
        <v>6954</v>
      </c>
      <c r="C2457" s="3" t="str">
        <f ca="1">IFERROR(__xludf.DUMMYFUNCTION("GOOGLETRANSLATE(B2457,""auto"",""en"")"),"A system and method, based on non -prejudice indicators (such as include skill -based standards), match potential sales talents (also known as one or more players in this article) with potential employers. The competition is performed by simulation sales "&amp;"sessions, and the simulation sales session can be achieved as a game. Score the player's behavior during the simulation sales session. The game uses AI -driven animation robots and game mechanisms to simulate live sales and evaluate the players' skills in"&amp;" the competitive mobile/PC device experience. All aspects of the public embodiments are configured to use machine learning to use data from players and employers to make predictive and successful matching between the two.")</f>
        <v>A system and method, based on non -prejudice indicators (such as include skill -based standards), match potential sales talents (also known as one or more players in this article) with potential employers. The competition is performed by simulation sales sessions, and the simulation sales session can be achieved as a game. Score the player's behavior during the simulation sales session. The game uses AI -driven animation robots and game mechanisms to simulate live sales and evaluate the players' skills in the competitive mobile/PC device experience. All aspects of the public embodiments are configured to use machine learning to use data from players and employers to make predictive and successful matching between the two.</v>
      </c>
      <c r="D2457" s="6" t="s">
        <v>6955</v>
      </c>
      <c r="E2457" s="4" t="str">
        <f ca="1">IFERROR(__xludf.DUMMYFUNCTION("GOOGLETRANSLATE(D2457,""auto"",""en"")"),"A system and method for online sales competitions and games")</f>
        <v>A system and method for online sales competitions and games</v>
      </c>
    </row>
    <row r="2458" spans="1:5" ht="15" x14ac:dyDescent="0.25">
      <c r="A2458" s="5" t="s">
        <v>6956</v>
      </c>
      <c r="B2458" s="6" t="s">
        <v>6957</v>
      </c>
      <c r="C2458" s="3" t="str">
        <f ca="1">IFERROR(__xludf.DUMMYFUNCTION("GOOGLETRANSLATE(B2458,""auto"",""en"")"),"This utility model opens up a basketball trajectory camera module, including load -bearing connecting rods. The top connection of the load -bearing rod has load -bearing connections. There is a camera. The outer surface of the load -bearing rod has a conn"&amp;"ecting sleeve. The outer part of the connection sleeve is distributed with multiple first U -shaped connecting boards. There are multiple second U -shaped connecting boards at the bottom of the bottom, and there is a second U -shaped connecting board on t"&amp;"he outside of the connector; the project uses a low -cost basketball intelligent trajectory tracking system with a low cost of computer vision. /Digital image basic operation, exercise target extraction and tracking, object recognition, cross -border judg"&amp;"ment algorithm and its implementation, etc., in order to better reduce misjudgment in basketball games, so that basketball games can be carried out fairly and fairly.")</f>
        <v>This utility model opens up a basketball trajectory camera module, including load -bearing connecting rods. The top connection of the load -bearing rod has load -bearing connections. There is a camera. The outer surface of the load -bearing rod has a connecting sleeve. The outer part of the connection sleeve is distributed with multiple first U -shaped connecting boards. There are multiple second U -shaped connecting boards at the bottom of the bottom, and there is a second U -shaped connecting board on the outside of the connector; the project uses a low -cost basketball intelligent trajectory tracking system with a low cost of computer vision. /Digital image basic operation, exercise target extraction and tracking, object recognition, cross -border judgment algorithm and its implementation, etc., in order to better reduce misjudgment in basketball games, so that basketball games can be carried out fairly and fairly.</v>
      </c>
      <c r="D2458" s="6" t="s">
        <v>6958</v>
      </c>
      <c r="E2458" s="4" t="str">
        <f ca="1">IFERROR(__xludf.DUMMYFUNCTION("GOOGLETRANSLATE(D2458,""auto"",""en"")"),"An identification of basketball trajectory camera module")</f>
        <v>An identification of basketball trajectory camera module</v>
      </c>
    </row>
    <row r="2459" spans="1:5" ht="15" x14ac:dyDescent="0.25">
      <c r="A2459" s="5" t="s">
        <v>6959</v>
      </c>
      <c r="B2459" s="6" t="s">
        <v>6960</v>
      </c>
      <c r="C2459" s="3" t="str">
        <f ca="1">IFERROR(__xludf.DUMMYFUNCTION("GOOGLETRANSLATE(B2459,""auto"",""en"")"),"1. Design product name: The icon user interface of the display and selecting health characteristics of the mobile phone.
 2. Design product use: mobile phones are used to display graphic user interfaces, run programs and communication.
 3. Design of t"&amp;"he design of the product in appearance: lies in the graphic user interface.
 4. Pictures or photos that can best show design: Design 1 Local magnification.
 5. Specify design 1 is the basic design.
 6. The purpose of graphical user interface: used f"&amp;"or human -computer interaction and realization of mobile phones, and can be used to run or execute applications, such as displaying and selecting health and fitness research features.
 7. Human -machine interaction method of graphical user interface: Yo"&amp;"u can run the follow -up graphic user interface or execute the application by contacting the graphic user interface on the display of light or touch the display.
 8. The mobile phone is commonly designed, so other views are omitted.
 9. Design 1 Reque"&amp;"st to protect the color.")</f>
        <v>1. Design product name: The icon user interface of the display and selecting health characteristics of the mobile phone.
 2. Design product use: mobile phones are used to display graphic user interfaces, run programs and communication.
 3. Design of the design of the product in appearance: lies in the graphic user interface.
 4. Pictures or photos that can best show design: Design 1 Local magnification.
 5. Specify design 1 is the basic design.
 6. The purpose of graphical user interface: used for human -computer interaction and realization of mobile phones, and can be used to run or execute applications, such as displaying and selecting health and fitness research features.
 7. Human -machine interaction method of graphical user interface: You can run the follow -up graphic user interface or execute the application by contacting the graphic user interface on the display of light or touch the display.
 8. The mobile phone is commonly designed, so other views are omitted.
 9. Design 1 Request to protect the color.</v>
      </c>
      <c r="D2459" s="6" t="s">
        <v>6961</v>
      </c>
      <c r="E2459" s="4" t="str">
        <f ca="1">IFERROR(__xludf.DUMMYFUNCTION("GOOGLETRANSLATE(D2459,""auto"",""en"")"),"The display and selection of the icon graphical user interface of the mobile phone")</f>
        <v>The display and selection of the icon graphical user interface of the mobile phone</v>
      </c>
    </row>
    <row r="2460" spans="1:5" ht="15" x14ac:dyDescent="0.25">
      <c r="A2460" s="5" t="s">
        <v>6962</v>
      </c>
      <c r="B2460" s="6" t="s">
        <v>6963</v>
      </c>
      <c r="C2460" s="3" t="str">
        <f ca="1">IFERROR(__xludf.DUMMYFUNCTION("GOOGLETRANSLATE(B2460,""auto"",""en"")"),"FML-Forecast: Using machine learning for adaptation prediction Abstract The ""FML-Forecast"" is a method of using machine learning to solve the problem of ""+positive"" results (incidents) or ""-negative"" results (incidents). It will not happen), the pro"&amp;"bability of positive results is very low, and the consequences of positive results are significant. Obtain training data and extract another set of data for the data to apply to machine learning systems. The training data includes some records correspondi"&amp;"ng to the positive results, the nearest neighbors corresponding to the records corresponding to the negative results, and some other records corresponding to the negative results. Machine learning system uses a method of collaborative evolution to obtain "&amp;"a regular set for predicting results after multiple cycles. ""FML-Forecast"" uses the exported adaptation function with the problem type, such as the adaptation function of the regularity of the rules-based sensitivity and the positive predictive value. U"&amp;"se the entire training data set verification rule.")</f>
        <v>FML-Forecast: Using machine learning for adaptation prediction Abstract The "FML-Forecast" is a method of using machine learning to solve the problem of "+positive" results (incidents) or "-negative" results (incidents). It will not happen), the probability of positive results is very low, and the consequences of positive results are significant. Obtain training data and extract another set of data for the data to apply to machine learning systems. The training data includes some records corresponding to the positive results, the nearest neighbors corresponding to the records corresponding to the negative results, and some other records corresponding to the negative results. Machine learning system uses a method of collaborative evolution to obtain a regular set for predicting results after multiple cycles. "FML-Forecast" uses the exported adaptation function with the problem type, such as the adaptation function of the regularity of the rules-based sensitivity and the positive predictive value. Use the entire training data set verification rule.</v>
      </c>
      <c r="D2460" s="6" t="s">
        <v>6964</v>
      </c>
      <c r="E2460" s="4" t="str">
        <f ca="1">IFERROR(__xludf.DUMMYFUNCTION("GOOGLETRANSLATE(D2460,""auto"",""en"")"),"FML-Prediction: Use machine learning for fitness forecast")</f>
        <v>FML-Prediction: Use machine learning for fitness forecast</v>
      </c>
    </row>
    <row r="2461" spans="1:5" ht="15" x14ac:dyDescent="0.25">
      <c r="A2461" s="5" t="s">
        <v>6965</v>
      </c>
      <c r="B2461" s="6" t="s">
        <v>6966</v>
      </c>
      <c r="C2461" s="3" t="str">
        <f ca="1">IFERROR(__xludf.DUMMYFUNCTION("GOOGLETRANSLATE(B2461,""auto"",""en"")"),"This disclosure involves a matching method, device, electronic equipment and computer readables of a game object, which belongs to the field of gaming technology. This method includes: Extract the characteristic data of the game object from the log data, "&amp;"including ranking scores, competition time parameters, rivals ranking scores and competition winning parameters; And determine the loss function based on the model parameter; use the real win rate as the training data to conduct iterative training to upda"&amp;"te the ranking score of the game object; Determine the updated ranking score to match the game object according to the ranking score. This openness uses more comprehensive game object characteristic parameters to define the loss function, and uses machine"&amp;" learning algorithm to conduct iterative training to the loss function, which can effectively improve the accuracy of the player's victory and defeat.")</f>
        <v>This disclosure involves a matching method, device, electronic equipment and computer readables of a game object, which belongs to the field of gaming technology. This method includes: Extract the characteristic data of the game object from the log data, including ranking scores, competition time parameters, rivals ranking scores and competition winning parameters; And determine the loss function based on the model parameter; use the real win rate as the training data to conduct iterative training to update the ranking score of the game object; Determine the updated ranking score to match the game object according to the ranking score. This openness uses more comprehensive game object characteristic parameters to define the loss function, and uses machine learning algorithm to conduct iterative training to the loss function, which can effectively improve the accuracy of the player's victory and defeat.</v>
      </c>
      <c r="D2461" s="6" t="s">
        <v>6967</v>
      </c>
      <c r="E2461" s="4" t="str">
        <f ca="1">IFERROR(__xludf.DUMMYFUNCTION("GOOGLETRANSLATE(D2461,""auto"",""en"")"),"Matching methods, devices, electronic equipment and computers of the game object")</f>
        <v>Matching methods, devices, electronic equipment and computers of the game object</v>
      </c>
    </row>
    <row r="2462" spans="1:5" ht="15" x14ac:dyDescent="0.25">
      <c r="A2462" s="5" t="s">
        <v>6968</v>
      </c>
      <c r="B2462" s="6" t="s">
        <v>6969</v>
      </c>
      <c r="C2462" s="3" t="s">
        <v>12412</v>
      </c>
      <c r="D2462" s="6" t="s">
        <v>6970</v>
      </c>
      <c r="E2462" s="4" t="str">
        <f ca="1">IFERROR(__xludf.DUMMYFUNCTION("GOOGLETRANSLATE(D2462,""auto"",""en"")"),"Display screen panel multiplayer competition graphics user interface")</f>
        <v>Display screen panel multiplayer competition graphics user interface</v>
      </c>
    </row>
    <row r="2463" spans="1:5" ht="15" x14ac:dyDescent="0.25">
      <c r="A2463" s="5" t="s">
        <v>6971</v>
      </c>
      <c r="B2463" s="6" t="s">
        <v>6972</v>
      </c>
      <c r="C2463" s="3" t="str">
        <f ca="1">IFERROR(__xludf.DUMMYFUNCTION("GOOGLETRANSLATE(B2463,""auto"",""en"")"),"The in vitro method of the early predictive factors of cervical cancer is used for the combination of DNA methylized biomarkers for cervical cancer screening and early detection. The detection kit is used to obtain a candidate DNA -based biomarker using a"&amp;" multi -variable linear regression equation or a neural network analysis, using the operating characteristics (ROC) analysis and computer implementation to obtain a candidate DNA -based biomarker for early detection of cervical cancer diagnosis. The prese"&amp;"nt invention has disclosed an in vitro method to obtain DNA methylation biomarkers, such as the differentiated DNA methylation position in the human genome (ie, CGIDS). It was in the early but difficult stage. The DNA methylation of the three stages of ca"&amp;"ncer (cervical epithelial tumor (NIC)), from NIC1 to NIC3. The present invention revealed the combination of CGIDS. By measured its DNA methylation status and obtained the ""methylized score"", cervical cancer was detected by high -specific and sensitive."&amp;" Biomarkers. It also publicly uses the next -generation multi -testing of methylation, scoring phosphate sequencing measurement, and methylated specific PCR to use this type of CGID to predict cervical cancer. The DNA methylation marker (CGIDS) described "&amp;"in the present invention can be used in the screening of technical personnel in the art and early detection of cervical cancer to detect cervical cancer.")</f>
        <v>The in vitro method of the early predictive factors of cervical cancer is used for the combination of DNA methylized biomarkers for cervical cancer screening and early detection. The detection kit is used to obtain a candidate DNA -based biomarker using a multi -variable linear regression equation or a neural network analysis, using the operating characteristics (ROC) analysis and computer implementation to obtain a candidate DNA -based biomarker for early detection of cervical cancer diagnosis. The present invention has disclosed an in vitro method to obtain DNA methylation biomarkers, such as the differentiated DNA methylation position in the human genome (ie, CGIDS). It was in the early but difficult stage. The DNA methylation of the three stages of cancer (cervical epithelial tumor (NIC)), from NIC1 to NIC3. The present invention revealed the combination of CGIDS. By measured its DNA methylation status and obtained the "methylized score", cervical cancer was detected by high -specific and sensitive. Biomarkers. It also publicly uses the next -generation multi -testing of methylation, scoring phosphate sequencing measurement, and methylated specific PCR to use this type of CGID to predict cervical cancer. The DNA methylation marker (CGIDS) described in the present invention can be used in the screening of technical personnel in the art and early detection of cervical cancer to detect cervical cancer.</v>
      </c>
      <c r="D2463" s="6" t="s">
        <v>6973</v>
      </c>
      <c r="E2463" s="4" t="str">
        <f ca="1">IFERROR(__xludf.DUMMYFUNCTION("GOOGLETRANSLATE(D2463,""auto"",""en"")"),"In vitro methods that obtain early cervical cancer prediction indicators, DNA methylated biomarkers for screening and early detection of cervical cancer, and the combination of DNA methylized biomarkers for screening and early detection of cervical cancer"&amp;", for Cervical cancer detection kits, multi -variable linear regression usage equations or neural network analysis, use of operating characteristics (ROC) analysis and computer implementation methods to obtain DNA methylized biomarkers to diagnose cervica"&amp;"l cancer diagnosis in early detection of cervical cancer diagnosis")</f>
        <v>In vitro methods that obtain early cervical cancer prediction indicators, DNA methylated biomarkers for screening and early detection of cervical cancer, and the combination of DNA methylized biomarkers for screening and early detection of cervical cancer, for Cervical cancer detection kits, multi -variable linear regression usage equations or neural network analysis, use of operating characteristics (ROC) analysis and computer implementation methods to obtain DNA methylized biomarkers to diagnose cervical cancer diagnosis in early detection of cervical cancer diagnosis</v>
      </c>
    </row>
    <row r="2464" spans="1:5" ht="15" x14ac:dyDescent="0.25">
      <c r="A2464" s="5" t="s">
        <v>6974</v>
      </c>
      <c r="B2464" s="6" t="s">
        <v>6975</v>
      </c>
      <c r="C2464" s="3" t="str">
        <f ca="1">IFERROR(__xludf.DUMMYFUNCTION("GOOGLETRANSLATE(B2464,""auto"",""en"")"),"A system for artificial intelligence and fitness professional support for vibrant physical guidance includes a diagnostic engine. The diagnostic engine runs on at least one computing device and is configured to receive training data from the user and at l"&amp;"east one biological extraction and generate diagnosis and output. Essence The system includes the consulting module. The consulting module is configured to receive requests for consulting input and generate at least consulting output. The system includes "&amp;"a fitness module, which is configured to choose at least one familiar consultant client device and transmit the at least one consultant output to at least one familiar consultant client device.")</f>
        <v>A system for artificial intelligence and fitness professional support for vibrant physical guidance includes a diagnostic engine. The diagnostic engine runs on at least one computing device and is configured to receive training data from the user and at least one biological extraction and generate diagnosis and output. Essence The system includes the consulting module. The consulting module is configured to receive requests for consulting input and generate at least consulting output. The system includes a fitness module, which is configured to choose at least one familiar consultant client device and transmit the at least one consultant output to at least one familiar consultant client device.</v>
      </c>
      <c r="D2464" s="6" t="s">
        <v>3686</v>
      </c>
      <c r="E2464" s="4" t="str">
        <f ca="1">IFERROR(__xludf.DUMMYFUNCTION("GOOGLETRANSLATE(D2464,""auto"",""en"")"),"Methods and systems for artificial intelligence and fitness professional supported by vibrant constitutional guidance")</f>
        <v>Methods and systems for artificial intelligence and fitness professional supported by vibrant constitutional guidance</v>
      </c>
    </row>
    <row r="2465" spans="1:5" ht="15" x14ac:dyDescent="0.25">
      <c r="A2465" s="5" t="s">
        <v>6976</v>
      </c>
      <c r="B2465" s="6" t="s">
        <v>6977</v>
      </c>
      <c r="C2465" s="3" t="str">
        <f ca="1">IFERROR(__xludf.DUMMYFUNCTION("GOOGLETRANSLATE(B2465,""auto"",""en"")"),"Provides a device that provides a device for data that indicates the phase characteristics of the time point based on the position of at least each athlete's movement at this time point. The data generation device as an embodiment of the present invention"&amp;" has the status data generation department. The context data generator enters the location relationship data and feature data into a data generating model based on neural network to generate context data. Location relationship data indicates the location "&amp;"relationship of each athlete in the exercise. Feature data represents the characteristics of each player. Data represents the characteristics of movement.")</f>
        <v>Provides a device that provides a device for data that indicates the phase characteristics of the time point based on the position of at least each athlete's movement at this time point. The data generation device as an embodiment of the present invention has the status data generation department. The context data generator enters the location relationship data and feature data into a data generating model based on neural network to generate context data. Location relationship data indicates the location relationship of each athlete in the exercise. Feature data represents the characteristics of each player. Data represents the characteristics of movement.</v>
      </c>
      <c r="D2465" s="6" t="s">
        <v>6978</v>
      </c>
      <c r="E2465" s="4" t="str">
        <f ca="1">IFERROR(__xludf.DUMMYFUNCTION("GOOGLETRANSLATE(D2465,""auto"",""en"")"),"Data generation device, data processing device, data generation model, data generation method and program")</f>
        <v>Data generation device, data processing device, data generation model, data generation method and program</v>
      </c>
    </row>
    <row r="2466" spans="1:5" ht="15" x14ac:dyDescent="0.25">
      <c r="A2466" s="5" t="s">
        <v>6979</v>
      </c>
      <c r="B2466" s="6" t="s">
        <v>6980</v>
      </c>
      <c r="C2466" s="3" t="str">
        <f ca="1">IFERROR(__xludf.DUMMYFUNCTION("GOOGLETRANSLATE(B2466,""auto"",""en"")"),"The present invention involves a real -time production of artificial intelligence coding education learning support system. More specifically, the learning content of coding education is divided into 12 stages of primary school, junior high school, and hi"&amp;"gh school to conduct tutoring for students. In the level of coding education, according to the talent and level of learners, the coding steps are divided into 7 areas of mathematics, science, information, language, society, art, and sports. It is an artif"&amp;"icial intelligence coding education learning support system. .. For this, the invention provides a user terminal that is coded by coding education; data communication is connected to the user terminal, and the user terminals are provided with the content "&amp;"of the user's customized learning data for each learning stage, the learning area, and the encoding stage. Intelligent analysis of users' learning level and execution level, and provide customized learning materials. The guidance information coding educat"&amp;"ion learning support server is provided; the configuration is included. Here, the encoding education learning support server includes a communication unit that communicates with the user terminal, provides educational data unit, virtual classroom group, a"&amp;"nd user individuals including the learning phase, the learning area and the coding stage. Learners management units of analysis and management information, learning level analysis and logo records, as well as intelligent control units using artificial int"&amp;"elligence (AI) to analyze learners' access levels and execution levels, and control customized guidance information for real -time interactive exchanges.")</f>
        <v>The present invention involves a real -time production of artificial intelligence coding education learning support system. More specifically, the learning content of coding education is divided into 12 stages of primary school, junior high school, and high school to conduct tutoring for students. In the level of coding education, according to the talent and level of learners, the coding steps are divided into 7 areas of mathematics, science, information, language, society, art, and sports. It is an artificial intelligence coding education learning support system. .. For this, the invention provides a user terminal that is coded by coding education; data communication is connected to the user terminal, and the user terminals are provided with the content of the user's customized learning data for each learning stage, the learning area, and the encoding stage. Intelligent analysis of users' learning level and execution level, and provide customized learning materials. The guidance information coding education learning support server is provided; the configuration is included. Here, the encoding education learning support server includes a communication unit that communicates with the user terminal, provides educational data unit, virtual classroom group, and user individuals including the learning phase, the learning area and the coding stage. Learners management units of analysis and management information, learning level analysis and logo records, as well as intelligent control units using artificial intelligence (AI) to analyze learners' access levels and execution levels, and control customized guidance information for real -time interactive exchanges.</v>
      </c>
      <c r="D2466" s="6" t="s">
        <v>6981</v>
      </c>
      <c r="E2466" s="4" t="str">
        <f ca="1">IFERROR(__xludf.DUMMYFUNCTION("GOOGLETRANSLATE(D2466,""auto"",""en"")"),"Interactive real -time artificial intelligence coding education learning support system")</f>
        <v>Interactive real -time artificial intelligence coding education learning support system</v>
      </c>
    </row>
    <row r="2467" spans="1:5" ht="15" x14ac:dyDescent="0.25">
      <c r="A2467" s="5" t="s">
        <v>6982</v>
      </c>
      <c r="B2467" s="6" t="s">
        <v>6983</v>
      </c>
      <c r="C2467" s="3" t="str">
        <f ca="1">IFERROR(__xludf.DUMMYFUNCTION("GOOGLETRANSLATE(B2467,""auto"",""en"")"),"Provide free trademark inquiry services, search for 'Daan Trademark' on Naver, Friendly Telephone Consultation 1833-8891, providing reliable trademark registration services for the lowest national cost, Daan International Patent Law Firm (www.1833-8891. C"&amp;"OM) DAON provides DAON provided Methods of trademark registration, trademark application, trademark registration, and business number registration of international patent law firms. ---------------------------------------------- ---- ------------------ 智能"&amp;"手机、移动电话、主页、烹饪方法、人工智能、汽车、微尘、化妆品、发光二极管、发光二极管、生产方法, 制造方法, Robot, plant -style club, inspection, procedures, trademark registration, trademark application, registered with each other, camera, OLED, bicycle, semiconductor, printed circuit board, stem cells, ce"&amp;"lls, anti -cancer, mask, clothes, shoes, desks, chairs, chairs, chairs Pipes, packaging, printing, bleaching agents and other cleaning agents; cleaning, polishing and grinding materials; non -medical soap; perfume, essential oil, non -medical cosmetics, n"&amp;"on -medical shampoo; non -medical toothpaste, medicine, medical and veterinarian preparations; medical disinfection agents; medical disinfection agents ; Medical or veterinary dietary foods and preparations, infant food; dietary supplements for humans or "&amp;"animals; plaster, trauma treatment materials; dental filling materials, dental wax; disinfection agent; sterilizers, herbicides, proofs, proofs, proofs, proofs, proofs, proofs, proofs, proofers, proofs, proofs, proofs, proofs, proofs, proofs, proofs, proo"&amp;"fs, proofs, proofs, proofs, proofs, proofs, proofs, proofs, proofs, proofs, proofs, proofs, proofs, proofs, proofs, proofs, proofs, proofs, proofs, proofs, proofs, proofs, proofs, proofs, proofs, proofs, proofs, proofs, proofs, proofs, proofs, proofs, pro"&amp;"ofs, proofs, Ordinary metals and its alloys and ore; metal building materials; metal mobile structures; non -electrical use of general metal cables and wires; small metal products; metal containers used for storing or transportation; safe Except for land "&amp;"vehicles); mechanical joints and transmission components (except land vehicles); non -handmade agricultural tools; incubator; automatic sales, science, navigation, measurement, photography, film, optics, measurement, signal, inspection (surveillance) (sur"&amp;"veillance) , Safe and Education Equipment; instrument to transmit, conversion, conversion, accumulation, adjustment, or control of electrical energy; equipment that records, transmits or copy sounds or images; magnetic data media, record disks; CD, DVD, a"&amp;"nd other digital record media; coin -to -coin investment; Mechanism; cashier, calculator, data processor, computer; computer software, fire extinguishers, paper and cardboard; printing; binding materials; pictures; stationery and office supplies (excludin"&amp;"g furniture); stationery or home adhesives; art and drawing;材料; 画笔; 教科书; 包装用塑料片材、薄膜和袋子; 印字、印版、皮革和仿皮; 跌倒; 行李袋和手提袋; 雨伞和遮阳伞; 拐杖; 鞭子和挽具; 动物项圈、皮带And clothes; non -metal building materials; non -metal hard pipes for buildings; asphalt, asphalt and asphalt; non "&amp;"-metal mobilization; non -metal monument, furniture, mirror, photo frame; non -metal containers for storing or transportation; bones or half half of bones or semi -semi -half Processing bone, horns, whale bones, or pearl mother; shell; sea bubbles; amber "&amp;"(gem), home or kitchen utensils and containers; comb and sponge; brush (except paint brush); Use the original glass or semi -finished glass; glassware, ceramics and pottery, rope and linen; net; tent and waterproof oil cloth; sunshade tent made of textile"&amp;" or synthetic materials; sails; sacks used for transportation and storage of goods; filling materials; filling materials (Except for paper/cardboard/rubber or plastic); original fiber and textile substitutes, textile yarn, textiles and textile substitutes"&amp;"; home cloth grass; textiles or plastic curtains, clothing, shoe hats, lace and embroidery, ribbon and decoration Lallions; buttons, hook eyes, large head needles; artificial flowers; hair accessories; wigs, carpets, mats, mats, linked and other floor cov"&amp;"erage; non -woven wall hanging, entertainment equipment, toys; video game equipment; gymnastics and sports products; Christmas trees; Christmas tree; Christmas tree; Christmas tree; Christmas tree; Christmas tree; Christmas tree; Christmas tree; Christmas"&amp;" tree; Christmas tree; Christmas tree; Christmas tree; Christmas tree; Christmas trees , Meat, fish, poultry and odor decorations; gravy; processing, frozen, dry and cooked fruits and vegetables; jelly, jam, honey; Cocoa and coffee replacement; white rice"&amp;"; cassava and sago; grain flour and grain products; bread, pastry and candy; consume ice; sugar, honey, honey;酱(调味品); 香料; 冰、未加工的农业、水产养殖业、园艺和林业产品; 未加工或半加工的谷物和种子; 新鲜水果和蔬菜,新鲜香草; 肉质植物和花卉; 种植用球茎, Seedlings and grain seeds; living animals; animal feed and drink"&amp;"s; malt, beer; mineral water, carbonate and other non -alcoholic beverages; fruit juice drinks and juice; drinks and preparations, alcoholic drinks (excluding beer), smoking User; match")</f>
        <v>Provide free trademark inquiry services, search for 'Daan Trademark' on Naver, Friendly Telephone Consultation 1833-8891, providing reliable trademark registration services for the lowest national cost, Daan International Patent Law Firm (www.1833-8891. COM) DAON provides DAON provided Methods of trademark registration, trademark application, trademark registration, and business number registration of international patent law firms. ---------------------------------------------- ---- ------------------ 智能手机、移动电话、主页、烹饪方法、人工智能、汽车、微尘、化妆品、发光二极管、发光二极管、生产方法, 制造方法, Robot, plant -style club, inspection, procedures, trademark registration, trademark application, registered with each other, camera, OLED, bicycle, semiconductor, printed circuit board, stem cells, cells, anti -cancer, mask, clothes, shoes, desks, chairs, chairs, chairs Pipes, packaging, printing, bleaching agents and other cleaning agents; cleaning, polishing and grinding materials; non -medical soap; perfume, essential oil, non -medical cosmetics, non -medical shampoo; non -medical toothpaste, medicine, medical and veterinarian preparations; medical disinfection agents; medical disinfection agents ; Medical or veterinary dietary foods and preparations, infant food; dietary supplements for humans or animals; plaster, trauma treatment materials; dental filling materials, dental wax; disinfection agent; sterilizers, herbicides, proofs, proofs, proofs, proofs, proofs, proofs, proofs, proofers, proofs, proofs, proofs, proofs, proofs, proofs, proofs, proofs, proofs, proofs, proofs, proofs, proofs, proofs, proofs, proofs, proofs, proofs, proofs, proofs, proofs, proofs, proofs, proofs, proofs, proofs, proofs, proofs, proofs, proofs, proofs, proofs, proofs, proofs, proofs, proofs, proofs, proofs, proofs, proofs, proofs, Ordinary metals and its alloys and ore; metal building materials; metal mobile structures; non -electrical use of general metal cables and wires; small metal products; metal containers used for storing or transportation; safe Except for land vehicles); mechanical joints and transmission components (except land vehicles); non -handmade agricultural tools; incubator; automatic sales, science, navigation, measurement, photography, film, optics, measurement, signal, inspection (surveillance) (surveillance) , Safe and Education Equipment; instrument to transmit, conversion, conversion, accumulation, adjustment, or control of electrical energy; equipment that records, transmits or copy sounds or images; magnetic data media, record disks; CD, DVD, and other digital record media; coin -to -coin investment; Mechanism; cashier, calculator, data processor, computer; computer software, fire extinguishers, paper and cardboard; printing; binding materials; pictures; stationery and office supplies (excluding furniture); stationery or home adhesives; art and drawing;材料; 画笔; 教科书; 包装用塑料片材、薄膜和袋子; 印字、印版、皮革和仿皮; 跌倒; 行李袋和手提袋; 雨伞和遮阳伞; 拐杖; 鞭子和挽具; 动物项圈、皮带And clothes; non -metal building materials; non -metal hard pipes for buildings; asphalt, asphalt and asphalt; non -metal mobilization; non -metal monument, furniture, mirror, photo frame; non -metal containers for storing or transportation; bones or half half of bones or semi -semi -half Processing bone, horns, whale bones, or pearl mother; shell; sea bubbles; amber (gem), home or kitchen utensils and containers; comb and sponge; brush (except paint brush); Use the original glass or semi -finished glass; glassware, ceramics and pottery, rope and linen; net; tent and waterproof oil cloth; sunshade tent made of textile or synthetic materials; sails; sacks used for transportation and storage of goods; filling materials; filling materials (Except for paper/cardboard/rubber or plastic); original fiber and textile substitutes, textile yarn, textiles and textile substitutes; home cloth grass; textiles or plastic curtains, clothing, shoe hats, lace and embroidery, ribbon and decoration Lallions; buttons, hook eyes, large head needles; artificial flowers; hair accessories; wigs, carpets, mats, mats, linked and other floor coverage; non -woven wall hanging, entertainment equipment, toys; video game equipment; gymnastics and sports products; Christmas trees; Christmas tree; Christmas tree; Christmas tree; Christmas tree; Christmas tree; Christmas tree; Christmas tree; Christmas tree; Christmas tree; Christmas tree; Christmas tree; Christmas tree; Christmas trees , Meat, fish, poultry and odor decorations; gravy; processing, frozen, dry and cooked fruits and vegetables; jelly, jam, honey; Cocoa and coffee replacement; white rice; cassava and sago; grain flour and grain products; bread, pastry and candy; consume ice; sugar, honey, honey;酱(调味品); 香料; 冰、未加工的农业、水产养殖业、园艺和林业产品; 未加工或半加工的谷物和种子; 新鲜水果和蔬菜,新鲜香草; 肉质植物和花卉; 种植用球茎, Seedlings and grain seeds; living animals; animal feed and drinks; malt, beer; mineral water, carbonate and other non -alcoholic beverages; fruit juice drinks and juice; drinks and preparations, alcoholic drinks (excluding beer), smoking User; match</v>
      </c>
      <c r="D2467" s="6" t="s">
        <v>6984</v>
      </c>
      <c r="E2467" s="4" t="str">
        <f ca="1">IFERROR(__xludf.DUMMYFUNCTION("GOOGLETRANSLATE(D2467,""auto"",""en"")"),"DAON trademark (representative telephone 1833 8891, the first trademark registration industry, how can you search through DAON trademark on the Naver) how to provide trademark registration services with the lowest cost of the country at the lowest cost of"&amp;" the country")</f>
        <v>DAON trademark (representative telephone 1833 8891, the first trademark registration industry, how can you search through DAON trademark on the Naver) how to provide trademark registration services with the lowest cost of the country at the lowest cost of the country</v>
      </c>
    </row>
    <row r="2468" spans="1:5" ht="15" x14ac:dyDescent="0.25">
      <c r="A2468" s="5" t="s">
        <v>6985</v>
      </c>
      <c r="B2468" s="6" t="s">
        <v>6986</v>
      </c>
      <c r="C2468" s="3" t="str">
        <f ca="1">IFERROR(__xludf.DUMMYFUNCTION("GOOGLETRANSLATE(B2468,""auto"",""en"")"),"A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68" s="6" t="s">
        <v>4211</v>
      </c>
      <c r="E2468" s="4" t="str">
        <f ca="1">IFERROR(__xludf.DUMMYFUNCTION("GOOGLETRANSLATE(D2468,""auto"",""en"")"),"Swimming pool intelligent monitoring system")</f>
        <v>Swimming pool intelligent monitoring system</v>
      </c>
    </row>
    <row r="2469" spans="1:5" ht="15" x14ac:dyDescent="0.25">
      <c r="A2469" s="5" t="s">
        <v>6987</v>
      </c>
      <c r="B2469" s="6" t="s">
        <v>6986</v>
      </c>
      <c r="C2469" s="3" t="str">
        <f ca="1">IFERROR(__xludf.DUMMYFUNCTION("GOOGLETRANSLATE(B2469,""auto"",""en"")"),"A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69" s="6" t="s">
        <v>4211</v>
      </c>
      <c r="E2469" s="4" t="str">
        <f ca="1">IFERROR(__xludf.DUMMYFUNCTION("GOOGLETRANSLATE(D2469,""auto"",""en"")"),"Swimming pool intelligent monitoring system")</f>
        <v>Swimming pool intelligent monitoring system</v>
      </c>
    </row>
    <row r="2470" spans="1:5" ht="15" x14ac:dyDescent="0.25">
      <c r="A2470" s="5" t="s">
        <v>6988</v>
      </c>
      <c r="B2470" s="6" t="s">
        <v>6986</v>
      </c>
      <c r="C2470" s="3" t="str">
        <f ca="1">IFERROR(__xludf.DUMMYFUNCTION("GOOGLETRANSLATE(B2470,""auto"",""en"")"),"A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70" s="6" t="s">
        <v>4211</v>
      </c>
      <c r="E2470" s="4" t="str">
        <f ca="1">IFERROR(__xludf.DUMMYFUNCTION("GOOGLETRANSLATE(D2470,""auto"",""en"")"),"Swimming pool intelligent monitoring system")</f>
        <v>Swimming pool intelligent monitoring system</v>
      </c>
    </row>
    <row r="2471" spans="1:5" ht="15" x14ac:dyDescent="0.25">
      <c r="A2471" s="5" t="s">
        <v>6989</v>
      </c>
      <c r="B2471" s="6" t="s">
        <v>6986</v>
      </c>
      <c r="C2471" s="3" t="str">
        <f ca="1">IFERROR(__xludf.DUMMYFUNCTION("GOOGLETRANSLATE(B2471,""auto"",""en"")"),"A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71" s="6" t="s">
        <v>4211</v>
      </c>
      <c r="E2471" s="4" t="str">
        <f ca="1">IFERROR(__xludf.DUMMYFUNCTION("GOOGLETRANSLATE(D2471,""auto"",""en"")"),"Swimming pool intelligent monitoring system")</f>
        <v>Swimming pool intelligent monitoring system</v>
      </c>
    </row>
    <row r="2472" spans="1:5" ht="15" x14ac:dyDescent="0.25">
      <c r="A2472" s="5" t="s">
        <v>6990</v>
      </c>
      <c r="B2472" s="6" t="s">
        <v>6986</v>
      </c>
      <c r="C2472" s="3" t="str">
        <f ca="1">IFERROR(__xludf.DUMMYFUNCTION("GOOGLETRANSLATE(B2472,""auto"",""en"")"),"A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72" s="6" t="s">
        <v>4211</v>
      </c>
      <c r="E2472" s="4" t="str">
        <f ca="1">IFERROR(__xludf.DUMMYFUNCTION("GOOGLETRANSLATE(D2472,""auto"",""en"")"),"Swimming pool intelligent monitoring system")</f>
        <v>Swimming pool intelligent monitoring system</v>
      </c>
    </row>
    <row r="2473" spans="1:5" ht="15" x14ac:dyDescent="0.25">
      <c r="A2473" s="5" t="s">
        <v>6991</v>
      </c>
      <c r="B2473" s="6" t="s">
        <v>6992</v>
      </c>
      <c r="C2473" s="3" t="str">
        <f ca="1">IFERROR(__xludf.DUMMYFUNCTION("GOOGLETRANSLATE(B2473,""auto"",""en"")"),"A swimming pool monitoring system, by using multiple sensor systems, detects the existence of the surrounding objects before the object reaches the edge of the swimming pool. Objects can be humans or animals. Sensor systems may include ranging sensors, au"&amp;"dio sensors, olfactory sensors and video imaging sensors. These sensors are monitored by the computer system, and the computer system stores data authorized by an object in the swimming pool. The system compares the detected objects with the stored data, "&amp;"providing warnings or alarms when detecting unauthorized or unknown objects in the surveillance peripheral. The system can determine the distance between the object and the edge of the pool, and issue a adjustable alert when the object is near the edge of"&amp;" the pool. The system uses facial recognition and voice recognition to detect the authorized objects and distinguish the unauthorized and unknown objects in order to establish a warning or alarm level conveyed by speakers, text messages or emails. The sys"&amp;"tem can accept update data from any sensor to add additional authorization or unauthorized object recognition data to the system database.")</f>
        <v>A swimming pool monitoring system, by using multiple sensor systems, detects the existence of the surrounding objects before the object reaches the edge of the swimming pool. Objects can be humans or animals. Sensor systems may include ranging sensors, audio sensors, olfactory sensors and video imaging sensors. These sensors are monitored by the computer system, and the computer system stores data authorized by an object in the swimming pool. The system compares the detected objects with the stored data, providing warnings or alarms when detecting unauthorized or unknown objects in the surveillance peripheral. The system can determine the distance between the object and the edge of the pool, and issue a adjustable alert when the object is near the edge of the pool. The system uses facial recognition and voice recognition to detect the authorized objects and distinguish the unauthorized and unknown objects in order to establish a warning or alarm level conveyed by speakers, text messages or emails. The system can accept update data from any sensor to add additional authorization or unauthorized object recognition data to the system database.</v>
      </c>
      <c r="D2473" s="6" t="s">
        <v>4211</v>
      </c>
      <c r="E2473" s="4" t="str">
        <f ca="1">IFERROR(__xludf.DUMMYFUNCTION("GOOGLETRANSLATE(D2473,""auto"",""en"")"),"Swimming pool intelligent monitoring system")</f>
        <v>Swimming pool intelligent monitoring system</v>
      </c>
    </row>
    <row r="2474" spans="1:5" ht="15" x14ac:dyDescent="0.25">
      <c r="A2474" s="5" t="s">
        <v>6993</v>
      </c>
      <c r="B2474" s="6" t="s">
        <v>6986</v>
      </c>
      <c r="C2474" s="3" t="str">
        <f ca="1">IFERROR(__xludf.DUMMYFUNCTION("GOOGLETRANSLATE(B2474,""auto"",""en"")"),"A swimming pool monitoring system, using multiple sensor systems to detect the existence of objects in the perimeter before the object reaches the edge of the swimming pool. Objects can be humans or animals. Sensor systems may include ranging sensors, aud"&amp;"io sensors, olfactory sensors and video imaging sensors. The sensor is monitored by a computer system, and the computer system stores data authorized by the objects authorized around the pool. The system compares the detected objects with the stored data,"&amp;" providing alarm or alarm when detecting unauthorized or unknown objects in the surveillance peripheral. The system can determine the distance between the object and the edge of the pool, and provide adjustable alerts when the object is near the edge of t"&amp;"he pool. The system uses facial recognition and voice recognition to detect the authorized objects and distinguishes unauthorized and unknown objects to establish alarm or alarm level conveyed by speakers, SMS or email. The system can accept update data f"&amp;"rom any sensor to identify data from additional authorization or unauthorized objects to the system database.")</f>
        <v>A swimming pool monitoring system, using multiple sensor systems to detect the existence of objects in the perimeter before the object reaches the edge of the swimming pool. Objects can be humans or animals. Sensor systems may include ranging sensors, audio sensors, olfactory sensors and video imaging sensors. The sensor is monitored by a computer system, and the computer system stores data authorized by the objects authorized around the pool. The system compares the detected objects with the stored data, providing alarm or alarm when detecting unauthorized or unknown objects in the surveillance peripheral. The system can determine the distance between the object and the edge of the pool, and provide adjustable alerts when the object is near the edge of the pool. The system uses facial recognition and voice recognition to detect the authorized objects and distinguishes unauthorized and unknown objects to establish alarm or alarm level conveyed by speakers, SMS or email. The system can accept update data from any sensor to identify data from additional authorization or unauthorized objects to the system database.</v>
      </c>
      <c r="D2474" s="6" t="s">
        <v>4211</v>
      </c>
      <c r="E2474" s="4" t="str">
        <f ca="1">IFERROR(__xludf.DUMMYFUNCTION("GOOGLETRANSLATE(D2474,""auto"",""en"")"),"Swimming pool intelligent monitoring system")</f>
        <v>Swimming pool intelligent monitoring system</v>
      </c>
    </row>
    <row r="2475" spans="1:5" ht="15" x14ac:dyDescent="0.25">
      <c r="A2475" s="5" t="s">
        <v>6994</v>
      </c>
      <c r="B2475" s="6" t="s">
        <v>6995</v>
      </c>
      <c r="C2475" s="3" t="str">
        <f ca="1">IFERROR(__xludf.DUMMYFUNCTION("GOOGLETRANSLATE(B2475,""auto"",""en"")"),"One of the methods for controlling artificial intelligence robot devices include identifying the capacity information of the battery; obtaining driving information about at least one driving path, through the driving path, you can drive the target area; a"&amp;"ccording to the driving information and the capacity information of the battery , Forecast the battery consumption of the battery consumption when driving along the driving route; determine whether to complete the driving route based on the remaining batt"&amp;"ery level calculated by analyzing the electricity information; determine the driving path according to whether the competition is completed. The artificial intelligence robot devices of this instructions include artificial intelligence (Artificail Intelli"&amp;"GenFCE) module, UANED Aerial Vehicles (UAVS), Robot, Augmented Reality (AR) Equipment, Virtual Reality (VR) equipment, 5G services, and associated with them. Related equipment, etc.")</f>
        <v>One of the methods for controlling artificial intelligence robot devices include identifying the capacity information of the battery; obtaining driving information about at least one driving path, through the driving path, you can drive the target area; according to the driving information and the capacity information of the battery , Forecast the battery consumption of the battery consumption when driving along the driving route; determine whether to complete the driving route based on the remaining battery level calculated by analyzing the electricity information; determine the driving path according to whether the competition is completed. The artificial intelligence robot devices of this instructions include artificial intelligence (Artificail IntelliGenFCE) module, UANED Aerial Vehicles (UAVS), Robot, Augmented Reality (AR) Equipment, Virtual Reality (VR) equipment, 5G services, and associated with them. Related equipment, etc.</v>
      </c>
      <c r="D2475" s="6" t="s">
        <v>6996</v>
      </c>
      <c r="E2475" s="4" t="str">
        <f ca="1">IFERROR(__xludf.DUMMYFUNCTION("GOOGLETRANSLATE(D2475,""auto"",""en"")"),"How to control artificial intelligence robot devices")</f>
        <v>How to control artificial intelligence robot devices</v>
      </c>
    </row>
    <row r="2476" spans="1:5" ht="15" x14ac:dyDescent="0.25">
      <c r="A2476" s="5" t="s">
        <v>6997</v>
      </c>
      <c r="B2476" s="6" t="s">
        <v>6998</v>
      </c>
      <c r="C2476" s="3" t="str">
        <f ca="1">IFERROR(__xludf.DUMMYFUNCTION("GOOGLETRANSLATE(B2476,""auto"",""en"")"),"A manual neural network architecture is provided to handle the original audio waveform to create a speaker who is not related to text verification and recognition. The artificial neural network architecture includes a step -by -step convolution layer, the"&amp;" residual block connected by the first and second sequences, a transformer layer, and a final complete connection (FC) layer. The step -by -step convolutional layer is configured to receive the original audio waveform from the speaker. The first and secon"&amp;"d residual blocks include multiple convolutional layers and maximum pooling layers. The converter layer is configured to embed the frame level into the discourse level. The output of the FC layer creates a speaker input to the speaker of its original audi"&amp;"o waveform into the step -by -step layer.")</f>
        <v>A manual neural network architecture is provided to handle the original audio waveform to create a speaker who is not related to text verification and recognition. The artificial neural network architecture includes a step -by -step convolution layer, the residual block connected by the first and second sequences, a transformer layer, and a final complete connection (FC) layer. The step -by -step convolutional layer is configured to receive the original audio waveform from the speaker. The first and second residual blocks include multiple convolutional layers and maximum pooling layers. The converter layer is configured to embed the frame level into the discourse level. The output of the FC layer creates a speaker input to the speaker of its original audio waveform into the step -by -step layer.</v>
      </c>
      <c r="D2476" s="6" t="s">
        <v>6999</v>
      </c>
      <c r="E2476" s="4" t="str">
        <f ca="1">IFERROR(__xludf.DUMMYFUNCTION("GOOGLETRANSLATE(D2476,""auto"",""en"")"),"Using deep learning for the original waveforms, the speaker verification that is not related to text on the media operating system")</f>
        <v>Using deep learning for the original waveforms, the speaker verification that is not related to text on the media operating system</v>
      </c>
    </row>
    <row r="2477" spans="1:5" ht="15" x14ac:dyDescent="0.25">
      <c r="A2477" s="5" t="s">
        <v>7000</v>
      </c>
      <c r="B2477" s="6" t="s">
        <v>7001</v>
      </c>
      <c r="C2477" s="3" t="str">
        <f ca="1">IFERROR(__xludf.DUMMYFUNCTION("GOOGLETRANSLATE(B2477,""auto"",""en"")"),"This article discloses an application that can interact with on -site sports dynamic interaction. The application monitors the ongoing sports competition, and generates proposals based on the status of the game and presents the proposal to users. Users ac"&amp;"cept proposals or continue other proposals. The proposition is generated in large quantities in each second of the game, and it is ranked according to a series of standards. This standard was used to provide the most exciting problem in sports at that tim"&amp;"e to provide approximation of artificial intelligence. Inserting the suggestions, the system uses the game bonus as a modified random event.")</f>
        <v>This article discloses an application that can interact with on -site sports dynamic interaction. The application monitors the ongoing sports competition, and generates proposals based on the status of the game and presents the proposal to users. Users accept proposals or continue other proposals. The proposition is generated in large quantities in each second of the game, and it is ranked according to a series of standards. This standard was used to provide the most exciting problem in sports at that time to provide approximation of artificial intelligence. Inserting the suggestions, the system uses the game bonus as a modified random event.</v>
      </c>
      <c r="D2477" s="6" t="s">
        <v>7002</v>
      </c>
      <c r="E2477" s="4" t="str">
        <f ca="1">IFERROR(__xludf.DUMMYFUNCTION("GOOGLETRANSLATE(D2477,""auto"",""en"")"),"Continuous generation, dynamic ranking and pass query to users")</f>
        <v>Continuous generation, dynamic ranking and pass query to users</v>
      </c>
    </row>
    <row r="2478" spans="1:5" ht="15" x14ac:dyDescent="0.25">
      <c r="A2478" s="5" t="s">
        <v>7003</v>
      </c>
      <c r="B2478" s="6" t="s">
        <v>7004</v>
      </c>
      <c r="C2478" s="3" t="str">
        <f ca="1">IFERROR(__xludf.DUMMYFUNCTION("GOOGLETRANSLATE(B2478,""auto"",""en"")"),"Kind Code: A1 The invention involves an abnormal state detection and early warning method based on deep learning.
  Driver status detection device (a) Input the internal image of the vehicle into a dozen detection network, detect the face of a specific "&amp;"driver, detect the eyes from the face, and judge the dozing state by detecting the blink of the eye. Eyes; match the interior image input posture matching network to detect the key points of the body's body; (b) determine the abnormal state by determining"&amp;" whether it is matched with the preset running posture; When the driver is in a dangerous state, the use of V2V (vehicle -to -vehicle) communication will transmit information about the dangerous state to the surrounding vehicles so that the surrounding dr"&amp;"iver can detect the dangerous state. A method that includes identification steps.
  【Selection Figure】 Figure 2")</f>
        <v>Kind Code: A1 The invention involves an abnormal state detection and early warning method based on deep learning.
  Driver status detection device (a) Input the internal image of the vehicle into a dozen detection network, detect the face of a specific driver, detect the eyes from the face, and judge the dozing state by detecting the blink of the eye. Eyes; match the interior image input posture matching network to detect the key points of the body's body; (b) determine the abnormal state by determining whether it is matched with the preset running posture; When the driver is in a dangerous state, the use of V2V (vehicle -to -vehicle) communication will transmit information about the dangerous state to the surrounding vehicles so that the surrounding driver can detect the dangerous state. A method that includes identification steps.
  【Selection Figure】 Figure 2</v>
      </c>
      <c r="D2478" s="6" t="s">
        <v>7005</v>
      </c>
      <c r="E2478" s="4" t="str">
        <f ca="1">IFERROR(__xludf.DUMMYFUNCTION("GOOGLETRANSLATE(D2478,""auto"",""en"")"),"A alarm method and device that detects abnormal driving through the status recognition of a person connected by V2V")</f>
        <v>A alarm method and device that detects abnormal driving through the status recognition of a person connected by V2V</v>
      </c>
    </row>
    <row r="2479" spans="1:5" ht="15" x14ac:dyDescent="0.25">
      <c r="A2479" s="5" t="s">
        <v>7006</v>
      </c>
      <c r="B2479" s="6" t="s">
        <v>7007</v>
      </c>
      <c r="C2479" s="3" t="str">
        <f ca="1">IFERROR(__xludf.DUMMYFUNCTION("GOOGLETRANSLATE(B2479,""auto"",""en"")"),"In the present invention, the platform is given the goals or tasks to be implemented by the platform to set the goals and management, and receive instructions from the project manager (PM) or general manager, and manage and execute all the tasks of all ma"&amp;"nagement to achieve the goals. . Based on the target management technology of ""SUCCESSIVE Work and EVALUATION and Proceeding), it manages the entire execution process, just like precise browsing target tasks (also known as work or activity). The target m"&amp;"anagement is autonomous. It involves a kind of The technology of building a smart platform has greatly improved the accuracy, timeliness, continuity, consistency and objectivity of target management. In the present invention, the professional knowledge an"&amp;"d methods required for the project/task to implement the project/task (collectively referred to as ""knowledge"") and the relationship information between the data (collectively referred to as ""knowledge""), set goals and execute The data and processing "&amp;"data required for target management are systematically collected. The platform uses these knowledge and information for various judgments and reasoning of target management, and supports PM and autonomous/active. We intend to design a smart autonomous goa"&amp;"l management platform Technology can manage and achieve goals. Types of knowledge and information, such as ""Breakdown Tree (BDT)"", ""Ivy"", ""Vine"", ""Bush"", and ""SHRUB"". Stump ""(Smart Total Unified Management Platform), as the characteristics of S"&amp;"tub, design and define various"" PLANT ""(factories) knowledge and information models that are specifically used to store and use knowledge and information to form a framework or foundation. ""Grafting"" to Stump, as well as ""target management knowledge "&amp;"and information body (BOGMKI)"" (target management knowledge and information body (BOGMKI)), ""Super Tree"" is definition and implementation. Through the configuration of the super tree, each knowledge and information stored in the form of the super tree "&amp;"in the form of nodes passed the relationship between the father/sub -relationship between the knowledge and information in the Plant or the front cause/subsequent relationship of the information. In addition to the path, the two -way access path is provid"&amp;"ed by the node connected by the grafting, so that all the knowledge and information stored in the super tree can be freely access to the surrounding relevant information (context) from any position in the super tree. ) And can be used to reason, continuou"&amp;"s monitoring and managing the progress of all detailed tasks and events in the entire stage of the project/task target management and ""Sweep"". Need extensive knowledge and information. (Evaluation and advancement of work and events) It can implement the"&amp;" implementation and application of target management technology. As a virtual project manager actively supports and assisted the project manager or general manager, the task of intelligent and autonomously implemented the assignment. The intelligent platf"&amp;"orm construction technology is the technology of artificial intelligence knowledge and reasoning. It is the construction of smart factories. It has large projects such as EPC, shipbuilding, building construction and large infrastructure construction. Ente"&amp;"rprise management, organizational management, energy management, various sports management and stock investment, as well as personal goals, health, safety and welfare management, people who set and achieve goals can be used as a necessary GM core basic te"&amp;"chnology, these systems support the goal at the lowest total cost in extensive activities.")</f>
        <v>In the present invention, the platform is given the goals or tasks to be implemented by the platform to set the goals and management, and receive instructions from the project manager (PM) or general manager, and manage and execute all the tasks of all management to achieve the goals. . Based on the target management technology of "SUCCESSIVE Work and EVALUATION and Proceeding), it manages the entire execution process, just like precise browsing target tasks (also known as work or activity). The target management is autonomous. It involves a kind of The technology of building a smart platform has greatly improved the accuracy, timeliness, continuity, consistency and objectivity of target management. In the present invention, the professional knowledge and methods required for the project/task to implement the project/task (collectively referred to as "knowledge") and the relationship information between the data (collectively referred to as "knowledge"), set goals and execute The data and processing data required for target management are systematically collected. The platform uses these knowledge and information for various judgments and reasoning of target management, and supports PM and autonomous/active. We intend to design a smart autonomous goal management platform Technology can manage and achieve goals. Types of knowledge and information, such as "Breakdown Tree (BDT)", "Ivy", "Vine", "Bush", and "SHRUB". Stump "(Smart Total Unified Management Platform), as the characteristics of Stub, design and define various" PLANT "(factories) knowledge and information models that are specifically used to store and use knowledge and information to form a framework or foundation. "Grafting" to Stump, as well as "target management knowledge and information body (BOGMKI)" (target management knowledge and information body (BOGMKI)), "Super Tree" is definition and implementation. Through the configuration of the super tree, each knowledge and information stored in the form of the super tree in the form of nodes passed the relationship between the father/sub -relationship between the knowledge and information in the Plant or the front cause/subsequent relationship of the information. In addition to the path, the two -way access path is provided by the node connected by the grafting, so that all the knowledge and information stored in the super tree can be freely access to the surrounding relevant information (context) from any position in the super tree. ) And can be used to reason, continuous monitoring and managing the progress of all detailed tasks and events in the entire stage of the project/task target management and "Sweep". Need extensive knowledge and information. (Evaluation and advancement of work and events) It can implement the implementation and application of target management technology. As a virtual project manager actively supports and assisted the project manager or general manager, the task of intelligent and autonomously implemented the assignment. The intelligent platform construction technology is the technology of artificial intelligence knowledge and reasoning. It is the construction of smart factories. It has large projects such as EPC, shipbuilding, building construction and large infrastructure construction. Enterprise management, organizational management, energy management, various sports management and stock investment, as well as personal goals, health, safety and welfare management, people who set and achieve goals can be used as a necessary GM core basic technology, these systems support the goal at the lowest total cost in extensive activities.</v>
      </c>
      <c r="D2479" s="6" t="s">
        <v>7008</v>
      </c>
      <c r="E2479" s="4" t="str">
        <f ca="1">IFERROR(__xludf.DUMMYFUNCTION("GOOGLETRANSLATE(D2479,""auto"",""en"")"),"Project/Task intelligent target management method and platform based on super tree")</f>
        <v>Project/Task intelligent target management method and platform based on super tree</v>
      </c>
    </row>
    <row r="2480" spans="1:5" ht="15" x14ac:dyDescent="0.25">
      <c r="A2480" s="5" t="s">
        <v>7009</v>
      </c>
      <c r="B2480" s="6" t="s">
        <v>7010</v>
      </c>
      <c r="C2480" s="3" t="str">
        <f ca="1">IFERROR(__xludf.DUMMYFUNCTION("GOOGLETRANSLATE(B2480,""auto"",""en"")"),"A person's fall risk can be determined based on machine learning algorithms. The risk information of falling can be used to notify the person's falling risk of the fall of the person and/or third -party monitoring personnel (such as doctors, physical ther"&amp;"apists, private coaches, etc.). This information can be used to monitor and track changes in the risk of falling risks affected by health, lifestyle behavior or medical changes. In addition, the risk of falling risk can help individuals be more careful in"&amp;" the days when they fall. The risk of falling can be estimated to use a machine learning algorithm. The algorithm can process data from the load sensor by calculating the basic and high -end intermittent balance model (PEM) stability indicator.")</f>
        <v>A person's fall risk can be determined based on machine learning algorithms. The risk information of falling can be used to notify the person's falling risk of the fall of the person and/or third -party monitoring personnel (such as doctors, physical therapists, private coaches, etc.). This information can be used to monitor and track changes in the risk of falling risks affected by health, lifestyle behavior or medical changes. In addition, the risk of falling risk can help individuals be more careful in the days when they fall. The risk of falling can be estimated to use a machine learning algorithm. The algorithm can process data from the load sensor by calculating the basic and high -end intermittent balance model (PEM) stability indicator.</v>
      </c>
      <c r="D2480" s="6" t="s">
        <v>4580</v>
      </c>
      <c r="E2480" s="4" t="str">
        <f ca="1">IFERROR(__xludf.DUMMYFUNCTION("GOOGLETRANSLATE(D2480,""auto"",""en"")"),"Use machine learning algorithm to identify the risk of falling down")</f>
        <v>Use machine learning algorithm to identify the risk of falling down</v>
      </c>
    </row>
    <row r="2481" spans="1:5" ht="15" x14ac:dyDescent="0.25">
      <c r="A2481" s="5" t="s">
        <v>7011</v>
      </c>
      <c r="B2481" s="6" t="s">
        <v>7012</v>
      </c>
      <c r="C2481" s="3" t="str">
        <f ca="1">IFERROR(__xludf.DUMMYFUNCTION("GOOGLETRANSLATE(B2481,""auto"",""en"")"),"The invention involves a large intelligent temporary demolition runway system, which is connected by multiple connection units in turn; combined columns on the basis of adjustment, and two adjacent columns are connected with truss beams; laid the upper pa"&amp;"rt of the truss beam beams. The runway panel, there are guardrails on both sides of the runway panel, the runway fence lighting structure and the jack on the top with non -contact image collection and analysis function units, using the developed dedicated"&amp;" IOTS‑R (IOTS‑RUN, a distributed database running based on the front -end of the Internet of Things, running for running. Non -contact image acquisition system) system analysis of big data models of the runway system and user's real -time evolution proces"&amp;"s to ensure the security of temporary structures, provide cloud computing and intelligent analysis results, and fully realize the intelligent security control of the runway. The present invention can make full use of the idle space above the urban road wi"&amp;"thout special occupation of existing land resources to quickly build temporary demolition canal to provide citizens with new, convenient and scientific fitness smart places.")</f>
        <v>The invention involves a large intelligent temporary demolition runway system, which is connected by multiple connection units in turn; combined columns on the basis of adjustment, and two adjacent columns are connected with truss beams; laid the upper part of the truss beam beams. The runway panel, there are guardrails on both sides of the runway panel, the runway fence lighting structure and the jack on the top with non -contact image collection and analysis function units, using the developed dedicated IOTS‑R (IOTS‑RUN, a distributed database running based on the front -end of the Internet of Things, running for running. Non -contact image acquisition system) system analysis of big data models of the runway system and user's real -time evolution process to ensure the security of temporary structures, provide cloud computing and intelligent analysis results, and fully realize the intelligent security control of the runway. The present invention can make full use of the idle space above the urban road without special occupation of existing land resources to quickly build temporary demolition canal to provide citizens with new, convenient and scientific fitness smart places.</v>
      </c>
      <c r="D2481" s="6" t="s">
        <v>7013</v>
      </c>
      <c r="E2481" s="4" t="str">
        <f ca="1">IFERROR(__xludf.DUMMYFUNCTION("GOOGLETRANSLATE(D2481,""auto"",""en"")"),"Large intelligent temporary disassembly runway system")</f>
        <v>Large intelligent temporary disassembly runway system</v>
      </c>
    </row>
    <row r="2482" spans="1:5" ht="15" x14ac:dyDescent="0.25">
      <c r="A2482" s="5" t="s">
        <v>7014</v>
      </c>
      <c r="B2482" s="6" t="s">
        <v>7015</v>
      </c>
      <c r="C2482" s="3" t="str">
        <f ca="1">IFERROR(__xludf.DUMMYFUNCTION("GOOGLETRANSLATE(B2482,""auto"",""en"")"),"1. Design product name: Computer (electronic guide system) with graphical user interface.
 2. Design product use: used for running procedures.
 3. Design of the design of the product here: lies in the interface content of the graphic user interface in"&amp;" the screen.
 4. Pictures or photos that can most indicate design points: main view.
 5. No design points, omitting push -up views and viewing views.
 6. The purpose of the graphical user interface: The interface of the graphic user interface in the"&amp;" screen is the human -computer interaction interface for the electronic guide system. Various buttons of the main view can enter the variable state diagrams separately.
 Enter the corresponding interface to achieve human -machine interaction.
 Among t"&amp;"hem, the main view has a function button: the green microphone button, the POSITIONS button, the DRAW button;
 Click the green microphone button on the right side of the main view to enter the changing state. Key, you can enter the change state. Figure "&amp;"3 shows the current competition group; click the change state Figure 3 Left Leaderboard button to enter the main view to view the current ranking; 4 Turn off the guide call; click the POSITIONS button on the right side of the main view to enter the changi"&amp;"ng state Figure 5 to display the information of each location; depending on the switching tab, you can enter the corresponding page.")</f>
        <v>1. Design product name: Computer (electronic guide system) with graphical user interface.
 2. Design product use: used for running procedures.
 3. Design of the design of the product here: lies in the interface content of the graphic user interface in the screen.
 4. Pictures or photos that can most indicate design points: main view.
 5. No design points, omitting push -up views and viewing views.
 6. The purpose of the graphical user interface: The interface of the graphic user interface in the screen is the human -computer interaction interface for the electronic guide system. Various buttons of the main view can enter the variable state diagrams separately.
 Enter the corresponding interface to achieve human -machine interaction.
 Among them, the main view has a function button: the green microphone button, the POSITIONS button, the DRAW button;
 Click the green microphone button on the right side of the main view to enter the changing state. Key, you can enter the change state. Figure 3 shows the current competition group; click the change state Figure 3 Left Leaderboard button to enter the main view to view the current ranking; 4 Turn off the guide call; click the POSITIONS button on the right side of the main view to enter the changing state Figure 5 to display the information of each location; depending on the switching tab, you can enter the corresponding page.</v>
      </c>
      <c r="D2482" s="6" t="s">
        <v>7016</v>
      </c>
      <c r="E2482" s="4" t="str">
        <f ca="1">IFERROR(__xludf.DUMMYFUNCTION("GOOGLETRANSLATE(D2482,""auto"",""en"")"),"Computer (electronic guide system) with graphical user interface")</f>
        <v>Computer (electronic guide system) with graphical user interface</v>
      </c>
    </row>
    <row r="2483" spans="1:5" ht="15" x14ac:dyDescent="0.25">
      <c r="A2483" s="5" t="s">
        <v>7017</v>
      </c>
      <c r="B2483" s="6" t="s">
        <v>7018</v>
      </c>
      <c r="C2483" s="3" t="str">
        <f ca="1">IFERROR(__xludf.DUMMYFUNCTION("GOOGLETRANSLATE(B2483,""auto"",""en"")"),"The present invention provides a kind of electric hydraulic intelligent basketball rack, which belongs to the field of sports supplies, including bases, front pillars, rear pillars, beams, upper pull rods, rebounds, baskets; The front -end bearing seat, t"&amp;"he front column and the rear pillars are connected to the bearing seat of the beam through the rotating shaft, respectively, the bottom of the rebound is fixed at the front end of the beam, which is connected to the front end of the upper tie rod on the u"&amp;"pper end of the rebound. Connected to the middle of the beam, the rebound, upper tie rod and the beam form a triangle, the basket is fixed on the rebound; the base is installed on the base, ; The entire smart basketball rack has many functions. You can ch"&amp;"oose different functional systems according to your needs. LCD control systems can control or voice recognition control functions through remote control, LCD control system, rebounding screen, and mobile app to download QR code.")</f>
        <v>The present invention provides a kind of electric hydraulic intelligent basketball rack, which belongs to the field of sports supplies, including bases, front pillars, rear pillars, beams, upper pull rods, rebounds, baskets; The front -end bearing seat, the front column and the rear pillars are connected to the bearing seat of the beam through the rotating shaft, respectively, the bottom of the rebound is fixed at the front end of the beam, which is connected to the front end of the upper tie rod on the upper end of the rebound. Connected to the middle of the beam, the rebound, upper tie rod and the beam form a triangle, the basket is fixed on the rebound; the base is installed on the base, ; The entire smart basketball rack has many functions. You can choose different functional systems according to your needs. LCD control systems can control or voice recognition control functions through remote control, LCD control system, rebounding screen, and mobile app to download QR code.</v>
      </c>
      <c r="D2483" s="6" t="s">
        <v>7019</v>
      </c>
      <c r="E2483" s="4" t="str">
        <f ca="1">IFERROR(__xludf.DUMMYFUNCTION("GOOGLETRANSLATE(D2483,""auto"",""en"")"),"A kind of electric hydraulic smart basketball rack")</f>
        <v>A kind of electric hydraulic smart basketball rack</v>
      </c>
    </row>
    <row r="2484" spans="1:5" ht="15" x14ac:dyDescent="0.25">
      <c r="A2484" s="5" t="s">
        <v>7020</v>
      </c>
      <c r="B2484" s="6" t="s">
        <v>7021</v>
      </c>
      <c r="C2484" s="3" t="str">
        <f ca="1">IFERROR(__xludf.DUMMYFUNCTION("GOOGLETRANSLATE(B2484,""auto"",""en"")"),"The present invention reveals a board fitness system and method based on the Internet of Things and cloud computing. In any case, the system involves a fitness location tool, a smart portable stage, a cloud focus server, in any case, in any case, no matte"&amp;"r what the connection stage and any client. The client includes the crisis to follow the customer and protect the client. Fitness recognition tools are associated with the exquisite portable stage through communication. The keen multifunctional stage is a"&amp;"ssociated with the cloud focus server through a communication organization. The connection query phase, expert working stage, crisis focus client, and protecting clients are associated with the cloud focus server, respectively.")</f>
        <v>The present invention reveals a board fitness system and method based on the Internet of Things and cloud computing. In any case, the system involves a fitness location tool, a smart portable stage, a cloud focus server, in any case, in any case, no matter what the connection stage and any client. The client includes the crisis to follow the customer and protect the client. Fitness recognition tools are associated with the exquisite portable stage through communication. The keen multifunctional stage is associated with the cloud focus server through a communication organization. The connection query phase, expert working stage, crisis focus client, and protecting clients are associated with the cloud focus server, respectively.</v>
      </c>
      <c r="D2484" s="6" t="s">
        <v>7022</v>
      </c>
      <c r="E2484" s="4" t="str">
        <f ca="1">IFERROR(__xludf.DUMMYFUNCTION("GOOGLETRANSLATE(D2484,""auto"",""en"")"),"The board system and method adaptation of the board of directors and methods based on the Internet of Things and cloud computing")</f>
        <v>The board system and method adaptation of the board of directors and methods based on the Internet of Things and cloud computing</v>
      </c>
    </row>
    <row r="2485" spans="1:5" ht="15" x14ac:dyDescent="0.25">
      <c r="A2485" s="5" t="s">
        <v>7023</v>
      </c>
      <c r="B2485" s="6" t="s">
        <v>7024</v>
      </c>
      <c r="C2485" s="3" t="str">
        <f ca="1">IFERROR(__xludf.DUMMYFUNCTION("GOOGLETRANSLATE(B2485,""auto"",""en"")"),"A smart curling robot competition sports control system, which involves the field of artificial intelligence education robot competition in primary and secondary schools. The purpose of this practical new model is to solve the problem of no smart curling "&amp;"competition robot movement control system at present; this practical new model The control system conforms to the local characteristics of the northern robot education. Taking the curling as the base, the design control system is designed on it. The 4 inf"&amp;"rared distance detection components are distributed on the outer edge of the curling. The impact signal will make a avoidance strategy in advance. The bottom of the curling is designed with color recognition sensors. It can be identified by different colo"&amp;"rs of different colors of the scores of the game map, and the motion state control is performed through the dual motor drive system. This achieves the movement control of the curling in the game. This utility model is used in the field of artificial intel"&amp;"ligence education robot competition in primary and secondary schools.")</f>
        <v>A smart curling robot competition sports control system, which involves the field of artificial intelligence education robot competition in primary and secondary schools. The purpose of this practical new model is to solve the problem of no smart curling competition robot movement control system at present; this practical new model The control system conforms to the local characteristics of the northern robot education. Taking the curling as the base, the design control system is designed on it. The 4 infrared distance detection components are distributed on the outer edge of the curling. The impact signal will make a avoidance strategy in advance. The bottom of the curling is designed with color recognition sensors. It can be identified by different colors of different colors of the scores of the game map, and the motion state control is performed through the dual motor drive system. This achieves the movement control of the curling in the game. This utility model is used in the field of artificial intelligence education robot competition in primary and secondary schools.</v>
      </c>
      <c r="D2485" s="6" t="s">
        <v>7025</v>
      </c>
      <c r="E2485" s="4" t="str">
        <f ca="1">IFERROR(__xludf.DUMMYFUNCTION("GOOGLETRANSLATE(D2485,""auto"",""en"")"),"A smart curling robot competition sports control system")</f>
        <v>A smart curling robot competition sports control system</v>
      </c>
    </row>
    <row r="2486" spans="1:5" ht="15" x14ac:dyDescent="0.25">
      <c r="A2486" s="5" t="s">
        <v>7026</v>
      </c>
      <c r="B2486" s="6" t="s">
        <v>1938</v>
      </c>
      <c r="C2486" s="3" t="str">
        <f ca="1">IFERROR(__xludf.DUMMYFUNCTION("GOOGLETRANSLATE(B2486,""auto"",""en"")"),"The systems and methods for preferred fitness status are disclosed. The system includes at least one sensor of the user's biological parameters and the use of machine learning and at least one biological parameter to generate the fitness state classificat"&amp;"ion module of the current user fitness status. The method for providing users' preferably fitness status includes at least detecting the user's biological parameters, determining the current user's fitness status through the fitness status classification "&amp;"module, and determining the user specific recommendation through the fitness status classification module.")</f>
        <v>The systems and methods for preferred fitness status are disclosed. The system includes at least one sensor of the user's biological parameters and the use of machine learning and at least one biological parameter to generate the fitness state classification module of the current user fitness status. The method for providing users' preferably fitness status includes at least detecting the user's biological parameters, determining the current user's fitness status through the fitness status classification module, and determining the user specific recommendation through the fitness status classification module.</v>
      </c>
      <c r="D2486" s="6" t="s">
        <v>1939</v>
      </c>
      <c r="E2486" s="4" t="str">
        <f ca="1">IFERROR(__xludf.DUMMYFUNCTION("GOOGLETRANSLATE(D2486,""auto"",""en"")"),"Methods and systems used to provide users with preferred fitness status")</f>
        <v>Methods and systems used to provide users with preferred fitness status</v>
      </c>
    </row>
    <row r="2487" spans="1:5" ht="15" x14ac:dyDescent="0.25">
      <c r="A2487" s="5" t="s">
        <v>7027</v>
      </c>
      <c r="B2487" s="6" t="s">
        <v>7028</v>
      </c>
      <c r="C2487" s="3" t="str">
        <f ca="1">IFERROR(__xludf.DUMMYFUNCTION("GOOGLETRANSLATE(B2487,""auto"",""en"")"),"The present invention disclosed a horsepower -speed computing system and method based on deep learning. Video that walks around the competition venue before the camera to obtain the race through the camera. Calculate and use the adjustment of the camera s"&amp;"peed to use the horses to move the speed of the camera, and the unit conversion finally obtains the average speed of the target horse. The present invention realizes artificial intelligence technology to conduct horses observation and calculate the speed "&amp;"of horses in a more scientific method.")</f>
        <v>The present invention disclosed a horsepower -speed computing system and method based on deep learning. Video that walks around the competition venue before the camera to obtain the race through the camera. Calculate and use the adjustment of the camera speed to use the horses to move the speed of the camera, and the unit conversion finally obtains the average speed of the target horse. The present invention realizes artificial intelligence technology to conduct horses observation and calculate the speed of horses in a more scientific method.</v>
      </c>
      <c r="D2487" s="6" t="s">
        <v>5300</v>
      </c>
      <c r="E2487" s="4" t="str">
        <f ca="1">IFERROR(__xludf.DUMMYFUNCTION("GOOGLETRANSLATE(D2487,""auto"",""en"")"),"A horse speed computing system and method based on deep learning")</f>
        <v>A horse speed computing system and method based on deep learning</v>
      </c>
    </row>
    <row r="2488" spans="1:5" ht="15" x14ac:dyDescent="0.25">
      <c r="A2488" s="5" t="s">
        <v>7029</v>
      </c>
      <c r="B2488" s="6" t="s">
        <v>7030</v>
      </c>
      <c r="C2488" s="3" t="str">
        <f ca="1">IFERROR(__xludf.DUMMYFUNCTION("GOOGLETRANSLATE(B2488,""auto"",""en"")"),"A automatic judgment device that uses deep learning. The automatic judgment device includes a signal data processor. The signal data processor is configured to collect signal data detected by multiple guides. Features to extract feature data and transform"&amp;" time sequence data of the extracted feature data; the sleep phase classification model processor is used to input the processing signal data into the category of the sleeping phase of the pre -made of prefabricated. Classification in stages. The sleep ph"&amp;"ase classification model processor is configured as at least one in the American Sleep Medical Association (AASM) standard and the RECHTSCHAFFEN and Kales (R &amp; K) standard. Essence")</f>
        <v>A automatic judgment device that uses deep learning. The automatic judgment device includes a signal data processor. The signal data processor is configured to collect signal data detected by multiple guides. Features to extract feature data and transform time sequence data of the extracted feature data; the sleep phase classification model processor is used to input the processing signal data into the category of the sleeping phase of the pre -made of prefabricated. Classification in stages. The sleep phase classification model processor is configured as at least one in the American Sleep Medical Association (AASM) standard and the RECHTSCHAFFEN and Kales (R &amp; K) standard. Essence</v>
      </c>
      <c r="D2488" s="6" t="s">
        <v>7031</v>
      </c>
      <c r="E2488" s="4" t="str">
        <f ca="1">IFERROR(__xludf.DUMMYFUNCTION("GOOGLETRANSLATE(D2488,""auto"",""en"")"),"A device for deep running to determine sleep disorders and its operation methods")</f>
        <v>A device for deep running to determine sleep disorders and its operation methods</v>
      </c>
    </row>
    <row r="2489" spans="1:5" ht="15" x14ac:dyDescent="0.25">
      <c r="A2489" s="5" t="s">
        <v>7032</v>
      </c>
      <c r="B2489" s="6" t="s">
        <v>7033</v>
      </c>
      <c r="C2489" s="3" t="str">
        <f ca="1">IFERROR(__xludf.DUMMYFUNCTION("GOOGLETRANSLATE(B2489,""auto"",""en"")"),"A enhanced cognitive method of using an artificial intelligence (AI) engine or image processor to create a scalable dynamic joint skeleton (DJS) model to enhance psychological exercise learning. This method involves the DJS model from the real -time motio"&amp;"n image of a athletes, teachers or experts to create a scalable reference model for training. The AI ​​engine extracts the subject's physical attribute The length of the torso and the continuous movement of capturing exercise skills, such as swinging the "&amp;"golden club, including position, standing, club position, swing speed and acceleration, reversing, etc.")</f>
        <v>A enhanced cognitive method of using an artificial intelligence (AI) engine or image processor to create a scalable dynamic joint skeleton (DJS) model to enhance psychological exercise learning. This method involves the DJS model from the real -time motion image of a athletes, teachers or experts to create a scalable reference model for training. The AI ​​engine extracts the subject's physical attribute The length of the torso and the continuous movement of capturing exercise skills, such as swinging the golden club, including position, standing, club position, swing speed and acceleration, reversing, etc.</v>
      </c>
      <c r="D2489" s="6" t="s">
        <v>7034</v>
      </c>
      <c r="E2489" s="4" t="str">
        <f ca="1">IFERROR(__xludf.DUMMYFUNCTION("GOOGLETRANSLATE(D2489,""auto"",""en"")"),"Enhance cognitive methods and devices of synchronous feedback in psychological exercise learning")</f>
        <v>Enhance cognitive methods and devices of synchronous feedback in psychological exercise learning</v>
      </c>
    </row>
    <row r="2490" spans="1:5" ht="15" x14ac:dyDescent="0.25">
      <c r="A2490" s="5" t="s">
        <v>7035</v>
      </c>
      <c r="B2490" s="6" t="s">
        <v>7036</v>
      </c>
      <c r="C2490" s="3" t="str">
        <f ca="1">IFERROR(__xludf.DUMMYFUNCTION("GOOGLETRANSLATE(B2490,""auto"",""en"")"),"An enhanced cognitive method for enhanced cognitive methods for enhanced cognitive methods for enhancement of the artificial intelligence (AI) engine or image processor to enhance mental movement learning. This method includes extraction DJS models from t"&amp;"he real -time motion image of athletes, teachers or experts to create a scalable reference model for training. Therefore, the AI ​​engine extracts the physical attributes of the main body, including the length, length, and the length of the torso length o"&amp;"f the AI ​​engine, including And the continuous movement of capturing exercise skills, such as waving the golden club, including position, standing, club position, swing speed and acceleration, reversing, etc.")</f>
        <v>An enhanced cognitive method for enhanced cognitive methods for enhanced cognitive methods for enhancement of the artificial intelligence (AI) engine or image processor to enhance mental movement learning. This method includes extraction DJS models from the real -time motion image of athletes, teachers or experts to create a scalable reference model for training. Therefore, the AI ​​engine extracts the physical attributes of the main body, including the length, length, and the length of the torso length of the AI ​​engine, including And the continuous movement of capturing exercise skills, such as waving the golden club, including position, standing, club position, swing speed and acceleration, reversing, etc.</v>
      </c>
      <c r="D2490" s="6" t="s">
        <v>7037</v>
      </c>
      <c r="E2490" s="4" t="str">
        <f ca="1">IFERROR(__xludf.DUMMYFUNCTION("GOOGLETRANSLATE(D2490,""auto"",""en"")"),"Enhance cognitive methods and devices of psychological exercise learning at the same time")</f>
        <v>Enhance cognitive methods and devices of psychological exercise learning at the same time</v>
      </c>
    </row>
    <row r="2491" spans="1:5" ht="15" x14ac:dyDescent="0.25">
      <c r="A2491" s="5" t="s">
        <v>7038</v>
      </c>
      <c r="B2491" s="6" t="s">
        <v>7033</v>
      </c>
      <c r="C2491" s="3" t="str">
        <f ca="1">IFERROR(__xludf.DUMMYFUNCTION("GOOGLETRANSLATE(B2491,""auto"",""en"")"),"A enhanced cognitive method of using an artificial intelligence (AI) engine or image processor to create a scalable dynamic joint skeleton (DJS) model to enhance psychological exercise learning. This method involves the DJS model from the real -time motio"&amp;"n image of a athletes, teachers or experts to create a scalable reference model for training. The AI ​​engine extracts the subject's physical attribute The length of the torso and the continuous movement of capturing exercise skills, such as swinging the "&amp;"golden club, including position, standing, club position, swing speed and acceleration, reversing, etc.")</f>
        <v>A enhanced cognitive method of using an artificial intelligence (AI) engine or image processor to create a scalable dynamic joint skeleton (DJS) model to enhance psychological exercise learning. This method involves the DJS model from the real -time motion image of a athletes, teachers or experts to create a scalable reference model for training. The AI ​​engine extracts the subject's physical attribute The length of the torso and the continuous movement of capturing exercise skills, such as swinging the golden club, including position, standing, club position, swing speed and acceleration, reversing, etc.</v>
      </c>
      <c r="D2491" s="6" t="s">
        <v>7037</v>
      </c>
      <c r="E2491" s="4" t="str">
        <f ca="1">IFERROR(__xludf.DUMMYFUNCTION("GOOGLETRANSLATE(D2491,""auto"",""en"")"),"Enhance cognitive methods and devices of psychological exercise learning at the same time")</f>
        <v>Enhance cognitive methods and devices of psychological exercise learning at the same time</v>
      </c>
    </row>
    <row r="2492" spans="1:5" ht="15" x14ac:dyDescent="0.25">
      <c r="A2492" s="5" t="s">
        <v>7039</v>
      </c>
      <c r="B2492" s="6" t="s">
        <v>7033</v>
      </c>
      <c r="C2492" s="3" t="str">
        <f ca="1">IFERROR(__xludf.DUMMYFUNCTION("GOOGLETRANSLATE(B2492,""auto"",""en"")"),"A enhanced cognitive method of using an artificial intelligence (AI) engine or image processor to create a scalable dynamic joint skeleton (DJS) model to enhance psychological exercise learning. This method involves the DJS model from the real -time motio"&amp;"n image of a athletes, teachers or experts to create a scalable reference model for training. The AI ​​engine extracts the subject's physical attribute The length of the torso and the continuous movement of capturing exercise skills, such as swinging the "&amp;"golden club, including position, standing, club position, swing speed and acceleration, reversing, etc.")</f>
        <v>A enhanced cognitive method of using an artificial intelligence (AI) engine or image processor to create a scalable dynamic joint skeleton (DJS) model to enhance psychological exercise learning. This method involves the DJS model from the real -time motion image of a athletes, teachers or experts to create a scalable reference model for training. The AI ​​engine extracts the subject's physical attribute The length of the torso and the continuous movement of capturing exercise skills, such as swinging the golden club, including position, standing, club position, swing speed and acceleration, reversing, etc.</v>
      </c>
      <c r="D2492" s="6" t="s">
        <v>7037</v>
      </c>
      <c r="E2492" s="4" t="str">
        <f ca="1">IFERROR(__xludf.DUMMYFUNCTION("GOOGLETRANSLATE(D2492,""auto"",""en"")"),"Enhance cognitive methods and devices of psychological exercise learning at the same time")</f>
        <v>Enhance cognitive methods and devices of psychological exercise learning at the same time</v>
      </c>
    </row>
    <row r="2493" spans="1:5" ht="15" x14ac:dyDescent="0.25">
      <c r="A2493" s="5" t="s">
        <v>7040</v>
      </c>
      <c r="B2493" s="6" t="s">
        <v>7033</v>
      </c>
      <c r="C2493" s="3" t="str">
        <f ca="1">IFERROR(__xludf.DUMMYFUNCTION("GOOGLETRANSLATE(B2493,""auto"",""en"")"),"A enhanced cognitive method of using an artificial intelligence (AI) engine or image processor to create a scalable dynamic joint skeleton (DJS) model to enhance psychological exercise learning. This method involves the DJS model from the real -time motio"&amp;"n image of a athletes, teachers or experts to create a scalable reference model for training. The AI ​​engine extracts the subject's physical attribute The length of the torso and the continuous movement of capturing exercise skills, such as swinging the "&amp;"golden club, including position, standing, club position, swing speed and acceleration, reversing, etc.")</f>
        <v>A enhanced cognitive method of using an artificial intelligence (AI) engine or image processor to create a scalable dynamic joint skeleton (DJS) model to enhance psychological exercise learning. This method involves the DJS model from the real -time motion image of a athletes, teachers or experts to create a scalable reference model for training. The AI ​​engine extracts the subject's physical attribute The length of the torso and the continuous movement of capturing exercise skills, such as swinging the golden club, including position, standing, club position, swing speed and acceleration, reversing, etc.</v>
      </c>
      <c r="D2493" s="6" t="s">
        <v>7034</v>
      </c>
      <c r="E2493" s="4" t="str">
        <f ca="1">IFERROR(__xludf.DUMMYFUNCTION("GOOGLETRANSLATE(D2493,""auto"",""en"")"),"Enhance cognitive methods and devices of synchronous feedback in psychological exercise learning")</f>
        <v>Enhance cognitive methods and devices of synchronous feedback in psychological exercise learning</v>
      </c>
    </row>
    <row r="2494" spans="1:5" ht="15" x14ac:dyDescent="0.25">
      <c r="A2494" s="5" t="s">
        <v>7041</v>
      </c>
      <c r="B2494" s="6" t="s">
        <v>7042</v>
      </c>
      <c r="C2494" s="3" t="str">
        <f ca="1">IFERROR(__xludf.DUMMYFUNCTION("GOOGLETRANSLATE(B2494,""auto"",""en"")"),"A enhanced cognitive method of using artificial intelligence (AI) engine or image processor to generate scalable dynamic connection skeleton (DJS) models to improve psychological exercise learning. It is suitable for athletes, teachers or experts, extract"&amp;" the DJS model From the real -time motion image creation of video files for training scalable reference models, the AI ​​engine determines the length of the arm, the length of the body, and the length of the torso. It not only extracts the body's body att"&amp;"ributes of the subject, but also captures continuous movements such as waving sports skills such as waving golf clubs, including position, posture, club position, swing speed and acceleration, torsion, etc.")</f>
        <v>A enhanced cognitive method of using artificial intelligence (AI) engine or image processor to generate scalable dynamic connection skeleton (DJS) models to improve psychological exercise learning. It is suitable for athletes, teachers or experts, extract the DJS model From the real -time motion image creation of video files for training scalable reference models, the AI ​​engine determines the length of the arm, the length of the body, and the length of the torso. It not only extracts the body's body attributes of the subject, but also captures continuous movements such as waving sports skills such as waving golf clubs, including position, posture, club position, swing speed and acceleration, torsion, etc.</v>
      </c>
      <c r="D2494" s="6" t="s">
        <v>7043</v>
      </c>
      <c r="E2494" s="4" t="str">
        <f ca="1">IFERROR(__xludf.DUMMYFUNCTION("GOOGLETRANSLATE(D2494,""auto"",""en"")"),"Enhanced cognitive methods and devices for psychological exercise learning synchronous feedback")</f>
        <v>Enhanced cognitive methods and devices for psychological exercise learning synchronous feedback</v>
      </c>
    </row>
    <row r="2495" spans="1:5" ht="15" x14ac:dyDescent="0.25">
      <c r="A2495" s="5" t="s">
        <v>7044</v>
      </c>
      <c r="B2495" s="6" t="s">
        <v>7045</v>
      </c>
      <c r="C2495" s="3" t="str">
        <f ca="1">IFERROR(__xludf.DUMMYFUNCTION("GOOGLETRANSLATE(B2495,""auto"",""en"")"),"The present invention involves the field of artificial intelligence technology, and a dialogue training method is disclosed. By obtaining the rhetoric information of the seat in real time, the voice of the speech information is converted into text based o"&amp;"n voice recognition technology, and then the key information is extracted, and the input to the dialogue analysis model By match the corresponding response strategy, determine the response language based on the pre -trained report model of the response st"&amp;"rategy collection. The dialogue coaching system gives answers based on the speech of the response language. It also greatly reduces the process of artificial experience; the present invention also provides a dialogue training device, system and computer r"&amp;"eadable storage medium, which saves human resources, reduces costs, fully simulates the actual scene, allows novice seats to feel before the job is on the job. The real sales process helps to improve their sales skills and improve the feelings of real cus"&amp;"tomers facing newcomers.")</f>
        <v>The present invention involves the field of artificial intelligence technology, and a dialogue training method is disclosed. By obtaining the rhetoric information of the seat in real time, the voice of the speech information is converted into text based on voice recognition technology, and then the key information is extracted, and the input to the dialogue analysis model By match the corresponding response strategy, determine the response language based on the pre -trained report model of the response strategy collection. The dialogue coaching system gives answers based on the speech of the response language. It also greatly reduces the process of artificial experience; the present invention also provides a dialogue training device, system and computer readable storage medium, which saves human resources, reduces costs, fully simulates the actual scene, allows novice seats to feel before the job is on the job. The real sales process helps to improve their sales skills and improve the feelings of real customers facing newcomers.</v>
      </c>
      <c r="D2495" s="6" t="s">
        <v>7046</v>
      </c>
      <c r="E2495" s="4" t="str">
        <f ca="1">IFERROR(__xludf.DUMMYFUNCTION("GOOGLETRANSLATE(D2495,""auto"",""en"")"),"Dialogue training methods, devices, systems and storage media")</f>
        <v>Dialogue training methods, devices, systems and storage media</v>
      </c>
    </row>
    <row r="2496" spans="1:5" ht="15" x14ac:dyDescent="0.25">
      <c r="A2496" s="5" t="s">
        <v>7047</v>
      </c>
      <c r="B2496" s="6" t="s">
        <v>7048</v>
      </c>
      <c r="C2496" s="3" t="str">
        <f ca="1">IFERROR(__xludf.DUMMYFUNCTION("GOOGLETRANSLATE(B2496,""auto"",""en"")"),"Examples of the present invention disclose a cross -domain competitive fitness method, installation and system based on the Internet of Things, involving online fitness fields. The method includes: the competitive request for receiving the sponsor of the "&amp;"competition; receiving the acceptance information of the respondent; the creation of a competitive fitness room; the clock synchronization of the IoT equipment of the competitors and the Athletic respondent; The competitive data uploaded by the Internet o"&amp;"f Things device and processed. Examples of the present invention through online competitions, at the same time synchronization through clocks, after data adjustment, improve the rigorousness of the competition, ensure the true effectiveness of the competi"&amp;"tive performance, promote viscosity between users, enhance fitness effects, and use immersive fitness. Methods improve the user experience.")</f>
        <v>Examples of the present invention disclose a cross -domain competitive fitness method, installation and system based on the Internet of Things, involving online fitness fields. The method includes: the competitive request for receiving the sponsor of the competition; receiving the acceptance information of the respondent; the creation of a competitive fitness room; the clock synchronization of the IoT equipment of the competitors and the Athletic respondent; The competitive data uploaded by the Internet of Things device and processed. Examples of the present invention through online competitions, at the same time synchronization through clocks, after data adjustment, improve the rigorousness of the competition, ensure the true effectiveness of the competitive performance, promote viscosity between users, enhance fitness effects, and use immersive fitness. Methods improve the user experience.</v>
      </c>
      <c r="D2496" s="6" t="s">
        <v>7049</v>
      </c>
      <c r="E2496" s="4" t="str">
        <f ca="1">IFERROR(__xludf.DUMMYFUNCTION("GOOGLETRANSLATE(D2496,""auto"",""en"")"),"A cross -domain competitive fitness method, device and system based on the Internet of Things")</f>
        <v>A cross -domain competitive fitness method, device and system based on the Internet of Things</v>
      </c>
    </row>
    <row r="2497" spans="1:5" ht="15" x14ac:dyDescent="0.25">
      <c r="A2497" s="5" t="s">
        <v>7050</v>
      </c>
      <c r="B2497" s="6" t="s">
        <v>7051</v>
      </c>
      <c r="C2497" s="3" t="str">
        <f ca="1">IFERROR(__xludf.DUMMYFUNCTION("GOOGLETRANSLATE(B2497,""auto"",""en"")"),"The present invention disclosed a wonderful clip extraction method of badminton events, including: obtaining badminton videos; using the keras framework for migration and learning to obtain the perspective classification model; according to the perspectiv"&amp;"e classification model, the badminton video is divided to obtain a radio perspective badminton video fragment; Through YOLOV3 target detection model, the focus of athletes is determined; according to the focus of the athletes, the average player in the ba"&amp;"dminton video clip of the broadcast perspective is determined, and the average players with the largest average radio perspective of badminton video fragments are used as wonderful clips of badminton video. The present invention involves the segmentation "&amp;"link classified as the core of the perspective, and the excellent clip extraction section with the overall speed of the player's overall speed. Finally, the wonderful clip extraction method of a badminton event video can be achieved. The wonderful clip of"&amp;" the game saves the time cost of users.")</f>
        <v>The present invention disclosed a wonderful clip extraction method of badminton events, including: obtaining badminton videos; using the keras framework for migration and learning to obtain the perspective classification model; according to the perspective classification model, the badminton video is divided to obtain a radio perspective badminton video fragment; Through YOLOV3 target detection model, the focus of athletes is determined; according to the focus of the athletes, the average player in the badminton video clip of the broadcast perspective is determined, and the average players with the largest average radio perspective of badminton video fragments are used as wonderful clips of badminton video. The present invention involves the segmentation link classified as the core of the perspective, and the excellent clip extraction section with the overall speed of the player's overall speed. Finally, the wonderful clip extraction method of a badminton event video can be achieved. The wonderful clip of the game saves the time cost of users.</v>
      </c>
      <c r="D2497" s="6" t="s">
        <v>7052</v>
      </c>
      <c r="E2497" s="4" t="str">
        <f ca="1">IFERROR(__xludf.DUMMYFUNCTION("GOOGLETRANSLATE(D2497,""auto"",""en"")"),"Machine learning -based badminton game video wonderful clip extraction method extraction method")</f>
        <v>Machine learning -based badminton game video wonderful clip extraction method extraction method</v>
      </c>
    </row>
    <row r="2498" spans="1:5" ht="15" x14ac:dyDescent="0.25">
      <c r="A2498" s="5" t="s">
        <v>7053</v>
      </c>
      <c r="B2498" s="6" t="s">
        <v>7054</v>
      </c>
      <c r="C2498" s="3" t="str">
        <f ca="1">IFERROR(__xludf.DUMMYFUNCTION("GOOGLETRANSLATE(B2498,""auto"",""en"")"),"This utility model involves the technical field of AI artificial intelligence monitoring device, and a ping -ping -pong artificial intelligence monitoring device that is convenient for installation, including the installation seat and monitor, is fixed in"&amp;" the installation seat with a fixed board. The internal fixed installation of the fixed board is equipped with a tube. The internal activity of the sleeve is installed with a shaft. The top and bottom of the rotating shaft are fixed with a thread axis. In"&amp;" the connection shaft, the outside of the two connecting shafts is fixed with bearing with a fixed connection with the installation seat. The convenience of table tennis that is convenient for installation uses AI artificial intelligence monitoring device"&amp;"s, which has the advantages of convenient installation. It solves the use of artificial intelligence monitoring devices on the market in the process of using it. It affects the use of artificial intelligence monitoring equipment for table tennis.")</f>
        <v>This utility model involves the technical field of AI artificial intelligence monitoring device, and a ping -ping -pong artificial intelligence monitoring device that is convenient for installation, including the installation seat and monitor, is fixed in the installation seat with a fixed board. The internal fixed installation of the fixed board is equipped with a tube. The internal activity of the sleeve is installed with a shaft. The top and bottom of the rotating shaft are fixed with a thread axis. In the connection shaft, the outside of the two connecting shafts is fixed with bearing with a fixed connection with the installation seat. The convenience of table tennis that is convenient for installation uses AI artificial intelligence monitoring devices, which has the advantages of convenient installation. It solves the use of artificial intelligence monitoring devices on the market in the process of using it. It affects the use of artificial intelligence monitoring equipment for table tennis.</v>
      </c>
      <c r="D2498" s="6" t="s">
        <v>5352</v>
      </c>
      <c r="E2498" s="4" t="str">
        <f ca="1">IFERROR(__xludf.DUMMYFUNCTION("GOOGLETRANSLATE(D2498,""auto"",""en"")"),"An AI artificial intelligence monitoring device that is convenient for installation")</f>
        <v>An AI artificial intelligence monitoring device that is convenient for installation</v>
      </c>
    </row>
    <row r="2499" spans="1:5" ht="15" x14ac:dyDescent="0.25">
      <c r="A2499" s="5" t="s">
        <v>7055</v>
      </c>
      <c r="B2499" s="6" t="s">
        <v>7056</v>
      </c>
      <c r="C2499" s="3" t="str">
        <f ca="1">IFERROR(__xludf.DUMMYFUNCTION("GOOGLETRANSLATE(B2499,""auto"",""en"")"),"The present invention discloses the method of deep learning simulation based on cloud computing. It is a deep learning field. It is based on cloud computing deep learning simulation solidarity methods. Error setting error models can be set up by error set"&amp;"tings between data sets similar to the analog environment and the ideal data. The accuracy and operation sensitivity of the actual operation of the learning object. In the actual fine -tuning correction process, through the setting of the mutual amendment"&amp;" circle outside the different nodes and the different nodes, the scope of the next operation data point can be continuously reduced to effectively improve the operation data of the next operation. The accuracy of the point can also reduce the difficulty o"&amp;"f the next operation data point, improve the overall operating efficiency of deep learning objects. At the same time, the difference between the data group and the ideal data that is obviously different from the simulation environment, and expand the dept"&amp;"h of the simulation environment. Reduce the differences between the simulation environment and the actual operation environment, and then improve the comprehensiveness of deep learning objects for deep learning.")</f>
        <v>The present invention discloses the method of deep learning simulation based on cloud computing. It is a deep learning field. It is based on cloud computing deep learning simulation solidarity methods. Error setting error models can be set up by error settings between data sets similar to the analog environment and the ideal data. The accuracy and operation sensitivity of the actual operation of the learning object. In the actual fine -tuning correction process, through the setting of the mutual amendment circle outside the different nodes and the different nodes, the scope of the next operation data point can be continuously reduced to effectively improve the operation data of the next operation. The accuracy of the point can also reduce the difficulty of the next operation data point, improve the overall operating efficiency of deep learning objects. At the same time, the difference between the data group and the ideal data that is obviously different from the simulation environment, and expand the depth of the simulation environment. Reduce the differences between the simulation environment and the actual operation environment, and then improve the comprehensiveness of deep learning objects for deep learning.</v>
      </c>
      <c r="D2499" s="6" t="s">
        <v>7057</v>
      </c>
      <c r="E2499" s="4" t="str">
        <f ca="1">IFERROR(__xludf.DUMMYFUNCTION("GOOGLETRANSLATE(D2499,""auto"",""en"")"),"Method of deep learning simulation based on cloud computing")</f>
        <v>Method of deep learning simulation based on cloud computing</v>
      </c>
    </row>
    <row r="2500" spans="1:5" ht="15" x14ac:dyDescent="0.25">
      <c r="A2500" s="5" t="s">
        <v>7058</v>
      </c>
      <c r="B2500" s="6" t="s">
        <v>7059</v>
      </c>
      <c r="C2500" s="3" t="str">
        <f ca="1">IFERROR(__xludf.DUMMYFUNCTION("GOOGLETRANSLATE(B2500,""auto"",""en"")"),"A information processing equipment, methods and procedures that can calculate the information of the event information based on the event of a sports game are provided.
  Information processing system 1 information processing equipment 100 as the functi"&amp;"on information information acquisition unit 131 of the attribute information of the user's attribute information and the events of the events that change over time. Based on the collection unit 132, the learning unit 133 conducts machine learning and gene"&amp;"rate event prediction model information based on event status information, and dynamic data and event prediction model information obtained through real -time monitoring events, predicting units 134 used to predict events, value calculation Unit 135, whic"&amp;"h is used to calculate the value of the event information provided by the service provided by the user when the unit time occurs, and accumulate the value of the incident information. Calculation information calculation of 136 units.
  【Selection Figure"&amp;"】 Figure 1")</f>
        <v>A information processing equipment, methods and procedures that can calculate the information of the event information based on the event of a sports game are provided.
  Information processing system 1 information processing equipment 100 as the function information information acquisition unit 131 of the attribute information of the user's attribute information and the events of the events that change over time. Based on the collection unit 132, the learning unit 133 conducts machine learning and generate event prediction model information based on event status information, and dynamic data and event prediction model information obtained through real -time monitoring events, predicting units 134 used to predict events, value calculation Unit 135, which is used to calculate the value of the event information provided by the service provided by the user when the unit time occurs, and accumulate the value of the incident information. Calculation information calculation of 136 units.
  【Selection Figure】 Figure 1</v>
      </c>
      <c r="D2500" s="6" t="s">
        <v>5225</v>
      </c>
      <c r="E2500" s="4" t="str">
        <f ca="1">IFERROR(__xludf.DUMMYFUNCTION("GOOGLETRANSLATE(D2500,""auto"",""en"")"),"Information processing device, information processing method and information processing program")</f>
        <v>Information processing device, information processing method and information processing program</v>
      </c>
    </row>
    <row r="2501" spans="1:5" ht="15" x14ac:dyDescent="0.25">
      <c r="A2501" s="5" t="s">
        <v>7060</v>
      </c>
      <c r="B2501" s="6" t="s">
        <v>7061</v>
      </c>
      <c r="C2501" s="3" t="str">
        <f ca="1">IFERROR(__xludf.DUMMYFUNCTION("GOOGLETRANSLATE(B2501,""auto"",""en"")"),"The present invention uses big data and artificial intelligence to provide digital twins that trains objects, and change the performance status, competition information and improvement methods based on the results of various computer simulation on digital"&amp;" twins. Improve performance by providing at least one training information data.")</f>
        <v>The present invention uses big data and artificial intelligence to provide digital twins that trains objects, and change the performance status, competition information and improvement methods based on the results of various computer simulation on digital twins. Improve performance by providing at least one training information data.</v>
      </c>
      <c r="D2501" s="6" t="s">
        <v>7062</v>
      </c>
      <c r="E2501" s="4" t="str">
        <f ca="1">IFERROR(__xludf.DUMMYFUNCTION("GOOGLETRANSLATE(D2501,""auto"",""en"")"),"How to use artificial intelligence to improve performance")</f>
        <v>How to use artificial intelligence to improve performance</v>
      </c>
    </row>
    <row r="2502" spans="1:5" ht="15" x14ac:dyDescent="0.25">
      <c r="A2502" s="5" t="s">
        <v>7063</v>
      </c>
      <c r="B2502" s="6" t="s">
        <v>7064</v>
      </c>
      <c r="C2502" s="3" t="str">
        <f ca="1">IFERROR(__xludf.DUMMYFUNCTION("GOOGLETRANSLATE(B2502,""auto"",""en"")"),"The present invention involves a serving illegal posture recognition platform and method. Camera, driven by the bottom gimbal, perform directional camera operations on the current player where the player is currently performing, in order to obtain the cur"&amp;"rent image frame corresponding to the current moment. Level; Data sending device, which is used to send the receiving serve signal or serving signal to the nearest referee's handheld terminal through the wireless network. The official data identification "&amp;"platform and method data of the serving illegal posture of the present invention are effective and widely used. Because the customized image recognition mechanism is adopted, the serving of the serve of the serving staff will be identified by the serving "&amp;"person's serving person to avoid the deviation and misjudgment caused by artificial identification.")</f>
        <v>The present invention involves a serving illegal posture recognition platform and method. Camera, driven by the bottom gimbal, perform directional camera operations on the current player where the player is currently performing, in order to obtain the current image frame corresponding to the current moment. Level; Data sending device, which is used to send the receiving serve signal or serving signal to the nearest referee's handheld terminal through the wireless network. The official data identification platform and method data of the serving illegal posture of the present invention are effective and widely used. Because the customized image recognition mechanism is adopted, the serving of the serve of the serving staff will be identified by the serving person's serving person to avoid the deviation and misjudgment caused by artificial identification.</v>
      </c>
      <c r="D2502" s="6" t="s">
        <v>7065</v>
      </c>
      <c r="E2502" s="4" t="str">
        <f ca="1">IFERROR(__xludf.DUMMYFUNCTION("GOOGLETRANSLATE(D2502,""auto"",""en"")"),"Serving illegal posture identification platform and method")</f>
        <v>Serving illegal posture identification platform and method</v>
      </c>
    </row>
    <row r="2503" spans="1:5" ht="15" x14ac:dyDescent="0.25">
      <c r="A2503" s="5" t="s">
        <v>7066</v>
      </c>
      <c r="B2503" s="6" t="s">
        <v>7067</v>
      </c>
      <c r="C2503" s="3" t="str">
        <f ca="1">IFERROR(__xludf.DUMMYFUNCTION("GOOGLETRANSLATE(B2503,""auto"",""en"")"),"A cricket control experimental system based on the position detection of the resistance screen, including the mechanical structure of the resistance screen, chassis and two -dimensional steering gear control; the resistance screen is fixed at the horizont"&amp;"al position above the chassis, and the crickets move on the plane of the resistance screen; the two -dimensional steering gear is The mechanical control structure includes ball joints, two guide rails, two links and two steering gears. There are ball join"&amp;"ts in the center of the chassis; the chassis is rectangular, two guide rails are provided with horizontal edges and vertical edges, respectively. One end is driven by two independent steering gears, and the output ends of the two links are slid in the two"&amp;" rails; in addition, the single -chip microcomputer and power supply; Small ball location information; the single -chip microcomputer is connected to the steering gear, and directly controls the steering gear; the single -chip microcomputer is also connec"&amp;"ted to the keyboard and the display, and the system is considered to set the system and display the small ball position and other information through the keyboard.")</f>
        <v>A cricket control experimental system based on the position detection of the resistance screen, including the mechanical structure of the resistance screen, chassis and two -dimensional steering gear control; the resistance screen is fixed at the horizontal position above the chassis, and the crickets move on the plane of the resistance screen; the two -dimensional steering gear is The mechanical control structure includes ball joints, two guide rails, two links and two steering gears. There are ball joints in the center of the chassis; the chassis is rectangular, two guide rails are provided with horizontal edges and vertical edges, respectively. One end is driven by two independent steering gears, and the output ends of the two links are slid in the two rails; in addition, the single -chip microcomputer and power supply; Small ball location information; the single -chip microcomputer is connected to the steering gear, and directly controls the steering gear; the single -chip microcomputer is also connected to the keyboard and the display, and the system is considered to set the system and display the small ball position and other information through the keyboard.</v>
      </c>
      <c r="D2503" s="6" t="s">
        <v>7068</v>
      </c>
      <c r="E2503" s="4" t="str">
        <f ca="1">IFERROR(__xludf.DUMMYFUNCTION("GOOGLETRANSLATE(D2503,""auto"",""en"")"),"A cricket control experimental system based on resistance screen position detection")</f>
        <v>A cricket control experimental system based on resistance screen position detection</v>
      </c>
    </row>
    <row r="2504" spans="1:5" ht="15" x14ac:dyDescent="0.25">
      <c r="A2504" s="5" t="s">
        <v>7069</v>
      </c>
      <c r="B2504" s="6" t="s">
        <v>7067</v>
      </c>
      <c r="C2504" s="3" t="str">
        <f ca="1">IFERROR(__xludf.DUMMYFUNCTION("GOOGLETRANSLATE(B2504,""auto"",""en"")"),"A cricket control experimental system based on the position detection of the resistance screen, including the mechanical structure of the resistance screen, chassis and two -dimensional steering gear control; the resistance screen is fixed at the horizont"&amp;"al position above the chassis, and the crickets move on the plane of the resistance screen; the two -dimensional steering gear is The mechanical control structure includes ball joints, two guide rails, two links and two steering gears. There are ball join"&amp;"ts in the center of the chassis; the chassis is rectangular, two guide rails are provided with horizontal edges and vertical edges, respectively. One end is driven by two independent steering gears, and the output ends of the two links are slid in the two"&amp;" rails; in addition, the single -chip microcomputer and power supply; Small ball location information; the single -chip microcomputer is connected to the steering gear, and directly controls the steering gear; the single -chip microcomputer is also connec"&amp;"ted to the keyboard and the display, and the system is considered to set the system and display the small ball position and other information through the keyboard.")</f>
        <v>A cricket control experimental system based on the position detection of the resistance screen, including the mechanical structure of the resistance screen, chassis and two -dimensional steering gear control; the resistance screen is fixed at the horizontal position above the chassis, and the crickets move on the plane of the resistance screen; the two -dimensional steering gear is The mechanical control structure includes ball joints, two guide rails, two links and two steering gears. There are ball joints in the center of the chassis; the chassis is rectangular, two guide rails are provided with horizontal edges and vertical edges, respectively. One end is driven by two independent steering gears, and the output ends of the two links are slid in the two rails; in addition, the single -chip microcomputer and power supply; Small ball location information; the single -chip microcomputer is connected to the steering gear, and directly controls the steering gear; the single -chip microcomputer is also connected to the keyboard and the display, and the system is considered to set the system and display the small ball position and other information through the keyboard.</v>
      </c>
      <c r="D2504" s="6" t="s">
        <v>7068</v>
      </c>
      <c r="E2504" s="4" t="str">
        <f ca="1">IFERROR(__xludf.DUMMYFUNCTION("GOOGLETRANSLATE(D2504,""auto"",""en"")"),"A cricket control experimental system based on resistance screen position detection")</f>
        <v>A cricket control experimental system based on resistance screen position detection</v>
      </c>
    </row>
    <row r="2505" spans="1:5" ht="15" x14ac:dyDescent="0.25">
      <c r="A2505" s="5" t="s">
        <v>7070</v>
      </c>
      <c r="B2505" s="6" t="s">
        <v>7071</v>
      </c>
      <c r="C2505" s="3" t="str">
        <f ca="1">IFERROR(__xludf.DUMMYFUNCTION("GOOGLETRANSLATE(B2505,""auto"",""en"")"),"The present invention establishes the ontology for machine learning models, so that multiple machine learning models can link and use each other, as well as the ontology system and methods that support the application of various machine learning models an"&amp;"d the use of links between its models, as well as us, as well as us A machine learning model is proposed. According to the present invention, the ontology of the initial input data exported from the machine learning model and the ontology of various machi"&amp;"ne learning models, and use these ontology to perform the data preparation of the data operation of the machine learning model, and the results obtained by the execution of the machine learning model are reflected in In the ontology of data and machine le"&amp;"arning models.")</f>
        <v>The present invention establishes the ontology for machine learning models, so that multiple machine learning models can link and use each other, as well as the ontology system and methods that support the application of various machine learning models and the use of links between its models, as well as us, as well as us A machine learning model is proposed. According to the present invention, the ontology of the initial input data exported from the machine learning model and the ontology of various machine learning models, and use these ontology to perform the data preparation of the data operation of the machine learning model, and the results obtained by the execution of the machine learning model are reflected in In the ontology of data and machine learning models.</v>
      </c>
      <c r="D2505" s="6" t="s">
        <v>7072</v>
      </c>
      <c r="E2505" s="4" t="str">
        <f ca="1">IFERROR(__xludf.DUMMYFUNCTION("GOOGLETRANSLATE(D2505,""auto"",""en"")"),"The ontology operating system for machine learning model")</f>
        <v>The ontology operating system for machine learning model</v>
      </c>
    </row>
    <row r="2506" spans="1:5" ht="15" x14ac:dyDescent="0.25">
      <c r="A2506" s="5" t="s">
        <v>7073</v>
      </c>
      <c r="B2506" s="6" t="s">
        <v>7074</v>
      </c>
      <c r="C2506" s="3" t="str">
        <f ca="1">IFERROR(__xludf.DUMMYFUNCTION("GOOGLETRANSLATE(B2506,""auto"",""en"")"),"This utility model opens up a kind of artificial intelligence basketball venue, including the fixed panel surface installed on the ground. There are multiple support rods on the board. There is the first slider, and there is a protective institution betwe"&amp;"en the two supporting rods. The top of the protective agency is fixed with two rumors. The inner wall of the first slide is opened with a second slide. Both of the second slide are provided with a card tight mechanism. The front wall of the support rod is"&amp;" opened with a installation slot. This utility model design is reasonable. It can effectively block basketball when athletes conduct basketball training to ensure that basketball has been in the venue, reducing the athletes picking time and improving trai"&amp;"ning efficiency.")</f>
        <v>This utility model opens up a kind of artificial intelligence basketball venue, including the fixed panel surface installed on the ground. There are multiple support rods on the board. There is the first slider, and there is a protective institution between the two supporting rods. The top of the protective agency is fixed with two rumors. The inner wall of the first slide is opened with a second slide. Both of the second slide are provided with a card tight mechanism. The front wall of the support rod is opened with a installation slot. This utility model design is reasonable. It can effectively block basketball when athletes conduct basketball training to ensure that basketball has been in the venue, reducing the athletes picking time and improving training efficiency.</v>
      </c>
      <c r="D2506" s="6" t="s">
        <v>7075</v>
      </c>
      <c r="E2506" s="4" t="str">
        <f ca="1">IFERROR(__xludf.DUMMYFUNCTION("GOOGLETRANSLATE(D2506,""auto"",""en"")"),"A kind of artificial intelligence basketball venue")</f>
        <v>A kind of artificial intelligence basketball venue</v>
      </c>
    </row>
    <row r="2507" spans="1:5" ht="15" x14ac:dyDescent="0.25">
      <c r="A2507" s="5" t="s">
        <v>7076</v>
      </c>
      <c r="B2507" s="6" t="s">
        <v>7077</v>
      </c>
      <c r="C2507" s="3" t="str">
        <f ca="1">IFERROR(__xludf.DUMMYFUNCTION("GOOGLETRANSLATE(B2507,""auto"",""en"")"),"A system and method are provided to use a single mobile bilateral target game object to follow the team -based sports events to automatically perform video signals input video signals. This method includes: receiving input video signals; analyzing the inp"&amp;"ut video signal of one or more contextual characteristics; encoding one or more contemporary feature maps; using the trained machine learning model Each group determines the estimation coordinates of a single mobile bilateral target game object. One or mo"&amp;"re contemporary feature charts that receive codes of machine learning models are used as feature machine learning models. Machine learning models use training data training. Training data includes multiple previous records of training training. Video sign"&amp;"al, each training video signal has a associated encoding of one or more context feature maps. The training data also includes ground live data, including a single-moving bilateral screen coordinates-targeted game objects.")</f>
        <v>A system and method are provided to use a single mobile bilateral target game object to follow the team -based sports events to automatically perform video signals input video signals. This method includes: receiving input video signals; analyzing the input video signal of one or more contextual characteristics; encoding one or more contemporary feature maps; using the trained machine learning model Each group determines the estimation coordinates of a single mobile bilateral target game object. One or more contemporary feature charts that receive codes of machine learning models are used as feature machine learning models. Machine learning models use training data training. Training data includes multiple previous records of training training. Video signal, each training video signal has a associated encoding of one or more context feature maps. The training data also includes ground live data, including a single-moving bilateral screen coordinates-targeted game objects.</v>
      </c>
      <c r="D2507" s="6" t="s">
        <v>7078</v>
      </c>
      <c r="E2507" s="4" t="str">
        <f ca="1">IFERROR(__xludf.DUMMYFUNCTION("GOOGLETRANSLATE(D2507,""auto"",""en"")"),"Use a single -capable bilateral target game object to track the system and method of automatic video processing of input video signals")</f>
        <v>Use a single -capable bilateral target game object to track the system and method of automatic video processing of input video signals</v>
      </c>
    </row>
    <row r="2508" spans="1:5" ht="15" x14ac:dyDescent="0.25">
      <c r="A2508" s="5" t="s">
        <v>7079</v>
      </c>
      <c r="B2508" s="6" t="s">
        <v>7080</v>
      </c>
      <c r="C2508" s="3" t="str">
        <f ca="1">IFERROR(__xludf.DUMMYFUNCTION("GOOGLETRANSLATE(B2508,""auto"",""en"")"),"A disclosure of an online personal training system and method based on artificial intelligence. The invention creates a personalized body type management solution through input basic body information and target body type information. The target body infor"&amp;"mation includes body composition, height, weight, muscle quality, body moisture, and body composition, height, weight, muscle quality and body moisture. Through 3D modeling data of the whole body, and through this, the movement progress of members can max"&amp;"imize the effect of personal training through management and diet, so that personal training can be more systematic. In addition, through member terminals to perceive the amount of food and exercise consumed outside the fitness center, and reflected in th"&amp;"e body management plan, members can be more systematically managed by members' health and physical management. In addition, when members are not in the fitness center, they provide alternative sports information, and continue to inform members of the phys"&amp;"ical condition information that members have changed due to exercise, prompting members to persist in exercise, so as to manage their body shape and health through personal management. Training results")</f>
        <v>A disclosure of an online personal training system and method based on artificial intelligence. The invention creates a personalized body type management solution through input basic body information and target body type information. The target body information includes body composition, height, weight, muscle quality, body moisture, and body composition, height, weight, muscle quality and body moisture. Through 3D modeling data of the whole body, and through this, the movement progress of members can maximize the effect of personal training through management and diet, so that personal training can be more systematic. In addition, through member terminals to perceive the amount of food and exercise consumed outside the fitness center, and reflected in the body management plan, members can be more systematically managed by members' health and physical management. In addition, when members are not in the fitness center, they provide alternative sports information, and continue to inform members of the physical condition information that members have changed due to exercise, prompting members to persist in exercise, so as to manage their body shape and health through personal management. Training results</v>
      </c>
      <c r="D2508" s="6" t="s">
        <v>7081</v>
      </c>
      <c r="E2508" s="4" t="str">
        <f ca="1">IFERROR(__xludf.DUMMYFUNCTION("GOOGLETRANSLATE(D2508,""auto"",""en"")"),"Online personal training system and method")</f>
        <v>Online personal training system and method</v>
      </c>
    </row>
    <row r="2509" spans="1:5" ht="15" x14ac:dyDescent="0.25">
      <c r="A2509" s="5" t="s">
        <v>7082</v>
      </c>
      <c r="B2509" s="6" t="s">
        <v>7077</v>
      </c>
      <c r="C2509" s="3" t="str">
        <f ca="1">IFERROR(__xludf.DUMMYFUNCTION("GOOGLETRANSLATE(B2509,""auto"",""en"")"),"A system and method are provided to use a single mobile bilateral target game object to follow the team -based sports events to automatically perform video signals input video signals. This method includes: receiving input video signals; analyzing the inp"&amp;"ut video signal of one or more contextual characteristics; encoding one or more contemporary feature maps; using the trained machine learning model Each group determines the estimation coordinates of a single mobile bilateral target game object. One or mo"&amp;"re contemporary feature charts that receive codes of machine learning models are used as feature machine learning models. Machine learning models use training data training. Training data includes multiple previous records of training training. Video sign"&amp;"al, each training video signal has a associated encoding of one or more context feature maps. The training data also includes ground live data, including a single-moving bilateral screen coordinates-targeted game objects.")</f>
        <v>A system and method are provided to use a single mobile bilateral target game object to follow the team -based sports events to automatically perform video signals input video signals. This method includes: receiving input video signals; analyzing the input video signal of one or more contextual characteristics; encoding one or more contemporary feature maps; using the trained machine learning model Each group determines the estimation coordinates of a single mobile bilateral target game object. One or more contemporary feature charts that receive codes of machine learning models are used as feature machine learning models. Machine learning models use training data training. Training data includes multiple previous records of training training. Video signal, each training video signal has a associated encoding of one or more context feature maps. The training data also includes ground live data, including a single-moving bilateral screen coordinates-targeted game objects.</v>
      </c>
      <c r="D2509" s="6" t="s">
        <v>7083</v>
      </c>
      <c r="E2509" s="4" t="str">
        <f ca="1">IFERROR(__xludf.DUMMYFUNCTION("GOOGLETRANSLATE(D2509,""auto"",""en"")"),"The system and method for using a single -mobile bilateral target game object to track the input video signal")</f>
        <v>The system and method for using a single -mobile bilateral target game object to track the input video signal</v>
      </c>
    </row>
    <row r="2510" spans="1:5" ht="15" x14ac:dyDescent="0.25">
      <c r="A2510" s="5" t="s">
        <v>7084</v>
      </c>
      <c r="B2510" s="6" t="s">
        <v>7085</v>
      </c>
      <c r="C2510" s="3" t="str">
        <f ca="1">IFERROR(__xludf.DUMMYFUNCTION("GOOGLETRANSLATE(B2510,""auto"",""en"")"),"The present invention disclosed a test operation 3D demonstration system, which is used in the physical indicators testing and morphological test training session of the athletes. Specifically, it includes an interactive terminal, one image acquisition te"&amp;"rminal, one processing terminal and a projection terminal. Through this technical scheme, the combined machine learning and big data analysis methods can effectively guide the testers to measure the specific indicators of the testers. Tester reference hel"&amp;"ps to test precise, scientific, and efficient; applied in the training scenario, helps the trainers to quickly and accurately grasp the main points of measurement, reduce training efficiency, and low training costs.")</f>
        <v>The present invention disclosed a test operation 3D demonstration system, which is used in the physical indicators testing and morphological test training session of the athletes. Specifically, it includes an interactive terminal, one image acquisition terminal, one processing terminal and a projection terminal. Through this technical scheme, the combined machine learning and big data analysis methods can effectively guide the testers to measure the specific indicators of the testers. Tester reference helps to test precise, scientific, and efficient; applied in the training scenario, helps the trainers to quickly and accurately grasp the main points of measurement, reduce training efficiency, and low training costs.</v>
      </c>
      <c r="D2510" s="6" t="s">
        <v>7086</v>
      </c>
      <c r="E2510" s="4" t="str">
        <f ca="1">IFERROR(__xludf.DUMMYFUNCTION("GOOGLETRANSLATE(D2510,""auto"",""en"")"),"One test operation 3D demonstration system")</f>
        <v>One test operation 3D demonstration system</v>
      </c>
    </row>
    <row r="2511" spans="1:5" ht="15" x14ac:dyDescent="0.25">
      <c r="A2511" s="5" t="s">
        <v>7087</v>
      </c>
      <c r="B2511" s="6" t="s">
        <v>7088</v>
      </c>
      <c r="C2511" s="3" t="str">
        <f ca="1">IFERROR(__xludf.DUMMYFUNCTION("GOOGLETRANSLATE(B2511,""auto"",""en"")"),"This utility model involves a spherical drone system that achieves a variety of sports modes based on biological body identification control, including the spherical framework. The UAV system control platform is installed with MCU main control processing "&amp;"unit; the system also includes the biological identification sensor unit, which is placed in the front, left and right positions of the spherical frame, and the MCU main control processing processing The unit is connected. A spherical drone system with a "&amp;"multi -motion mode with a new and practical new type of biological identification and control is used to design the drone system as a ball -shaped structure, similar to the shape of basketball, volleyball and football. The corresponding sports competition"&amp;" performance has strong human -computer interaction, appreciation, playability and fun. At the same time, it fills the blank of such products in the existing market, with high group fun and market application value.")</f>
        <v>This utility model involves a spherical drone system that achieves a variety of sports modes based on biological body identification control, including the spherical framework. The UAV system control platform is installed with MCU main control processing unit; the system also includes the biological identification sensor unit, which is placed in the front, left and right positions of the spherical frame, and the MCU main control processing processing The unit is connected. A spherical drone system with a multi -motion mode with a new and practical new type of biological identification and control is used to design the drone system as a ball -shaped structure, similar to the shape of basketball, volleyball and football. The corresponding sports competition performance has strong human -computer interaction, appreciation, playability and fun. At the same time, it fills the blank of such products in the existing market, with high group fun and market application value.</v>
      </c>
      <c r="D2511" s="6" t="s">
        <v>7089</v>
      </c>
      <c r="E2511" s="4" t="str">
        <f ca="1">IFERROR(__xludf.DUMMYFUNCTION("GOOGLETRANSLATE(D2511,""auto"",""en"")"),"Based on biological identification and control, a spherical drone system with a variety of sports modes")</f>
        <v>Based on biological identification and control, a spherical drone system with a variety of sports modes</v>
      </c>
    </row>
    <row r="2512" spans="1:5" ht="15" x14ac:dyDescent="0.25">
      <c r="A2512" s="5" t="s">
        <v>7090</v>
      </c>
      <c r="B2512" s="6" t="s">
        <v>7091</v>
      </c>
      <c r="C2512" s="3" t="str">
        <f ca="1">IFERROR(__xludf.DUMMYFUNCTION("GOOGLETRANSLATE(B2512,""auto"",""en"")"),"1. Design product name: Figure user interface of the decoration system of tablets.
 2. The purpose of designing products in this exterior: The design of the product is used to run the program and display the graphical user interface.
 3. The design of"&amp;" the design of the product in this exterior: lies in the graphic user interface content of the design of the product in this exterior.
 4. Pictures or photos that can most indicate design points: main view.
 5. This product is designed for the graphic"&amp;"al user interface (GUI). There is no design point for other views, and other views are omitted.
 6. Interface use: The interface of the design of the product in this exterior is the interface of the mobile phone application software client. The graphic "&amp;"user interface is used for human -computer interaction and the function of product or software client. This interface is used to display the work design effect.
 The interface in the main view is the initial login interface; click ""Registration"" in th"&amp;"e login interface, the interface jumps to the change state Figure 1; click ""Forgot Password"" in the login interface, the interface jumps to the change state Figure 2; in the login interface, in the login interface Log in directly to enter the change sta"&amp;"te Figure 3; change status figure 3 click the ""apartment search"" button to enter the changing state Figure 4; click the editor button to enter the change state diagram 5; ; Click the change status Figure 3 ""Personal Center"" Enter the state of change; "&amp;"change status Figure 8 click the apartment detail button to view the address, building area, rental status, rental price details; The renderings change state Figure 9; click the quotation form button to view the quotation table changes. ; Click changing s"&amp;"tatus Figure 7 Customer list button Enter the change state. 14; click the changing state diagram to enter the change state Figure 15; click the detailed button in the personal plan to open the units. Details interface diagram changes. 16; click the editin"&amp;"g button to enter the changing state diagram 5; Click the renderings button to view the renderings change status Figure 9; click the quotation form button to view the quotation map changes. Construction structure display structure components load -bearing"&amp;" wall columns, etc.
 Click the export file button to enter the change state Figure 18; click the saving button to enter the change state figure 19; click to add the customer button to enter the change state figure 20; click the personal solution button "&amp;"to enter the change state Figure 21; click the changing status diagram of the 5 units to enter the changing state. Figure 22 Click the personal center button to enter the change state Figure 7; click the 3D button to jump to the roaming mode interface -ch"&amp;"ange status Figure 23; click the God mode button to enter the God mode interface -change status Figure 24; click the effect chart button to open the renderings interface ——Ad change status Figure 25; click change state Figure 24 Visitors mode button back "&amp;"to the roaming mode interface -change state Figure 23; click the style button to open the style replacement interface -change state Figure 26; click the renderings button to open the renderings interface - - Change status Figure 25; click the changing sta"&amp;"te of the modified room number button in Figure 5 to open the modified room number interface -change state Figure 27; click the automatic layout button to open the automatic layout interface -change state Figure 28; click style button enter the changing s"&amp;"tate Figure 29; Click the historical record to view the selected style.
 Click the floor to enter the change state Figure 30; click to replace the floor button, replace the material button, add the furniture button to enter the changing state Figure 31;"&amp;" click the changing layout button to enter the change state. Change status Figure 34; click to replace the furniture button, replace the furniture button to enter the change state Figure 35; click the furniture details button to enter the change state. fu"&amp;"rniture.
 Click on the wall to open and enter the change state Figure 37; (refer to the use of the overall operation step interface, refer to the status of the use status Figure 1‑30).")</f>
        <v>1. Design product name: Figure user interface of the decoration system of tablets.
 2. The purpose of designing products in this exterior: The design of the product is used to run the program and display the graphical user interface.
 3. The design of the design of the product in this exterior: lies in the graphic user interface content of the design of the product in this exterior.
 4. Pictures or photos that can most indicate design points: main view.
 5. This product is designed for the graphical user interface (GUI). There is no design point for other views, and other views are omitted.
 6. Interface use: The interface of the design of the product in this exterior is the interface of the mobile phone application software client. The graphic user interface is used for human -computer interaction and the function of product or software client. This interface is used to display the work design effect.
 The interface in the main view is the initial login interface; click "Registration" in the login interface, the interface jumps to the change state Figure 1; click "Forgot Password" in the login interface, the interface jumps to the change state Figure 2; in the login interface, in the login interface Log in directly to enter the change state Figure 3; change status figure 3 click the "apartment search" button to enter the changing state Figure 4; click the editor button to enter the change state diagram 5; ; Click the change status Figure 3 "Personal Center" Enter the state of change; change status Figure 8 click the apartment detail button to view the address, building area, rental status, rental price details; The renderings change state Figure 9; click the quotation form button to view the quotation table changes. ; Click changing status Figure 7 Customer list button Enter the change state. 14; click the changing state diagram to enter the change state Figure 15; click the detailed button in the personal plan to open the units. Details interface diagram changes. 16; click the editing button to enter the changing state diagram 5; Click the renderings button to view the renderings change status Figure 9; click the quotation form button to view the quotation map changes. Construction structure display structure components load -bearing wall columns, etc.
 Click the export file button to enter the change state Figure 18; click the saving button to enter the change state figure 19; click to add the customer button to enter the change state figure 20; click the personal solution button to enter the change state Figure 21; click the changing status diagram of the 5 units to enter the changing state. Figure 22 Click the personal center button to enter the change state Figure 7; click the 3D button to jump to the roaming mode interface -change status Figure 23; click the God mode button to enter the God mode interface -change status Figure 24; click the effect chart button to open the renderings interface ——Ad change status Figure 25; click change state Figure 24 Visitors mode button back to the roaming mode interface -change state Figure 23; click the style button to open the style replacement interface -change state Figure 26; click the renderings button to open the renderings interface - - Change status Figure 25; click the changing state of the modified room number button in Figure 5 to open the modified room number interface -change state Figure 27; click the automatic layout button to open the automatic layout interface -change state Figure 28; click style button enter the changing state Figure 29; Click the historical record to view the selected style.
 Click the floor to enter the change state Figure 30; click to replace the floor button, replace the material button, add the furniture button to enter the changing state Figure 31; click the changing layout button to enter the change state. Change status Figure 34; click to replace the furniture button, replace the furniture button to enter the change state Figure 35; click the furniture details button to enter the change state. furniture.
 Click on the wall to open and enter the change state Figure 37; (refer to the use of the overall operation step interface, refer to the status of the use status Figure 1‑30).</v>
      </c>
      <c r="D2512" s="6" t="s">
        <v>7092</v>
      </c>
      <c r="E2512" s="4" t="str">
        <f ca="1">IFERROR(__xludf.DUMMYFUNCTION("GOOGLETRANSLATE(D2512,""auto"",""en"")"),"Tablet computer decoration system graphical user interface")</f>
        <v>Tablet computer decoration system graphical user interface</v>
      </c>
    </row>
    <row r="2513" spans="1:5" ht="15" x14ac:dyDescent="0.25">
      <c r="A2513" s="5" t="s">
        <v>7093</v>
      </c>
      <c r="B2513" s="6" t="s">
        <v>7094</v>
      </c>
      <c r="C2513" s="3" t="str">
        <f ca="1">IFERROR(__xludf.DUMMYFUNCTION("GOOGLETRANSLATE(B2513,""auto"",""en"")"),"The invention involves a smart color screen that can be moved by rotary movement, including: bearer components for carrier rotating components; color screen frames set on the rotating component; The control system set in the color screen framework, the co"&amp;"ntrol system in the control system can be pre -installed with the control software corresponding to a variety of fitness equipment; the display connected to the control software is used for display and control related information. In the framework; users "&amp;"in the present invention can be more convenient and flexible using a 360 ° rotating and moving display, and it can be used with a variety of fitness equipment. It can also be used as a TV set. There are 360 ​​° adjustable cameras; the display also has AI "&amp;"intelligent voice functions. The human -machine interaction function is realized through AI intelligent voice instructions, increasing the comfort and entertainment of users, and further enhance the user's satisfaction.")</f>
        <v>The invention involves a smart color screen that can be moved by rotary movement, including: bearer components for carrier rotating components; color screen frames set on the rotating component; The control system set in the color screen framework, the control system in the control system can be pre -installed with the control software corresponding to a variety of fitness equipment; the display connected to the control software is used for display and control related information. In the framework; users in the present invention can be more convenient and flexible using a 360 ° rotating and moving display, and it can be used with a variety of fitness equipment. It can also be used as a TV set. There are 360 ​​° adjustable cameras; the display also has AI intelligent voice functions. The human -machine interaction function is realized through AI intelligent voice instructions, increasing the comfort and entertainment of users, and further enhance the user's satisfaction.</v>
      </c>
      <c r="D2513" s="6" t="s">
        <v>7095</v>
      </c>
      <c r="E2513" s="4" t="str">
        <f ca="1">IFERROR(__xludf.DUMMYFUNCTION("GOOGLETRANSLATE(D2513,""auto"",""en"")"),"A smart color screen with rotating movement for fitness equipment")</f>
        <v>A smart color screen with rotating movement for fitness equipment</v>
      </c>
    </row>
    <row r="2514" spans="1:5" ht="15" x14ac:dyDescent="0.25">
      <c r="A2514" s="5" t="s">
        <v>7096</v>
      </c>
      <c r="B2514" s="6" t="s">
        <v>7097</v>
      </c>
      <c r="C2514" s="3" t="str">
        <f ca="1">IFERROR(__xludf.DUMMYFUNCTION("GOOGLETRANSLATE(B2514,""auto"",""en"")"),"The present invention involves the field of computer vision technology. A fitness movement method and system based on the mobile platform is disclosed. This method includes: mobile shooting users' fitness images; identifying users in fitness images; Corre"&amp;"ct fitness action; if not match, output the correct fitness action to users. Among them, the mobile platform includes mobile bases, gimbals, cameras, telescopic rods and display screens. Through the mobile platform for mobile shooting, you can shoot witho"&amp;"ut dead ends without setting up a large amount of equipment, so as to identify fitness actions and correct errors. The implementation cost is low and easy to promote and applied.")</f>
        <v>The present invention involves the field of computer vision technology. A fitness movement method and system based on the mobile platform is disclosed. This method includes: mobile shooting users' fitness images; identifying users in fitness images; Correct fitness action; if not match, output the correct fitness action to users. Among them, the mobile platform includes mobile bases, gimbals, cameras, telescopic rods and display screens. Through the mobile platform for mobile shooting, you can shoot without dead ends without setting up a large amount of equipment, so as to identify fitness actions and correct errors. The implementation cost is low and easy to promote and applied.</v>
      </c>
      <c r="D2514" s="6" t="s">
        <v>7098</v>
      </c>
      <c r="E2514" s="4" t="str">
        <f ca="1">IFERROR(__xludf.DUMMYFUNCTION("GOOGLETRANSLATE(D2514,""auto"",""en"")"),"A fitness action error correction method and system based on the mobile platform")</f>
        <v>A fitness action error correction method and system based on the mobile platform</v>
      </c>
    </row>
    <row r="2515" spans="1:5" ht="15" x14ac:dyDescent="0.25">
      <c r="A2515" s="5" t="s">
        <v>7099</v>
      </c>
      <c r="B2515" s="6" t="s">
        <v>7100</v>
      </c>
      <c r="C2515" s="3" t="str">
        <f ca="1">IFERROR(__xludf.DUMMYFUNCTION("GOOGLETRANSLATE(B2515,""auto"",""en"")"),"1. Design product name: The sound effect setting graphics user interface for display screen panels.
 2. Design products in this exterior: used to display information.
 3. Design of design products in this appearance: lies in the graphic user interface"&amp;" in the screen.
 4. Pictures or photos that can best show design: Design 1 main view.
 5. Specify design 1 is the basic design.
 6. The purpose of graphical user interface: This graphic user interface can be used for display screens of mobile phones"&amp;", computers, tablets, vehicle navigators, multimedia terminals, and smart terminals.
 7. Human -computer interaction method of graphic user interface: In designing 1 main view, the interface head displays the sound effect floating layer of ""use""; The "&amp;"sound effects of different points are also different). The yellow icon in the middle of the interface is the sound point of the user set by the user. The user can also click to set the sound effects of other points; The highlights are the ""concert"" soun"&amp;"d effect control. Users can click other sound control to switch scenes; the bottom of the interface is the review bar, comment control and ""send"" control. Users can click the comment bar to enter the review content, click ""Send"" If the control sends c"&amp;"omments, you can also click the comment control to view the review content of other users.
 In designing 2 main views, the interface head displays the sound floating layer of ""use""; the middle part of the interface is the ""concert"" sound scene scree"&amp;"n. Click any point to set the sound effects; the bottom of the bottom is the three sound control controls of ""gymnasium, concert, and opera house"". The highlights are ""concert"" sound control. Users can click other sound control switching scenes; at th"&amp;"e bottom of the interface, it is the bottom of the interface. The review bar, comment control and ""send"" control, users can click the comments bar to enter the comments content, click the ""Send"" control to send comments, and you can also click the com"&amp;"ment control to view the review content of other users.
 In the design 3 main view, the interface head displays the sound floating layer of ""use""; the middle part of the interface is the ""Opera House"" sound effect scene screen, and the picture is co"&amp;"vered with serial number points (different points of different points). The yellow icon sets the sound effect point of the user, and the user can also click to set the sound effects of other points; the bottom bottom is the three sound controls of ""gymna"&amp;"sium, concert, and opera house"". Sound control, users can click other sound control to switch scenarios; the bottom of the interface is a comment bar, a comment control and a ""send"" control. The user can click on the comments bar to enter the review co"&amp;"ntent, click the ""Send"" control to send a comment, and you can click the comment control to view other User comments content.
 In the design 4 main view, the interface head displays the sound floating layer of ""use""; the middle part of the interface"&amp;" is the ""concert"" sound scene screen. Click any point to set the sound effects; the bottom bottom is the three sound control controls of ""gymnasium, concert, and opera house"". The highlights are ""gymnasium"" sound control. Users can click other sound"&amp;" control to switch scenes; The column, comment control and ""send"" control, the user can click the comment bar to enter the comments content, click the ""Send"" control to send a comment, and you can also click the comment control to view the review cont"&amp;"ent of other users.")</f>
        <v>1. Design product name: The sound effect setting graphics user interface for display screen panels.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graphical user interface: This graphic user interface can be used for display screens of mobile phones, computers, tablets, vehicle navigators, multimedia terminals, and smart terminals.
 7. Human -computer interaction method of graphic user interface: In designing 1 main view, the interface head displays the sound effect floating layer of "use"; The sound effects of different points are also different). The yellow icon in the middle of the interface is the sound point of the user set by the user. The user can also click to set the sound effects of other points; The highlights are the "concert" sound effect control. Users can click other sound control to switch scenes; the bottom of the interface is the review bar, comment control and "send" control. Users can click the comment bar to enter the review content, click "Send" If the control sends comments, you can also click the comment control to view the review content of other users.
 In designing 2 main views, the interface head displays the sound floating layer of "use"; the middle part of the interface is the "concert" sound scene screen. Click any point to set the sound effects; the bottom of the bottom is the three sound control controls of "gymnasium, concert, and opera house". The highlights are "concert" sound control. Users can click other sound control switching scenes; at the bottom of the interface, it is the bottom of the interface. The review bar, comment control and "send" control, users can click the comments bar to enter the comments content, click the "Send" control to send comments, and you can also click the comment control to view the review content of other users.
 In the design 3 main view, the interface head displays the sound floating layer of "use"; the middle part of the interface is the "Opera House" sound effect scene screen, and the picture is covered with serial number points (different points of different points). The yellow icon sets the sound effect point of the user, and the user can also click to set the sound effects of other points; the bottom bottom is the three sound controls of "gymnasium, concert, and opera house". Sound control, users can click other sound control to switch scenarios; the bottom of the interface is a comment bar, a comment control and a "send" control. The user can click on the comments bar to enter the review content, click the "Send" control to send a comment, and you can click the comment control to view other User comments content.
 In the design 4 main view, the interface head displays the sound floating layer of "use"; the middle part of the interface is the "concert" sound scene screen. Click any point to set the sound effects; the bottom bottom is the three sound control controls of "gymnasium, concert, and opera house". The highlights are "gymnasium" sound control. Users can click other sound control to switch scenes; The column, comment control and "send" control, the user can click the comment bar to enter the comments content, click the "Send" control to send a comment, and you can also click the comment control to view the review content of other users.</v>
      </c>
      <c r="D2515" s="6" t="s">
        <v>7101</v>
      </c>
      <c r="E2515" s="4" t="str">
        <f ca="1">IFERROR(__xludf.DUMMYFUNCTION("GOOGLETRANSLATE(D2515,""auto"",""en"")"),"The sound effect setting graphic user interface for display screen panel")</f>
        <v>The sound effect setting graphic user interface for display screen panel</v>
      </c>
    </row>
    <row r="2516" spans="1:5" ht="15" x14ac:dyDescent="0.25">
      <c r="A2516" s="5" t="s">
        <v>7102</v>
      </c>
      <c r="B2516" s="6" t="s">
        <v>7103</v>
      </c>
      <c r="C2516" s="3" t="str">
        <f ca="1">IFERROR(__xludf.DUMMYFUNCTION("GOOGLETRANSLATE(B2516,""auto"",""en"")"),"This utility model involves an intelligent color screen that can be moved by rotatable movement, including: bearer components for carrier rotating components; color screen frameworks set on rotating components; ; The control system is set in the color scr"&amp;"een framework, which can be pre -installed in the control system to pre -installed the control software corresponding to a variety of fitness equipment; the display connected to the control software is used for display and control related information. The"&amp;" display screen is set in the display screen settings in In the color screen framework; the display of 360 ° rotating and moving displays in this utility model can be more convenient and flexible, and can be used with a variety of fitness equipment. It ca"&amp;"n also be used as a TV alone. The display screen has a 360 ° adjustable camera; the display also has AI intelligent voice function. The human -machine interaction function is realized through AI intelligent voice instructions, increasing the user's comfor"&amp;"t and entertainment, and further enhance the user's satisfaction.")</f>
        <v>This utility model involves an intelligent color screen that can be moved by rotatable movement, including: bearer components for carrier rotating components; color screen frameworks set on rotating components; ; The control system is set in the color screen framework, which can be pre -installed in the control system to pre -installed the control software corresponding to a variety of fitness equipment; the display connected to the control software is used for display and control related information. The display screen is set in the display screen settings in In the color screen framework; the display of 360 ° rotating and moving displays in this utility model can be more convenient and flexible, and can be used with a variety of fitness equipment. It can also be used as a TV alone. The display screen has a 360 ° adjustable camera; the display also has AI intelligent voice function. The human -machine interaction function is realized through AI intelligent voice instructions, increasing the user's comfort and entertainment, and further enhance the user's satisfaction.</v>
      </c>
      <c r="D2516" s="6" t="s">
        <v>7095</v>
      </c>
      <c r="E2516" s="4" t="str">
        <f ca="1">IFERROR(__xludf.DUMMYFUNCTION("GOOGLETRANSLATE(D2516,""auto"",""en"")"),"A smart color screen with rotating movement for fitness equipment")</f>
        <v>A smart color screen with rotating movement for fitness equipment</v>
      </c>
    </row>
    <row r="2517" spans="1:5" ht="15" x14ac:dyDescent="0.25">
      <c r="A2517" s="5" t="s">
        <v>7104</v>
      </c>
      <c r="B2517" s="6" t="s">
        <v>7105</v>
      </c>
      <c r="C2517" s="3" t="str">
        <f ca="1">IFERROR(__xludf.DUMMYFUNCTION("GOOGLETRANSLATE(B2517,""auto"",""en"")"),"The present invention involves a cat playing exercise device, including: the sound unit, output the sound of recording after the preset waiting time; the laser indicator that sets the laser to a random position; Control the sound unit and laser indicator "&amp;"drive from the control signal received by the smartphone; and the main body of the sound unit, laser indicator and IoT control unit attached to the wall by accommodating the sound unit, laser indicator and IoT control unit The laser indicator has the uniq"&amp;"ue ID, and each laser indicator is a signal applied by the IoT control unit according to the control random irradiation laser. The position of the laser irradiation direction changes randomly by the motor driven by the control signal. As mentioned above, "&amp;"according to an embodiment of the present invention, by providing a game exercise device, the device can be installed in the corner, and when the pet cat tries to catch a cat, it will illuminate the laser pen to Pull board. The laser set during time is in"&amp;"duced by the movement. Even if the pet cat does not have a companion, it will not be free, and it has the effect of improving attention and muscle strength through regular play and exercise.")</f>
        <v>The present invention involves a cat playing exercise device, including: the sound unit, output the sound of recording after the preset waiting time; the laser indicator that sets the laser to a random position; Control the sound unit and laser indicator drive from the control signal received by the smartphone; and the main body of the sound unit, laser indicator and IoT control unit attached to the wall by accommodating the sound unit, laser indicator and IoT control unit The laser indicator has the unique ID, and each laser indicator is a signal applied by the IoT control unit according to the control random irradiation laser. The position of the laser irradiation direction changes randomly by the motor driven by the control signal. As mentioned above, according to an embodiment of the present invention, by providing a game exercise device, the device can be installed in the corner, and when the pet cat tries to catch a cat, it will illuminate the laser pen to Pull board. The laser set during time is induced by the movement. Even if the pet cat does not have a companion, it will not be free, and it has the effect of improving attention and muscle strength through regular play and exercise.</v>
      </c>
      <c r="D2517" s="6" t="s">
        <v>7106</v>
      </c>
      <c r="E2517" s="4" t="str">
        <f ca="1">IFERROR(__xludf.DUMMYFUNCTION("GOOGLETRANSLATE(D2517,""auto"",""en"")"),"Cat playing fit")</f>
        <v>Cat playing fit</v>
      </c>
    </row>
    <row r="2518" spans="1:5" ht="15" x14ac:dyDescent="0.25">
      <c r="A2518" s="5" t="s">
        <v>7107</v>
      </c>
      <c r="B2518" s="6" t="s">
        <v>7108</v>
      </c>
      <c r="C2518" s="3" t="str">
        <f ca="1">IFERROR(__xludf.DUMMYFUNCTION("GOOGLETRANSLATE(B2518,""auto"",""en"")"),"The present invention disclosed a voice -based hair player, including the shell, which has the shell with an upper -end -connected into the feed cavity of the outside. The storage cavity, the lower end of the storage cavity, the depression on the right si"&amp;"de of the storage cavity, the fixed connection of the lower end of the storage cavity has a oblique board, and artificially puts the tennis into the depression through the action of the storage cavity through the storage cavity. There are two leather cush"&amp;"ions in the shell, and the two pads are close to each other to fix the tennis. The shell is equipped with a balloon cavity, which is equipped with a cavity in the block. There is a charging board, the fixed connection of the charging board is the right en"&amp;"d of the shot of the ball in the cavity, which is fixed at the upper right end of the case. Start the tap of the ball and move the tensor in the cavity when moving the right to the right.")</f>
        <v>The present invention disclosed a voice -based hair player, including the shell, which has the shell with an upper -end -connected into the feed cavity of the outside. The storage cavity, the lower end of the storage cavity, the depression on the right side of the storage cavity, the fixed connection of the lower end of the storage cavity has a oblique board, and artificially puts the tennis into the depression through the action of the storage cavity through the storage cavity. There are two leather cushions in the shell, and the two pads are close to each other to fix the tennis. The shell is equipped with a balloon cavity, which is equipped with a cavity in the block. There is a charging board, the fixed connection of the charging board is the right end of the shot of the ball in the cavity, which is fixed at the upper right end of the case. Start the tap of the ball and move the tensor in the cavity when moving the right to the right.</v>
      </c>
      <c r="D2518" s="6" t="s">
        <v>7109</v>
      </c>
      <c r="E2518" s="4" t="str">
        <f ca="1">IFERROR(__xludf.DUMMYFUNCTION("GOOGLETRANSLATE(D2518,""auto"",""en"")"),"A voice -controlled hair goal")</f>
        <v>A voice -controlled hair goal</v>
      </c>
    </row>
    <row r="2519" spans="1:5" ht="15" x14ac:dyDescent="0.25">
      <c r="A2519" s="5" t="s">
        <v>7110</v>
      </c>
      <c r="B2519" s="6" t="s">
        <v>7111</v>
      </c>
      <c r="C2519" s="3" t="str">
        <f ca="1">IFERROR(__xludf.DUMMYFUNCTION("GOOGLETRANSLATE(B2519,""auto"",""en"")"),"The present invention disclosed a method of recovery trajectory prediction based on the visual perception of the two -headed visual perception of the ball. Before the ball, strive for more time to improve the ability of badminton robots to respond quickly"&amp;", player optimization ability, play initiative and competitive level. The specific process is: first calibrate the double -eyed camera, go noise and correction distortion of the collected strikes, and then identify the movement area through the frame diff"&amp;"erence method. , According to the principle of polar line constraints to match the image of the two eyes, calculate the characteristic point vision and depth, find the characteristic point coordinates, and calculate the effective target motion parameters "&amp;"according to the boundary line to remove the invalid motion target of the field. Finally, the Calman filtering was used as a prediction calculation for the mid -long and long -term trajectory of the ball.")</f>
        <v>The present invention disclosed a method of recovery trajectory prediction based on the visual perception of the two -headed visual perception of the ball. Before the ball, strive for more time to improve the ability of badminton robots to respond quickly, player optimization ability, play initiative and competitive level. The specific process is: first calibrate the double -eyed camera, go noise and correction distortion of the collected strikes, and then identify the movement area through the frame difference method. , According to the principle of polar line constraints to match the image of the two eyes, calculate the characteristic point vision and depth, find the characteristic point coordinates, and calculate the effective target motion parameters according to the boundary line to remove the invalid motion target of the field. Finally, the Calman filtering was used as a prediction calculation for the mid -long and long -term trajectory of the ball.</v>
      </c>
      <c r="D2519" s="6" t="s">
        <v>7112</v>
      </c>
      <c r="E2519" s="4" t="str">
        <f ca="1">IFERROR(__xludf.DUMMYFUNCTION("GOOGLETRANSLATE(D2519,""auto"",""en"")"),"A recovery trajectory prediction method based on the visual perception of the two -headed visual perception")</f>
        <v>A recovery trajectory prediction method based on the visual perception of the two -headed visual perception</v>
      </c>
    </row>
    <row r="2520" spans="1:5" ht="15" x14ac:dyDescent="0.25">
      <c r="A2520" s="5" t="s">
        <v>7113</v>
      </c>
      <c r="B2520" s="6" t="s">
        <v>518</v>
      </c>
      <c r="C2520" s="3" t="str">
        <f ca="1">IFERROR(__xludf.DUMMYFUNCTION("GOOGLETRANSLATE(B2520,""auto"",""en"")"),"-")</f>
        <v>-</v>
      </c>
      <c r="D2520" s="6" t="s">
        <v>7114</v>
      </c>
      <c r="E2520" s="4" t="str">
        <f ca="1">IFERROR(__xludf.DUMMYFUNCTION("GOOGLETRANSLATE(D2520,""auto"",""en"")"),"Use deep learning on the original waveform to verify that the speaker is not related to the media operating system on the media operating system")</f>
        <v>Use deep learning on the original waveform to verify that the speaker is not related to the media operating system on the media operating system</v>
      </c>
    </row>
    <row r="2521" spans="1:5" ht="15" x14ac:dyDescent="0.25">
      <c r="A2521" s="5" t="s">
        <v>7115</v>
      </c>
      <c r="B2521" s="6" t="s">
        <v>7116</v>
      </c>
      <c r="C2521" s="3" t="str">
        <f ca="1">IFERROR(__xludf.DUMMYFUNCTION("GOOGLETRANSLATE(B2521,""auto"",""en"")"),"The invention is a field of application flow recognition technology, which involves a method of application traffic recognition based on message size analysis. The specific operation of the present invention is a data stream of the appropriate length from"&amp;" the local area network environment, intercepting the flow of the size of the M bit, and the complete message in the extract; embedding the message into In the pre -processing of data, use convolutional neural network to extract the characteristics of the"&amp;" message in the data stream; generate the characteristics of the message size, flatten the output of the third convolutional neural network layer; Get the context information of the message in the stream; introduce the mechanism of attention to the charac"&amp;"teristics of the important message in each stream, and the characteristics of the size of each stream, highlighting the more obvious and important features; application flow recognition, through a given vector F, train a binary classifier to produce a bin"&amp;"ary classifier For application traffic recognition.")</f>
        <v>The invention is a field of application flow recognition technology, which involves a method of application traffic recognition based on message size analysis. The specific operation of the present invention is a data stream of the appropriate length from the local area network environment, intercepting the flow of the size of the M bit, and the complete message in the extract; embedding the message into In the pre -processing of data, use convolutional neural network to extract the characteristics of the message in the data stream; generate the characteristics of the message size, flatten the output of the third convolutional neural network layer; Get the context information of the message in the stream; introduce the mechanism of attention to the characteristics of the important message in each stream, and the characteristics of the size of each stream, highlighting the more obvious and important features; application flow recognition, through a given vector F, train a binary classifier to produce a binary classifier For application traffic recognition.</v>
      </c>
      <c r="D2521" s="6" t="s">
        <v>7117</v>
      </c>
      <c r="E2521" s="4" t="str">
        <f ca="1">IFERROR(__xludf.DUMMYFUNCTION("GOOGLETRANSLATE(D2521,""auto"",""en"")"),"A method of application flow recognition based on message size analysis")</f>
        <v>A method of application flow recognition based on message size analysis</v>
      </c>
    </row>
    <row r="2522" spans="1:5" ht="15" x14ac:dyDescent="0.25">
      <c r="A2522" s="5" t="s">
        <v>7118</v>
      </c>
      <c r="B2522" s="6" t="s">
        <v>7119</v>
      </c>
      <c r="C2522" s="3" t="str">
        <f ca="1">IFERROR(__xludf.DUMMYFUNCTION("GOOGLETRANSLATE(B2522,""auto"",""en"")"),"The invention involves the system and method of the billiard course. The billiard curriculum system of the present invention includes the user terminals and billiard course servers provided by users who are installed around the tableball table, and users "&amp;"who participate in the billiards. The camera collects the video of the billiard table during the billiard game, practice, and training process, and transmits it to the terminal of the bench table. Billiards table terminal shows the billiard lessons from t"&amp;"he game video from the camera and the billiard class server. The billiards server analyzes the billiards in advance, and forms a database of various billiard lessons according to the position of the billiards. The billiards server sends a Taiwanese ball c"&amp;"lass information to the billiard table terminal. The billiards server analyzes and deeply learn the results of the billiard class, and provides users with billiards information. According to the present invention, the user's weaknesses are recognized by a"&amp;"nalyzing the results of the table ball lesson, and the necessary billiard lesson information to the user can overcome it. Users can concentrate the corresponding billiards information.")</f>
        <v>The invention involves the system and method of the billiard course. The billiard curriculum system of the present invention includes the user terminals and billiard course servers provided by users who are installed around the tableball table, and users who participate in the billiards. The camera collects the video of the billiard table during the billiard game, practice, and training process, and transmits it to the terminal of the bench table. Billiards table terminal shows the billiard lessons from the game video from the camera and the billiard class server. The billiards server analyzes the billiards in advance, and forms a database of various billiard lessons according to the position of the billiards. The billiards server sends a Taiwanese ball class information to the billiard table terminal. The billiards server analyzes and deeply learn the results of the billiard class, and provides users with billiards information. According to the present invention, the user's weaknesses are recognized by analyzing the results of the table ball lesson, and the necessary billiard lesson information to the user can overcome it. Users can concentrate the corresponding billiards information.</v>
      </c>
      <c r="D2522" s="6" t="s">
        <v>7120</v>
      </c>
      <c r="E2522" s="4" t="str">
        <f ca="1">IFERROR(__xludf.DUMMYFUNCTION("GOOGLETRANSLATE(D2522,""auto"",""en"")"),"Billiards system and methods")</f>
        <v>Billiards system and methods</v>
      </c>
    </row>
    <row r="2523" spans="1:5" ht="15" x14ac:dyDescent="0.25">
      <c r="A2523" s="5" t="s">
        <v>7121</v>
      </c>
      <c r="B2523" s="6" t="s">
        <v>4852</v>
      </c>
      <c r="C2523" s="3" t="str">
        <f ca="1">IFERROR(__xludf.DUMMYFUNCTION("GOOGLETRANSLATE(B2523,""auto"",""en"")"),"The swimming pool control system based on the embodiment of the present invention includes a swimming pool formed by the mobile container; and the control device that controls the swimming pool status stored in the internal space of the swimming pool. Amo"&amp;"ng them, the swimming pool status includes the water quality, water temperature and water level of the swimming pool water.")</f>
        <v>The swimming pool control system based on the embodiment of the present invention includes a swimming pool formed by the mobile container; and the control device that controls the swimming pool status stored in the internal space of the swimming pool. Among them, the swimming pool status includes the water quality, water temperature and water level of the swimming pool water.</v>
      </c>
      <c r="D2523" s="6" t="s">
        <v>7122</v>
      </c>
      <c r="E2523" s="4" t="str">
        <f ca="1">IFERROR(__xludf.DUMMYFUNCTION("GOOGLETRANSLATE(D2523,""auto"",""en"")"),"Artificial intelligence -based survival swimming training mobile container swimming pool control system and device")</f>
        <v>Artificial intelligence -based survival swimming training mobile container swimming pool control system and device</v>
      </c>
    </row>
    <row r="2524" spans="1:5" ht="15" x14ac:dyDescent="0.25">
      <c r="A2524" s="5" t="s">
        <v>7123</v>
      </c>
      <c r="B2524" s="6" t="s">
        <v>7124</v>
      </c>
      <c r="C2524" s="3" t="str">
        <f ca="1">IFERROR(__xludf.DUMMYFUNCTION("GOOGLETRANSLATE(B2524,""auto"",""en"")"),"The invention involves a curling sweeping control system and method, including the following steps: A) According to the process of the curling competition, it provides a virtual curling environment that reflects the trajectory information of ice cubes, th"&amp;"e scanning area information, or the ice quality environment information. Real -time; b) Set one or more target location information in the virtual curling environment, throw stones and remove the operation of each target location information, and measure "&amp;"the error difference between the location information of each target location and the stones reaching the location information. Learn the scan model based on deep neural network (DNN). This model sets the compensation of scanning/control operation accordi"&amp;"ng to the error difference; The compensation set of the error difference between the stones reaches the location information setting determines the scanning/control operation strategy, and according to the setting strategy, set the action of the real -tim"&amp;"e scan/closing operation to When using the camera device for identifying the location of the chess pieces to input real -time removal of the image information, the movement of the movement chess is opened/closed in real time until the chess piece stops. T"&amp;"his method may include providing scan control information for determining.")</f>
        <v>The invention involves a curling sweeping control system and method, including the following steps: A) According to the process of the curling competition, it provides a virtual curling environment that reflects the trajectory information of ice cubes, the scanning area information, or the ice quality environment information. Real -time; b) Set one or more target location information in the virtual curling environment, throw stones and remove the operation of each target location information, and measure the error difference between the location information of each target location and the stones reaching the location information. Learn the scan model based on deep neural network (DNN). This model sets the compensation of scanning/control operation according to the error difference; The compensation set of the error difference between the stones reaches the location information setting determines the scanning/control operation strategy, and according to the setting strategy, set the action of the real -time scan/closing operation to When using the camera device for identifying the location of the chess pieces to input real -time removal of the image information, the movement of the movement chess is opened/closed in real time until the chess piece stops. This method may include providing scan control information for determining.</v>
      </c>
      <c r="D2524" s="6" t="s">
        <v>7125</v>
      </c>
      <c r="E2524" s="4" t="str">
        <f ca="1">IFERROR(__xludf.DUMMYFUNCTION("GOOGLETRANSLATE(D2524,""auto"",""en"")"),"Rolling sweep control system and method")</f>
        <v>Rolling sweep control system and method</v>
      </c>
    </row>
    <row r="2525" spans="1:5" ht="15" x14ac:dyDescent="0.25">
      <c r="A2525" s="5" t="s">
        <v>7126</v>
      </c>
      <c r="B2525" s="6" t="s">
        <v>7127</v>
      </c>
      <c r="C2525" s="3" t="str">
        <f ca="1">IFERROR(__xludf.DUMMYFUNCTION("GOOGLETRANSLATE(B2525,""auto"",""en"")"),"The present invention discloses a reservoir inspection machine based on artificial intelligence, including power supply modules for power supply for various components; high -definition cameras to shoot the environment; speakers, to play publicity words a"&amp;"nd send alarms; ultrasonic detection器，用于探测浮台与水底的距离，防止搁浅；浮台，作为各个元件的载体；驱动装置，用于驱动浮台，并使得浮台可以往多个方向移动；主控模块；其中， The main control module is configured to identify the image taken by high -definition cameras and judge the action information of the person in the im"&amp;"age; the artificial intelligence -based reservoir inspection machine can perform automatic inspections along the reservoir waters, and can automatically identify it. Those who perform illegal behaviors of illegal swimming, illegal fishing, and destruction"&amp;" of reservoir facilities in the reservoir area have found that the above dangers can send out alarm drive to drive illegal and violations, and report information to the management station in a timely manner.")</f>
        <v>The present invention discloses a reservoir inspection machine based on artificial intelligence, including power supply modules for power supply for various components; high -definition cameras to shoot the environment; speakers, to play publicity words and send alarms; ultrasonic detection器，用于探测浮台与水底的距离，防止搁浅；浮台，作为各个元件的载体；驱动装置，用于驱动浮台，并使得浮台可以往多个方向移动；主控模块；其中， The main control module is configured to identify the image taken by high -definition cameras and judge the action information of the person in the image; the artificial intelligence -based reservoir inspection machine can perform automatic inspections along the reservoir waters, and can automatically identify it. Those who perform illegal behaviors of illegal swimming, illegal fishing, and destruction of reservoir facilities in the reservoir area have found that the above dangers can send out alarm drive to drive illegal and violations, and report information to the management station in a timely manner.</v>
      </c>
      <c r="D2525" s="6" t="s">
        <v>7128</v>
      </c>
      <c r="E2525" s="4" t="str">
        <f ca="1">IFERROR(__xludf.DUMMYFUNCTION("GOOGLETRANSLATE(D2525,""auto"",""en"")"),"A reservoir inspection machine based on artificial intelligence")</f>
        <v>A reservoir inspection machine based on artificial intelligence</v>
      </c>
    </row>
    <row r="2526" spans="1:5" ht="15" x14ac:dyDescent="0.25">
      <c r="A2526" s="5" t="s">
        <v>7129</v>
      </c>
      <c r="B2526" s="6" t="s">
        <v>7130</v>
      </c>
      <c r="C2526" s="3" t="str">
        <f ca="1">IFERROR(__xludf.DUMMYFUNCTION("GOOGLETRANSLATE(B2526,""auto"",""en"")"),"This application provides a badminton penalty method and device that involves the field of control technology in the Internet of Things to solve technical problems to judge whether badminton is out of bounds. This method also includes: the server obtains "&amp;"the location data of the badminton through the three -dimensional lidar; the server determines the height of the badminton and the two -dimensional plane coordinates based on the location data of the badminton. , The first coordinate axis in the two -dime"&amp;"nsional plane coordinate system is parallel to the bottom line of the badminton stadium, and the second coordinate shaft is parallel to the edge of the badminton stadium; when the height of the badminton is less than the threshold, the server determines w"&amp;"hether the badminton is out of the border based on the two -dimensional plane coordinates of the badminton. Essence This application is suitable for badminton games.")</f>
        <v>This application provides a badminton penalty method and device that involves the field of control technology in the Internet of Things to solve technical problems to judge whether badminton is out of bounds. This method also includes: the server obtains the location data of the badminton through the three -dimensional lidar; the server determines the height of the badminton and the two -dimensional plane coordinates based on the location data of the badminton. , The first coordinate axis in the two -dimensional plane coordinate system is parallel to the bottom line of the badminton stadium, and the second coordinate shaft is parallel to the edge of the badminton stadium; when the height of the badminton is less than the threshold, the server determines whether the badminton is out of the border based on the two -dimensional plane coordinates of the badminton. Essence This application is suitable for badminton games.</v>
      </c>
      <c r="D2526" s="6" t="s">
        <v>7131</v>
      </c>
      <c r="E2526" s="4" t="str">
        <f ca="1">IFERROR(__xludf.DUMMYFUNCTION("GOOGLETRANSLATE(D2526,""auto"",""en"")"),"A penalty method and device for a badminton")</f>
        <v>A penalty method and device for a badminton</v>
      </c>
    </row>
    <row r="2527" spans="1:5" ht="15" x14ac:dyDescent="0.25">
      <c r="A2527" s="5" t="s">
        <v>7132</v>
      </c>
      <c r="B2527" s="6" t="s">
        <v>7133</v>
      </c>
      <c r="C2527" s="3" t="str">
        <f ca="1">IFERROR(__xludf.DUMMYFUNCTION("GOOGLETRANSLATE(B2527,""auto"",""en"")"),"Provides a technology that can obtain more suitable data sets, which is used to perform machine learning that provides sports support information based on the user's sports characteristics.
  Information processing equipment based on the embodiment of t"&amp;"his publicity 30 is based on the training model LM obtained by the sports data obtained by Motor Data acquisition unit 301 to obtain support information. Support information output unit 304 for OUTPUT; if it is certainly not sure, support the information "&amp;"output unit 304 The support information of the input and output received according to the input device 37 is closer to the movement data of the database 21 database 21. Auxiliary information editing unit 306, the editor includes at least one auxiliary inf"&amp;"ormation of the data set of action data.
  【Selection Figure】 Figure 3")</f>
        <v>Provides a technology that can obtain more suitable data sets, which is used to perform machine learning that provides sports support information based on the user's sports characteristics.
  Information processing equipment based on the embodiment of this publicity 30 is based on the training model LM obtained by the sports data obtained by Motor Data acquisition unit 301 to obtain support information. Support information output unit 304 for OUTPUT; if it is certainly not sure, support the information output unit 304 The support information of the input and output received according to the input device 37 is closer to the movement data of the database 21 database 21. Auxiliary information editing unit 306, the editor includes at least one auxiliary information of the data set of action data.
  【Selection Figure】 Figure 3</v>
      </c>
      <c r="D2527" s="6" t="s">
        <v>7134</v>
      </c>
      <c r="E2527" s="4" t="str">
        <f ca="1">IFERROR(__xludf.DUMMYFUNCTION("GOOGLETRANSLATE(D2527,""auto"",""en"")"),"Information processing device, information processing method, program")</f>
        <v>Information processing device, information processing method, program</v>
      </c>
    </row>
    <row r="2528" spans="1:5" ht="15" x14ac:dyDescent="0.25">
      <c r="A2528" s="5" t="s">
        <v>7135</v>
      </c>
      <c r="B2528" s="6" t="s">
        <v>7136</v>
      </c>
      <c r="C2528" s="3" t="str">
        <f ca="1">IFERROR(__xludf.DUMMYFUNCTION("GOOGLETRANSLATE(B2528,""auto"",""en"")"),"The present invention disclosed a way to transmit a long -range courses based on the Internet of Things, including the following steps: the movement of the user's swing action information by the sports bracelet sensing; Mobile terminal; establish an RRC c"&amp;"onnection from the mobile terminal and the base station; in response to the establishment of an RRC connection to the base station, the working frequency information of the WLAN access point and WLAN access point sent by the mobile terminal by the mobile "&amp;"terminal will be received; in response to the receiving WLAN connection The working frequency information of the entry point list and the WLAN access point, monitor the reference signal strength of the reference signal sent by the WLAN access point in the"&amp;" WLAN access point list at the working frequency of the WLAN access point at the WLAN access point; The receiving reference signal strength is determined to determine the appropriate WLAN access point; in response to determining the appropriate WLAN acces"&amp;"s point, the mobile terminal will send the bssid of the selected WLAN access point to the base station; The BSSID of the access point will be judged by the base station to determine the load of the base station.")</f>
        <v>The present invention disclosed a way to transmit a long -range courses based on the Internet of Things, including the following steps: the movement of the user's swing action information by the sports bracelet sensing; Mobile terminal; establish an RRC connection from the mobile terminal and the base station; in response to the establishment of an RRC connection to the base station, the working frequency information of the WLAN access point and WLAN access point sent by the mobile terminal by the mobile terminal will be received; in response to the receiving WLAN connection The working frequency information of the entry point list and the WLAN access point, monitor the reference signal strength of the reference signal sent by the WLAN access point in the WLAN access point list at the working frequency of the WLAN access point at the WLAN access point; The receiving reference signal strength is determined to determine the appropriate WLAN access point; in response to determining the appropriate WLAN access point, the mobile terminal will send the bssid of the selected WLAN access point to the base station; The BSSID of the access point will be judged by the base station to determine the load of the base station.</v>
      </c>
      <c r="D2528" s="6" t="s">
        <v>7137</v>
      </c>
      <c r="E2528" s="4" t="str">
        <f ca="1">IFERROR(__xludf.DUMMYFUNCTION("GOOGLETRANSLATE(D2528,""auto"",""en"")"),"A method and system of transmission method and system based on the Internet of Things -based table tennis courses")</f>
        <v>A method and system of transmission method and system based on the Internet of Things -based table tennis courses</v>
      </c>
    </row>
    <row r="2529" spans="1:5" ht="15" x14ac:dyDescent="0.25">
      <c r="A2529" s="5" t="s">
        <v>7138</v>
      </c>
      <c r="B2529" s="6" t="s">
        <v>7139</v>
      </c>
      <c r="C2529" s="3" t="str">
        <f ca="1">IFERROR(__xludf.DUMMYFUNCTION("GOOGLETRANSLATE(B2529,""auto"",""en"")"),"At least a storage of RFID tags with unique information in areas with travel -related marks, and setting ground vehicles and aircrafts to read the RFID tags attached to storage. The RFID reading system. The ground vehicles have landing signs, imaging devi"&amp;"ces, label reading devices and control devices. The control unit is recognized at least the driving -related labels taken by the camera unit, so that the ground vehicle is driving, and the label information of the RFID label corresponding to the reading r"&amp;"ange of the reading range is marked with the vehicle reading range. Flutors have imaging devices, label reading devices and control devices. The control device recognizes the image recognition of the landing logo of the imaging device at least, and uses t"&amp;"he landing logo as the base point for landing and flight, and reads the RFID tag through label. This is the running status of the collaborative completion of the ground running body.")</f>
        <v>At least a storage of RFID tags with unique information in areas with travel -related marks, and setting ground vehicles and aircrafts to read the RFID tags attached to storage. The RFID reading system. The ground vehicles have landing signs, imaging devices, label reading devices and control devices. The control unit is recognized at least the driving -related labels taken by the camera unit, so that the ground vehicle is driving, and the label information of the RFID label corresponding to the reading range of the reading range is marked with the vehicle reading range. Flutors have imaging devices, label reading devices and control devices. The control device recognizes the image recognition of the landing logo of the imaging device at least, and uses the landing logo as the base point for landing and flight, and reads the RFID tag through label. This is the running status of the collaborative completion of the ground running body.</v>
      </c>
      <c r="D2529" s="6" t="s">
        <v>7140</v>
      </c>
      <c r="E2529" s="4" t="str">
        <f ca="1">IFERROR(__xludf.DUMMYFUNCTION("GOOGLETRANSLATE(D2529,""auto"",""en"")"),"RF recognition system")</f>
        <v>RF recognition system</v>
      </c>
    </row>
    <row r="2530" spans="1:5" ht="15" x14ac:dyDescent="0.25">
      <c r="A2530" s="5" t="s">
        <v>7141</v>
      </c>
      <c r="B2530" s="6" t="s">
        <v>7142</v>
      </c>
      <c r="C2530" s="3" t="str">
        <f ca="1">IFERROR(__xludf.DUMMYFUNCTION("GOOGLETRANSLATE(B2530,""auto"",""en"")"),"This utility model belongs to the field of wearing equipment technology, involving a swimming mirror box, including the mirror box body and LED display circuit. The LED display circuit is set inside the mirror box body. Power supply module and power ampli"&amp;"fier module; power supply module is configured as sound control sensor, Bluetooth control module, voice recognition module, and power amplifier module power supply; the voice control sensor is configured to send the first display signal to the Bluetooth c"&amp;"ontrol module to the Bluetooth control module when the sound signal is sensing; The module is configured to receive the played instructions of the preset terminal and control the power amplifier module to play preset audio, or control the brightness of th"&amp;"e LED light group according to the first display signal. This practical new model adds the indicator light to facilitate users to find it easier to find. The Bluetooth speaker comes with it. Consumers do not need to bring additional speakers without addit"&amp;"ional speakers to enhance the user experience of the product.")</f>
        <v>This utility model belongs to the field of wearing equipment technology, involving a swimming mirror box, including the mirror box body and LED display circuit. The LED display circuit is set inside the mirror box body. Power supply module and power amplifier module; power supply module is configured as sound control sensor, Bluetooth control module, voice recognition module, and power amplifier module power supply; the voice control sensor is configured to send the first display signal to the Bluetooth control module to the Bluetooth control module when the sound signal is sensing; The module is configured to receive the played instructions of the preset terminal and control the power amplifier module to play preset audio, or control the brightness of the LED light group according to the first display signal. This practical new model adds the indicator light to facilitate users to find it easier to find. The Bluetooth speaker comes with it. Consumers do not need to bring additional speakers without additional speakers to enhance the user experience of the product.</v>
      </c>
      <c r="D2530" s="6" t="s">
        <v>7143</v>
      </c>
      <c r="E2530" s="4" t="str">
        <f ca="1">IFERROR(__xludf.DUMMYFUNCTION("GOOGLETRANSLATE(D2530,""auto"",""en"")"),"Swimming mirror box")</f>
        <v>Swimming mirror box</v>
      </c>
    </row>
    <row r="2531" spans="1:5" ht="15" x14ac:dyDescent="0.25">
      <c r="A2531" s="5" t="s">
        <v>7144</v>
      </c>
      <c r="B2531" s="6" t="s">
        <v>7145</v>
      </c>
      <c r="C2531" s="3" t="str">
        <f ca="1">IFERROR(__xludf.DUMMYFUNCTION("GOOGLETRANSLATE(B2531,""auto"",""en"")"),"The present invention helps improve the accuracy of capture and image recognition when watching the use of 5G AR services from large facilities such as stadiums.
  The terminal device has a transceiver, camera, display and processor. The processor deter"&amp;"mines the first synchronization signal of the radio quality to meet the predetermined threshold from multiple beam forming synchronization signals sent by the base station, and report the first synchronization signal to the base station. The processor sup"&amp;"erimposed the virtual object after correction information correction on the capture image of the camera and displayed it on the display. Correction information is an information that indicates the location of the area covered by the first synchronization "&amp;"signal. Correction information includes information about the virtual object displayed on the display and the distance from the real object to the distance from the real object to the area.
  【Selection Figure】 Figure 1")</f>
        <v>The present invention helps improve the accuracy of capture and image recognition when watching the use of 5G AR services from large facilities such as stadiums.
  The terminal device has a transceiver, camera, display and processor. The processor determines the first synchronization signal of the radio quality to meet the predetermined threshold from multiple beam forming synchronization signals sent by the base station, and report the first synchronization signal to the base station. The processor superimposed the virtual object after correction information correction on the capture image of the camera and displayed it on the display. Correction information is an information that indicates the location of the area covered by the first synchronization signal. Correction information includes information about the virtual object displayed on the display and the distance from the real object to the distance from the real object to the area.
  【Selection Figure】 Figure 1</v>
      </c>
      <c r="D2531" s="6" t="s">
        <v>7146</v>
      </c>
      <c r="E2531" s="4" t="str">
        <f ca="1">IFERROR(__xludf.DUMMYFUNCTION("GOOGLETRANSLATE(D2531,""auto"",""en"")"),"Terminal equipment, application server, receiving method and sending method")</f>
        <v>Terminal equipment, application server, receiving method and sending method</v>
      </c>
    </row>
    <row r="2532" spans="1:5" ht="15" x14ac:dyDescent="0.25">
      <c r="A2532" s="5" t="s">
        <v>7147</v>
      </c>
      <c r="B2532" s="6" t="s">
        <v>7148</v>
      </c>
      <c r="C2532" s="3" t="str">
        <f ca="1">IFERROR(__xludf.DUMMYFUNCTION("GOOGLETRANSLATE(B2532,""auto"",""en"")"),"Examples of this application disclose a intelligent recommendation method and related devices, which are applied to intelligent electronic devices including information collection devices, personalized collection devices, artificial intelligence chips and"&amp;" personalized recommendation devices. Execute the operation of giving up fitness information and get the target fitness information of the target to be tested; the operation of the personal hobby through the personalized collection device is used to obtai"&amp;"n the first person's hobbies corresponding to the target to be tested; Fitness information and the first person's hobby collection determine the second person's hobby collection recommended by the test object; the second person's hobby collection is recom"&amp;"mended through a personalized recommendation device. Adopting the embodiment of this application helps to improve the accuracy of personal hobbies to recommend personal hobbies to the target to be tested, thereby improving the movement experience of the t"&amp;"arget to be tested.")</f>
        <v>Examples of this application disclose a intelligent recommendation method and related devices, which are applied to intelligent electronic devices including information collection devices, personalized collection devices, artificial intelligence chips and personalized recommendation devices. Execute the operation of giving up fitness information and get the target fitness information of the target to be tested; the operation of the personal hobby through the personalized collection device is used to obtain the first person's hobbies corresponding to the target to be tested; Fitness information and the first person's hobby collection determine the second person's hobby collection recommended by the test object; the second person's hobby collection is recommended through a personalized recommendation device. Adopting the embodiment of this application helps to improve the accuracy of personal hobbies to recommend personal hobbies to the target to be tested, thereby improving the movement experience of the target to be tested.</v>
      </c>
      <c r="D2532" s="6" t="s">
        <v>7149</v>
      </c>
      <c r="E2532" s="4" t="str">
        <f ca="1">IFERROR(__xludf.DUMMYFUNCTION("GOOGLETRANSLATE(D2532,""auto"",""en"")"),"Smart recommendation method and related devices")</f>
        <v>Smart recommendation method and related devices</v>
      </c>
    </row>
    <row r="2533" spans="1:5" ht="15" x14ac:dyDescent="0.25">
      <c r="A2533" s="5" t="s">
        <v>7150</v>
      </c>
      <c r="B2533" s="6" t="s">
        <v>7151</v>
      </c>
      <c r="C2533" s="3" t="str">
        <f ca="1">IFERROR(__xludf.DUMMYFUNCTION("GOOGLETRANSLATE(B2533,""auto"",""en"")"),"Virtual aircraft simulators are used to educate and train aircraft pilots flying with other pilots, coaches and air traffic controllers. The device contains a capsule installed on a computer -based mechanical platform, providing up to six real -time exerc"&amp;"ise freedoms, and a pilot seat. In order to get closer to the real feeling of the pilot, the space cabin can also be equipped with a control lever, one or more thrust rods and pedals. Stereo glasses are used to create virtual reality. The present inventio"&amp;"n improves the function of the simulator by introducing the virtual incarnation with artificial intelligence. When flying with the trainer, the incarnation can copy the actions of the captain, co -driver, air traffic controller or coach. The incarnation c"&amp;"an also maintain verbal dialogue with trainers within the scope of the standard pilot communication protocol. The device can be applied to any model without changing the hardware.")</f>
        <v>Virtual aircraft simulators are used to educate and train aircraft pilots flying with other pilots, coaches and air traffic controllers. The device contains a capsule installed on a computer -based mechanical platform, providing up to six real -time exercise freedoms, and a pilot seat. In order to get closer to the real feeling of the pilot, the space cabin can also be equipped with a control lever, one or more thrust rods and pedals. Stereo glasses are used to create virtual reality. The present invention improves the function of the simulator by introducing the virtual incarnation with artificial intelligence. When flying with the trainer, the incarnation can copy the actions of the captain, co -driver, air traffic controller or coach. The incarnation can also maintain verbal dialogue with trainers within the scope of the standard pilot communication protocol. The device can be applied to any model without changing the hardware.</v>
      </c>
      <c r="D2533" s="6" t="s">
        <v>7152</v>
      </c>
      <c r="E2533" s="4" t="str">
        <f ca="1">IFERROR(__xludf.DUMMYFUNCTION("GOOGLETRANSLATE(D2533,""auto"",""en"")"),"Universal virtual simulator")</f>
        <v>Universal virtual simulator</v>
      </c>
    </row>
    <row r="2534" spans="1:5" ht="15" x14ac:dyDescent="0.25">
      <c r="A2534" s="5" t="s">
        <v>7153</v>
      </c>
      <c r="B2534" s="6" t="s">
        <v>7154</v>
      </c>
      <c r="C2534" s="3" t="str">
        <f ca="1">IFERROR(__xludf.DUMMYFUNCTION("GOOGLETRANSLATE(B2534,""auto"",""en"")"),"Examples of this application disclose a fitness plan generation method, which is applied to intelligent electronic devices including physiological parameter acquisition devices, artificial intelligence chips, and general processors. The general processor "&amp;"forms the body parameter into the input data and transmits the input data to the artificial intelligence chip; the input data is performed by the input data through artificial intelligence chips to obtain the output result; plan. This application is condu"&amp;"cive to achieving targeted fitness and improving user fitness experience.")</f>
        <v>Examples of this application disclose a fitness plan generation method, which is applied to intelligent electronic devices including physiological parameter acquisition devices, artificial intelligence chips, and general processors. The general processor forms the body parameter into the input data and transmits the input data to the artificial intelligence chip; the input data is performed by the input data through artificial intelligence chips to obtain the output result; plan. This application is conducive to achieving targeted fitness and improving user fitness experience.</v>
      </c>
      <c r="D2534" s="6" t="s">
        <v>7155</v>
      </c>
      <c r="E2534" s="4" t="str">
        <f ca="1">IFERROR(__xludf.DUMMYFUNCTION("GOOGLETRANSLATE(D2534,""auto"",""en"")"),"Fitness plan generation method and related equipment")</f>
        <v>Fitness plan generation method and related equipment</v>
      </c>
    </row>
    <row r="2535" spans="1:5" ht="15" x14ac:dyDescent="0.25">
      <c r="A2535" s="5" t="s">
        <v>7156</v>
      </c>
      <c r="B2535" s="6" t="s">
        <v>7157</v>
      </c>
      <c r="C2535" s="3" t="str">
        <f ca="1">IFERROR(__xludf.DUMMYFUNCTION("GOOGLETRANSLATE(B2535,""auto"",""en"")"),"A device and method of learning data for learning data based on neural network -based sentence -based sentences are disclosed through collecting subtitles text through collecting subtitle text. Device for automatic classification of sports subtitles based"&amp;" on the examples of examples includes: subtitle collection unit, collecting broadcast subtitle text; a pre -processing unit, refining and standardizing the collected subtitle text into sentences; primary identification units, for use in the elementary ide"&amp;"ntification unit for being used in it, it will be used in it. Each sentence of standardized sentences in the pre -processing unit is one of the multiple categories; at least one secondary identification unit is used to determine one sentence in multiple c"&amp;"ategories as one of the multiple lower categories. The category classification unit uses the upper and lower categories of each sentence to classify each sentence into one of multiple categories.")</f>
        <v>A device and method of learning data for learning data based on neural network -based sentence -based sentences are disclosed through collecting subtitles text through collecting subtitle text. Device for automatic classification of sports subtitles based on the examples of examples includes: subtitle collection unit, collecting broadcast subtitle text; a pre -processing unit, refining and standardizing the collected subtitle text into sentences; primary identification units, for use in the elementary identification unit for being used in it, it will be used in it. Each sentence of standardized sentences in the pre -processing unit is one of the multiple categories; at least one secondary identification unit is used to determine one sentence in multiple categories as one of the multiple lower categories. The category classification unit uses the upper and lower categories of each sentence to classify each sentence into one of multiple categories.</v>
      </c>
      <c r="D2535" s="6" t="s">
        <v>7158</v>
      </c>
      <c r="E2535" s="4" t="str">
        <f ca="1">IFERROR(__xludf.DUMMYFUNCTION("GOOGLETRANSLATE(D2535,""auto"",""en"")"),"Sports subtitle automatic classification device and method")</f>
        <v>Sports subtitle automatic classification device and method</v>
      </c>
    </row>
    <row r="2536" spans="1:5" ht="15" x14ac:dyDescent="0.25">
      <c r="A2536" s="5" t="s">
        <v>7159</v>
      </c>
      <c r="B2536" s="6" t="s">
        <v>7160</v>
      </c>
      <c r="C2536" s="3" t="str">
        <f ca="1">IFERROR(__xludf.DUMMYFUNCTION("GOOGLETRANSLATE(B2536,""auto"",""en"")"),"Provides methods and systems for choosing the viewing port to enter the game. A game example method is provided to present the view port to the onlookers users. This method includes identifying multiple virtual cameras to provide the viewing port entering"&amp;" the game. This method includes the script of the access of bystander users. Simple -associated storage script with bystanders. The performance attributes of bystanders related to one or more game features of the script recognition. This method includes t"&amp;"he event data for the event during the game. This method includes a power distribution disk interface for bystanders, which include multiple viewports that provide views that provide views to the game. Based on machine learning model processing event data"&amp;" and the script of bystander users, multiple viewports are dynamically selected to include the switching board interface. This method includes updating one or more changes to the selection of multiple viewports at the time of view of the viewing port at t"&amp;"he time of the viewer.")</f>
        <v>Provides methods and systems for choosing the viewing port to enter the game. A game example method is provided to present the view port to the onlookers users. This method includes identifying multiple virtual cameras to provide the viewing port entering the game. This method includes the script of the access of bystander users. Simple -associated storage script with bystanders. The performance attributes of bystanders related to one or more game features of the script recognition. This method includes the event data for the event during the game. This method includes a power distribution disk interface for bystanders, which include multiple viewports that provide views that provide views to the game. Based on machine learning model processing event data and the script of bystander users, multiple viewports are dynamically selected to include the switching board interface. This method includes updating one or more changes to the selection of multiple viewports at the time of view of the viewing port at the time of the viewer.</v>
      </c>
      <c r="D2536" s="6" t="s">
        <v>7161</v>
      </c>
      <c r="E2536" s="4" t="str">
        <f ca="1">IFERROR(__xludf.DUMMYFUNCTION("GOOGLETRANSLATE(D2536,""auto"",""en"")"),"Select the audience switch board customized according to the user's viewport")</f>
        <v>Select the audience switch board customized according to the user's viewport</v>
      </c>
    </row>
    <row r="2537" spans="1:5" ht="15" x14ac:dyDescent="0.25">
      <c r="A2537" s="5" t="s">
        <v>7162</v>
      </c>
      <c r="B2537" s="6" t="s">
        <v>7163</v>
      </c>
      <c r="C2537" s="3" t="str">
        <f ca="1">IFERROR(__xludf.DUMMYFUNCTION("GOOGLETRANSLATE(B2537,""auto"",""en"")"),"The invention involves a swimming pool control system composed of detectors, special applications and WLAN controlled devices connected to the Ethernet. Through the WLAN detector, signal (for example, the status of water quality or swimming pool equipment"&amp;") is sent to a special application locally or through the remote server (such as ""cloud""), such as mobile operators, such as mobile phones or tablets. Typical signals are pH, oxidation reduction, temperature, water flow, water level and time. These diff"&amp;"erent signals are then combined and explained by a dedicated application. After that, the software sends binary signals to one or more control devices. These devices are also connected to dedicated applications through WLAN. The WLAN control device contro"&amp;"ls the swimming pool equipment in turn, such as filter pumps, pH or chlorine meter pumps, ultraviolet lights, heat pumps, electric heating or automatic faucets. In short, this application involves a swimming pool control system based on the Internet of Th"&amp;"ings (IoT).")</f>
        <v>The invention involves a swimming pool control system composed of detectors, special applications and WLAN controlled devices connected to the Ethernet. Through the WLAN detector, signal (for example, the status of water quality or swimming pool equipment) is sent to a special application locally or through the remote server (such as "cloud"), such as mobile operators, such as mobile phones or tablets. Typical signals are pH, oxidation reduction, temperature, water flow, water level and time. These different signals are then combined and explained by a dedicated application. After that, the software sends binary signals to one or more control devices. These devices are also connected to dedicated applications through WLAN. The WLAN control device controls the swimming pool equipment in turn, such as filter pumps, pH or chlorine meter pumps, ultraviolet lights, heat pumps, electric heating or automatic faucets. In short, this application involves a swimming pool control system based on the Internet of Things (IoT).</v>
      </c>
      <c r="D2537" s="6" t="s">
        <v>7164</v>
      </c>
      <c r="E2537" s="4" t="str">
        <f ca="1">IFERROR(__xludf.DUMMYFUNCTION("GOOGLETRANSLATE(D2537,""auto"",""en"")"),"Swimming pool control system")</f>
        <v>Swimming pool control system</v>
      </c>
    </row>
    <row r="2538" spans="1:5" ht="15" x14ac:dyDescent="0.25">
      <c r="A2538" s="5" t="s">
        <v>7165</v>
      </c>
      <c r="B2538" s="6" t="s">
        <v>7166</v>
      </c>
      <c r="C2538" s="3" t="str">
        <f ca="1">IFERROR(__xludf.DUMMYFUNCTION("GOOGLETRANSLATE(B2538,""auto"",""en"")"),"A voice control treadmill, including the control system, includes the first communication interface; the runner also includes the voice recognition processing system, which includes the voice local recognition chip Connecting the voice recognition voice r"&amp;"ecognition processing system. The voice recognition voice recognition processing system includes an audio decoding chip connected to the local recognition chip signal. There is a microphone; the voice recognition processing system also includes a second c"&amp;"ommunication interface that can communicate with the first communication interface. Compared with the existing technology, the solid new type is adopted by the useful new type of voice control treadmill described in this utility model. Because the intelli"&amp;"gent voice main control module is used to simplify the voice control system of the entire treadmill; reduce the number of modules of the traditional voice control system, reduce The manufacturing cost reduces the interference caused by multiple module com"&amp;"munication.")</f>
        <v>A voice control treadmill, including the control system, includes the first communication interface; the runner also includes the voice recognition processing system, which includes the voice local recognition chip Connecting the voice recognition voice recognition processing system. The voice recognition voice recognition processing system includes an audio decoding chip connected to the local recognition chip signal. There is a microphone; the voice recognition processing system also includes a second communication interface that can communicate with the first communication interface. Compared with the existing technology, the solid new type is adopted by the useful new type of voice control treadmill described in this utility model. Because the intelligent voice main control module is used to simplify the voice control system of the entire treadmill; reduce the number of modules of the traditional voice control system, reduce The manufacturing cost reduces the interference caused by multiple module communication.</v>
      </c>
      <c r="D2538" s="6" t="s">
        <v>7167</v>
      </c>
      <c r="E2538" s="4" t="str">
        <f ca="1">IFERROR(__xludf.DUMMYFUNCTION("GOOGLETRANSLATE(D2538,""auto"",""en"")"),"A voice control runner")</f>
        <v>A voice control runner</v>
      </c>
    </row>
    <row r="2539" spans="1:5" ht="15" x14ac:dyDescent="0.25">
      <c r="A2539" s="5" t="s">
        <v>7168</v>
      </c>
      <c r="B2539" s="6" t="s">
        <v>2567</v>
      </c>
      <c r="C2539" s="3" t="str">
        <f ca="1">IFERROR(__xludf.DUMMYFUNCTION("GOOGLETRANSLATE(B2539,""auto"",""en"")"),"Methods first process the audio signal by the processor to generate audio calls. The processor generates the score of the agency behavior associated with the audio call person, and determines whether the proxy behavior ranking score is lower than the mini"&amp;"mum threshold. In response to the determination of the agency action ranking score is lower than the minimum threshold, the processor uses the voice to generate the transcript of the call -by of the transcript and generates the call -based call -by -based"&amp;" discouramer to generate identification tasks. Specific task proxy associated with the transcript of the call call and the mission of recognition to guide the neural network, and the processor generates ideal response. The processor generates the feedback"&amp;" result and the feedback result is displayed on the display device of the agent client device. Other embodiments are released in this article.")</f>
        <v>Methods first process the audio signal by the processor to generate audio calls. The processor generates the score of the agency behavior associated with the audio call person, and determines whether the proxy behavior ranking score is lower than the minimum threshold. In response to the determination of the agency action ranking score is lower than the minimum threshold, the processor uses the voice to generate the transcript of the call -by of the transcript and generates the call -based call -by -based discouramer to generate identification tasks. Specific task proxy associated with the transcript of the call call and the mission of recognition to guide the neural network, and the processor generates ideal response. The processor generates the feedback result and the feedback result is displayed on the display device of the agent client device. Other embodiments are released in this article.</v>
      </c>
      <c r="D2539" s="6" t="s">
        <v>2568</v>
      </c>
      <c r="E2539" s="4" t="str">
        <f ca="1">IFERROR(__xludf.DUMMYFUNCTION("GOOGLETRANSLATE(D2539,""auto"",""en"")"),"Agent Coach System")</f>
        <v>Agent Coach System</v>
      </c>
    </row>
    <row r="2540" spans="1:5" ht="15" x14ac:dyDescent="0.25">
      <c r="A2540" s="5" t="s">
        <v>7169</v>
      </c>
      <c r="B2540" s="6" t="s">
        <v>7170</v>
      </c>
      <c r="C2540" s="3" t="str">
        <f ca="1">IFERROR(__xludf.DUMMYFUNCTION("GOOGLETRANSLATE(B2540,""auto"",""en"")"),"Smart ball machines use artificial intelligence to train players or play with players. For example, the ball machine can adjust the tennis speed according to the player's successful return ball bounce, topspin. You can pre -configure the ball machine thro"&amp;"ugh the player's outline. For example, the ball machine can download the complete configuration file of tennis players from the game recording, or you can download files with custom configuration files with players to train players with a ball machine. Th"&amp;"e ball machine is equipped with multiple wheels, motors and shafts, which can provide a complete and customized launch of one or more balls. For example, you can launch the ball from one side of the tennis court to the other side of the tennis court. It h"&amp;"as a variety of speeds, trajectories, TOPSPIN, bouncing, etc.")</f>
        <v>Smart ball machines use artificial intelligence to train players or play with players. For example, the ball machine can adjust the tennis speed according to the player's successful return ball bounce, topspin. You can pre -configure the ball machine through the player's outline. For example, the ball machine can download the complete configuration file of tennis players from the game recording, or you can download files with custom configuration files with players to train players with a ball machine. The ball machine is equipped with multiple wheels, motors and shafts, which can provide a complete and customized launch of one or more balls. For example, you can launch the ball from one side of the tennis court to the other side of the tennis court. It has a variety of speeds, trajectories, TOPSPIN, bouncing, etc.</v>
      </c>
      <c r="D2540" s="6" t="s">
        <v>7171</v>
      </c>
      <c r="E2540" s="4" t="str">
        <f ca="1">IFERROR(__xludf.DUMMYFUNCTION("GOOGLETRANSLATE(D2540,""auto"",""en"")"),"Adaptive tennis machine")</f>
        <v>Adaptive tennis machine</v>
      </c>
    </row>
    <row r="2541" spans="1:5" ht="15" x14ac:dyDescent="0.25">
      <c r="A2541" s="5" t="s">
        <v>7172</v>
      </c>
      <c r="B2541" s="6" t="s">
        <v>7173</v>
      </c>
      <c r="C2541" s="3" t="str">
        <f ca="1">IFERROR(__xludf.DUMMYFUNCTION("GOOGLETRANSLATE(B2541,""auto"",""en"")"),"This article discloses an application that can interact with on -site sports dynamic interaction. The application monitors the ongoing sports competition, and generates proposals based on the status of the game and presents the proposal to users. Users ac"&amp;"cept proposals or continue other proposals. The proposition is generated in large quantities in each second of the game, and it is ranked according to a series of standards. This standard was used to provide the most exciting problem in sports at that tim"&amp;"e to provide approximation of artificial intelligence.")</f>
        <v>This article discloses an application that can interact with on -site sports dynamic interaction. The application monitors the ongoing sports competition, and generates proposals based on the status of the game and presents the proposal to users. Users accept proposals or continue other proposals. The proposition is generated in large quantities in each second of the game, and it is ranked according to a series of standards. This standard was used to provide the most exciting problem in sports at that time to provide approximation of artificial intelligence.</v>
      </c>
      <c r="D2541" s="6" t="s">
        <v>7002</v>
      </c>
      <c r="E2541" s="4" t="str">
        <f ca="1">IFERROR(__xludf.DUMMYFUNCTION("GOOGLETRANSLATE(D2541,""auto"",""en"")"),"Continuous generation, dynamic ranking and pass query to users")</f>
        <v>Continuous generation, dynamic ranking and pass query to users</v>
      </c>
    </row>
    <row r="2542" spans="1:5" ht="15" x14ac:dyDescent="0.25">
      <c r="A2542" s="5" t="s">
        <v>7174</v>
      </c>
      <c r="B2542" s="6" t="s">
        <v>7175</v>
      </c>
      <c r="C2542" s="3" t="str">
        <f ca="1">IFERROR(__xludf.DUMMYFUNCTION("GOOGLETRANSLATE(B2542,""auto"",""en"")"),"The present invention disclosed the health management methods and electronic equipment based on image recognition technology, including the establishment of a calorie database and food type graphic identification database for the establishment of various "&amp;"foods; scan the food to be tested, obtain the food image information to be tested, and use image recognition technology. The type of food type identification database identifies the type of food; according to the identified food types, refer to the heat d"&amp;"atabase to obtain the heat corresponding to the food to be tested; obtain the list of food nutritional composition according to the type of food type; The proportion of human nutrition is to determine whether the food is suitable for users. Therefore, thr"&amp;"ough this method and electronic equipment, users can remind users to consume food healthy and solve the guidance of people in existing technologies that people can only rely on nutritionists, fitness coaches and other professionals. Make your own intake a"&amp;"nd consumption.")</f>
        <v>The present invention disclosed the health management methods and electronic equipment based on image recognition technology, including the establishment of a calorie database and food type graphic identification database for the establishment of various foods; scan the food to be tested, obtain the food image information to be tested, and use image recognition technology. The type of food type identification database identifies the type of food; according to the identified food types, refer to the heat database to obtain the heat corresponding to the food to be tested; obtain the list of food nutritional composition according to the type of food type; The proportion of human nutrition is to determine whether the food is suitable for users. Therefore, through this method and electronic equipment, users can remind users to consume food healthy and solve the guidance of people in existing technologies that people can only rely on nutritionists, fitness coaches and other professionals. Make your own intake and consumption.</v>
      </c>
      <c r="D2542" s="6" t="s">
        <v>7176</v>
      </c>
      <c r="E2542" s="4" t="str">
        <f ca="1">IFERROR(__xludf.DUMMYFUNCTION("GOOGLETRANSLATE(D2542,""auto"",""en"")"),"Health management methods and electronic equipment based on image recognition technology")</f>
        <v>Health management methods and electronic equipment based on image recognition technology</v>
      </c>
    </row>
    <row r="2543" spans="1:5" ht="15" x14ac:dyDescent="0.25">
      <c r="A2543" s="5" t="s">
        <v>7177</v>
      </c>
      <c r="B2543" s="6" t="s">
        <v>7178</v>
      </c>
      <c r="C2543" s="3" t="str">
        <f ca="1">IFERROR(__xludf.DUMMYFUNCTION("GOOGLETRANSLATE(B2543,""auto"",""en"")"),"1. Design product name: Tennis competition electronic record graphic user interface display screen panel.
 2. Design products for designing products: used to record the process of tennis competition, player data, group data, other events, can be used fo"&amp;"r mobile phones, tablets.
 3. Design of design products in this exterior: lies in patterns.
 4. Pictures or photos that can best show design points: Figure 1 of the interface change state.
 5. The purpose of the graphical user interface: The graphic"&amp;" user interface in the screen is used to record the human machine interaction interface for the electronic recording of the tennis competition.
 The main view is the login operation interface of the electronic records of volleyball games. Click the ""Lo"&amp;"gin"" button in it to enter the game selection interface shown in the interface change state. , Drag the screen into the interface change state Figure 2‑2. According to the competition system, select the corresponding event for settings; complete the sett"&amp;"ing, enter the interface change state Figure 3, select the corresponding event, select the event, venue, time, on -the -spot referee, schedule, schedule Essence
 After selecting, click OK, and enter the coin -throwing interface.
 Single -throwing the "&amp;"coin as shown in the interface changes. Figure 4.
 According to the result of the coin results, enter the interface change state Figure 5, select the ball right, the venue; the double -throw coin is as follows the interface change state Figure 6.
 Acc"&amp;"ording to the choice of coin results, enter the interface change state Figure 7, select the ball right, the venue; the singles are completed, enter the competition interface as shown in the interface change state Figure 8 for operation.
 After the doubl"&amp;"es are selected, enter the competition interface as shown in the interface change state Figure 9 for operation.
 Click on the lower left and lower right corners to select the player.
 Click the Press to Start Match competition.
 Single double -fight"&amp;"ing interface operation is the same, key operation annotation in the interface: click ACE score, as if the interface changes are changed; click Net wipe the net, as if the interface change status Figure 12; Foot errors, as shown in the interface change st"&amp;"ate Figure 14; click UNDO to withdraw the previous operation, as shown in the interface change status Figure 15.
 Automatically enter the score ending page at the end of the game.
 Double -headed end interface As shown in the interface change state Fi"&amp;"gure 16, click to submit the results of the return interface change status Figure 1; the single enter the end interface changes. Figure 17, and click the submitted results to return the interface change state Figure 1.")</f>
        <v>1. Design product name: Tennis competition electronic record graphic user interface display screen panel.
 2. Design products for designing products: used to record the process of tennis competition, player data, group data, other events, can be used for mobile phones, tablets.
 3. Design of design products in this exterior: lies in patterns.
 4. Pictures or photos that can best show design points: Figure 1 of the interface change state.
 5. The purpose of the graphical user interface: The graphic user interface in the screen is used to record the human machine interaction interface for the electronic recording of the tennis competition.
 The main view is the login operation interface of the electronic records of volleyball games. Click the "Login" button in it to enter the game selection interface shown in the interface change state. , Drag the screen into the interface change state Figure 2‑2. According to the competition system, select the corresponding event for settings; complete the setting, enter the interface change state Figure 3, select the corresponding event, select the event, venue, time, on -the -spot referee, schedule, schedule Essence
 After selecting, click OK, and enter the coin -throwing interface.
 Single -throwing the coin as shown in the interface changes. Figure 4.
 According to the result of the coin results, enter the interface change state Figure 5, select the ball right, the venue; the double -throw coin is as follows the interface change state Figure 6.
 According to the choice of coin results, enter the interface change state Figure 7, select the ball right, the venue; the singles are completed, enter the competition interface as shown in the interface change state Figure 8 for operation.
 After the doubles are selected, enter the competition interface as shown in the interface change state Figure 9 for operation.
 Click on the lower left and lower right corners to select the player.
 Click the Press to Start Match competition.
 Single double -fighting interface operation is the same, key operation annotation in the interface: click ACE score, as if the interface changes are changed; click Net wipe the net, as if the interface change status Figure 12; Foot errors, as shown in the interface change state Figure 14; click UNDO to withdraw the previous operation, as shown in the interface change status Figure 15.
 Automatically enter the score ending page at the end of the game.
 Double -headed end interface As shown in the interface change state Figure 16, click to submit the results of the return interface change status Figure 1; the single enter the end interface changes. Figure 17, and click the submitted results to return the interface change state Figure 1.</v>
      </c>
      <c r="D2543" s="6" t="s">
        <v>7179</v>
      </c>
      <c r="E2543" s="4" t="str">
        <f ca="1">IFERROR(__xludf.DUMMYFUNCTION("GOOGLETRANSLATE(D2543,""auto"",""en"")"),"Tennis competition electronic record graphics user interface display screen panel")</f>
        <v>Tennis competition electronic record graphics user interface display screen panel</v>
      </c>
    </row>
    <row r="2544" spans="1:5" ht="15" x14ac:dyDescent="0.25">
      <c r="A2544" s="5" t="s">
        <v>7180</v>
      </c>
      <c r="B2544" s="6" t="s">
        <v>7181</v>
      </c>
      <c r="C2544" s="3" t="str">
        <f ca="1">IFERROR(__xludf.DUMMYFUNCTION("GOOGLETRANSLATE(B2544,""auto"",""en"")"),"An intelligent automatic weight method based on deep learning, including the following steps: obtain the card number and fitness items of the fitness; according to the card number, the personal information of the corresponding card number is retrieved fro"&amp;"m the database; Cheng Cheng's fitness information and transmit the fitness information to the intelligent weight system; a intelligent automatic weight system, including obtaining modules, retrieval modules, integration modules, display judgment modules, "&amp;"final heavyweight transmission modules, intelligent heavyweighter weight Systems, databases and automated heavyweight systems; a smart automatic weight -only fitness equipment based on deep learning, including the first base, the second base, the safety r"&amp;"od cover, the safety rod axis, the barbell rod, the barbell pole, the barbell electromagnet,, the barbell electromagnet,, the barbell electromagnet,, the barbell electromagnet,,,,,, Iron board, barbell block, top frame, barbell safety hook, barbell safety"&amp;" hook shaft cover, guide rod shaft sleeve, guide rod shaft, control panel, control panel bracket and current controller; the present invention can achieve a levelless automatic weight.")</f>
        <v>An intelligent automatic weight method based on deep learning, including the following steps: obtain the card number and fitness items of the fitness; according to the card number, the personal information of the corresponding card number is retrieved from the database; Cheng Cheng's fitness information and transmit the fitness information to the intelligent weight system; a intelligent automatic weight system, including obtaining modules, retrieval modules, integration modules, display judgment modules, final heavyweight transmission modules, intelligent heavyweighter weight Systems, databases and automated heavyweight systems; a smart automatic weight -only fitness equipment based on deep learning, including the first base, the second base, the safety rod cover, the safety rod axis, the barbell rod, the barbell pole, the barbell electromagnet,, the barbell electromagnet,, the barbell electromagnet,, the barbell electromagnet,,,,,, Iron board, barbell block, top frame, barbell safety hook, barbell safety hook shaft cover, guide rod shaft sleeve, guide rod shaft, control panel, control panel bracket and current controller; the present invention can achieve a levelless automatic weight.</v>
      </c>
      <c r="D2544" s="6" t="s">
        <v>7182</v>
      </c>
      <c r="E2544" s="4" t="str">
        <f ca="1">IFERROR(__xludf.DUMMYFUNCTION("GOOGLETRANSLATE(D2544,""auto"",""en"")"),"A intelligent automatic weight method, system and equipment based on deep learning")</f>
        <v>A intelligent automatic weight method, system and equipment based on deep learning</v>
      </c>
    </row>
    <row r="2545" spans="1:5" ht="15" x14ac:dyDescent="0.25">
      <c r="A2545" s="5" t="s">
        <v>7183</v>
      </c>
      <c r="B2545" s="6" t="s">
        <v>7184</v>
      </c>
      <c r="C2545" s="3" t="str">
        <f ca="1">IFERROR(__xludf.DUMMYFUNCTION("GOOGLETRANSLATE(B2545,""auto"",""en"")"),"The present invention disclosed a system and method to send a warning when the segment of interest is coming to guide the number of interests to guide one or more audiences when the segment of interest is coming to the time. content. The present invention"&amp;" is also configured as an embedded business news and alert on the focus of the audience. Alarm and business messages are inserted through the use of industry standard labels. These labels were subsequently replaced by the required alarm and business messa"&amp;"ge media files to be delivered to digital content. The system is suitable for manual or automatic activation alarm. In addition, the system can be implemented by an artificial intelligence (AI) system. The system uses deep learning to train to identify th"&amp;"e appropriate time to automatically trigger the alarm/business message sequence. You can train the AI ​​system by monitoring manual control activated alert.")</f>
        <v>The present invention disclosed a system and method to send a warning when the segment of interest is coming to guide the number of interests to guide one or more audiences when the segment of interest is coming to the time. content. The present invention is also configured as an embedded business news and alert on the focus of the audience. Alarm and business messages are inserted through the use of industry standard labels. These labels were subsequently replaced by the required alarm and business message media files to be delivered to digital content. The system is suitable for manual or automatic activation alarm. In addition, the system can be implemented by an artificial intelligence (AI) system. The system uses deep learning to train to identify the appropriate time to automatically trigger the alarm/business message sequence. You can train the AI ​​system by monitoring manual control activated alert.</v>
      </c>
      <c r="D2545" s="6" t="s">
        <v>7185</v>
      </c>
      <c r="E2545" s="4" t="str">
        <f ca="1">IFERROR(__xludf.DUMMYFUNCTION("GOOGLETRANSLATE(D2545,""auto"",""en"")"),"Used to use labels to provide alert systems and methods when transmitting digital content")</f>
        <v>Used to use labels to provide alert systems and methods when transmitting digital content</v>
      </c>
    </row>
    <row r="2546" spans="1:5" ht="15" x14ac:dyDescent="0.25">
      <c r="A2546" s="5" t="s">
        <v>7186</v>
      </c>
      <c r="B2546" s="6" t="s">
        <v>7187</v>
      </c>
      <c r="C2546" s="3" t="str">
        <f ca="1">IFERROR(__xludf.DUMMYFUNCTION("GOOGLETRANSLATE(B2546,""auto"",""en"")"),"This public involves a non -invasive integrated system, including referee robots (50), which is used to automatically monitor, referees, scores, analysis, learning, and guiding players, while eliminating the need for human referees and scorers. Automatic "&amp;"referee robots (50) cognitive identification and capture of all devices with intelligent expansion function monitors, analyze them, move up and down, and even avoid the ball collision to it.非侵入式实时系统(100) 捕获所有比赛时刻,从球员开始、掷硬币、比赛开始、监控场地位置、保持比分、裁判决定、轮换、有效/无效交付"&amp;"、验证每个球在整个比赛中,三Pillar doors, balls, borders, six -point ball and display scores and statistics.")</f>
        <v>This public involves a non -invasive integrated system, including referee robots (50), which is used to automatically monitor, referees, scores, analysis, learning, and guiding players, while eliminating the need for human referees and scorers. Automatic referee robots (50) cognitive identification and capture of all devices with intelligent expansion function monitors, analyze them, move up and down, and even avoid the ball collision to it.非侵入式实时系统(100) 捕获所有比赛时刻,从球员开始、掷硬币、比赛开始、监控场地位置、保持比分、裁判决定、轮换、有效/无效交付、验证每个球在整个比赛中,三Pillar doors, balls, borders, six -point ball and display scores and statistics.</v>
      </c>
      <c r="D2546" s="6" t="s">
        <v>5572</v>
      </c>
      <c r="E2546" s="4" t="str">
        <f ca="1">IFERROR(__xludf.DUMMYFUNCTION("GOOGLETRANSLATE(D2546,""auto"",""en"")"),"Smart robot referee in the cricket game, which is used to automatically perform referees and scores during the cricket game")</f>
        <v>Smart robot referee in the cricket game, which is used to automatically perform referees and scores during the cricket game</v>
      </c>
    </row>
    <row r="2547" spans="1:5" ht="15" x14ac:dyDescent="0.25">
      <c r="A2547" s="5" t="s">
        <v>7188</v>
      </c>
      <c r="B2547" s="6" t="s">
        <v>7189</v>
      </c>
      <c r="C2547" s="3" t="str">
        <f ca="1">IFERROR(__xludf.DUMMYFUNCTION("GOOGLETRANSLATE(B2547,""auto"",""en"")"),"The invention disclosed a multi -level classification detection method for remote desktop protocol traffic behavior. First, the encrypted RDP protocol traffic is screened, including the TLS protocol, SSH protocol, and HTTP tunnel traffic recognition; The "&amp;"length sequence feature realizes the identification of encrypted RDP traffic; finally, the behavior contained in the encrypted RDP protocol traffic can be extracted through the three levels of traffic length, load randomness and interactivity, and classif"&amp;"ied by machine learning methods to achieve RDP The identification of the internal granularity of the protocol traffic is the recognition of the RDP protocol traffic behavior. Under the premise of ensuring privacy, the present invention can effectively rea"&amp;"lize the category of RDP protocol flow recognition and specific operational behavior of the user remote control server through multiple levels of traffic.")</f>
        <v>The invention disclosed a multi -level classification detection method for remote desktop protocol traffic behavior. First, the encrypted RDP protocol traffic is screened, including the TLS protocol, SSH protocol, and HTTP tunnel traffic recognition; The length sequence feature realizes the identification of encrypted RDP traffic; finally, the behavior contained in the encrypted RDP protocol traffic can be extracted through the three levels of traffic length, load randomness and interactivity, and classified by machine learning methods to achieve RDP The identification of the internal granularity of the protocol traffic is the recognition of the RDP protocol traffic behavior. Under the premise of ensuring privacy, the present invention can effectively realize the category of RDP protocol flow recognition and specific operational behavior of the user remote control server through multiple levels of traffic.</v>
      </c>
      <c r="D2547" s="6" t="s">
        <v>7190</v>
      </c>
      <c r="E2547" s="4" t="str">
        <f ca="1">IFERROR(__xludf.DUMMYFUNCTION("GOOGLETRANSLATE(D2547,""auto"",""en"")"),"A multi -level classification detection method of remote desktop protocol traffic behavior")</f>
        <v>A multi -level classification detection method of remote desktop protocol traffic behavior</v>
      </c>
    </row>
    <row r="2548" spans="1:5" ht="15" x14ac:dyDescent="0.25">
      <c r="A2548" s="5" t="s">
        <v>7191</v>
      </c>
      <c r="B2548" s="6" t="s">
        <v>7192</v>
      </c>
      <c r="C2548" s="3" t="str">
        <f ca="1">IFERROR(__xludf.DUMMYFUNCTION("GOOGLETRANSLATE(B2548,""auto"",""en"")"),"1. Design product name: Set the running distance graphic user interface of the display screen panel.
 2. The purpose of designing products in this appearance: used to display graphic user interface and human -computer interaction; display screen panels "&amp;"are used for sports watches, smart bracelets, phone watches, and mobile phones.
 3. Design of the design of the product in appearance: lies in the graphic user interface.
 4. Pictures or photos that can best show design: Design 1 main view.
 5. Spec"&amp;"ify design 5 is the basic design.
 6. The purpose of the graphical user interface: The interface is used to set the running distance.
 7. Human -computer interaction method of graphical user interface: In each design, in the horizontal adjustment area"&amp;" below the ""primary movement"", the left and right sliding triangle labels can be set to run a running distance.
 8. Change state description of the graphic user interface: In each design, sliding the right -handed triangle indicator in the main vision"&amp;" interface can present the interface change state Figure 1 and 2.
 9. Design 1 and design 2 Requires to protect color.")</f>
        <v>1. Design product name: Set the running distance graphic user interface of the display screen panel.
 2. The purpose of designing products in this appearance: used to display graphic user interface and human -computer interaction; display screen panels are used for sports watches, smart bracelets, phone watches, and mobile phones.
 3. Design of the design of the product in appearance: lies in the graphic user interface.
 4. Pictures or photos that can best show design: Design 1 main view.
 5. Specify design 5 is the basic design.
 6. The purpose of the graphical user interface: The interface is used to set the running distance.
 7. Human -computer interaction method of graphical user interface: In each design, in the horizontal adjustment area below the "primary movement", the left and right sliding triangle labels can be set to run a running distance.
 8. Change state description of the graphic user interface: In each design, sliding the right -handed triangle indicator in the main vision interface can present the interface change state Figure 1 and 2.
 9. Design 1 and design 2 Requires to protect color.</v>
      </c>
      <c r="D2548" s="6" t="s">
        <v>7193</v>
      </c>
      <c r="E2548" s="4" t="str">
        <f ca="1">IFERROR(__xludf.DUMMYFUNCTION("GOOGLETRANSLATE(D2548,""auto"",""en"")"),"Setting of the display screen panel running distance graphical user interface")</f>
        <v>Setting of the display screen panel running distance graphical user interface</v>
      </c>
    </row>
    <row r="2549" spans="1:5" ht="15" x14ac:dyDescent="0.25">
      <c r="A2549" s="5" t="s">
        <v>7194</v>
      </c>
      <c r="B2549" s="6" t="s">
        <v>7195</v>
      </c>
      <c r="C2549" s="3" t="str">
        <f ca="1">IFERROR(__xludf.DUMMYFUNCTION("GOOGLETRANSLATE(B2549,""auto"",""en"")"),"1. Design product name: Graphic user interface for sports data information statistics for mobile phones.
 2. Design products in appearance: used for moving through fast, data processing, etc.
 3. Design of the design of the product in appearance: lies"&amp;" in the graphic user interface.
 4. Pictures or photos that can most indicate design points: main view.
 5. The product designed in this exterior is the design of the graphical user interface. Other views are used to design, omitting other views.
 6"&amp;". The purpose of graphical user interface: The design of this appearance is mainly used for the interactive interface of information statistics on the user's sports data, which can record the user's running, walking, fitness, yoga and other sports data.
 "&amp;"
 7. Human -computer interaction method of graphics user interface: Click ""Running"" at the top left of the main view to statistics on running data, click ""Walk"" above, you can statistics on the walking data, click ""Fitness"" above ""Fitness"" You can"&amp;" carry out data statistics on fitness. Click ""Yoga"" in the upper right to make data statistics on yoga; click the triangle icon in the middle and lower part of the main view to show the interface change status diagram.")</f>
        <v>1. Design product name: Graphic user interface for sports data information statistics for mobile phones.
 2. Design products in appearance: used for moving through fast, data processing, etc.
 3. Design of the design of the product in appearance: lies in the graphic user interface.
 4. Pictures or photos that can most indicate design points: main view.
 5. The product designed in this exterior is the design of the graphical user interface. Other views are used to design, omitting other views.
 6. The purpose of graphical user interface: The design of this appearance is mainly used for the interactive interface of information statistics on the user's sports data, which can record the user's running, walking, fitness, yoga and other sports data.
 7. Human -computer interaction method of graphics user interface: Click "Running" at the top left of the main view to statistics on running data, click "Walk" above, you can statistics on the walking data, click "Fitness" above "Fitness" You can carry out data statistics on fitness. Click "Yoga" in the upper right to make data statistics on yoga; click the triangle icon in the middle and lower part of the main view to show the interface change status diagram.</v>
      </c>
      <c r="D2549" s="6" t="s">
        <v>7196</v>
      </c>
      <c r="E2549" s="4" t="str">
        <f ca="1">IFERROR(__xludf.DUMMYFUNCTION("GOOGLETRANSLATE(D2549,""auto"",""en"")"),"Graphical user interface for sports data information statistics used for mobile phones")</f>
        <v>Graphical user interface for sports data information statistics used for mobile phones</v>
      </c>
    </row>
    <row r="2550" spans="1:5" ht="15" x14ac:dyDescent="0.25">
      <c r="A2550" s="5" t="s">
        <v>7197</v>
      </c>
      <c r="B2550" s="6" t="s">
        <v>7198</v>
      </c>
      <c r="C2550" s="3" t="str">
        <f ca="1">IFERROR(__xludf.DUMMYFUNCTION("GOOGLETRANSLATE(B2550,""auto"",""en"")"),"Provide a mechanism for achieving personalized training recommendation systems. From the user receiving request to generate personalized training solutions for specifying sports events, and identify event information that includes one or more geographical"&amp;" segments that specifies sports events. Based on event information, one or more parts of the geographical area are identified, and they are similar to one or more features of one or more geographical segments within the predetermined tolerance. At least t"&amp;"he selection collection of the compatible combination of one or more physical characteristics of one or more physical characteristics that is associated with one or more of each part is generated to generate training courses. Specify more geographical seg"&amp;"ments of sports, and then present it as a user's personalized training scheme to the user.")</f>
        <v>Provide a mechanism for achieving personalized training recommendation systems. From the user receiving request to generate personalized training solutions for specifying sports events, and identify event information that includes one or more geographical segments that specifies sports events. Based on event information, one or more parts of the geographical area are identified, and they are similar to one or more features of one or more geographical segments within the predetermined tolerance. At least the selection collection of the compatible combination of one or more physical characteristics of one or more physical characteristics that is associated with one or more of each part is generated to generate training courses. Specify more geographical segments of sports, and then present it as a user's personalized training scheme to the user.</v>
      </c>
      <c r="D2550" s="6" t="s">
        <v>7199</v>
      </c>
      <c r="E2550" s="4" t="str">
        <f ca="1">IFERROR(__xludf.DUMMYFUNCTION("GOOGLETRANSLATE(D2550,""auto"",""en"")"),"Personalized training based on planning courses and personal assessment")</f>
        <v>Personalized training based on planning courses and personal assessment</v>
      </c>
    </row>
    <row r="2551" spans="1:5" ht="15" x14ac:dyDescent="0.25">
      <c r="A2551" s="5" t="s">
        <v>7200</v>
      </c>
      <c r="B2551" s="6" t="s">
        <v>7201</v>
      </c>
      <c r="C2551" s="3" t="str">
        <f ca="1">IFERROR(__xludf.DUMMYFUNCTION("GOOGLETRANSLATE(B2551,""auto"",""en"")"),"Abstract 
  Tissue nerve measurement diagram
  Neurotesuology is a variety of scientific applications in cognition and behavioral neuroscience, positive psychology, neuroscience and coaching fields. The method of neuromeological me"&amp;"thod can make it easier for the company to arrange the right person to the right role, and it can also bring two or more job functions, positions or employee personality gaps/distance. Using neurological measurement methods can reduce the possibility of s"&amp;"ubjectivity and the answer to the candidate. This is because this method is measured directly from the source of data collection, that is, the electrical motion of the brain.
  Generally speaking, there are three types of nerve measurement, that is, cul"&amp;"tural fitting neurological measurement, functional fitness measuring, and nerve measurement based on specific quality. Culture Fit Neurometric is a type of measurement. The standard used is the most important cultural or values ​​owned by the company. Fun"&amp;"ctional fitness measuring is a neurological measurement. It measures a specific aspect of certain functions/characters in the tissue to measure and evaluate these specific aspects. Although a person's specific quality or personality is measured based on a"&amp;" specific quality, no matter what the position or function in the organization, anyone can have this quality. The steps taken include: 1) Psychological measurement; 2) Use EEG (EEG) and near -infrared spectrum (NIRS), and other biological characteristics "&amp;"(such as facial recognition) and other brain imaging patterns to measure the brain electrical activity and a certain Some stimuli, voice recognition. And eye movement; 3).")</f>
        <v>Abstract 
  Tissue nerve measurement diagram
  Neurotesuology is a variety of scientific applications in cognition and behavioral neuroscience, positive psychology, neuroscience and coaching fields. The method of neuromeological method can make it easier for the company to arrange the right person to the right role, and it can also bring two or more job functions, positions or employee personality gaps/distance. Using neurological measurement methods can reduce the possibility of subjectivity and the answer to the candidate. This is because this method is measured directly from the source of data collection, that is, the electrical motion of the brain.
  Generally speaking, there are three types of nerve measurement, that is, cultural fitting neurological measurement, functional fitness measuring, and nerve measurement based on specific quality. Culture Fit Neurometric is a type of measurement. The standard used is the most important cultural or values ​​owned by the company. Functional fitness measuring is a neurological measurement. It measures a specific aspect of certain functions/characters in the tissue to measure and evaluate these specific aspects. Although a person's specific quality or personality is measured based on a specific quality, no matter what the position or function in the organization, anyone can have this quality. The steps taken include: 1) Psychological measurement; 2) Use EEG (EEG) and near -infrared spectrum (NIRS), and other biological characteristics (such as facial recognition) and other brain imaging patterns to measure the brain electrical activity and a certain Some stimuli, voice recognition. And eye movement; 3).</v>
      </c>
      <c r="D2551" s="6" t="s">
        <v>7202</v>
      </c>
      <c r="E2551" s="4" t="str">
        <f ca="1">IFERROR(__xludf.DUMMYFUNCTION("GOOGLETRANSLATE(D2551,""auto"",""en"")"),"Tissue nerve measurement mapping")</f>
        <v>Tissue nerve measurement mapping</v>
      </c>
    </row>
    <row r="2552" spans="1:5" ht="15" x14ac:dyDescent="0.25">
      <c r="A2552" s="5" t="s">
        <v>7203</v>
      </c>
      <c r="B2552" s="6" t="s">
        <v>7204</v>
      </c>
      <c r="C2552" s="3" t="str">
        <f ca="1">IFERROR(__xludf.DUMMYFUNCTION("GOOGLETRANSLATE(B2552,""auto"",""en"")"),"This application discloses a number plate automatic identification method, device, equipment and computer readable storage medium. Among them, the method includes the use of detection targets as Person's target detection model to extract the athlete's tar"&amp;"get area from the tolerance image containing at least one athlete's block, and then extract the text area from the target area through the text detection model, and based on the text recognition model -to -text area The Chinese characters are identified t"&amp;"o get the initial number information. Finally, the tree -shaped filtering algorithm is screened to the initial number information to obtain a set of number values ​​corresponding to the athletes in the image; the text detection model is based on the CTPN "&amp;"algorithm, and the training sample set training cycle is used. The end -to -end network model of neural network and convolutional neural network; the text recognition model uses the number plate training sample set training convolution cyclic network mode"&amp;"l. This application can identify the athlete number plate efficiently and accurately, which is conducive to improving the accuracy of the recognition of marathon athletes.")</f>
        <v>This application discloses a number plate automatic identification method, device, equipment and computer readable storage medium. Among them, the method includes the use of detection targets as Person's target detection model to extract the athlete's target area from the tolerance image containing at least one athlete's block, and then extract the text area from the target area through the text detection model, and based on the text recognition model -to -text area The Chinese characters are identified to get the initial number information. Finally, the tree -shaped filtering algorithm is screened to the initial number information to obtain a set of number values ​​corresponding to the athletes in the image; the text detection model is based on the CTPN algorithm, and the training sample set training cycle is used. The end -to -end network model of neural network and convolutional neural network; the text recognition model uses the number plate training sample set training convolution cyclic network model. This application can identify the athlete number plate efficiently and accurately, which is conducive to improving the accuracy of the recognition of marathon athletes.</v>
      </c>
      <c r="D2552" s="6" t="s">
        <v>7205</v>
      </c>
      <c r="E2552" s="4" t="str">
        <f ca="1">IFERROR(__xludf.DUMMYFUNCTION("GOOGLETRANSLATE(D2552,""auto"",""en"")"),"Number plate automatic recognition method, device, equipment and computer readable storage media")</f>
        <v>Number plate automatic recognition method, device, equipment and computer readable storage media</v>
      </c>
    </row>
    <row r="2553" spans="1:5" ht="15" x14ac:dyDescent="0.25">
      <c r="A2553" s="5" t="s">
        <v>7206</v>
      </c>
      <c r="B2553" s="6" t="s">
        <v>7207</v>
      </c>
      <c r="C2553" s="3" t="str">
        <f ca="1">IFERROR(__xludf.DUMMYFUNCTION("GOOGLETRANSLATE(B2553,""auto"",""en"")"),"The present invention involves a fire extinguishing device that can be able to determine the fire in real time and concentrate the fire extinguishing device in the corresponding fire zone and the fire extinguishing method using the fire extinguishing devi"&amp;"ce.
  The fire extinguishing device of the invention includes the main body that constitutes the shape, connected to the orbit to enable the subject to move along the track of the track, and the surface patrol function installed on the surface, and the "&amp;"execution of the image recognition unit. The detection sensor unit and the image recognition unit communication is communicated to detect the fire data at the fire point, and analyzes the data transmitted from the image recognition unit and the detection "&amp;"sensor unit includes the main operating device that detects the fire progress of the fire point. The state of fire progress control is used to extinguish the coal balls at the fire point.")</f>
        <v>The present invention involves a fire extinguishing device that can be able to determine the fire in real time and concentrate the fire extinguishing device in the corresponding fire zone and the fire extinguishing method using the fire extinguishing device.
  The fire extinguishing device of the invention includes the main body that constitutes the shape, connected to the orbit to enable the subject to move along the track of the track, and the surface patrol function installed on the surface, and the execution of the image recognition unit. The detection sensor unit and the image recognition unit communication is communicated to detect the fire data at the fire point, and analyzes the data transmitted from the image recognition unit and the detection sensor unit includes the main operating device that detects the fire progress of the fire point. The state of fire progress control is used to extinguish the coal balls at the fire point.</v>
      </c>
      <c r="D2553" s="6" t="s">
        <v>7208</v>
      </c>
      <c r="E2553" s="4" t="str">
        <f ca="1">IFERROR(__xludf.DUMMYFUNCTION("GOOGLETRANSLATE(D2553,""auto"",""en"")"),"The fire extinguishing device and the use of the fire extinguishing device with the fire extinguishing device")</f>
        <v>The fire extinguishing device and the use of the fire extinguishing device with the fire extinguishing device</v>
      </c>
    </row>
    <row r="2554" spans="1:5" ht="15" x14ac:dyDescent="0.25">
      <c r="A2554" s="5" t="s">
        <v>7209</v>
      </c>
      <c r="B2554" s="6" t="s">
        <v>7210</v>
      </c>
      <c r="C2554" s="3" t="str">
        <f ca="1">IFERROR(__xludf.DUMMYFUNCTION("GOOGLETRANSLATE(B2554,""auto"",""en"")"),"The present invention involves a method of generating football candidate points based on Heatmap NAO robot targets, including selecting convolutional neural networks as the target detection model, simulating the competition environment, collecting multipl"&amp;"e sets of picture training and testing data sets, and generating HEATMAP. Go to get the visualization results of Heatmap, reconstruct the convolutional neural network to speed up the network calculation speed, and set the appropriate threshold. The point "&amp;"of the set threshold is greater than the set of the ball, which is the candidate point of the ball. The identification results. The present invention enhances the adaptability of the NAO robot vision system on the light environment of the field on the fie"&amp;"ld. It can achieve high precision recognition of the ball in different light environments. At the same time, by generating the method of entering the classifier recognition by generating football candidate points, it has greatly improved its accuracy of f"&amp;"ootball recognition.")</f>
        <v>The present invention involves a method of generating football candidate points based on Heatmap NAO robot targets, including selecting convolutional neural networks as the target detection model, simulating the competition environment, collecting multiple sets of picture training and testing data sets, and generating HEATMAP. Go to get the visualization results of Heatmap, reconstruct the convolutional neural network to speed up the network calculation speed, and set the appropriate threshold. The point of the set threshold is greater than the set of the ball, which is the candidate point of the ball. The identification results. The present invention enhances the adaptability of the NAO robot vision system on the light environment of the field on the field. It can achieve high precision recognition of the ball in different light environments. At the same time, by generating the method of entering the classifier recognition by generating football candidate points, it has greatly improved its accuracy of football recognition.</v>
      </c>
      <c r="D2554" s="6" t="s">
        <v>7211</v>
      </c>
      <c r="E2554" s="4" t="str">
        <f ca="1">IFERROR(__xludf.DUMMYFUNCTION("GOOGLETRANSLATE(D2554,""auto"",""en"")"),"The generation method of detecting football candidate -based on Heatmap NAO robot target")</f>
        <v>The generation method of detecting football candidate -based on Heatmap NAO robot target</v>
      </c>
    </row>
    <row r="2555" spans="1:5" ht="15" x14ac:dyDescent="0.25">
      <c r="A2555" s="5" t="s">
        <v>7212</v>
      </c>
      <c r="B2555" s="6" t="s">
        <v>7213</v>
      </c>
      <c r="C2555" s="3" t="str">
        <f ca="1">IFERROR(__xludf.DUMMYFUNCTION("GOOGLETRANSLATE(B2555,""auto"",""en"")"),"The present invention disclosed a method of single -person sports posture based on neural networks, which mainly solves the problem of low accuracy and efficiency of sports teachers in sports guidance for students today. Its implementation scheme is: down"&amp;"load image data sets containing human joint nodes and its corresponding labeling files to build training data sets; build a human joint detection network based on space -based conversion, and use training data sets to train it With ordinary sports picture"&amp;"s, enter the training network based on the training network -based human joints based on the spatial domain conversion, to obtain their own joint nodes coordinates, forming standard motion and ordinary sports datasets, and matching standard matching pictu"&amp;"res; calculate ordinary sports; calculate ordinary sports; calculate ordinary sports; calculate ordinary sports; The distance between the Eu by the picture and the standard matching of the joint nodes in the picture, the joint node of the statistics is gr"&amp;"eater than the scoring threshold, is the action point that needs to be corrected. The present invention improves the accuracy and training efficiency of sports attitude correction, and can be used for single -person sports posture correction.")</f>
        <v>The present invention disclosed a method of single -person sports posture based on neural networks, which mainly solves the problem of low accuracy and efficiency of sports teachers in sports guidance for students today. Its implementation scheme is: download image data sets containing human joint nodes and its corresponding labeling files to build training data sets; build a human joint detection network based on space -based conversion, and use training data sets to train it With ordinary sports pictures, enter the training network based on the training network -based human joints based on the spatial domain conversion, to obtain their own joint nodes coordinates, forming standard motion and ordinary sports datasets, and matching standard matching pictures; calculate ordinary sports; calculate ordinary sports; calculate ordinary sports; calculate ordinary sports; The distance between the Eu by the picture and the standard matching of the joint nodes in the picture, the joint node of the statistics is greater than the scoring threshold, is the action point that needs to be corrected. The present invention improves the accuracy and training efficiency of sports attitude correction, and can be used for single -person sports posture correction.</v>
      </c>
      <c r="D2555" s="6" t="s">
        <v>7214</v>
      </c>
      <c r="E2555" s="4" t="str">
        <f ca="1">IFERROR(__xludf.DUMMYFUNCTION("GOOGLETRANSLATE(D2555,""auto"",""en"")"),"Method correction method based on neural network -based single -person sports posture")</f>
        <v>Method correction method based on neural network -based single -person sports posture</v>
      </c>
    </row>
    <row r="2556" spans="1:5" ht="15" x14ac:dyDescent="0.25">
      <c r="A2556" s="5" t="s">
        <v>7215</v>
      </c>
      <c r="B2556" s="6" t="s">
        <v>7216</v>
      </c>
      <c r="C2556" s="3" t="str">
        <f ca="1">IFERROR(__xludf.DUMMYFUNCTION("GOOGLETRANSLATE(B2556,""auto"",""en"")"),"The present invention proposes a method of drowning for swimming pool -based pools of machine learning. Including the two methods of identification above the water surface and the identification of the water surface. By installing a camera on the shore an"&amp;"d the pool wall of the pool, the problem of whether the video flow is drowned by processing the video stream, and the blind spot of the vision in the swimming pool can be used to view the safety of the pool at any time. And use machine learning technology"&amp;" to analyze the real -time videos in the swimming pool. If the drowning situation is judged by the algorithm, you can send the drowning information to the lifeguard in time, so that the liferior staff cannot always be concentrated. And can reduce the conf"&amp;"iguration of lifeguards and reduce the operating pressure of the pool; and this method does not need to wear any auxiliary equipment, which will not affect the swimming experience.")</f>
        <v>The present invention proposes a method of drowning for swimming pool -based pools of machine learning. Including the two methods of identification above the water surface and the identification of the water surface. By installing a camera on the shore and the pool wall of the pool, the problem of whether the video flow is drowned by processing the video stream, and the blind spot of the vision in the swimming pool can be used to view the safety of the pool at any time. And use machine learning technology to analyze the real -time videos in the swimming pool. If the drowning situation is judged by the algorithm, you can send the drowning information to the lifeguard in time, so that the liferior staff cannot always be concentrated. And can reduce the configuration of lifeguards and reduce the operating pressure of the pool; and this method does not need to wear any auxiliary equipment, which will not affect the swimming experience.</v>
      </c>
      <c r="D2556" s="6" t="s">
        <v>7217</v>
      </c>
      <c r="E2556" s="4" t="str">
        <f ca="1">IFERROR(__xludf.DUMMYFUNCTION("GOOGLETRANSLATE(D2556,""auto"",""en"")"),"Machine learning -based swimming pool anti -drowning recognition method")</f>
        <v>Machine learning -based swimming pool anti -drowning recognition method</v>
      </c>
    </row>
    <row r="2557" spans="1:5" ht="15" x14ac:dyDescent="0.25">
      <c r="A2557" s="5" t="s">
        <v>7218</v>
      </c>
      <c r="B2557" s="6" t="s">
        <v>7219</v>
      </c>
      <c r="C2557" s="3" t="str">
        <f ca="1">IFERROR(__xludf.DUMMYFUNCTION("GOOGLETRANSLATE(B2557,""auto"",""en"")"),"The present invention involves a smart guide method of sports events. Identification, determine whether the trigger conditions meet the trigger conditions according to the identification results. If the trigger conditions are met, switch to the guide sign"&amp;"al of the trigger condition. The intelligent guide method provided by the present invention, through image processing of the factual video signal of sports competitions, realizes the automatic judgment of the situation, further realizes the automatic swit"&amp;"ching of the guide signal, thereby realizing the automated intelligent guide for sports events. , Can assist or replace the work of artificial conductors.")</f>
        <v>The present invention involves a smart guide method of sports events. Identification, determine whether the trigger conditions meet the trigger conditions according to the identification results. If the trigger conditions are met, switch to the guide signal of the trigger condition. The intelligent guide method provided by the present invention, through image processing of the factual video signal of sports competitions, realizes the automatic judgment of the situation, further realizes the automatic switching of the guide signal, thereby realizing the automated intelligent guide for sports events. , Can assist or replace the work of artificial conductors.</v>
      </c>
      <c r="D2557" s="6" t="s">
        <v>7220</v>
      </c>
      <c r="E2557" s="4" t="str">
        <f ca="1">IFERROR(__xludf.DUMMYFUNCTION("GOOGLETRANSLATE(D2557,""auto"",""en"")"),"Smart guide method of sports events")</f>
        <v>Smart guide method of sports events</v>
      </c>
    </row>
    <row r="2558" spans="1:5" ht="15" x14ac:dyDescent="0.25">
      <c r="A2558" s="5" t="s">
        <v>7221</v>
      </c>
      <c r="B2558" s="6" t="s">
        <v>7222</v>
      </c>
      <c r="C2558" s="3" t="str">
        <f ca="1">IFERROR(__xludf.DUMMYFUNCTION("GOOGLETRANSLATE(B2558,""auto"",""en"")"),"The present invention involves a smart robot used for the production of assembly line, including a fixed pipe and seal disk, which is settled by the fixed pipe and the seal disk. There are two discharged holes, which are evenly distributed by the axis of "&amp;"the sealing disk as the center. The institution includes rotating discs, sound sensors, rotating shafts, first bearing, and driving components. The cleaning mechanism is located on the side of the sealing disk on the side of the rotor. The intelligent rob"&amp;"ot used for the production of the assembly line realizes the automatic detection of table tennis through the detection agency. The function of damaging has improved the convenience. Not only that, it also realizes the function of removing impurities on ta"&amp;"ble tennis through a cleaning agency.")</f>
        <v>The present invention involves a smart robot used for the production of assembly line, including a fixed pipe and seal disk, which is settled by the fixed pipe and the seal disk. There are two discharged holes, which are evenly distributed by the axis of the sealing disk as the center. The institution includes rotating discs, sound sensors, rotating shafts, first bearing, and driving components. The cleaning mechanism is located on the side of the sealing disk on the side of the rotor. The intelligent robot used for the production of the assembly line realizes the automatic detection of table tennis through the detection agency. The function of damaging has improved the convenience. Not only that, it also realizes the function of removing impurities on table tennis through a cleaning agency.</v>
      </c>
      <c r="D2558" s="6" t="s">
        <v>7223</v>
      </c>
      <c r="E2558" s="4" t="str">
        <f ca="1">IFERROR(__xludf.DUMMYFUNCTION("GOOGLETRANSLATE(D2558,""auto"",""en"")"),"A smart robot for the production of assembly lines")</f>
        <v>A smart robot for the production of assembly lines</v>
      </c>
    </row>
    <row r="2559" spans="1:5" ht="15" x14ac:dyDescent="0.25">
      <c r="A2559" s="5" t="s">
        <v>7224</v>
      </c>
      <c r="B2559" s="6" t="s">
        <v>7225</v>
      </c>
      <c r="C2559" s="3" t="str">
        <f ca="1">IFERROR(__xludf.DUMMYFUNCTION("GOOGLETRANSLATE(B2559,""auto"",""en"")"),"Provides an agent creation method created in the gaming environment. The proxy creation method includes: The proxy creation device creates a basic agent based on the common action characteristic mode of the player, transmits the basic agent to the game se"&amp;"rver, and the proxy creation device receives the results data obtained through the following methods. The matching of the role of the basic agent and the role of a single player is performed, and the agent creates the device to perform machine learning by"&amp;" using the matching results data, and creates a customized proxy machine learning based on the results.")</f>
        <v>Provides an agent creation method created in the gaming environment. The proxy creation method includes: The proxy creation device creates a basic agent based on the common action characteristic mode of the player, transmits the basic agent to the game server, and the proxy creation device receives the results data obtained through the following methods. The matching of the role of the basic agent and the role of a single player is performed, and the agent creates the device to perform machine learning by using the matching results data, and creates a customized proxy machine learning based on the results.</v>
      </c>
      <c r="D2559" s="6" t="s">
        <v>7226</v>
      </c>
      <c r="E2559" s="4" t="str">
        <f ca="1">IFERROR(__xludf.DUMMYFUNCTION("GOOGLETRANSLATE(D2559,""auto"",""en"")"),"Create an agent's device and method in the game environment")</f>
        <v>Create an agent's device and method in the game environment</v>
      </c>
    </row>
    <row r="2560" spans="1:5" ht="15" x14ac:dyDescent="0.25">
      <c r="A2560" s="5" t="s">
        <v>7227</v>
      </c>
      <c r="B2560" s="6" t="s">
        <v>7228</v>
      </c>
      <c r="C2560" s="3" t="str">
        <f ca="1">IFERROR(__xludf.DUMMYFUNCTION("GOOGLETRANSLATE(B2560,""auto"",""en"")"),"This utility model involves the technology field of fitness equipment, providing a digital multi -functional fitness equipment. The digital multi -functional fitness equipment includes: the main body of the AI ​​intelligent system and wall -mounted device"&amp;"; the main body of the wall -hanging device is used with a display screen for human -computer interaction. Regulating the branches fixed at any position, the end of the regulating support of the branches is provided with a traction rope; the AI ​​intellig"&amp;"ent system is equipped with an electronic gravity system, which is the AI ​​intelligent system adjustment through the electronic gravity system. resistance. The useful new type of useful new type is that the digital multi -functional fitness equipment can"&amp;" be directly fixed on the wall, which is convenient to install, occupy a small space, and has a wide range of applications; A large number of professional fitness online courses for users to browse, and adjust the output resistance of the arm through the "&amp;"electronic gravity system, and customize the exercise mode suitable for users.")</f>
        <v>This utility model involves the technology field of fitness equipment, providing a digital multi -functional fitness equipment. The digital multi -functional fitness equipment includes: the main body of the AI ​​intelligent system and wall -mounted device; the main body of the wall -hanging device is used with a display screen for human -computer interaction. Regulating the branches fixed at any position, the end of the regulating support of the branches is provided with a traction rope; the AI ​​intelligent system is equipped with an electronic gravity system, which is the AI ​​intelligent system adjustment through the electronic gravity system. resistance. The useful new type of useful new type is that the digital multi -functional fitness equipment can be directly fixed on the wall, which is convenient to install, occupy a small space, and has a wide range of applications; A large number of professional fitness online courses for users to browse, and adjust the output resistance of the arm through the electronic gravity system, and customize the exercise mode suitable for users.</v>
      </c>
      <c r="D2560" s="6" t="s">
        <v>7229</v>
      </c>
      <c r="E2560" s="4" t="str">
        <f ca="1">IFERROR(__xludf.DUMMYFUNCTION("GOOGLETRANSLATE(D2560,""auto"",""en"")"),"A digital multi -functional fitness equipment")</f>
        <v>A digital multi -functional fitness equipment</v>
      </c>
    </row>
    <row r="2561" spans="1:5" ht="15" x14ac:dyDescent="0.25">
      <c r="A2561" s="5" t="s">
        <v>7230</v>
      </c>
      <c r="B2561" s="6" t="s">
        <v>7231</v>
      </c>
      <c r="C2561" s="3" t="str">
        <f ca="1">IFERROR(__xludf.DUMMYFUNCTION("GOOGLETRANSLATE(B2561,""auto"",""en"")"),"The present invention involves a football training system based on wearable devices, including cloud computing centers, environmental information collection and processing systems, information display systems, athlete monitoring systems; Data information,"&amp;" and send it to the cloud computing center for processing and feedback; at the same time, send various data to the display platform; the information display system is used to receive and display the collected data information in real time, as well as when"&amp;" processing the information exceeds interferery exceeding interferery When setting parameters, alert reminder can be issued in real time; the athlete monitoring system, including multiple wearable devices worn on the athletes for collecting athletes' trai"&amp;"ning movement data. The cloud computing center continues to learn athlete training based on convolutional neural network models. The action data is classified and combined with the physical status parameters and environmental information parameters of the"&amp;" athletes to predict the best training movement of athletes.")</f>
        <v>The present invention involves a football training system based on wearable devices, including cloud computing centers, environmental information collection and processing systems, information display systems, athlete monitoring systems; Data information, and send it to the cloud computing center for processing and feedback; at the same time, send various data to the display platform; the information display system is used to receive and display the collected data information in real time, as well as when processing the information exceeds interferery exceeding interferery When setting parameters, alert reminder can be issued in real time; the athlete monitoring system, including multiple wearable devices worn on the athletes for collecting athletes' training movement data. The cloud computing center continues to learn athlete training based on convolutional neural network models. The action data is classified and combined with the physical status parameters and environmental information parameters of the athletes to predict the best training movement of athletes.</v>
      </c>
      <c r="D2561" s="6" t="s">
        <v>7232</v>
      </c>
      <c r="E2561" s="4" t="str">
        <f ca="1">IFERROR(__xludf.DUMMYFUNCTION("GOOGLETRANSLATE(D2561,""auto"",""en"")"),"A football training system based on wearable devices")</f>
        <v>A football training system based on wearable devices</v>
      </c>
    </row>
    <row r="2562" spans="1:5" ht="15" x14ac:dyDescent="0.25">
      <c r="A2562" s="5" t="s">
        <v>7233</v>
      </c>
      <c r="B2562" s="6" t="s">
        <v>7234</v>
      </c>
      <c r="C2562" s="3" t="str">
        <f ca="1">IFERROR(__xludf.DUMMYFUNCTION("GOOGLETRANSLATE(B2562,""auto"",""en"")"),"The present invention involves a life security management system based on the Internet of Things. Its configuration is fixed in schools and public buildings. The driver of each sensor unit is used to detect slight dust, according to the wavelength of vibr"&amp;"ation, noise conditions, and air conditions in the space. Collect the dust concentration, detect the predetermined earthquake or larger earthquake, detect and collect noise status, and sensor devices of the air quality state of each sensor unit that drive"&amp;"s programming; Status information, noise status information, or the air quality status information of the atmospheric environment is collected, stored, and databased, and the fine dust concentration of the joints with multiple sensor equipment is linked t"&amp;"o the seismic detection information, noise status information or air quality status information. When an emergency situation that exceeds the standard value, the information is classified by the level classification to the authorized user terminal, and th"&amp;"e emergency is cope with the air purifier running. Area, GAS transmission obstruction information to the operating server forced execution; remote control of sensor equipment, accept and execute the driver application (APP) through the operation server, a"&amp;"nd Noise status information or air quality according to the atmospheric environment through IoT (Internet of Things) remotely and install the air purifier in the space in the space or send the corresponding driving signal by manual storage according to th"&amp;"e status information. The database stored in the operating server in the operation server is based on information that is based on emergency information, such as fine dust status information, status information based on earthquake detection, noise status "&amp;"information, or air quality status information of the air quality state in the emergency situation. The sensor unit and its characteristics are that they are configured as: manager terminal, which monitors the overall operation required by the monitoring "&amp;"driving operating server or is executed by the manager to respond to the emergency situation in the locking device.
  Therefore, the present invention detects and collects seismic, fine dust, noise, or air condition information through the driving senso"&amp;"r equipment including seismic, fine dust, noise, or air quality sensor, thereby improving life safety through data management and informatization. Promote the promotion of machine communication and provide the effect that can be able to deal with remotely"&amp;" in real time.")</f>
        <v>The present invention involves a life security management system based on the Internet of Things. Its configuration is fixed in schools and public buildings. The driver of each sensor unit is used to detect slight dust, according to the wavelength of vibration, noise conditions, and air conditions in the space. Collect the dust concentration, detect the predetermined earthquake or larger earthquake, detect and collect noise status, and sensor devices of the air quality state of each sensor unit that drives programming; Status information, noise status information, or the air quality status information of the atmospheric environment is collected, stored, and databased, and the fine dust concentration of the joints with multiple sensor equipment is linked to the seismic detection information, noise status information or air quality status information. When an emergency situation that exceeds the standard value, the information is classified by the level classification to the authorized user terminal, and the emergency is cope with the air purifier running. Area, GAS transmission obstruction information to the operating server forced execution; remote control of sensor equipment, accept and execute the driver application (APP) through the operation server, and Noise status information or air quality according to the atmospheric environment through IoT (Internet of Things) remotely and install the air purifier in the space in the space or send the corresponding driving signal by manual storage according to the status information. The database stored in the operating server in the operation server is based on information that is based on emergency information, such as fine dust status information, status information based on earthquake detection, noise status information, or air quality status information of the air quality state in the emergency situation. The sensor unit and its characteristics are that they are configured as: manager terminal, which monitors the overall operation required by the monitoring driving operating server or is executed by the manager to respond to the emergency situation in the locking device.
  Therefore, the present invention detects and collects seismic, fine dust, noise, or air condition information through the driving sensor equipment including seismic, fine dust, noise, or air quality sensor, thereby improving life safety through data management and informatization. Promote the promotion of machine communication and provide the effect that can be able to deal with remotely in real time.</v>
      </c>
      <c r="D2562" s="6" t="s">
        <v>7235</v>
      </c>
      <c r="E2562" s="4" t="str">
        <f ca="1">IFERROR(__xludf.DUMMYFUNCTION("GOOGLETRANSLATE(D2562,""auto"",""en"")"),"Life security management system based on the Internet of Things")</f>
        <v>Life security management system based on the Internet of Things</v>
      </c>
    </row>
    <row r="2563" spans="1:5" ht="15" x14ac:dyDescent="0.25">
      <c r="A2563" s="5" t="s">
        <v>7236</v>
      </c>
      <c r="B2563" s="6" t="s">
        <v>7237</v>
      </c>
      <c r="C2563" s="3" t="str">
        <f ca="1">IFERROR(__xludf.DUMMYFUNCTION("GOOGLETRANSLATE(B2563,""auto"",""en"")"),"The invention discloses a smart data collection method for table tennis games, including: S1: competition cutting, and the whole table tennis game video is cut into a game that includes only each round. Each round of competitions in S1 adopts the convolut"&amp;"ional neural network for video detection and cutting for feature extraction, and further segment the fragment of each round of competition according to the extraction features and get the player skeleton; for video detection and cutting The convolutional "&amp;"neural network is a characteristic extraction module with OpenPose as a feature, adding two -way long and short -term memory network, long and short -term memory network, full connection layer and SoftMAX classification layer to achieve the classification"&amp;" function of timing video data; S3: hitting the ball detection, that is, for the place for the place The chain sound of the game is tested at the stage of the game, calculating the number of hitting and the time of hitting the ball. The method of the pres"&amp;"ent invention automatically detects and cut the round of table tennis games, and the accuracy of the data obtained is high.")</f>
        <v>The invention discloses a smart data collection method for table tennis games, including: S1: competition cutting, and the whole table tennis game video is cut into a game that includes only each round. Each round of competitions in S1 adopts the convolutional neural network for video detection and cutting for feature extraction, and further segment the fragment of each round of competition according to the extraction features and get the player skeleton; for video detection and cutting The convolutional neural network is a characteristic extraction module with OpenPose as a feature, adding two -way long and short -term memory network, long and short -term memory network, full connection layer and SoftMAX classification layer to achieve the classification function of timing video data; S3: hitting the ball detection, that is, for the place for the place The chain sound of the game is tested at the stage of the game, calculating the number of hitting and the time of hitting the ball. The method of the present invention automatically detects and cut the round of table tennis games, and the accuracy of the data obtained is high.</v>
      </c>
      <c r="D2563" s="6" t="s">
        <v>7238</v>
      </c>
      <c r="E2563" s="4" t="str">
        <f ca="1">IFERROR(__xludf.DUMMYFUNCTION("GOOGLETRANSLATE(D2563,""auto"",""en"")"),"Smart data collection method of a table tennis game video")</f>
        <v>Smart data collection method of a table tennis game video</v>
      </c>
    </row>
    <row r="2564" spans="1:5" ht="15" x14ac:dyDescent="0.25">
      <c r="A2564" s="5" t="s">
        <v>7239</v>
      </c>
      <c r="B2564" s="6" t="s">
        <v>7240</v>
      </c>
      <c r="C2564" s="3" t="str">
        <f ca="1">IFERROR(__xludf.DUMMYFUNCTION("GOOGLETRANSLATE(B2564,""auto"",""en"")"),"1. The name of the product of the design of the product: The technical statistics of the volleyball game of the volleyball game user interface display screen panel.
 2. Design products for designing products: Record technical statistics such as players'"&amp;" personal serve, blocking, deduction, defense, pick -up, passing, passing, and other technical statistics. Perform data portable processing.
 3. Design of design products in this exterior: lies in patterns.
 4. Pictures or photos that can most indicat"&amp;"e design points: main view.
 5. The purpose of the graphical user interface: The graphic user interface in the screen is used to recording the human -machine interaction interface for volleyball games.
 The main view is the main interface of the techn"&amp;"ical statistics of volleyball games. Click the keys in it to enter the next level of operation interface; click the ""Settings"" icon above the main view to get the interface change chart 1, click the ""connection"" button below to connect to the formal g"&amp;"ame. Server, click ""Disglement Connection"" to disconnect the server. Click the ""Exercise"" button to enter the practice mode. After selecting, click directly to the upper left corner to return to the button, enter the interface to select the team, prac"&amp;"tice the manipulation record; click the ""acquisition in the interface change diagram 1"" acquisition 1 All data ""gets the interface change diagram 2, you can choose the team you want to record, and choose to enter the main interface.
 Click the comman"&amp;"d input column below the main view to switch to the voice volleyball technology statistics system interface shown in the interface change diagram 3.
 Click the ""Data Analysis"" icon above the main view to get the interface change diagram 4.
 Click th"&amp;"e ""line diagram"" icon above the main view to get the interface change diagram 5. The vertical screen can see the route of the player's serve and the ball.")</f>
        <v>1. The name of the product of the design of the product: The technical statistics of the volleyball game of the volleyball game user interface display screen panel.
 2. Design products for designing products: Record technical statistics such as players' personal serve, blocking, deduction, defense, pick -up, passing, passing, and other technical statistics. Perform data portable processing.
 3. Design of design products in this exterior: lies in patterns.
 4. Pictures or photos that can most indicate design points: main view.
 5. The purpose of the graphical user interface: The graphic user interface in the screen is used to recording the human -machine interaction interface for volleyball games.
 The main view is the main interface of the technical statistics of volleyball games. Click the keys in it to enter the next level of operation interface; click the "Settings" icon above the main view to get the interface change chart 1, click the "connection" button below to connect to the formal game. Server, click "Disglement Connection" to disconnect the server. Click the "Exercise" button to enter the practice mode. After selecting, click directly to the upper left corner to return to the button, enter the interface to select the team, practice the manipulation record; click the "acquisition in the interface change diagram 1" acquisition 1 All data "gets the interface change diagram 2, you can choose the team you want to record, and choose to enter the main interface.
 Click the command input column below the main view to switch to the voice volleyball technology statistics system interface shown in the interface change diagram 3.
 Click the "Data Analysis" icon above the main view to get the interface change diagram 4.
 Click the "line diagram" icon above the main view to get the interface change diagram 5. The vertical screen can see the route of the player's serve and the ball.</v>
      </c>
      <c r="D2564" s="6" t="s">
        <v>7241</v>
      </c>
      <c r="E2564" s="4" t="str">
        <f ca="1">IFERROR(__xludf.DUMMYFUNCTION("GOOGLETRANSLATE(D2564,""auto"",""en"")"),"Volleyball competition technology statistics graphic user interface display screen panel")</f>
        <v>Volleyball competition technology statistics graphic user interface display screen panel</v>
      </c>
    </row>
    <row r="2565" spans="1:5" ht="15" x14ac:dyDescent="0.25">
      <c r="A2565" s="5" t="s">
        <v>7242</v>
      </c>
      <c r="B2565" s="6" t="s">
        <v>7243</v>
      </c>
      <c r="C2565" s="3" t="str">
        <f ca="1">IFERROR(__xludf.DUMMYFUNCTION("GOOGLETRANSLATE(B2565,""auto"",""en"")"),"1. The name of the product of the design of the product: The electronic record graphic user interface display screen panel of the volleyball competition.
 2. Design products in this exterior: operate this software through tablets to achieve electronic s"&amp;"cores, round records, event records and report output of volleyball games, which can be used for portable processing for mobile phones and tablets.
 3. Design of design products in this exterior: lies in patterns.
 4. Pictures or photos that can most "&amp;"indicate design points: main view.
 5. The purpose of the graphical user interface: The graphic user interface in the screen is used to recording the human -machine interaction interface for volleyball games.
 The main view is the login operation inte"&amp;"rface of the electronic records of volleyball games. Click the button in it to enter the next level of operation interface; click the ""Team"" button in the main view to get the interface variable chart 1 enter the team introduction and setting interface;"&amp;" click The ""Start Competition"" button in the main view, enter the interface change chart 2, can create a new game; select the new competition in the interface change chart 2 and click the ""Next"" button to get the enter interface variable chart 3, sele"&amp;"ct the corresponding event, click OK load Entering the interface variable chart 4 can be set for the event information; after setting, click OK to enter the interface variable chart 5.
 Click the ""Team"" in the interface transformation diagram 5 to ent"&amp;"er the interface change picture 6 setting the captain, free man, the two teams set up and enter the interface variation diagram 7, click the generating button of the interface transformation diagram 7, enter the interface change map 8 Start the interface."&amp;"
 Click the selection of the player button on the interface change diagram 8, enter the interface variable chart 9, set the launch list, click to complete the interface change chart 10, click the start of the game, enter the interface variable chart 11 "&amp;"set the game time, click OK enter the interface variable chart 12 Start the game.
 Click the ""pause"" button under each team to enter the pause interface shown in the interface change figure 13 under the team of each team; click the ""injury"" icon bel"&amp;"ow the interface variable chart 12 as shown in the interface change figure 14 The injured record interface; click the ""penalty"" icon below 12 of the interface transformation diagram to enter the penalty record interface shown in the interface change gra"&amp;"ph 15; click the ""substitution"" icon under each team to enter the interface of each team to enter the interface change as shown in the figure. The player replacement interface on the field shown in FIG. 16, select the ""button to enter the"" button to e"&amp;"nter the interface changes as shown in Figure 17 shown in Figure 17 to replace the confirmation interface; click the interface change picture graph of the 12 player ""Captain"" icon ""icon"" icon ""icon"" icon ""icon"" icon "" Enter the interface changes "&amp;"figure 18 show the interim captain's identification interface on the field; click the ""Liberty"" icon ""icon"" icon ""icon"" below the team of the interface change graph of the interface. Figure 12 The ""replacement of the icon"" of the ""replacement of "&amp;"the free man"" below the team to enter the 20 competition time of the interface changes. The system will pop up the end of the game as shown in the game 21.")</f>
        <v>1. The name of the product of the design of the product: The electronic record graphic user interface display screen panel of the volleyball competition.
 2. Design products in this exterior: operate this software through tablets to achieve electronic scores, round records, event records and report output of volleyball games, which can be used for portable processing for mobile phones and tablets.
 3. Design of design products in this exterior: lies in patterns.
 4. Pictures or photos that can most indicate design points: main view.
 5. The purpose of the graphical user interface: The graphic user interface in the screen is used to recording the human -machine interaction interface for volleyball games.
 The main view is the login operation interface of the electronic records of volleyball games. Click the button in it to enter the next level of operation interface; click the "Team" button in the main view to get the interface variable chart 1 enter the team introduction and setting interface; click The "Start Competition" button in the main view, enter the interface change chart 2, can create a new game; select the new competition in the interface change chart 2 and click the "Next" button to get the enter interface variable chart 3, select the corresponding event, click OK load Entering the interface variable chart 4 can be set for the event information; after setting, click OK to enter the interface variable chart 5.
 Click the "Team" in the interface transformation diagram 5 to enter the interface change picture 6 setting the captain, free man, the two teams set up and enter the interface variation diagram 7, click the generating button of the interface transformation diagram 7, enter the interface change map 8 Start the interface.
 Click the selection of the player button on the interface change diagram 8, enter the interface variable chart 9, set the launch list, click to complete the interface change chart 10, click the start of the game, enter the interface variable chart 11 set the game time, click OK enter the interface variable chart 12 Start the game.
 Click the "pause" button under each team to enter the pause interface shown in the interface change figure 13 under the team of each team; click the "injury" icon below the interface variable chart 12 as shown in the interface change figure 14 The injured record interface; click the "penalty" icon below 12 of the interface transformation diagram to enter the penalty record interface shown in the interface change graph 15; click the "substitution" icon under each team to enter the interface of each team to enter the interface change as shown in the figure. The player replacement interface on the field shown in FIG. 16, select the "button to enter the" button to enter the interface changes as shown in Figure 17 shown in Figure 17 to replace the confirmation interface; click the interface change picture graph of the 12 player "Captain" icon "icon" icon "icon" icon "icon" icon " Enter the interface changes figure 18 show the interim captain's identification interface on the field; click the "Liberty" icon "icon" icon "icon" below the team of the interface change graph of the interface. Figure 12 The "replacement of the icon" of the "replacement of the free man" below the team to enter the 20 competition time of the interface changes. The system will pop up the end of the game as shown in the game 21.</v>
      </c>
      <c r="D2565" s="6" t="s">
        <v>7244</v>
      </c>
      <c r="E2565" s="4" t="str">
        <f ca="1">IFERROR(__xludf.DUMMYFUNCTION("GOOGLETRANSLATE(D2565,""auto"",""en"")"),"Volleyball competition electronic record graphics user interface display screen panel")</f>
        <v>Volleyball competition electronic record graphics user interface display screen panel</v>
      </c>
    </row>
    <row r="2566" spans="1:5" ht="15" x14ac:dyDescent="0.25">
      <c r="A2566" s="5" t="s">
        <v>7245</v>
      </c>
      <c r="B2566" s="6" t="s">
        <v>7246</v>
      </c>
      <c r="C2566" s="3" t="str">
        <f ca="1">IFERROR(__xludf.DUMMYFUNCTION("GOOGLETRANSLATE(B2566,""auto"",""en"")"),"1. Design product name: Hand ball electronic record graphic user interface display screen panel.
 2. The purpose of designing products in this appearance: It is used to record the process of handball, player data, team data, personnel replacement and ot"&amp;"her events, and carry out data portable processing. The display screen panel is used for mobile phones and tablets.
 3. Design of design products in this exterior: lies in patterns.
 4. Pictures or photos that can best show design points: Figure 1 of "&amp;"the interface change state.
 5. The purpose of the graphical user interface: The graphic user interface in the screen is used to record the human -machine interaction interface of the handball game.
 The main view is the login interface of the electro"&amp;"nic record of the handball game. Click the ""Start Game"" button in it to enter the main interface of the handball operation as shown in the interface change state. Get the interface change status figure 2 and interface change status Figure 3 respectively"&amp;".
 Click the ""Time"" icon below the interface change state.
 Click the interface change state Figure 1 The square serial number of the player serial number to obtain the handball player as shown in the interface change state as shown in the interface"&amp;" changes.")</f>
        <v>1. Design product name: Hand ball electronic record graphic user interface display screen panel.
 2. The purpose of designing products in this appearance: It is used to record the process of handball, player data, team data, personnel replacement and other events, and carry out data portable processing. The display screen panel is used for mobile phones and tablets.
 3. Design of design products in this exterior: lies in patterns.
 4. Pictures or photos that can best show design points: Figure 1 of the interface change state.
 5. The purpose of the graphical user interface: The graphic user interface in the screen is used to record the human -machine interaction interface of the handball game.
 The main view is the login interface of the electronic record of the handball game. Click the "Start Game" button in it to enter the main interface of the handball operation as shown in the interface change state. Get the interface change status figure 2 and interface change status Figure 3 respectively.
 Click the "Time" icon below the interface change state.
 Click the interface change state Figure 1 The square serial number of the player serial number to obtain the handball player as shown in the interface change state as shown in the interface changes.</v>
      </c>
      <c r="D2566" s="6" t="s">
        <v>7247</v>
      </c>
      <c r="E2566" s="4" t="str">
        <f ca="1">IFERROR(__xludf.DUMMYFUNCTION("GOOGLETRANSLATE(D2566,""auto"",""en"")"),"Hand -ball electronic record graphical user interface display screen panel")</f>
        <v>Hand -ball electronic record graphical user interface display screen panel</v>
      </c>
    </row>
    <row r="2567" spans="1:5" ht="15" x14ac:dyDescent="0.25">
      <c r="A2567" s="5" t="s">
        <v>7248</v>
      </c>
      <c r="B2567" s="6" t="s">
        <v>4102</v>
      </c>
      <c r="C2567" s="3" t="str">
        <f ca="1">IFERROR(__xludf.DUMMYFUNCTION("GOOGLETRANSLATE(B2567,""auto"",""en"")"),"The fish monitoring system deployed in specific areas to obtain fish images is described. Neural networks and machine learning technology can be implemented to regularly train fish monitoring systems and generate monitoring mode to capture high -quality i"&amp;"mages of fish according to the conditions of the determined area. When the conditions that match the monitoring mode are detected, the camera system can be configured according to the settings (such as position, perspective) specified by the monitoring mo"&amp;"de. Each monitoring mode can be associated with one or more fish activities, such as sleeping, eating, swimming alone, and one or more parameters, such as time, location and fish types.")</f>
        <v>The fish monitoring system deployed in specific areas to obtain fish images is described. Neural networks and machine learning technology can be implemented to regularly train fish monitoring systems and generate monitoring mode to capture high -quality images of fish according to the conditions of the determined area. When the conditions that match the monitoring mode are detected, the camera system can be configured according to the settings (such as position, perspective) specified by the monitoring mode. Each monitoring mode can be associated with one or more fish activities, such as sleeping, eating, swimming alone, and one or more parameters, such as time, location and fish types.</v>
      </c>
      <c r="D2567" s="6" t="s">
        <v>4103</v>
      </c>
      <c r="E2567" s="4" t="str">
        <f ca="1">IFERROR(__xludf.DUMMYFUNCTION("GOOGLETRANSLATE(D2567,""auto"",""en"")"),"Keep fish measurement station")</f>
        <v>Keep fish measurement station</v>
      </c>
    </row>
    <row r="2568" spans="1:5" ht="15" x14ac:dyDescent="0.25">
      <c r="A2568" s="5" t="s">
        <v>7249</v>
      </c>
      <c r="B2568" s="6" t="s">
        <v>7250</v>
      </c>
      <c r="C2568" s="3" t="str">
        <f ca="1">IFERROR(__xludf.DUMMYFUNCTION("GOOGLETRANSLATE(B2568,""auto"",""en"")"),"This public embodiment disclosed the system and methods of human -machine battle. A specific implementation method of this system includes: at least one set of intelligent wearable devices is configured to detect the sports information of wearers and rack"&amp;"ets through sensor technology and muscle electricity technology; After the information is encoded, the communication module located on the robot is sent; the receiving module on the robot is configured to be configured to the information sent by the recei"&amp;"ving module and decodes the movement information; at least one robot is configured to be configured to motion information and preset motion modes based on motion information and presets. Generate corresponding instructions and execute. The implementation "&amp;"method realizes the long -range battle between the two users in different venues, and is proposed by deep learning training model output tactics. Users can also set the robot as an independent mode to make the robot simulate the style of specific athletes"&amp;" and play against the user.")</f>
        <v>This public embodiment disclosed the system and methods of human -machine battle. A specific implementation method of this system includes: at least one set of intelligent wearable devices is configured to detect the sports information of wearers and rackets through sensor technology and muscle electricity technology; After the information is encoded, the communication module located on the robot is sent; the receiving module on the robot is configured to be configured to the information sent by the receiving module and decodes the movement information; at least one robot is configured to be configured to motion information and preset motion modes based on motion information and presets. Generate corresponding instructions and execute. The implementation method realizes the long -range battle between the two users in different venues, and is proposed by deep learning training model output tactics. Users can also set the robot as an independent mode to make the robot simulate the style of specific athletes and play against the user.</v>
      </c>
      <c r="D2568" s="6" t="s">
        <v>7251</v>
      </c>
      <c r="E2568" s="4" t="str">
        <f ca="1">IFERROR(__xludf.DUMMYFUNCTION("GOOGLETRANSLATE(D2568,""auto"",""en"")"),"The system and method of man -machine battle")</f>
        <v>The system and method of man -machine battle</v>
      </c>
    </row>
    <row r="2569" spans="1:5" ht="15" x14ac:dyDescent="0.25">
      <c r="A2569" s="5" t="s">
        <v>7252</v>
      </c>
      <c r="B2569" s="6" t="s">
        <v>7253</v>
      </c>
      <c r="C2569" s="3" t="str">
        <f ca="1">IFERROR(__xludf.DUMMYFUNCTION("GOOGLETRANSLATE(B2569,""auto"",""en"")"),"A method of determining a treadmill heteronic recognition model, the recognition method and recognition system of the treadmill disagreement, and based on the short -term and stable characteristics of the voice signal, the time -frequency characteristics "&amp;"of the collection of vibration signals are extracted. For the disadvantages of a single feature that cannot fully characterize the fault characteristics, the Merr's inversion coefficient, the Melpu spectrum, and the spectrum chroma are used as the fusion "&amp;"characteristics of the heteroic sound detection. And through the means of amplification of neural networks and audio data, increase the amount of training data and enhance algorithm robustness. Using multi -layer convolutional neural network (CNN) has the"&amp;" characteristics of local perception, power sharing, pooling and dimension reduction, etc., extracts the high -level characteristics of vibration signals, focuses on local information of fusion features, and finally uses support vector machine (SVM) as vo"&amp;"lumes. The output layer of the accumulated network improves the recognition effect of the CNN network in fault diagnosis.")</f>
        <v>A method of determining a treadmill heteronic recognition model, the recognition method and recognition system of the treadmill disagreement, and based on the short -term and stable characteristics of the voice signal, the time -frequency characteristics of the collection of vibration signals are extracted. For the disadvantages of a single feature that cannot fully characterize the fault characteristics, the Merr's inversion coefficient, the Melpu spectrum, and the spectrum chroma are used as the fusion characteristics of the heteroic sound detection. And through the means of amplification of neural networks and audio data, increase the amount of training data and enhance algorithm robustness. Using multi -layer convolutional neural network (CNN) has the characteristics of local perception, power sharing, pooling and dimension reduction, etc., extracts the high -level characteristics of vibration signals, focuses on local information of fusion features, and finally uses support vector machine (SVM) as volumes. The output layer of the accumulated network improves the recognition effect of the CNN network in fault diagnosis.</v>
      </c>
      <c r="D2569" s="6" t="s">
        <v>7254</v>
      </c>
      <c r="E2569" s="4" t="str">
        <f ca="1">IFERROR(__xludf.DUMMYFUNCTION("GOOGLETRANSLATE(D2569,""auto"",""en"")"),"Identification of the identification model of the treadmill sound disagreement model, identification method, and system")</f>
        <v>Identification of the identification model of the treadmill sound disagreement model, identification method, and system</v>
      </c>
    </row>
    <row r="2570" spans="1:5" ht="15" x14ac:dyDescent="0.25">
      <c r="A2570" s="5" t="s">
        <v>7255</v>
      </c>
      <c r="B2570" s="6" t="s">
        <v>7256</v>
      </c>
      <c r="C2570" s="3" t="str">
        <f ca="1">IFERROR(__xludf.DUMMYFUNCTION("GOOGLETRANSLATE(B2570,""auto"",""en"")"),"The present invention provides a kind of information to provide devices, etc., which can provide useful information about the game objects to users who visit the game venue.
  Get the unit (210) to obtain the horse racing images taken by the user termin"&amp;"al from the user terminal. Identification Unit 230 Based on the race race based on the obtained image recognition. Analysis unit 250 analysis includes the input data of the official paddock image identified by the horse racing, and obtains the score of th"&amp;"e horse racing. Provide unit 260 to provide the exported score value to the user terminal, and superimposed the score value on the display unit of the user terminal that displays the capture image.
  [Select Figure] Figure 3")</f>
        <v>The present invention provides a kind of information to provide devices, etc., which can provide useful information about the game objects to users who visit the game venue.
  Get the unit (210) to obtain the horse racing images taken by the user terminal from the user terminal. Identification Unit 230 Based on the race race based on the obtained image recognition. Analysis unit 250 analysis includes the input data of the official paddock image identified by the horse racing, and obtains the score of the horse racing. Provide unit 260 to provide the exported score value to the user terminal, and superimposed the score value on the display unit of the user terminal that displays the capture image.
  [Select Figure] Figure 3</v>
      </c>
      <c r="D2570" s="6" t="s">
        <v>7257</v>
      </c>
      <c r="E2570" s="4" t="str">
        <f ca="1">IFERROR(__xludf.DUMMYFUNCTION("GOOGLETRANSLATE(D2570,""auto"",""en"")"),"Information provides devices, information provision methods and programs")</f>
        <v>Information provides devices, information provision methods and programs</v>
      </c>
    </row>
    <row r="2571" spans="1:5" ht="15" x14ac:dyDescent="0.25">
      <c r="A2571" s="5" t="s">
        <v>7258</v>
      </c>
      <c r="B2571" s="6" t="s">
        <v>7259</v>
      </c>
      <c r="C2571" s="3" t="str">
        <f ca="1">IFERROR(__xludf.DUMMYFUNCTION("GOOGLETRANSLATE(B2571,""auto"",""en"")"),"The bee singer system enabled by the Internet of Things determines the winner of the Q &amp; A competition. The present invention consists of a combination of 'n' individual quiz bee, local server, Wi-Fi, and results display units. These customized question a"&amp;"nswers are connected to the local server via Wi-Fi. Local server recognition the first person to trigger bee. The necessary information such as the person who first triggers the person who triggers the beeuris will be printed on the results display. The s"&amp;"ystem can monitor the information in real time to determine who pressed the bee cryer first.")</f>
        <v>The bee singer system enabled by the Internet of Things determines the winner of the Q &amp; A competition. The present invention consists of a combination of 'n' individual quiz bee, local server, Wi-Fi, and results display units. These customized question answers are connected to the local server via Wi-Fi. Local server recognition the first person to trigger bee. The necessary information such as the person who first triggers the person who triggers the beeuris will be printed on the results display. The system can monitor the information in real time to determine who pressed the bee cryer first.</v>
      </c>
      <c r="D2571" s="6" t="s">
        <v>7260</v>
      </c>
      <c r="E2571" s="4" t="str">
        <f ca="1">IFERROR(__xludf.DUMMYFUNCTION("GOOGLETRANSLATE(D2571,""auto"",""en"")"),"Use the Internet of Things Q &amp; A game beeur")</f>
        <v>Use the Internet of Things Q &amp; A game beeur</v>
      </c>
    </row>
    <row r="2572" spans="1:5" ht="15" x14ac:dyDescent="0.25">
      <c r="A2572" s="5" t="s">
        <v>7261</v>
      </c>
      <c r="B2572" s="6" t="s">
        <v>518</v>
      </c>
      <c r="C2572" s="3" t="str">
        <f ca="1">IFERROR(__xludf.DUMMYFUNCTION("GOOGLETRANSLATE(B2572,""auto"",""en"")"),"-")</f>
        <v>-</v>
      </c>
      <c r="D2572" s="6" t="s">
        <v>7262</v>
      </c>
      <c r="E2572" s="4" t="str">
        <f ca="1">IFERROR(__xludf.DUMMYFUNCTION("GOOGLETRANSLATE(D2572,""auto"",""en"")"),"Based on artificial intelligence timing, imaging, and tracking systems, face recognition technology is used for the participating sports event market")</f>
        <v>Based on artificial intelligence timing, imaging, and tracking systems, face recognition technology is used for the participating sports event market</v>
      </c>
    </row>
    <row r="2573" spans="1:5" ht="15" x14ac:dyDescent="0.25">
      <c r="A2573" s="5" t="s">
        <v>7263</v>
      </c>
      <c r="B2573" s="6" t="s">
        <v>7264</v>
      </c>
      <c r="C2573" s="3" t="str">
        <f ca="1">IFERROR(__xludf.DUMMYFUNCTION("GOOGLETRANSLATE(B2573,""auto"",""en"")"),"1. Design product name: The graphic user interface used for display screen panels for display screen panels.
 2. The purpose of designing products here: The display screen panel is used to display the graphical user interface and/or running program and/"&amp;"or communication.
 3. Design of the design of the product in appearance: lies in the graphic user interface.
 4. Pictures or photos that can most indicate design points: main view.
 5. The purpose of the graphic user interface: It is used to display"&amp;" information about interest points when selecting interest points, such as coffee shops; more generally, the graphic user interface is used for human -machine interaction and realization of display screen panels. It can also be used to locate information "&amp;"on the map, navigation, viewing, directional location or interest point, and/or display positions or interest points on the map, or positioning, navigation, viewing, directional objects, and/or displaying objects in the environment.
 6. Human -machine i"&amp;"nteraction method of graphical user interface: Graphic user interface can be loaded through the graphic user interface or running through the graphic user interface through light strike, click the graphical user interface and/or drag user's fingers.
 7."&amp;" Display screen panel and graphic user interface can be applied to various electronic devices, such as computers, laptops, display devices, communication equipment, multimedia equipment, information terminals, portable communication devices, portable mult"&amp;"imedia devices, portable information terminals, tablet computers, computers, computers, computers, computers, computers, computers, and tablets, computers, and computers, computers, and computers, and computers, computers, and computers, computers, and co"&amp;"mputers, and tablets, computers, and computers, and tablets, computers, and computers, and tablets, computers, and computers, and tablets, computers, and computers, Mobile phones, smartphones, wearable devices, watches, smart watches, fitness monitor, hea"&amp;"dset headphones, personal digital assistants, smart speakers, television, set -top boxes, game systems, including display devices for transportation; The display screen panel is commonly designed, so other views are omitted.")</f>
        <v>1. Design product name: The graphic user interface used for display screen panels for display screen panels.
 2. The purpose of designing products here: The display screen panel is used to display the graphical user interface and/or running program and/or communication.
 3. Design of the design of the product in appearance: lies in the graphic user interface.
 4. Pictures or photos that can most indicate design points: main view.
 5. The purpose of the graphic user interface: It is used to display information about interest points when selecting interest points, such as coffee shops; more generally, the graphic user interface is used for human -machine interaction and realization of display screen panels. It can also be used to locate information on the map, navigation, viewing, directional location or interest point, and/or display positions or interest points on the map, or positioning, navigation, viewing, directional objects, and/or displaying objects in the environment.
 6. Human -machine interaction method of graphical user interface: Graphic user interface can be loaded through the graphic user interface or running through the graphic user interface through light strike, click the graphical user interface and/or drag user's fingers.
 7. Display screen panel and graphic user interface can be applied to various electronic devices, such as computers, laptops, display devices, communication equipment, multimedia equipment, information terminals, portable communication devices, portable multimedia devices, portable information terminals, tablet computers, computers, computers, computers, computers, computers, computers, and tablets, computers, and computers, computers, and computers, and computers, computers, and computers, computers, and computers, and tablets, computers, and computers, and tablets, computers, and computers, and tablets, computers, and computers, and tablets, computers, and computers, Mobile phones, smartphones, wearable devices, watches, smart watches, fitness monitor, headset headphones, personal digital assistants, smart speakers, television, set -top boxes, game systems, including display devices for transportation; The display screen panel is commonly designed, so other views are omitted.</v>
      </c>
      <c r="D2573" s="6" t="s">
        <v>7265</v>
      </c>
      <c r="E2573" s="4" t="str">
        <f ca="1">IFERROR(__xludf.DUMMYFUNCTION("GOOGLETRANSLATE(D2573,""auto"",""en"")"),"The graphical user interface used for the display panel for the display panel")</f>
        <v>The graphical user interface used for the display panel for the display panel</v>
      </c>
    </row>
    <row r="2574" spans="1:5" ht="15" x14ac:dyDescent="0.25">
      <c r="A2574" s="5" t="s">
        <v>7266</v>
      </c>
      <c r="B2574" s="6" t="s">
        <v>7267</v>
      </c>
      <c r="C2574" s="3" t="str">
        <f ca="1">IFERROR(__xludf.DUMMYFUNCTION("GOOGLETRANSLATE(B2574,""auto"",""en"")"),"1. Design product name: The graphic user interface for displaying photos for display screen panels.
 2. The purpose of designing products here: The display screen panel is used to display the graphical user interface and/or running program and/or commun"&amp;"ication.
 3. Design of the design of the product in appearance: lies in the graphic user interface.
 4. Pictures or photos that can best show design: Design 1 main view.
 5. Specify design 1 is the basic design.
 6. The purpose of graphical user i"&amp;"nterface: used for human -computer interaction and realizing the function of display screen panels, and can be used to display, organize, organize photos, etc.
 7. Human -computer interaction method of graphical user interface: Graphic user interface ca"&amp;"n interact with the icon in the graphic user interface or the graphical user interface to load another graphical user interface or running application.
 8. The display screen panel and graphic user interface can be applied to have various electronic dev"&amp;"ices, such as computers, laptops, display devices, communication equipment, multimedia equipment, information terminal, portable communication equipment, portable multimedia equipment, portable information terminal, tablet computers , Mobile phone, smartp"&amp;"hone, wearable device, watch, smart watch, fitness monitor, headset headset, personal digital assistant, smart speaker, TV, set -top box, game system, this display device includes display devices for transportation; The display screen panel is commonly de"&amp;"signed, so other views are omitted.")</f>
        <v>1. Design product name: The graphic user interface for displaying photos for display screen panels.
 2. The purpose of designing products here: The display screen panel is used to display the graphical user interface and/or running program and/or communication.
 3. Design of the design of the product in appearance: lies in the graphic user interface.
 4. Pictures or photos that can best show design: Design 1 main view.
 5. Specify design 1 is the basic design.
 6. The purpose of graphical user interface: used for human -computer interaction and realizing the function of display screen panels, and can be used to display, organize, organize photos, etc.
 7. Human -computer interaction method of graphical user interface: Graphic user interface can interact with the icon in the graphic user interface or the graphical user interface to load another graphical user interface or running application.
 8. The display screen panel and graphic user interface can be applied to have various electronic devices, such as computers, laptops, display devices, communication equipment, multimedia equipment, information terminal, portable communication equipment, portable multimedia equipment, portable information terminal, tablet computers , Mobile phone, smartphone, wearable device, watch, smart watch, fitness monitor, headset headset, personal digital assistant, smart speaker, TV, set -top box, game system, this display device includes display devices for transportation; The display screen panel is commonly designed, so other views are omitted.</v>
      </c>
      <c r="D2574" s="6" t="s">
        <v>7268</v>
      </c>
      <c r="E2574" s="4" t="str">
        <f ca="1">IFERROR(__xludf.DUMMYFUNCTION("GOOGLETRANSLATE(D2574,""auto"",""en"")"),"The graphic user interface for display photos for display screen panels")</f>
        <v>The graphic user interface for display photos for display screen panels</v>
      </c>
    </row>
    <row r="2575" spans="1:5" ht="15" x14ac:dyDescent="0.25">
      <c r="A2575" s="5" t="s">
        <v>7269</v>
      </c>
      <c r="B2575" s="6" t="s">
        <v>7270</v>
      </c>
      <c r="C2575" s="3" t="str">
        <f ca="1">IFERROR(__xludf.DUMMYFUNCTION("GOOGLETRANSLATE(B2575,""auto"",""en"")"),"This practical new model provides a multi -functional smart bracelet used in the fitness garden, including electronic wristbands and smart bracelet chip systems built in the electronic wristband. The bracelet chip system includes central processors, heart"&amp;" rate sensors, RFID chips, antenna modules, Bluetooth modules and batteries, the display screen, the heart rate sensor, the RFID chip, the antenna module, the Bluetooth module and the description The battery is connected to the central processor's electri"&amp;"city; it is convenient for users to wear, combined with the Internet of Things and wireless communication technology, integrates access control certification, storage cabinet unlocking, and sports equipment data upload. Use experience.")</f>
        <v>This practical new model provides a multi -functional smart bracelet used in the fitness garden, including electronic wristbands and smart bracelet chip systems built in the electronic wristband. The bracelet chip system includes central processors, heart rate sensors, RFID chips, antenna modules, Bluetooth modules and batteries, the display screen, the heart rate sensor, the RFID chip, the antenna module, the Bluetooth module and the description The battery is connected to the central processor's electricity; it is convenient for users to wear, combined with the Internet of Things and wireless communication technology, integrates access control certification, storage cabinet unlocking, and sports equipment data upload. Use experience.</v>
      </c>
      <c r="D2575" s="6" t="s">
        <v>7271</v>
      </c>
      <c r="E2575" s="4" t="str">
        <f ca="1">IFERROR(__xludf.DUMMYFUNCTION("GOOGLETRANSLATE(D2575,""auto"",""en"")"),"A multi -functional smart bracelet used in the fitness garden")</f>
        <v>A multi -functional smart bracelet used in the fitness garden</v>
      </c>
    </row>
    <row r="2576" spans="1:5" ht="15" x14ac:dyDescent="0.25">
      <c r="A2576" s="5" t="s">
        <v>7272</v>
      </c>
      <c r="B2576" s="6" t="s">
        <v>7273</v>
      </c>
      <c r="C2576" s="3" t="str">
        <f ca="1">IFERROR(__xludf.DUMMYFUNCTION("GOOGLETRANSLATE(B2576,""auto"",""en"")"),"1. The name of the product in this exterior: The application of the graphic user interface for the display of the screen panel is used for the display screen panel.
 2. Design product use: The display screen panel is used to display the graphical user i"&amp;"nterface.
 3. Design of the design of the product in appearance: lies in the graphic user interface.
 4. Pictures or photos that can most indicate design points: main view.
 5. The purpose of the graphical user interface: shows the high -resolution "&amp;"view of the selection area that the expectations or orientation of the user's selection of the expectations of the user's choice in the window; more generally, the graphic user interface can be used for human -machine interaction and realizing the display"&amp;" screen. The function of the panel can be used to locate, navigation, viewing, and/or interesting points or interest points on the map, or display information on the map, or to locate, navigation, viewing, and/or or directional objects in the environment."&amp;"
 6. Human -computer interaction method of graphical user interface: Graphic user interface can interact with light strike, click the graphic user interface or drag the user's fingers through the graphic user interface to load the subsequent graphical u"&amp;"ser interface or running application.
 7. Change state description of graphic user interface: According to the direction of the expectations of the user, the graphic user interface is changed between the main view and the interface change state.
 8. T"&amp;"he display screen panel and graphic user interface can be applied to computers, laptops, tablets, mobile phones, smartphones, smart phone, smart glasses, watches, smart watches, fitness monitor, headset headphones, smart speakers, TVs, TVs , Top box, game"&amp;" console, display device for cars, GPS devices, navigators; display screen panels are commonly designed, so other views are omitted.")</f>
        <v>1. The name of the product in this exterior: The application of the graphic user interface for the display of the screen panel is used for the display screen panel.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shows the high -resolution view of the selection area that the expectations or orientation of the user's selection of the expectations of the user's choice in the window; more generally, the graphic user interface can be used for human -machine interaction and realizing the display screen. The function of the panel can be used to locate, navigation, viewing, and/or interesting points or interest points on the map, or display information on the map, or to locate, navigation, viewing, and/or or directional objects in the environment.
 6. Human -computer interaction method of graphical user interface: Graphic user interface can interact with light strike, click the graphic user interface or drag the user's fingers through the graphic user interface to load the subsequent graphical user interface or running application.
 7. Change state description of graphic user interface: According to the direction of the expectations of the user, the graphic user interface is changed between the main view and the interface change state.
 8. The display screen panel and graphic user interface can be applied to computers, laptops, tablets, mobile phones, smartphones, smart phone, smart glasses, watches, smart watches, fitness monitor, headset headphones, smart speakers, TVs, TVs , Top box, game console, display device for cars, GPS devices, navigators; display screen panels are commonly designed, so other views are omitted.</v>
      </c>
      <c r="D2576" s="6" t="s">
        <v>7274</v>
      </c>
      <c r="E2576" s="4" t="str">
        <f ca="1">IFERROR(__xludf.DUMMYFUNCTION("GOOGLETRANSLATE(D2576,""auto"",""en"")"),"User interface for the application of the display screen panel in the map")</f>
        <v>User interface for the application of the display screen panel in the map</v>
      </c>
    </row>
    <row r="2577" spans="1:5" ht="15" x14ac:dyDescent="0.25">
      <c r="A2577" s="5" t="s">
        <v>7275</v>
      </c>
      <c r="B2577" s="6" t="s">
        <v>7276</v>
      </c>
      <c r="C2577" s="3" t="str">
        <f ca="1">IFERROR(__xludf.DUMMYFUNCTION("GOOGLETRANSLATE(B2577,""auto"",""en"")"),"1. The name of the product in this exterior: The application of the graphic user interface for the display of the screen panel is used for the display screen panel.
 2. Design product use: The display screen panel is used to display the graphical user i"&amp;"nterface.
 3. Design of the design of the product in appearance: lies in the graphic user interface.
 4. Pictures or photos that can best show design: Design 1 main view.
 5. Specify design 1 is the basic design.
 6. The purpose of the graphic use"&amp;"r interface: used to display the interest point in the field of view on the map when navigation along the road; more generally, the graphic user interface is used for human -machine interaction and realizing the function of display screen panels, and can "&amp;"also be possible. For information for positioning, navigation, viewing, directional location or interest point, and/or display or interest points on the map, or positioning, navigation, viewing, directional objects, and/or displaying objects in the enviro"&amp;"nment; For example, road addresses, buildings, and interest points are variable.
 7. Human -computer interaction method of graphical user interface: Graphic user interface can be loaded through the graphic user interface or running through the graphic u"&amp;"ser interface through light -blow, click the graphical user interface and/or drag the user's fingers.
 8.显示屏幕面板和图形用户界面可以应用于计算机、笔记本电脑、用于汽车的显示装置、GPS装置、导航仪、平板电脑、手机、智能手机、智能手环、智能眼镜、手表、智能手表、 Fitness monitors, headphones, smart speakers, TV, set -top boxes, ga"&amp;"me machines; display screen panels are commonly designed, so they omit other views.")</f>
        <v>1. The name of the product in this exterior: The application of the graphic user interface for the display of the screen panel is used for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 user interface: used to display the interest point in the field of view on the map when navigation along the road; more generally, the graphic user interface is used for human -machine interaction and realizing the function of display screen panels, and can also be possible. For information for positioning, navigation, viewing, directional location or interest point, and/or display or interest points on the map, or positioning, navigation, viewing, directional objects, and/or displaying objects in the environment; For example, road addresses, buildings, and interest points are variable.
 7. Human -computer interaction method of graphical user interface: Graphic user interface can be loaded through the graphic user interface or running through the graphic user interface through light -blow, click the graphical user interface and/or drag the user's fingers.
 8.显示屏幕面板和图形用户界面可以应用于计算机、笔记本电脑、用于汽车的显示装置、GPS装置、导航仪、平板电脑、手机、智能手机、智能手环、智能眼镜、手表、智能手表、 Fitness monitors, headphones, smart speakers, TV, set -top boxes, game machines; display screen panels are commonly designed, so they omit other views.</v>
      </c>
      <c r="D2577" s="6" t="s">
        <v>7274</v>
      </c>
      <c r="E2577" s="4" t="str">
        <f ca="1">IFERROR(__xludf.DUMMYFUNCTION("GOOGLETRANSLATE(D2577,""auto"",""en"")"),"User interface for the application of the display screen panel in the map")</f>
        <v>User interface for the application of the display screen panel in the map</v>
      </c>
    </row>
    <row r="2578" spans="1:5" ht="15" x14ac:dyDescent="0.25">
      <c r="A2578" s="5" t="s">
        <v>7277</v>
      </c>
      <c r="B2578" s="6" t="s">
        <v>7278</v>
      </c>
      <c r="C2578" s="3" t="str">
        <f ca="1">IFERROR(__xludf.DUMMYFUNCTION("GOOGLETRANSLATE(B2578,""auto"",""en"")"),"1. Design product name: Live gift dynamic graphic user interface of the display screen panel.
 2. Design products in this exterior: used to display information.
 3. Design of design products in this appearance: lies in the graphic user interface in th"&amp;"e screen.
 4. Pictures or photos that can best show design: Design 1 main view.
 5. Specify design 1 is the basic design.
 6. The purpose of the graphical user interface: used to display gifts for the live broadcast room.
 7. Human -computer inter"&amp;"action method of graphical user interface: In design 1 to design 2, when the gift giving time in the main view interface is only 3s, the animal button is hidden, the transparency of the relevant information in the middle of , Show the dynamic effect of th"&amp;"e main view to the interface change state Figure 1.
 When the countdown in the interface is over, the countdown control disappears, and the animals in the interface window start to run. When the animals run to the end, the first place will be displayed "&amp;"in the animal position. Show the dynamic effect of the interface change state Figure 1 to the interface changes. Figure 3.
 After the game is over, the winning window pops up above the window. Users can click the ""SKIP"" control in the upper right corn"&amp;"er of the projectile window to close the pop -up window, showing the dynamic effect of the interface change state Figure 3 to the interface changes.
 The upper half of the design interface and the cyclone white areas are content screens, such as user av"&amp;"atars, live content, picture content, etc.
 The fork number in each design interface represents text and/or numbers.
 8. The display screen panel can be used for mobile phones, computers, tablets, car navigators.")</f>
        <v>1. Design product name: Live gift dynamic graphic user interface of the display screen panel.
 2. Design products in this exterior: used to display information.
 3. Design of design products in this appearance: lies in the graphic user interface in the screen.
 4. Pictures or photos that can best show design: Design 1 main view.
 5. Specify design 1 is the basic design.
 6. The purpose of the graphical user interface: used to display gifts for the live broadcast room.
 7. Human -computer interaction method of graphical user interface: In design 1 to design 2, when the gift giving time in the main view interface is only 3s, the animal button is hidden, the transparency of the relevant information in the middle of , Show the dynamic effect of the main view to the interface change state Figure 1.
 When the countdown in the interface is over, the countdown control disappears, and the animals in the interface window start to run. When the animals run to the end, the first place will be displayed in the animal position. Show the dynamic effect of the interface change state Figure 1 to the interface changes. Figure 3.
 After the game is over, the winning window pops up above the window. Users can click the "SKIP" control in the upper right corner of the projectile window to close the pop -up window, showing the dynamic effect of the interface change state Figure 3 to the interface changes.
 The upper half of the design interface and the cyclone white areas are content screens, such as user avatars, live content, picture content, etc.
 The fork number in each design interface represents text and/or numbers.
 8. The display screen panel can be used for mobile phones, computers, tablets, car navigators.</v>
      </c>
      <c r="D2578" s="6" t="s">
        <v>7279</v>
      </c>
      <c r="E2578" s="4" t="str">
        <f ca="1">IFERROR(__xludf.DUMMYFUNCTION("GOOGLETRANSLATE(D2578,""auto"",""en"")"),"Display screen panel live room gift dynamic graphic user interface")</f>
        <v>Display screen panel live room gift dynamic graphic user interface</v>
      </c>
    </row>
    <row r="2579" spans="1:5" ht="15" x14ac:dyDescent="0.25">
      <c r="A2579" s="5" t="s">
        <v>7280</v>
      </c>
      <c r="B2579" s="6" t="s">
        <v>7281</v>
      </c>
      <c r="C2579" s="3" t="str">
        <f ca="1">IFERROR(__xludf.DUMMYFUNCTION("GOOGLETRANSLATE(B2579,""auto"",""en"")"),"1. Design product name: The graphic user interface for the operation keyboard for display screen panels.
 2. Design product use: The display screen panel is used to display the graphical user interface.
 3. Design of the design of the product in appea"&amp;"rance: lies in the graphic user interface.
 4. Pictures or photos that can most indicate design points: main view.
 5. The purpose of the graphical user interface: for human -machine interaction and implementation of the display screen panel, and the "&amp;"graphical user interface can be used to interact with the keyboard and/or to operate the keyboard.
 6. Human -computer interaction method of graphical user interface: Graphic user interface can interact with the graphic user interface on the screen pane"&amp;"l on the screen panel lightly, to load the subsequent graphical user interface or running application.
 7. Change state description of the graphic user interface: By sliding your fingers from a letter, number, or other keys from the main view of the mai"&amp;"n view to the interface change state in the interface. The appearance of the interface is changed between the main view and the interface change state.
 8. The display screen panel and graphic user interface can be applied to computers, laptops, tablets"&amp;", mobile phones, smart bracelets, smart glasses, watches, fitness monitor, headset headphones, personal digital assistants, smart speakers, TV, set -top boxes , Game console; display screen panels are commonly designed, so omitted other views.")</f>
        <v>1. Design product name: The graphic user interface for the operation keyboard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the graphical user interface can be used to interact with the keyboard and/or to operate the keyboard.
 6. Human -computer interaction method of graphical user interface: Graphic user interface can interact with the graphic user interface on the screen panel on the screen panel lightly, to load the subsequent graphical user interface or running application.
 7. Change state description of the graphic user interface: By sliding your fingers from a letter, number, or other keys from the main view of the main view to the interface change state in the interface. The appearance of the interface is changed between the main view and the interface change state.
 8. The display screen panel and graphic user interface can be applied to computers, laptops, tablets, mobile phones, smart bracelets, smart glasses, watches, fitness monitor, headset headphones, personal digital assistants, smart speakers, TV, set -top boxes , Game console; display screen panels are commonly designed, so omitted other views.</v>
      </c>
      <c r="D2579" s="6" t="s">
        <v>7282</v>
      </c>
      <c r="E2579" s="4" t="str">
        <f ca="1">IFERROR(__xludf.DUMMYFUNCTION("GOOGLETRANSLATE(D2579,""auto"",""en"")"),"The graphical user interface for operating keyboards for display screen panels")</f>
        <v>The graphical user interface for operating keyboards for display screen panels</v>
      </c>
    </row>
    <row r="2580" spans="1:5" ht="15" x14ac:dyDescent="0.25">
      <c r="A2580" s="5" t="s">
        <v>7283</v>
      </c>
      <c r="B2580" s="6" t="s">
        <v>7284</v>
      </c>
      <c r="C2580" s="3" t="str">
        <f ca="1">IFERROR(__xludf.DUMMYFUNCTION("GOOGLETRANSLATE(B2580,""auto"",""en"")"),"This utility model involves the technical field of intelligent monitoring devices, and an artificial intelligence monitoring device that is convenient for installation, including table tennis tables and two intelligent monitoring machines. The monitoring "&amp;"machine is connected to the installation mechanism. The installation mechanism includes thread rods, sliders, two thread holes, two slide holes and two fixed plates. The boards are set on both sides of the table tennis table. The two thread holes are open"&amp;"ed on the corresponding fixed board. The thread rod passes through the threaded hole and is connected to the threaded thread. Set up above. This utility model can quickly install the intelligent monitoring device on the blocking network of the table tenni"&amp;"s table. There is no additional occupation of table tennis countertops. Players' sight will not be blocked and will not block the normal forward route of table tennis.")</f>
        <v>This utility model involves the technical field of intelligent monitoring devices, and an artificial intelligence monitoring device that is convenient for installation, including table tennis tables and two intelligent monitoring machines. The monitoring machine is connected to the installation mechanism. The installation mechanism includes thread rods, sliders, two thread holes, two slide holes and two fixed plates. The boards are set on both sides of the table tennis table. The two thread holes are opened on the corresponding fixed board. The thread rod passes through the threaded hole and is connected to the threaded thread. Set up above. This utility model can quickly install the intelligent monitoring device on the blocking network of the table tennis table. There is no additional occupation of table tennis countertops. Players' sight will not be blocked and will not block the normal forward route of table tennis.</v>
      </c>
      <c r="D2580" s="6" t="s">
        <v>4896</v>
      </c>
      <c r="E2580" s="4" t="str">
        <f ca="1">IFERROR(__xludf.DUMMYFUNCTION("GOOGLETRANSLATE(D2580,""auto"",""en"")"),"An artificial intelligence monitoring device that is easy to install")</f>
        <v>An artificial intelligence monitoring device that is easy to install</v>
      </c>
    </row>
    <row r="2581" spans="1:5" ht="15" x14ac:dyDescent="0.25">
      <c r="A2581" s="5" t="s">
        <v>7285</v>
      </c>
      <c r="B2581" s="6" t="s">
        <v>7286</v>
      </c>
      <c r="C2581" s="3" t="str">
        <f ca="1">IFERROR(__xludf.DUMMYFUNCTION("GOOGLETRANSLATE(B2581,""auto"",""en"")"),"1. Design product name: The graphic user interface for displaying sound information for display screen panels.
 2. Design product use: The display screen panel is used to display the graphical user interface.
 3. Design of the design of the product in"&amp;" appearance: lies in the graphic user interface.
 4. Pictures or photos that can most indicate design points: main view.
 5. The purpose of the graphical user interface: for human -machine interaction and implementation of the display screen panel, an"&amp;"d the graphical user interface can be used to display and select sound information and options, such as volume.
 6. Human -computer interaction method of graphical user interface: Graphic user interface can interact by operating electronic devices with "&amp;"the display screen panel.
 7. Change state description of the graphic user interface: The appearance of the graphic user interface changes from the main view to the changes in the interface. Figure 2 is reduced to reduce the volume, and from the interfa"&amp;"ce change state graph 2 changes to the interface changes. 4 to increase the volume.
 8. The display screen panel and graphic user interface can be applied to computers, laptops, tablets, mobile phones, smart bracelets, smart glasses, watches, fitness mo"&amp;"nitor, headset headphones, personal digital assistants, smart speakers, TV, set -top boxes , Game console; display screen panels are commonly designed, so omitted other views.")</f>
        <v>1. Design product name: The graphic user interface for displaying sound information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the graphical user interface: for human -machine interaction and implementation of the display screen panel, and the graphical user interface can be used to display and select sound information and options, such as volume.
 6. Human -computer interaction method of graphical user interface: Graphic user interface can interact by operating electronic devices with the display screen panel.
 7. Change state description of the graphic user interface: The appearance of the graphic user interface changes from the main view to the changes in the interface. Figure 2 is reduced to reduce the volume, and from the interface change state graph 2 changes to the interface changes. 4 to increase the volume.
 8. The display screen panel and graphic user interface can be applied to computers, laptops, tablets, mobile phones, smart bracelets, smart glasses, watches, fitness monitor, headset headphones, personal digital assistants, smart speakers, TV, set -top boxes , Game console; display screen panels are commonly designed, so omitted other views.</v>
      </c>
      <c r="D2581" s="6" t="s">
        <v>7287</v>
      </c>
      <c r="E2581" s="4" t="str">
        <f ca="1">IFERROR(__xludf.DUMMYFUNCTION("GOOGLETRANSLATE(D2581,""auto"",""en"")"),"Graphic user interface for display sound information for display screen panels")</f>
        <v>Graphic user interface for display sound information for display screen panels</v>
      </c>
    </row>
    <row r="2582" spans="1:5" ht="15" x14ac:dyDescent="0.25">
      <c r="A2582" s="5" t="s">
        <v>7288</v>
      </c>
      <c r="B2582" s="6" t="s">
        <v>7289</v>
      </c>
      <c r="C2582" s="3" t="str">
        <f ca="1">IFERROR(__xludf.DUMMYFUNCTION("GOOGLETRANSLATE(B2582,""auto"",""en"")"),"1. The name of the product of the product: The dynamic graphic user interface of the display sound information of the display screen panel.
 2. Design product use: The display screen panel is used to display the graphical user interface.
 3. Design of"&amp;" design products in this exterior: lies in dynamic graphic user interface.
 4. Pictures or photos that can most indicate design points: main view.
 5. The purpose of the graphical user interface: for human -machine interaction and implementation of th"&amp;"e display screen panel, and the graphical user interface can be used to display and select sound information and options, such as volume.
 6. Human -machine interaction method of graphical user interface: Graphic user interface can interact by operating"&amp;" an electronic device with the display screen panel or interacting with light or touching display screen panels.
 Through this interaction, the appearance of the dynamic graphic user interface changes from the main view from the main view to the interfa"&amp;"ce change state.
 7. The display screen panel and dynamic graphic user interface can be applied to computers, laptops, tablet computers, mobile phones, smart bracelets, smart glasses, watch, fitness monitor, headset headset Top -set box, game console; d"&amp;"isplay screen panels are commonly designed, so other views are omitted.")</f>
        <v>1. The name of the product of the product: The dynamic graphic user interface of the display sound information of the display screen panel.
 2. Design product use: The display screen panel is used to display the graphical user interface.
 3. Design of design products in this exterior: lies in dynamic graphic user interface.
 4. Pictures or photos that can most indicate design points: main view.
 5. The purpose of the graphical user interface: for human -machine interaction and implementation of the display screen panel, and the graphical user interface can be used to display and select sound information and options, such as volume.
 6. Human -machine interaction method of graphical user interface: Graphic user interface can interact by operating an electronic device with the display screen panel or interacting with light or touching display screen panels.
 Through this interaction, the appearance of the dynamic graphic user interface changes from the main view from the main view to the interface change state.
 7. The display screen panel and dynamic graphic user interface can be applied to computers, laptops, tablet computers, mobile phones, smart bracelets, smart glasses, watch, fitness monitor, headset headset Top -set box, game console; display screen panels are commonly designed, so other views are omitted.</v>
      </c>
      <c r="D2582" s="6" t="s">
        <v>7290</v>
      </c>
      <c r="E2582" s="4" t="str">
        <f ca="1">IFERROR(__xludf.DUMMYFUNCTION("GOOGLETRANSLATE(D2582,""auto"",""en"")"),"The dynamic graphic user interface of the displayed sound information of the display screen panel")</f>
        <v>The dynamic graphic user interface of the displayed sound information of the display screen panel</v>
      </c>
    </row>
    <row r="2583" spans="1:5" ht="15" x14ac:dyDescent="0.25">
      <c r="A2583" s="5" t="s">
        <v>7291</v>
      </c>
      <c r="B2583" s="6" t="s">
        <v>7292</v>
      </c>
      <c r="C2583" s="3" t="str">
        <f ca="1">IFERROR(__xludf.DUMMYFUNCTION("GOOGLETRANSLATE(B2583,""auto"",""en"")"),"The present invention involves the field of intelligent monitoring device technology, and a ping -pong tennis monitoring device that is convenient for installation, including ping -ping pads and two intelligent monitoring machines. The machine is connecte"&amp;"d to the installation mechanism. The installation mechanism includes thread rods, sliders, two threaded holes, two pores and two fixed boards. The two fixed boards are fixed to the bottom of the corresponding intelligent monitoring machine, and the two fi"&amp;"xed boards are fixed boards. Set on both sides of the table tennis table, the two thread holes are opened on the corresponding fixed board, the threaded pole passes through the threaded hole and connected to the threaded thread. set up. The present invent"&amp;"ion can quickly install the intelligent monitoring device on the blocking network of the table tennis table. It does not need to occupy additional table tennis countertops. The players' sight will not be blocked and will not block the normal forward route"&amp;" of table tennis.")</f>
        <v>The present invention involves the field of intelligent monitoring device technology, and a ping -pong tennis monitoring device that is convenient for installation, including ping -ping pads and two intelligent monitoring machines. The machine is connected to the installation mechanism. The installation mechanism includes thread rods, sliders, two threaded holes, two pores and two fixed boards. The two fixed boards are fixed to the bottom of the corresponding intelligent monitoring machine, and the two fixed boards are fixed boards. Set on both sides of the table tennis table, the two thread holes are opened on the corresponding fixed board, the threaded pole passes through the threaded hole and connected to the threaded thread. set up. The present invention can quickly install the intelligent monitoring device on the blocking network of the table tennis table. It does not need to occupy additional table tennis countertops. The players' sight will not be blocked and will not block the normal forward route of table tennis.</v>
      </c>
      <c r="D2583" s="6" t="s">
        <v>4896</v>
      </c>
      <c r="E2583" s="4" t="str">
        <f ca="1">IFERROR(__xludf.DUMMYFUNCTION("GOOGLETRANSLATE(D2583,""auto"",""en"")"),"An artificial intelligence monitoring device that is easy to install")</f>
        <v>An artificial intelligence monitoring device that is easy to install</v>
      </c>
    </row>
    <row r="2584" spans="1:5" ht="15" x14ac:dyDescent="0.25">
      <c r="A2584" s="5" t="s">
        <v>7293</v>
      </c>
      <c r="B2584" s="6" t="s">
        <v>7294</v>
      </c>
      <c r="C2584" s="3" t="str">
        <f ca="1">IFERROR(__xludf.DUMMYFUNCTION("GOOGLETRANSLATE(B2584,""auto"",""en"")"),"The invention involves a mini golf system and its methods based on the Internet of Things.
  According to the invention, in the mini golf game method using the Internet of Things -based mini golf system, the mini golf server receives the identification "&amp;"number from the user ID and from the golf ball with the first communication module. The ball's identification number matches. When the user puts the golf ball on the court, the push rod information that the impact sensor is attached to the golf ball throu"&amp;"gh the first communication module is received; Through the second communication module installed on the obstacle, in the mini golf competition, when the user pushes the barrier in the venue; if it is determined to enter the ball, receive the information f"&amp;"rom the reader to receive the corresponding hole to receive the corresponding hole When the ending information is over, calculate the user score based on the contact information and obstacles contact information.
  As mentioned above, according to the p"&amp;"resent invention, you can enjoy golf in the narrow indoor space, and unlike traditional golf, you can use elements such as obstacles to provide different types of enjoyment.")</f>
        <v>The invention involves a mini golf system and its methods based on the Internet of Things.
  According to the invention, in the mini golf game method using the Internet of Things -based mini golf system, the mini golf server receives the identification number from the user ID and from the golf ball with the first communication module. The ball's identification number matches. When the user puts the golf ball on the court, the push rod information that the impact sensor is attached to the golf ball through the first communication module is received; Through the second communication module installed on the obstacle, in the mini golf competition, when the user pushes the barrier in the venue; if it is determined to enter the ball, receive the information from the reader to receive the corresponding hole to receive the corresponding hole When the ending information is over, calculate the user score based on the contact information and obstacles contact information.
  As mentioned above, according to the present invention, you can enjoy golf in the narrow indoor space, and unlike traditional golf, you can use elements such as obstacles to provide different types of enjoyment.</v>
      </c>
      <c r="D2584" s="6" t="s">
        <v>7295</v>
      </c>
      <c r="E2584" s="4" t="str">
        <f ca="1">IFERROR(__xludf.DUMMYFUNCTION("GOOGLETRANSLATE(D2584,""auto"",""en"")"),"The mini golf system and its methods based on the Internet of Things and their methods")</f>
        <v>The mini golf system and its methods based on the Internet of Things and their methods</v>
      </c>
    </row>
    <row r="2585" spans="1:5" ht="15" x14ac:dyDescent="0.25">
      <c r="A2585" s="5" t="s">
        <v>7296</v>
      </c>
      <c r="B2585" s="6" t="s">
        <v>7297</v>
      </c>
      <c r="C2585" s="3" t="str">
        <f ca="1">IFERROR(__xludf.DUMMYFUNCTION("GOOGLETRANSLATE(B2585,""auto"",""en"")"),"A intelligent system can make improvement suggestions based on the current racket action of badminton players to help them identify and correct their actions. The system has a removable clip that can be installed on any badminton racket. Players can start"&amp;" the coaching course from the supporting mobile applications or devices itself and start the game. Throughout the training process, the movement on the racket will be recorded. After the player completes the game, the device will use machine learning mode"&amp;"ls specialized for this task training to process record data, and it is recommended that players can change/correct their performance in the action to improve their performance. The device also considers his factor, such as players' physical fitness, thei"&amp;"r eating habits, and previous training history. The device is powered by a micro -lithium battery, and you can choose to replace/charge.")</f>
        <v>A intelligent system can make improvement suggestions based on the current racket action of badminton players to help them identify and correct their actions. The system has a removable clip that can be installed on any badminton racket. Players can start the coaching course from the supporting mobile applications or devices itself and start the game. Throughout the training process, the movement on the racket will be recorded. After the player completes the game, the device will use machine learning models specialized for this task training to process record data, and it is recommended that players can change/correct their performance in the action to improve their performance. The device also considers his factor, such as players' physical fitness, their eating habits, and previous training history. The device is powered by a micro -lithium battery, and you can choose to replace/charge.</v>
      </c>
      <c r="D2585" s="6" t="s">
        <v>7298</v>
      </c>
      <c r="E2585" s="4" t="str">
        <f ca="1">IFERROR(__xludf.DUMMYFUNCTION("GOOGLETRANSLATE(D2585,""auto"",""en"")"),"Artificial intelligence -driven badminton coach recommendation skills to improve players' skills")</f>
        <v>Artificial intelligence -driven badminton coach recommendation skills to improve players' skills</v>
      </c>
    </row>
    <row r="2586" spans="1:5" ht="15" x14ac:dyDescent="0.25">
      <c r="A2586" s="5" t="s">
        <v>7299</v>
      </c>
      <c r="B2586" s="6" t="s">
        <v>7300</v>
      </c>
      <c r="C2586" s="3" t="str">
        <f ca="1">IFERROR(__xludf.DUMMYFUNCTION("GOOGLETRANSLATE(B2586,""auto"",""en"")"),"A target door detection method for small drone racing is the field of visual target detection technology. By detecting the key points of the target door corner, the position of the target door is located. The present invention uses the edge information of"&amp;" the target door to avoid the influence of the background information inside the target door. In addition, the neural network designed by the present invention has the characteristics of lightweight structure and can achieve the effect of real -time detec"&amp;"tion on a small drone airborne computer.")</f>
        <v>A target door detection method for small drone racing is the field of visual target detection technology. By detecting the key points of the target door corner, the position of the target door is located. The present invention uses the edge information of the target door to avoid the influence of the background information inside the target door. In addition, the neural network designed by the present invention has the characteristics of lightweight structure and can achieve the effect of real -time detection on a small drone airborne computer.</v>
      </c>
      <c r="D2586" s="6" t="s">
        <v>7301</v>
      </c>
      <c r="E2586" s="4" t="str">
        <f ca="1">IFERROR(__xludf.DUMMYFUNCTION("GOOGLETRANSLATE(D2586,""auto"",""en"")"),"A target door detection method for a small drone racing competition")</f>
        <v>A target door detection method for a small drone racing competition</v>
      </c>
    </row>
    <row r="2587" spans="1:5" ht="15" x14ac:dyDescent="0.25">
      <c r="A2587" s="5" t="s">
        <v>7302</v>
      </c>
      <c r="B2587" s="6" t="s">
        <v>7303</v>
      </c>
      <c r="C2587" s="3" t="str">
        <f ca="1">IFERROR(__xludf.DUMMYFUNCTION("GOOGLETRANSLATE(B2587,""auto"",""en"")"),"This utility model opens up a swimming pool anti -drowning intelligent identification and positioning device. It involves the field of early warning equipment. It includes swimming caps, positioning devices, industrial cameras, visual controllers. On the "&amp;"side, the industrial camera is located around the swimming pool, and it is connected to the visual controller. The above components are connected to each other through a specific assembly relationship to form a swimming pool anti -drowning intelligent rec"&amp;"ognition and positioning device. Compared with the existing drowning technology, the intelligent identification and positioning device of the drowning anti -drowning anti -drowning technology introduces artificial intelligence technology into anti -drowni"&amp;"ng auxiliary equipment, and realizes the intelligent monitoring and dangerous judgment of swimmers.")</f>
        <v>This utility model opens up a swimming pool anti -drowning intelligent identification and positioning device. It involves the field of early warning equipment. It includes swimming caps, positioning devices, industrial cameras, visual controllers. On the side, the industrial camera is located around the swimming pool, and it is connected to the visual controller. The above components are connected to each other through a specific assembly relationship to form a swimming pool anti -drowning intelligent recognition and positioning device. Compared with the existing drowning technology, the intelligent identification and positioning device of the drowning anti -drowning anti -drowning technology introduces artificial intelligence technology into anti -drowning auxiliary equipment, and realizes the intelligent monitoring and dangerous judgment of swimmers.</v>
      </c>
      <c r="D2587" s="6" t="s">
        <v>7304</v>
      </c>
      <c r="E2587" s="4" t="str">
        <f ca="1">IFERROR(__xludf.DUMMYFUNCTION("GOOGLETRANSLATE(D2587,""auto"",""en"")"),"A swimming pool anti -drowning intelligent identification and positioning device")</f>
        <v>A swimming pool anti -drowning intelligent identification and positioning device</v>
      </c>
    </row>
    <row r="2588" spans="1:5" ht="15" x14ac:dyDescent="0.25">
      <c r="A2588" s="5" t="s">
        <v>7305</v>
      </c>
      <c r="B2588" s="6" t="s">
        <v>7306</v>
      </c>
      <c r="C2588" s="3" t="str">
        <f ca="1">IFERROR(__xludf.DUMMYFUNCTION("GOOGLETRANSLATE(B2588,""auto"",""en"")"),"1. Design product name: The operating system graphical user interface of the display screen panel.
 2. Design product use: The display screen panel is used to display the graphical user interface.
 3. Design of the design of the product in appearance:"&amp;" lies in the graphic user interface.
 4. Pictures or photos that can best show design: Design 1 main view.
 5. Specify design 1 is the basic design.
 6. The purpose of the graphical user interface: for human -machine interaction and implementation o"&amp;"f the function of display screen panels, and can be used for display information, such as icons used to load applications.
 7. Human -computer interaction method of graphical user interface: Graphic user interface can interact with light strike or rolli"&amp;"ng graphical user interface to load the subsequent graphical user interface or running application.
 8. The display screen panel and graphic user interface can be applied to computers, laptops, tablets, mobile phones, smart bracelets, smart glasses, wat"&amp;"ches, fitness monitor, headset headphones, personal digital assistants, smart speakers, TV, set -top boxes , Game console; display screen panels are commonly designed, so omitted other views.")</f>
        <v>1. Design product name: The operating system graphical user interface of the display screen panel.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function of display screen panels, and can be used for display information, such as icons used to load applications.
 7. Human -computer interaction method of graphical user interface: Graphic user interface can interact with light strike or rolling graphical user interface to load the subsequent graphical user interface or running application.
 8. The display screen panel and graphic user interface can be applied to computers, laptops, tablets, mobile phones, smart bracelets, smart glasses, watches, fitness monitor, headset headphones, personal digital assistants, smart speakers, TV, set -top boxes , Game console; display screen panels are commonly designed, so omitted other views.</v>
      </c>
      <c r="D2588" s="6" t="s">
        <v>7307</v>
      </c>
      <c r="E2588" s="4" t="str">
        <f ca="1">IFERROR(__xludf.DUMMYFUNCTION("GOOGLETRANSLATE(D2588,""auto"",""en"")"),"The operating system graphical user interface of the display screen panel")</f>
        <v>The operating system graphical user interface of the display screen panel</v>
      </c>
    </row>
    <row r="2589" spans="1:5" ht="15" x14ac:dyDescent="0.25">
      <c r="A2589" s="5" t="s">
        <v>7308</v>
      </c>
      <c r="B2589" s="6" t="s">
        <v>7309</v>
      </c>
      <c r="C2589" s="3" t="str">
        <f ca="1">IFERROR(__xludf.DUMMYFUNCTION("GOOGLETRANSLATE(B2589,""auto"",""en"")"),"The invention provides a recommended system for table tennis items to recommend table tennis items, including table tennis rackets and at least one of the rubber that can be attached to one or two surfaces that can be attached to table tennis rackets on t"&amp;"he table tennis racket. The racket, and the swing trajectory of table tennis rackets repeat the detection acceleration, angular speed, and sensor unit of the impact of the sensing unit, connect to the sensor unit, and alternate multiple rubber or multiple"&amp;" combinations of table tennis rackets. The acceleration and angle speed of the sensing unit and the exclusion unit measuring unit can measure the exclusion information of each one with the user's personal information. The corresponding database of informa"&amp;"tion input includes one server. The server provides a manufacturer and product name table tennis article for each combination of multiple rubber or multiple table tennis rackets.")</f>
        <v>The invention provides a recommended system for table tennis items to recommend table tennis items, including table tennis rackets and at least one of the rubber that can be attached to one or two surfaces that can be attached to table tennis rackets on the table tennis racket. The racket, and the swing trajectory of table tennis rackets repeat the detection acceleration, angular speed, and sensor unit of the impact of the sensing unit, connect to the sensor unit, and alternate multiple rubber or multiple combinations of table tennis rackets. The acceleration and angle speed of the sensing unit and the exclusion unit measuring unit can measure the exclusion information of each one with the user's personal information. The corresponding database of information input includes one server. The server provides a manufacturer and product name table tennis article for each combination of multiple rubber or multiple table tennis rackets.</v>
      </c>
      <c r="D2589" s="6" t="s">
        <v>7310</v>
      </c>
      <c r="E2589" s="4" t="str">
        <f ca="1">IFERROR(__xludf.DUMMYFUNCTION("GOOGLETRANSLATE(D2589,""auto"",""en"")"),"Table Tennis Equipment Recommendation System")</f>
        <v>Table Tennis Equipment Recommendation System</v>
      </c>
    </row>
    <row r="2590" spans="1:5" ht="15" x14ac:dyDescent="0.25">
      <c r="A2590" s="5" t="s">
        <v>7311</v>
      </c>
      <c r="B2590" s="6" t="s">
        <v>7312</v>
      </c>
      <c r="C2590" s="3" t="str">
        <f ca="1">IFERROR(__xludf.DUMMYFUNCTION("GOOGLETRANSLATE(B2590,""auto"",""en"")"),"The invention discloses a anti -audio interference method for the mixed adjustment of the mixer mixer amplitude. The specific operation steps are. After the receiver's mixed receiving signal distribution is used to remove the simulation audio signal, the "&amp;"method is used. First of all, after effective limit of the residual audio interference of the MPPSK digital modulation signal, use the adaptive filtering technology to further filter the residual audio interference, and perform median filtering. Carrier a"&amp;"nd low -pass filtering, finally combined with the corresponding bit synchronization algorithm to support vector machine (SVM) judgment. The invention greatly eliminates the audio interference in the digital receiving signal. The digital demodulation perfo"&amp;"rmance has greatly improved compared to the traditional demodulation method, and the simultaneous simultaneous requirements have been greattly reduced. At the same time Demand for hardware.")</f>
        <v>The invention discloses a anti -audio interference method for the mixed adjustment of the mixer mixer amplitude. The specific operation steps are. After the receiver's mixed receiving signal distribution is used to remove the simulation audio signal, the method is used. First of all, after effective limit of the residual audio interference of the MPPSK digital modulation signal, use the adaptive filtering technology to further filter the residual audio interference, and perform median filtering. Carrier and low -pass filtering, finally combined with the corresponding bit synchronization algorithm to support vector machine (SVM) judgment. The invention greatly eliminates the audio interference in the digital receiving signal. The digital demodulation performance has greatly improved compared to the traditional demodulation method, and the simultaneous simultaneous requirements have been greattly reduced. At the same time Demand for hardware.</v>
      </c>
      <c r="D2590" s="6" t="s">
        <v>7313</v>
      </c>
      <c r="E2590" s="4" t="str">
        <f ca="1">IFERROR(__xludf.DUMMYFUNCTION("GOOGLETRANSLATE(D2590,""auto"",""en"")"),"A anti -audio interference method for the mixed adjustment of the digital amplitude amplifier")</f>
        <v>A anti -audio interference method for the mixed adjustment of the digital amplitude amplifier</v>
      </c>
    </row>
    <row r="2591" spans="1:5" ht="15" x14ac:dyDescent="0.25">
      <c r="A2591" s="5" t="s">
        <v>7314</v>
      </c>
      <c r="B2591" s="6" t="s">
        <v>7315</v>
      </c>
      <c r="C2591" s="3" t="str">
        <f ca="1">IFERROR(__xludf.DUMMYFUNCTION("GOOGLETRANSLATE(B2591,""auto"",""en"")"),"Sensor equipment 10 includes sensor module 101 and was arranged to send and receive data input-output interface 105 through two-way line 11. The buffer 103 is arranged to the storage time sequence sensor data. Programmable and eradicated non -easy loss me"&amp;"mory 109 receives and stores the identifier of the sensor equipment 10. Sensor module 101 uses sensor data to generate inference, such as sensor data. Fitness activities recognition. You can use a machine learning model to generate reasoning. Sensor equip"&amp;"ment 10 is arranged to switch between the data generated by the sensor module 101 sensor 101 and generated inferences through the two -way line 11. Sensor data can be compressed before transmission. Sensor device 10 is a single -line sensor device. The in"&amp;"put and output interface 105 is a single -line input output interface. Sensor module 101 is a module module module, potential, resistance, chemical or optical sensor module. Provide sensor equipment 10 in a system including the main device. Sensor device "&amp;"10 or system is combined into wearable items.")</f>
        <v>Sensor equipment 10 includes sensor module 101 and was arranged to send and receive data input-output interface 105 through two-way line 11. The buffer 103 is arranged to the storage time sequence sensor data. Programmable and eradicated non -easy loss memory 109 receives and stores the identifier of the sensor equipment 10. Sensor module 101 uses sensor data to generate inference, such as sensor data. Fitness activities recognition. You can use a machine learning model to generate reasoning. Sensor equipment 10 is arranged to switch between the data generated by the sensor module 101 sensor 101 and generated inferences through the two -way line 11. Sensor data can be compressed before transmission. Sensor device 10 is a single -line sensor device. The input and output interface 105 is a single -line input output interface. Sensor module 101 is a module module module, potential, resistance, chemical or optical sensor module. Provide sensor equipment 10 in a system including the main device. Sensor device 10 or system is combined into wearable items.</v>
      </c>
      <c r="D2591" s="6" t="s">
        <v>7316</v>
      </c>
      <c r="E2591" s="4" t="str">
        <f ca="1">IFERROR(__xludf.DUMMYFUNCTION("GOOGLETRANSLATE(D2591,""auto"",""en"")"),"Sensor device, system and wearable items")</f>
        <v>Sensor device, system and wearable items</v>
      </c>
    </row>
    <row r="2592" spans="1:5" ht="15" x14ac:dyDescent="0.25">
      <c r="A2592" s="5" t="s">
        <v>7317</v>
      </c>
      <c r="B2592" s="6" t="s">
        <v>7318</v>
      </c>
      <c r="C2592" s="3" t="str">
        <f ca="1">IFERROR(__xludf.DUMMYFUNCTION("GOOGLETRANSLATE(B2592,""auto"",""en"")"),"The present invention involves an action evaluation method based on the detection of three -dimensional node detection of the human body, which is a computer vision, including steps: S1: Single -frame picture after the video separation of the video to per"&amp;"form the three -dimensional node detection of the human body; S2: extract the number of frames specified in the video Key frames; S3: Construct the characteristics of motion vector and joint kinetic energy characteristics, and extract feature value; S4: M"&amp;"ulti -characteristic fusion to build a key frame action similarity comparison model: the sub -symbol in the fusion step S3, for different types of actions, build a personalized model for a personalized model ; Based on Yu Xian's similarity Construction mo"&amp;"tion -motion vector feature similarity function, based on the weighted function constructing joint mobility similarity function; based on two similar degree functions to obtain a key frame action similarity contrast model, compare the key frame set of the"&amp;" detection action and the standard action action to compare the comparison In the end, the action similarity of exercise video is obtained. This method is more accurate and scientific, and can be used for the correction and teaching of sports and fitness.")</f>
        <v>The present invention involves an action evaluation method based on the detection of three -dimensional node detection of the human body, which is a computer vision, including steps: S1: Single -frame picture after the video separation of the video to perform the three -dimensional node detection of the human body; S2: extract the number of frames specified in the video Key frames; S3: Construct the characteristics of motion vector and joint kinetic energy characteristics, and extract feature value; S4: Multi -characteristic fusion to build a key frame action similarity comparison model: the sub -symbol in the fusion step S3, for different types of actions, build a personalized model for a personalized model ; Based on Yu Xian's similarity Construction motion -motion vector feature similarity function, based on the weighted function constructing joint mobility similarity function; based on two similar degree functions to obtain a key frame action similarity contrast model, compare the key frame set of the detection action and the standard action action to compare the comparison In the end, the action similarity of exercise video is obtained. This method is more accurate and scientific, and can be used for the correction and teaching of sports and fitness.</v>
      </c>
      <c r="D2592" s="6" t="s">
        <v>7319</v>
      </c>
      <c r="E2592" s="4" t="str">
        <f ca="1">IFERROR(__xludf.DUMMYFUNCTION("GOOGLETRANSLATE(D2592,""auto"",""en"")"),"A method of action evaluation based on the detection of three -dimensional nodes of the human body")</f>
        <v>A method of action evaluation based on the detection of three -dimensional nodes of the human body</v>
      </c>
    </row>
    <row r="2593" spans="1:5" ht="15" x14ac:dyDescent="0.25">
      <c r="A2593" s="5" t="s">
        <v>7320</v>
      </c>
      <c r="B2593" s="6" t="s">
        <v>7321</v>
      </c>
      <c r="C2593" s="3" t="str">
        <f ca="1">IFERROR(__xludf.DUMMYFUNCTION("GOOGLETRANSLATE(B2593,""auto"",""en"")"),"1. Design product name: Display time dynamic graphic user interface of the display screen panel.
 2. The purpose of designing products in this exterior: Screen panels are used to display graphic user interfaces and/or operating programs and/or communica"&amp;"tion.
 3. Design of design products in this exterior: lies in dynamic graphic user interface.
 4. Pictures or photos that can most indicate design points: main view.
 5. The purpose of the graphical user interface: for human -machine interaction and"&amp;" the function of the screen panel, and can be used to display time and other information, such as the location and/or motion of weather and sun/sunlight.
 6. Human -computer interaction method of graphical user interface: Graphic user interface can inte"&amp;"ract with the follow -up graphic user interface or application by pressing, sliding or lighting the screen panel, and/or the electronic device that can be applied by the screen panel can be used to operate the screen panel. Interactive.
 7. Change state"&amp;" description of graphical user interface: The appearance of the dynamic graphic user interface is changed between the main view and the changes of the interface.
 8. Screen panel and graphic user interface can be applied to various electronic devices, s"&amp;"uch as computers, laptops, display devices, communication equipment, multimedia devices, information terminals, portable communication devices, portable multimedia devices, portable information terminals, tablets, mobile phones, mobile phones , Smartphone"&amp;"s, wearable devices, watches, smart watches, fitness monitor, headphones, personal digital assistants, smart speakers, television, set -top boxes, game systems, the display device includes display devices used for transportation; screen panel panels For u"&amp;"sual design, other views are omitted.")</f>
        <v>1. Design product name: Display time dynamic graphic user interface of the display screen panel.
 2. The purpose of designing products in this exterior: Screen panels are used to display graphic user interfaces and/or operating programs and/or communication.
 3. Design of design products in this exterior: lies in dynamic graphic user interface.
 4. Pictures or photos that can most indicate design points: main view.
 5. The purpose of the graphical user interface: for human -machine interaction and the function of the screen panel, and can be used to display time and other information, such as the location and/or motion of weather and sun/sunlight.
 6. Human -computer interaction method of graphical user interface: Graphic user interface can interact with the follow -up graphic user interface or application by pressing, sliding or lighting the screen panel, and/or the electronic device that can be applied by the screen panel can be used to operate the screen panel. Interactive.
 7. Change state description of graphical user interface: The appearance of the dynamic graphic user interface is changed between the main view and the changes of the interface.
 8. Screen panel and graphic user interface can be applied to various electronic devices, such as computers, laptops, display devices, communication equipment, multimedia devices, information terminals, portable communication devices, portable multimedia devices, portable information terminals, tablets, mobile phones, mobile phones , Smartphones, wearable devices, watches, smart watches, fitness monitor, headphones, personal digital assistants, smart speakers, television, set -top boxes, game systems, the display device includes display devices used for transportation; screen panel panels For usual design, other views are omitted.</v>
      </c>
      <c r="D2593" s="6" t="s">
        <v>7322</v>
      </c>
      <c r="E2593" s="4" t="str">
        <f ca="1">IFERROR(__xludf.DUMMYFUNCTION("GOOGLETRANSLATE(D2593,""auto"",""en"")"),"Display time dynamic graphic user interface of display screen panel")</f>
        <v>Display time dynamic graphic user interface of display screen panel</v>
      </c>
    </row>
    <row r="2594" spans="1:5" ht="15" x14ac:dyDescent="0.25">
      <c r="A2594" s="5" t="s">
        <v>7323</v>
      </c>
      <c r="B2594" s="6" t="s">
        <v>7324</v>
      </c>
      <c r="C2594" s="3" t="str">
        <f ca="1">IFERROR(__xludf.DUMMYFUNCTION("GOOGLETRANSLATE(B2594,""auto"",""en"")"),"1. Design product name: The graphic user interface for display time for display screen panels.
 2. The purpose of designing products here: The display screen panel is used to display the graphical user interface and/or running program and/or communicati"&amp;"on.
 3. Design of the design of the product in appearance: lies in the graphic user interface.
 4. Pictures or photos that can best show design: Design 1 main view.
 5. Specify design 1 is the basic design.
 6. The purpose of the graphical user in"&amp;"terface: It is used for human -machine interaction and realizing the function of display screen panels, and can be used for display time.
 7. Human -computer interaction method of graphical user interface: Graphic user interface can customize the graphi"&amp;"cal user interface by touching the graphical user interface for a period of time, or load another graphic user interface by sliding left or right.
 8. Display screen panel and graphic user interface can be applied to various electronic devices, such as "&amp;"computers, laptops, display devices, communication equipment, multimedia equipment, information terminals, portable communication devices, portable multimedia devices, portable information terminals, tablet computers, computers, computers, computers, and "&amp;"computers, computers, computers, and computers, computers, computers, and computers, computers, and computers, and computers, and computers, computers, and computers, and computers, and computers, and computers, computers, and computers,, computers, compu"&amp;"ters, and computers, and computers, computers, computers, and computers, and computers, and computers, computers, and computers, and tablets, computers, and computers, and computers, and tablets, computers, and computers, and tablets, computers, and compu"&amp;"ters, Mobile phones, smartphones, wearable devices, watches, smart watches, fitness monitor, headset headphones, personal digital assistants, smart speakers, television, set -top boxes, game systems, the display device includes display device for transpor"&amp;"tation; display The screen panel is commonly designed, so other views are omitted.")</f>
        <v>1. Design product name: The graphic user interface for display time for display screen panels.
 2. The purpose of designing products here: The display screen panel is used to display the graphical user interface and/or running program and/or communication.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for display time.
 7. Human -computer interaction method of graphical user interface: Graphic user interface can customize the graphical user interface by touching the graphical user interface for a period of time, or load another graphic user interface by sliding left or right.
 8. Display screen panel and graphic user interface can be applied to various electronic devices, such as computers, laptops, display devices, communication equipment, multimedia equipment, information terminals, portable communication devices, portable multimedia devices, portable information terminals, tablet computers, computers, computers, computers, and computers, computers, computers, and computers, computers, computers, and computers, computers, and computers, and computers, and computers, computers, and computers, and computers, and computers, and computers, computers, and computers,, computers, computers, and computers, and computers, computers, computers, and computers, and computers, and computers, computers, and computers, and tablets, computers, and computers, and computers, and tablets, computers, and computers, and tablets, computers, and computers, Mobile phones, smartphones, wearable devices, watches, smart watches, fitness monitor, headset headphones, personal digital assistants, smart speakers, television, set -top boxes, game systems, the display device includes display device for transportation; display The screen panel is commonly designed, so other views are omitted.</v>
      </c>
      <c r="D2594" s="6" t="s">
        <v>7325</v>
      </c>
      <c r="E2594" s="4" t="str">
        <f ca="1">IFERROR(__xludf.DUMMYFUNCTION("GOOGLETRANSLATE(D2594,""auto"",""en"")"),"Graphic user interface for display time for display screen panels")</f>
        <v>Graphic user interface for display time for display screen panels</v>
      </c>
    </row>
    <row r="2595" spans="1:5" ht="15" x14ac:dyDescent="0.25">
      <c r="A2595" s="5" t="s">
        <v>7326</v>
      </c>
      <c r="B2595" s="6" t="s">
        <v>7327</v>
      </c>
      <c r="C2595" s="3" t="str">
        <f ca="1">IFERROR(__xludf.DUMMYFUNCTION("GOOGLETRANSLATE(B2595,""auto"",""en"")"),"1. Design product name: The graphic user interface for display time for display screen panels.
 2. The purpose of designing products here: The display screen panel is used to display the graphical user interface and/or running program and/or communicati"&amp;"on.
 3. Design of the design of the product in appearance: lies in the graphic user interface.
 4. Pictures or photos that can best show design: Design 1 main view.
 5. Specify design 1 is the basic design.
 6. The purpose of the graphical user in"&amp;"terface: It is used for human -machine interaction and realizing the function of display screen panels, and can be used for display time.
 7. Human -machine interaction method of graphical user interface: The graphic user interface can customize the gra"&amp;"phical user interface by touching the graphical user interface for a period of time, or interacts with left or right to load another graphical user interface.
 8. Display screen panel and graphic user interface can be applied to various electronic devic"&amp;"es, such as computers, laptops, display devices, communication equipment, multimedia equipment, information terminals, portable communication devices, portable multimedia devices, portable information terminals, tablet computers, computers, computers, com"&amp;"puters, and computers, computers, computers, and computers, computers, computers, and computers, computers, and computers, and computers, and computers, computers, and computers, and computers, and computers, and computers, computers, and computers,, comp"&amp;"uters, computers, and computers, and computers, computers, computers, and computers, and computers, and computers, computers, and computers, and tablets, computers, and computers, and computers, and tablets, computers, and computers, and tablets, computer"&amp;"s, and computers, Mobile phones, smartphones, wearable devices, watches, smart watches, fitness monitor, headset headphones, personal digital assistants, smart speakers, television, set -top boxes, game systems, the display device includes display device "&amp;"for transportation; display The screen panel is commonly designed, so other views are omitted.")</f>
        <v>1. Design product name: The graphic user interface for display time for display screen panels.
 2. The purpose of designing products here: The display screen panel is used to display the graphical user interface and/or running program and/or communication.
 3. Design of the design of the product in appearance: lies in the graphic user interface.
 4. Pictures or photos that can best show design: Design 1 main view.
 5. Specify design 1 is the basic design.
 6. The purpose of the graphical user interface: It is used for human -machine interaction and realizing the function of display screen panels, and can be used for display time.
 7. Human -machine interaction method of graphical user interface: The graphic user interface can customize the graphical user interface by touching the graphical user interface for a period of time, or interacts with left or right to load another graphical user interface.
 8. Display screen panel and graphic user interface can be applied to various electronic devices, such as computers, laptops, display devices, communication equipment, multimedia equipment, information terminals, portable communication devices, portable multimedia devices, portable information terminals, tablet computers, computers, computers, computers, and computers, computers, computers, and computers, computers, computers, and computers, computers, and computers, and computers, and computers, computers, and computers, and computers, and computers, and computers, computers, and computers,, computers, computers, and computers, and computers, computers, computers, and computers, and computers, and computers, computers, and computers, and tablets, computers, and computers, and computers, and tablets, computers, and computers, and tablets, computers, and computers, Mobile phones, smartphones, wearable devices, watches, smart watches, fitness monitor, headset headphones, personal digital assistants, smart speakers, television, set -top boxes, game systems, the display device includes display device for transportation; display The screen panel is commonly designed, so other views are omitted.</v>
      </c>
      <c r="D2595" s="6" t="s">
        <v>7325</v>
      </c>
      <c r="E2595" s="4" t="str">
        <f ca="1">IFERROR(__xludf.DUMMYFUNCTION("GOOGLETRANSLATE(D2595,""auto"",""en"")"),"Graphic user interface for display time for display screen panels")</f>
        <v>Graphic user interface for display time for display screen panels</v>
      </c>
    </row>
    <row r="2596" spans="1:5" ht="15" x14ac:dyDescent="0.25">
      <c r="A2596" s="5" t="s">
        <v>7328</v>
      </c>
      <c r="B2596" s="6" t="s">
        <v>7329</v>
      </c>
      <c r="C2596" s="3" t="str">
        <f ca="1">IFERROR(__xludf.DUMMYFUNCTION("GOOGLETRANSLATE(B2596,""auto"",""en"")"),"1. Design product name: The graphic user interface for display time for display screen panels.
 2. Design product use: The display screen panel is used to display the graphical user interface.
 3. Design of the design of the product in appearance: lie"&amp;"s in the graphic user interface.
 4. Pictures or photos that can best show design: Design 1 main view.
 5. Specify design 1 is the basic design.
 6. The purpose of the graphical user interface: for human -machine interaction and implementation of th"&amp;"e display screen panel, and can be used to display time and other information, such as the location and/or motion of weather and sun/sunlight.
 7. Human -computer interaction method of graphical user interface: Graphic user interface can interact with t"&amp;"he subsequent graphic user interface or application by pressing, sliding or lighting the display screen panel, and/or the electronics that can be applied by the screen panel can be used to operate the display screen panel. Interaction to interact.
 8. T"&amp;"he display screen panel and graphic user interface can be applied to computers, laptops, portable communication devices, portable multimedia devices, tablets, mobile phones, smartphones, smart glasses, watches, smart watches, fitness monitor, head head, h"&amp;"eader Wear headphones, personal digital assistants, smart speakers, television, set -top boxes, game consoles, display devices for transportation.
 The display screen panel is commonly designed, so other views are omitted.")</f>
        <v>1. Design product name: The graphic user interface for display time for display screen panels.
 2. Design product use: The display screen panel is used to display the graphical user interface.
 3. Design of the design of the product in appearance: lies in the graphic user interface.
 4. Pictures or photos that can best show design: Design 1 main view.
 5. Specify design 1 is the basic design.
 6. The purpose of the graphical user interface: for human -machine interaction and implementation of the display screen panel, and can be used to display time and other information, such as the location and/or motion of weather and sun/sunlight.
 7. Human -computer interaction method of graphical user interface: Graphic user interface can interact with the subsequent graphic user interface or application by pressing, sliding or lighting the display screen panel, and/or the electronics that can be applied by the screen panel can be used to operate the display screen panel. Interaction to interact.
 8. The display screen panel and graphic user interface can be applied to computers, laptops, portable communication devices, portable multimedia devices, tablets, mobile phones, smartphones, smart glasses, watches, smart watches, fitness monitor, head head, header Wear headphones, personal digital assistants, smart speakers, television, set -top boxes, game consoles, display devices for transportation.
 The display screen panel is commonly designed, so other views are omitted.</v>
      </c>
      <c r="D2596" s="6" t="s">
        <v>7325</v>
      </c>
      <c r="E2596" s="4" t="str">
        <f ca="1">IFERROR(__xludf.DUMMYFUNCTION("GOOGLETRANSLATE(D2596,""auto"",""en"")"),"Graphic user interface for display time for display screen panels")</f>
        <v>Graphic user interface for display time for display screen panels</v>
      </c>
    </row>
    <row r="2597" spans="1:5" ht="15" x14ac:dyDescent="0.25">
      <c r="A2597" s="5" t="s">
        <v>7330</v>
      </c>
      <c r="B2597" s="6" t="s">
        <v>7331</v>
      </c>
      <c r="C2597" s="3" t="str">
        <f ca="1">IFERROR(__xludf.DUMMYFUNCTION("GOOGLETRANSLATE(B2597,""auto"",""en"")"),"1. Design product name: The display keyboard option dynamic graphic user interface of the display screen panel.
 2. Design product use: The display screen panel is used to display the graphical user interface.
 3. Design of design products in this ext"&amp;"erior: lies in dynamic graphic user interface.
 4. Pictures or photos that can most indicate design points: main view.
 5. The purpose of the graphical user interface: for human -machine interaction and implementation of the display screen panel, and "&amp;"the graphical user interface can be used to display options and/or select options, such as keyboard options.
 6. Human -computer interaction method of graphical user interface: Graphic user interface can interact with the graphic user interface on the s"&amp;"creen panel on the screen panel lightly, to load the subsequent graphical user interface or running application.
 7. Change state description of the graphical user interface: The appearance of the dynamic graphic user interface is changed between the ma"&amp;"in view and interface changes in turn 1‑2.
 8. Screen panel and dynamic graphic user interface can be applied to various electronic devices with display screens, such as computers, laptops, display devices, communication equipment, multimedia devices, i"&amp;"nformation terminals, portable communication devices, portable multimedia devices, portable information terminals , Tablet, mobile phone, smartphone, wearable device, watch, smart watch, fitness monitor, headset headset, personal digital assistant, smart "&amp;"speaker, TV, set -top box, game system, this display device includes for transportation Display device.")</f>
        <v>1. Design product name: The display keyboard option dynamic graphic user interface of the display screen panel.
 2. Design product use: The display screen panel is used to display the graphical user interface.
 3. Design of design products in this exterior: lies in dynamic graphic user interface.
 4. Pictures or photos that can most indicate design points: main view.
 5. The purpose of the graphical user interface: for human -machine interaction and implementation of the display screen panel, and the graphical user interface can be used to display options and/or select options, such as keyboard options.
 6. Human -computer interaction method of graphical user interface: Graphic user interface can interact with the graphic user interface on the screen panel on the screen panel lightly, to load the subsequent graphical user interface or running application.
 7. Change state description of the graphical user interface: The appearance of the dynamic graphic user interface is changed between the main view and interface changes in turn 1‑2.
 8. Screen panel and dynamic graphic user interface can be applied to various electronic devices with display screens, such as computers, laptops, display devices, communication equipment, multimedia devices, information terminals, portable communication devices, portable multimedia devices, portable information terminals , Tablet, mobile phone, smartphone, wearable device, watch, smart watch, fitness monitor, headset headset, personal digital assistant, smart speaker, TV, set -top box, game system, this display device includes for transportation Display device.</v>
      </c>
      <c r="D2597" s="6" t="s">
        <v>7332</v>
      </c>
      <c r="E2597" s="4" t="str">
        <f ca="1">IFERROR(__xludf.DUMMYFUNCTION("GOOGLETRANSLATE(D2597,""auto"",""en"")"),"Display keyboard option dynamic graphic user interface of display screen panel")</f>
        <v>Display keyboard option dynamic graphic user interface of display screen panel</v>
      </c>
    </row>
    <row r="2598" spans="1:5" ht="15" x14ac:dyDescent="0.25">
      <c r="A2598" s="5" t="s">
        <v>7333</v>
      </c>
      <c r="B2598" s="6" t="s">
        <v>7334</v>
      </c>
      <c r="C2598" s="3" t="str">
        <f ca="1">IFERROR(__xludf.DUMMYFUNCTION("GOOGLETRANSLATE(B2598,""auto"",""en"")"),"According to the embodiments of the present invention, deep -learning table tennis robot systems can use deep learning and visual systems to interact with users, and the method of table tennis robots proposed to detect complex mathematical computing and t"&amp;"he track of table tennis. Different from the existing robots, you can improve your performance according to the user's sports ability. In addition, you can operate only a three -dimensional camera, which is convenient for users to use financial and deep l"&amp;"earning. The table tennis robots used can make great contributions to the rehabilitation of the elderly, patients and disabled in the future.")</f>
        <v>According to the embodiments of the present invention, deep -learning table tennis robot systems can use deep learning and visual systems to interact with users, and the method of table tennis robots proposed to detect complex mathematical computing and the track of table tennis. Different from the existing robots, you can improve your performance according to the user's sports ability. In addition, you can operate only a three -dimensional camera, which is convenient for users to use financial and deep learning. The table tennis robots used can make great contributions to the rehabilitation of the elderly, patients and disabled in the future.</v>
      </c>
      <c r="D2598" s="6" t="s">
        <v>7335</v>
      </c>
      <c r="E2598" s="4" t="str">
        <f ca="1">IFERROR(__xludf.DUMMYFUNCTION("GOOGLETRANSLATE(D2598,""auto"",""en"")"),"Use deep learning table tennis robot system")</f>
        <v>Use deep learning table tennis robot system</v>
      </c>
    </row>
    <row r="2599" spans="1:5" ht="15" x14ac:dyDescent="0.25">
      <c r="A2599" s="5" t="s">
        <v>7336</v>
      </c>
      <c r="B2599" s="6" t="s">
        <v>7337</v>
      </c>
      <c r="C2599" s="3" t="str">
        <f ca="1">IFERROR(__xludf.DUMMYFUNCTION("GOOGLETRANSLATE(B2599,""auto"",""en"")"),"The invention provides a data processing system based on the IoT -based fitness process. The data of the fitness process is collected and monitored. The data communication is based on the preset agreement and the preset communication time calibration meth"&amp;"od to analyze the data transmitted by the client. Data processing, storage, and providing query ports and data operation ports. The alarm level of the definition of parameter information of the present invention is displayed separately according to differ"&amp;"ent levels. The system provides multiple communication channels for data communication to meet the use of multiple scenarios, multi -user use, and users and users do not interfere. The comprehensive diagnosis information of the system is displayed to the "&amp;"user through a chart, including the status information of the fitness equipment, the environmental device of the environmental device, the environmental device of the environmental device Status information shows whether each parameter is within the thres"&amp;"hold range; provides users with a fitness report data, monthly report data; users can query the fitness historical information of a certain day according to the conditions to form a fitness report.")</f>
        <v>The invention provides a data processing system based on the IoT -based fitness process. The data of the fitness process is collected and monitored. The data communication is based on the preset agreement and the preset communication time calibration method to analyze the data transmitted by the client. Data processing, storage, and providing query ports and data operation ports. The alarm level of the definition of parameter information of the present invention is displayed separately according to different levels. The system provides multiple communication channels for data communication to meet the use of multiple scenarios, multi -user use, and users and users do not interfere. The comprehensive diagnosis information of the system is displayed to the user through a chart, including the status information of the fitness equipment, the environmental device of the environmental device, the environmental device of the environmental device Status information shows whether each parameter is within the threshold range; provides users with a fitness report data, monthly report data; users can query the fitness historical information of a certain day according to the conditions to form a fitness report.</v>
      </c>
      <c r="D2599" s="6" t="s">
        <v>7338</v>
      </c>
      <c r="E2599" s="4" t="str">
        <f ca="1">IFERROR(__xludf.DUMMYFUNCTION("GOOGLETRANSLATE(D2599,""auto"",""en"")"),"A data processing system based on the Internet of Things -based")</f>
        <v>A data processing system based on the Internet of Things -based</v>
      </c>
    </row>
    <row r="2600" spans="1:5" ht="15" x14ac:dyDescent="0.25">
      <c r="A2600" s="5" t="s">
        <v>7339</v>
      </c>
      <c r="B2600" s="6" t="s">
        <v>7340</v>
      </c>
      <c r="C2600" s="3" t="str">
        <f ca="1">IFERROR(__xludf.DUMMYFUNCTION("GOOGLETRANSLATE(B2600,""auto"",""en"")"),"The present invention involves the field of picture processing, the field of algorithms, and the field of machine learning, especially a method of predicting fitness effects through computing surface tolerance. By collecting massive user training results "&amp;"data and emoticons during training, the circular neural network model is trained through TensorFlow provided by Google, predicting the distorted expressions during fitness during the later period, and given the corresponding effect data.")</f>
        <v>The present invention involves the field of picture processing, the field of algorithms, and the field of machine learning, especially a method of predicting fitness effects through computing surface tolerance. By collecting massive user training results data and emoticons during training, the circular neural network model is trained through TensorFlow provided by Google, predicting the distorted expressions during fitness during the later period, and given the corresponding effect data.</v>
      </c>
      <c r="D2600" s="6" t="s">
        <v>7341</v>
      </c>
      <c r="E2600" s="4" t="str">
        <f ca="1">IFERROR(__xludf.DUMMYFUNCTION("GOOGLETRANSLATE(D2600,""auto"",""en"")"),"A prediction method of fitness effect")</f>
        <v>A prediction method of fitness effect</v>
      </c>
    </row>
    <row r="2601" spans="1:5" ht="15" x14ac:dyDescent="0.25">
      <c r="A2601" s="5" t="s">
        <v>7342</v>
      </c>
      <c r="B2601" s="6" t="s">
        <v>7343</v>
      </c>
      <c r="C2601" s="3" t="str">
        <f ca="1">IFERROR(__xludf.DUMMYFUNCTION("GOOGLETRANSLATE(B2601,""auto"",""en"")"),"1. Design product name: The graphic user interface used for display screen panels for display screen panels.
 2. Design product use: The display screen panel is used to display the graphical user interface.
 3. Design of the design of the product in a"&amp;"ppearance: lies in the graphic user interface.
 4. Pictures or photos that can most indicate design points: main view.
 5. The purpose of graphical user interface: for human -computer interaction and realization of the function of display screen panel"&amp;"s, and can be used for display information, including map/navigation, media/entertainment, calendar/dating and communication information.
 6. Human -machine interaction method of graphical user interface: Graphic user interface can interact through touc"&amp;"h, light strike, rolling, sliding,/or pressing the display screen panel, and/or can interact with electronic devices with display screen panels.
 7.显示屏幕面板和图形用户界面可以应用于计算机、笔记本电脑、用于汽车的显示装置、GPS装置、导航仪、平板电脑、手机、智能手机、智能手环、智能眼镜、手表、智能手表、 Fitness monitors, headpho"&amp;"nes, personal digital assistants, smart speakers, television, set -top boxes, game consoles; display screen panels are commonly designed, so they omit other views.")</f>
        <v>1. Design product name: The graphic user interface used for display screen panels for display screen panels.
 2. Design product use: The display screen panel is used to display the graphical user interface.
 3. Design of the design of the product in appearance: lies in the graphic user interface.
 4. Pictures or photos that can most indicate design points: main view.
 5. The purpose of graphical user interface: for human -computer interaction and realization of the function of display screen panels, and can be used for display information, including map/navigation, media/entertainment, calendar/dating and communication information.
 6. Human -machine interaction method of graphical user interface: Graphic user interface can interact through touch, light strike, rolling, sliding,/or pressing the display screen panel, and/or can interact with electronic devices with display screen panels.
 7.显示屏幕面板和图形用户界面可以应用于计算机、笔记本电脑、用于汽车的显示装置、GPS装置、导航仪、平板电脑、手机、智能手机、智能手环、智能眼镜、手表、智能手表、 Fitness monitors, headphones, personal digital assistants, smart speakers, television, set -top boxes, game consoles; display screen panels are commonly designed, so they omit other views.</v>
      </c>
      <c r="D2601" s="6" t="s">
        <v>7265</v>
      </c>
      <c r="E2601" s="4" t="str">
        <f ca="1">IFERROR(__xludf.DUMMYFUNCTION("GOOGLETRANSLATE(D2601,""auto"",""en"")"),"The graphical user interface used for the display panel for the display panel")</f>
        <v>The graphical user interface used for the display panel for the display panel</v>
      </c>
    </row>
    <row r="2602" spans="1:5" ht="15" x14ac:dyDescent="0.25">
      <c r="A2602" s="5" t="s">
        <v>7344</v>
      </c>
      <c r="B2602" s="6" t="s">
        <v>7345</v>
      </c>
      <c r="C2602" s="3" t="str">
        <f ca="1">IFERROR(__xludf.DUMMYFUNCTION("GOOGLETRANSLATE(B2602,""auto"",""en"")"),"The present invention disclosed a composite voltage -electrical film and its preparation method. The present invention uses pure natural plant nano -cellulose fiber, MXENE and polytin fluoride as raw materials. A nano -cellulose/PVDF composite film with s"&amp;"trong voltage performance. Low production costs and simple craftsmanship; product flexibility and high sensitivity, which are both suitable for mass production and continuous production. Leisure, human -computer interaction and transportation have great a"&amp;"pplication potential.")</f>
        <v>The present invention disclosed a composite voltage -electrical film and its preparation method. The present invention uses pure natural plant nano -cellulose fiber, MXENE and polytin fluoride as raw materials. A nano -cellulose/PVDF composite film with strong voltage performance. Low production costs and simple craftsmanship; product flexibility and high sensitivity, which are both suitable for mass production and continuous production. Leisure, human -computer interaction and transportation have great application potential.</v>
      </c>
      <c r="D2602" s="6" t="s">
        <v>7346</v>
      </c>
      <c r="E2602" s="4" t="str">
        <f ca="1">IFERROR(__xludf.DUMMYFUNCTION("GOOGLETRANSLATE(D2602,""auto"",""en"")"),"A composite piezoelectric film and its preparation method")</f>
        <v>A composite piezoelectric film and its preparation method</v>
      </c>
    </row>
    <row r="2603" spans="1:5" ht="15" x14ac:dyDescent="0.25">
      <c r="A2603" s="5" t="s">
        <v>7347</v>
      </c>
      <c r="B2603" s="6" t="s">
        <v>7348</v>
      </c>
      <c r="C2603" s="3" t="str">
        <f ca="1">IFERROR(__xludf.DUMMYFUNCTION("GOOGLETRANSLATE(B2603,""auto"",""en"")"),"The present invention involves a method related to the area associated with the regional regional estimation of sporting goods, including the following steps: (a.) Determine multiple structural characteristics in the area; (b.) (C.) Each feature value was"&amp;" mapped to the physical attribute, where the mapping is based on a machine learning algorithm based on multiple samples, and each sample will be associated with the value of the physical attribute; (d. ) Use mapping to estimate the physical characteristic"&amp;"s of the area.")</f>
        <v>The present invention involves a method related to the area associated with the regional regional estimation of sporting goods, including the following steps: (a.) Determine multiple structural characteristics in the area; (b.) (C.) Each feature value was mapped to the physical attribute, where the mapping is based on a machine learning algorithm based on multiple samples, and each sample will be associated with the value of the physical attribute; (d. ) Use mapping to estimate the physical characteristics of the area.</v>
      </c>
      <c r="D2603" s="6" t="s">
        <v>7349</v>
      </c>
      <c r="E2603" s="4" t="str">
        <f ca="1">IFERROR(__xludf.DUMMYFUNCTION("GOOGLETRANSLATE(D2603,""auto"",""en"")"),"Sports article -based physical characteristics prediction")</f>
        <v>Sports article -based physical characteristics prediction</v>
      </c>
    </row>
    <row r="2604" spans="1:5" ht="15" x14ac:dyDescent="0.25">
      <c r="A2604" s="5" t="s">
        <v>7350</v>
      </c>
      <c r="B2604" s="6" t="s">
        <v>7351</v>
      </c>
      <c r="C2604" s="3" t="str">
        <f ca="1">IFERROR(__xludf.DUMMYFUNCTION("GOOGLETRANSLATE(B2604,""auto"",""en"")"),"The present invention provides a spray bath control system. Even if the sitrs' sitting positions in the bathtub change, they can illuminate the pressure spray water to continuously stimulate.
  Solution: When the bathor changes the sitting position, suc"&amp;"h as stretching sitting position, sitting legs, and sitting legs, deep learning device 211 judges the size and water or water surface of the bathor. It outputs the joint angle of the joints to migrate the vector, which is suitable for the blisters with th"&amp;"e location and the digital water. Pose -changing unit 205 Based on the joint angle of the output, a peaceful movement vector is used to adjust the stiffness transformation matrix 204M transformation to the human model 201N suitable for the body shape. Aft"&amp;"er the above processing, the texture map unit 207 attaches the meridian map to the deformation human body model, so that the shot torrent from 111H to 115H changes to the point position of the acupuncture position. The posture of the bath. Can make
  【S"&amp;"election Figure】 Figure 3")</f>
        <v>The present invention provides a spray bath control system. Even if the sitrs' sitting positions in the bathtub change, they can illuminate the pressure spray water to continuously stimulate.
  Solution: When the bathor changes the sitting position, such as stretching sitting position, sitting legs, and sitting legs, deep learning device 211 judges the size and water or water surface of the bathor. It outputs the joint angle of the joints to migrate the vector, which is suitable for the blisters with the location and the digital water. Pose -changing unit 205 Based on the joint angle of the output, a peaceful movement vector is used to adjust the stiffness transformation matrix 204M transformation to the human model 201N suitable for the body shape. After the above processing, the texture map unit 207 attaches the meridian map to the deformation human body model, so that the shot torrent from 111H to 115H changes to the point position of the acupuncture position. The posture of the bath. Can make
  【Selection Figure】 Figure 3</v>
      </c>
      <c r="D2604" s="6" t="s">
        <v>7352</v>
      </c>
      <c r="E2604" s="4" t="str">
        <f ca="1">IFERROR(__xludf.DUMMYFUNCTION("GOOGLETRANSLATE(D2604,""auto"",""en"")"),"Jet Bath Control System")</f>
        <v>Jet Bath Control System</v>
      </c>
    </row>
    <row r="2605" spans="1:5" ht="15" x14ac:dyDescent="0.25">
      <c r="A2605" s="5" t="s">
        <v>7353</v>
      </c>
      <c r="B2605" s="6" t="s">
        <v>7354</v>
      </c>
      <c r="C2605" s="3" t="str">
        <f ca="1">IFERROR(__xludf.DUMMYFUNCTION("GOOGLETRANSLATE(B2605,""auto"",""en"")"),"The invention involves an online game game tendency analysis and counseling system that uses image analysis and big data analysis. It uses the user interface (UI, User Interface). image. The configuration is recorded and analyzed by the recording video, a"&amp;"nd metadata, including the method, strategy, tactics, deployment, etc. including artificial intelligence learning analysis and providing players' methods, strategies, tactics, deployments, etc. Provide statistics and image data for each player. Character,"&amp;" including client application 100, video record unit 200, metadata analysis unit 300, data storage unit 400, and client network 500's main components are provided.")</f>
        <v>The invention involves an online game game tendency analysis and counseling system that uses image analysis and big data analysis. It uses the user interface (UI, User Interface). image. The configuration is recorded and analyzed by the recording video, and metadata, including the method, strategy, tactics, deployment, etc. including artificial intelligence learning analysis and providing players' methods, strategies, tactics, deployments, etc. Provide statistics and image data for each player. Character, including client application 100, video record unit 200, metadata analysis unit 300, data storage unit 400, and client network 500's main components are provided.</v>
      </c>
      <c r="D2605" s="6" t="s">
        <v>7355</v>
      </c>
      <c r="E2605" s="4" t="str">
        <f ca="1">IFERROR(__xludf.DUMMYFUNCTION("GOOGLETRANSLATE(D2605,""auto"",""en"")"),"Online game game trend analysis and coaching system through video analysis and big data analysis")</f>
        <v>Online game game trend analysis and coaching system through video analysis and big data analysis</v>
      </c>
    </row>
    <row r="2606" spans="1:5" ht="15" x14ac:dyDescent="0.25">
      <c r="A2606" s="5" t="s">
        <v>7356</v>
      </c>
      <c r="B2606" s="6" t="s">
        <v>7357</v>
      </c>
      <c r="C2606" s="3" t="str">
        <f ca="1">IFERROR(__xludf.DUMMYFUNCTION("GOOGLETRANSLATE(B2606,""auto"",""en"")"),"Exporting three -dimensional (3D) data from the image data includes image data from at least one camera receiving the environment, and at least one object in the environment from the image data. The 2D skeleton of the object is classified and determined b"&amp;"y the neural network, and the 3D skeleton is determined by mapping the 2D skeleton to 3D. You can classify multiple associated sub-object 404A-C of the part of the person. The 2D skeleton can be mapped to 3D. It can use neural networks, statistics, or pro"&amp;"bability methods, and can be used to use the body anatomy complete constraint. The image data can include the frame sequence sorted by each collected time sorting from each of multiple cameras, and the object can be classified and tracked across the frame"&amp;" sequence in each frame. The 3D model of the environment can be constructed, and the positioning and mapping can be used to estimate the position and direction of each camera. It can build a 3D embodiment by integrating the 3D skeleton and the object of t"&amp;"he object. These objects can be athletes and sports equipment in the real -world sports environment, such as football, tennis or rugby games.")</f>
        <v>Exporting three -dimensional (3D) data from the image data includes image data from at least one camera receiving the environment, and at least one object in the environment from the image data. The 2D skeleton of the object is classified and determined by the neural network, and the 3D skeleton is determined by mapping the 2D skeleton to 3D. You can classify multiple associated sub-object 404A-C of the part of the person. The 2D skeleton can be mapped to 3D. It can use neural networks, statistics, or probability methods, and can be used to use the body anatomy complete constraint. The image data can include the frame sequence sorted by each collected time sorting from each of multiple cameras, and the object can be classified and tracked across the frame sequence in each frame. The 3D model of the environment can be constructed, and the positioning and mapping can be used to estimate the position and direction of each camera. It can build a 3D embodiment by integrating the 3D skeleton and the object of the object. These objects can be athletes and sports equipment in the real -world sports environment, such as football, tennis or rugby games.</v>
      </c>
      <c r="D2606" s="6" t="s">
        <v>7358</v>
      </c>
      <c r="E2606" s="4" t="str">
        <f ca="1">IFERROR(__xludf.DUMMYFUNCTION("GOOGLETRANSLATE(D2606,""auto"",""en"")"),"The real -time system for 4D space -time models used to generate the real world environment")</f>
        <v>The real -time system for 4D space -time models used to generate the real world environment</v>
      </c>
    </row>
    <row r="2607" spans="1:5" ht="15" x14ac:dyDescent="0.25">
      <c r="A2607" s="5" t="s">
        <v>7359</v>
      </c>
      <c r="B2607" s="6" t="s">
        <v>7360</v>
      </c>
      <c r="C2607" s="3" t="str">
        <f ca="1">IFERROR(__xludf.DUMMYFUNCTION("GOOGLETRANSLATE(B2607,""auto"",""en"")"),"The present invention disclosed a drone sports competition confrontation device, including: drone, the drone has a capture device; the game with the game, the small ball can be captured by the drone capture device capture device capture device Take and le"&amp;"t go; under the influence of external force collision, the small ball captured by the captured device can drop. The drone sports competition of the present invention can perform projects similar to basketball games, while at the same time can slow down th"&amp;"e collision impact that the game or work, so that the drone can continue to work, for drone research and development, artificial intelligence, and artificial intelligence Developers provide a good inspection and exchange platform, while increasing the int"&amp;"erest of drone enthusiasts.")</f>
        <v>The present invention disclosed a drone sports competition confrontation device, including: drone, the drone has a capture device; the game with the game, the small ball can be captured by the drone capture device capture device capture device Take and let go; under the influence of external force collision, the small ball captured by the captured device can drop. The drone sports competition of the present invention can perform projects similar to basketball games, while at the same time can slow down the collision impact that the game or work, so that the drone can continue to work, for drone research and development, artificial intelligence, and artificial intelligence Developers provide a good inspection and exchange platform, while increasing the interest of drone enthusiasts.</v>
      </c>
      <c r="D2607" s="6" t="s">
        <v>7361</v>
      </c>
      <c r="E2607" s="4" t="str">
        <f ca="1">IFERROR(__xludf.DUMMYFUNCTION("GOOGLETRANSLATE(D2607,""auto"",""en"")"),"A drone sports competition confrontation device")</f>
        <v>A drone sports competition confrontation device</v>
      </c>
    </row>
    <row r="2608" spans="1:5" ht="15" x14ac:dyDescent="0.25">
      <c r="A2608" s="5" t="s">
        <v>7362</v>
      </c>
      <c r="B2608" s="6" t="s">
        <v>7363</v>
      </c>
      <c r="C2608" s="3" t="str">
        <f ca="1">IFERROR(__xludf.DUMMYFUNCTION("GOOGLETRANSLATE(B2608,""auto"",""en"")"),"This utility model opens up a drone sports competition confrontation device, including: drone, the drone has a capture device; and the game with the game, the game can be captured by the drone capture device. Crab and let go; the ball that the drone was c"&amp;"aptured by the drone was collided by the external force collision. This practical new type of drone sports competition confrontation device can perform projects similar to basketball confrontation. At the same time, it can slow down the impact of the coll"&amp;"ision in the game or work, so that the drone can continue to work, for drone R &amp; D and artificial manual artificially Intelligent developers provide a good inspection and communication platform, while increasing the interest of drone enthusiasts.")</f>
        <v>This utility model opens up a drone sports competition confrontation device, including: drone, the drone has a capture device; and the game with the game, the game can be captured by the drone capture device. Crab and let go; the ball that the drone was captured by the drone was collided by the external force collision. This practical new type of drone sports competition confrontation device can perform projects similar to basketball confrontation. At the same time, it can slow down the impact of the collision in the game or work, so that the drone can continue to work, for drone R &amp; D and artificial manual artificially Intelligent developers provide a good inspection and communication platform, while increasing the interest of drone enthusiasts.</v>
      </c>
      <c r="D2608" s="6" t="s">
        <v>7361</v>
      </c>
      <c r="E2608" s="4" t="str">
        <f ca="1">IFERROR(__xludf.DUMMYFUNCTION("GOOGLETRANSLATE(D2608,""auto"",""en"")"),"A drone sports competition confrontation device")</f>
        <v>A drone sports competition confrontation device</v>
      </c>
    </row>
    <row r="2609" spans="1:5" ht="15" x14ac:dyDescent="0.25">
      <c r="A2609" s="5" t="s">
        <v>7364</v>
      </c>
      <c r="B2609" s="6" t="s">
        <v>7365</v>
      </c>
      <c r="C2609" s="3" t="str">
        <f ca="1">IFERROR(__xludf.DUMMYFUNCTION("GOOGLETRANSLATE(B2609,""auto"",""en"")"),"The present invention provides a smart coaching car that includes: sensing modules, which are used to sensing the surrounding environment information of smart trainers; processing modules, and communication with the sensor module and the collection module"&amp;" respectively, respectively, respectively, respectively. It is used to obtain the current status information of the smart coaching car, and provides real -time guidance for the driving operation of the trainee according to the surrounding environment info"&amp;"rmation of the smart coach car and the current status information; Human -machine interactions that realize students with smart coaches. The present invention can be intelligent teaching for students to learn cars without the need to accompany the instruc"&amp;"tions. The intelligent coach cars can not only teach the students to learn the car anytime, anywhere, but also realize the self -learning cars of the students.")</f>
        <v>The present invention provides a smart coaching car that includes: sensing modules, which are used to sensing the surrounding environment information of smart trainers; processing modules, and communication with the sensor module and the collection module respectively, respectively, respectively, respectively. It is used to obtain the current status information of the smart coaching car, and provides real -time guidance for the driving operation of the trainee according to the surrounding environment information of the smart coach car and the current status information; Human -machine interactions that realize students with smart coaches. The present invention can be intelligent teaching for students to learn cars without the need to accompany the instructions. The intelligent coach cars can not only teach the students to learn the car anytime, anywhere, but also realize the self -learning cars of the students.</v>
      </c>
      <c r="D2609" s="6" t="s">
        <v>7366</v>
      </c>
      <c r="E2609" s="4" t="str">
        <f ca="1">IFERROR(__xludf.DUMMYFUNCTION("GOOGLETRANSLATE(D2609,""auto"",""en"")"),"Smart coach car")</f>
        <v>Smart coach car</v>
      </c>
    </row>
    <row r="2610" spans="1:5" ht="15" x14ac:dyDescent="0.25">
      <c r="A2610" s="5" t="s">
        <v>7367</v>
      </c>
      <c r="B2610" s="6" t="s">
        <v>7368</v>
      </c>
      <c r="C2610" s="3" t="str">
        <f ca="1">IFERROR(__xludf.DUMMYFUNCTION("GOOGLETRANSLATE(B2610,""auto"",""en"")"),"Describe artificial intelligence -based sports control technology. According to one aspect of the present invention, instructions are provided based on the actions performed by the user's reference to the instructor. Various parameters of user movement ar"&amp;"e analyzed, exported, and storage parameters. Animation based on the user or the user's incarnation based on the user's motion parameters. The various technologies or algorithms are designed to provide different perspectives of the movement of users and c"&amp;"oaches, and compare the movement or posture of users and coaches.")</f>
        <v>Describe artificial intelligence -based sports control technology. According to one aspect of the present invention, instructions are provided based on the actions performed by the user's reference to the instructor. Various parameters of user movement are analyzed, exported, and storage parameters. Animation based on the user or the user's incarnation based on the user's motion parameters. The various technologies or algorithms are designed to provide different perspectives of the movement of users and coaches, and compare the movement or posture of users and coaches.</v>
      </c>
      <c r="D2610" s="6" t="s">
        <v>7369</v>
      </c>
      <c r="E2610" s="4" t="str">
        <f ca="1">IFERROR(__xludf.DUMMYFUNCTION("GOOGLETRANSLATE(D2610,""auto"",""en"")"),"Exercise control through clothes")</f>
        <v>Exercise control through clothes</v>
      </c>
    </row>
    <row r="2611" spans="1:5" ht="15" x14ac:dyDescent="0.25">
      <c r="A2611" s="5" t="s">
        <v>7370</v>
      </c>
      <c r="B2611" s="6" t="s">
        <v>7371</v>
      </c>
      <c r="C2611" s="3" t="str">
        <f ca="1">IFERROR(__xludf.DUMMYFUNCTION("GOOGLETRANSLATE(B2611,""auto"",""en"")"),"The present invention involves a method of providing customers with custom -made skin external preparations based on artificial intelligence diagnosis. Among them, the invention (A) accumulates various raw materials and skin external preparations and eval"&amp;"uated information in the raw materials information database. (B) Customers enter skin opinion information, skin measurement information, and skin image information. The above information is accumulated in the skin information database through the Internet"&amp;". Run provides the skin characteristics of specific customers and raw material information optimized at that time and the information of topical skin preparations, and (d) to provide customer custom skin preparations accordingly. Optimized skin diagnostic"&amp;" information and natural physiological active raw materials information provides solutions and skin care for each customer, and the skin types and corresponding time points of specific customers. By selecting raws suitable for skin condition, especially t"&amp;"he suitable natural physiological active raw materials, customers with optimized design are customized skin -made preparations.")</f>
        <v>The present invention involves a method of providing customers with custom -made skin external preparations based on artificial intelligence diagnosis. Among them, the invention (A) accumulates various raw materials and skin external preparations and evaluated information in the raw materials information database. (B) Customers enter skin opinion information, skin measurement information, and skin image information. The above information is accumulated in the skin information database through the Internet. Run provides the skin characteristics of specific customers and raw material information optimized at that time and the information of topical skin preparations, and (d) to provide customer custom skin preparations accordingly. Optimized skin diagnostic information and natural physiological active raw materials information provides solutions and skin care for each customer, and the skin types and corresponding time points of specific customers. By selecting raws suitable for skin condition, especially the suitable natural physiological active raw materials, customers with optimized design are customized skin -made preparations.</v>
      </c>
      <c r="D2611" s="6" t="s">
        <v>7372</v>
      </c>
      <c r="E2611" s="4" t="str">
        <f ca="1">IFERROR(__xludf.DUMMYFUNCTION("GOOGLETRANSLATE(D2611,""auto"",""en"")"),"Methods to provide custom skin -based skin diagnosis based on artificial intelligence diagnosis")</f>
        <v>Methods to provide custom skin -based skin diagnosis based on artificial intelligence diagnosis</v>
      </c>
    </row>
    <row r="2612" spans="1:5" ht="15" x14ac:dyDescent="0.25">
      <c r="A2612" s="5" t="s">
        <v>7373</v>
      </c>
      <c r="B2612" s="6" t="s">
        <v>7374</v>
      </c>
      <c r="C2612" s="3" t="str">
        <f ca="1">IFERROR(__xludf.DUMMYFUNCTION("GOOGLETRANSLATE(B2612,""auto"",""en"")"),"It describes the method of estimating the area related to the region of the sports items. This method includes determining multiple structural features in the area. Determining the characteristic value for each structural features, and maping each feature"&amp;" value to the physical attribute. Among them The sample associates the characteristic value with the value of the physical attribute, and uses mapping to estimate the physical attributes of the area.")</f>
        <v>It describes the method of estimating the area related to the region of the sports items. This method includes determining multiple structural features in the area. Determining the characteristic value for each structural features, and maping each feature value to the physical attribute. Among them The sample associates the characteristic value with the value of the physical attribute, and uses mapping to estimate the physical attributes of the area.</v>
      </c>
      <c r="D2612" s="6" t="s">
        <v>7349</v>
      </c>
      <c r="E2612" s="4" t="str">
        <f ca="1">IFERROR(__xludf.DUMMYFUNCTION("GOOGLETRANSLATE(D2612,""auto"",""en"")"),"Sports article -based physical characteristics prediction")</f>
        <v>Sports article -based physical characteristics prediction</v>
      </c>
    </row>
    <row r="2613" spans="1:5" ht="15" x14ac:dyDescent="0.25">
      <c r="A2613" s="5" t="s">
        <v>7375</v>
      </c>
      <c r="B2613" s="6" t="s">
        <v>7376</v>
      </c>
      <c r="C2613" s="3" t="str">
        <f ca="1">IFERROR(__xludf.DUMMYFUNCTION("GOOGLETRANSLATE(B2613,""auto"",""en"")"),"This utility model involves the technology field of rehabilitation medicine and sports fitness device, and has disclosed a kind of lying sit -sitting, standing integrated intelligent double limb rehabilitation evaluation training equipment, including the "&amp;"base, which is fixed on the top of the base. The top of the bracket is fixed with a screen. The episode is sitting and standing integrated intelligent double limb rehabilitation evaluation training equipment. The artificial intelligence system on the scre"&amp;"en will assist patients for lower limb rehabilitation training. The rotor rotates upwards, and at the same time, the lower limb rehabilitation device is moved to the left upper left through the rod, so as to achieve the purpose of exercising the lower lim"&amp;"bs. At the same time, it increases the effect of patients to achieve the training of patient rehabilitation through the artificial intelligence system. Losses also reduce excessive rehabilitation training caused by patients' physical constitution.")</f>
        <v>This utility model involves the technology field of rehabilitation medicine and sports fitness device, and has disclosed a kind of lying sit -sitting, standing integrated intelligent double limb rehabilitation evaluation training equipment, including the base, which is fixed on the top of the base. The top of the bracket is fixed with a screen. The episode is sitting and standing integrated intelligent double limb rehabilitation evaluation training equipment. The artificial intelligence system on the screen will assist patients for lower limb rehabilitation training. The rotor rotates upwards, and at the same time, the lower limb rehabilitation device is moved to the left upper left through the rod, so as to achieve the purpose of exercising the lower limbs. At the same time, it increases the effect of patients to achieve the training of patient rehabilitation through the artificial intelligence system. Losses also reduce excessive rehabilitation training caused by patients' physical constitution.</v>
      </c>
      <c r="D2613" s="6" t="s">
        <v>7377</v>
      </c>
      <c r="E2613" s="4" t="str">
        <f ca="1">IFERROR(__xludf.DUMMYFUNCTION("GOOGLETRANSLATE(D2613,""auto"",""en"")"),"A kind of lying down, standing integrated intelligent double limb rehabilitation evaluation training equipment")</f>
        <v>A kind of lying down, standing integrated intelligent double limb rehabilitation evaluation training equipment</v>
      </c>
    </row>
    <row r="2614" spans="1:5" ht="15" x14ac:dyDescent="0.25">
      <c r="A2614" s="5" t="s">
        <v>7378</v>
      </c>
      <c r="B2614" s="6" t="s">
        <v>7379</v>
      </c>
      <c r="C2614" s="3" t="str">
        <f ca="1">IFERROR(__xludf.DUMMYFUNCTION("GOOGLETRANSLATE(B2614,""auto"",""en"")"),"Passenger transportation methods, systems, and applications, immediately or systematic departure with or without driver selection and/or product/file/cargo transportation, integrated with virtual stores to purchase promotion/parcel/product/service/duplica"&amp;"te The wrapping of sex competitions, with its own social network, with rewards and advantages clubs. There are some applications, websites, and systems that can transport passengers, services, purchases, advantages and rewards, and social networks. They w"&amp;"ork independently. Our application system allows passengers to start immediately. Using the driver's identification code and competition preference settings, it can be arranged and repeated, allowing the creation of parcels. As long as there is a availabl"&amp;"e reward points balance, users will apply discounts within the scope provided by the system. It also has an integrated social network that can access the professional and business information of people using our platform. Allowing purchase of food, produc"&amp;"ts, packages, contract services, transport passengers, goods, products, documents. It has scheduling and other options for transportation and purchasing products and/or services. Sending services, you can choose transportation, product sales, equipment, s"&amp;"ervice provision, engineering. Book accommodation and service. All this is effective in manual intelligence.")</f>
        <v>Passenger transportation methods, systems, and applications, immediately or systematic departure with or without driver selection and/or product/file/cargo transportation, integrated with virtual stores to purchase promotion/parcel/product/service/duplicate The wrapping of sex competitions, with its own social network, with rewards and advantages clubs. There are some applications, websites, and systems that can transport passengers, services, purchases, advantages and rewards, and social networks. They work independently. Our application system allows passengers to start immediately. Using the driver's identification code and competition preference settings, it can be arranged and repeated, allowing the creation of parcels. As long as there is a available reward points balance, users will apply discounts within the scope provided by the system. It also has an integrated social network that can access the professional and business information of people using our platform. Allowing purchase of food, products, packages, contract services, transport passengers, goods, products, documents. It has scheduling and other options for transportation and purchasing products and/or services. Sending services, you can choose transportation, product sales, equipment, service provision, engineering. Book accommodation and service. All this is effective in manual intelligence.</v>
      </c>
      <c r="D2614" s="6" t="s">
        <v>7380</v>
      </c>
      <c r="E2614" s="4" t="str">
        <f ca="1">IFERROR(__xludf.DUMMYFUNCTION("GOOGLETRANSLATE(D2614,""auto"",""en"")"),"The methods and systems for passenger transportation and/or product/file/cargo transportation of passengers that are used with or without drivers and systems are used to buy promotion/package/product/service/service/recurring package virtual. The integrat"&amp;"ed application of the store and your own social network, as well as rewards and advantages clubs")</f>
        <v>The methods and systems for passenger transportation and/or product/file/cargo transportation of passengers that are used with or without drivers and systems are used to buy promotion/package/product/service/service/recurring package virtual. The integrated application of the store and your own social network, as well as rewards and advantages clubs</v>
      </c>
    </row>
    <row r="2615" spans="1:5" ht="15" x14ac:dyDescent="0.25">
      <c r="A2615" s="5" t="s">
        <v>7381</v>
      </c>
      <c r="B2615" s="6" t="s">
        <v>2319</v>
      </c>
      <c r="C2615" s="3" t="str">
        <f ca="1">IFERROR(__xludf.DUMMYFUNCTION("GOOGLETRANSLATE(B2615,""auto"",""en"")"),"Use two or more cameras to track the path and/or direction of the athlete's objects. Use at least two sets of images with at least two different cameras with different positions. Identify the motion area in the image and identify the candidate position in"&amp;" the two -dimensional space of the object in the motion area. Based on this, the possible position of the recognition part in the 3D space is recognized and used for each of the multiple moments in the nearby period. At least the 3D trajectory of the segm"&amp;"ented 3D trajectory of the object can be approximately similar in the 3D space of the athlete's multiple instantaneous 3D space. The graphic of the 3D trajectory of the object is merged into at least one set of images.")</f>
        <v>Use two or more cameras to track the path and/or direction of the athlete's objects. Use at least two sets of images with at least two different cameras with different positions. Identify the motion area in the image and identify the candidate position in the two -dimensional space of the object in the motion area. Based on this, the possible position of the recognition part in the 3D space is recognized and used for each of the multiple moments in the nearby period. At least the 3D trajectory of the segmented 3D trajectory of the object can be approximately similar in the 3D space of the athlete's multiple instantaneous 3D space. The graphic of the 3D trajectory of the object is merged into at least one set of images.</v>
      </c>
      <c r="D2615" s="6" t="s">
        <v>2320</v>
      </c>
      <c r="E2615" s="4" t="str">
        <f ca="1">IFERROR(__xludf.DUMMYFUNCTION("GOOGLETRANSLATE(D2615,""auto"",""en"")"),"Use a computer visual tracking handheld sports appliance")</f>
        <v>Use a computer visual tracking handheld sports appliance</v>
      </c>
    </row>
    <row r="2616" spans="1:5" ht="15" x14ac:dyDescent="0.25">
      <c r="A2616" s="5" t="s">
        <v>7382</v>
      </c>
      <c r="B2616" s="6" t="s">
        <v>7383</v>
      </c>
      <c r="C2616" s="3" t="str">
        <f ca="1">IFERROR(__xludf.DUMMYFUNCTION("GOOGLETRANSLATE(B2616,""auto"",""en"")"),"The present invention discloses an automatic analysis and visualization method of basketball events combining knowledge maps. By automatic analysis of the intense analysis of the competition, presenting the field of shooting events and organizing the shoo"&amp;"ting action video, the knowledge map data is used as a basketball visualization The loading and knowledge expansion of the background information enhances the user's understanding of basketball events. This method includes the statistics and shooting data"&amp;" of basketball competitions from the data analysis website, and identify the shooting of the shot by identifying the changes in the score board; build a mapping of the real basketball field and the two -dimensional coordinate system, complete the shooting"&amp;" event visualization and establish the video abstracts. Corresponding relationship; determine the visualization of the shooting event, and query the information of the knowledge map database based on the physical query of the physical query; use text proc"&amp;"essing technology to process the knowledge map data, and complete the visual rendering of the visualized component in the visual component.")</f>
        <v>The present invention discloses an automatic analysis and visualization method of basketball events combining knowledge maps. By automatic analysis of the intense analysis of the competition, presenting the field of shooting events and organizing the shooting action video, the knowledge map data is used as a basketball visualization The loading and knowledge expansion of the background information enhances the user's understanding of basketball events. This method includes the statistics and shooting data of basketball competitions from the data analysis website, and identify the shooting of the shot by identifying the changes in the score board; build a mapping of the real basketball field and the two -dimensional coordinate system, complete the shooting event visualization and establish the video abstracts. Corresponding relationship; determine the visualization of the shooting event, and query the information of the knowledge map database based on the physical query of the physical query; use text processing technology to process the knowledge map data, and complete the visual rendering of the visualized component in the visual component.</v>
      </c>
      <c r="D2616" s="6" t="s">
        <v>7384</v>
      </c>
      <c r="E2616" s="4" t="str">
        <f ca="1">IFERROR(__xludf.DUMMYFUNCTION("GOOGLETRANSLATE(D2616,""auto"",""en"")"),"The automatic analysis and visual method of shooting events combined with the knowledge map of the knowledge map")</f>
        <v>The automatic analysis and visual method of shooting events combined with the knowledge map of the knowledge map</v>
      </c>
    </row>
    <row r="2617" spans="1:5" ht="15" x14ac:dyDescent="0.25">
      <c r="A2617" s="5" t="s">
        <v>7385</v>
      </c>
      <c r="B2617" s="6" t="s">
        <v>7386</v>
      </c>
      <c r="C2617" s="3" t="str">
        <f ca="1">IFERROR(__xludf.DUMMYFUNCTION("GOOGLETRANSLATE(B2617,""auto"",""en"")"),"The present invention discloses a drowning method and system based on motion component threshold and machine learning. The nine -axis sensor is used to collect human swimming data, filter, normalize and FFT processing of data, extract feature values, cond"&amp;"uct feature values ​​for feature values, and perform feature values ​​for feature values. The pattern matching, when the mode match is unsuccessful, the motion data will be decomposed in weight. Set the horizontal direction displacement threshold as a con"&amp;"dition for judging the possible drowning. When the pattern matching is unsuccessful and the non -drowning warning status is used, the machine learning method is used to extract feature data and classified the deposit of the mode library. The mode library "&amp;"continues to be updated, which can continuously improve the accuracy of the detection algorithm.")</f>
        <v>The present invention discloses a drowning method and system based on motion component threshold and machine learning. The nine -axis sensor is used to collect human swimming data, filter, normalize and FFT processing of data, extract feature values, conduct feature values ​​for feature values, and perform feature values ​​for feature values. The pattern matching, when the mode match is unsuccessful, the motion data will be decomposed in weight. Set the horizontal direction displacement threshold as a condition for judging the possible drowning. When the pattern matching is unsuccessful and the non -drowning warning status is used, the machine learning method is used to extract feature data and classified the deposit of the mode library. The mode library continues to be updated, which can continuously improve the accuracy of the detection algorithm.</v>
      </c>
      <c r="D2617" s="6" t="s">
        <v>7387</v>
      </c>
      <c r="E2617" s="4" t="str">
        <f ca="1">IFERROR(__xludf.DUMMYFUNCTION("GOOGLETRANSLATE(D2617,""auto"",""en"")"),"Drowning method and system based on motion component threshold and machine learning")</f>
        <v>Drowning method and system based on motion component threshold and machine learning</v>
      </c>
    </row>
    <row r="2618" spans="1:5" ht="15" x14ac:dyDescent="0.25">
      <c r="A2618" s="5" t="s">
        <v>7388</v>
      </c>
      <c r="B2618" s="6" t="s">
        <v>7389</v>
      </c>
      <c r="C2618" s="3" t="str">
        <f ca="1">IFERROR(__xludf.DUMMYFUNCTION("GOOGLETRANSLATE(B2618,""auto"",""en"")"),"The present invention provides a system of visually impaired information presentation system that can present information, enabling people with visually impaired people to enjoy a realistic sports competition.
  Solution: The information presentation of"&amp;" the visually impaired person shows the system 1 to capture the football field F with a camera 2, and from the image, processing equipment 3 to determine the location and shape of the outside of the venue. This is a fixed object. The position of the playe"&amp;"r and the position of the fixed object of the football, and map the fixed objects, players, and dynamic objects into information to present a map of information presentation information in any proportion to the venue F. On the top, visual disorders can to"&amp;"uch the information in the two -dimensional space.
  【Selection Figure】 Figure 1")</f>
        <v>The present invention provides a system of visually impaired information presentation system that can present information, enabling people with visually impaired people to enjoy a realistic sports competition.
  Solution: The information presentation of the visually impaired person shows the system 1 to capture the football field F with a camera 2, and from the image, processing equipment 3 to determine the location and shape of the outside of the venue. This is a fixed object. The position of the player and the position of the fixed object of the football, and map the fixed objects, players, and dynamic objects into information to present a map of information presentation information in any proportion to the venue F. On the top, visual disorders can touch the information in the two -dimensional space.
  【Selection Figure】 Figure 1</v>
      </c>
      <c r="D2618" s="6" t="s">
        <v>7390</v>
      </c>
      <c r="E2618" s="4" t="str">
        <f ca="1">IFERROR(__xludf.DUMMYFUNCTION("GOOGLETRANSLATE(D2618,""auto"",""en"")"),"Instant information presentation system")</f>
        <v>Instant information presentation system</v>
      </c>
    </row>
    <row r="2619" spans="1:5" ht="15" x14ac:dyDescent="0.25">
      <c r="A2619" s="5" t="s">
        <v>7391</v>
      </c>
      <c r="B2619" s="6" t="s">
        <v>7392</v>
      </c>
      <c r="C2619" s="3" t="str">
        <f ca="1">IFERROR(__xludf.DUMMYFUNCTION("GOOGLETRANSLATE(B2619,""auto"",""en"")"),"The present invention involves image recognition, which specifically involves an automatic presentation method of the live broadcast information of e -sports events. Open the H5 operating interface on PC2 and connect to the OB e -sports competition. When "&amp;"the screen on the PC2 shows valid data or information update, information update appears. At this time, click the related button to trigger the screenshot operation in the operation interface. PC2 determines the identification image information or identif"&amp;"ies text information based on the related button pressed in S1. Calculating the threshold, because the identified image information is always distributed in the fixed position of the screenshot, so the screenshot of the S3 processing in S3 can be divided "&amp;"according to the coordinates set in advance. The segmentation picture will compare the selected segmentation picture with the RGB value in the picture template in the database; the technical solution provided by the present invention can effectively overc"&amp;"ome the defects that cannot automatically update subtitles and slow image information recognition speed according to the live screen.")</f>
        <v>The present invention involves image recognition, which specifically involves an automatic presentation method of the live broadcast information of e -sports events. Open the H5 operating interface on PC2 and connect to the OB e -sports competition. When the screen on the PC2 shows valid data or information update, information update appears. At this time, click the related button to trigger the screenshot operation in the operation interface. PC2 determines the identification image information or identifies text information based on the related button pressed in S1. Calculating the threshold, because the identified image information is always distributed in the fixed position of the screenshot, so the screenshot of the S3 processing in S3 can be divided according to the coordinates set in advance. The segmentation picture will compare the selected segmentation picture with the RGB value in the picture template in the database; the technical solution provided by the present invention can effectively overcome the defects that cannot automatically update subtitles and slow image information recognition speed according to the live screen.</v>
      </c>
      <c r="D2619" s="6" t="s">
        <v>7393</v>
      </c>
      <c r="E2619" s="4" t="str">
        <f ca="1">IFERROR(__xludf.DUMMYFUNCTION("GOOGLETRANSLATE(D2619,""auto"",""en"")"),"An automatic presentation method of a live broadcast screen information of e -sports events")</f>
        <v>An automatic presentation method of a live broadcast screen information of e -sports events</v>
      </c>
    </row>
    <row r="2620" spans="1:5" ht="15" x14ac:dyDescent="0.25">
      <c r="A2620" s="5" t="s">
        <v>7394</v>
      </c>
      <c r="B2620" s="6" t="s">
        <v>7395</v>
      </c>
      <c r="C2620" s="3" t="str">
        <f ca="1">IFERROR(__xludf.DUMMYFUNCTION("GOOGLETRANSLATE(B2620,""auto"",""en"")"),"The present invention involves a flipping table tennis pickup device, including mobile vehicles, ball -storage containers, turning arms and temporary balls. The sleeve structure of the open -end opening of the temporary pill, connecting the outer wall sur"&amp;"face of the temporary pills to the turn of the arms, the open surface of the temporary reservoir is equipped with multiple parallel elastic wires. The opening of the ball with elastic wire is pressed on the table tennis, so that the table tennis is squeez"&amp;"ed into the temporary reserve from the adjacent elastic silk. The opening surface of the elastic wire is poured into the ball -storage container. Compared with the existing technology, the volume of the invention pickup device is largely reduced, which ca"&amp;"n flexibly enter the small space in the tribute tables under the table tennis table to pick up the ball; reduce the noise when picking up the ball; The identification function realizes the specific determination of the target table tennis position, which "&amp;"significantly improves the accuracy of the picked picker pickup process.")</f>
        <v>The present invention involves a flipping table tennis pickup device, including mobile vehicles, ball -storage containers, turning arms and temporary balls. The sleeve structure of the open -end opening of the temporary pill, connecting the outer wall surface of the temporary pills to the turn of the arms, the open surface of the temporary reservoir is equipped with multiple parallel elastic wires. The opening of the ball with elastic wire is pressed on the table tennis, so that the table tennis is squeezed into the temporary reserve from the adjacent elastic silk. The opening surface of the elastic wire is poured into the ball -storage container. Compared with the existing technology, the volume of the invention pickup device is largely reduced, which can flexibly enter the small space in the tribute tables under the table tennis table to pick up the ball; reduce the noise when picking up the ball; The identification function realizes the specific determination of the target table tennis position, which significantly improves the accuracy of the picked picker pickup process.</v>
      </c>
      <c r="D2620" s="6" t="s">
        <v>7396</v>
      </c>
      <c r="E2620" s="4" t="str">
        <f ca="1">IFERROR(__xludf.DUMMYFUNCTION("GOOGLETRANSLATE(D2620,""auto"",""en"")"),"A flipping table tennis pickup device")</f>
        <v>A flipping table tennis pickup device</v>
      </c>
    </row>
    <row r="2621" spans="1:5" ht="15" x14ac:dyDescent="0.25">
      <c r="A2621" s="5" t="s">
        <v>7397</v>
      </c>
      <c r="B2621" s="6" t="s">
        <v>7398</v>
      </c>
      <c r="C2621" s="3" t="str">
        <f ca="1">IFERROR(__xludf.DUMMYFUNCTION("GOOGLETRANSLATE(B2621,""auto"",""en"")"),"The present invention involves the field of speaker control, and a basketball -type smart speaker control system is disclosed, including controlling terminals and basketball -style smart speakers. The control terminals are installed on the control termina"&amp;"l. One touch screen, memory, voice recognition module and first wireless communication module, basketball smart speakers include microprocessors, second wireless communication modules, second touch screens, audio processing circuits and speakers; audio pr"&amp;"ocessing circuits include voltage input The end, the first potentiometer, the first capacitor, the second potentiometer, the second capacitor, the first triangle, the third resistance, the third capacitor, the fourth power position, the second two polar p"&amp;"ipes, the second two -polar pipe , Sixth Electric Power, Second Trust Pipe, Seventh Resistance, Fifth Resistance, Third Polar Tube, Fourth Trimine Pipe, Fourth Capacitor and Battery. The control methods of the present invention are more flexible, the safe"&amp;"ty and reliability of the circuit is high, and the safe power supply is achieved.")</f>
        <v>The present invention involves the field of speaker control, and a basketball -type smart speaker control system is disclosed, including controlling terminals and basketball -style smart speakers. The control terminals are installed on the control terminal. One touch screen, memory, voice recognition module and first wireless communication module, basketball smart speakers include microprocessors, second wireless communication modules, second touch screens, audio processing circuits and speakers; audio processing circuits include voltage input The end, the first potentiometer, the first capacitor, the second potentiometer, the second capacitor, the first triangle, the third resistance, the third capacitor, the fourth power position, the second two polar pipes, the second two -polar pipe , Sixth Electric Power, Second Trust Pipe, Seventh Resistance, Fifth Resistance, Third Polar Tube, Fourth Trimine Pipe, Fourth Capacitor and Battery. The control methods of the present invention are more flexible, the safety and reliability of the circuit is high, and the safe power supply is achieved.</v>
      </c>
      <c r="D2621" s="6" t="s">
        <v>7399</v>
      </c>
      <c r="E2621" s="4" t="str">
        <f ca="1">IFERROR(__xludf.DUMMYFUNCTION("GOOGLETRANSLATE(D2621,""auto"",""en"")"),"Basketball -style smart speaker control system based on wireless ways")</f>
        <v>Basketball -style smart speaker control system based on wireless ways</v>
      </c>
    </row>
    <row r="2622" spans="1:5" ht="15" x14ac:dyDescent="0.25">
      <c r="A2622" s="5" t="s">
        <v>7400</v>
      </c>
      <c r="B2622" s="6" t="s">
        <v>7401</v>
      </c>
      <c r="C2622" s="3" t="str">
        <f ca="1">IFERROR(__xludf.DUMMYFUNCTION("GOOGLETRANSLATE(B2622,""auto"",""en"")"),"A video keyframe detection method combined with a combination of manual features and depth features is used in the field of sports video content analysis. Due to the complicated network structure of deep features, the efficiency is not high. Broadcast vid"&amp;"eos also include many other types of lenses such as midfield rest and gradient lens. The test results include a large number of irrelevant frames. In response to this issue, a video keytess detection method combined with a combination of manual features a"&amp;"nd depth features. First, the lens boundary detection is performed based on the characteristics of the colors. Furthermore is further proposed based on the similarity of the histogram to get a similar clustering method to get the candidate key frame. Fina"&amp;"lly, based on deep neural networks, the candidate keyframe is classified to obtain real key frames. The results of the comparison experiments on the videos and basketball game videos of the curling game show that compared with the traditional background d"&amp;"ifferential method and light flow method, this method can quickly and reliable to extract key frames.")</f>
        <v>A video keyframe detection method combined with a combination of manual features and depth features is used in the field of sports video content analysis. Due to the complicated network structure of deep features, the efficiency is not high. Broadcast videos also include many other types of lenses such as midfield rest and gradient lens. The test results include a large number of irrelevant frames. In response to this issue, a video keytess detection method combined with a combination of manual features and depth features. First, the lens boundary detection is performed based on the characteristics of the colors. Furthermore is further proposed based on the similarity of the histogram to get a similar clustering method to get the candidate key frame. Finally, based on deep neural networks, the candidate keyframe is classified to obtain real key frames. The results of the comparison experiments on the videos and basketball game videos of the curling game show that compared with the traditional background differential method and light flow method, this method can quickly and reliable to extract key frames.</v>
      </c>
      <c r="D2622" s="6" t="s">
        <v>7402</v>
      </c>
      <c r="E2622" s="4" t="str">
        <f ca="1">IFERROR(__xludf.DUMMYFUNCTION("GOOGLETRANSLATE(D2622,""auto"",""en"")"),"Video key frame detection method of class handmade characteristics and depth features")</f>
        <v>Video key frame detection method of class handmade characteristics and depth features</v>
      </c>
    </row>
    <row r="2623" spans="1:5" ht="15" x14ac:dyDescent="0.25">
      <c r="A2623" s="5" t="s">
        <v>7403</v>
      </c>
      <c r="B2623" s="6" t="s">
        <v>7404</v>
      </c>
      <c r="C2623" s="3" t="str">
        <f ca="1">IFERROR(__xludf.DUMMYFUNCTION("GOOGLETRANSLATE(B2623,""auto"",""en"")"),"The invention disclosed a shooting training system and method based on smartphones and artificial intelligence. The system includes the stadium positioning system, basket detection system, player identity recognition system, player action analysis system,"&amp;" basketball trajectory recording system, goal detection system And visualization back system. During training, the stadium positioning system is detected on the side line of the court boundary, midline, free throw line, restricted area and free throw zone"&amp;"; the basket detection system is detected and tracking and real -time detection based on target tracking; player identity recognition system Confirm the position and identity of the player; the player action analysis system obtains the position informatio"&amp;"n of the player's body joint node; the basketball trajectory recording system records the position and target size of the ball; The information and the frame of the video are stored and played back. The present invention facilitates the shooting training "&amp;"of basketball trainers and improves the lack of existing shot training systems.")</f>
        <v>The invention disclosed a shooting training system and method based on smartphones and artificial intelligence. The system includes the stadium positioning system, basket detection system, player identity recognition system, player action analysis system, basketball trajectory recording system, goal detection system And visualization back system. During training, the stadium positioning system is detected on the side line of the court boundary, midline, free throw line, restricted area and free throw zone; the basket detection system is detected and tracking and real -time detection based on target tracking; player identity recognition system Confirm the position and identity of the player; the player action analysis system obtains the position information of the player's body joint node; the basketball trajectory recording system records the position and target size of the ball; The information and the frame of the video are stored and played back. The present invention facilitates the shooting training of basketball trainers and improves the lack of existing shot training systems.</v>
      </c>
      <c r="D2623" s="6" t="s">
        <v>7405</v>
      </c>
      <c r="E2623" s="4" t="str">
        <f ca="1">IFERROR(__xludf.DUMMYFUNCTION("GOOGLETRANSLATE(D2623,""auto"",""en"")"),"A shooting training system and method based on smartphones and artificial intelligence")</f>
        <v>A shooting training system and method based on smartphones and artificial intelligence</v>
      </c>
    </row>
    <row r="2624" spans="1:5" ht="15" x14ac:dyDescent="0.25">
      <c r="A2624" s="5" t="s">
        <v>7406</v>
      </c>
      <c r="B2624" s="6" t="s">
        <v>7407</v>
      </c>
      <c r="C2624" s="3" t="str">
        <f ca="1">IFERROR(__xludf.DUMMYFUNCTION("GOOGLETRANSLATE(B2624,""auto"",""en"")"),"The present invention disclosed an artificial intelligence -based basketball shooting hand video analysis system and method. This system includes hand detection systems, gesture key point detection systems and hand -type analysis systems; hand detection s"&amp;"ystem records the training status of the training status The detection box of the trainer's hand detection and positioning in the image; the gesture key point detection system will process the image processing in the hand position detection box detected b"&amp;"y the hand detection system to get the joint node of the hand; The obtained gesture key points are analyzed by action and compared with the gesture of the pre -set standard gesture. Analysis method includes video acquisition, hand detection system operati"&amp;"on, gesture key point detection system operation and hand -type analysis system operation. The present invention allows users to provide feedback from shooting hand -type standards without extra manual shooting during shooting training, and pointed out th"&amp;"e gap between the wrong hand shape and the correct hand shape, so that the shots still get the shooting hand without a coach. Type teaching feedback.")</f>
        <v>The present invention disclosed an artificial intelligence -based basketball shooting hand video analysis system and method. This system includes hand detection systems, gesture key point detection systems and hand -type analysis systems; hand detection system records the training status of the training status The detection box of the trainer's hand detection and positioning in the image; the gesture key point detection system will process the image processing in the hand position detection box detected by the hand detection system to get the joint node of the hand; The obtained gesture key points are analyzed by action and compared with the gesture of the pre -set standard gesture. Analysis method includes video acquisition, hand detection system operation, gesture key point detection system operation and hand -type analysis system operation. The present invention allows users to provide feedback from shooting hand -type standards without extra manual shooting during shooting training, and pointed out the gap between the wrong hand shape and the correct hand shape, so that the shots still get the shooting hand without a coach. Type teaching feedback.</v>
      </c>
      <c r="D2624" s="6" t="s">
        <v>7408</v>
      </c>
      <c r="E2624" s="4" t="str">
        <f ca="1">IFERROR(__xludf.DUMMYFUNCTION("GOOGLETRANSLATE(D2624,""auto"",""en"")"),"An artificial intelligence -based basketball shooting hand video analysis system and method")</f>
        <v>An artificial intelligence -based basketball shooting hand video analysis system and method</v>
      </c>
    </row>
    <row r="2625" spans="1:5" ht="15" x14ac:dyDescent="0.25">
      <c r="A2625" s="5" t="s">
        <v>7409</v>
      </c>
      <c r="B2625" s="6" t="s">
        <v>7410</v>
      </c>
      <c r="C2625" s="3" t="str">
        <f ca="1">IFERROR(__xludf.DUMMYFUNCTION("GOOGLETRANSLATE(B2625,""auto"",""en"")"),"Use the data from local sensors and artificial intelligence algorithms to select and present content, especially the method of dynamic personalized advertising. It is characterized by the data flowing from the local sensor (C) (d) from the first step. ,即关"&amp;"于环境条件的信息,优选地例如:移动的位置和速度、天气状况、交通、潜在接收者的数量、性别、年龄,然后,在第二步中,对获取的(WPD)数据(D ) Preliminary processing, and then import the collected data (d) and preliminary data analysis (WA) results into the local -operated intelligent analysis algorithm (A1), preferably in t"&amp;"he memory control unit content (1) memory (P), in it In the third step, intelligent analysis (AI) is carried out by algorithm-preferred artificial intelligence algorithm (s) and/or decision tree and/or/or self-learning mechanism (MS). In four steps, the c"&amp;"ontent of the content of artificial intelligence (s) and/or self-learning mechanism (MS) matching the content of the advertisement (R) with the receiver (O) of the content/environment, and then display it in the advertising content carrier (n) (n) Essence"&amp;" A mobile system that uses content control units and display selection and presentation content, especially dynamic personalized advertising, is characterized by: the system: mobile content control unit (1), display module (2), advertising content managem"&amp;"ent module (3 3 ) Composition, and the mobile content control unit (1) has memory (p) and wired and/or wireless connection to: display module (2) as the carrier (n) and sensor (C) of the advertising content, where the mobile content control unit ( 1) With"&amp;" CMS advertising content management module (3) wireless connection, preferably use GSM or Wi-Fi or Bluetooth; while mobile content control unit (1) and display module (2) are placed on the mobile running platform (RP), it is best to be Half -trailer or tr"&amp;"uck or bus or tram.")</f>
        <v>Use the data from local sensors and artificial intelligence algorithms to select and present content, especially the method of dynamic personalized advertising. It is characterized by the data flowing from the local sensor (C) (d) from the first step. ,即关于环境条件的信息,优选地例如:移动的位置和速度、天气状况、交通、潜在接收者的数量、性别、年龄,然后,在第二步中,对获取的(WPD)数据(D ) Preliminary processing, and then import the collected data (d) and preliminary data analysis (WA) results into the local -operated intelligent analysis algorithm (A1), preferably in the memory control unit content (1) memory (P), in it In the third step, intelligent analysis (AI) is carried out by algorithm-preferred artificial intelligence algorithm (s) and/or decision tree and/or/or self-learning mechanism (MS). In four steps, the content of the content of artificial intelligence (s) and/or self-learning mechanism (MS) matching the content of the advertisement (R) with the receiver (O) of the content/environment, and then display it in the advertising content carrier (n) (n) Essence A mobile system that uses content control units and display selection and presentation content, especially dynamic personalized advertising, is characterized by: the system: mobile content control unit (1), display module (2), advertising content management module (3 3 ) Composition, and the mobile content control unit (1) has memory (p) and wired and/or wireless connection to: display module (2) as the carrier (n) and sensor (C) of the advertising content, where the mobile content control unit ( 1) With CMS advertising content management module (3) wireless connection, preferably use GSM or Wi-Fi or Bluetooth; while mobile content control unit (1) and display module (2) are placed on the mobile running platform (RP), it is best to be Half -trailer or truck or bus or tram.</v>
      </c>
      <c r="D2625" s="6" t="s">
        <v>7411</v>
      </c>
      <c r="E2625" s="4" t="str">
        <f ca="1">IFERROR(__xludf.DUMMYFUNCTION("GOOGLETRANSLATE(D2625,""auto"",""en"")"),"Select and present content, especially dynamic personalized advertising, move systems and methods")</f>
        <v>Select and present content, especially dynamic personalized advertising, move systems and methods</v>
      </c>
    </row>
    <row r="2626" spans="1:5" ht="15" x14ac:dyDescent="0.25">
      <c r="A2626" s="5" t="s">
        <v>7412</v>
      </c>
      <c r="B2626" s="6" t="s">
        <v>7413</v>
      </c>
      <c r="C2626" s="3" t="str">
        <f ca="1">IFERROR(__xludf.DUMMYFUNCTION("GOOGLETRANSLATE(B2626,""auto"",""en"")"),"This article describes systems and technologies for supervising privacy to protect privacy. The open systems and methods can enable different computers operated by different entities to jointly perform unsupervised learning based on their respective data "&amp;"pools, while protecting privacy. The system improves efficiency and scalability, while protecting privacy and avoiding leakage cluster logo. This system can be based on the 1-OT-OF-N inadvertently transmitted (OT), and calculates the safety distance throu"&amp;"gh the corresponding data value X and Y from the computer, and calculate the safety distance. In various embodiments, N can be a share of 2, 4 or some other quantities. The first computer can use Base-N to represent its data value x. The second computer c"&amp;"an form a × n matrix containing random numbers M i, 0 and other elements m i, j = (yjn I -M i, 0) mode. The first computer can receive output vectors from OT, and its weight is m i = (YX i No I -M i, 0) mode.")</f>
        <v>This article describes systems and technologies for supervising privacy to protect privacy. The open systems and methods can enable different computers operated by different entities to jointly perform unsupervised learning based on their respective data pools, while protecting privacy. The system improves efficiency and scalability, while protecting privacy and avoiding leakage cluster logo. This system can be based on the 1-OT-OF-N inadvertently transmitted (OT), and calculates the safety distance through the corresponding data value X and Y from the computer, and calculate the safety distance. In various embodiments, N can be a share of 2, 4 or some other quantities. The first computer can use Base-N to represent its data value x. The second computer can form a × n matrix containing random numbers M i, 0 and other elements m i, j = (yjn I -M i, 0) mode. The first computer can receive output vectors from OT, and its weight is m i = (YX i No I -M i, 0) mode.</v>
      </c>
      <c r="D2626" s="6" t="s">
        <v>5829</v>
      </c>
      <c r="E2626" s="4" t="str">
        <f ca="1">IFERROR(__xludf.DUMMYFUNCTION("GOOGLETRANSLATE(D2626,""auto"",""en"")"),"Double server privacy protection collection")</f>
        <v>Double server privacy protection collection</v>
      </c>
    </row>
    <row r="2627" spans="1:5" ht="15" x14ac:dyDescent="0.25">
      <c r="A2627" s="5" t="s">
        <v>7414</v>
      </c>
      <c r="B2627" s="6" t="s">
        <v>7415</v>
      </c>
      <c r="C2627" s="3" t="str">
        <f ca="1">IFERROR(__xludf.DUMMYFUNCTION("GOOGLETRANSLATE(B2627,""auto"",""en"")"),"The present invention involves the field of intelligent identification technology. Specifically is a voice recognition sensor and voice control system in the smart toy system, including: audio sampling identification module for collecting voice data; memo"&amp;"ry, connect to the audio sampling identification module, use it, use In the storage audio sampling identification module transmitted by the voice data, and store the voice data; read the module to call the voice data stored in the memory, and integrate th"&amp;"e voice data; determine the module to receive the read module integration The subsequent voice data and the receiving voice data is executed to achieve different mode switching. The design of the invention is novel. The judgment module set up can be judge"&amp;"d by different voice commands to achieve different mode switching. The user can be used by users and the high -precision competition mode and entertainment mode based on the environmental noise and disturbance of the venue environment. There are three mod"&amp;"es of standard mode.")</f>
        <v>The present invention involves the field of intelligent identification technology. Specifically is a voice recognition sensor and voice control system in the smart toy system, including: audio sampling identification module for collecting voice data; memory, connect to the audio sampling identification module, use it, use In the storage audio sampling identification module transmitted by the voice data, and store the voice data; read the module to call the voice data stored in the memory, and integrate the voice data; determine the module to receive the read module integration The subsequent voice data and the receiving voice data is executed to achieve different mode switching. The design of the invention is novel. The judgment module set up can be judged by different voice commands to achieve different mode switching. The user can be used by users and the high -precision competition mode and entertainment mode based on the environmental noise and disturbance of the venue environment. There are three modes of standard mode.</v>
      </c>
      <c r="D2627" s="6" t="s">
        <v>7416</v>
      </c>
      <c r="E2627" s="4" t="str">
        <f ca="1">IFERROR(__xludf.DUMMYFUNCTION("GOOGLETRANSLATE(D2627,""auto"",""en"")"),"A voice recognition sensor and voice control system in a smart toy system")</f>
        <v>A voice recognition sensor and voice control system in a smart toy system</v>
      </c>
    </row>
    <row r="2628" spans="1:5" ht="15" x14ac:dyDescent="0.25">
      <c r="A2628" s="5" t="s">
        <v>7417</v>
      </c>
      <c r="B2628" s="6" t="s">
        <v>7418</v>
      </c>
      <c r="C2628" s="3" t="str">
        <f ca="1">IFERROR(__xludf.DUMMYFUNCTION("GOOGLETRANSLATE(B2628,""auto"",""en"")"),"The new type of utility type belongs to the field of training equipment technology. It is a muscle training equipment with IoT function, including the bottom plate. The horizontal plate, there are two sliding rods in the groove, and the sliding pole slide"&amp;"s on the slider is equipped with a slider. The upper end of the slider is set. There is a mobile device between the bottom end. The side of the slider is fixed between the side of the slider and the side wall of the inner wall of the groove. There is a fi"&amp;"xed connection with a controller on one side of the bottom plate. The practical new model is convenient for the athlete's legs to train special states, and the structure is simple and convenient to use, which can meet the use of different athletes. At the"&amp;" same time, it has the IoT effect. It is convenient for athletes to view the training data and arrange the training plan reasonably.")</f>
        <v>The new type of utility type belongs to the field of training equipment technology. It is a muscle training equipment with IoT function, including the bottom plate. The horizontal plate, there are two sliding rods in the groove, and the sliding pole slides on the slider is equipped with a slider. The upper end of the slider is set. There is a mobile device between the bottom end. The side of the slider is fixed between the side of the slider and the side wall of the inner wall of the groove. There is a fixed connection with a controller on one side of the bottom plate. The practical new model is convenient for the athlete's legs to train special states, and the structure is simple and convenient to use, which can meet the use of different athletes. At the same time, it has the IoT effect. It is convenient for athletes to view the training data and arrange the training plan reasonably.</v>
      </c>
      <c r="D2628" s="6" t="s">
        <v>7419</v>
      </c>
      <c r="E2628" s="4" t="str">
        <f ca="1">IFERROR(__xludf.DUMMYFUNCTION("GOOGLETRANSLATE(D2628,""auto"",""en"")"),"A muscle training equipment with IoT function")</f>
        <v>A muscle training equipment with IoT function</v>
      </c>
    </row>
    <row r="2629" spans="1:5" ht="15" x14ac:dyDescent="0.25">
      <c r="A2629" s="5" t="s">
        <v>7420</v>
      </c>
      <c r="B2629" s="6" t="s">
        <v>7421</v>
      </c>
      <c r="C2629" s="3" t="str">
        <f ca="1">IFERROR(__xludf.DUMMYFUNCTION("GOOGLETRANSLATE(B2629,""auto"",""en"")"),"This utility model involves the field of intelligent identification technology. It is specifically a voice recognition sensor and voice control system in a smart toy system, including: audio sampling identification module for collecting voice data; memory"&amp;", connecting the audio sampling identification module, Used to store the voice data transmitted by the audio sampling identification module, and store the voice data; read the module to call the voice data stored in the memory, and integrate the voice dat"&amp;"a; judge the module to receive the read module to receive the read module The integrated voice data is performed and the received voice data is executed to achieve different mode switching. This utility model design is novel. The setting module set up can"&amp;" be executed for different voice commands, so as to achieve different mode switching. The user can be used by the user and the pioneering high -precision competition mode and entertainment based on the environmental noise of the venue. There are three mod"&amp;"es of mode and standard mode.")</f>
        <v>This utility model involves the field of intelligent identification technology. It is specifically a voice recognition sensor and voice control system in a smart toy system, including: audio sampling identification module for collecting voice data; memory, connecting the audio sampling identification module, Used to store the voice data transmitted by the audio sampling identification module, and store the voice data; read the module to call the voice data stored in the memory, and integrate the voice data; judge the module to receive the read module to receive the read module The integrated voice data is performed and the received voice data is executed to achieve different mode switching. This utility model design is novel. The setting module set up can be executed for different voice commands, so as to achieve different mode switching. The user can be used by the user and the pioneering high -precision competition mode and entertainment based on the environmental noise of the venue. There are three modes of mode and standard mode.</v>
      </c>
      <c r="D2629" s="6" t="s">
        <v>7416</v>
      </c>
      <c r="E2629" s="4" t="str">
        <f ca="1">IFERROR(__xludf.DUMMYFUNCTION("GOOGLETRANSLATE(D2629,""auto"",""en"")"),"A voice recognition sensor and voice control system in a smart toy system")</f>
        <v>A voice recognition sensor and voice control system in a smart toy system</v>
      </c>
    </row>
    <row r="2630" spans="1:5" ht="15" x14ac:dyDescent="0.25">
      <c r="A2630" s="5" t="s">
        <v>7422</v>
      </c>
      <c r="B2630" s="6" t="s">
        <v>7423</v>
      </c>
      <c r="C2630" s="3" t="str">
        <f ca="1">IFERROR(__xludf.DUMMYFUNCTION("GOOGLETRANSLATE(B2630,""auto"",""en"")"),"The present invention provides an automatic way to generate the defense area of ​​basketball goals. The image segmentation algorithm is used. The algorithm enters the video frame corresponding to the basketball player. And the left and right half of the b"&amp;"asketball court in the video frame; train the division algorithm of the banquet zone, and use the division algorithm to obtain the restricted area of ​​the video frame; Defensive area; display the defensive area on the video frame. The invention uses deep"&amp;" learning algorithms to automatically analyze the defensive area of ​​the shot player -centered defensive team, and draw the defensive area in the video to improve the viewing of video clips.")</f>
        <v>The present invention provides an automatic way to generate the defense area of ​​basketball goals. The image segmentation algorithm is used. The algorithm enters the video frame corresponding to the basketball player. And the left and right half of the basketball court in the video frame; train the division algorithm of the banquet zone, and use the division algorithm to obtain the restricted area of ​​the video frame; Defensive area; display the defensive area on the video frame. The invention uses deep learning algorithms to automatically analyze the defensive area of ​​the shot player -centered defensive team, and draw the defensive area in the video to improve the viewing of video clips.</v>
      </c>
      <c r="D2630" s="6" t="s">
        <v>7424</v>
      </c>
      <c r="E2630" s="4" t="str">
        <f ca="1">IFERROR(__xludf.DUMMYFUNCTION("GOOGLETRANSLATE(D2630,""auto"",""en"")"),"A basketball goal time defense area automatic generation method and system")</f>
        <v>A basketball goal time defense area automatic generation method and system</v>
      </c>
    </row>
    <row r="2631" spans="1:5" ht="15" x14ac:dyDescent="0.25">
      <c r="A2631" s="5" t="s">
        <v>7425</v>
      </c>
      <c r="B2631" s="6" t="s">
        <v>7426</v>
      </c>
      <c r="C2631" s="3" t="str">
        <f ca="1">IFERROR(__xludf.DUMMYFUNCTION("GOOGLETRANSLATE(B2631,""auto"",""en"")"),"The present invention disclosed a intelligent identification handwriting mathematical formula review system, including the following steps: (1) identification; (2) pre -processing; (3) character recognition; (4) production positive answer rate. The presen"&amp;"t invention uses convolutional neural network models without extraction of character feature values, and the image recognition accuracy is high. The invention uses international mathematical formula recognition competition data set as a training sample, s"&amp;"imilar to actual input. The present invention completely replaces the handicrafts of the scrolls to reduce the cost of manpower. The present invention provides a positive answering report for the scholars or teachers to the positive answer rate of the tes"&amp;"t papers, making follow -up teaching more targeted and improving the quality of teaching.")</f>
        <v>The present invention disclosed a intelligent identification handwriting mathematical formula review system, including the following steps: (1) identification; (2) pre -processing; (3) character recognition; (4) production positive answer rate. The present invention uses convolutional neural network models without extraction of character feature values, and the image recognition accuracy is high. The invention uses international mathematical formula recognition competition data set as a training sample, similar to actual input. The present invention completely replaces the handicrafts of the scrolls to reduce the cost of manpower. The present invention provides a positive answering report for the scholars or teachers to the positive answer rate of the test papers, making follow -up teaching more targeted and improving the quality of teaching.</v>
      </c>
      <c r="D2631" s="6" t="s">
        <v>7427</v>
      </c>
      <c r="E2631" s="4" t="str">
        <f ca="1">IFERROR(__xludf.DUMMYFUNCTION("GOOGLETRANSLATE(D2631,""auto"",""en"")"),"A intelligent identification handwriting mathematical formula review system")</f>
        <v>A intelligent identification handwriting mathematical formula review system</v>
      </c>
    </row>
    <row r="2632" spans="1:5" ht="15" x14ac:dyDescent="0.25">
      <c r="A2632" s="5" t="s">
        <v>7428</v>
      </c>
      <c r="B2632" s="6" t="s">
        <v>7429</v>
      </c>
      <c r="C2632" s="3" t="str">
        <f ca="1">IFERROR(__xludf.DUMMYFUNCTION("GOOGLETRANSLATE(B2632,""auto"",""en"")"),"The theme of the present invention is especially a improved basin management system. After receiving the data from at least one source, the source includes at least one image source representing the basin and its environment, and the data received. The pr"&amp;"ocessing data includes at least one image of the image source. It is performed in the artificial intelligence module of the signature. The signature of the identification is processed in the expert system to determine the modification of at least one para"&amp;"meter of the swimming pool.")</f>
        <v>The theme of the present invention is especially a improved basin management system. After receiving the data from at least one source, the source includes at least one image source representing the basin and its environment, and the data received. The processing data includes at least one image of the image source. It is performed in the artificial intelligence module of the signature. The signature of the identification is processed in the expert system to determine the modification of at least one parameter of the swimming pool.</v>
      </c>
      <c r="D2632" s="6" t="s">
        <v>7430</v>
      </c>
      <c r="E2632" s="4" t="str">
        <f ca="1">IFERROR(__xludf.DUMMYFUNCTION("GOOGLETRANSLATE(D2632,""auto"",""en"")"),"Methods and devices used to improve the control of swimming pool")</f>
        <v>Methods and devices used to improve the control of swimming pool</v>
      </c>
    </row>
    <row r="2633" spans="1:5" ht="15" x14ac:dyDescent="0.25">
      <c r="A2633" s="5" t="s">
        <v>7431</v>
      </c>
      <c r="B2633" s="6" t="s">
        <v>7432</v>
      </c>
      <c r="C2633" s="3" t="str">
        <f ca="1">IFERROR(__xludf.DUMMYFUNCTION("GOOGLETRANSLATE(B2633,""auto"",""en"")"),"This embodiment involves a fitness assistance system for assisting fitness. Display units, use the fitness auxiliary system to provide fitness content related to the target object, as well as the movement of the movement of the target object to collect th"&amp;"e sports information of the target object. The target object provides a fitness auxiliary system, including object recognition units and processors. According to the movement information of the target object, according to the movement of the movement of t"&amp;"he target object, compares with the standard object, the control mode provides fitness content on the display unit.")</f>
        <v>This embodiment involves a fitness assistance system for assisting fitness. Display units, use the fitness auxiliary system to provide fitness content related to the target object, as well as the movement of the movement of the target object to collect the sports information of the target object. The target object provides a fitness auxiliary system, including object recognition units and processors. According to the movement information of the target object, according to the movement of the movement of the target object, compares with the standard object, the control mode provides fitness content on the display unit.</v>
      </c>
      <c r="D2633" s="6" t="s">
        <v>7433</v>
      </c>
      <c r="E2633" s="4" t="str">
        <f ca="1">IFERROR(__xludf.DUMMYFUNCTION("GOOGLETRANSLATE(D2633,""auto"",""en"")"),"Game -based artificial intelligence fitness assistance system and method")</f>
        <v>Game -based artificial intelligence fitness assistance system and method</v>
      </c>
    </row>
    <row r="2634" spans="1:5" ht="15" x14ac:dyDescent="0.25">
      <c r="A2634" s="5" t="s">
        <v>7434</v>
      </c>
      <c r="B2634" s="6" t="s">
        <v>7435</v>
      </c>
      <c r="C2634" s="3" t="str">
        <f ca="1">IFERROR(__xludf.DUMMYFUNCTION("GOOGLETRANSLATE(B2634,""auto"",""en"")"),"1. Design product name: Graphic user interface for display screens.
 2. Design products in this exterior: for running programs, display information and/or communication.
 3. Design of the design of the product in appearance: lies in the graphic user i"&amp;"nterface displayed.
 4. Pictures or photos that can most indicate design points: main view.
 5. Other views of the product do not have design points, and for the existing design, omit the three -dimensional map, posterior view, left view, right view, "&amp;"down -view view, and retry view.
 6. The purpose of the graphical user interface: The interface of the design of the product in this exterior is the interface of the application software client. The graphic user interface is used for human -computer int"&amp;"eraction and the function of product or software client.
 The graphic user interface in the mobile terminal in the figure is used to represent the specific operating interface of different modes. The display screen is used to at least one as follows: mo"&amp;"bile phones, tablets, desktop computers, and screen remote controls.
 The interface shows the dynamic change effect shown in the main view to the change state diagram: the interface of the changing state diagram after clicking the blue block in the main"&amp;" view map.
 The main view to the changing state map is the key frame of the above visual effects, not all frames.")</f>
        <v>1. Design product name: Graphic user interface for display screens.
 2. Design products in this exterior: for running programs, display information and/or communication.
 3. Design of the design of the product in appearance: lies in the graphic user interface displayed.
 4. Pictures or photos that can most indicate design points: main view.
 5. Other views of the product do not have design points, and for the existing design, omit the three -dimensional map, posterior view, left view, right view, down -view view, and retry view.
 6. The purpose of the graphical user interface: The interface of the design of the product in this exterior is the interface of the application software client. The graphic user interface is used for human -computer interaction and the function of product or software client.
 The graphic user interface in the mobile terminal in the figure is used to represent the specific operating interface of different modes. The display screen is used to at least one as follows: mobile phones, tablets, desktop computers, and screen remote controls.
 The interface shows the dynamic change effect shown in the main view to the change state diagram: the interface of the changing state diagram after clicking the blue block in the main view map.
 The main view to the changing state map is the key frame of the above visual effects, not all frames.</v>
      </c>
      <c r="D2634" s="6" t="s">
        <v>7436</v>
      </c>
      <c r="E2634" s="4" t="str">
        <f ca="1">IFERROR(__xludf.DUMMYFUNCTION("GOOGLETRANSLATE(D2634,""auto"",""en"")"),"Graphic user interface for display screen")</f>
        <v>Graphic user interface for display screen</v>
      </c>
    </row>
    <row r="2635" spans="1:5" ht="15" x14ac:dyDescent="0.25">
      <c r="A2635" s="5" t="s">
        <v>7437</v>
      </c>
      <c r="B2635" s="6" t="s">
        <v>7438</v>
      </c>
      <c r="C2635" s="3" t="str">
        <f ca="1">IFERROR(__xludf.DUMMYFUNCTION("GOOGLETRANSLATE(B2635,""auto"",""en"")"),"1. Design product name for this exterior: display screen panel.
 2. Design products in this exterior: for running programs, display information and/or communication.
 3. Design of the design of the product in appearance: lies in the graphic user inter"&amp;"face displayed.
 4. Pictures or photos that can best show design: Design 1 main view.
 5. Other views of the product do not have design points, and for the existing design, omitting the three -dimensional map, rear view, left view, right view, downwar"&amp;"d view, and upper view of the design of 1‑9.
 6. Specify design 1 is the basic design.
 7. The purpose of the graphical user interface: The interface of the design of the product in this exterior is the interface of the application software client. Th"&amp;"e graphic user interface is used for human -machine interaction and the function of product or software client.
 Design 1 The graphic user interface in the display screen panel of design 9 is used to represent the specific operating interface of differe"&amp;"nt modes. The display screen panel is used as follows at least one: mobile phone, tablet computer, desktop computer, and screen remote control.
 For example, design 1 ‑9 is used to represent adding picture materials, add video materials, display the cur"&amp;"rent playback video, picture quality adjustment, before the music addition, add and select music, add music, drag music, and intercept music.")</f>
        <v>1. Design product name for this exterior: display screen panel.
 2. Design products in this exterior: for running programs, display information and/or communication.
 3. Design of the design of the product in appearance: lies in the graphic user interface displayed.
 4. Pictures or photos that can best show design: Design 1 main view.
 5. Other views of the product do not have design points, and for the existing design, omitting the three -dimensional map, rear view, left view, right view, downward view, and upper view of the design of 1‑9.
 6. Specify design 1 is the basic design.
 7. The purpose of the graphical user interface: The interface of the design of the product in this exterior is the interface of the application software client. The graphic user interface is used for human -machine interaction and the function of product or software client.
 Design 1 The graphic user interface in the display screen panel of design 9 is used to represent the specific operating interface of different modes. The display screen panel is used as follows at least one: mobile phone, tablet computer, desktop computer, and screen remote control.
 For example, design 1 ‑9 is used to represent adding picture materials, add video materials, display the current playback video, picture quality adjustment, before the music addition, add and select music, add music, drag music, and intercept music.</v>
      </c>
      <c r="D2635" s="6" t="s">
        <v>7439</v>
      </c>
      <c r="E2635" s="4" t="str">
        <f ca="1">IFERROR(__xludf.DUMMYFUNCTION("GOOGLETRANSLATE(D2635,""auto"",""en"")"),"Display screen panel")</f>
        <v>Display screen panel</v>
      </c>
    </row>
    <row r="2636" spans="1:5" ht="15" x14ac:dyDescent="0.25">
      <c r="A2636" s="5" t="s">
        <v>7440</v>
      </c>
      <c r="B2636" s="6" t="s">
        <v>7441</v>
      </c>
      <c r="C2636" s="3" t="str">
        <f ca="1">IFERROR(__xludf.DUMMYFUNCTION("GOOGLETRANSLATE(B2636,""auto"",""en"")"),"1. Design product name: Display screen panel with a flight settings user interface.
 2. The purpose of designing products in this exterior: The display screen panel with a flight settings user interface is used to run the program, display information an"&amp;"d/or communication.
 The display screen panel is applied to a mobile phone or tablet.
 3. Design of the design of the product in this exterior: lies in the graphical user interface displayed in the display screen panel.
 4. Pictures or photos that c"&amp;"an best show design: Design 1 main view.
 5. Design 1 的6 rear view, downward view, viewing view, left view, right view, and three -dimensional maps are existing design, so omitted.
 6. Specify design 1 is the basic design.
 7. The purpose of the gra"&amp;"phical user interface: The interface of the design of the product in this exterior is the interface of the application software client. The graphic user interface is used for human -machine interaction and the function of product or software client.
 De"&amp;"sign 1 to Design 6 The graphic user interface displayed in the display screen panel is used to indicate the specific operating interface of different working modes of drones, cars or handheld gimbal.
 The main view of the whole view shows the operation "&amp;"interface of the operation of the drone, the gimbal car or the handheld gimbal.
 Design 1 The operation interface on the main view shows multiple function menus, and click different function menu to set the different functions of drones, gimbal cars or "&amp;"handheld gimbal.
 For example, in the reference map of design 1, the shooting screen and setting menu of drones, gimbal cars or handheld gimbal, shooting mode selection menu, flight mode select menu, flight control button and other function menu.
 For"&amp;" another example, design 2视6 main views and design 2‑6 References shown in the status of the use status, and set different functions of the device by designing 2‑6 main views and design 2‑6 References.")</f>
        <v>1. Design product name: Display screen panel with a flight settings user interface.
 2. The purpose of designing products in this exterior: The display screen panel with a flight settings user interface is used to run the program, display information and/or communication.
 The display screen panel is applied to a mobile phone or tablet.
 3. Design of the design of the product in this exterior: lies in the graphical user interface displayed in the display screen panel.
 4. Pictures or photos that can best show design: Design 1 main view.
 5. Design 1 的6 rear view, downward view, viewing view, left view, right view, and three -dimensional maps are existing design, so omitted.
 6. Specify design 1 is the basic design.
 7. The purpose of the graphical user interface: The interface of the design of the product in this exterior is the interface of the application software client. The graphic user interface is used for human -machine interaction and the function of product or software client.
 Design 1 to Design 6 The graphic user interface displayed in the display screen panel is used to indicate the specific operating interface of different working modes of drones, cars or handheld gimbal.
 The main view of the whole view shows the operation interface of the operation of the drone, the gimbal car or the handheld gimbal.
 Design 1 The operation interface on the main view shows multiple function menus, and click different function menu to set the different functions of drones, gimbal cars or handheld gimbal.
 For example, in the reference map of design 1, the shooting screen and setting menu of drones, gimbal cars or handheld gimbal, shooting mode selection menu, flight mode select menu, flight control button and other function menu.
 For another example, design 2视6 main views and design 2‑6 References shown in the status of the use status, and set different functions of the device by designing 2‑6 main views and design 2‑6 References.</v>
      </c>
      <c r="D2636" s="6" t="s">
        <v>7442</v>
      </c>
      <c r="E2636" s="4" t="str">
        <f ca="1">IFERROR(__xludf.DUMMYFUNCTION("GOOGLETRANSLATE(D2636,""auto"",""en"")"),"The display screen panel with a flight settings user interface")</f>
        <v>The display screen panel with a flight settings user interface</v>
      </c>
    </row>
    <row r="2637" spans="1:5" ht="15" x14ac:dyDescent="0.25">
      <c r="A2637" s="5" t="s">
        <v>7443</v>
      </c>
      <c r="B2637" s="6" t="s">
        <v>7444</v>
      </c>
      <c r="C2637" s="3" t="str">
        <f ca="1">IFERROR(__xludf.DUMMYFUNCTION("GOOGLETRANSLATE(B2637,""auto"",""en"")"),"1. Design product name: Display screen panel with a flight settings user interface.
 2. Design products in appearance: run program, display information and/or communication.
 3. Design of the design of the product in this exterior: lies in the graphic"&amp;"al user interface displayed in the display screen panel.
 4. Pictures or photos that can best show design: Design 1 main view.
 5.设计1‑4的后视图、俯视图、仰视图、左视图、右视图、立体图为现有设计，故省略，省略设计1‑4的后视图、俯视图、仰视图、左视图、右视图、 S three -dimensional diagram.
 6. Specify design 1 "&amp;"is the basic design.
 7. The purpose of the graphical user interface: The interface of the design of the product in this exterior is the interface of the application software client. The graphic user interface is used for human -machine interaction and "&amp;"the function of product or software client.
 Design 1 to Design 4 Display Flight Settings Graphic User Interface displayed in the display setting user interface to represent the specific operating interface of different working modes of the drone.
 Th"&amp;"e display screen panel is applied to a mobile phone or tablet.
 Design 1 显示4 Main view shows the operation interface of the operation of the drone.
 For example, designing multiple function menus in the operation interface on the main view 1, click di"&amp;"fferent function menus to set the different functions of the drone.
 For example, in the reference map of design 1, display screens and settings menu, shooting mode selection menu, flight mode selection menu, flight control button and other function men"&amp;"u are displayed.
 For another example, design 2视4 main view and design 2‑4 use status reference diagram, through design 2‑4 main view and design 2‑4 use status reference diagram Different functional menus to different functions of drones set up.")</f>
        <v>1. Design product name: Display screen panel with a flight settings user interface.
 2. Design products in appearance: run program, display information and/or communication.
 3. Design of the design of the product in this exterior: lies in the graphical user interface displayed in the display screen panel.
 4. Pictures or photos that can best show design: Design 1 main view.
 5.设计1‑4的后视图、俯视图、仰视图、左视图、右视图、立体图为现有设计，故省略，省略设计1‑4的后视图、俯视图、仰视图、左视图、右视图、 S three -dimensional diagram.
 6. Specify design 1 is the basic design.
 7. The purpose of the graphical user interface: The interface of the design of the product in this exterior is the interface of the application software client. The graphic user interface is used for human -machine interaction and the function of product or software client.
 Design 1 to Design 4 Display Flight Settings Graphic User Interface displayed in the display setting user interface to represent the specific operating interface of different working modes of the drone.
 The display screen panel is applied to a mobile phone or tablet.
 Design 1 显示4 Main view shows the operation interface of the operation of the drone.
 For example, designing multiple function menus in the operation interface on the main view 1, click different function menus to set the different functions of the drone.
 For example, in the reference map of design 1, display screens and settings menu, shooting mode selection menu, flight mode selection menu, flight control button and other function menu are displayed.
 For another example, design 2视4 main view and design 2‑4 use status reference diagram, through design 2‑4 main view and design 2‑4 use status reference diagram Different functional menus to different functions of drones set up.</v>
      </c>
      <c r="D2637" s="6" t="s">
        <v>7442</v>
      </c>
      <c r="E2637" s="4" t="str">
        <f ca="1">IFERROR(__xludf.DUMMYFUNCTION("GOOGLETRANSLATE(D2637,""auto"",""en"")"),"The display screen panel with a flight settings user interface")</f>
        <v>The display screen panel with a flight settings user interface</v>
      </c>
    </row>
    <row r="2638" spans="1:5" ht="15" x14ac:dyDescent="0.25">
      <c r="A2638" s="5" t="s">
        <v>7445</v>
      </c>
      <c r="B2638" s="6" t="s">
        <v>7446</v>
      </c>
      <c r="C2638" s="3" t="str">
        <f ca="1">IFERROR(__xludf.DUMMYFUNCTION("GOOGLETRANSLATE(B2638,""auto"",""en"")"),"1. Design product name: The flight operation control graphics user interface used for display screen panels.
 2. The purpose of designing products in this exterior: The user interface for the flight operation control of the screen panel is used to run t"&amp;"he program, display information and/or communication.
 The operation control graphical user interface application is in the display device, which include tablet computers and mobile phones.
 3. Design of the design of the product in this exterior: lie"&amp;"s in the flight operation control graphical user interface displayed in the display screen panel.
 4. Pictures or photos that can best show design: Design 1 main view.
 5.设计1‑3的后视图、俯视图、仰视图、左视图、右视图、立体图为现有设计，故省略，省略设计1‑3的后视图、俯视图、仰视图、左视图、右视图、 S three -dim"&amp;"ensional diagram.
 6. Specify design 1 is the basic design.
 7. The purpose of the graphical user interface: The flight operation control of the product is designed to control the graphic user interface of the graphic user interface. The interface of "&amp;"the application software client.
 The graphic user interface displayed in the display device from design 1 to design 3 is used to represent the specific operating interface of different modes.
 Display the graphical user interface by displaying the di"&amp;"splay screen.
 For example, design 1 main view shows the operation interface of the operation of the device.
 Design 1 The operating interface on the main view shows multiple function menus, and click different function menu to set the different funct"&amp;"ions of the device.
 For example, design 1 Reference in Figure 1‑8, display screens and settings menu, shooting mode selection menu, flight mode selection menu, flight control button and other function menu.
 For another example, design 2视3 main views"&amp;" and design 2‑3 References shown in the status of the use status, and set different functions of the device by designing 2‑3 main views and design 2‑3 References.")</f>
        <v>1. Design product name: The flight operation control graphics user interface used for display screen panels.
 2. The purpose of designing products in this exterior: The user interface for the flight operation control of the screen panel is used to run the program, display information and/or communication.
 The operation control graphical user interface application is in the display device, which include tablet computers and mobile phones.
 3. Design of the design of the product in this exterior: lies in the flight operation control graphical user interface displayed in the display screen panel.
 4. Pictures or photos that can best show design: Design 1 main view.
 5.设计1‑3的后视图、俯视图、仰视图、左视图、右视图、立体图为现有设计，故省略，省略设计1‑3的后视图、俯视图、仰视图、左视图、右视图、 S three -dimensional diagram.
 6. Specify design 1 is the basic design.
 7. The purpose of the graphical user interface: The flight operation control of the product is designed to control the graphic user interface of the graphic user interface. The interface of the application software client.
 The graphic user interface displayed in the display device from design 1 to design 3 is used to represent the specific operating interface of different modes.
 Display the graphical user interface by displaying the display screen.
 For example, design 1 main view shows the operation interface of the operation of the device.
 Design 1 The operating interface on the main view shows multiple function menus, and click different function menu to set the different functions of the device.
 For example, design 1 Reference in Figure 1‑8, display screens and settings menu, shooting mode selection menu, flight mode selection menu, flight control button and other function menu.
 For another example, design 2视3 main views and design 2‑3 References shown in the status of the use status, and set different functions of the device by designing 2‑3 main views and design 2‑3 References.</v>
      </c>
      <c r="D2638" s="6" t="s">
        <v>7447</v>
      </c>
      <c r="E2638" s="4" t="str">
        <f ca="1">IFERROR(__xludf.DUMMYFUNCTION("GOOGLETRANSLATE(D2638,""auto"",""en"")"),"Flight operation control graphics user interface for display screen panel")</f>
        <v>Flight operation control graphics user interface for display screen panel</v>
      </c>
    </row>
    <row r="2639" spans="1:5" ht="15" x14ac:dyDescent="0.25">
      <c r="A2639" s="5" t="s">
        <v>7448</v>
      </c>
      <c r="B2639" s="6" t="s">
        <v>7449</v>
      </c>
      <c r="C2639" s="3" t="str">
        <f ca="1">IFERROR(__xludf.DUMMYFUNCTION("GOOGLETRANSLATE(B2639,""auto"",""en"")"),"1. Design product name: The graphical user interface for display screen panels.
 2. Design products in this exterior: for running programs, display information and/or communication.
 3. Design of the design of the product in appearance: lies in the gr"&amp;"aphic user interface displayed.
 4. Pictures or photos that can best show design: Design 1 main view.
 5. Other views of the product do not have design points, and for the existing design, omitting the three -dimensional map, rear view, left view, rig"&amp;"ht view, downward view, and upper view of the design of 1‑3.
 6. Specify design 1 is the basic design.
 7. The purpose of the graphical user interface: The interface of the design of the product in this exterior is the interface of the application sof"&amp;"tware client. The graphic user interface is used for human -machine interaction and the function of product or software client.
 Design 1 The graphic user interface in the display screen panel of design 3 is used to represent the specific operating inte"&amp;"rface of different modes. The display screen panel is used as follows at least one: mobile phone, tablet computer, desktop computer, and screen remote control.")</f>
        <v>1. Design product name: The graphical user interface for display screen panels.
 2. Design products in this exterior: for running programs, display information and/or communication.
 3. Design of the design of the product in appearance: lies in the graphic user interface displayed.
 4. Pictures or photos that can best show design: Design 1 main view.
 5. Other views of the product do not have design points, and for the existing design, omitting the three -dimensional map, rear view, left view, right view, downward view, and upper view of the design of 1‑3.
 6. Specify design 1 is the basic design.
 7. The purpose of the graphical user interface: The interface of the design of the product in this exterior is the interface of the application software client. The graphic user interface is used for human -machine interaction and the function of product or software client.
 Design 1 The graphic user interface in the display screen panel of design 3 is used to represent the specific operating interface of different modes. The display screen panel is used as follows at least one: mobile phone, tablet computer, desktop computer, and screen remote control.</v>
      </c>
      <c r="D2639" s="6" t="s">
        <v>7450</v>
      </c>
      <c r="E2639" s="4" t="str">
        <f ca="1">IFERROR(__xludf.DUMMYFUNCTION("GOOGLETRANSLATE(D2639,""auto"",""en"")"),"Graphic user interface for display screen panels")</f>
        <v>Graphic user interface for display screen panels</v>
      </c>
    </row>
    <row r="2640" spans="1:5" ht="15" x14ac:dyDescent="0.25">
      <c r="A2640" s="5" t="s">
        <v>7451</v>
      </c>
      <c r="B2640" s="6" t="s">
        <v>7452</v>
      </c>
      <c r="C2640" s="3" t="str">
        <f ca="1">IFERROR(__xludf.DUMMYFUNCTION("GOOGLETRANSLATE(B2640,""auto"",""en"")"),"1. Design product name: Smart watch with a user interface with dial control.
 2. Design products in appearance: used to run program, display information and communication.
 3. Design of design products in this appearance: lies in the graphic user inte"&amp;"rface in the screen.
 4. Pictures or photos that can best show design: Design 1 main view.
 5. Hardware products are used to usual design, omitted view views; hardware products are commonly designed, omitted left views; hardware products are commonly "&amp;"designed, omitted right views; hardware products are commonly designed, omittinds are omitted; hardware products are commonly designed, omitted viewing views, omittime view views Essence
 6. Specify design 1 is the basic design.
 7. The purpose of the"&amp;" graphical user interface: the screen display interface for wearable devices, such as watches and bracelets, the interface is used for human -computer interaction.
 8. Graphical user interface in the area in the product: the interface in the screen.
 "&amp;"9. Human -computer interaction method of graphical user interface: In design 1 and design 4 main views, the middle of the dial interface is a circular display date, time, weather, power and steps.
 When the watch feels that the user is walking, the burn"&amp;"ing icon is displayed inside the ring, and the number of steps gradually increases.
 In design 2 and design 5 main views, the middle of the dial interface is a circular display date, time, weather, power and calorie.
 When the watch senses the user wh"&amp;"en the user is running, the icon of the motion in the ring, and the calorie consumption gradually increases.
 In design 3 and design 6 main views, the middle of the dial interface is a circular display date, time, weather, number of steps and calories.
"&amp;" 
 When the watch is charging, the lightning icon is displayed inside the ring, and the current number and current calorie information is displayed at the same time.
 10. Request to protect the design of the design 1 to the design of the design 1 to des"&amp;"ign 6 contains color.")</f>
        <v>1. Design product name: Smart watch with a user interface with dial control.
 2. Design products in appearance: used to run program, display information and communication.
 3. Design of design products in this appearance: lies in the graphic user interface in the screen.
 4. Pictures or photos that can best show design: Design 1 main view.
 5. Hardware products are used to usual design, omitted view views; hardware products are commonly designed, omitted left views; hardware products are commonly designed, omitted right views; hardware products are commonly designed, omittinds are omitted; hardware products are commonly designed, omitted viewing views, omittime view views Essence
 6. Specify design 1 is the basic design.
 7. The purpose of the graphical user interface: the screen display interface for wearable devices, such as watches and bracelets, the interface is used for human -computer interaction.
 8. Graphical user interface in the area in the product: the interface in the screen.
 9. Human -computer interaction method of graphical user interface: In design 1 and design 4 main views, the middle of the dial interface is a circular display date, time, weather, power and steps.
 When the watch feels that the user is walking, the burning icon is displayed inside the ring, and the number of steps gradually increases.
 In design 2 and design 5 main views, the middle of the dial interface is a circular display date, time, weather, power and calorie.
 When the watch senses the user when the user is running, the icon of the motion in the ring, and the calorie consumption gradually increases.
 In design 3 and design 6 main views, the middle of the dial interface is a circular display date, time, weather, number of steps and calories.
 When the watch is charging, the lightning icon is displayed inside the ring, and the current number and current calorie information is displayed at the same time.
 10. Request to protect the design of the design 1 to the design of the design 1 to design 6 contains color.</v>
      </c>
      <c r="D2640" s="6" t="s">
        <v>7453</v>
      </c>
      <c r="E2640" s="4" t="str">
        <f ca="1">IFERROR(__xludf.DUMMYFUNCTION("GOOGLETRANSLATE(D2640,""auto"",""en"")"),"Smart watch with a user interface with dial control")</f>
        <v>Smart watch with a user interface with dial control</v>
      </c>
    </row>
    <row r="2641" spans="1:5" ht="15" x14ac:dyDescent="0.25">
      <c r="A2641" s="5" t="s">
        <v>7454</v>
      </c>
      <c r="B2641" s="6" t="s">
        <v>7455</v>
      </c>
      <c r="C2641" s="3" t="str">
        <f ca="1">IFERROR(__xludf.DUMMYFUNCTION("GOOGLETRANSLATE(B2641,""auto"",""en"")"),"The present invention involves the field of object detection technology. Specifically, it involves a method of automatic distinction between Basketball scores based on deep learning object detection algorithms. It includes the following steps: at the begi"&amp;"nning of the default game, the first half, and the team that attacked the left half was Team A, the team on the right half was the B team B; trained the detection algorithm of the base of the basketball frame, and used the test algorithm to use the test a"&amp;"lgorithm. The output results determine the left and right half of the fragment; use the goal time interval to determine the first and second half; use the output results of the detection algorithm to determine the left and right half of the information. I"&amp;"n the method of automatic distinction of basketball scores based on deep learning object detection algorithms, using deep learning -based image detection algorithms to detect the location information of the base of the basketball rack in the video clip of"&amp;" basketball The left and right half -time information, obtain AB team information, automatically judge the upper and lower half of the information through the score time interval, and realize the automatic conversion of the AB team's offensive information"&amp;".")</f>
        <v>The present invention involves the field of object detection technology. Specifically, it involves a method of automatic distinction between Basketball scores based on deep learning object detection algorithms. It includes the following steps: at the beginning of the default game, the first half, and the team that attacked the left half was Team A, the team on the right half was the B team B; trained the detection algorithm of the base of the basketball frame, and used the test algorithm to use the test algorithm. The output results determine the left and right half of the fragment; use the goal time interval to determine the first and second half; use the output results of the detection algorithm to determine the left and right half of the information. In the method of automatic distinction of basketball scores based on deep learning object detection algorithms, using deep learning -based image detection algorithms to detect the location information of the base of the basketball rack in the video clip of basketball The left and right half -time information, obtain AB team information, automatically judge the upper and lower half of the information through the score time interval, and realize the automatic conversion of the AB team's offensive information.</v>
      </c>
      <c r="D2641" s="6" t="s">
        <v>7456</v>
      </c>
      <c r="E2641" s="4" t="str">
        <f ca="1">IFERROR(__xludf.DUMMYFUNCTION("GOOGLETRANSLATE(D2641,""auto"",""en"")"),"A method of basketball scores based on deep learning object detection algorithms AB team automatically distinguish between AB team")</f>
        <v>A method of basketball scores based on deep learning object detection algorithms AB team automatically distinguish between AB team</v>
      </c>
    </row>
    <row r="2642" spans="1:5" ht="15" x14ac:dyDescent="0.25">
      <c r="A2642" s="5" t="s">
        <v>7457</v>
      </c>
      <c r="B2642" s="6" t="s">
        <v>7458</v>
      </c>
      <c r="C2642" s="3" t="str">
        <f ca="1">IFERROR(__xludf.DUMMYFUNCTION("GOOGLETRANSLATE(B2642,""auto"",""en"")"),"One method and system, for people who recommend, forced and motivated the person to change their posture behind the desk. More specifically, it is recommended to be based on the user's preferences or data from an artificial intelligence engine. This data "&amp;"is based on the information provided by the user and is compared with data -based, working types, health problems, and needs. This method proposes to users when using the working area in the sitting or standing position to use the work area or sitting des"&amp;"k and how long to use. If the user selects this option, it is recommended to upgrade to forced execution. More specifically, for this patent application, a software that controls user devices until meets the conditions.")</f>
        <v>One method and system, for people who recommend, forced and motivated the person to change their posture behind the desk. More specifically, it is recommended to be based on the user's preferences or data from an artificial intelligence engine. This data is based on the information provided by the user and is compared with data -based, working types, health problems, and needs. This method proposes to users when using the working area in the sitting or standing position to use the work area or sitting desk and how long to use. If the user selects this option, it is recommended to upgrade to forced execution. More specifically, for this patent application, a software that controls user devices until meets the conditions.</v>
      </c>
      <c r="D2642" s="6" t="s">
        <v>7459</v>
      </c>
      <c r="E2642" s="4" t="str">
        <f ca="1">IFERROR(__xludf.DUMMYFUNCTION("GOOGLETRANSLATE(D2642,""auto"",""en"")"),"Remind the user's methods and systems when the control is controlled until the condition is met.")</f>
        <v>Remind the user's methods and systems when the control is controlled until the condition is met.</v>
      </c>
    </row>
    <row r="2643" spans="1:5" ht="15" x14ac:dyDescent="0.25">
      <c r="A2643" s="5" t="s">
        <v>7460</v>
      </c>
      <c r="B2643" s="6" t="s">
        <v>7461</v>
      </c>
      <c r="C2643" s="3" t="str">
        <f ca="1">IFERROR(__xludf.DUMMYFUNCTION("GOOGLETRANSLATE(B2643,""auto"",""en"")"),"1. Design product name: Display the graphical user interface for the data display of the watch dial.
 2. Design products in appearance: used to run program, display information and communication.
 3. Design of design products in this appearance: lies "&amp;"in the graphic user interface in the screen.
 4. Pictures or photos that can best show design: Design 1 main view.
 5. Hardware products are used to usual design, omitted view views; hardware products are commonly designed, omitted left views; hardwar"&amp;"e products are commonly designed, omitted right views; hardware products are commonly designed, omittinds are omitted; hardware products are commonly designed, omitted viewing views, omittime view views Essence
 6. Specify design 1 is the basic design.
"&amp;" 
 7. The purpose of graphical user interface: The design of this appearance is to display the graphical user interface for the data display of the watch dial. The interface is used to display data information and provide relevant interactive operations.
"&amp;" 
 8. Graphical user interface in the area in the product: the interface in the screen.
 9. Human -computer interaction method of graphical user interface: Design 1 to Design 3, the main display date and related weather conditions of the main screen int"&amp;"erface, the middle part of the interface is a relevant data list. Users can click the data in the list to view the specific details.
 The bottom of the interface is the control icon. The user can click the icon to further operate, such as viewing cyclin"&amp;"g data, running data or heart rate data.
 When the user clicks any data information in the list of the main screen interface, the interface jump shows the details of the data information, showing the effect of the main view to the interface change state"&amp;" diagram.")</f>
        <v>1. Design product name: Display the graphical user interface for the data display of the watch dial.
 2. Design products in appearance: used to run program, display information and communication.
 3. Design of design products in this appearance: lies in the graphic user interface in the screen.
 4. Pictures or photos that can best show design: Design 1 main view.
 5. Hardware products are used to usual design, omitted view views; hardware products are commonly designed, omitted left views; hardware products are commonly designed, omitted right views; hardware products are commonly designed, omittinds are omitted; hardware products are commonly designed, omitted viewing views, omittime view views Essence
 6. Specify design 1 is the basic design.
 7. The purpose of graphical user interface: The design of this appearance is to display the graphical user interface for the data display of the watch dial. The interface is used to display data information and provide relevant interactive operations.
 8. Graphical user interface in the area in the product: the interface in the screen.
 9. Human -computer interaction method of graphical user interface: Design 1 to Design 3, the main display date and related weather conditions of the main screen interface, the middle part of the interface is a relevant data list. Users can click the data in the list to view the specific details.
 The bottom of the interface is the control icon. The user can click the icon to further operate, such as viewing cycling data, running data or heart rate data.
 When the user clicks any data information in the list of the main screen interface, the interface jump shows the details of the data information, showing the effect of the main view to the interface change state diagram.</v>
      </c>
      <c r="D2643" s="6" t="s">
        <v>7462</v>
      </c>
      <c r="E2643" s="4" t="str">
        <f ca="1">IFERROR(__xludf.DUMMYFUNCTION("GOOGLETRANSLATE(D2643,""auto"",""en"")"),"Data display graphics user interface for watch dial")</f>
        <v>Data display graphics user interface for watch dial</v>
      </c>
    </row>
    <row r="2644" spans="1:5" ht="15" x14ac:dyDescent="0.25">
      <c r="A2644" s="5" t="s">
        <v>7463</v>
      </c>
      <c r="B2644" s="6" t="s">
        <v>7464</v>
      </c>
      <c r="C2644" s="3" t="str">
        <f ca="1">IFERROR(__xludf.DUMMYFUNCTION("GOOGLETRANSLATE(B2644,""auto"",""en"")"),"An inland intelligent cleaning robot based on the Internet of Things, including the body, machine warehouses, machines, feet, and foot feet. Hands, machine feet, touch sensors on the head of the machine, camera on the head of the machine, antenna on the h"&amp;"ead of the machine, the antenna should be exposed to the surface, the signal sent by the antenna is connected to the mobile phone. Install the pipeline, connect the trash can under the pipeline, the trash can be installed in the body, the trash can has a "&amp;"rotating knife built in the built -in, the front of the machine has a collecting arm, the top of the arms is set, and the starting hand is installed on the handle. A controller, the controller realizes signal transmission through antenna and the Internet "&amp;"of Things wireless connection. This device can mimic the movement of human swimming. In the water, use a grasped hand to grab the floating garbage and send it to the pipeline.")</f>
        <v>An inland intelligent cleaning robot based on the Internet of Things, including the body, machine warehouses, machines, feet, and foot feet. Hands, machine feet, touch sensors on the head of the machine, camera on the head of the machine, antenna on the head of the machine, the antenna should be exposed to the surface, the signal sent by the antenna is connected to the mobile phone. Install the pipeline, connect the trash can under the pipeline, the trash can be installed in the body, the trash can has a rotating knife built in the built -in, the front of the machine has a collecting arm, the top of the arms is set, and the starting hand is installed on the handle. A controller, the controller realizes signal transmission through antenna and the Internet of Things wireless connection. This device can mimic the movement of human swimming. In the water, use a grasped hand to grab the floating garbage and send it to the pipeline.</v>
      </c>
      <c r="D2644" s="6" t="s">
        <v>7465</v>
      </c>
      <c r="E2644" s="4" t="str">
        <f ca="1">IFERROR(__xludf.DUMMYFUNCTION("GOOGLETRANSLATE(D2644,""auto"",""en"")"),"An inland intelligent cleaning robot based on the Internet of Things control")</f>
        <v>An inland intelligent cleaning robot based on the Internet of Things control</v>
      </c>
    </row>
    <row r="2645" spans="1:5" ht="15" x14ac:dyDescent="0.25">
      <c r="A2645" s="5" t="s">
        <v>7466</v>
      </c>
      <c r="B2645" s="6" t="s">
        <v>7467</v>
      </c>
      <c r="C2645" s="3" t="str">
        <f ca="1">IFERROR(__xludf.DUMMYFUNCTION("GOOGLETRANSLATE(B2645,""auto"",""en"")"),"The present invention disclosed a multi -functional Internet of Things lamp, which involves street lighting technology fields. The present invention includes the base, street light pole and street lights. The base is fixed with street light rods. The ligh"&amp;"t rod is connected to the top of the street light rod with light rods. One end of the light pole is fixed to the street light; Rotate the connection on the axis, connect to the outside of the base, connect a pedal bracket, rotate the connection of a activ"&amp;"e wheel on the pedal bracket, and the active wheels are connected to the moving wheel through a chain transmission. By setting up a generator, battery and controller inside the base, the present invention actively connects to the wheel through a chain tra"&amp;"nsmission and connects to the generator axis from the dynamic wheel. The energy generated by time is stored and used for street lighting, which plays a function of energy saving and environmental protection to a certain extent.")</f>
        <v>The present invention disclosed a multi -functional Internet of Things lamp, which involves street lighting technology fields. The present invention includes the base, street light pole and street lights. The base is fixed with street light rods. The light rod is connected to the top of the street light rod with light rods. One end of the light pole is fixed to the street light; Rotate the connection on the axis, connect to the outside of the base, connect a pedal bracket, rotate the connection of a active wheel on the pedal bracket, and the active wheels are connected to the moving wheel through a chain transmission. By setting up a generator, battery and controller inside the base, the present invention actively connects to the wheel through a chain transmission and connects to the generator axis from the dynamic wheel. The energy generated by time is stored and used for street lighting, which plays a function of energy saving and environmental protection to a certain extent.</v>
      </c>
      <c r="D2645" s="6" t="s">
        <v>7468</v>
      </c>
      <c r="E2645" s="4" t="str">
        <f ca="1">IFERROR(__xludf.DUMMYFUNCTION("GOOGLETRANSLATE(D2645,""auto"",""en"")"),"A multi -functional Platform lights")</f>
        <v>A multi -functional Platform lights</v>
      </c>
    </row>
    <row r="2646" spans="1:5" ht="15" x14ac:dyDescent="0.25">
      <c r="A2646" s="5" t="s">
        <v>7469</v>
      </c>
      <c r="B2646" s="6" t="s">
        <v>7470</v>
      </c>
      <c r="C2646" s="3" t="str">
        <f ca="1">IFERROR(__xludf.DUMMYFUNCTION("GOOGLETRANSLATE(B2646,""auto"",""en"")"),"A method of testing and confrontation of multi -target optimization, including the following steps: S1: Loading the network; S2: Social detection to obtain the structure of the community; S3: define the rules of the candidate heavy side side; S4: Use the "&amp;"genetic algorithm to find the best network to find the best network Re -connected strategy, the specific operation steps are as follows: 4.1) Specifications initialization; 4.2) Wheel gambling method for selection operations; 4.3) fixed cross rate for cro"&amp;"ss operation; 4.4) fixed variation rate for mutation operation; 4.5) elite retention; 4.6) judgment judgment Termination conditions; S5: Get the best individual from the last generation group, and the enhanced network after the re -connected network obtai"&amp;"ns community testing to obtain a new community division. The entire network found the optimal network re -connection strategy, taking into account the maximum modularity improvement and the best detection resolution, which greatly improved the performance"&amp;" of the community detection algorithm.")</f>
        <v>A method of testing and confrontation of multi -target optimization, including the following steps: S1: Loading the network; S2: Social detection to obtain the structure of the community; S3: define the rules of the candidate heavy side side; S4: Use the genetic algorithm to find the best network to find the best network Re -connected strategy, the specific operation steps are as follows: 4.1) Specifications initialization; 4.2) Wheel gambling method for selection operations; 4.3) fixed cross rate for cross operation; 4.4) fixed variation rate for mutation operation; 4.5) elite retention; 4.6) judgment judgment Termination conditions; S5: Get the best individual from the last generation group, and the enhanced network after the re -connected network obtains community testing to obtain a new community division. The entire network found the optimal network re -connection strategy, taking into account the maximum modularity improvement and the best detection resolution, which greatly improved the performance of the community detection algorithm.</v>
      </c>
      <c r="D2646" s="6" t="s">
        <v>7471</v>
      </c>
      <c r="E2646" s="4" t="str">
        <f ca="1">IFERROR(__xludf.DUMMYFUNCTION("GOOGLETRANSLATE(D2646,""auto"",""en"")"),"A method of detecting conflicts based on multi -target optimization optimizations")</f>
        <v>A method of detecting conflicts based on multi -target optimization optimizations</v>
      </c>
    </row>
    <row r="2647" spans="1:5" ht="15" x14ac:dyDescent="0.25">
      <c r="A2647" s="5" t="s">
        <v>7472</v>
      </c>
      <c r="B2647" s="6" t="s">
        <v>7473</v>
      </c>
      <c r="C2647" s="3" t="str">
        <f ca="1">IFERROR(__xludf.DUMMYFUNCTION("GOOGLETRANSLATE(B2647,""auto"",""en"")"),"The trained machine learning model is used to determine the scores (such as trust scores) of the user account registered in video game services, and these scores are used to match the player together in multiplayer video game settings. For example, the se"&amp;"nsor data from the client machine receiving can be provided as an input to the trained machine learning model, and the trained machine learning model raised ingredients as the output. The end machine is generated by the handheld device, not the use of sof"&amp;"tware synthesis and/or modification. In this way, at least part of the scores determined for those login user accounts are allocated to the subset of the login user account to perform video games to different games (for example, by isolation of non -human"&amp;" players from human players), and video games Execution in the designated competition of each login user account.")</f>
        <v>The trained machine learning model is used to determine the scores (such as trust scores) of the user account registered in video game services, and these scores are used to match the player together in multiplayer video game settings. For example, the sensor data from the client machine receiving can be provided as an input to the trained machine learning model, and the trained machine learning model raised ingredients as the output. The end machine is generated by the handheld device, not the use of software synthesis and/or modification. In this way, at least part of the scores determined for those login user accounts are allocated to the subset of the login user account to perform video games to different games (for example, by isolation of non -human players from human players), and video games Execution in the designated competition of each login user account.</v>
      </c>
      <c r="D2647" s="6" t="s">
        <v>5894</v>
      </c>
      <c r="E2647" s="4" t="str">
        <f ca="1">IFERROR(__xludf.DUMMYFUNCTION("GOOGLETRANSLATE(D2647,""auto"",""en"")"),"Machine learning trust score based on sensor data")</f>
        <v>Machine learning trust score based on sensor data</v>
      </c>
    </row>
    <row r="2648" spans="1:5" ht="15" x14ac:dyDescent="0.25">
      <c r="A2648" s="5" t="s">
        <v>7474</v>
      </c>
      <c r="B2648" s="6" t="s">
        <v>7475</v>
      </c>
      <c r="C2648" s="3" t="str">
        <f ca="1">IFERROR(__xludf.DUMMYFUNCTION("GOOGLETRANSLATE(B2648,""auto"",""en"")"),"This utility model and open -minded group running management device based on the Internet of Things technology, including a fixed shell, is installed with a management display in front surface of the fixed shell. Multiple control buttons, the front surfac"&amp;"e of the fixed shell is located at the bottom of the control button, fixed with a sound module, which is fixed with four protective corner pads on the edge of the outer surface of the fixed shell. There is a buffer hollow groove, which is fixed with the r"&amp;"ear surface of the fixed shell. The group running management device based on the Internet of Things technology described in this utility model can fix the device in the arm position, so that the operator will fix the device when running , Anti -drop prote"&amp;"ction of the four corners of the device prevents the device from falling into damage.")</f>
        <v>This utility model and open -minded group running management device based on the Internet of Things technology, including a fixed shell, is installed with a management display in front surface of the fixed shell. Multiple control buttons, the front surface of the fixed shell is located at the bottom of the control button, fixed with a sound module, which is fixed with four protective corner pads on the edge of the outer surface of the fixed shell. There is a buffer hollow groove, which is fixed with the rear surface of the fixed shell. The group running management device based on the Internet of Things technology described in this utility model can fix the device in the arm position, so that the operator will fix the device when running , Anti -drop protection of the four corners of the device prevents the device from falling into damage.</v>
      </c>
      <c r="D2648" s="6" t="s">
        <v>7476</v>
      </c>
      <c r="E2648" s="4" t="str">
        <f ca="1">IFERROR(__xludf.DUMMYFUNCTION("GOOGLETRANSLATE(D2648,""auto"",""en"")"),"Group running management devices based on IoT technology")</f>
        <v>Group running management devices based on IoT technology</v>
      </c>
    </row>
    <row r="2649" spans="1:5" ht="15" x14ac:dyDescent="0.25">
      <c r="A2649" s="5" t="s">
        <v>7477</v>
      </c>
      <c r="B2649" s="6" t="s">
        <v>7478</v>
      </c>
      <c r="C2649" s="3" t="str">
        <f ca="1">IFERROR(__xludf.DUMMYFUNCTION("GOOGLETRANSLATE(B2649,""auto"",""en"")"),"A multi -document Q &amp; A system model that integrates multi -perspective answers, which belongs to the field of computer natural language processing. Specific operation steps include: ① Pre -processing document data and obtaining the probability of the doc"&amp;"umentation first; The three perspectives of the internal confidence, external confidence, and documentation probability are sorted to sort the candidate answers. Compared with the existing technical model, the multi -document Q &amp; A system model proposed b"&amp;"y the convergence of multi -perspectives proposed by the present invention has added a module with a multi -perspective for answering the sorting. Mistakes accumulated. Experiments show that the method proposed by the present invention has significantly i"&amp;"mproved the evaluation indicators of Rouge‑l and accuracy Bleu‑4 in text recall.")</f>
        <v>A multi -document Q &amp; A system model that integrates multi -perspective answers, which belongs to the field of computer natural language processing. Specific operation steps include: ① Pre -processing document data and obtaining the probability of the documentation first; The three perspectives of the internal confidence, external confidence, and documentation probability are sorted to sort the candidate answers. Compared with the existing technical model, the multi -document Q &amp; A system model proposed by the convergence of multi -perspectives proposed by the present invention has added a module with a multi -perspective for answering the sorting. Mistakes accumulated. Experiments show that the method proposed by the present invention has significantly improved the evaluation indicators of Rouge‑l and accuracy Bleu‑4 in text recall.</v>
      </c>
      <c r="D2649" s="6" t="s">
        <v>7479</v>
      </c>
      <c r="E2649" s="4" t="str">
        <f ca="1">IFERROR(__xludf.DUMMYFUNCTION("GOOGLETRANSLATE(D2649,""auto"",""en"")"),"A multi -document Q &amp; A system model that integrates multi -perspective answers to sorting")</f>
        <v>A multi -document Q &amp; A system model that integrates multi -perspective answers to sorting</v>
      </c>
    </row>
    <row r="2650" spans="1:5" ht="15" x14ac:dyDescent="0.25">
      <c r="A2650" s="5" t="s">
        <v>7480</v>
      </c>
      <c r="B2650" s="6" t="s">
        <v>7481</v>
      </c>
      <c r="C2650" s="3" t="str">
        <f ca="1">IFERROR(__xludf.DUMMYFUNCTION("GOOGLETRANSLATE(B2650,""auto"",""en"")"),"Based on computer vision, the human running posture identification analysis method is used to collect and data classification by the data of the tester on the treadmill through the camera, and use the convolutional neural network method to obtain the post"&amp;"ure recognition model; It compares the comparative operation with the standard posture motion trajectory, and outputs the degree of scores and correction opinions. Correct the specific error location and non -standard type of test objects, reduce the prob"&amp;"ability of exercise damage, and achieve better fitness effects.")</f>
        <v>Based on computer vision, the human running posture identification analysis method is used to collect and data classification by the data of the tester on the treadmill through the camera, and use the convolutional neural network method to obtain the posture recognition model; It compares the comparative operation with the standard posture motion trajectory, and outputs the degree of scores and correction opinions. Correct the specific error location and non -standard type of test objects, reduce the probability of exercise damage, and achieve better fitness effects.</v>
      </c>
      <c r="D2650" s="6" t="s">
        <v>7482</v>
      </c>
      <c r="E2650" s="4" t="str">
        <f ca="1">IFERROR(__xludf.DUMMYFUNCTION("GOOGLETRANSLATE(D2650,""auto"",""en"")"),"Analysis method and device of the human running posture recognition analysis method and device based on computer vision")</f>
        <v>Analysis method and device of the human running posture recognition analysis method and device based on computer vision</v>
      </c>
    </row>
    <row r="2651" spans="1:5" ht="15" x14ac:dyDescent="0.25">
      <c r="A2651" s="5" t="s">
        <v>7483</v>
      </c>
      <c r="B2651" s="6" t="s">
        <v>7484</v>
      </c>
      <c r="C2651" s="3" t="str">
        <f ca="1">IFERROR(__xludf.DUMMYFUNCTION("GOOGLETRANSLATE(B2651,""auto"",""en"")"),"The invention disclosed a badminton action analysis system and method based on MobileNet. The database of the invention through common standard movements and common error movements. Based on a large number of screenshot pictures to generate databases, the"&amp;" system is used to formulate standard movements and common error movements. And collect badminton players from multiple angles to increase the probability of recognition. The system uses five cameras to collect pictures of badminton players at the same ti"&amp;"me. The invention realizes the analysis of the frequency and standardization of badminton action through machine learning methods.")</f>
        <v>The invention disclosed a badminton action analysis system and method based on MobileNet. The database of the invention through common standard movements and common error movements. Based on a large number of screenshot pictures to generate databases, the system is used to formulate standard movements and common error movements. And collect badminton players from multiple angles to increase the probability of recognition. The system uses five cameras to collect pictures of badminton players at the same time. The invention realizes the analysis of the frequency and standardization of badminton action through machine learning methods.</v>
      </c>
      <c r="D2651" s="6" t="s">
        <v>7485</v>
      </c>
      <c r="E2651" s="4" t="str">
        <f ca="1">IFERROR(__xludf.DUMMYFUNCTION("GOOGLETRANSLATE(D2651,""auto"",""en"")"),"MobileNet -based badminton action analysis system and method")</f>
        <v>MobileNet -based badminton action analysis system and method</v>
      </c>
    </row>
    <row r="2652" spans="1:5" ht="15" x14ac:dyDescent="0.25">
      <c r="A2652" s="5" t="s">
        <v>7486</v>
      </c>
      <c r="B2652" s="6" t="s">
        <v>7487</v>
      </c>
      <c r="C2652" s="3" t="str">
        <f ca="1">IFERROR(__xludf.DUMMYFUNCTION("GOOGLETRANSLATE(B2652,""auto"",""en"")"),"The methods and systems of using mobile computing devices to track multiplayer competitions in real time. This method is configured to be configured to receive the input videos of multiplayer games captured by the camera that uses the mobile computing dev"&amp;"ice in the game area associated with N players, where N is an integer and n≥2; Each frame in multiple frames executes a computer visual algorithm to detect multiple players 'postures; extract related players' characteristics from each of the poses of mult"&amp;"iple players; One is assigned to at least one of the N position, each of which is expressed by one of the at least n posture group; and determines the position of each player according to the player's posture group.")</f>
        <v>The methods and systems of using mobile computing devices to track multiplayer competitions in real time. This method is configured to be configured to receive the input videos of multiplayer games captured by the camera that uses the mobile computing device in the game area associated with N players, where N is an integer and n≥2; Each frame in multiple frames executes a computer visual algorithm to detect multiple players 'postures; extract related players' characteristics from each of the poses of multiple players; One is assigned to at least one of the N position, each of which is expressed by one of the at least n posture group; and determines the position of each player according to the player's posture group.</v>
      </c>
      <c r="D2652" s="6" t="s">
        <v>7488</v>
      </c>
      <c r="E2652" s="4" t="str">
        <f ca="1">IFERROR(__xludf.DUMMYFUNCTION("GOOGLETRANSLATE(D2652,""auto"",""en"")"),"Use artificial intelligence mobile devices to track real -time game tracking")</f>
        <v>Use artificial intelligence mobile devices to track real -time game tracking</v>
      </c>
    </row>
    <row r="2653" spans="1:5" ht="15" x14ac:dyDescent="0.25">
      <c r="A2653" s="5" t="s">
        <v>7489</v>
      </c>
      <c r="B2653" s="6" t="s">
        <v>7490</v>
      </c>
      <c r="C2653" s="3" t="str">
        <f ca="1">IFERROR(__xludf.DUMMYFUNCTION("GOOGLETRANSLATE(B2653,""auto"",""en"")"),"This utility model opens up a multi -purpose counter, mainly including sensors, etc. Electronic screens are set on the top of the front of the fuselage, sensors and sensors are set under the electronic screen, and the zero -button, counting buttons, fusel"&amp;"age, fuselage are set on the bottom of the fuselage. There are switches and sensitivity instruments on one side, a broadcaster is set on the top of the back side of the fuselage, a card slot is set under the bottom of the broadcasting device, a battery is"&amp;" set on the bottom of the back side of the fuselage. The end connection magnet is connected to form a closed ring that can be opened. This practical new model can be counted with different fitness equipment to measure data, number and consumption such as "&amp;"measuring power, number and consumption; it has a display screen and a broadcaster, which is convenient for human -computer interaction; a magnetic bending plate is equipped with fixed and convenient installation; it is convenient and fast; It solves the "&amp;"lack of understanding of fitness training and achieves sufficient fitness effects; it can be applied to a variety of fitness equipment such as weightlifting machines, rowing machines, and tensile machines.")</f>
        <v>This utility model opens up a multi -purpose counter, mainly including sensors, etc. Electronic screens are set on the top of the front of the fuselage, sensors and sensors are set under the electronic screen, and the zero -button, counting buttons, fuselage, fuselage are set on the bottom of the fuselage. There are switches and sensitivity instruments on one side, a broadcaster is set on the top of the back side of the fuselage, a card slot is set under the bottom of the broadcasting device, a battery is set on the bottom of the back side of the fuselage. The end connection magnet is connected to form a closed ring that can be opened. This practical new model can be counted with different fitness equipment to measure data, number and consumption such as measuring power, number and consumption; it has a display screen and a broadcaster, which is convenient for human -computer interaction; a magnetic bending plate is equipped with fixed and convenient installation; it is convenient and fast; It solves the lack of understanding of fitness training and achieves sufficient fitness effects; it can be applied to a variety of fitness equipment such as weightlifting machines, rowing machines, and tensile machines.</v>
      </c>
      <c r="D2653" s="6" t="s">
        <v>7491</v>
      </c>
      <c r="E2653" s="4" t="str">
        <f ca="1">IFERROR(__xludf.DUMMYFUNCTION("GOOGLETRANSLATE(D2653,""auto"",""en"")"),"A multi -purpose counter")</f>
        <v>A multi -purpose counter</v>
      </c>
    </row>
    <row r="2654" spans="1:5" ht="15" x14ac:dyDescent="0.25">
      <c r="A2654" s="5" t="s">
        <v>7492</v>
      </c>
      <c r="B2654" s="6" t="s">
        <v>7493</v>
      </c>
      <c r="C2654" s="3" t="str">
        <f ca="1">IFERROR(__xludf.DUMMYFUNCTION("GOOGLETRANSLATE(B2654,""auto"",""en"")"),"The invention uses the Internet of Things sensor, image processing technology, and artificial intelligence technology to provide a personalized driver training system and their teaching methods. By giving the driver a label, distributing the lesson plan a"&amp;"ccording to the label, the personalized driver training system inner edge computing module in the training process is captured by the sensor and image processing module of the driver. Correct, upload the driver's training records and training trajectory t"&amp;"o the cloud to analyze the appropriate and efficient lesson plan and optimize the driver's training record and training trajectory. Check the driver's training record and test scores. You can comment on each training and check the driver's error statistic"&amp;"s. The present invention can improve the learning efficiency in driver training, which is conducive to improving the pass rate of examinations, and conducive to shortening the teaching time.")</f>
        <v>The invention uses the Internet of Things sensor, image processing technology, and artificial intelligence technology to provide a personalized driver training system and their teaching methods. By giving the driver a label, distributing the lesson plan according to the label, the personalized driver training system inner edge computing module in the training process is captured by the sensor and image processing module of the driver. Correct, upload the driver's training records and training trajectory to the cloud to analyze the appropriate and efficient lesson plan and optimize the driver's training record and training trajectory. Check the driver's training record and test scores. You can comment on each training and check the driver's error statistics. The present invention can improve the learning efficiency in driver training, which is conducive to improving the pass rate of examinations, and conducive to shortening the teaching time.</v>
      </c>
      <c r="D2654" s="6" t="s">
        <v>7494</v>
      </c>
      <c r="E2654" s="4" t="str">
        <f ca="1">IFERROR(__xludf.DUMMYFUNCTION("GOOGLETRANSLATE(D2654,""auto"",""en"")"),"A personalized driver training system and their teaching methods")</f>
        <v>A personalized driver training system and their teaching methods</v>
      </c>
    </row>
    <row r="2655" spans="1:5" ht="15" x14ac:dyDescent="0.25">
      <c r="A2655" s="5" t="s">
        <v>7495</v>
      </c>
      <c r="B2655" s="6" t="s">
        <v>7496</v>
      </c>
      <c r="C2655" s="3" t="str">
        <f ca="1">IFERROR(__xludf.DUMMYFUNCTION("GOOGLETRANSLATE(B2655,""auto"",""en"")"),"The present invention involves a device and method that improves image recognition. The device that improves the image recognition rate of the present invention includes: image pre -processing unit, executing image pre -processing to remove the noise cont"&amp;"ained in the image; license plate detection unit for pre -pre -pre -pre -pre -pre -pre -pre -pre -pre -pre -pre -pre -pre -pre -pre -pre -pre -pre -pre -image Detecting the license plate in the processing image; the license plate image extraction unit, on"&amp;"ly the detected license plate image is extracted; the image recovery unit is used to recover the extracted license plate image to the resolution of the resolution of the resolution; Unit, at least one area used in the number, symbols and text areas that a"&amp;"re returned to the license plate image that resumes more than the set resolution; The device detects at least one in the number, symbols, and character areas; and the control unit for controlling the overall operation.")</f>
        <v>The present invention involves a device and method that improves image recognition. The device that improves the image recognition rate of the present invention includes: image pre -processing unit, executing image pre -processing to remove the noise contained in the image; license plate detection unit for pre -pre -pre -pre -pre -pre -pre -pre -pre -pre -pre -pre -pre -pre -pre -pre -pre -pre -pre -pre -image Detecting the license plate in the processing image; the license plate image extraction unit, only the detected license plate image is extracted; the image recovery unit is used to recover the extracted license plate image to the resolution of the resolution of the resolution; Unit, at least one area used in the number, symbols and text areas that are returned to the license plate image that resumes more than the set resolution; The device detects at least one in the number, symbols, and character areas; and the control unit for controlling the overall operation.</v>
      </c>
      <c r="D2655" s="6" t="s">
        <v>7497</v>
      </c>
      <c r="E2655" s="4" t="str">
        <f ca="1">IFERROR(__xludf.DUMMYFUNCTION("GOOGLETRANSLATE(D2655,""auto"",""en"")"),"Device and methods to improve image recognition rate")</f>
        <v>Device and methods to improve image recognition rate</v>
      </c>
    </row>
    <row r="2656" spans="1:5" ht="15" x14ac:dyDescent="0.25">
      <c r="A2656" s="5" t="s">
        <v>7498</v>
      </c>
      <c r="B2656" s="6" t="s">
        <v>7499</v>
      </c>
      <c r="C2656" s="3" t="str">
        <f ca="1">IFERROR(__xludf.DUMMYFUNCTION("GOOGLETRANSLATE(B2656,""auto"",""en"")"),"The utility model uses the Internet of Things sensor, image processing technology, and artificial intelligence technology to provide a personalized driver training system. By giving the driver a label, distributing the lesson plan according to the label, "&amp;"the personalized driver training system inner edge computing module in the training process is captured by the sensor and image processing module of the driver. Correct, upload the driver's training records and training trajectory to the cloud to analyze "&amp;"the appropriate and efficient lesson plan and optimize the driver's training record and training trajectory. Check the driver's training record and test scores. You can comment on each training and check the driver's error statistics. This practical new m"&amp;"odel can improve the learning efficiency in driver training, which is conducive to improving the pass rate of the examination and shortening the teaching time.")</f>
        <v>The utility model uses the Internet of Things sensor, image processing technology, and artificial intelligence technology to provide a personalized driver training system. By giving the driver a label, distributing the lesson plan according to the label, the personalized driver training system inner edge computing module in the training process is captured by the sensor and image processing module of the driver. Correct, upload the driver's training records and training trajectory to the cloud to analyze the appropriate and efficient lesson plan and optimize the driver's training record and training trajectory. Check the driver's training record and test scores. You can comment on each training and check the driver's error statistics. This practical new model can improve the learning efficiency in driver training, which is conducive to improving the pass rate of the examination and shortening the teaching time.</v>
      </c>
      <c r="D2656" s="6" t="s">
        <v>7500</v>
      </c>
      <c r="E2656" s="4" t="str">
        <f ca="1">IFERROR(__xludf.DUMMYFUNCTION("GOOGLETRANSLATE(D2656,""auto"",""en"")"),"A personalized driver training system")</f>
        <v>A personalized driver training system</v>
      </c>
    </row>
    <row r="2657" spans="1:5" ht="15" x14ac:dyDescent="0.25">
      <c r="A2657" s="5" t="s">
        <v>7501</v>
      </c>
      <c r="B2657" s="6" t="s">
        <v>7502</v>
      </c>
      <c r="C2657" s="3" t="str">
        <f ca="1">IFERROR(__xludf.DUMMYFUNCTION("GOOGLETRANSLATE(B2657,""auto"",""en"")"),"The method introduced in this article can provide real -time IoT (IoT) feedback to optimize the discussion of the group. More specifically, a set of data discussed between users is captured and analyzed to generate simplified discussions including user pa"&amp;"rticipation. Compare the simplified file with the reference simplified file, and based on comparison, generate a set of discussions and participation in improvement strategies for users. Based on the usability of a set of IoT devices, select a strategy fr"&amp;"om a set of discussion and participation in improvement strategies to deliver the strategy. Then in response to the discussion between the captured users, transmit the instructions to the available IoT device, so as to pass the discussion and participatio"&amp;"n in the improvement strategy to the user through the output user interface of the available IoT device during the discussion.")</f>
        <v>The method introduced in this article can provide real -time IoT (IoT) feedback to optimize the discussion of the group. More specifically, a set of data discussed between users is captured and analyzed to generate simplified discussions including user participation. Compare the simplified file with the reference simplified file, and based on comparison, generate a set of discussions and participation in improvement strategies for users. Based on the usability of a set of IoT devices, select a strategy from a set of discussion and participation in improvement strategies to deliver the strategy. Then in response to the discussion between the captured users, transmit the instructions to the available IoT device, so as to pass the discussion and participation in the improvement strategy to the user through the output user interface of the available IoT device during the discussion.</v>
      </c>
      <c r="D2657" s="6" t="s">
        <v>7503</v>
      </c>
      <c r="E2657" s="4" t="str">
        <f ca="1">IFERROR(__xludf.DUMMYFUNCTION("GOOGLETRANSLATE(D2657,""auto"",""en"")"),"Discussion coach of the Internet of Things Group")</f>
        <v>Discussion coach of the Internet of Things Group</v>
      </c>
    </row>
    <row r="2658" spans="1:5" ht="15" x14ac:dyDescent="0.25">
      <c r="A2658" s="5" t="s">
        <v>7504</v>
      </c>
      <c r="B2658" s="6" t="s">
        <v>7505</v>
      </c>
      <c r="C2658" s="3" t="str">
        <f ca="1">IFERROR(__xludf.DUMMYFUNCTION("GOOGLETRANSLATE(B2658,""auto"",""en"")"),"The invention disclose a method, system, and storage medium for human movement in sports training. This method includes: The first contour information corresponding to the specific parts of the human body and the specific component of the appliance in dif"&amp;"ferent moments according to the action model of machine learning is obtained at different times. The relationship between the first contour information corresponding to the specific parts corresponding to the specific part of the specific part and the spe"&amp;"cific component information of the appliance obtained the second contour information. Among them, the specific part of the human body is corresponding to the specific component of the appliance; compared with different moments, it should be at different t"&amp;"imes. The changes in the second contour information get the third contour information; the third contour information is compared with the preset standard information to obtain the results of the action judgment. Through the present invention, the identifi"&amp;"cation and judgment method of existing technology is prone to the problem of poor accuracy caused by cheating by trainers.")</f>
        <v>The invention disclose a method, system, and storage medium for human movement in sports training. This method includes: The first contour information corresponding to the specific parts of the human body and the specific component of the appliance in different moments according to the action model of machine learning is obtained at different times. The relationship between the first contour information corresponding to the specific parts corresponding to the specific part of the specific part and the specific component information of the appliance obtained the second contour information. Among them, the specific part of the human body is corresponding to the specific component of the appliance; compared with different moments, it should be at different times. The changes in the second contour information get the third contour information; the third contour information is compared with the preset standard information to obtain the results of the action judgment. Through the present invention, the identification and judgment method of existing technology is prone to the problem of poor accuracy caused by cheating by trainers.</v>
      </c>
      <c r="D2658" s="6" t="s">
        <v>7506</v>
      </c>
      <c r="E2658" s="4" t="str">
        <f ca="1">IFERROR(__xludf.DUMMYFUNCTION("GOOGLETRANSLATE(D2658,""auto"",""en"")"),"The method, system and storage medium of human movement in sports training")</f>
        <v>The method, system and storage medium of human movement in sports training</v>
      </c>
    </row>
    <row r="2659" spans="1:5" ht="15" x14ac:dyDescent="0.25">
      <c r="A2659" s="5" t="s">
        <v>7507</v>
      </c>
      <c r="B2659" s="6" t="s">
        <v>7508</v>
      </c>
      <c r="C2659" s="3" t="str">
        <f ca="1">IFERROR(__xludf.DUMMYFUNCTION("GOOGLETRANSLATE(B2659,""auto"",""en"")"),"The invention involves a comprehensive platform for security services for catering and smoke facilities, including front -end detection equipment, middle data communication and storage analysis components and back -end application platforms. Service regis"&amp;"tration and calling and melting mechanism; the data communication and storage analysis components are mainly supported by China Telecom 5G NB‑ioT and Tianyi Cloud Space. Equipment management module and system setting module are composed of four major modu"&amp;"les. The platform uses new IoT technology to collect data of oil fume pipelines in real time, which exceeds the real -time reminder of the temperature of the oil fume pipeline set by the system; the data of the oil fume pipeline oil dirt layer data is use"&amp;"d to automatically remind the alarm value. It is regularly cleaned.")</f>
        <v>The invention involves a comprehensive platform for security services for catering and smoke facilities, including front -end detection equipment, middle data communication and storage analysis components and back -end application platforms. Service registration and calling and melting mechanism; the data communication and storage analysis components are mainly supported by China Telecom 5G NB‑ioT and Tianyi Cloud Space. Equipment management module and system setting module are composed of four major modules. The platform uses new IoT technology to collect data of oil fume pipelines in real time, which exceeds the real -time reminder of the temperature of the oil fume pipeline set by the system; the data of the oil fume pipeline oil dirt layer data is used to automatically remind the alarm value. It is regularly cleaned.</v>
      </c>
      <c r="D2659" s="6" t="s">
        <v>7509</v>
      </c>
      <c r="E2659" s="4" t="str">
        <f ca="1">IFERROR(__xludf.DUMMYFUNCTION("GOOGLETRANSLATE(D2659,""auto"",""en"")"),"Informatization platform")</f>
        <v>Informatization platform</v>
      </c>
    </row>
    <row r="2660" spans="1:5" ht="15" x14ac:dyDescent="0.25">
      <c r="A2660" s="5" t="s">
        <v>7510</v>
      </c>
      <c r="B2660" s="6" t="s">
        <v>7511</v>
      </c>
      <c r="C2660" s="3" t="str">
        <f ca="1">IFERROR(__xludf.DUMMYFUNCTION("GOOGLETRANSLATE(B2660,""auto"",""en"")"),"This utility model discloses a table tennis table based on artificial intelligence, including the table, support body and dividing network. There are two groups in the ball table, and the two groups are stitched together. At the location of the splicing a"&amp;"rea of ​​the table, the support body is fixed on the bottom of the table, and the first seeds are opened on both sides of the table, and the table is far from the end of the boundary network. There is a second concave. The groove, the internal setting of "&amp;"the first groove is a driver device, which is set on the driving device with a mobile block sliding inside the first groove. This is an artificial intelligence table tennis table. The forecast receiving device and control device come from the controlled d"&amp;"river, the flip device, and the containment device, thereby covering the covering cloth to the surface of the table to prevent the erosion of rainwater.")</f>
        <v>This utility model discloses a table tennis table based on artificial intelligence, including the table, support body and dividing network. There are two groups in the ball table, and the two groups are stitched together. At the location of the splicing area of ​​the table, the support body is fixed on the bottom of the table, and the first seeds are opened on both sides of the table, and the table is far from the end of the boundary network. There is a second concave. The groove, the internal setting of the first groove is a driver device, which is set on the driving device with a mobile block sliding inside the first groove. This is an artificial intelligence table tennis table. The forecast receiving device and control device come from the controlled driver, the flip device, and the containment device, thereby covering the covering cloth to the surface of the table to prevent the erosion of rainwater.</v>
      </c>
      <c r="D2660" s="6" t="s">
        <v>7512</v>
      </c>
      <c r="E2660" s="4" t="str">
        <f ca="1">IFERROR(__xludf.DUMMYFUNCTION("GOOGLETRANSLATE(D2660,""auto"",""en"")"),"A table tennis table based on artificial intelligence")</f>
        <v>A table tennis table based on artificial intelligence</v>
      </c>
    </row>
    <row r="2661" spans="1:5" ht="15" x14ac:dyDescent="0.25">
      <c r="A2661" s="5" t="s">
        <v>7513</v>
      </c>
      <c r="B2661" s="6" t="s">
        <v>7514</v>
      </c>
      <c r="C2661" s="3" t="str">
        <f ca="1">IFERROR(__xludf.DUMMYFUNCTION("GOOGLETRANSLATE(B2661,""auto"",""en"")"),"A sports broadcast system that uses machine learning technology and the use of this system to automatically generate sports broadcasts using this system. [0001] The present invention involves at least two action capture units, which is set as the pitching"&amp;" movement of pitcher in a continuous shooting baseball game as segmented action, and the arm, legs and joints of the pitcher captured in the capture of the capture capture The action capture measurement unit is used to measure the measurement unit of the "&amp;"coordinate value, as well as at least two or more tracking units to track baseball cast by pitcher, and measure the coordinate value of the baseball when the baseball reaches multiple preset areas. STADIUM; a storage unit, accumulate the coordinate value "&amp;"measured by the measurement unit and tracking unit, and compare the coordinate values ​​of the inching arm, legs, and joints that accumulate accumulated in the storage unit. The value of the joint. When the pitching has a point with these specific coordin"&amp;"ate values, the predictor that predicts the predictor of the forward coordinate values ​​in the storage unit by comparing the comparison with the coordinate value of the baseball; Determine each shooting direction based on the coordinate value of baseball"&amp;", and record the videos of the baseball game in the firing direction, and the competition image video editing unit taken by the game shooting unit. Inserting subtitles, computer graphics, data images, and advertising production baseball broadcast images a"&amp;"re inserted in the game video. The image is characterized by the sending department to send the baseball broadcast image produced by the editorial department to the outside.
  The invention is based on machine learning technology, and automatically driv"&amp;"es the shooting unit in the venue based on the pitching movements of the pitcher in the baseball game, and produces sports broadcast videos based on the drive taken by the drive. The purpose is to provide a method of using a sports broadcast system and au"&amp;"tomatic production of sports broadcasts using machine learning technology.")</f>
        <v>A sports broadcast system that uses machine learning technology and the use of this system to automatically generate sports broadcasts using this system. [0001] The present invention involves at least two action capture units, which is set as the pitching movement of pitcher in a continuous shooting baseball game as segmented action, and the arm, legs and joints of the pitcher captured in the capture of the capture capture The action capture measurement unit is used to measure the measurement unit of the coordinate value, as well as at least two or more tracking units to track baseball cast by pitcher, and measure the coordinate value of the baseball when the baseball reaches multiple preset areas. STADIUM; a storage unit, accumulate the coordinate value measured by the measurement unit and tracking unit, and compare the coordinate values ​​of the inching arm, legs, and joints that accumulate accumulated in the storage unit. The value of the joint. When the pitching has a point with these specific coordinate values, the predictor that predicts the predictor of the forward coordinate values ​​in the storage unit by comparing the comparison with the coordinate value of the baseball; Determine each shooting direction based on the coordinate value of baseball, and record the videos of the baseball game in the firing direction, and the competition image video editing unit taken by the game shooting unit. Inserting subtitles, computer graphics, data images, and advertising production baseball broadcast images are inserted in the game video. The image is characterized by the sending department to send the baseball broadcast image produced by the editorial department to the outside.
  The invention is based on machine learning technology, and automatically drives the shooting unit in the venue based on the pitching movements of the pitcher in the baseball game, and produces sports broadcast videos based on the drive taken by the drive. The purpose is to provide a method of using a sports broadcast system and automatic production of sports broadcasts using machine learning technology.</v>
      </c>
      <c r="D2661" s="6" t="s">
        <v>7515</v>
      </c>
      <c r="E2661" s="4" t="str">
        <f ca="1">IFERROR(__xludf.DUMMYFUNCTION("GOOGLETRANSLATE(D2661,""auto"",""en"")"),"Sports broadcast system using machine learning technology and automatic production method using the system of sports broadcast using the system")</f>
        <v>Sports broadcast system using machine learning technology and automatic production method using the system of sports broadcast using the system</v>
      </c>
    </row>
    <row r="2662" spans="1:5" ht="15" x14ac:dyDescent="0.25">
      <c r="A2662" s="5" t="s">
        <v>7516</v>
      </c>
      <c r="B2662" s="6" t="s">
        <v>7517</v>
      </c>
      <c r="C2662" s="3" t="str">
        <f ca="1">IFERROR(__xludf.DUMMYFUNCTION("GOOGLETRANSLATE(B2662,""auto"",""en"")"),"A low -cost unmanned sports relay system and its unmanned sports relay manufacturing method were disclosed. The present invention involves at least two first unmanned shooting units. It is set as a specific action of continuous shooting athletes as segmen"&amp;"ted actions in sports competitions, and the arm and arm of the athletes in the segmented action captured by the first unmanned unit. Leg. And the measurement unit, used to measure the coordinate value of the joint, and at least two devices to track the de"&amp;"vices used by the player, and measure the coordinate value in the coordinate value venue when the device reaches multiple preset areas, one, one, one, one The storage unit is used to accumulate the coordinate values ​​measured by accumulating the storage "&amp;"measurement unit and the second unmanned photography unit, as well as the coordinate values ​​of the player's arm, legs, and joints through comparing the accumulated storage instrument coordinate value in the storage unit. When the legs and joints pass th"&amp;"rough the point with a specific coordinate value, the accumulated storage equipment in the storage unit predict the predictive predicting equipment to advance the coordinate value. Take the sports competition screen in the shooting direction, provide at l"&amp;"east two or more third unmanned photography units, collect the sports competition screen taken by the third unmanned photography unit, edit the competition screen to match sports broadcast, and edit The post -competition image is added as needed. It is ch"&amp;"aracterized by the unmanned video editing unit that is used to make sports broadcast videos by inserting subtitles, computer graphics, data videos and advertisements, and transmission units for transmission. Sports events produced by unmanned video editin"&amp;"g unit broadcast to the outside world.
  Based on machine technology, the present invention automatically drives the unmanned shooting unit in the athletes in the sports competition according to the athletes' actions, and produces sports broadcast scree"&amp;"ns based on images taken by the driven unmanned unmanned unit. The purpose is to provide a low -cost unmanned sports relay system that uses machine learning technology and its method of manufacturing unmanned sports relay.")</f>
        <v>A low -cost unmanned sports relay system and its unmanned sports relay manufacturing method were disclosed. The present invention involves at least two first unmanned shooting units. It is set as a specific action of continuous shooting athletes as segmented actions in sports competitions, and the arm and arm of the athletes in the segmented action captured by the first unmanned unit. Leg. And the measurement unit, used to measure the coordinate value of the joint, and at least two devices to track the devices used by the player, and measure the coordinate value in the coordinate value venue when the device reaches multiple preset areas, one, one, one, one The storage unit is used to accumulate the coordinate values ​​measured by accumulating the storage measurement unit and the second unmanned photography unit, as well as the coordinate values ​​of the player's arm, legs, and joints through comparing the accumulated storage instrument coordinate value in the storage unit. When the legs and joints pass through the point with a specific coordinate value, the accumulated storage equipment in the storage unit predict the predictive predicting equipment to advance the coordinate value. Take the sports competition screen in the shooting direction, provide at least two or more third unmanned photography units, collect the sports competition screen taken by the third unmanned photography unit, edit the competition screen to match sports broadcast, and edit The post -competition image is added as needed. It is characterized by the unmanned video editing unit that is used to make sports broadcast videos by inserting subtitles, computer graphics, data videos and advertisements, and transmission units for transmission. Sports events produced by unmanned video editing unit broadcast to the outside world.
  Based on machine technology, the present invention automatically drives the unmanned shooting unit in the athletes in the sports competition according to the athletes' actions, and produces sports broadcast screens based on images taken by the driven unmanned unmanned unit. The purpose is to provide a low -cost unmanned sports relay system that uses machine learning technology and its method of manufacturing unmanned sports relay.</v>
      </c>
      <c r="D2662" s="6" t="s">
        <v>7518</v>
      </c>
      <c r="E2662" s="4" t="str">
        <f ca="1">IFERROR(__xludf.DUMMYFUNCTION("GOOGLETRANSLATE(D2662,""auto"",""en"")"),"Low -cost unmanned exercise relay system and unmanned exercise relay production method using the system")</f>
        <v>Low -cost unmanned exercise relay system and unmanned exercise relay production method using the system</v>
      </c>
    </row>
    <row r="2663" spans="1:5" ht="15" x14ac:dyDescent="0.25">
      <c r="A2663" s="5" t="s">
        <v>7519</v>
      </c>
      <c r="B2663" s="6" t="s">
        <v>7520</v>
      </c>
      <c r="C2663" s="3" t="str">
        <f ca="1">IFERROR(__xludf.DUMMYFUNCTION("GOOGLETRANSLATE(B2663,""auto"",""en"")"),"A data processing method, device and fitness robot involving the field of artificial intelligence. The data processing method includes: according to the user's sports data, calculating the user's first energy consumption in the preset time interval and ob"&amp;"taining the first weight change. The energy consumption of the user in the preset period period, according to the first energy consumption and the first weight change, predict the user's second energy consumption and second weight change in the future pre"&amp;"set period. The first weight change, the second energy consumption, and the second weight change, instruct the user's ability to complete the expected fitness plan, as well as the result of corrected users' designated energy consumption and the results of"&amp;" the user specified by the user. In the preset time interval.")</f>
        <v>A data processing method, device and fitness robot involving the field of artificial intelligence. The data processing method includes: according to the user's sports data, calculating the user's first energy consumption in the preset time interval and obtaining the first weight change. The energy consumption of the user in the preset period period, according to the first energy consumption and the first weight change, predict the user's second energy consumption and second weight change in the future preset period. The first weight change, the second energy consumption, and the second weight change, instruct the user's ability to complete the expected fitness plan, as well as the result of corrected users' designated energy consumption and the results of the user specified by the user. In the preset time interval.</v>
      </c>
      <c r="D2663" s="6" t="s">
        <v>7521</v>
      </c>
      <c r="E2663" s="4" t="str">
        <f ca="1">IFERROR(__xludf.DUMMYFUNCTION("GOOGLETRANSLATE(D2663,""auto"",""en"")"),"Data processing method, device, fitness robot")</f>
        <v>Data processing method, device, fitness robot</v>
      </c>
    </row>
    <row r="2664" spans="1:5" ht="15" x14ac:dyDescent="0.25">
      <c r="A2664" s="5" t="s">
        <v>7522</v>
      </c>
      <c r="B2664" s="6" t="s">
        <v>7523</v>
      </c>
      <c r="C2664" s="3" t="str">
        <f ca="1">IFERROR(__xludf.DUMMYFUNCTION("GOOGLETRANSLATE(B2664,""auto"",""en"")"),"A artificial intelligence insulin pump, which can process glucose data, health data, external data, and port information to determine the appropriate amount and time to transport insulin to the human body. External data includes data from the sources from"&amp;" away from insulin pumps and users, such as social media data, GPS location data, historical data (including energy and food intake that previously visited locations), and data from third -party sources. Such external data can include: users register a ma"&amp;"rathon and in the marathon venue. The physical level of the user indicates that the user is running the marathon. The artificial intelligence engine then appropriately adjust insulin.")</f>
        <v>A artificial intelligence insulin pump, which can process glucose data, health data, external data, and port information to determine the appropriate amount and time to transport insulin to the human body. External data includes data from the sources from away from insulin pumps and users, such as social media data, GPS location data, historical data (including energy and food intake that previously visited locations), and data from third -party sources. Such external data can include: users register a marathon and in the marathon venue. The physical level of the user indicates that the user is running the marathon. The artificial intelligence engine then appropriately adjust insulin.</v>
      </c>
      <c r="D2664" s="6" t="s">
        <v>7524</v>
      </c>
      <c r="E2664" s="4" t="str">
        <f ca="1">IFERROR(__xludf.DUMMYFUNCTION("GOOGLETRANSLATE(D2664,""auto"",""en"")"),"Adaptive artificial intelligence insulin pump")</f>
        <v>Adaptive artificial intelligence insulin pump</v>
      </c>
    </row>
    <row r="2665" spans="1:5" ht="15" x14ac:dyDescent="0.25">
      <c r="A2665" s="5" t="s">
        <v>7525</v>
      </c>
      <c r="B2665" s="6" t="s">
        <v>7526</v>
      </c>
      <c r="C2665" s="3" t="str">
        <f ca="1">IFERROR(__xludf.DUMMYFUNCTION("GOOGLETRANSLATE(B2665,""auto"",""en"")"),"A method for identifying and timing athletes in chronograph sports events. The athletes use image recognition technology to timing the athletes. Among them, one or more images (106 A, 106 B, or 106 C) taken by athletes taken by cameras during the sports e"&amp;"vent have a time stamp to generate the time for the athletes. By comparing one of the images that will be taken during the sports event, the athlete is compared with the athlete's personal data image.")</f>
        <v>A method for identifying and timing athletes in chronograph sports events. The athletes use image recognition technology to timing the athletes. Among them, one or more images (106 A, 106 B, or 106 C) taken by athletes taken by cameras during the sports event have a time stamp to generate the time for the athletes. By comparing one of the images that will be taken during the sports event, the athlete is compared with the athlete's personal data image.</v>
      </c>
      <c r="D2665" s="6" t="s">
        <v>7527</v>
      </c>
      <c r="E2665" s="4" t="str">
        <f ca="1">IFERROR(__xludf.DUMMYFUNCTION("GOOGLETRANSLATE(D2665,""auto"",""en"")"),"Event timing and photography method")</f>
        <v>Event timing and photography method</v>
      </c>
    </row>
    <row r="2666" spans="1:5" ht="15" x14ac:dyDescent="0.25">
      <c r="A2666" s="5" t="s">
        <v>7528</v>
      </c>
      <c r="B2666" s="6" t="s">
        <v>7529</v>
      </c>
      <c r="C2666" s="3" t="str">
        <f ca="1">IFERROR(__xludf.DUMMYFUNCTION("GOOGLETRANSLATE(B2666,""auto"",""en"")"),"------ 03/07/2020 ------- (optical identification)
  The process of improving the accuracy of signal data from human activities includes steps to take action to measure data measured by wearable electronic devices. Make information accurate, including m"&amp;"easuring signals from human activities. Although different sports activities can be used to estimate or predict the heart rate value. This information will be entered into the signal verification process. By arranging only the specified signal data, the c"&amp;"orrelation of the data set is analyzed by using each time sequence (rolling window), and the signal data is improved by regulating analysis (regression model). Machine learning
  ------------------
  1 page on 1 page
  Invention
  A process of imp"&amp;"roving the accuracy of human activity signal data.
  It includes steps to take action from measuring data from wearable electronic devices. This information is
  Accurate and accurate, including measured signals from human activities in different phys"&amp;"ical activities, so as to
  Information for estimating or predicting heart rate values ​​will be introduced. This information will be imported
  The signal verification process provides filtering of specific signal data. Also improve signal informatio"&amp;"n.
  The process of regression analysis (regression Model), using the relationship between the analysis of the data set in each
  Each time sequence (rolling window), and then the enhanced signal data and
  Realize user health through machine learni"&amp;"ng methods (machine learning)")</f>
        <v>------ 03/07/2020 ------- (optical identification)
  The process of improving the accuracy of signal data from human activities includes steps to take action to measure data measured by wearable electronic devices. Make information accurate, including measuring signals from human activities. Although different sports activities can be used to estimate or predict the heart rate value. This information will be entered into the signal verification process. By arranging only the specified signal data, the correlation of the data set is analyzed by using each time sequence (rolling window), and the signal data is improved by regulating analysis (regression model). Machine learning
  ------------------
  1 page on 1 page
  Invention
  A process of improving the accuracy of human activity signal data.
  It includes steps to take action from measuring data from wearable electronic devices. This information is
  Accurate and accurate, including measured signals from human activities in different physical activities, so as to
  Information for estimating or predicting heart rate values ​​will be introduced. This information will be imported
  The signal verification process provides filtering of specific signal data. Also improve signal information.
  The process of regression analysis (regression Model), using the relationship between the analysis of the data set in each
  Each time sequence (rolling window), and then the enhanced signal data and
  Realize user health through machine learning methods (machine learning)</v>
      </c>
      <c r="D2666" s="6" t="s">
        <v>7530</v>
      </c>
      <c r="E2666" s="4" t="str">
        <f ca="1">IFERROR(__xludf.DUMMYFUNCTION("GOOGLETRANSLATE(D2666,""auto"",""en"")"),"A process of improving the accuracy of human activity signal data.")</f>
        <v>A process of improving the accuracy of human activity signal data.</v>
      </c>
    </row>
    <row r="2667" spans="1:5" ht="15" x14ac:dyDescent="0.25">
      <c r="A2667" s="5" t="s">
        <v>7531</v>
      </c>
      <c r="B2667" s="6" t="s">
        <v>7532</v>
      </c>
      <c r="C2667" s="3" t="str">
        <f ca="1">IFERROR(__xludf.DUMMYFUNCTION("GOOGLETRANSLATE(B2667,""auto"",""en"")"),"The present invention involves the field of sports and health management. It is specifically for a personalized exercise quantity recommendation system and method. This method includes: obtaining user information, which includes basic information, exercis"&amp;"e habits and health information; The exercise prescription includes exercise time periods, movement duration, and step frequency range; obtaining user sports information, which includes the sequence of the user's step frequency corresponding to the user's"&amp;" step frequency corresponding to the unit time period; Calculate the amount of user exercise frequency and exercise duration, get the user's motion prescription to complete the duration and judge whether the user completes the amount of exercise. A person"&amp;"alized exercise volume recommendation system and method provided by the present invention can develop a scientific fitness plan for users. At the same time, it can accurately detect the amount of user exercise, and accurately record the implementation of "&amp;"the user's sports plan to ensure that the effective implementation of the fitness plan Essence")</f>
        <v>The present invention involves the field of sports and health management. It is specifically for a personalized exercise quantity recommendation system and method. This method includes: obtaining user information, which includes basic information, exercise habits and health information; The exercise prescription includes exercise time periods, movement duration, and step frequency range; obtaining user sports information, which includes the sequence of the user's step frequency corresponding to the user's step frequency corresponding to the unit time period; Calculate the amount of user exercise frequency and exercise duration, get the user's motion prescription to complete the duration and judge whether the user completes the amount of exercise. A personalized exercise volume recommendation system and method provided by the present invention can develop a scientific fitness plan for users. At the same time, it can accurately detect the amount of user exercise, and accurately record the implementation of the user's sports plan to ensure that the effective implementation of the fitness plan Essence</v>
      </c>
      <c r="D2667" s="6" t="s">
        <v>7533</v>
      </c>
      <c r="E2667" s="4" t="str">
        <f ca="1">IFERROR(__xludf.DUMMYFUNCTION("GOOGLETRANSLATE(D2667,""auto"",""en"")"),"A personalized exercise volume recommendation system and method")</f>
        <v>A personalized exercise volume recommendation system and method</v>
      </c>
    </row>
    <row r="2668" spans="1:5" ht="15" x14ac:dyDescent="0.25">
      <c r="A2668" s="5" t="s">
        <v>7534</v>
      </c>
      <c r="B2668" s="6" t="s">
        <v>7535</v>
      </c>
      <c r="C2668" s="3" t="str">
        <f ca="1">IFERROR(__xludf.DUMMYFUNCTION("GOOGLETRANSLATE(B2668,""auto"",""en"")"),"The various applications of computer vision and artificial intelligence in basketball exercises and games.")</f>
        <v>The various applications of computer vision and artificial intelligence in basketball exercises and games.</v>
      </c>
      <c r="D2668" s="6" t="s">
        <v>7536</v>
      </c>
      <c r="E2668" s="4" t="str">
        <f ca="1">IFERROR(__xludf.DUMMYFUNCTION("GOOGLETRANSLATE(D2668,""auto"",""en"")"),"The application of computer vision and artificial intelligence in basketball")</f>
        <v>The application of computer vision and artificial intelligence in basketball</v>
      </c>
    </row>
    <row r="2669" spans="1:5" ht="15" x14ac:dyDescent="0.25">
      <c r="A2669" s="5" t="s">
        <v>7537</v>
      </c>
      <c r="B2669" s="6" t="s">
        <v>7538</v>
      </c>
      <c r="C2669" s="3" t="str">
        <f ca="1">IFERROR(__xludf.DUMMYFUNCTION("GOOGLETRANSLATE(B2669,""auto"",""en"")"),"The expert system uses verified and reliable human health data, as well as health information and other information of users and user families, such as food preferences, habits and religious beliefs, as the benchmark for health analysis and recommendation"&amp;". The expert system uses artificial intelligence technology to track down all diet, physical activity, and user's biological characteristics, health information and medical records, and analyze this information, identify the relationship between many fact"&amp;"ors, so as to establish the individual best personalities of users and user families Users' nutritional needs, the number of sports activities and strength, lifestyle and environmental factors. Utilizing the baseline and personalized health parameters, th"&amp;"e expert system can provide users and user families with a customized, complete personalized diet, sports activity, lifestyle and environmental suggestions and guidance to help users achieve the best health and prevent infection diseases for life. Obstacl"&amp;"es.")</f>
        <v>The expert system uses verified and reliable human health data, as well as health information and other information of users and user families, such as food preferences, habits and religious beliefs, as the benchmark for health analysis and recommendation. The expert system uses artificial intelligence technology to track down all diet, physical activity, and user's biological characteristics, health information and medical records, and analyze this information, identify the relationship between many factors, so as to establish the individual best personalities of users and user families Users' nutritional needs, the number of sports activities and strength, lifestyle and environmental factors. Utilizing the baseline and personalized health parameters, the expert system can provide users and user families with a customized, complete personalized diet, sports activity, lifestyle and environmental suggestions and guidance to help users achieve the best health and prevent infection diseases for life. Obstacles.</v>
      </c>
      <c r="D2669" s="6" t="s">
        <v>7539</v>
      </c>
      <c r="E2669" s="4" t="str">
        <f ca="1">IFERROR(__xludf.DUMMYFUNCTION("GOOGLETRANSLATE(D2669,""auto"",""en"")"),"Smart health experts and managers")</f>
        <v>Smart health experts and managers</v>
      </c>
    </row>
    <row r="2670" spans="1:5" ht="15" x14ac:dyDescent="0.25">
      <c r="A2670" s="5" t="s">
        <v>7540</v>
      </c>
      <c r="B2670" s="6" t="s">
        <v>7541</v>
      </c>
      <c r="C2670" s="3" t="str">
        <f ca="1">IFERROR(__xludf.DUMMYFUNCTION("GOOGLETRANSLATE(B2670,""auto"",""en"")"),"The invention involves the field of video fragment classification technology. Specifically, it involves a classification method of football video fragment based on deep learning. It includes preparation of video data steps, labeling information steps, est"&amp;"ablishing classification model steps and video processing steps. In the classification method based on football video fragment based on deep learning, deep learning -based video classification algorithms have very good adaptability to the scene, so as to "&amp;"classify football fragments from any scene and angle, automatically process any scenes and video videos from any angle in real time Flowing and video clips, judging all the goals in video streaming and video clips, and the goal category of each goal, whic"&amp;"h greatly reduces the time cost of manual judgment.")</f>
        <v>The invention involves the field of video fragment classification technology. Specifically, it involves a classification method of football video fragment based on deep learning. It includes preparation of video data steps, labeling information steps, establishing classification model steps and video processing steps. In the classification method based on football video fragment based on deep learning, deep learning -based video classification algorithms have very good adaptability to the scene, so as to classify football fragments from any scene and angle, automatically process any scenes and video videos from any angle in real time Flowing and video clips, judging all the goals in video streaming and video clips, and the goal category of each goal, which greatly reduces the time cost of manual judgment.</v>
      </c>
      <c r="D2670" s="6" t="s">
        <v>7542</v>
      </c>
      <c r="E2670" s="4" t="str">
        <f ca="1">IFERROR(__xludf.DUMMYFUNCTION("GOOGLETRANSLATE(D2670,""auto"",""en"")"),"A classification method of football video fragment based on deep learning")</f>
        <v>A classification method of football video fragment based on deep learning</v>
      </c>
    </row>
    <row r="2671" spans="1:5" ht="15" x14ac:dyDescent="0.25">
      <c r="A2671" s="5" t="s">
        <v>7543</v>
      </c>
      <c r="B2671" s="6" t="s">
        <v>7544</v>
      </c>
      <c r="C2671" s="3" t="str">
        <f ca="1">IFERROR(__xludf.DUMMYFUNCTION("GOOGLETRANSLATE(B2671,""auto"",""en"")"),"The present invention involves the field of football video fragment classification technology. Specifically, it involves a kind of football video fragment based on deep learning algorithms that have not scored goals, ordinary goals, and positioning ball c"&amp;"lassification methods. The steps are as follows: prepare a lot of football game video fragments; marked the above video clips through artificial methods; use the above video fragments and marking data to train football video clips 3 categories based on co"&amp;"nvolutional neural network algorithms; use the trained training Football video fragments 3 Classification models are processed to football video fragments. In this football video fragment based on deep learning algorithms, in the classification method of "&amp;"deep learning, the video classification algorithm based on deep learning can automatically learn the various characteristic information in the picture. Intervention avoids the problem of poor generalization and low accuracy caused by artificial design cha"&amp;"racteristics.")</f>
        <v>The present invention involves the field of football video fragment classification technology. Specifically, it involves a kind of football video fragment based on deep learning algorithms that have not scored goals, ordinary goals, and positioning ball classification methods. The steps are as follows: prepare a lot of football game video fragments; marked the above video clips through artificial methods; use the above video fragments and marking data to train football video clips 3 categories based on convolutional neural network algorithms; use the trained training Football video fragments 3 Classification models are processed to football video fragments. In this football video fragment based on deep learning algorithms, in the classification method of deep learning, the video classification algorithm based on deep learning can automatically learn the various characteristic information in the picture. Intervention avoids the problem of poor generalization and low accuracy caused by artificial design characteristics.</v>
      </c>
      <c r="D2671" s="6" t="s">
        <v>7545</v>
      </c>
      <c r="E2671" s="4" t="str">
        <f ca="1">IFERROR(__xludf.DUMMYFUNCTION("GOOGLETRANSLATE(D2671,""auto"",""en"")"),"A football video fragment based on deep learning algorithms has not scored goals, ordinary goals, and positioning of positioning")</f>
        <v>A football video fragment based on deep learning algorithms has not scored goals, ordinary goals, and positioning of positioning</v>
      </c>
    </row>
    <row r="2672" spans="1:5" ht="15" x14ac:dyDescent="0.25">
      <c r="A2672" s="5" t="s">
        <v>7546</v>
      </c>
      <c r="B2672" s="6" t="s">
        <v>7547</v>
      </c>
      <c r="C2672" s="3" t="str">
        <f ca="1">IFERROR(__xludf.DUMMYFUNCTION("GOOGLETRANSLATE(B2672,""auto"",""en"")"),"1. Design product name: Graphic user interface for car multimedia equipment.
 2. The purpose of designing products in this exterior: The design of the product is used for running programs and display information.
 3. Design of the design of the produc"&amp;"t in this appearance: lies in the interaction interface of the graphic user in the screen, and the rest are commonly designed.
 4. Pictures or photos that can most indicate design points: main view.
 5. There is no design point for other views of the "&amp;"product, and other views are omitted.
 6. The purpose of the graphical user interface: used for real -time display of the relevant information of the vehicle and the function switching, convenient to control the owner; the graphic user interface in the "&amp;"main view shows vehicle navigation information, vehicle fuel consumption information, and range of mileage. Navigation records, car owners can switch by awakening intelligent robots; car owners in the main view of the main view of the intelligent robot en"&amp;"ter the change state diagram, and the graphic user interface (vehicle detailed information page) in the state diagram display Information, air conditioning in the car, video playback and gallery photos, etc., you can use click to perform specific operatio"&amp;"ns. The basic connection status of the vehicle on the right can be displayed on the right. Personal account information, collection, car condition, music) is used for functional switching.
 Among them, the navigation information, connection status and o"&amp;"ther specific parameters shown in the interface are only examples, and it is not a design element.")</f>
        <v>1. Design product name: Graphic user interface for car multimedia equipment.
 2. The purpose of designing products in this exterior: The design of the product is used for running programs and display information.
 3. Design of the design of the product in this appearance: lies in the interaction interface of the graphic user in the screen, and the rest are commonly designed.
 4. Pictures or photos that can most indicate design points: main view.
 5. There is no design point for other views of the product, and other views are omitted.
 6. The purpose of the graphical user interface: used for real -time display of the relevant information of the vehicle and the function switching, convenient to control the owner; the graphic user interface in the main view shows vehicle navigation information, vehicle fuel consumption information, and range of mileage. Navigation records, car owners can switch by awakening intelligent robots; car owners in the main view of the main view of the intelligent robot enter the change state diagram, and the graphic user interface (vehicle detailed information page) in the state diagram display Information, air conditioning in the car, video playback and gallery photos, etc., you can use click to perform specific operations. The basic connection status of the vehicle on the right can be displayed on the right. Personal account information, collection, car condition, music) is used for functional switching.
 Among them, the navigation information, connection status and other specific parameters shown in the interface are only examples, and it is not a design element.</v>
      </c>
      <c r="D2672" s="6" t="s">
        <v>7548</v>
      </c>
      <c r="E2672" s="4" t="str">
        <f ca="1">IFERROR(__xludf.DUMMYFUNCTION("GOOGLETRANSLATE(D2672,""auto"",""en"")"),"Graphical user interface for car multimedia equipment")</f>
        <v>Graphical user interface for car multimedia equipment</v>
      </c>
    </row>
    <row r="2673" spans="1:5" ht="15" x14ac:dyDescent="0.25">
      <c r="A2673" s="5" t="s">
        <v>7549</v>
      </c>
      <c r="B2673" s="6" t="s">
        <v>7550</v>
      </c>
      <c r="C2673" s="3" t="str">
        <f ca="1">IFERROR(__xludf.DUMMYFUNCTION("GOOGLETRANSLATE(B2673,""auto"",""en"")"),"The present invention involves the field of artificial intelligence technology. Specifically, it involves a method of automatic distinction between artificial intelligence -based basketball scores. The method includes the use of the detection algorithm to"&amp;" detect all the players, referees and balls in the first goal video clip in the game; use the color information of the jersey in the test result to analyze all the players in the competition fragment; get the obtained Each goal shot shooting player, calcu"&amp;"late the color characteristics of the basketball player, compares according to the color information and the two color features saved in the second step. In the method of artificial intelligence -based basketball scores AB team automatically distinguishes"&amp;", the use of deep -learning image detection algorithms automatically detects the position and size of the players, referees, and balls, and use the color histogram, cluster algorithm to obtain to obtain The color feature information in the first goal clip"&amp;", by calculating the color characteristics of the team in all goals after the second goal starts, distinguishes team information.")</f>
        <v>The present invention involves the field of artificial intelligence technology. Specifically, it involves a method of automatic distinction between artificial intelligence -based basketball scores. The method includes the use of the detection algorithm to detect all the players, referees and balls in the first goal video clip in the game; use the color information of the jersey in the test result to analyze all the players in the competition fragment; get the obtained Each goal shot shooting player, calculate the color characteristics of the basketball player, compares according to the color information and the two color features saved in the second step. In the method of artificial intelligence -based basketball scores AB team automatically distinguishes, the use of deep -learning image detection algorithms automatically detects the position and size of the players, referees, and balls, and use the color histogram, cluster algorithm to obtain to obtain The color feature information in the first goal clip, by calculating the color characteristics of the team in all goals after the second goal starts, distinguishes team information.</v>
      </c>
      <c r="D2673" s="6" t="s">
        <v>7551</v>
      </c>
      <c r="E2673" s="4" t="str">
        <f ca="1">IFERROR(__xludf.DUMMYFUNCTION("GOOGLETRANSLATE(D2673,""auto"",""en"")"),"A method of automatic distinction between artificial intelligence basketball scores?")</f>
        <v>A method of automatic distinction between artificial intelligence basketball scores?</v>
      </c>
    </row>
    <row r="2674" spans="1:5" ht="15" x14ac:dyDescent="0.25">
      <c r="A2674" s="5" t="s">
        <v>7552</v>
      </c>
      <c r="B2674" s="6" t="s">
        <v>7553</v>
      </c>
      <c r="C2674" s="3" t="str">
        <f ca="1">IFERROR(__xludf.DUMMYFUNCTION("GOOGLETRANSLATE(B2674,""auto"",""en"")"),"The present invention disclosed the intelligent maintenance system of natural grass football field based on IoT technology, including: gateway controller and mobile phone operation terminal. Soil moisture sensor and spray irrigation device, the gateway co"&amp;"ntroller is also connected to the cloud server through the GPRS wireless network. The mobile phone operation terminal is connected to the cloud server through the network. Buried in the lawn underground. The present invention also disclosed a method of in"&amp;"telligent maintenance of natural grass football fields. The invention is based on the Internet of Things technology to achieve intelligent maintenance and remote monitoring of the lawn of natural grass football fields. All equipment communicates through w"&amp;"ireless connection to realize real -time monitoring of lawn growth status. The level reduces traditional production costs and human costs.")</f>
        <v>The present invention disclosed the intelligent maintenance system of natural grass football field based on IoT technology, including: gateway controller and mobile phone operation terminal. Soil moisture sensor and spray irrigation device, the gateway controller is also connected to the cloud server through the GPRS wireless network. The mobile phone operation terminal is connected to the cloud server through the network. Buried in the lawn underground. The present invention also disclosed a method of intelligent maintenance of natural grass football fields. The invention is based on the Internet of Things technology to achieve intelligent maintenance and remote monitoring of the lawn of natural grass football fields. All equipment communicates through wireless connection to realize real -time monitoring of lawn growth status. The level reduces traditional production costs and human costs.</v>
      </c>
      <c r="D2674" s="6" t="s">
        <v>7554</v>
      </c>
      <c r="E2674" s="4" t="str">
        <f ca="1">IFERROR(__xludf.DUMMYFUNCTION("GOOGLETRANSLATE(D2674,""auto"",""en"")"),"Natural grass football field lawn intelligent maintenance system based on IoT technology")</f>
        <v>Natural grass football field lawn intelligent maintenance system based on IoT technology</v>
      </c>
    </row>
    <row r="2675" spans="1:5" ht="15" x14ac:dyDescent="0.25">
      <c r="A2675" s="5" t="s">
        <v>7555</v>
      </c>
      <c r="B2675" s="6" t="s">
        <v>7556</v>
      </c>
      <c r="C2675" s="3" t="str">
        <f ca="1">IFERROR(__xludf.DUMMYFUNCTION("GOOGLETRANSLATE(B2675,""auto"",""en"")"),"Methods, systems, and equipment for training machine learning models, including computer programs encoded on computer storage medium. One method includes: maintain multiple training courses; allocate corresponding training courses in multiple training cou"&amp;"rses to each worker in one or more workers; repeat the operation until it meets one or more termination standards. This operation includes: From the corresponding workers from one or more workers to receive the updated training course, select the second t"&amp;"raining course, and choose a session of the fitness evaluation function based on the more updated training courses and the second training As a parent training course, the curriculum is a child training course from the selected parent training course, and"&amp;" the sub -training courses are allocated to the available workers, and the candidate model is selected as a training model for the machine learning model.")</f>
        <v>Methods, systems, and equipment for training machine learning models, including computer programs encoded on computer storage medium. One method includes: maintain multiple training courses; allocate corresponding training courses in multiple training courses to each worker in one or more workers; repeat the operation until it meets one or more termination standards. This operation includes: From the corresponding workers from one or more workers to receive the updated training course, select the second training course, and choose a session of the fitness evaluation function based on the more updated training courses and the second training As a parent training course, the curriculum is a child training course from the selected parent training course, and the sub -training courses are allocated to the available workers, and the candidate model is selected as a training model for the machine learning model.</v>
      </c>
      <c r="D2675" s="6" t="s">
        <v>7557</v>
      </c>
      <c r="E2675" s="4" t="str">
        <f ca="1">IFERROR(__xludf.DUMMYFUNCTION("GOOGLETRANSLATE(D2675,""auto"",""en"")"),"Machine learning model based on crowd -based training")</f>
        <v>Machine learning model based on crowd -based training</v>
      </c>
    </row>
    <row r="2676" spans="1:5" ht="15" x14ac:dyDescent="0.25">
      <c r="A2676" s="5" t="s">
        <v>7558</v>
      </c>
      <c r="B2676" s="6" t="s">
        <v>7559</v>
      </c>
      <c r="C2676" s="3" t="str">
        <f ca="1">IFERROR(__xludf.DUMMYFUNCTION("GOOGLETRANSLATE(B2676,""auto"",""en"")"),"The invention provides a non -linear vague logical decision -making algorithm involving the field of home kitchen. This non -linear vague logical decision algorithm, including the following steps: S1: Collect mobile data, record the relevant parameters in"&amp;" the corresponding time, and count the characteristic value of time; S2: The statistical feature value is processed segmented, with time parameters as the time parameter as the Nodes, set the corresponding feature interval; S3: Convert the accuracy to a f"&amp;"uzzy single set in standard theory, and convert the accurate measurement to the basic elements in the standard domain through the corresponding relationship. By establishing a non -linear fuzzy model and training non -linear fuzzy algorithm, the effective"&amp;" algorithm can be calculated in the motion fuzzy decision to calculate the non -linear fuzzy speed changes of the athletes, reasoning the fuzzy value, after the accuracy value is made, and the final final value is obtained. Accuracy output makes the exerc"&amp;"ise process analysis more realistic and effective to a certain extent.")</f>
        <v>The invention provides a non -linear vague logical decision -making algorithm involving the field of home kitchen. This non -linear vague logical decision algorithm, including the following steps: S1: Collect mobile data, record the relevant parameters in the corresponding time, and count the characteristic value of time; S2: The statistical feature value is processed segmented, with time parameters as the time parameter as the Nodes, set the corresponding feature interval; S3: Convert the accuracy to a fuzzy single set in standard theory, and convert the accurate measurement to the basic elements in the standard domain through the corresponding relationship. By establishing a non -linear fuzzy model and training non -linear fuzzy algorithm, the effective algorithm can be calculated in the motion fuzzy decision to calculate the non -linear fuzzy speed changes of the athletes, reasoning the fuzzy value, after the accuracy value is made, and the final final value is obtained. Accuracy output makes the exercise process analysis more realistic and effective to a certain extent.</v>
      </c>
      <c r="D2676" s="6" t="s">
        <v>7560</v>
      </c>
      <c r="E2676" s="4" t="str">
        <f ca="1">IFERROR(__xludf.DUMMYFUNCTION("GOOGLETRANSLATE(D2676,""auto"",""en"")"),"A non -linear fuzzy logic decision algorithm")</f>
        <v>A non -linear fuzzy logic decision algorithm</v>
      </c>
    </row>
    <row r="2677" spans="1:5" ht="15" x14ac:dyDescent="0.25">
      <c r="A2677" s="5" t="s">
        <v>7561</v>
      </c>
      <c r="B2677" s="6" t="s">
        <v>7562</v>
      </c>
      <c r="C2677" s="3" t="str">
        <f ca="1">IFERROR(__xludf.DUMMYFUNCTION("GOOGLETRANSLATE(B2677,""auto"",""en"")"),"1. Design product name: For the graphic user interface for mobile phones.
 2. Design products in appearance: used to run program, display information and communication.
 3. Design of design products in this appearance: lies in the graphic user interfa"&amp;"ce in the screen.
 4. Pictures or photos that can best show design: Design 1 main view.
 5. The mobile phone is a common design, omitted the view; the mobile phone is used to the usual design, omit the left view; the mobile phone is a common design, o"&amp;"mit the right view; the mobile phone is a common design, omitting the prone view;
 6. Specify design 1 is the basic design.
 7. The purpose of the graphical user interface: This graphic user interface is the main interface of the application software "&amp;"guessing song competition, and the interface is used for human -computer interaction.
 8. Graphical user interface in the area in the product: the interface in the screen.
 9. Human -computer interaction method of graphic user interface: In designing "&amp;"1 to design 5 main views, the interface head is the user avatar, name, and the number of diamonds; ""PK"" and ""multi -player competition"" three modules, users can click on any module to enter the competition.
 In Design 1, when the user clicks the ""P"&amp;"K race"" module in the main view, the interface jumps to the interface of the song module selection. Show the dynamic change effect of the main view to the interface change state.
 When the user chooses to enter any module, the interface jumps to the ma"&amp;"tching interface, showing the dynamic change effect of the interface change state Figure 1 to the interface changes.
 After the matching successfully enters the game, the left side of the interface is the user's avatar and scores, the right side is the "&amp;"opponent's avatar and scores, the middle part is to play music for rotating discs. Below is the name option at the bottom of the interface. , Present the dynamic change effect of the interface change state Figure 2 to the interface changes. Figure 3.
 I"&amp;"n Design 2, when the user clicks the ""PK race"" module in the main view, the interface jumps to the interface of the song module selection. Show the dynamic change effect of the main view to the interface change state.
 When the user chooses to enter a"&amp;"ny module, the interface jumps to the matching interface, showing the dynamic change effect of the interface change state Figure 1 to the interface changes.
 After the matching successfully enters the game, the left side of the interface is the user's a"&amp;"vatar and scores, the right side is the opponent's avatar and scores, the middle part is to play music for rotating discs. Below is the name option at the bottom of the interface. , Present the dynamic change effect of the interface change state Figure 2 "&amp;"to the interface changes. Figure 3.
 When the user clicks the ""Quick"" control, the fast -language floating layer pops up at the bottom of the interface, showing the dynamic change effect of the interface change state Figure 3 to the interface changes."&amp;"
 When the user clicks any shortcut, there is a quick language above the user's avatar, showing the dynamic change effect of the interface change state Figure 4 to the interface change state. 5.
 In Design 3, when the user clicks the ""PK race"" modul"&amp;"e in the main view, the interface jumps to the interface of the song module selection. Show the dynamic change effect of the main view to the interface change state.
 When the user chooses to enter any module, the interface jumps to the matching interfa"&amp;"ce, showing the dynamic change effect of the interface change state Figure 1 to the interface changes.
 After the matching successfully enters the game, the left side of the interface is the user's avatar and scores, the right side is the opponent's ava"&amp;"tar and scores, the middle part is to play music for rotating discs. Below is the name option at the bottom of the interface. , Present the dynamic change effect of the interface change state Figure 2 to the interface changes. Figure 3.
 When the user a"&amp;"nd opponent click to select the song name to answer the wrong question, the selected song name becomes red, showing the dynamic change effect of the interface change state Figure 3 to the interface changes. 4.
 In Design 4, when the user clicks the ""PK"&amp;" race"" module in the main view, the interface jumps to the interface of the song module selection. Show the dynamic change effect of the main view to the interface change state.
 When the user chooses to enter any module, the interface jumps to the mat"&amp;"ching interface, showing the dynamic change effect of the interface change state Figure 1 to the interface changes.
 After the matching successfully enters the game, the left side of the interface is the user's avatar and scores, the right side is the o"&amp;"pponent's avatar and scores, the middle part is to play music for rotating discs. Below is the name option at the bottom of the interface. , Present the dynamic change effect of the interface change state Figure 2 to the interface changes. Figure 3.
 Wh"&amp;"en the user and opponent click to select the song name to answer the right topic, the selected song name becomes green, showing the dynamic change effect of the interface change state Figure 3 to the interface changes. 4.
 In Design 5, when the user cli"&amp;"cks the ""PK race"" module in the main view, the interface jumps to the interface of the song module selection. Show the dynamic change effect of the main view to the interface change state.
 When the user chooses to enter any module, the interface jump"&amp;"s to the matching interface, showing the dynamic change effect of the interface change state Figure 1 to the interface changes.
 After the matching successfully enters the game, the left side of the interface is the user's avatar and scores, the right s"&amp;"ide is the opponent's avatar and scores, the middle part is to play music for rotating discs. Below is the name option at the bottom of the interface. , Present the dynamic change effect of the interface change state Figure 2 to the interface changes. Fig"&amp;"ure 3.
 When the user clicks to select the song name to answer the right question, the opponent clicks the song name to answer the wrong question, the name of the song selected by the user becomes green, the name of the song selected by the opponent bec"&amp;"omes red, showing the interface change state figure 3 to the interface changes. 4 Dynamic change effect.")</f>
        <v>1. Design product name: For the graphic user interface for mobile phones.
 2. Design products in appearance: used to run program, display information and communication.
 3. Design of design products in this appearance: lies in the graphic user interface in the screen.
 4. Pictures or photos that can best show design: Design 1 main view.
 5. The mobile phone is a common design, omitted the view; the mobile phone is used to the usual design, omit the left view; the mobile phone is a common design, omit the right view; the mobile phone is a common design, omitting the prone view;
 6. Specify design 1 is the basic design.
 7. The purpose of the graphical user interface: This graphic user interface is the main interface of the application software guessing song competition, and the interface is used for human -computer interaction.
 8. Graphical user interface in the area in the product: the interface in the screen.
 9. Human -computer interaction method of graphic user interface: In designing 1 to design 5 main views, the interface head is the user avatar, name, and the number of diamonds; "PK" and "multi -player competition" three modules, users can click on any module to enter the competition.
 In Design 1, when the user clicks the "PK race" module in the main view, the interface jumps to the interface of the song module selection. Show the dynamic change effect of the main view to the interface change state.
 When the user chooses to enter any module, the interface jumps to the matching interface, showing the dynamic change effect of the interface change state Figure 1 to the interface changes.
 After the matching successfully enters the game, the left side of the interface is the user's avatar and scores, the right side is the opponent's avatar and scores, the middle part is to play music for rotating discs. Below is the name option at the bottom of the interface. , Present the dynamic change effect of the interface change state Figure 2 to the interface changes. Figure 3.
 In Design 2, when the user clicks the "PK race" module in the main view, the interface jumps to the interface of the song module selection. Show the dynamic change effect of the main view to the interface change state.
 When the user chooses to enter any module, the interface jumps to the matching interface, showing the dynamic change effect of the interface change state Figure 1 to the interface changes.
 After the matching successfully enters the game, the left side of the interface is the user's avatar and scores, the right side is the opponent's avatar and scores, the middle part is to play music for rotating discs. Below is the name option at the bottom of the interface. , Present the dynamic change effect of the interface change state Figure 2 to the interface changes. Figure 3.
 When the user clicks the "Quick" control, the fast -language floating layer pops up at the bottom of the interface, showing the dynamic change effect of the interface change state Figure 3 to the interface changes.
 When the user clicks any shortcut, there is a quick language above the user's avatar, showing the dynamic change effect of the interface change state Figure 4 to the interface change state. 5.
 In Design 3, when the user clicks the "PK race" module in the main view, the interface jumps to the interface of the song module selection. Show the dynamic change effect of the main view to the interface change state.
 When the user chooses to enter any module, the interface jumps to the matching interface, showing the dynamic change effect of the interface change state Figure 1 to the interface changes.
 After the matching successfully enters the game, the left side of the interface is the user's avatar and scores, the right side is the opponent's avatar and scores, the middle part is to play music for rotating discs. Below is the name option at the bottom of the interface. , Present the dynamic change effect of the interface change state Figure 2 to the interface changes. Figure 3.
 When the user and opponent click to select the song name to answer the wrong question, the selected song name becomes red, showing the dynamic change effect of the interface change state Figure 3 to the interface changes. 4.
 In Design 4, when the user clicks the "PK race" module in the main view, the interface jumps to the interface of the song module selection. Show the dynamic change effect of the main view to the interface change state.
 When the user chooses to enter any module, the interface jumps to the matching interface, showing the dynamic change effect of the interface change state Figure 1 to the interface changes.
 After the matching successfully enters the game, the left side of the interface is the user's avatar and scores, the right side is the opponent's avatar and scores, the middle part is to play music for rotating discs. Below is the name option at the bottom of the interface. , Present the dynamic change effect of the interface change state Figure 2 to the interface changes. Figure 3.
 When the user and opponent click to select the song name to answer the right topic, the selected song name becomes green, showing the dynamic change effect of the interface change state Figure 3 to the interface changes. 4.
 In Design 5, when the user clicks the "PK race" module in the main view, the interface jumps to the interface of the song module selection. Show the dynamic change effect of the main view to the interface change state.
 When the user chooses to enter any module, the interface jumps to the matching interface, showing the dynamic change effect of the interface change state Figure 1 to the interface changes.
 After the matching successfully enters the game, the left side of the interface is the user's avatar and scores, the right side is the opponent's avatar and scores, the middle part is to play music for rotating discs. Below is the name option at the bottom of the interface. , Present the dynamic change effect of the interface change state Figure 2 to the interface changes. Figure 3.
 When the user clicks to select the song name to answer the right question, the opponent clicks the song name to answer the wrong question, the name of the song selected by the user becomes green, the name of the song selected by the opponent becomes red, showing the interface change state figure 3 to the interface changes. 4 Dynamic change effect.</v>
      </c>
      <c r="D2677" s="6" t="s">
        <v>7563</v>
      </c>
      <c r="E2677" s="4" t="str">
        <f ca="1">IFERROR(__xludf.DUMMYFUNCTION("GOOGLETRANSLATE(D2677,""auto"",""en"")"),"The graphic user interface used for mobile phones")</f>
        <v>The graphic user interface used for mobile phones</v>
      </c>
    </row>
    <row r="2678" spans="1:5" ht="15" x14ac:dyDescent="0.25">
      <c r="A2678" s="5" t="s">
        <v>7564</v>
      </c>
      <c r="B2678" s="6" t="s">
        <v>7565</v>
      </c>
      <c r="C2678" s="3" t="str">
        <f ca="1">IFERROR(__xludf.DUMMYFUNCTION("GOOGLETRANSLATE(B2678,""auto"",""en"")"),"1. Design product name: For the graphical user interface for the computer.
 2. The purpose of designing products in appearance: for human -computer interaction and display.
 3. Design of the design of the product in this exterior: lies in the interfac"&amp;"e content of the graphical user interface of the display information.
 4. Pictures or photos that can most indicate design points: Change Figure 3.
 5. Because it does not have design points, omitting push -up views, viewing views, left view, right vi"&amp;"ew, rear view.
 6. The purpose of the graphical user interface: The graphic user interface of the product is the graphic user interface that controls the robot delivery.
 The main view shows that the robot is currently no task -free prompt state. When"&amp;" the robot receives the task instruction and enters the transformation chart 1; the transformation diagram 1 displays the delivery task of the robot, click the ""Confirmation"" button to enter the change diagram 2 or the transformation chart 3; the change"&amp;" map 2; The display interface of the display of the robot's self -inspection; the change diagram 3 shows the preparation of the starting interface, including the starting point information, endpoint information, distribution type information, and box exer"&amp;"cise prompt information, click the ""View Operation Tutorial"" button to enter the Chart 4; Change Figure 4 Display the specific box operation tutorial; follow the prompt information in the change diagram 3 or operate the robot to operate the robot in the"&amp;" operation tutorial in the variable chart 4; After entering the Chart Figure 6; the Chart Figure 6 Display the tips of the box door locking abnormally, click the ""Manual Lock"" button to enter the change chart 7; the changing picture 7 shows the prompt i"&amp;"nformation in the lock of the door. 8. Change diagram 8 Display the prompt information of the normal completion of the box door, click the ""Start Delivery"" button to enter the change map 9; the change drawing 9 shows the prompt information of the robot "&amp;"to start soon, the robot starts to enter the change chart 10; the change diagram 10 shows the display 10 show The robot is delivery information, and the robot enters the change chart 11 after the robot reaches the destination; the change map 11 displays t"&amp;"he prompt information of the robot reaches the destination, click the ""Return directly"" button to enter the transformation chart 12, and click ""Take the car"" to enter the transformation chart 14; Change diagram 12 Display directly returns the determin"&amp;"ed interface; the change drawing 13 swiping card prompt interface, the card swipe the card operation according to the prompt information, enter the transformation graph 14 or the transformation diagram 15; After the preset time, enter the change figure 16"&amp;"; the change picture 16 shows the box door open the prompt information. Sequential entering the change chart 19 and the transformation chart 20; the changing figure 18 display the box door to open the successful prompt information; the change diagram 19 s"&amp;"hows the distribution of the delivery prompt information, click the ""recycling box"" button to enter the change graph 20; the transformation diagram 20 display box mobile prompt prompt prompt prompt prompt Information, operate the robot into the changing"&amp;" graph 21 according to the box movement prompt information; the change figure 21 display the box detection prompt information. After the box is locked, enter the change picture 22 or the change picture 23; Information, click the ""Recycling"" button to en"&amp;"ter the Chart Figure 24; the Change Figure 23 Display the box locking failed prompt information. Click the ""Re -"" recycling button to re -recycled the box; After the end point, enter the change map 25; the change map 25 display the prompt information of"&amp;" the robot reaches the end point, click the button behind ""Robot"" to enter the Chart Figure 26; the changing picture 26 shows the basic situation of the robot, click the ""Settings"" button to enter the change map 27; the change of the change; the chang"&amp;"e; the change Figure 27 Display the setting of the robot information; the brake operation of the robot enters the change of the change at any time; the change map 28 shows the prompt information of the robot's emergency braking, and enter the changing cha"&amp;"rt 29 after recovering the robot. 29 Display the prompt information that the robot has successfully recovered.
 Each view has a corresponding reference map.")</f>
        <v>1. Design product name: For the graphical user interface for the computer.
 2. The purpose of designing products in appearance: for human -computer interaction and display.
 3. Design of the design of the product in this exterior: lies in the interface content of the graphical user interface of the display information.
 4. Pictures or photos that can most indicate design points: Change Figure 3.
 5. Because it does not have design points, omitting push -up views, viewing views, left view, right view, rear view.
 6. The purpose of the graphical user interface: The graphic user interface of the product is the graphic user interface that controls the robot delivery.
 The main view shows that the robot is currently no task -free prompt state. When the robot receives the task instruction and enters the transformation chart 1; the transformation diagram 1 displays the delivery task of the robot, click the "Confirmation" button to enter the change diagram 2 or the transformation chart 3; the change map 2; The display interface of the display of the robot's self -inspection; the change diagram 3 shows the preparation of the starting interface, including the starting point information, endpoint information, distribution type information, and box exercise prompt information, click the "View Operation Tutorial" button to enter the Chart 4; Change Figure 4 Display the specific box operation tutorial; follow the prompt information in the change diagram 3 or operate the robot to operate the robot in the operation tutorial in the variable chart 4; After entering the Chart Figure 6; the Chart Figure 6 Display the tips of the box door locking abnormally, click the "Manual Lock" button to enter the change chart 7; the changing picture 7 shows the prompt information in the lock of the door. 8. Change diagram 8 Display the prompt information of the normal completion of the box door, click the "Start Delivery" button to enter the change map 9; the change drawing 9 shows the prompt information of the robot to start soon, the robot starts to enter the change chart 10; the change diagram 10 shows the display 10 show The robot is delivery information, and the robot enters the change chart 11 after the robot reaches the destination; the change map 11 displays the prompt information of the robot reaches the destination, click the "Return directly" button to enter the transformation chart 12, and click "Take the car" to enter the transformation chart 14; Change diagram 12 Display directly returns the determined interface; the change drawing 13 swiping card prompt interface, the card swipe the card operation according to the prompt information, enter the transformation graph 14 or the transformation diagram 15; After the preset time, enter the change figure 16; the change picture 16 shows the box door open the prompt information. Sequential entering the change chart 19 and the transformation chart 20; the changing figure 18 display the box door to open the successful prompt information; the change diagram 19 shows the distribution of the delivery prompt information, click the "recycling box" button to enter the change graph 20; the transformation diagram 20 display box mobile prompt prompt prompt prompt prompt Information, operate the robot into the changing graph 21 according to the box movement prompt information; the change figure 21 display the box detection prompt information. After the box is locked, enter the change picture 22 or the change picture 23; Information, click the "Recycling" button to enter the Chart Figure 24; the Change Figure 23 Display the box locking failed prompt information. Click the "Re -" recycling button to re -recycled the box; After the end point, enter the change map 25; the change map 25 display the prompt information of the robot reaches the end point, click the button behind "Robot" to enter the Chart Figure 26; the changing picture 26 shows the basic situation of the robot, click the "Settings" button to enter the change map 27; the change of the change; the change; the change Figure 27 Display the setting of the robot information; the brake operation of the robot enters the change of the change at any time; the change map 28 shows the prompt information of the robot's emergency braking, and enter the changing chart 29 after recovering the robot. 29 Display the prompt information that the robot has successfully recovered.
 Each view has a corresponding reference map.</v>
      </c>
      <c r="D2678" s="6" t="s">
        <v>7566</v>
      </c>
      <c r="E2678" s="4" t="str">
        <f ca="1">IFERROR(__xludf.DUMMYFUNCTION("GOOGLETRANSLATE(D2678,""auto"",""en"")"),"The graphical user interface used for a computer")</f>
        <v>The graphical user interface used for a computer</v>
      </c>
    </row>
    <row r="2679" spans="1:5" ht="15" x14ac:dyDescent="0.25">
      <c r="A2679" s="5" t="s">
        <v>7567</v>
      </c>
      <c r="B2679" s="6" t="s">
        <v>7568</v>
      </c>
      <c r="C2679" s="3" t="str">
        <f ca="1">IFERROR(__xludf.DUMMYFUNCTION("GOOGLETRANSLATE(B2679,""auto"",""en"")"),"1. Design product name: Guessing the graphic user interface for mobile phones.
 2. Design products in appearance: used to run program, display information and communication.
 3. Design of design products in this appearance: lies in the graphic user in"&amp;"terface in the screen.
 4. Pictures or photos that can best show design: Design 1 main view.
 5. Specify design 1 is the basic design.
 6. The purpose of the graphical user interface and the human -machine interaction method: This graphic user inter"&amp;"face is the main interface of the application software guessing song competition, and the interface is used for human -computer interaction.
 In Design 1, when the user clicks the ""Multi -Person Competition"" module in the middle of the main view, the "&amp;"interface jumps to the interface change state Figure 1.
 Subsequently, the matching successfully entered the competition, showing the interface change of the interface change state. 1 to the interface changes.
 In Design 2, when the user clicks the """&amp;"Multi -Athletic Competition"" module in the middle of the main view, the interface jumps to the interface change state Figure 1.
 Subsequently, the matching successfully entered the competition, showing the interface change of the interface change state"&amp;". 1 to the interface changes.
 In Figure 2 of the interface change state, when the user clicks the ""fast"" control at the bottom of the interface, the fast -moving floating layer pops up at the bottom of the interface, showing the interface change of t"&amp;"he interface change state change state change.
 In Design 3, when the user clicks the ""Multi -Athletic Competition"" module in the middle of the main view, the interface jumps to the interface change state Figure 1.
 Subsequently, the matching succes"&amp;"sfully entered the competition, showing the interface change of the interface change state. 1 to the interface changes.
 In Design 4, when the user clicks the ""multiplayer competition"" module in the middle of the main view, the interface jumps to the "&amp;"interface change state Figure 1.
 Subsequently, the matching successfully entered the competition, showing the interface change of the interface change state. 1 to the interface changes.
 When the user clicks to select the song name to answer the righ"&amp;"t question, the selected song name changes, showing the interface change of the interface change state Figure 2 to the interface changes.
 In Design 5, when the user clicks the ""multi -player competition"" module in the middle of the main view, the int"&amp;"erface jumps to the interface change state Figure 1.
 Subsequently, the matching successfully entered the competition, showing the interface change of the interface change state. 1 to the interface changes.
 When the user clicks the ""Quick"" control,"&amp;" the fast -language floating layer pops up at the bottom of the interface, showing the interface change of the interface change state. 2 to the interface changes.
 In Design 6, when the user clicks the ""Multi -Athletic Competition"" module in the middl"&amp;"e of the main view, the interface jumps to the interface change state Figure 1.
 Subsequently, the matching successfully entered the competition, showing the interface change of the interface change state. 1 to the interface changes.
 When the user cl"&amp;"icks the song name to answer the wrong question and other users answer the questions, the selected song name and the user's avatar change, showing the interface change of the interface change status graph to the interface changes.
 The gray areas in eac"&amp;"h design are content screens, such as pictures, user avatars, etc.
 7. The mobile phone is commonly designed, omittime, left view, left view, right view, push -view, upper view.")</f>
        <v>1. Design product name: Guessing the graphic user interface for mobile phones.
 2. Design products in appearance: used to run program, display information and communication.
 3. Design of design products in this appearance: lies in the graphic user interface in the screen.
 4. Pictures or photos that can best show design: Design 1 main view.
 5. Specify design 1 is the basic design.
 6. The purpose of the graphical user interface and the human -machine interaction method: This graphic user interface is the main interface of the application software guessing song competition, and the interface is used for human -computer interaction.
 In Design 1, when the user clicks the "Multi -Person Competition" module in the middle of the main view, the interface jumps to the interface change state Figure 1.
 Subsequently, the matching successfully entered the competition, showing the interface change of the interface change state. 1 to the interface changes.
 In Design 2, when the user clicks the "Multi -Athletic Competition" module in the middle of the main view, the interface jumps to the interface change state Figure 1.
 Subsequently, the matching successfully entered the competition, showing the interface change of the interface change state. 1 to the interface changes.
 In Figure 2 of the interface change state, when the user clicks the "fast" control at the bottom of the interface, the fast -moving floating layer pops up at the bottom of the interface, showing the interface change of the interface change state change state change.
 In Design 3, when the user clicks the "Multi -Athletic Competition" module in the middle of the main view, the interface jumps to the interface change state Figure 1.
 Subsequently, the matching successfully entered the competition, showing the interface change of the interface change state. 1 to the interface changes.
 In Design 4, when the user clicks the "multiplayer competition" module in the middle of the main view, the interface jumps to the interface change state Figure 1.
 Subsequently, the matching successfully entered the competition, showing the interface change of the interface change state. 1 to the interface changes.
 When the user clicks to select the song name to answer the right question, the selected song name changes, showing the interface change of the interface change state Figure 2 to the interface changes.
 In Design 5, when the user clicks the "multi -player competition" module in the middle of the main view, the interface jumps to the interface change state Figure 1.
 Subsequently, the matching successfully entered the competition, showing the interface change of the interface change state. 1 to the interface changes.
 When the user clicks the "Quick" control, the fast -language floating layer pops up at the bottom of the interface, showing the interface change of the interface change state. 2 to the interface changes.
 In Design 6, when the user clicks the "Multi -Athletic Competition" module in the middle of the main view, the interface jumps to the interface change state Figure 1.
 Subsequently, the matching successfully entered the competition, showing the interface change of the interface change state. 1 to the interface changes.
 When the user clicks the song name to answer the wrong question and other users answer the questions, the selected song name and the user's avatar change, showing the interface change of the interface change status graph to the interface changes.
 The gray areas in each design are content screens, such as pictures, user avatars, etc.
 7. The mobile phone is commonly designed, omittime, left view, left view, right view, push -view, upper view.</v>
      </c>
      <c r="D2679" s="6" t="s">
        <v>7569</v>
      </c>
      <c r="E2679" s="4" t="str">
        <f ca="1">IFERROR(__xludf.DUMMYFUNCTION("GOOGLETRANSLATE(D2679,""auto"",""en"")"),"Guessing the graphic user interface for mobile phones")</f>
        <v>Guessing the graphic user interface for mobile phones</v>
      </c>
    </row>
    <row r="2680" spans="1:5" ht="15" x14ac:dyDescent="0.25">
      <c r="A2680" s="5" t="s">
        <v>7570</v>
      </c>
      <c r="B2680" s="6" t="s">
        <v>7571</v>
      </c>
      <c r="C2680" s="3" t="str">
        <f ca="1">IFERROR(__xludf.DUMMYFUNCTION("GOOGLETRANSLATE(B2680,""auto"",""en"")"),"According to the active customization exercise system of deep learning technology using the present invention, this function can easily recommend and manage the exercise method that is suitable for any use of deep learning technology, and an AI -based cha"&amp;"t robot interacting with users to effectively effective Exercise service. Fitness needs provide cheap services for private fitness coaches for customers who exercise in fitness clubs, and use deep learning technology that can easily expand to home trainin"&amp;"g. Deep learning and fitness service platform based on AI chat robots provides a service that exchanges users' sports plan management, exercise methods and feedback through natural dialogue, and uses deep learning technology. Anyone can easily use intelli"&amp;"gence anytime, anywhere. Mobile phones recommend the management of exercise progress and feedback through the AI ​​chat robot.")</f>
        <v>According to the active customization exercise system of deep learning technology using the present invention, this function can easily recommend and manage the exercise method that is suitable for any use of deep learning technology, and an AI -based chat robot interacting with users to effectively effective Exercise service. Fitness needs provide cheap services for private fitness coaches for customers who exercise in fitness clubs, and use deep learning technology that can easily expand to home training. Deep learning and fitness service platform based on AI chat robots provides a service that exchanges users' sports plan management, exercise methods and feedback through natural dialogue, and uses deep learning technology. Anyone can easily use intelligence anytime, anywhere. Mobile phones recommend the management of exercise progress and feedback through the AI ​​chat robot.</v>
      </c>
      <c r="D2680" s="6" t="s">
        <v>7572</v>
      </c>
      <c r="E2680" s="4" t="str">
        <f ca="1">IFERROR(__xludf.DUMMYFUNCTION("GOOGLETRANSLATE(D2680,""auto"",""en"")"),"Active custom exercise system using deep learning technology")</f>
        <v>Active custom exercise system using deep learning technology</v>
      </c>
    </row>
    <row r="2681" spans="1:5" ht="15" x14ac:dyDescent="0.25">
      <c r="A2681" s="5" t="s">
        <v>7573</v>
      </c>
      <c r="B2681" s="6" t="s">
        <v>7574</v>
      </c>
      <c r="C2681" s="3" t="str">
        <f ca="1">IFERROR(__xludf.DUMMYFUNCTION("GOOGLETRANSLATE(B2681,""auto"",""en"")"),"The present invention disclosed a intelligent auxiliary fitness equipment for sitting up, including the arc -shaped supporting rack, which has a supporting mechanism on the arc -shaped support rack. , Spring cushion, fixing board, fixed bearing 1. Connect"&amp;"ion shaft, support plate, protective shell, connection belt, round hole, spring hook, breathable cushion, auxiliary saving agency on the arc support frame, which is auxiliary provincial power The institution has an extension plate, fixed rack, fixed rod, "&amp;"gear block, fixed pulley, speed regulating motor, couplet, fixed table, fixed bearing 2. Driving shaft, drive wheel, tough line, and the arc -shaped supporting frame is set on the arc support frame.有辅助加力机构，所述弧形支撑架上设有智能控制机构，所述智能控制机构设有控制器、电容显示屏、家用电器插销、扬声器、P"&amp;"LC系统、信号接收器、语音识别器、 Pressure Sensor. The beneficial effect of the present invention is that the structure is simple and practical.")</f>
        <v>The present invention disclosed a intelligent auxiliary fitness equipment for sitting up, including the arc -shaped supporting rack, which has a supporting mechanism on the arc -shaped support rack. , Spring cushion, fixing board, fixed bearing 1. Connection shaft, support plate, protective shell, connection belt, round hole, spring hook, breathable cushion, auxiliary saving agency on the arc support frame, which is auxiliary provincial power The institution has an extension plate, fixed rack, fixed rod, gear block, fixed pulley, speed regulating motor, couplet, fixed table, fixed bearing 2. Driving shaft, drive wheel, tough line, and the arc -shaped supporting frame is set on the arc support frame.有辅助加力机构，所述弧形支撑架上设有智能控制机构，所述智能控制机构设有控制器、电容显示屏、家用电器插销、扬声器、PLC系统、信号接收器、语音识别器、 Pressure Sensor. The beneficial effect of the present invention is that the structure is simple and practical.</v>
      </c>
      <c r="D2681" s="6" t="s">
        <v>7575</v>
      </c>
      <c r="E2681" s="4" t="str">
        <f ca="1">IFERROR(__xludf.DUMMYFUNCTION("GOOGLETRANSLATE(D2681,""auto"",""en"")"),"Intelligent auxiliary fitness equipment used for sit -ups")</f>
        <v>Intelligent auxiliary fitness equipment used for sit -ups</v>
      </c>
    </row>
    <row r="2682" spans="1:5" ht="15" x14ac:dyDescent="0.25">
      <c r="A2682" s="5" t="s">
        <v>7576</v>
      </c>
      <c r="B2682" s="6" t="s">
        <v>7577</v>
      </c>
      <c r="C2682" s="3" t="str">
        <f ca="1">IFERROR(__xludf.DUMMYFUNCTION("GOOGLETRANSLATE(B2682,""auto"",""en"")"),"The present invention disclosed a sports auxiliary training method based on artificial intelligence. According to the trainer's personal file data and training strategy data to build a user model, and to establish a recommendation model through a collabor"&amp;"ative filtering recommendation algorithm During the training process, collecting the training time, image data, sports video data, interactive data, analyzing video data and image data in the exercise training process, and evaluating the physical fitness "&amp;"and exercise strength of the trainer based on the results of the exercise results. The results of the video data and image data in the process and other data in the training process are added to the personal file as a motion record. Update the quality and"&amp;" accuracy of the recommendation algorithm, solve the action analysis and quality of action in the exercise training process Evaluation issues.")</f>
        <v>The present invention disclosed a sports auxiliary training method based on artificial intelligence. According to the trainer's personal file data and training strategy data to build a user model, and to establish a recommendation model through a collaborative filtering recommendation algorithm During the training process, collecting the training time, image data, sports video data, interactive data, analyzing video data and image data in the exercise training process, and evaluating the physical fitness and exercise strength of the trainer based on the results of the exercise results. The results of the video data and image data in the process and other data in the training process are added to the personal file as a motion record. Update the quality and accuracy of the recommendation algorithm, solve the action analysis and quality of action in the exercise training process Evaluation issues.</v>
      </c>
      <c r="D2682" s="6" t="s">
        <v>7578</v>
      </c>
      <c r="E2682" s="4" t="str">
        <f ca="1">IFERROR(__xludf.DUMMYFUNCTION("GOOGLETRANSLATE(D2682,""auto"",""en"")"),"A sports auxiliary training method based on artificial intelligence")</f>
        <v>A sports auxiliary training method based on artificial intelligence</v>
      </c>
    </row>
    <row r="2683" spans="1:5" ht="15" x14ac:dyDescent="0.25">
      <c r="A2683" s="5" t="s">
        <v>7579</v>
      </c>
      <c r="B2683" s="6" t="s">
        <v>7580</v>
      </c>
      <c r="C2683" s="3" t="str">
        <f ca="1">IFERROR(__xludf.DUMMYFUNCTION("GOOGLETRANSLATE(B2683,""auto"",""en"")"),"1. Design product name: For the graphic user interface for mobile phones.
 2. Design product designed products: Human -machine interaction interface used on mobile phones.
 3. Design of design products in this appearance: lies in the interface design."&amp;"
 4. Pictures or photos that can most indicate design points: main view.
 5. The purpose of the graphical user interface: The main view is the interface displayed by the program displayed. Under the interface, the user can exercise with the current ro"&amp;"om users. The intermediate display path map and the user on the path map are positioning points. You can pass the slider in the upper left corner. Slide to ""dynamic"" to view the user's participation status; you can adjust the movement settings through t"&amp;"he button on the right (the composition is the sports room selection, the sports mode selection, and the sports goal setting); click the ""Start"" button below to control the startup of fitness equipment; The shape of the path map can be changed according"&amp;" to the setting.
 6. Change state description of the graphic user interface: The state of the interface change status Figure 1 is the slider in the upper left corner of the ""main view"" to the ""Radio"" displayed interface, which can interact with the "&amp;"host under this interface.
 The interface changes status Figure 2 is the interface displayed after clicking the ""Start"" button below the ""Main View"". Under the interface, users can view their own movement participation status and highlight the user'"&amp;"s own positioning point to the end point on the path map. The user's sports data and status are displayed below; you can adjust the fitting equipment settings by adjusting the right button (the speed of the treadmill in the legend); click the ""Pightning"&amp;""" button to control the stop of fitness equipment; the upper progress bar shows the target completion.")</f>
        <v>1. Design product name: For the graphic user interface for mobile phones.
 2. Design product designed products: Human -machine interaction interface used on mobile phones.
 3. Design of design products in this appearance: lies in the interface design.
 4. Pictures or photos that can most indicate design points: main view.
 5. The purpose of the graphical user interface: The main view is the interface displayed by the program displayed. Under the interface, the user can exercise with the current room users. The intermediate display path map and the user on the path map are positioning points. You can pass the slider in the upper left corner. Slide to "dynamic" to view the user's participation status; you can adjust the movement settings through the button on the right (the composition is the sports room selection, the sports mode selection, and the sports goal setting); click the "Start" button below to control the startup of fitness equipment; The shape of the path map can be changed according to the setting.
 6. Change state description of the graphic user interface: The state of the interface change status Figure 1 is the slider in the upper left corner of the "main view" to the "Radio" displayed interface, which can interact with the host under this interface.
 The interface changes status Figure 2 is the interface displayed after clicking the "Start" button below the "Main View". Under the interface, users can view their own movement participation status and highlight the user's own positioning point to the end point on the path map. The user's sports data and status are displayed below; you can adjust the fitting equipment settings by adjusting the right button (the speed of the treadmill in the legend); click the "Pightning" button to control the stop of fitness equipment; the upper progress bar shows the target completion.</v>
      </c>
      <c r="D2683" s="6" t="s">
        <v>7563</v>
      </c>
      <c r="E2683" s="4" t="str">
        <f ca="1">IFERROR(__xludf.DUMMYFUNCTION("GOOGLETRANSLATE(D2683,""auto"",""en"")"),"The graphic user interface used for mobile phones")</f>
        <v>The graphic user interface used for mobile phones</v>
      </c>
    </row>
    <row r="2684" spans="1:5" ht="15" x14ac:dyDescent="0.25">
      <c r="A2684" s="5" t="s">
        <v>7581</v>
      </c>
      <c r="B2684" s="6" t="s">
        <v>7582</v>
      </c>
      <c r="C2684" s="3" t="str">
        <f ca="1">IFERROR(__xludf.DUMMYFUNCTION("GOOGLETRANSLATE(B2684,""auto"",""en"")"),"1. Design product name: The graphical user interface for display screen panels.
 2. Design product use: Human -machine interaction interface.
 3. Design of design products in this appearance: lies in the interface design.
 4. Pictures or photos that"&amp;" can most indicate design points: main view.
 5. The purpose of the graphical user interface: The main view is the program display interface; the interface change state map is the interface displayed after clicking the music list icon in the main view. "&amp;"Under the interface, the user can choose the music played.
 6. The graphic user interface of this application can be used for mobile phones, tablets, computers, televisions, TV boxes, fitness displays.")</f>
        <v>1. Design product name: The graphical user interface for display screen panels.
 2. Design product use: Human -machine interaction interface.
 3. Design of design products in this appearance: lies in the interface design.
 4. Pictures or photos that can most indicate design points: main view.
 5. The purpose of the graphical user interface: The main view is the program display interface; the interface change state map is the interface displayed after clicking the music list icon in the main view. Under the interface, the user can choose the music played.
 6. The graphic user interface of this application can be used for mobile phones, tablets, computers, televisions, TV boxes, fitness displays.</v>
      </c>
      <c r="D2684" s="6" t="s">
        <v>7450</v>
      </c>
      <c r="E2684" s="4" t="str">
        <f ca="1">IFERROR(__xludf.DUMMYFUNCTION("GOOGLETRANSLATE(D2684,""auto"",""en"")"),"Graphic user interface for display screen panels")</f>
        <v>Graphic user interface for display screen panels</v>
      </c>
    </row>
    <row r="2685" spans="1:5" ht="15" x14ac:dyDescent="0.25">
      <c r="A2685" s="5" t="s">
        <v>7583</v>
      </c>
      <c r="B2685" s="6" t="s">
        <v>7584</v>
      </c>
      <c r="C2685" s="3" t="str">
        <f ca="1">IFERROR(__xludf.DUMMYFUNCTION("GOOGLETRANSLATE(B2685,""auto"",""en"")"),"This utility model belongs to the field of intelligent robotics technology, especially for a robot shooting equipment, including the base, which is a mobile board with the left end of the base. Install a basketball machine and set the base to a telescopic"&amp;" adjustment structure, which can adjust the long -distance distance of the robot shot. The robot can be pinched by the basketball on the specified point and shot accurately at the designated position. It can shoot at different distances at different dista"&amp;"nces. It improved the ornamental and increased the fun of watching the robot shot. In addition, in order to facilitate the capture, there is a outlet passage on one side of the basketball frame on one side of the basketball machine. The width of basketbal"&amp;"l avoids multiple basketball accumulated into the leakage frame at the same time, affecting the robot capture, which can quickly and conveniently pinch the ball and improve the pitching speed of basketball machines.")</f>
        <v>This utility model belongs to the field of intelligent robotics technology, especially for a robot shooting equipment, including the base, which is a mobile board with the left end of the base. Install a basketball machine and set the base to a telescopic adjustment structure, which can adjust the long -distance distance of the robot shot. The robot can be pinched by the basketball on the specified point and shot accurately at the designated position. It can shoot at different distances at different distances. It improved the ornamental and increased the fun of watching the robot shot. In addition, in order to facilitate the capture, there is a outlet passage on one side of the basketball frame on one side of the basketball machine. The width of basketball avoids multiple basketball accumulated into the leakage frame at the same time, affecting the robot capture, which can quickly and conveniently pinch the ball and improve the pitching speed of basketball machines.</v>
      </c>
      <c r="D2685" s="6" t="s">
        <v>7585</v>
      </c>
      <c r="E2685" s="4" t="str">
        <f ca="1">IFERROR(__xludf.DUMMYFUNCTION("GOOGLETRANSLATE(D2685,""auto"",""en"")"),"A robot shot device")</f>
        <v>A robot shot device</v>
      </c>
    </row>
    <row r="2686" spans="1:5" ht="15" x14ac:dyDescent="0.25">
      <c r="A2686" s="5" t="s">
        <v>7586</v>
      </c>
      <c r="B2686" s="6" t="s">
        <v>7587</v>
      </c>
      <c r="C2686" s="3" t="str">
        <f ca="1">IFERROR(__xludf.DUMMYFUNCTION("GOOGLETRANSLATE(B2686,""auto"",""en"")"),"Under the current circumstances, the city is facing a bad strategy of providing air quality alerts before air pollution. The low efficiency of air quality management, and inaccurate data collection and display are the main reasons for the improper air ala"&amp;"rm. The monitoring of environmental pollutants is the concentration of pollutants below 10m and represents all sources. Therefore, the air pollution in a region is sometimes overestimated. Multiple monitors should be set up at different locations to displ"&amp;"ay the air quality in all areas of the city. The environmental station should continue to run within a period of time without proper maintenance. It is necessary to calibrate from time to time and machine quality inspection to obtain accurate data. This s"&amp;"tudy focuses on predicting the concentration of Criteria air pollutants through artificial neural networks. This is essential for the spatial trend of urban data and day and night and seasons. The data generated by CAAQMS established at the SHREENATHPURAM"&amp;" stadium can be obtained on the CPCB website. This data is used to scientifically verify the results generated by artificial monitoring stations, so that they can analyze it anywhere without differences. CAAQMS's prediction of pollutants has taken meteoro"&amp;"logical parameters as influencing factor. Today, the National Air Quality Index is actually a value to show the real -time air quality of each place. It consists of four bands that show the degree of pollution. Viewing and verifying all standard pollutant"&amp;"s data of all standards is indeed not a feasible choice, and manual and machine errors are the main disadvantages of missing values ​​in the monitoring results. To regulate only early warning of the affected areas, we need to develop a system with built -"&amp;"in functions. The knowledge about instantaneous air quality data has become a need for society. The research motivation behind it is that the knowledge of instantaneous space quality data has become a need for society. According to the recent report, due "&amp;"to the high concentration of particulate matter (PM10), the brother is a unintentional area. The effects of particles on health vary from the size of the particles. The impact of sulfur dioxide and nitrogen oxides on health is also considered. The supervi"&amp;"sion and learning technology was selected, that is, the artificial neural network (ANN) N obtained more common data in this work and reduced the error between the data of the original data and the model prediction. In this technology, the non -linear beha"&amp;"vior of pollutants will be modeling the work of artificial neural networks. Ann is the most common statistical learning method, based on machine learning and generalization theory. The purpose of this study is to use artificial neural networks to generate"&amp;" air quality regression models in the Grandma City. Monitor and simulate the level and spread of harmful particles in the urban environment. This research has been completed. The effects of particles on health vary from the size of the particles. The effe"&amp;"cts of sulfur dioxide, nitrogen dioxide, carbon dioxide and ozone are also considered because they have adverse effects on health. This study selected artificial neural network technology to obtain more common data and reduce errors between the original d"&amp;"ata and model prediction data. In this technology, non -linear behaviors of pollutants and meteorological data will be modeling using an artificial neural network under the regression mode. Analysis of the correlation between pollutant concentration and m"&amp;"eteorological variables is carried out by the original data collected from the continuous air quality monitoring station located from the SHREENTHPURAM stadium in Gejo City. There are some inevitable restrictions. Although the continuous air quality monit"&amp;"oring station (CAAQMS) is established, the monitoring of pollutants is not continuous, and the missing data is deleted or randomly replaced with data the day before or the previous hour. Data sets per day and daily data sets are used to develop prediction"&amp;" models. From November 2017 to June 2018, a specific duration data set from continuous air quality monitoring station. Most heterogeneous data that causes traffic data to ignore the concentration of pollutants.")</f>
        <v>Under the current circumstances, the city is facing a bad strategy of providing air quality alerts before air pollution. The low efficiency of air quality management, and inaccurate data collection and display are the main reasons for the improper air alarm. The monitoring of environmental pollutants is the concentration of pollutants below 10m and represents all sources. Therefore, the air pollution in a region is sometimes overestimated. Multiple monitors should be set up at different locations to display the air quality in all areas of the city. The environmental station should continue to run within a period of time without proper maintenance. It is necessary to calibrate from time to time and machine quality inspection to obtain accurate data. This study focuses on predicting the concentration of Criteria air pollutants through artificial neural networks. This is essential for the spatial trend of urban data and day and night and seasons. The data generated by CAAQMS established at the SHREENATHPURAM stadium can be obtained on the CPCB website. This data is used to scientifically verify the results generated by artificial monitoring stations, so that they can analyze it anywhere without differences. CAAQMS's prediction of pollutants has taken meteorological parameters as influencing factor. Today, the National Air Quality Index is actually a value to show the real -time air quality of each place. It consists of four bands that show the degree of pollution. Viewing and verifying all standard pollutants data of all standards is indeed not a feasible choice, and manual and machine errors are the main disadvantages of missing values ​​in the monitoring results. To regulate only early warning of the affected areas, we need to develop a system with built -in functions. The knowledge about instantaneous air quality data has become a need for society. The research motivation behind it is that the knowledge of instantaneous space quality data has become a need for society. According to the recent report, due to the high concentration of particulate matter (PM10), the brother is a unintentional area. The effects of particles on health vary from the size of the particles. The impact of sulfur dioxide and nitrogen oxides on health is also considered. The supervision and learning technology was selected, that is, the artificial neural network (ANN) N obtained more common data in this work and reduced the error between the data of the original data and the model prediction. In this technology, the non -linear behavior of pollutants will be modeling the work of artificial neural networks. Ann is the most common statistical learning method, based on machine learning and generalization theory. The purpose of this study is to use artificial neural networks to generate air quality regression models in the Grandma City. Monitor and simulate the level and spread of harmful particles in the urban environment. This research has been completed. The effects of particles on health vary from the size of the particles. The effects of sulfur dioxide, nitrogen dioxide, carbon dioxide and ozone are also considered because they have adverse effects on health. This study selected artificial neural network technology to obtain more common data and reduce errors between the original data and model prediction data. In this technology, non -linear behaviors of pollutants and meteorological data will be modeling using an artificial neural network under the regression mode. Analysis of the correlation between pollutant concentration and meteorological variables is carried out by the original data collected from the continuous air quality monitoring station located from the SHREENTHPURAM stadium in Gejo City. There are some inevitable restrictions. Although the continuous air quality monitoring station (CAAQMS) is established, the monitoring of pollutants is not continuous, and the missing data is deleted or randomly replaced with data the day before or the previous hour. Data sets per day and daily data sets are used to develop prediction models. From November 2017 to June 2018, a specific duration data set from continuous air quality monitoring station. Most heterogeneous data that causes traffic data to ignore the concentration of pollutants.</v>
      </c>
      <c r="D2686" s="6" t="s">
        <v>7588</v>
      </c>
      <c r="E2686" s="4" t="str">
        <f ca="1">IFERROR(__xludf.DUMMYFUNCTION("GOOGLETRANSLATE(D2686,""auto"",""en"")"),"Application of artificial neural network in the local scale environmental air quality standard pollutant forecast")</f>
        <v>Application of artificial neural network in the local scale environmental air quality standard pollutant forecast</v>
      </c>
    </row>
    <row r="2687" spans="1:5" ht="15" x14ac:dyDescent="0.25">
      <c r="A2687" s="5" t="s">
        <v>7589</v>
      </c>
      <c r="B2687" s="6" t="s">
        <v>7590</v>
      </c>
      <c r="C2687" s="3" t="str">
        <f ca="1">IFERROR(__xludf.DUMMYFUNCTION("GOOGLETRANSLATE(B2687,""auto"",""en"")"),"A basketball shooting training device made of molded rubber is suitable for fixing on the basketball frame without additional fasteners, and it is suitable for reducing the size of the goal area. The device is equipped with infrared sensors and Bluetooth,"&amp;" basketball shooting training device is connected to the Internet of Things, and feedback and training power is provided through mobile applications.")</f>
        <v>A basketball shooting training device made of molded rubber is suitable for fixing on the basketball frame without additional fasteners, and it is suitable for reducing the size of the goal area. The device is equipped with infrared sensors and Bluetooth, basketball shooting training device is connected to the Internet of Things, and feedback and training power is provided through mobile applications.</v>
      </c>
      <c r="D2687" s="6" t="s">
        <v>7591</v>
      </c>
      <c r="E2687" s="4" t="str">
        <f ca="1">IFERROR(__xludf.DUMMYFUNCTION("GOOGLETRANSLATE(D2687,""auto"",""en"")"),"Basketball shooting training device")</f>
        <v>Basketball shooting training device</v>
      </c>
    </row>
    <row r="2688" spans="1:5" ht="15" x14ac:dyDescent="0.25">
      <c r="A2688" s="5" t="s">
        <v>7592</v>
      </c>
      <c r="B2688" s="6" t="s">
        <v>7593</v>
      </c>
      <c r="C2688" s="3" t="str">
        <f ca="1">IFERROR(__xludf.DUMMYFUNCTION("GOOGLETRANSLATE(B2688,""auto"",""en"")"),"Provides information processing equipment, methods and procedures that can calculate the value of advertising information based on the state of events such as sports competitions.
  Information processing system 1 information processing equipment 100 as"&amp;" the function information information acquisition unit 131 of the attribute information of the user's attribute information and the events of the events that change over time. Based on the collection unit 132, learning unit 133, we can learn the machine l"&amp;"earning according to the event status information, generate event prediction model information, and the dynamic data and event prediction model information obtained by real -time monitoring events, including the predicted unit 134 events, calculated units"&amp;" to calculate the unit 135 and advertising information distribution unit 136, calculate unit 135 calculate the value of the advertising information when distributing advertising information to users when the event is calculated.
  【Selection Figure】 Fig"&amp;"ure 1")</f>
        <v>Provides information processing equipment, methods and procedures that can calculate the value of advertising information based on the state of events such as sports competitions.
  Information processing system 1 information processing equipment 100 as the function information information acquisition unit 131 of the attribute information of the user's attribute information and the events of the events that change over time. Based on the collection unit 132, learning unit 133, we can learn the machine learning according to the event status information, generate event prediction model information, and the dynamic data and event prediction model information obtained by real -time monitoring events, including the predicted unit 134 events, calculated units to calculate the unit 135 and advertising information distribution unit 136, calculate unit 135 calculate the value of the advertising information when distributing advertising information to users when the event is calculated.
  【Selection Figure】 Figure 1</v>
      </c>
      <c r="D2688" s="6" t="s">
        <v>5225</v>
      </c>
      <c r="E2688" s="4" t="str">
        <f ca="1">IFERROR(__xludf.DUMMYFUNCTION("GOOGLETRANSLATE(D2688,""auto"",""en"")"),"Information processing device, information processing method and information processing program")</f>
        <v>Information processing device, information processing method and information processing program</v>
      </c>
    </row>
    <row r="2689" spans="1:5" ht="15" x14ac:dyDescent="0.25">
      <c r="A2689" s="5" t="s">
        <v>7594</v>
      </c>
      <c r="B2689" s="6" t="s">
        <v>7595</v>
      </c>
      <c r="C2689" s="3" t="str">
        <f ca="1">IFERROR(__xludf.DUMMYFUNCTION("GOOGLETRANSLATE(B2689,""auto"",""en"")"),"The invention involves the field of computer networking and artificial intelligence, which specifically provides an artificial intelligence -based body analysis assistant system and transmission method. Compared with the existing technology, the invention"&amp;" consists of smart accessories, artificial intelligence subsystems and cloud servers. Smart accessories are worn on all parts of the body. Upload to the artificial intelligence subsystem; the artificial intelligence subsystem to extract features through t"&amp;"he CNN convolutional neural network, forming a characteristic vector to characterize the human body to perform human modeling analysis, as well as the design of the personalized motion plan neural network, enter the fitness plan, through the neural networ"&amp;"k, through the neural network, Simulate generating data collection data to make customized personalized motion plans and upload it to the cloud server; cloud server is used to store the data uploaded by an artificial intelligence system for users to obser"&amp;"ve with client at any time. The use of intelligent accessories, artificial intelligence, and cloud servers through the network, the characteristics of instant transmission have good promotional value in helping people healthy life.")</f>
        <v>The invention involves the field of computer networking and artificial intelligence, which specifically provides an artificial intelligence -based body analysis assistant system and transmission method. Compared with the existing technology, the invention consists of smart accessories, artificial intelligence subsystems and cloud servers. Smart accessories are worn on all parts of the body. Upload to the artificial intelligence subsystem; the artificial intelligence subsystem to extract features through the CNN convolutional neural network, forming a characteristic vector to characterize the human body to perform human modeling analysis, as well as the design of the personalized motion plan neural network, enter the fitness plan, through the neural network, through the neural network, Simulate generating data collection data to make customized personalized motion plans and upload it to the cloud server; cloud server is used to store the data uploaded by an artificial intelligence system for users to observe with client at any time. The use of intelligent accessories, artificial intelligence, and cloud servers through the network, the characteristics of instant transmission have good promotional value in helping people healthy life.</v>
      </c>
      <c r="D2689" s="6" t="s">
        <v>7596</v>
      </c>
      <c r="E2689" s="4" t="str">
        <f ca="1">IFERROR(__xludf.DUMMYFUNCTION("GOOGLETRANSLATE(D2689,""auto"",""en"")"),"An artificial intelligence analysis assistant system and transmission method")</f>
        <v>An artificial intelligence analysis assistant system and transmission method</v>
      </c>
    </row>
    <row r="2690" spans="1:5" ht="15" x14ac:dyDescent="0.25">
      <c r="A2690" s="5" t="s">
        <v>7597</v>
      </c>
      <c r="B2690" s="6" t="s">
        <v>7598</v>
      </c>
      <c r="C2690" s="3" t="str">
        <f ca="1">IFERROR(__xludf.DUMMYFUNCTION("GOOGLETRANSLATE(B2690,""auto"",""en"")"),"The present invention involves an entertainment device, especially a smart mahjong machine, which is characterized by: including: Mahjong table; Mahjong card, mahjong card with a sensor tag card corresponding to the face information; shuffle device, set i"&amp;"n it on In the Mahjong table, the Mahjong card is shuffled and the card is formed. Used to identify the card of the Mahjong card on the mahjong table on the table, as well as the location sequential information used to identify the heap mahjong card; Info"&amp;"rmation transmitted by image recognition device. The intelligent mahjong machine of the present invention can quickly and efficiently identify the Mahjong card information made by the player, and there will be no problem of identification errors. At the s"&amp;"ame time, it also enhances the accuracy of the game records and statistical scores. Phenomenon occurs.")</f>
        <v>The present invention involves an entertainment device, especially a smart mahjong machine, which is characterized by: including: Mahjong table; Mahjong card, mahjong card with a sensor tag card corresponding to the face information; shuffle device, set in it on In the Mahjong table, the Mahjong card is shuffled and the card is formed. Used to identify the card of the Mahjong card on the mahjong table on the table, as well as the location sequential information used to identify the heap mahjong card; Information transmitted by image recognition device. The intelligent mahjong machine of the present invention can quickly and efficiently identify the Mahjong card information made by the player, and there will be no problem of identification errors. At the same time, it also enhances the accuracy of the game records and statistical scores. Phenomenon occurs.</v>
      </c>
      <c r="D2690" s="6" t="s">
        <v>7599</v>
      </c>
      <c r="E2690" s="4" t="str">
        <f ca="1">IFERROR(__xludf.DUMMYFUNCTION("GOOGLETRANSLATE(D2690,""auto"",""en"")"),"A smart mahjong machine")</f>
        <v>A smart mahjong machine</v>
      </c>
    </row>
    <row r="2691" spans="1:5" ht="15" x14ac:dyDescent="0.25">
      <c r="A2691" s="5" t="s">
        <v>7600</v>
      </c>
      <c r="B2691" s="6" t="s">
        <v>7601</v>
      </c>
      <c r="C2691" s="3" t="str">
        <f ca="1">IFERROR(__xludf.DUMMYFUNCTION("GOOGLETRANSLATE(B2691,""auto"",""en"")"),"This application disclosed a sound safety prompt method, device, equipment and medium based on voice recognition, which belongs to the field of voice recognition. The method includes: obtaining the sound signal generated by the first fitness equipment; id"&amp;"entification of the sound signal to get the probability of wake -up words. It is used to indicate that the first fitness equipment is not used safely; according to the probability of the awakening words, output the fitness security reminder information, t"&amp;"he fitness security reminder information is used to remind the safety of the first fitness equipment. This application automatically reminds users of the safety of the first fitness equipment, which can reduce the occurrence of fitness and safety accident"&amp;"s.")</f>
        <v>This application disclosed a sound safety prompt method, device, equipment and medium based on voice recognition, which belongs to the field of voice recognition. The method includes: obtaining the sound signal generated by the first fitness equipment; identification of the sound signal to get the probability of wake -up words. It is used to indicate that the first fitness equipment is not used safely; according to the probability of the awakening words, output the fitness security reminder information, the fitness security reminder information is used to remind the safety of the first fitness equipment. This application automatically reminds users of the safety of the first fitness equipment, which can reduce the occurrence of fitness and safety accidents.</v>
      </c>
      <c r="D2691" s="6" t="s">
        <v>7602</v>
      </c>
      <c r="E2691" s="4" t="str">
        <f ca="1">IFERROR(__xludf.DUMMYFUNCTION("GOOGLETRANSLATE(D2691,""auto"",""en"")"),"Fitness safety reminder method, device, equipment and media based on voice recognition")</f>
        <v>Fitness safety reminder method, device, equipment and media based on voice recognition</v>
      </c>
    </row>
    <row r="2692" spans="1:5" ht="15" x14ac:dyDescent="0.25">
      <c r="A2692" s="5" t="s">
        <v>7603</v>
      </c>
      <c r="B2692" s="6" t="s">
        <v>7604</v>
      </c>
      <c r="C2692" s="3" t="str">
        <f ca="1">IFERROR(__xludf.DUMMYFUNCTION("GOOGLETRANSLATE(B2692,""auto"",""en"")"),"This practical new model provides a smart fitness system based on the Internet of Things, including smart clothes, with several electrodes, as well as EMS controllers, APP mobile terminals and cloud platforms. Connect to the APP mobile terminal through wi"&amp;"reless communication, the APP mobile terminal and the cloud platform wireless connection, and control the output mode of the electrode sheet in the smart clothing in the mobile APP wireless control EMS controller, including output power pulse strength, el"&amp;"ectrical pulse frequency, electrical pulse stroke Width and current packaging cycle, etc., and connect to the cloud -like server through wireless communication, the cloud platform interacts with the APP and EMS controllers, starts and stops the EMS contro"&amp;"l. Wireless methods, more free training, larger scope, easy to adjust in time, achieve short -term and efficient fitness effects, and facilitate large -scale promotion.")</f>
        <v>This practical new model provides a smart fitness system based on the Internet of Things, including smart clothes, with several electrodes, as well as EMS controllers, APP mobile terminals and cloud platforms. Connect to the APP mobile terminal through wireless communication, the APP mobile terminal and the cloud platform wireless connection, and control the output mode of the electrode sheet in the smart clothing in the mobile APP wireless control EMS controller, including output power pulse strength, electrical pulse frequency, electrical pulse stroke Width and current packaging cycle, etc., and connect to the cloud -like server through wireless communication, the cloud platform interacts with the APP and EMS controllers, starts and stops the EMS control. Wireless methods, more free training, larger scope, easy to adjust in time, achieve short -term and efficient fitness effects, and facilitate large -scale promotion.</v>
      </c>
      <c r="D2692" s="6" t="s">
        <v>7605</v>
      </c>
      <c r="E2692" s="4" t="str">
        <f ca="1">IFERROR(__xludf.DUMMYFUNCTION("GOOGLETRANSLATE(D2692,""auto"",""en"")"),"A smart fitness system based on the Internet of Things")</f>
        <v>A smart fitness system based on the Internet of Things</v>
      </c>
    </row>
    <row r="2693" spans="1:5" ht="15" x14ac:dyDescent="0.25">
      <c r="A2693" s="5" t="s">
        <v>7606</v>
      </c>
      <c r="B2693" s="6" t="s">
        <v>7607</v>
      </c>
      <c r="C2693" s="3" t="str">
        <f ca="1">IFERROR(__xludf.DUMMYFUNCTION("GOOGLETRANSLATE(B2693,""auto"",""en"")"),"The present invention disclosed a smart ski fitness simulation simulator and its control method, including: ski view device, mechanical sports device, and control device. The data collection device includes space positioning devices and human -computer in"&amp;"teraction devices. The controller connects to the upper computer system through a communication device; ski view device is used to simulate ski scenes, mechanical sports devices are used to perform skiing operations. Electrical connection of ski view devi"&amp;"ce and mechanical sports device. The smart ski fitness simulation simulator and its control methods provided by the present invention are simple and convenient to use the simulation skiing dynamics on the ball display screen and the snow scene, and can be"&amp;" fed back to the user's corresponding information according to the usage. Carry out fitness to improve the experience and interaction of user scientific fitness exercise.")</f>
        <v>The present invention disclosed a smart ski fitness simulation simulator and its control method, including: ski view device, mechanical sports device, and control device. The data collection device includes space positioning devices and human -computer interaction devices. The controller connects to the upper computer system through a communication device; ski view device is used to simulate ski scenes, mechanical sports devices are used to perform skiing operations. Electrical connection of ski view device and mechanical sports device. The smart ski fitness simulation simulator and its control methods provided by the present invention are simple and convenient to use the simulation skiing dynamics on the ball display screen and the snow scene, and can be fed back to the user's corresponding information according to the usage. Carry out fitness to improve the experience and interaction of user scientific fitness exercise.</v>
      </c>
      <c r="D2693" s="6" t="s">
        <v>7608</v>
      </c>
      <c r="E2693" s="4" t="str">
        <f ca="1">IFERROR(__xludf.DUMMYFUNCTION("GOOGLETRANSLATE(D2693,""auto"",""en"")"),"A smart ski fitness simulation simulator and its control method")</f>
        <v>A smart ski fitness simulation simulator and its control method</v>
      </c>
    </row>
    <row r="2694" spans="1:5" ht="15" x14ac:dyDescent="0.25">
      <c r="A2694" s="5" t="s">
        <v>7609</v>
      </c>
      <c r="B2694" s="6" t="s">
        <v>7610</v>
      </c>
      <c r="C2694" s="3" t="str">
        <f ca="1">IFERROR(__xludf.DUMMYFUNCTION("GOOGLETRANSLATE(B2694,""auto"",""en"")"),"This practical new model discloses a smart ski fitness simulation simulator, including: ski view device, mechanical sports device and control device. The control device includes the controller and the communication device and data collection device connec"&amp;"ted to the controller. The device includes a spatial positioning device and a human -computer interaction device. Electrical connection of device and mechanical sports device. The smart ski fitness simulation simulator provided by this utility model is si"&amp;"mple and convenient to use the simulation skiing dynamics on the curtain display and the snow scene. Carry out fitness to improve the experience and interaction of user science fitness exercise.")</f>
        <v>This practical new model discloses a smart ski fitness simulation simulator, including: ski view device, mechanical sports device and control device. The control device includes the controller and the communication device and data collection device connected to the controller. The device includes a spatial positioning device and a human -computer interaction device. Electrical connection of device and mechanical sports device. The smart ski fitness simulation simulator provided by this utility model is simple and convenient to use the simulation skiing dynamics on the curtain display and the snow scene. Carry out fitness to improve the experience and interaction of user science fitness exercise.</v>
      </c>
      <c r="D2694" s="6" t="s">
        <v>7611</v>
      </c>
      <c r="E2694" s="4" t="str">
        <f ca="1">IFERROR(__xludf.DUMMYFUNCTION("GOOGLETRANSLATE(D2694,""auto"",""en"")"),"A smart ski fitness simulation simulator")</f>
        <v>A smart ski fitness simulation simulator</v>
      </c>
    </row>
    <row r="2695" spans="1:5" ht="15" x14ac:dyDescent="0.25">
      <c r="A2695" s="5" t="s">
        <v>7612</v>
      </c>
      <c r="B2695" s="6" t="s">
        <v>7613</v>
      </c>
      <c r="C2695" s="3" t="str">
        <f ca="1">IFERROR(__xludf.DUMMYFUNCTION("GOOGLETRANSLATE(B2695,""auto"",""en"")"),"Fitness exercise is very beneficial to personal health and constitution; however, if the user executes correctly, they may also be invalid and have potential danger. Exercise errors occur when the user does not use the correct form or posture. In our work"&amp;", we introduced A.I. Private coaches, a testing posture of users and providing personalized applications to explain in detail how users improve their performance. Artificial intelligence private coaches use the most advanced posture to estimate technology"&amp;" to detect users' posture, and then evaluate key points to provide useful feedback through practice. We record a data set, which contains the time of the key points and the time of capture frames (the ratio value between Oi). According to personal trainin"&amp;"g guidelines, mark the dataset of each frame to indicate its performance (good or bad) and build a machine learning algorithm for evaluation. Artificial intelligence private coaches are suitable for four common exercises and support Windows with GPU. Our "&amp;"project is based on A.I. We created an artificial intelligence. Private coaches will guide humans to the correct posture of exercise. It will indicate its correct or wrong posture in real time. In this time we use real -time human detection, it is 3D, whi"&amp;"ch can be detected at one time, and all movements are captured by the camera. It uses its own voice assistance background to support and real -time feedback to users to scan the feeling and security of the on -site coach through facial and eyes. Unlike en"&amp;"tering a password or user ID. It can check and verify the emotions of people who are moving, such as whether the opposite expression is satisfactory or the real -time feedback of the coach feel sad or angry or frustrated.")</f>
        <v>Fitness exercise is very beneficial to personal health and constitution; however, if the user executes correctly, they may also be invalid and have potential danger. Exercise errors occur when the user does not use the correct form or posture. In our work, we introduced A.I. Private coaches, a testing posture of users and providing personalized applications to explain in detail how users improve their performance. Artificial intelligence private coaches use the most advanced posture to estimate technology to detect users' posture, and then evaluate key points to provide useful feedback through practice. We record a data set, which contains the time of the key points and the time of capture frames (the ratio value between Oi). According to personal training guidelines, mark the dataset of each frame to indicate its performance (good or bad) and build a machine learning algorithm for evaluation. Artificial intelligence private coaches are suitable for four common exercises and support Windows with GPU. Our project is based on A.I. We created an artificial intelligence. Private coaches will guide humans to the correct posture of exercise. It will indicate its correct or wrong posture in real time. In this time we use real -time human detection, it is 3D, which can be detected at one time, and all movements are captured by the camera. It uses its own voice assistance background to support and real -time feedback to users to scan the feeling and security of the on -site coach through facial and eyes. Unlike entering a password or user ID. It can check and verify the emotions of people who are moving, such as whether the opposite expression is satisfactory or the real -time feedback of the coach feel sad or angry or frustrated.</v>
      </c>
      <c r="D2695" s="6" t="s">
        <v>7614</v>
      </c>
      <c r="E2695" s="4" t="str">
        <f ca="1">IFERROR(__xludf.DUMMYFUNCTION("GOOGLETRANSLATE(D2695,""auto"",""en"")"),"Based on artificial intelligence coaches and novel systems of gym. A.I. Private fitness coach (exercise a coach in the pocket of A.I gym)")</f>
        <v>Based on artificial intelligence coaches and novel systems of gym. A.I. Private fitness coach (exercise a coach in the pocket of A.I gym)</v>
      </c>
    </row>
    <row r="2696" spans="1:5" ht="15" x14ac:dyDescent="0.25">
      <c r="A2696" s="5" t="s">
        <v>7615</v>
      </c>
      <c r="B2696" s="6" t="s">
        <v>7598</v>
      </c>
      <c r="C2696" s="3" t="str">
        <f ca="1">IFERROR(__xludf.DUMMYFUNCTION("GOOGLETRANSLATE(B2696,""auto"",""en"")"),"The present invention involves an entertainment device, especially a smart mahjong machine, which is characterized by: including: Mahjong table; Mahjong card, mahjong card with a sensor tag card corresponding to the face information; shuffle device, set i"&amp;"n it on In the Mahjong table, the Mahjong card is shuffled and the card is formed. Used to identify the card of the Mahjong card on the mahjong table on the table, as well as the location sequential information used to identify the heap mahjong card; Info"&amp;"rmation transmitted by image recognition device. The intelligent mahjong machine of the present invention can quickly and efficiently identify the Mahjong card information made by the player, and there will be no problem of identification errors. At the s"&amp;"ame time, it also enhances the accuracy of the game records and statistical scores. Phenomenon occurs.")</f>
        <v>The present invention involves an entertainment device, especially a smart mahjong machine, which is characterized by: including: Mahjong table; Mahjong card, mahjong card with a sensor tag card corresponding to the face information; shuffle device, set in it on In the Mahjong table, the Mahjong card is shuffled and the card is formed. Used to identify the card of the Mahjong card on the mahjong table on the table, as well as the location sequential information used to identify the heap mahjong card; Information transmitted by image recognition device. The intelligent mahjong machine of the present invention can quickly and efficiently identify the Mahjong card information made by the player, and there will be no problem of identification errors. At the same time, it also enhances the accuracy of the game records and statistical scores. Phenomenon occurs.</v>
      </c>
      <c r="D2696" s="6" t="s">
        <v>7599</v>
      </c>
      <c r="E2696" s="4" t="str">
        <f ca="1">IFERROR(__xludf.DUMMYFUNCTION("GOOGLETRANSLATE(D2696,""auto"",""en"")"),"A smart mahjong machine")</f>
        <v>A smart mahjong machine</v>
      </c>
    </row>
    <row r="2697" spans="1:5" ht="15" x14ac:dyDescent="0.25">
      <c r="A2697" s="5" t="s">
        <v>7616</v>
      </c>
      <c r="B2697" s="6" t="s">
        <v>7617</v>
      </c>
      <c r="C2697" s="3" t="str">
        <f ca="1">IFERROR(__xludf.DUMMYFUNCTION("GOOGLETRANSLATE(B2697,""auto"",""en"")"),"A display device with a water tank is disclosed, and one or more swimming robots are located in the water tank. This device includes a communication device used to communicate with swimming robots or mobile terminals, monitors for display videos, one or m"&amp;"ore sensors, wireless power transmitters on the inner wall of the water tank and included in multiple firing transmitters and controls. Instrument. Therefore, it can provide display equipment and swimming robots with artificial intelligence and 5G communi"&amp;"cation. As a result, it can improve charging efficiency and further improve the convenience of users.")</f>
        <v>A display device with a water tank is disclosed, and one or more swimming robots are located in the water tank. This device includes a communication device used to communicate with swimming robots or mobile terminals, monitors for display videos, one or more sensors, wireless power transmitters on the inner wall of the water tank and included in multiple firing transmitters and controls. Instrument. Therefore, it can provide display equipment and swimming robots with artificial intelligence and 5G communication. As a result, it can improve charging efficiency and further improve the convenience of users.</v>
      </c>
      <c r="D2697" s="6" t="s">
        <v>7618</v>
      </c>
      <c r="E2697" s="4" t="str">
        <f ca="1">IFERROR(__xludf.DUMMYFUNCTION("GOOGLETRANSLATE(D2697,""auto"",""en"")"),"Swimming robot and its charging display device")</f>
        <v>Swimming robot and its charging display device</v>
      </c>
    </row>
    <row r="2698" spans="1:5" ht="15" x14ac:dyDescent="0.25">
      <c r="A2698" s="5" t="s">
        <v>7619</v>
      </c>
      <c r="B2698" s="6" t="s">
        <v>7620</v>
      </c>
      <c r="C2698" s="3" t="str">
        <f ca="1">IFERROR(__xludf.DUMMYFUNCTION("GOOGLETRANSLATE(B2698,""auto"",""en"")"),"The present invention discloses a method of positioning recognition and posture calculation method with a three -dimensional vision of the two -dimensional visual, including the image of different postures that collect badminton as a sample data set; Desc"&amp;"ribes the training model of the deep neural network, obtains the training model of Faster‑RCNN; use the Faster‑RCNN training model to identify the badminton and determine the position of the badminton in the image; use the three -dimensional vision of the"&amp;" two -dimensional eyes to use the identified badminton to reconstruct it to determine the badminton. Space position; use Canny operator to perform two -value and filtering of badminton images, extract clear edges, and calculate the real -time attitude ang"&amp;"le of the badminton. It has the characteristics of accurate positioning, accurate characteristics of characteristic points, and accurate calculation of the attitude angle.")</f>
        <v>The present invention discloses a method of positioning recognition and posture calculation method with a three -dimensional vision of the two -dimensional visual, including the image of different postures that collect badminton as a sample data set; Describes the training model of the deep neural network, obtains the training model of Faster‑RCNN; use the Faster‑RCNN training model to identify the badminton and determine the position of the badminton in the image; use the three -dimensional vision of the two -dimensional eyes to use the identified badminton to reconstruct it to determine the badminton. Space position; use Canny operator to perform two -value and filtering of badminton images, extract clear edges, and calculate the real -time attitude angle of the badminton. It has the characteristics of accurate positioning, accurate characteristics of characteristic points, and accurate calculation of the attitude angle.</v>
      </c>
      <c r="D2698" s="6" t="s">
        <v>7621</v>
      </c>
      <c r="E2698" s="4" t="str">
        <f ca="1">IFERROR(__xludf.DUMMYFUNCTION("GOOGLETRANSLATE(D2698,""auto"",""en"")"),"A method of position recognition and attitude calculation method with three -dimensional vision")</f>
        <v>A method of position recognition and attitude calculation method with three -dimensional vision</v>
      </c>
    </row>
    <row r="2699" spans="1:5" ht="15" x14ac:dyDescent="0.25">
      <c r="A2699" s="5" t="s">
        <v>7622</v>
      </c>
      <c r="B2699" s="6" t="s">
        <v>7623</v>
      </c>
      <c r="C2699" s="3" t="str">
        <f ca="1">IFERROR(__xludf.DUMMYFUNCTION("GOOGLETRANSLATE(B2699,""auto"",""en"")"),"1. Design product name: The graphical user interface for display screen panels.
 2. Design products in this exterior: for running programs, display information and/or communication.
 3. Design of the design of the product in appearance: lies in the gr"&amp;"aphic user interface displayed.
 4. Pictures or photos that can best show design: Design 1 main view.
 5. Other views of the product do not have design points, and for the existing design, omitting the three -dimensional map, rear view, left view, rig"&amp;"ht view, downward view, and upper view of the design of 1‑3.
 6. Specify design 1 is the basic design.
 7. The purpose of the graphical user interface: The interface of the design of the product in this exterior is the interface of the application sof"&amp;"tware client. The graphic user interface is used for human -machine interaction and the function of product or software client.
 Design 1 Design The graphic user interface in the display screen panel in the screen panel is used to represent the specific"&amp;" operating interface of different modes.
 The display screen panel is used for at least one as follows: mobile phones, tablets, desktop computers, and screen remote controls.")</f>
        <v>1. Design product name: The graphical user interface for display screen panels.
 2. Design products in this exterior: for running programs, display information and/or communication.
 3. Design of the design of the product in appearance: lies in the graphic user interface displayed.
 4. Pictures or photos that can best show design: Design 1 main view.
 5. Other views of the product do not have design points, and for the existing design, omitting the three -dimensional map, rear view, left view, right view, downward view, and upper view of the design of 1‑3.
 6. Specify design 1 is the basic design.
 7. The purpose of the graphical user interface: The interface of the design of the product in this exterior is the interface of the application software client. The graphic user interface is used for human -machine interaction and the function of product or software client.
 Design 1 Design The graphic user interface in the display screen panel in the screen panel is used to represent the specific operating interface of different modes.
 The display screen panel is used for at least one as follows: mobile phones, tablets, desktop computers, and screen remote controls.</v>
      </c>
      <c r="D2699" s="6" t="s">
        <v>7450</v>
      </c>
      <c r="E2699" s="4" t="str">
        <f ca="1">IFERROR(__xludf.DUMMYFUNCTION("GOOGLETRANSLATE(D2699,""auto"",""en"")"),"Graphic user interface for display screen panels")</f>
        <v>Graphic user interface for display screen panels</v>
      </c>
    </row>
    <row r="2700" spans="1:5" ht="15" x14ac:dyDescent="0.25">
      <c r="A2700" s="5" t="s">
        <v>7624</v>
      </c>
      <c r="B2700" s="6" t="s">
        <v>7625</v>
      </c>
      <c r="C2700" s="3" t="str">
        <f ca="1">IFERROR(__xludf.DUMMYFUNCTION("GOOGLETRANSLATE(B2700,""auto"",""en"")"),"This utility model opens an artificial intelligence air suspension mobile automatic reporting device, including automatic reporting target body, air suspension mobile body, connection structure, power supply, and control computer; With the connection stru"&amp;"cture; the ring of the ring is fixed with the protective rack, and the side of the protective rack is provided with a pressure sensor corresponding to the target surface; The touches of the pressure sensor are scattered on the side corresponding to the ta"&amp;"rget surface on the ring; the sensors are connected to the reporting mechanism and the control device; The other end is fixed in the air suspension of the moving body; the device reports the target accuracy, high reliability, and stable work. It is suitab"&amp;"le for tactical shooting training and competition targets of public security, armed police, troops or human military departments.")</f>
        <v>This utility model opens an artificial intelligence air suspension mobile automatic reporting device, including automatic reporting target body, air suspension mobile body, connection structure, power supply, and control computer; With the connection structure; the ring of the ring is fixed with the protective rack, and the side of the protective rack is provided with a pressure sensor corresponding to the target surface; The touches of the pressure sensor are scattered on the side corresponding to the target surface on the ring; the sensors are connected to the reporting mechanism and the control device; The other end is fixed in the air suspension of the moving body; the device reports the target accuracy, high reliability, and stable work. It is suitable for tactical shooting training and competition targets of public security, armed police, troops or human military departments.</v>
      </c>
      <c r="D2700" s="6" t="s">
        <v>7626</v>
      </c>
      <c r="E2700" s="4" t="str">
        <f ca="1">IFERROR(__xludf.DUMMYFUNCTION("GOOGLETRANSLATE(D2700,""auto"",""en"")"),"A kind of artificial intelligence suspension mobile automatic reporting target device")</f>
        <v>A kind of artificial intelligence suspension mobile automatic reporting target device</v>
      </c>
    </row>
    <row r="2701" spans="1:5" ht="15" x14ac:dyDescent="0.25">
      <c r="A2701" s="5" t="s">
        <v>7627</v>
      </c>
      <c r="B2701" s="6" t="s">
        <v>7628</v>
      </c>
      <c r="C2701" s="3" t="str">
        <f ca="1">IFERROR(__xludf.DUMMYFUNCTION("GOOGLETRANSLATE(B2701,""auto"",""en"")"),"1. The name of the product of the design of the product: used for the graphic user interface of fitness equipment to display the device panel.
 2. Design product use: human -machine interaction interface used on fitness equipment.
 3. Design of design"&amp;" products in this appearance: lies in the interface design.
 4. Pictures or photos that can most indicate design points: main view.
 5. The purpose of the graphic user interface: The user can view the current and future live broadcast lessons in this "&amp;"interface, or you can directly enter the current live broadcast lessons on this interface; Points balance and user exercise timeline and records of appointment courses.")</f>
        <v>1. The name of the product of the design of the product: used for the graphic user interface of fitness equipment to display the device panel.
 2. Design product use: human -machine interaction interface used on fitness equipment.
 3. Design of design products in this appearance: lies in the interface design.
 4. Pictures or photos that can most indicate design points: main view.
 5. The purpose of the graphic user interface: The user can view the current and future live broadcast lessons in this interface, or you can directly enter the current live broadcast lessons on this interface; Points balance and user exercise timeline and records of appointment courses.</v>
      </c>
      <c r="D2701" s="6" t="s">
        <v>7629</v>
      </c>
      <c r="E2701" s="4" t="str">
        <f ca="1">IFERROR(__xludf.DUMMYFUNCTION("GOOGLETRANSLATE(D2701,""auto"",""en"")"),"Used for the graphic user interface of the fitting equipment display panel")</f>
        <v>Used for the graphic user interface of the fitting equipment display panel</v>
      </c>
    </row>
    <row r="2702" spans="1:5" ht="15" x14ac:dyDescent="0.25">
      <c r="A2702" s="5" t="s">
        <v>7630</v>
      </c>
      <c r="B2702" s="6" t="s">
        <v>7631</v>
      </c>
      <c r="C2702" s="3" t="str">
        <f ca="1">IFERROR(__xludf.DUMMYFUNCTION("GOOGLETRANSLATE(B2702,""auto"",""en"")"),"1. Design product name: Graphic user interface for fitness equipment.
 2. Design product use: human -machine interaction interface used on fitness equipment.
 3. Design of design products in this appearance: lies in the interface design.
 4. Picture"&amp;"s or photos that can most indicate design points: main view.
 5. The purpose of the graphic user interface: The user can follow the coach with the coach under this interface, and can check the status of other users through the left ranking list; clearly"&amp;" understand the current sports data and status through the data below; you can send barrage and coaches and coaches and coaches Other users interact; you can adjust the fitting equipment settings by adjusting the right button (the treadmill in the legend "&amp;"is the slope and speed); click the start/pause button to control the startup of fitness equipment; the upper progress bar can display the degree of each course.")</f>
        <v>1. Design product name: Graphic user interface for fitness equipment.
 2. Design product use: human -machine interaction interface used on fitness equipment.
 3. Design of design products in this appearance: lies in the interface design.
 4. Pictures or photos that can most indicate design points: main view.
 5. The purpose of the graphic user interface: The user can follow the coach with the coach under this interface, and can check the status of other users through the left ranking list; clearly understand the current sports data and status through the data below; you can send barrage and coaches and coaches and coaches Other users interact; you can adjust the fitting equipment settings by adjusting the right button (the treadmill in the legend is the slope and speed); click the start/pause button to control the startup of fitness equipment; the upper progress bar can display the degree of each course.</v>
      </c>
      <c r="D2702" s="6" t="s">
        <v>7632</v>
      </c>
      <c r="E2702" s="4" t="str">
        <f ca="1">IFERROR(__xludf.DUMMYFUNCTION("GOOGLETRANSLATE(D2702,""auto"",""en"")"),"Graphic user interface for fitness equipment")</f>
        <v>Graphic user interface for fitness equipment</v>
      </c>
    </row>
    <row r="2703" spans="1:5" ht="15" x14ac:dyDescent="0.25">
      <c r="A2703" s="5" t="s">
        <v>7633</v>
      </c>
      <c r="B2703" s="6" t="s">
        <v>7634</v>
      </c>
      <c r="C2703" s="3" t="str">
        <f ca="1">IFERROR(__xludf.DUMMYFUNCTION("GOOGLETRANSLATE(B2703,""auto"",""en"")"),"This utility model involves the field of robotics technology, and a artificial intelligence robot car is released, including the frame, the bottom activity card of the frame with a connecting board, the bottom activity of the connecting board is installed"&amp;" with a active shaft, and the bottom of the activity shaft is fixed at the bottom of the activity shaft. The chassis, the top of the chassis is connected with a buffer spring, the top of the buffer spring is connected to the bottom activity of the frame, "&amp;"the top of the chassis is fixed with a installation box, and the outer side of the installation box is fixed with high power motors, and the output end of high -power motor output end is Extend to the interior of the installation box and the fixed connect"&amp;"ion has the first rotary. The artificial intelligence robot car, through the peripheral chassis, so that the car's car light feeling during the game in the process of the competition is detected to the peripheral chassis, it may accidentally execute the p"&amp;"rocedure of touching the periphery of the game venue, causing errors to make mistakes. It can prevent other cars from being able to respond rapidly when it is about to cause collision.")</f>
        <v>This utility model involves the field of robotics technology, and a artificial intelligence robot car is released, including the frame, the bottom activity card of the frame with a connecting board, the bottom activity of the connecting board is installed with a active shaft, and the bottom of the activity shaft is fixed at the bottom of the activity shaft. The chassis, the top of the chassis is connected with a buffer spring, the top of the buffer spring is connected to the bottom activity of the frame, the top of the chassis is fixed with a installation box, and the outer side of the installation box is fixed with high power motors, and the output end of high -power motor output end is Extend to the interior of the installation box and the fixed connection has the first rotary. The artificial intelligence robot car, through the peripheral chassis, so that the car's car light feeling during the game in the process of the competition is detected to the peripheral chassis, it may accidentally execute the procedure of touching the periphery of the game venue, causing errors to make mistakes. It can prevent other cars from being able to respond rapidly when it is about to cause collision.</v>
      </c>
      <c r="D2703" s="6" t="s">
        <v>7635</v>
      </c>
      <c r="E2703" s="4" t="str">
        <f ca="1">IFERROR(__xludf.DUMMYFUNCTION("GOOGLETRANSLATE(D2703,""auto"",""en"")"),"An artificial intelligence robot car")</f>
        <v>An artificial intelligence robot car</v>
      </c>
    </row>
    <row r="2704" spans="1:5" ht="15" x14ac:dyDescent="0.25">
      <c r="A2704" s="5" t="s">
        <v>7636</v>
      </c>
      <c r="B2704" s="6" t="s">
        <v>7637</v>
      </c>
      <c r="C2704" s="3" t="str">
        <f ca="1">IFERROR(__xludf.DUMMYFUNCTION("GOOGLETRANSLATE(B2704,""auto"",""en"")"),"The trained machine learning model is used to determine the scores (such as trust scores) of the user account registered in video game services, and these scores are used to match the player together in multiplayer video game settings. During the example,"&amp;" the calculation system can access the data associated with the registered user account, provides the data as the input to the trained machine learning model, and the trained machine learning model rays as output. These scores and in the multiplayer mode "&amp;"When playing video games, players performed according to specific behavior performance or non -performance. Since then, the subset of the login user account of the video game can be assigned to different games based on the scores determined for those logi"&amp;"n user accounts, and perform video games in the game distributed for each login user account. In the user account.")</f>
        <v>The trained machine learning model is used to determine the scores (such as trust scores) of the user account registered in video game services, and these scores are used to match the player together in multiplayer video game settings. During the example, the calculation system can access the data associated with the registered user account, provides the data as the input to the trained machine learning model, and the trained machine learning model rays as output. These scores and in the multiplayer mode When playing video games, players performed according to specific behavior performance or non -performance. Since then, the subset of the login user account of the video game can be assigned to different games based on the scores determined for those login user accounts, and perform video games in the game distributed for each login user account. In the user account.</v>
      </c>
      <c r="D2704" s="6" t="s">
        <v>5200</v>
      </c>
      <c r="E2704" s="4" t="str">
        <f ca="1">IFERROR(__xludf.DUMMYFUNCTION("GOOGLETRANSLATE(D2704,""auto"",""en"")"),"Machine learning trust score for players paired")</f>
        <v>Machine learning trust score for players paired</v>
      </c>
    </row>
    <row r="2705" spans="1:5" ht="15" x14ac:dyDescent="0.25">
      <c r="A2705" s="5" t="s">
        <v>7638</v>
      </c>
      <c r="B2705" s="6" t="s">
        <v>7639</v>
      </c>
      <c r="C2705" s="3" t="str">
        <f ca="1">IFERROR(__xludf.DUMMYFUNCTION("GOOGLETRANSLATE(B2705,""auto"",""en"")"),"Provide a golf course management system. No matter the coach is different, the content and quality of the curriculum can be unified and the skills of the students can be improved.
  Solution: Sport image memory stores multiple sports images golf courses"&amp;", including a sports image, where the golf swip display model is pre -recorded, and sports image recognition information is used to identify multiple sports images of each golf course. The coach terminal device operates the coach from multiple golf course"&amp;"s videos that corresponds to the course content of the course content of a member. It is used to read and select the golf course video corresponding to the selection information from the video storage device, and transmit it to the coach terminal device s"&amp;"o that the coach can be visually recognized; the manager
  【Selected Figure】 Figure 14")</f>
        <v>Provide a golf course management system. No matter the coach is different, the content and quality of the curriculum can be unified and the skills of the students can be improved.
  Solution: Sport image memory stores multiple sports images golf courses, including a sports image, where the golf swip display model is pre -recorded, and sports image recognition information is used to identify multiple sports images of each golf course. The coach terminal device operates the coach from multiple golf courses videos that corresponds to the course content of the course content of a member. It is used to read and select the golf course video corresponding to the selection information from the video storage device, and transmit it to the coach terminal device so that the coach can be visually recognized; the manager
  【Selected Figure】 Figure 14</v>
      </c>
      <c r="D2705" s="6" t="s">
        <v>7640</v>
      </c>
      <c r="E2705" s="4" t="str">
        <f ca="1">IFERROR(__xludf.DUMMYFUNCTION("GOOGLETRANSLATE(D2705,""auto"",""en"")"),"Golf course management system")</f>
        <v>Golf course management system</v>
      </c>
    </row>
    <row r="2706" spans="1:5" ht="15" x14ac:dyDescent="0.25">
      <c r="A2706" s="5" t="s">
        <v>7641</v>
      </c>
      <c r="B2706" s="6" t="s">
        <v>7642</v>
      </c>
      <c r="C2706" s="3" t="str">
        <f ca="1">IFERROR(__xludf.DUMMYFUNCTION("GOOGLETRANSLATE(B2706,""auto"",""en"")"),"The trained machine learning model is used to determine the score of the user account (such as trust scores) registered in video game services, and it should be used to match the player together in multiple player video game settings. During the example, "&amp;"the calculation system can access the data associated with the registered user account, provides the data as the input to the trained machine learning model, and the training model generated by the training model When playing video games in multi -player "&amp;"mode, players are related to the probability of performing specific behaviors or not based on specific behaviors. Since then, at least part of the scores determined for those login user accounts can allocate the subset of the login user account to perform"&amp;" video games to different games, and perform video games in each login user account allocation.")</f>
        <v>The trained machine learning model is used to determine the score of the user account (such as trust scores) registered in video game services, and it should be used to match the player together in multiple player video game settings. During the example, the calculation system can access the data associated with the registered user account, provides the data as the input to the trained machine learning model, and the training model generated by the training model When playing video games in multi -player mode, players are related to the probability of performing specific behaviors or not based on specific behaviors. Since then, at least part of the scores determined for those login user accounts can allocate the subset of the login user account to perform video games to different games, and perform video games in each login user account allocation.</v>
      </c>
      <c r="D2706" s="6" t="s">
        <v>7643</v>
      </c>
      <c r="E2706" s="4" t="str">
        <f ca="1">IFERROR(__xludf.DUMMYFUNCTION("GOOGLETRANSLATE(D2706,""auto"",""en"")"),"Trust score for players to arrange for machine learning")</f>
        <v>Trust score for players to arrange for machine learning</v>
      </c>
    </row>
    <row r="2707" spans="1:5" ht="15" x14ac:dyDescent="0.25">
      <c r="A2707" s="5" t="s">
        <v>7644</v>
      </c>
      <c r="B2707" s="6" t="s">
        <v>7645</v>
      </c>
      <c r="C2707" s="3" t="str">
        <f ca="1">IFERROR(__xludf.DUMMYFUNCTION("GOOGLETRANSLATE(B2707,""auto"",""en"")"),"The trained machine learning model is used to determine the scores (for example, trust scores) registered with video game services. These scores are used to match the players in multiplayer video game settings. During the example, the calculation system c"&amp;"an access the data associated with the registered user account and provide the data as the input to the training machine learning model. The trained machine learning model enables players to play multiplayer games. When playing video games in a certain mo"&amp;"de, it produces a score as an output, which is related to the probability of adopting or not taking action according to a specific action. Since then, the login user account set that runs video games can be assigned to different games based on the scores "&amp;"determined by the login user account. Among them, video games are allocated to each login user account. Operation in the game.")</f>
        <v>The trained machine learning model is used to determine the scores (for example, trust scores) registered with video game services. These scores are used to match the players in multiplayer video game settings. During the example, the calculation system can access the data associated with the registered user account and provide the data as the input to the training machine learning model. The trained machine learning model enables players to play multiplayer games. When playing video games in a certain mode, it produces a score as an output, which is related to the probability of adopting or not taking action according to a specific action. Since then, the login user account set that runs video games can be assigned to different games based on the scores determined by the login user account. Among them, video games are allocated to each login user account. Operation in the game.</v>
      </c>
      <c r="D2707" s="6" t="s">
        <v>7646</v>
      </c>
      <c r="E2707" s="4" t="str">
        <f ca="1">IFERROR(__xludf.DUMMYFUNCTION("GOOGLETRANSLATE(D2707,""auto"",""en"")"),"Rating of machine learning for player pairing")</f>
        <v>Rating of machine learning for player pairing</v>
      </c>
    </row>
    <row r="2708" spans="1:5" ht="15" x14ac:dyDescent="0.25">
      <c r="A2708" s="5" t="s">
        <v>7647</v>
      </c>
      <c r="B2708" s="6" t="s">
        <v>7648</v>
      </c>
      <c r="C2708" s="3" t="str">
        <f ca="1">IFERROR(__xludf.DUMMYFUNCTION("GOOGLETRANSLATE(B2708,""auto"",""en"")"),"The trained machine learning model is used to determine the score of the user account registered in video game services. These scores determine the opponents of players in the multiplayer video game environment. During the example, the calculation system "&amp;"access data associated with the registered user account, and provides the data as an input to the trained machine learning model. This allows players to generate a score. The probability is related. Play a specific behavior when playing video games in pla"&amp;"yer mode. The subset of the login user account running the video game can then allocate different games based on the scores determined for the login user account and allocate to each login user account. Appearances during the game.
  【Selection Figure】 "&amp;"Figure 1")</f>
        <v>The trained machine learning model is used to determine the score of the user account registered in video game services. These scores determine the opponents of players in the multiplayer video game environment. During the example, the calculation system access data associated with the registered user account, and provides the data as an input to the trained machine learning model. This allows players to generate a score. The probability is related. Play a specific behavior when playing video games in player mode. The subset of the login user account running the video game can then allocate different games based on the scores determined for the login user account and allocate to each login user account. Appearances during the game.
  【Selection Figure】 Figure 1</v>
      </c>
      <c r="D2708" s="6" t="s">
        <v>7649</v>
      </c>
      <c r="E2708" s="4" t="str">
        <f ca="1">IFERROR(__xludf.DUMMYFUNCTION("GOOGLETRANSLATE(D2708,""auto"",""en"")"),"Player -based player matching card decision confidence score")</f>
        <v>Player -based player matching card decision confidence score</v>
      </c>
    </row>
    <row r="2709" spans="1:5" ht="15" x14ac:dyDescent="0.25">
      <c r="A2709" s="5" t="s">
        <v>7650</v>
      </c>
      <c r="B2709" s="6" t="s">
        <v>7637</v>
      </c>
      <c r="C2709" s="3" t="str">
        <f ca="1">IFERROR(__xludf.DUMMYFUNCTION("GOOGLETRANSLATE(B2709,""auto"",""en"")"),"The trained machine learning model is used to determine the scores (such as trust scores) of the user account registered in video game services, and these scores are used to match the player together in multiplayer video game settings. During the example,"&amp;" the calculation system can access the data associated with the registered user account, provides the data as the input to the trained machine learning model, and the trained machine learning model rays as output. These scores and in the multiplayer mode "&amp;"When playing video games, players performed according to specific behavior performance or non -performance. Since then, the subset of the login user account of the video game can be assigned to different games based on the scores determined for those logi"&amp;"n user accounts, and perform video games in the game distributed for each login user account. In the user account.")</f>
        <v>The trained machine learning model is used to determine the scores (such as trust scores) of the user account registered in video game services, and these scores are used to match the player together in multiplayer video game settings. During the example, the calculation system can access the data associated with the registered user account, provides the data as the input to the trained machine learning model, and the trained machine learning model rays as output. These scores and in the multiplayer mode When playing video games, players performed according to specific behavior performance or non -performance. Since then, the subset of the login user account of the video game can be assigned to different games based on the scores determined for those login user accounts, and perform video games in the game distributed for each login user account. In the user account.</v>
      </c>
      <c r="D2709" s="6" t="s">
        <v>5200</v>
      </c>
      <c r="E2709" s="4" t="str">
        <f ca="1">IFERROR(__xludf.DUMMYFUNCTION("GOOGLETRANSLATE(D2709,""auto"",""en"")"),"Machine learning trust score for players paired")</f>
        <v>Machine learning trust score for players paired</v>
      </c>
    </row>
    <row r="2710" spans="1:5" ht="15" x14ac:dyDescent="0.25">
      <c r="A2710" s="5" t="s">
        <v>7651</v>
      </c>
      <c r="B2710" s="6" t="s">
        <v>7652</v>
      </c>
      <c r="C2710" s="3" t="str">
        <f ca="1">IFERROR(__xludf.DUMMYFUNCTION("GOOGLETRANSLATE(B2710,""auto"",""en"")"),"The present invention disclosed an artificial intelligence VR device, including analog compartment, the first servo motor, the electric glass door, the treadmill, the environmental simulation unit and the VR touch; First servo motor: The first servo motor"&amp;" is installed on the top of the simulation cabin through screws. The output shaft of the first servo motor is connected to a sliding mechanism through a transmission mechanism. The ministry is installed with an angle adjustment mechanism; the environmenta"&amp;"l simulation unit: the environmental simulation unit includes a speed fan and heater, the heater is assembled at the air outlet of the speed regulating fan, which is installed at the end of the angle adjustment mechanism; VR Touch Sweet Clothes: The wrist"&amp;" and ankle parts of the human body on the VR touch clothes are equipped with sensor cases. Its environmental simulation ability is strong, the environmental simulation is high, and the simulation effect is good, which improves the user's experience.")</f>
        <v>The present invention disclosed an artificial intelligence VR device, including analog compartment, the first servo motor, the electric glass door, the treadmill, the environmental simulation unit and the VR touch; First servo motor: The first servo motor is installed on the top of the simulation cabin through screws. The output shaft of the first servo motor is connected to a sliding mechanism through a transmission mechanism. The ministry is installed with an angle adjustment mechanism; the environmental simulation unit: the environmental simulation unit includes a speed fan and heater, the heater is assembled at the air outlet of the speed regulating fan, which is installed at the end of the angle adjustment mechanism; VR Touch Sweet Clothes: The wrist and ankle parts of the human body on the VR touch clothes are equipped with sensor cases. Its environmental simulation ability is strong, the environmental simulation is high, and the simulation effect is good, which improves the user's experience.</v>
      </c>
      <c r="D2710" s="6" t="s">
        <v>7653</v>
      </c>
      <c r="E2710" s="4" t="str">
        <f ca="1">IFERROR(__xludf.DUMMYFUNCTION("GOOGLETRANSLATE(D2710,""auto"",""en"")"),"A artificial intelligence VR device")</f>
        <v>A artificial intelligence VR device</v>
      </c>
    </row>
    <row r="2711" spans="1:5" ht="15" x14ac:dyDescent="0.25">
      <c r="A2711" s="5" t="s">
        <v>7654</v>
      </c>
      <c r="B2711" s="6" t="s">
        <v>7655</v>
      </c>
      <c r="C2711" s="3" t="str">
        <f ca="1">IFERROR(__xludf.DUMMYFUNCTION("GOOGLETRANSLATE(B2711,""auto"",""en"")"),"The present invention involves the field of artificial intelligence technology. It is specifically applied to health prevention identification technology based on artificial intelligence technology model recognition, including the following steps: S1: Spo"&amp;"rts type information collection: collect biological motion type information Leave a template to form a sports type database; S2: Sports type information comparison: measure the type of biological movement type information, obtain relevant data, and then c"&amp;"ount the consistency of the sample as the reserved template data. After the error of the comparison threshold achieves the purpose ; S3: Sports type information is perfect: Open sports type recognition marks, introduce user joint marks, enhance video reco"&amp;"gnition and self -learning ability, thereby reducing the ""refusal rate"" and ""misunderstanding rate"". The application of artificial intelligence technology model recognition is widely used in health prevention. The patented technology can be applied no"&amp;"t only to the health industry, but also in the competitive industry and sports industry.")</f>
        <v>The present invention involves the field of artificial intelligence technology. It is specifically applied to health prevention identification technology based on artificial intelligence technology model recognition, including the following steps: S1: Sports type information collection: collect biological motion type information Leave a template to form a sports type database; S2: Sports type information comparison: measure the type of biological movement type information, obtain relevant data, and then count the consistency of the sample as the reserved template data. After the error of the comparison threshold achieves the purpose ; S3: Sports type information is perfect: Open sports type recognition marks, introduce user joint marks, enhance video recognition and self -learning ability, thereby reducing the "refusal rate" and "misunderstanding rate". The application of artificial intelligence technology model recognition is widely used in health prevention. The patented technology can be applied not only to the health industry, but also in the competitive industry and sports industry.</v>
      </c>
      <c r="D2711" s="6" t="s">
        <v>7656</v>
      </c>
      <c r="E2711" s="4" t="str">
        <f ca="1">IFERROR(__xludf.DUMMYFUNCTION("GOOGLETRANSLATE(D2711,""auto"",""en"")"),"Application of identification technology for health prevention based on artificial intelligence technology model recognition")</f>
        <v>Application of identification technology for health prevention based on artificial intelligence technology model recognition</v>
      </c>
    </row>
    <row r="2712" spans="1:5" ht="15" x14ac:dyDescent="0.25">
      <c r="A2712" s="5" t="s">
        <v>7657</v>
      </c>
      <c r="B2712" s="6" t="s">
        <v>7658</v>
      </c>
      <c r="C2712" s="3" t="str">
        <f ca="1">IFERROR(__xludf.DUMMYFUNCTION("GOOGLETRANSLATE(B2712,""auto"",""en"")"),"The present invention provides the method of obtaining the optimal stand -alone jumping technical template, including collecting sports and dynamic data of a athletes to stand up to the entire process of jumping. According to the data according to the dat"&amp;"a, the data corresponding to the entire jump process is established to establish a dynamic dynamic equation, combined with the establishment of the establishment The pressure distribution between the support surface of the feet when jumping at a distance "&amp;"is obtained to get the technical equation; according to the data corresponding to the data in the data, the target function of the lower limbs is established, and the relative motion of the human body is obtained. The high -resolution fault image of the m"&amp;"inistry establishes foot bone geometric models and finite element models to calculate the best floor -to -ceiling movement; The present invention can provide a matching template for the diagnosis of artificial intelligence diagnosis of stand -up jumping t"&amp;"echnology (joint sports), and provides theoretical basis for the optimization design of sports auxiliary tools.")</f>
        <v>The present invention provides the method of obtaining the optimal stand -alone jumping technical template, including collecting sports and dynamic data of a athletes to stand up to the entire process of jumping. According to the data according to the data, the data corresponding to the entire jump process is established to establish a dynamic dynamic equation, combined with the establishment of the establishment The pressure distribution between the support surface of the feet when jumping at a distance is obtained to get the technical equation; according to the data corresponding to the data in the data, the target function of the lower limbs is established, and the relative motion of the human body is obtained. The high -resolution fault image of the ministry establishes foot bone geometric models and finite element models to calculate the best floor -to -ceiling movement; The present invention can provide a matching template for the diagnosis of artificial intelligence diagnosis of stand -up jumping technology (joint sports), and provides theoretical basis for the optimization design of sports auxiliary tools.</v>
      </c>
      <c r="D2712" s="6" t="s">
        <v>7659</v>
      </c>
      <c r="E2712" s="4" t="str">
        <f ca="1">IFERROR(__xludf.DUMMYFUNCTION("GOOGLETRANSLATE(D2712,""auto"",""en"")"),"The best way to obtain the optimal standing remote jump technology template")</f>
        <v>The best way to obtain the optimal standing remote jump technology template</v>
      </c>
    </row>
    <row r="2713" spans="1:5" ht="15" x14ac:dyDescent="0.25">
      <c r="A2713" s="5" t="s">
        <v>7660</v>
      </c>
      <c r="B2713" s="6" t="s">
        <v>7661</v>
      </c>
      <c r="C2713" s="3" t="str">
        <f ca="1">IFERROR(__xludf.DUMMYFUNCTION("GOOGLETRANSLATE(B2713,""auto"",""en"")"),"The present invention disclosed the intelligent collection of sparring tennis robots, which belongs to the field of intelligent robotics. Intelligent collection of sparring tennis robots, including chassis and fixed racks. The front end of the chassis is "&amp;"fixed with a travel track, the back -end fixed installation is equipped with an omnidirectional wheel, the front end of the chassis is fixed with a fixed frame, and the front arm device is installed on the fixed frame; fixed fixed The lower end of the fra"&amp;"me is equipped with a installation rack, and the ball collection device is installed between the installation racks; the chassis is also fixed with a fixed board, a tennis transportation device is connected between the fixed board, and the tennis transpor"&amp;"tation device is matched with the ball collection device. The fixed board is fixed board. The top of the top is also tilted with a storage board, and the storage board is set up with a ejection device at one end of the tennis transportation device. The ej"&amp;"ection device is installed on the chassis; the invention effectively solves the complex design structure, expensive cost, high cost use and existing current costs, and existing current use costs and existing current costs. There are problems that cannot a"&amp;"chieve tennis storage work when picking up ball training.")</f>
        <v>The present invention disclosed the intelligent collection of sparring tennis robots, which belongs to the field of intelligent robotics. Intelligent collection of sparring tennis robots, including chassis and fixed racks. The front end of the chassis is fixed with a travel track, the back -end fixed installation is equipped with an omnidirectional wheel, the front end of the chassis is fixed with a fixed frame, and the front arm device is installed on the fixed frame; fixed fixed The lower end of the frame is equipped with a installation rack, and the ball collection device is installed between the installation racks; the chassis is also fixed with a fixed board, a tennis transportation device is connected between the fixed board, and the tennis transportation device is matched with the ball collection device. The fixed board is fixed board. The top of the top is also tilted with a storage board, and the storage board is set up with a ejection device at one end of the tennis transportation device. The ejection device is installed on the chassis; the invention effectively solves the complex design structure, expensive cost, high cost use and existing current costs, and existing current use costs and existing current costs. There are problems that cannot achieve tennis storage work when picking up ball training.</v>
      </c>
      <c r="D2713" s="6" t="s">
        <v>7662</v>
      </c>
      <c r="E2713" s="4" t="str">
        <f ca="1">IFERROR(__xludf.DUMMYFUNCTION("GOOGLETRANSLATE(D2713,""auto"",""en"")"),"Intelligent collection of sparring tennis robots")</f>
        <v>Intelligent collection of sparring tennis robots</v>
      </c>
    </row>
    <row r="2714" spans="1:5" ht="15" x14ac:dyDescent="0.25">
      <c r="A2714" s="5" t="s">
        <v>7663</v>
      </c>
      <c r="B2714" s="6" t="s">
        <v>7664</v>
      </c>
      <c r="C2714" s="3" t="str">
        <f ca="1">IFERROR(__xludf.DUMMYFUNCTION("GOOGLETRANSLATE(B2714,""auto"",""en"")"),"This utility model has disclosed intelligent collecting sparring tennis robots, which belongs to the field of intelligent robotics. Intelligent collection of sparring tennis robots, including chassis and fixed racks. The front end of the chassis is fixed "&amp;"with a travel track, the back -end fixed installation is equipped with an omnidirectional wheel, the front end of the chassis is fixed with a fixed frame, and the front arm device is installed on the fixed frame; fixed fixed The lower end of the frame is "&amp;"equipped with a installation rack, and the ball collection device is installed between the installation racks; the chassis is also fixed with a fixed board, a tennis transportation device is connected between the fixed board, and the tennis transportation"&amp;" device is matched with the ball collection device. The fixed board is fixed board. The top of the top is also tilted with a storage board, and the storage board is set up with a ejection device at the end of the tennis transportation device. The ejection"&amp;" device is installed on the chassis. The existing design cannot achieve the problem of tennis storage work when picking up the ball.")</f>
        <v>This utility model has disclosed intelligent collecting sparring tennis robots, which belongs to the field of intelligent robotics. Intelligent collection of sparring tennis robots, including chassis and fixed racks. The front end of the chassis is fixed with a travel track, the back -end fixed installation is equipped with an omnidirectional wheel, the front end of the chassis is fixed with a fixed frame, and the front arm device is installed on the fixed frame; fixed fixed The lower end of the frame is equipped with a installation rack, and the ball collection device is installed between the installation racks; the chassis is also fixed with a fixed board, a tennis transportation device is connected between the fixed board, and the tennis transportation device is matched with the ball collection device. The fixed board is fixed board. The top of the top is also tilted with a storage board, and the storage board is set up with a ejection device at the end of the tennis transportation device. The ejection device is installed on the chassis. The existing design cannot achieve the problem of tennis storage work when picking up the ball.</v>
      </c>
      <c r="D2714" s="6" t="s">
        <v>7662</v>
      </c>
      <c r="E2714" s="4" t="str">
        <f ca="1">IFERROR(__xludf.DUMMYFUNCTION("GOOGLETRANSLATE(D2714,""auto"",""en"")"),"Intelligent collection of sparring tennis robots")</f>
        <v>Intelligent collection of sparring tennis robots</v>
      </c>
    </row>
    <row r="2715" spans="1:5" ht="15" x14ac:dyDescent="0.25">
      <c r="A2715" s="5" t="s">
        <v>7665</v>
      </c>
      <c r="B2715" s="6" t="s">
        <v>7666</v>
      </c>
      <c r="C2715" s="3" t="str">
        <f ca="1">IFERROR(__xludf.DUMMYFUNCTION("GOOGLETRANSLATE(B2715,""auto"",""en"")"),"This application provides a method of assisting fitness in the field of artificial intelligence (AI) in the field of artificial intelligence (AI), which is characterized by: electronic device acquisition of user actions; The motion trajectory of the first"&amp;" limbs meets the alternative action of the first preset conditions; the electronic equipment determines the amplitude of the movement of the second limbs in the alternative action; Guide information. By determining the alternative action of the limb movem"&amp;"ent trajectory to meet the first preset conditions, the user can accurately determine the user's fitness action according to the changes in physical movement in the alternative action. Output guidance information when determining the user's fitness action"&amp;" can improve the accuracy of the output guidance information and improve the user experience.")</f>
        <v>This application provides a method of assisting fitness in the field of artificial intelligence (AI) in the field of artificial intelligence (AI), which is characterized by: electronic device acquisition of user actions; The motion trajectory of the first limbs meets the alternative action of the first preset conditions; the electronic equipment determines the amplitude of the movement of the second limbs in the alternative action; Guide information. By determining the alternative action of the limb movement trajectory to meet the first preset conditions, the user can accurately determine the user's fitness action according to the changes in physical movement in the alternative action. Output guidance information when determining the user's fitness action can improve the accuracy of the output guidance information and improve the user experience.</v>
      </c>
      <c r="D2715" s="6" t="s">
        <v>6335</v>
      </c>
      <c r="E2715" s="4" t="str">
        <f ca="1">IFERROR(__xludf.DUMMYFUNCTION("GOOGLETRANSLATE(D2715,""auto"",""en"")"),"Auxiliary fitness methods and electronic devices")</f>
        <v>Auxiliary fitness methods and electronic devices</v>
      </c>
    </row>
    <row r="2716" spans="1:5" ht="15" x14ac:dyDescent="0.25">
      <c r="A2716" s="5" t="s">
        <v>7667</v>
      </c>
      <c r="B2716" s="6" t="s">
        <v>7666</v>
      </c>
      <c r="C2716" s="3" t="str">
        <f ca="1">IFERROR(__xludf.DUMMYFUNCTION("GOOGLETRANSLATE(B2716,""auto"",""en"")"),"This application provides a method of assisting fitness in the field of artificial intelligence (AI) in the field of artificial intelligence (AI), which is characterized by: electronic device acquisition of user actions; The motion trajectory of the first"&amp;" limbs meets the alternative action of the first preset conditions; the electronic equipment determines the amplitude of the movement of the second limbs in the alternative action; Guide information. By determining the alternative action of the limb movem"&amp;"ent trajectory to meet the first preset conditions, the user can accurately determine the user's fitness action according to the changes in physical movement in the alternative action. Output guidance information when determining the user's fitness action"&amp;" can improve the accuracy of the output guidance information and improve the user experience.")</f>
        <v>This application provides a method of assisting fitness in the field of artificial intelligence (AI) in the field of artificial intelligence (AI), which is characterized by: electronic device acquisition of user actions; The motion trajectory of the first limbs meets the alternative action of the first preset conditions; the electronic equipment determines the amplitude of the movement of the second limbs in the alternative action; Guide information. By determining the alternative action of the limb movement trajectory to meet the first preset conditions, the user can accurately determine the user's fitness action according to the changes in physical movement in the alternative action. Output guidance information when determining the user's fitness action can improve the accuracy of the output guidance information and improve the user experience.</v>
      </c>
      <c r="D2716" s="6" t="s">
        <v>6335</v>
      </c>
      <c r="E2716" s="4" t="str">
        <f ca="1">IFERROR(__xludf.DUMMYFUNCTION("GOOGLETRANSLATE(D2716,""auto"",""en"")"),"Auxiliary fitness methods and electronic devices")</f>
        <v>Auxiliary fitness methods and electronic devices</v>
      </c>
    </row>
    <row r="2717" spans="1:5" ht="15" x14ac:dyDescent="0.25">
      <c r="A2717" s="5" t="s">
        <v>7668</v>
      </c>
      <c r="B2717" s="6" t="s">
        <v>7669</v>
      </c>
      <c r="C2717" s="3" t="str">
        <f ca="1">IFERROR(__xludf.DUMMYFUNCTION("GOOGLETRANSLATE(B2717,""auto"",""en"")"),"This application provides a prompt method and electronic equipment for fitness training, involving artificial intelligence (AI). This method includes: the space required for training, the space required for the training is used to complete one or more tra"&amp;"ining movements; according to the training scenario of the user and the space required for the training, it is determined to be recommended by the user; The training movement of the user recommended by the user recommended by the user is described. The ab"&amp;"ove -mentioned technical schemes recommend the appropriate training location for users based on the training scenarios of the user and the space required for training. When there is an obstacle in the scene where the sports space is limited, the user can "&amp;"carry out training normally.")</f>
        <v>This application provides a prompt method and electronic equipment for fitness training, involving artificial intelligence (AI). This method includes: the space required for training, the space required for the training is used to complete one or more training movements; according to the training scenario of the user and the space required for the training, it is determined to be recommended by the user; The training movement of the user recommended by the user recommended by the user is described. The above -mentioned technical schemes recommend the appropriate training location for users based on the training scenarios of the user and the space required for training. When there is an obstacle in the scene where the sports space is limited, the user can carry out training normally.</v>
      </c>
      <c r="D2717" s="6" t="s">
        <v>6332</v>
      </c>
      <c r="E2717" s="4" t="str">
        <f ca="1">IFERROR(__xludf.DUMMYFUNCTION("GOOGLETRANSLATE(D2717,""auto"",""en"")"),"Reminder method and electronic equipment for fitness training")</f>
        <v>Reminder method and electronic equipment for fitness training</v>
      </c>
    </row>
    <row r="2718" spans="1:5" ht="15" x14ac:dyDescent="0.25">
      <c r="A2718" s="5" t="s">
        <v>7670</v>
      </c>
      <c r="B2718" s="6" t="s">
        <v>7671</v>
      </c>
      <c r="C2718" s="3" t="str">
        <f ca="1">IFERROR(__xludf.DUMMYFUNCTION("GOOGLETRANSLATE(B2718,""auto"",""en"")"),"This application provides a method, device and terminal device for camera control, which can make users perceive whether the camera is turned on, thereby effectively protecting the privacy of users. The method of the camera control includes: the terminal "&amp;"device obtains the first instruction of the user input, wherein the first instruction is used to play the action tutorial in the first application in the terminal device; The terminal device controls the camera turned on and pops up the terminal device, a"&amp;"nd obtains the image containing user actions after popping the terminal device. Among them, the user action is Essence The methods, devices and terminal devices of this application embodiment can be applied to the field of artificial intelligence (AI), an"&amp;"d more specific can be applied to the field of intelligent fitness.")</f>
        <v>This application provides a method, device and terminal device for camera control, which can make users perceive whether the camera is turned on, thereby effectively protecting the privacy of users. The method of the camera control includes: the terminal device obtains the first instruction of the user input, wherein the first instruction is used to play the action tutorial in the first application in the terminal device; The terminal device controls the camera turned on and pops up the terminal device, and obtains the image containing user actions after popping the terminal device. Among them, the user action is Essence The methods, devices and terminal devices of this application embodiment can be applied to the field of artificial intelligence (AI), and more specific can be applied to the field of intelligent fitness.</v>
      </c>
      <c r="D2718" s="6" t="s">
        <v>6166</v>
      </c>
      <c r="E2718" s="4" t="str">
        <f ca="1">IFERROR(__xludf.DUMMYFUNCTION("GOOGLETRANSLATE(D2718,""auto"",""en"")"),"Method, device and terminal equipment of camera control")</f>
        <v>Method, device and terminal equipment of camera control</v>
      </c>
    </row>
    <row r="2719" spans="1:5" ht="15" x14ac:dyDescent="0.25">
      <c r="A2719" s="5" t="s">
        <v>7672</v>
      </c>
      <c r="B2719" s="6" t="s">
        <v>6211</v>
      </c>
      <c r="C2719" s="3" t="str">
        <f ca="1">IFERROR(__xludf.DUMMYFUNCTION("GOOGLETRANSLATE(B2719,""auto"",""en"")"),"The embodiment of this application provides a target user locking method and electronic equipment, involving the field of electronic equipment. The method provided in this application can be applied to the fitness scene of artificial intelligence (AI). It"&amp;" can ensure the accuracy of the target user's lock. Electronic devices can identify users by identifying user characteristics, or combined with data collected by the wearable device worn by the user, or identify the user's motion mode. Tracking.")</f>
        <v>The embodiment of this application provides a target user locking method and electronic equipment, involving the field of electronic equipment. The method provided in this application can be applied to the fitness scene of artificial intelligence (AI). It can ensure the accuracy of the target user's lock. Electronic devices can identify users by identifying user characteristics, or combined with data collected by the wearable device worn by the user, or identify the user's motion mode. Tracking.</v>
      </c>
      <c r="D2719" s="6" t="s">
        <v>6212</v>
      </c>
      <c r="E2719" s="4" t="str">
        <f ca="1">IFERROR(__xludf.DUMMYFUNCTION("GOOGLETRANSLATE(D2719,""auto"",""en"")"),"A target user lock method and electronic equipment")</f>
        <v>A target user lock method and electronic equipment</v>
      </c>
    </row>
    <row r="2720" spans="1:5" ht="15" x14ac:dyDescent="0.25">
      <c r="A2720" s="5" t="s">
        <v>7673</v>
      </c>
      <c r="B2720" s="6" t="s">
        <v>7674</v>
      </c>
      <c r="C2720" s="3" t="str">
        <f ca="1">IFERROR(__xludf.DUMMYFUNCTION("GOOGLETRANSLATE(B2720,""auto"",""en"")"),"The embodiment of this application provides a intelligent voice playback method and device, which involves the field of electronic technology. It can be applied to artificial intelligence (AI) fitness scenes. It can play different voice in real time for u"&amp;"sers' current training status and training action, so as Real -time guidance of real -time voice feedback and action improvement are given to users, and the voice content is rich and varied, and the user experience is better. The specific scheme is: the i"&amp;"nterface of the first application of the electronic device display the first application, the first application is used for users to conduct exercise training; the image of the user training action is collected; the animation of the standard action is pla"&amp;"yed, and the image of the user training action is displayed; The first action units of the first action unit are voiced. The first action unit is a training action or part of the one -time training action; select a voice from the voice to the voices to pl"&amp;"ay. Examples of this application are used to play voice.")</f>
        <v>The embodiment of this application provides a intelligent voice playback method and device, which involves the field of electronic technology. It can be applied to artificial intelligence (AI) fitness scenes. It can play different voice in real time for users' current training status and training action, so as Real -time guidance of real -time voice feedback and action improvement are given to users, and the voice content is rich and varied, and the user experience is better. The specific scheme is: the interface of the first application of the electronic device display the first application, the first application is used for users to conduct exercise training; the image of the user training action is collected; the animation of the standard action is played, and the image of the user training action is displayed; The first action units of the first action unit are voiced. The first action unit is a training action or part of the one -time training action; select a voice from the voice to the voices to play. Examples of this application are used to play voice.</v>
      </c>
      <c r="D2720" s="6" t="s">
        <v>6139</v>
      </c>
      <c r="E2720" s="4" t="str">
        <f ca="1">IFERROR(__xludf.DUMMYFUNCTION("GOOGLETRANSLATE(D2720,""auto"",""en"")"),"A smart voice playback method and device")</f>
        <v>A smart voice playback method and device</v>
      </c>
    </row>
    <row r="2721" spans="1:5" ht="15" x14ac:dyDescent="0.25">
      <c r="A2721" s="5" t="s">
        <v>7675</v>
      </c>
      <c r="B2721" s="6" t="s">
        <v>6211</v>
      </c>
      <c r="C2721" s="3" t="str">
        <f ca="1">IFERROR(__xludf.DUMMYFUNCTION("GOOGLETRANSLATE(B2721,""auto"",""en"")"),"The embodiment of this application provides a target user locking method and electronic equipment, involving the field of electronic equipment. The method provided in this application can be applied to the fitness scene of artificial intelligence (AI). It"&amp;" can ensure the accuracy of the target user's lock. Electronic devices can identify users by identifying user characteristics, or combined with data collected by the wearable device worn by the user, or identify the user's motion mode. Tracking.")</f>
        <v>The embodiment of this application provides a target user locking method and electronic equipment, involving the field of electronic equipment. The method provided in this application can be applied to the fitness scene of artificial intelligence (AI). It can ensure the accuracy of the target user's lock. Electronic devices can identify users by identifying user characteristics, or combined with data collected by the wearable device worn by the user, or identify the user's motion mode. Tracking.</v>
      </c>
      <c r="D2721" s="6" t="s">
        <v>6212</v>
      </c>
      <c r="E2721" s="4" t="str">
        <f ca="1">IFERROR(__xludf.DUMMYFUNCTION("GOOGLETRANSLATE(D2721,""auto"",""en"")"),"A target user lock method and electronic equipment")</f>
        <v>A target user lock method and electronic equipment</v>
      </c>
    </row>
    <row r="2722" spans="1:5" ht="15" x14ac:dyDescent="0.25">
      <c r="A2722" s="5" t="s">
        <v>7676</v>
      </c>
      <c r="B2722" s="6" t="s">
        <v>7674</v>
      </c>
      <c r="C2722" s="3" t="str">
        <f ca="1">IFERROR(__xludf.DUMMYFUNCTION("GOOGLETRANSLATE(B2722,""auto"",""en"")"),"The embodiment of this application provides a intelligent voice playback method and device, which involves the field of electronic technology. It can be applied to artificial intelligence (AI) fitness scenes. It can play different voice in real time for u"&amp;"sers' current training status and training action, so as Real -time guidance of real -time voice feedback and action improvement are given to users, and the voice content is rich and varied, and the user experience is better. The specific scheme is: the i"&amp;"nterface of the first application of the electronic device display the first application, the first application is used for users to conduct exercise training; the image of the user training action is collected; the animation of the standard action is pla"&amp;"yed, and the image of the user training action is displayed; The first action units of the first action unit are voiced. The first action unit is a training action or part of the one -time training action; select a voice from the voice to the voices to pl"&amp;"ay. Examples of this application are used to play voice.")</f>
        <v>The embodiment of this application provides a intelligent voice playback method and device, which involves the field of electronic technology. It can be applied to artificial intelligence (AI) fitness scenes. It can play different voice in real time for users' current training status and training action, so as Real -time guidance of real -time voice feedback and action improvement are given to users, and the voice content is rich and varied, and the user experience is better. The specific scheme is: the interface of the first application of the electronic device display the first application, the first application is used for users to conduct exercise training; the image of the user training action is collected; the animation of the standard action is played, and the image of the user training action is displayed; The first action units of the first action unit are voiced. The first action unit is a training action or part of the one -time training action; select a voice from the voice to the voices to play. Examples of this application are used to play voice.</v>
      </c>
      <c r="D2722" s="6" t="s">
        <v>6139</v>
      </c>
      <c r="E2722" s="4" t="str">
        <f ca="1">IFERROR(__xludf.DUMMYFUNCTION("GOOGLETRANSLATE(D2722,""auto"",""en"")"),"A smart voice playback method and device")</f>
        <v>A smart voice playback method and device</v>
      </c>
    </row>
    <row r="2723" spans="1:5" ht="15" x14ac:dyDescent="0.25">
      <c r="A2723" s="5" t="s">
        <v>7677</v>
      </c>
      <c r="B2723" s="6" t="s">
        <v>7678</v>
      </c>
      <c r="C2723" s="3" t="str">
        <f ca="1">IFERROR(__xludf.DUMMYFUNCTION("GOOGLETRANSLATE(B2723,""auto"",""en"")"),"The methods and systems of using mobile devices for virtual guidance and performance training are made public. This method and system execute the following steps: Use the camera on the mobile device to capture the training video of athletes; in the prompt"&amp;" cycle starting from the first moment, use visual prompts to enhance the training video; analyze the player's first and second time by analyzing the player at the first and second moments. The body posture flow is determined whether the player responds to"&amp;" the visual prompt at the second moment during the prompt cycle. Among them, the physical posture flow is to make a computer visual algorithm for one or more frames of the training video extracted from the training videos. Video; and respond to determinin"&amp;"g that the player has responded to the visual prompt and generates feedback to the player.")</f>
        <v>The methods and systems of using mobile devices for virtual guidance and performance training are made public. This method and system execute the following steps: Use the camera on the mobile device to capture the training video of athletes; in the prompt cycle starting from the first moment, use visual prompts to enhance the training video; analyze the player's first and second time by analyzing the player at the first and second moments. The body posture flow is determined whether the player responds to the visual prompt at the second moment during the prompt cycle. Among them, the physical posture flow is to make a computer visual algorithm for one or more frames of the training video extracted from the training videos. Video; and respond to determining that the player has responded to the visual prompt and generates feedback to the player.</v>
      </c>
      <c r="D2723" s="6" t="s">
        <v>7679</v>
      </c>
      <c r="E2723" s="4" t="str">
        <f ca="1">IFERROR(__xludf.DUMMYFUNCTION("GOOGLETRANSLATE(D2723,""auto"",""en"")"),"The methods and systems used to promote the body-eye coordination and response time")</f>
        <v>The methods and systems used to promote the body-eye coordination and response time</v>
      </c>
    </row>
    <row r="2724" spans="1:5" ht="15" x14ac:dyDescent="0.25">
      <c r="A2724" s="5" t="s">
        <v>7680</v>
      </c>
      <c r="B2724" s="6" t="s">
        <v>7681</v>
      </c>
      <c r="C2724" s="3" t="str">
        <f ca="1">IFERROR(__xludf.DUMMYFUNCTION("GOOGLETRANSLATE(B2724,""auto"",""en"")"),"The invention belongs to the field of information technology in the management of golf stadiums, especially involving an IoT -based golf course management smart terminal, including shells and settings in the shell: login module, display module, built -in "&amp;"SIM card, IoT NB‑iot Chip, configuration statistical module, performance statistics module, sorting module and environmental detection module; login module records the name, address, use vehicle, and remote information data of the login module, display th"&amp;"e built -in SIM card described in the module installation, and configure the statistical module to the golf course to the golf course. Data statistics of the hole number, standard rod and code number are used to detect the temperature, wind direction, win"&amp;"d speed, and soil conditions in the golf course. The score statistical module is statistically counted in real time. The present invention can manage the golf course environment in real time, and can enable the players to retrieve their play and honor at "&amp;"any time.")</f>
        <v>The invention belongs to the field of information technology in the management of golf stadiums, especially involving an IoT -based golf course management smart terminal, including shells and settings in the shell: login module, display module, built -in SIM card, IoT NB‑iot Chip, configuration statistical module, performance statistics module, sorting module and environmental detection module; login module records the name, address, use vehicle, and remote information data of the login module, display the built -in SIM card described in the module installation, and configure the statistical module to the golf course to the golf course. Data statistics of the hole number, standard rod and code number are used to detect the temperature, wind direction, wind speed, and soil conditions in the golf course. The score statistical module is statistically counted in real time. The present invention can manage the golf course environment in real time, and can enable the players to retrieve their play and honor at any time.</v>
      </c>
      <c r="D2724" s="6" t="s">
        <v>7682</v>
      </c>
      <c r="E2724" s="4" t="str">
        <f ca="1">IFERROR(__xludf.DUMMYFUNCTION("GOOGLETRANSLATE(D2724,""auto"",""en"")"),"A smart terminal based on the Internet of Things golf course management")</f>
        <v>A smart terminal based on the Internet of Things golf course management</v>
      </c>
    </row>
    <row r="2725" spans="1:5" ht="15" x14ac:dyDescent="0.25">
      <c r="A2725" s="5" t="s">
        <v>7683</v>
      </c>
      <c r="B2725" s="6" t="s">
        <v>7684</v>
      </c>
      <c r="C2725" s="3" t="str">
        <f ca="1">IFERROR(__xludf.DUMMYFUNCTION("GOOGLETRANSLATE(B2725,""auto"",""en"")"),"The present invention is based on a single factor that can determine the health system and methods of the user based on a single factor that can be based on a single factor such as PMVO2. After the user conducts the specified physical fitness test of the "&amp;"system fitness application, the user performs heart rate measurement. Heart rate measurement value will be converted to PMVO2 value and compares with other people's PMVO2 values. The system allocates fitness levels based on comparison results. The system "&amp;"also includes helping users move from a level to a higher -level artificial intelligence system.")</f>
        <v>The present invention is based on a single factor that can determine the health system and methods of the user based on a single factor that can be based on a single factor such as PMVO2. After the user conducts the specified physical fitness test of the system fitness application, the user performs heart rate measurement. Heart rate measurement value will be converted to PMVO2 value and compares with other people's PMVO2 values. The system allocates fitness levels based on comparison results. The system also includes helping users move from a level to a higher -level artificial intelligence system.</v>
      </c>
      <c r="D2725" s="6" t="s">
        <v>6456</v>
      </c>
      <c r="E2725" s="4" t="str">
        <f ca="1">IFERROR(__xludf.DUMMYFUNCTION("GOOGLETRANSLATE(D2725,""auto"",""en"")"),"Fitness system and method")</f>
        <v>Fitness system and method</v>
      </c>
    </row>
    <row r="2726" spans="1:5" ht="15" x14ac:dyDescent="0.25">
      <c r="A2726" s="5" t="s">
        <v>7685</v>
      </c>
      <c r="B2726" s="6" t="s">
        <v>7686</v>
      </c>
      <c r="C2726" s="3" t="str">
        <f ca="1">IFERROR(__xludf.DUMMYFUNCTION("GOOGLETRANSLATE(B2726,""auto"",""en"")"),"A method of behavior recognition based on football game based on deep learning, including: obtaining the video of the football game (S101) to be identified, divided the video of the football game into N video bands, and draw a frame of image from each vid"&amp;"eo band as the Enter the image (S102), n is an integer with greater than 1, and use the preset deep learning network model to process the input image and obtain the behavior recognition results (S103) corresponding to the video of the football game. This "&amp;"method uses the Inception network model to learn the relationship between the pixel dots in each frame of the input image, and use the three -dimensional resnet network model to learn the relationship between the input images. The accuracy losses caused b"&amp;"y multiple complex steps in existing technologies have also improved the accuracy of identification results while reducing the time consumption.")</f>
        <v>A method of behavior recognition based on football game based on deep learning, including: obtaining the video of the football game (S101) to be identified, divided the video of the football game into N video bands, and draw a frame of image from each video band as the Enter the image (S102), n is an integer with greater than 1, and use the preset deep learning network model to process the input image and obtain the behavior recognition results (S103) corresponding to the video of the football game. This method uses the Inception network model to learn the relationship between the pixel dots in each frame of the input image, and use the three -dimensional resnet network model to learn the relationship between the input images. The accuracy losses caused by multiple complex steps in existing technologies have also improved the accuracy of identification results while reducing the time consumption.</v>
      </c>
      <c r="D2726" s="6" t="s">
        <v>7687</v>
      </c>
      <c r="E2726" s="4" t="str">
        <f ca="1">IFERROR(__xludf.DUMMYFUNCTION("GOOGLETRANSLATE(D2726,""auto"",""en"")"),"Deep learning -based football competition behavior recognition method, device and terminal equipment")</f>
        <v>Deep learning -based football competition behavior recognition method, device and terminal equipment</v>
      </c>
    </row>
    <row r="2727" spans="1:5" ht="15" x14ac:dyDescent="0.25">
      <c r="A2727" s="5" t="s">
        <v>7688</v>
      </c>
      <c r="B2727" s="6" t="s">
        <v>7689</v>
      </c>
      <c r="C2727" s="3" t="str">
        <f ca="1">IFERROR(__xludf.DUMMYFUNCTION("GOOGLETRANSLATE(B2727,""auto"",""en"")"),"This utility model embodiment opens a pool anti -drowning monitoring device, including the first shooting device, which includes the first shooting device, including the first shooting and suspended balloon, which is fixed on the suspended balloon. Set ab"&amp;"ove the swimming pool, and the first shooting is connected to the suspended balloon through the bracket; the first propeller is set up above the suspended balloon, Essence In this way, during use, through the driving of suspended balloon and the first pro"&amp;"peller, the first shooting can move above the swimming pool, which is convenient for monitoring the swimmer located in the swimming pool. Using the algorithm of machine learning such as clustering, identify and judge whether swimmers drowning are also art"&amp;"ificially monitored for remote monitoring.")</f>
        <v>This utility model embodiment opens a pool anti -drowning monitoring device, including the first shooting device, which includes the first shooting device, including the first shooting and suspended balloon, which is fixed on the suspended balloon. Set above the swimming pool, and the first shooting is connected to the suspended balloon through the bracket; the first propeller is set up above the suspended balloon, Essence In this way, during use, through the driving of suspended balloon and the first propeller, the first shooting can move above the swimming pool, which is convenient for monitoring the swimmer located in the swimming pool. Using the algorithm of machine learning such as clustering, identify and judge whether swimmers drowning are also artificially monitored for remote monitoring.</v>
      </c>
      <c r="D2727" s="6" t="s">
        <v>7690</v>
      </c>
      <c r="E2727" s="4" t="str">
        <f ca="1">IFERROR(__xludf.DUMMYFUNCTION("GOOGLETRANSLATE(D2727,""auto"",""en"")"),"A swimming pool anti -drowning monitoring device")</f>
        <v>A swimming pool anti -drowning monitoring device</v>
      </c>
    </row>
    <row r="2728" spans="1:5" ht="15" x14ac:dyDescent="0.25">
      <c r="A2728" s="5" t="s">
        <v>7691</v>
      </c>
      <c r="B2728" s="6" t="s">
        <v>7692</v>
      </c>
      <c r="C2728" s="3" t="str">
        <f ca="1">IFERROR(__xludf.DUMMYFUNCTION("GOOGLETRANSLATE(B2728,""auto"",""en"")"),"A display device with a water tank is disclosed, and one or more swimming robots are located in the water tank. This device includes communication units that communicate with swimming robots or mobile terminals, display images, one or more sensing units, "&amp;"radio transmission units, and wireless power transmission units include multiple launch coils located in the inner wall of the water tank. Many, and one control module. Therefore, it can provide display devices and swimming robots equipped with artificial"&amp;" intelligence, and can provide display devices and swimming robots that perform 5G communication. Therefore, it can improve charging efficiency and further improve user convenience.")</f>
        <v>A display device with a water tank is disclosed, and one or more swimming robots are located in the water tank. This device includes communication units that communicate with swimming robots or mobile terminals, display images, one or more sensing units, radio transmission units, and wireless power transmission units include multiple launch coils located in the inner wall of the water tank. Many, and one control module. Therefore, it can provide display devices and swimming robots equipped with artificial intelligence, and can provide display devices and swimming robots that perform 5G communication. Therefore, it can improve charging efficiency and further improve user convenience.</v>
      </c>
      <c r="D2728" s="6" t="s">
        <v>7693</v>
      </c>
      <c r="E2728" s="4" t="str">
        <f ca="1">IFERROR(__xludf.DUMMYFUNCTION("GOOGLETRANSLATE(D2728,""auto"",""en"")"),"A floating robot and robot charging display device")</f>
        <v>A floating robot and robot charging display device</v>
      </c>
    </row>
    <row r="2729" spans="1:5" ht="15" x14ac:dyDescent="0.25">
      <c r="A2729" s="5" t="s">
        <v>7694</v>
      </c>
      <c r="B2729" s="6" t="s">
        <v>7695</v>
      </c>
      <c r="C2729" s="3" t="str">
        <f ca="1">IFERROR(__xludf.DUMMYFUNCTION("GOOGLETRANSLATE(B2729,""auto"",""en"")"),"The invention disclosed a method of throwing a curling robot, which belongs to the field of artificial intelligence and control technology. This method includes: Determine the number and location of the curling in both sides inside and outside the large b"&amp;"ase: obtain the image of the curling game field, perform image correction, and perform curling recognition, division and positioning to determine the number and location of both the curling of both parties inside and outside the base camp; design the curl"&amp;"ing The scoring function ST: The radius radius of the curling is RC, and the distance between the two sides to the center of the base camp is compared with the radius R of the base camp. Score ST; Determine the throw method: According to the number of cur"&amp;"ling in the current moment, the number of curling in different positions, design the evaluation function during the curling throwing process, and then determine the throw method according to the evaluation function. The present invention greatly reduces t"&amp;"he complexity of the throwing strategy algorithm of the curling robot, and provides a basis for further decision -making and control of the curling robot.")</f>
        <v>The invention disclosed a method of throwing a curling robot, which belongs to the field of artificial intelligence and control technology. This method includes: Determine the number and location of the curling in both sides inside and outside the large base: obtain the image of the curling game field, perform image correction, and perform curling recognition, division and positioning to determine the number and location of both the curling of both parties inside and outside the base camp; design the curling The scoring function ST: The radius radius of the curling is RC, and the distance between the two sides to the center of the base camp is compared with the radius R of the base camp. Score ST; Determine the throw method: According to the number of curling in the current moment, the number of curling in different positions, design the evaluation function during the curling throwing process, and then determine the throw method according to the evaluation function. The present invention greatly reduces the complexity of the throwing strategy algorithm of the curling robot, and provides a basis for further decision -making and control of the curling robot.</v>
      </c>
      <c r="D2729" s="6" t="s">
        <v>7696</v>
      </c>
      <c r="E2729" s="4" t="str">
        <f ca="1">IFERROR(__xludf.DUMMYFUNCTION("GOOGLETRANSLATE(D2729,""auto"",""en"")"),"A method of throwing a curling robot")</f>
        <v>A method of throwing a curling robot</v>
      </c>
    </row>
    <row r="2730" spans="1:5" ht="15" x14ac:dyDescent="0.25">
      <c r="A2730" s="5" t="s">
        <v>7697</v>
      </c>
      <c r="B2730" s="6" t="s">
        <v>7698</v>
      </c>
      <c r="C2730" s="3" t="str">
        <f ca="1">IFERROR(__xludf.DUMMYFUNCTION("GOOGLETRANSLATE(B2730,""auto"",""en"")"),"The distributed machine learning system and other distributed computing systems are improved by embedded the calculation logic in the extension module of the network switch. Calculate the collective operation of other computing data processed by gradient "&amp;"or system nodes, such as intensive operations. The intensive operation can include, for example, for the sum of peace, average, and one by one. In this way, the extension module can take over the part or all of the distributed system during the set stage."&amp;" The inner version of the module is located between the switch and the network. Data units that carry the calculation data use calculation logic to intercept and process, while other data units transparently enter and exit switches through modules. Multip"&amp;"le modules can be connected to the switch, each module couples to different node groups, and shares the intermediate result. It also describes the car version.")</f>
        <v>The distributed machine learning system and other distributed computing systems are improved by embedded the calculation logic in the extension module of the network switch. Calculate the collective operation of other computing data processed by gradient or system nodes, such as intensive operations. The intensive operation can include, for example, for the sum of peace, average, and one by one. In this way, the extension module can take over the part or all of the distributed system during the set stage. The inner version of the module is located between the switch and the network. Data units that carry the calculation data use calculation logic to intercept and process, while other data units transparently enter and exit switches through modules. Multiple modules can be connected to the switch, each module couples to different node groups, and shares the intermediate result. It also describes the car version.</v>
      </c>
      <c r="D2730" s="6" t="s">
        <v>7699</v>
      </c>
      <c r="E2730" s="4" t="str">
        <f ca="1">IFERROR(__xludf.DUMMYFUNCTION("GOOGLETRANSLATE(D2730,""auto"",""en"")"),"Distributed artificial intelligence extension module of network switch")</f>
        <v>Distributed artificial intelligence extension module of network switch</v>
      </c>
    </row>
    <row r="2731" spans="1:5" ht="15" x14ac:dyDescent="0.25">
      <c r="A2731" s="5" t="s">
        <v>7700</v>
      </c>
      <c r="B2731" s="6" t="s">
        <v>7701</v>
      </c>
      <c r="C2731" s="3" t="str">
        <f ca="1">IFERROR(__xludf.DUMMYFUNCTION("GOOGLETRANSLATE(B2731,""auto"",""en"")"),"1. Design product name: The central control system graphical user interface used for treadmill display.
 2. The purpose of designing products in this exterior: It is mainly used for the program operation, operational interaction and information display "&amp;"of the program control display screen of the treadmill.
 3. Design of design products in this exterior: lies in the interactive interface.
 4. Pictures or photos that can most indicate design points: main view.
 5. The purpose of the graphical user "&amp;"interface: The main page of the main visual map interface is the homepage of the central control system of smart treadmill products.
 6. Human -computer interaction method of graphical user interface: For users to start the treadmill to start exercise, "&amp;"you can choose the fitness course synchronous training, and select or set the required running plan to exercise in the exercise plan.")</f>
        <v>1. Design product name: The central control system graphical user interface used for treadmill display.
 2. The purpose of designing products in this exterior: It is mainly used for the program operation, operational interaction and information display of the program control display screen of the treadmill.
 3. Design of design products in this exterior: lies in the interactive interface.
 4. Pictures or photos that can most indicate design points: main view.
 5. The purpose of the graphical user interface: The main page of the main visual map interface is the homepage of the central control system of smart treadmill products.
 6. Human -computer interaction method of graphical user interface: For users to start the treadmill to start exercise, you can choose the fitness course synchronous training, and select or set the required running plan to exercise in the exercise plan.</v>
      </c>
      <c r="D2731" s="6" t="s">
        <v>7702</v>
      </c>
      <c r="E2731" s="4" t="str">
        <f ca="1">IFERROR(__xludf.DUMMYFUNCTION("GOOGLETRANSLATE(D2731,""auto"",""en"")"),"The central control system graphics user interface used for treadmill display")</f>
        <v>The central control system graphics user interface used for treadmill display</v>
      </c>
    </row>
    <row r="2732" spans="1:5" ht="15" x14ac:dyDescent="0.25">
      <c r="A2732" s="5" t="s">
        <v>7703</v>
      </c>
      <c r="B2732" s="6" t="s">
        <v>7704</v>
      </c>
      <c r="C2732" s="3" t="str">
        <f ca="1">IFERROR(__xludf.DUMMYFUNCTION("GOOGLETRANSLATE(B2732,""auto"",""en"")"),"The present invention disclose a sports fitness posture rating and teaching devices and methods. This device is used to implement this method. This device includes the base, supporting frame, intelligent teaching system, display screen, display screen con"&amp;"nector and power supply. One end of the supporting frame is fixed with the base, the other end is connected with one end of the display screen connector, and the other end of the display screen connector is Connect to the display of the display, the intel"&amp;"ligent teaching system is connected to the power supply and the display electricity, respectively. Among them, the intelligent teaching system includes video acquisition devices and raspberry school systems. Deep learning capabilities and trained convolut"&amp;"ional neural networks and neural network models with three -dimensional reconstruction function. The present invention provides intelligent scores and teaching for people who love sports to enhance the user experience.")</f>
        <v>The present invention disclose a sports fitness posture rating and teaching devices and methods. This device is used to implement this method. This device includes the base, supporting frame, intelligent teaching system, display screen, display screen connector and power supply. One end of the supporting frame is fixed with the base, the other end is connected with one end of the display screen connector, and the other end of the display screen connector is Connect to the display of the display, the intelligent teaching system is connected to the power supply and the display electricity, respectively. Among them, the intelligent teaching system includes video acquisition devices and raspberry school systems. Deep learning capabilities and trained convolutional neural networks and neural network models with three -dimensional reconstruction function. The present invention provides intelligent scores and teaching for people who love sports to enhance the user experience.</v>
      </c>
      <c r="D2732" s="6" t="s">
        <v>7705</v>
      </c>
      <c r="E2732" s="4" t="str">
        <f ca="1">IFERROR(__xludf.DUMMYFUNCTION("GOOGLETRANSLATE(D2732,""auto"",""en"")"),"A sports fitness posture score and teaching device and method")</f>
        <v>A sports fitness posture score and teaching device and method</v>
      </c>
    </row>
    <row r="2733" spans="1:5" ht="15" x14ac:dyDescent="0.25">
      <c r="A2733" s="5" t="s">
        <v>7706</v>
      </c>
      <c r="B2733" s="6" t="s">
        <v>7707</v>
      </c>
      <c r="C2733" s="3" t="str">
        <f ca="1">IFERROR(__xludf.DUMMYFUNCTION("GOOGLETRANSLATE(B2733,""auto"",""en"")"),"This utility model discloses a counting display based on the Internet of Things for basketball training. The voltage voltage of AMS1117‑3.3 through low -voltage differential stabilization chips, the precise recognition of the GP2Y0A02YK infrared distance "&amp;"sensor and the STM32F103CBT6 micro -controller low power consumption , Highly reliable and precise processing, obtain accurate shooting information, and use the IEEE802.11 protocol wireless communication, so that the display end is separated from the dete"&amp;"ction end. Users can place the display end at any appropriate position to obtain the shooting information.")</f>
        <v>This utility model discloses a counting display based on the Internet of Things for basketball training. The voltage voltage of AMS1117‑3.3 through low -voltage differential stabilization chips, the precise recognition of the GP2Y0A02YK infrared distance sensor and the STM32F103CBT6 micro -controller low power consumption , Highly reliable and precise processing, obtain accurate shooting information, and use the IEEE802.11 protocol wireless communication, so that the display end is separated from the detection end. Users can place the display end at any appropriate position to obtain the shooting information.</v>
      </c>
      <c r="D2733" s="6" t="s">
        <v>7708</v>
      </c>
      <c r="E2733" s="4" t="str">
        <f ca="1">IFERROR(__xludf.DUMMYFUNCTION("GOOGLETRANSLATE(D2733,""auto"",""en"")"),"A counting display based on the Internet of Things for basketball training")</f>
        <v>A counting display based on the Internet of Things for basketball training</v>
      </c>
    </row>
    <row r="2734" spans="1:5" ht="15" x14ac:dyDescent="0.25">
      <c r="A2734" s="5" t="s">
        <v>7709</v>
      </c>
      <c r="B2734" s="6" t="s">
        <v>7710</v>
      </c>
      <c r="C2734" s="3" t="str">
        <f ca="1">IFERROR(__xludf.DUMMYFUNCTION("GOOGLETRANSLATE(B2734,""auto"",""en"")"),"1. The name of the product design product: cloud smart treadmill display with the central control system graphics user interface.
 2. The purpose of designing products in this exterior: It is mainly used for the program operation, operational interactio"&amp;"n and information display of the program control display screen of the treadmill.
 3. Design of design products in this exterior: lies in the interactive interface.
 4. Pictures or photos that can most indicate design points: main view.
 5. The purp"&amp;"ose of the graphical user interface: The main page of the main visual map interface is the homepage of the central control system of smart treadmill products.
 6. Human -computer interaction method of graphical user interface: For users to start the tre"&amp;"admill to start exercise, you can choose the fitness course synchronous training, and select or set the required running plan to exercise in the exercise plan.")</f>
        <v>1. The name of the product design product: cloud smart treadmill display with the central control system graphics user interface.
 2. The purpose of designing products in this exterior: It is mainly used for the program operation, operational interaction and information display of the program control display screen of the treadmill.
 3. Design of design products in this exterior: lies in the interactive interface.
 4. Pictures or photos that can most indicate design points: main view.
 5. The purpose of the graphical user interface: The main page of the main visual map interface is the homepage of the central control system of smart treadmill products.
 6. Human -computer interaction method of graphical user interface: For users to start the treadmill to start exercise, you can choose the fitness course synchronous training, and select or set the required running plan to exercise in the exercise plan.</v>
      </c>
      <c r="D2734" s="6" t="s">
        <v>7711</v>
      </c>
      <c r="E2734" s="4" t="str">
        <f ca="1">IFERROR(__xludf.DUMMYFUNCTION("GOOGLETRANSLATE(D2734,""auto"",""en"")"),"Cloud smart treadmill display with the central control system graphics user interface")</f>
        <v>Cloud smart treadmill display with the central control system graphics user interface</v>
      </c>
    </row>
    <row r="2735" spans="1:5" ht="15" x14ac:dyDescent="0.25">
      <c r="A2735" s="5" t="s">
        <v>7712</v>
      </c>
      <c r="B2735" s="6" t="s">
        <v>7713</v>
      </c>
      <c r="C2735" s="3" t="str">
        <f ca="1">IFERROR(__xludf.DUMMYFUNCTION("GOOGLETRANSLATE(B2735,""auto"",""en"")"),"This utility model opens a kind of sports fitness gesture score and teaching device. This device includes the base, supporting frame, intelligent teaching system, display screen, display screen connector and power supply. One end of the supporting frame i"&amp;"s fixed with the base, the other end is connected with one end of the display screen connector, and the other end of the display screen connector is Connect to the display of the display, the intelligent teaching system is connected to the power supply an"&amp;"d the display electricity, respectively. Among them, the intelligent teaching system includes video acquisition devices and raspberry school systems. Deep learning capabilities and trained convolutional neural networks and neural network models with three"&amp;" -dimensional reconstruction function. This utility model provides intelligent scores and teaching for people who love sports to enhance the user experience.")</f>
        <v>This utility model opens a kind of sports fitness gesture score and teaching device. This device includes the base, supporting frame, intelligent teaching system, display screen, display screen connector and power supply. One end of the supporting frame is fixed with the base, the other end is connected with one end of the display screen connector, and the other end of the display screen connector is Connect to the display of the display, the intelligent teaching system is connected to the power supply and the display electricity, respectively. Among them, the intelligent teaching system includes video acquisition devices and raspberry school systems. Deep learning capabilities and trained convolutional neural networks and neural network models with three -dimensional reconstruction function. This utility model provides intelligent scores and teaching for people who love sports to enhance the user experience.</v>
      </c>
      <c r="D2735" s="6" t="s">
        <v>7714</v>
      </c>
      <c r="E2735" s="4" t="str">
        <f ca="1">IFERROR(__xludf.DUMMYFUNCTION("GOOGLETRANSLATE(D2735,""auto"",""en"")"),"A device for sports fitness gesture and teaching")</f>
        <v>A device for sports fitness gesture and teaching</v>
      </c>
    </row>
    <row r="2736" spans="1:5" ht="15" x14ac:dyDescent="0.25">
      <c r="A2736" s="5" t="s">
        <v>7715</v>
      </c>
      <c r="B2736" s="6" t="s">
        <v>7716</v>
      </c>
      <c r="C2736" s="3" t="str">
        <f ca="1">IFERROR(__xludf.DUMMYFUNCTION("GOOGLETRANSLATE(B2736,""auto"",""en"")"),"The present invention involves a fitness action teaching and correction system, including server, camera, display, and audio. Connect to obtain the user's fitness action video, which is connected to the server and the display screen to display the form of"&amp;" fitness action virtual characters so that users can improve the correctness of fitness action. The situation, as well as the alarm when the system is wrong. The present invention can provide standard fitness actions. Through comparison of self -actions t"&amp;"o give errors to point out and modify opinions, use virtual characters to intuitively reflect the gap between their own actions and standard actions, and timely regulate their own actions to avoid physical damage caused by errors. Improve the efficiency o"&amp;"f fitness.")</f>
        <v>The present invention involves a fitness action teaching and correction system, including server, camera, display, and audio. Connect to obtain the user's fitness action video, which is connected to the server and the display screen to display the form of fitness action virtual characters so that users can improve the correctness of fitness action. The situation, as well as the alarm when the system is wrong. The present invention can provide standard fitness actions. Through comparison of self -actions to give errors to point out and modify opinions, use virtual characters to intuitively reflect the gap between their own actions and standard actions, and timely regulate their own actions to avoid physical damage caused by errors. Improve the efficiency of fitness.</v>
      </c>
      <c r="D2736" s="6" t="s">
        <v>7717</v>
      </c>
      <c r="E2736" s="4" t="str">
        <f ca="1">IFERROR(__xludf.DUMMYFUNCTION("GOOGLETRANSLATE(D2736,""auto"",""en"")"),"A fitness action teaching and correction system and method")</f>
        <v>A fitness action teaching and correction system and method</v>
      </c>
    </row>
    <row r="2737" spans="1:5" ht="15" x14ac:dyDescent="0.25">
      <c r="A2737" s="5" t="s">
        <v>7718</v>
      </c>
      <c r="B2737" s="6" t="s">
        <v>7719</v>
      </c>
      <c r="C2737" s="3" t="str">
        <f ca="1">IFERROR(__xludf.DUMMYFUNCTION("GOOGLETRANSLATE(B2737,""auto"",""en"")"),"An example of the present invention provides a record device for recording the user's race, age, genetic information and family history information, physical measurement information, lifestyle information, etc. Users take users' coffee, calcium, lycopene "&amp;"and fish intake, smoking habits, drinking habits, living information, including sports activities, family history information as teacher data, input as physical information and lifestyle information, The input information change model generates a device f"&amp;"or generating a model through machine learning. The output is based on the degree of changes in the risk of the user's prostate cancer, as well as the user's ethnic, age, genetic information and family history information, physical measurement information"&amp;" and lifestyle information. The first user is registered. The output is based on the degree of changes in the risk of prostate cancer estimated by the body measurement information and lifestyle information. The registration device is entered into the regi"&amp;"stration device to disclose an output method for system cancer to predict the degree of changes in prostate risk.")</f>
        <v>An example of the present invention provides a record device for recording the user's race, age, genetic information and family history information, physical measurement information, lifestyle information, etc. Users take users' coffee, calcium, lycopene and fish intake, smoking habits, drinking habits, living information, including sports activities, family history information as teacher data, input as physical information and lifestyle information, The input information change model generates a device for generating a model through machine learning. The output is based on the degree of changes in the risk of the user's prostate cancer, as well as the user's ethnic, age, genetic information and family history information, physical measurement information and lifestyle information. The first user is registered. The output is based on the degree of changes in the risk of prostate cancer estimated by the body measurement information and lifestyle information. The registration device is entered into the registration device to disclose an output method for system cancer to predict the degree of changes in prostate risk.</v>
      </c>
      <c r="D2737" s="6" t="s">
        <v>7720</v>
      </c>
      <c r="E2737" s="4" t="str">
        <f ca="1">IFERROR(__xludf.DUMMYFUNCTION("GOOGLETRANSLATE(D2737,""auto"",""en"")"),"Prostate cancer risk change prediction system")</f>
        <v>Prostate cancer risk change prediction system</v>
      </c>
    </row>
    <row r="2738" spans="1:5" ht="15" x14ac:dyDescent="0.25">
      <c r="A2738" s="5" t="s">
        <v>7721</v>
      </c>
      <c r="B2738" s="6" t="s">
        <v>518</v>
      </c>
      <c r="C2738" s="3" t="str">
        <f ca="1">IFERROR(__xludf.DUMMYFUNCTION("GOOGLETRANSLATE(B2738,""auto"",""en"")"),"-")</f>
        <v>-</v>
      </c>
      <c r="D2738" s="6" t="s">
        <v>7722</v>
      </c>
      <c r="E2738" s="4" t="str">
        <f ca="1">IFERROR(__xludf.DUMMYFUNCTION("GOOGLETRANSLATE(D2738,""auto"",""en"")"),"Real -time artificial intelligence applications of professional sports franchise management and athlete value")</f>
        <v>Real -time artificial intelligence applications of professional sports franchise management and athlete value</v>
      </c>
    </row>
    <row r="2739" spans="1:5" ht="15" x14ac:dyDescent="0.25">
      <c r="A2739" s="5" t="s">
        <v>7723</v>
      </c>
      <c r="B2739" s="6" t="s">
        <v>7724</v>
      </c>
      <c r="C2739" s="3" t="str">
        <f ca="1">IFERROR(__xludf.DUMMYFUNCTION("GOOGLETRANSLATE(B2739,""auto"",""en"")"),"The present invention has disclosed an event management platform, including: human -computer interaction module, entering the competition information, competition mode, competition rules and participation requirements through the human -computer interacti"&amp;"on module; Fang information, competition models, competition rules, and participation requirements to complete the creation of the event, generate the event table and the registration process list; the registration module is used to obtain the registratio"&amp;"n process table, pre -review the participating qualifications of the participants; certification of the participants The module is used to certify the participants; the event review module is used to obtain the results of the event review; the event drawi"&amp;"ng and arrangement module is used for the results of the event, and the schedule is scheduled through the one -click signing algorithm; the inspection module, including athletes and work Personalized, athletes are used to receive inspection time reminders"&amp;" and schedule reminders; the staff is used to query the information of the athletes waiting for the current venue, and it is also used to check the athletes according to the schedule.")</f>
        <v>The present invention has disclosed an event management platform, including: human -computer interaction module, entering the competition information, competition mode, competition rules and participation requirements through the human -computer interaction module; Fang information, competition models, competition rules, and participation requirements to complete the creation of the event, generate the event table and the registration process list; the registration module is used to obtain the registration process table, pre -review the participating qualifications of the participants; certification of the participants The module is used to certify the participants; the event review module is used to obtain the results of the event review; the event drawing and arrangement module is used for the results of the event, and the schedule is scheduled through the one -click signing algorithm; the inspection module, including athletes and work Personalized, athletes are used to receive inspection time reminders and schedule reminders; the staff is used to query the information of the athletes waiting for the current venue, and it is also used to check the athletes according to the schedule.</v>
      </c>
      <c r="D2739" s="6" t="s">
        <v>7725</v>
      </c>
      <c r="E2739" s="4" t="str">
        <f ca="1">IFERROR(__xludf.DUMMYFUNCTION("GOOGLETRANSLATE(D2739,""auto"",""en"")"),"An event management platform and system and method")</f>
        <v>An event management platform and system and method</v>
      </c>
    </row>
    <row r="2740" spans="1:5" ht="15" x14ac:dyDescent="0.25">
      <c r="A2740" s="5" t="s">
        <v>7726</v>
      </c>
      <c r="B2740" s="6" t="s">
        <v>7727</v>
      </c>
      <c r="C2740" s="3" t="str">
        <f ca="1">IFERROR(__xludf.DUMMYFUNCTION("GOOGLETRANSLATE(B2740,""auto"",""en"")"),"A sports palace product, method and intelligent system, including: sports palace top, sports palace top pillar support, sports palace runway and venue, sports palace guardrail, IoT intelligent system, connecting corridor and corridor, among which preferre"&amp;"d blue sky and white clouds Color translucent board sports palace top A, sports palace color warning soft bag anti -column support B, color plastic asphalt concrete anti -collision logo warning corridor C; especially involved a kind of sunny and rainy day"&amp;"s can be used for shading and rainproof prevention and rain. Snow, lighting, riot sun exposure, coordination with the environment, and sports mood are good at sports palace products, methods and intelligent systems that perform track and field movements a"&amp;"nd various types of cultural and sports activities on sports runways and venues.")</f>
        <v>A sports palace product, method and intelligent system, including: sports palace top, sports palace top pillar support, sports palace runway and venue, sports palace guardrail, IoT intelligent system, connecting corridor and corridor, among which preferred blue sky and white clouds Color translucent board sports palace top A, sports palace color warning soft bag anti -column support B, color plastic asphalt concrete anti -collision logo warning corridor C; especially involved a kind of sunny and rainy days can be used for shading and rainproof prevention and rain. Snow, lighting, riot sun exposure, coordination with the environment, and sports mood are good at sports palace products, methods and intelligent systems that perform track and field movements and various types of cultural and sports activities on sports runways and venues.</v>
      </c>
      <c r="D2740" s="6" t="s">
        <v>7728</v>
      </c>
      <c r="E2740" s="4" t="str">
        <f ca="1">IFERROR(__xludf.DUMMYFUNCTION("GOOGLETRANSLATE(D2740,""auto"",""en"")"),"Sports palace products, methods and intelligent systems")</f>
        <v>Sports palace products, methods and intelligent systems</v>
      </c>
    </row>
    <row r="2741" spans="1:5" ht="15" x14ac:dyDescent="0.25">
      <c r="A2741" s="5" t="s">
        <v>7729</v>
      </c>
      <c r="B2741" s="6" t="s">
        <v>7730</v>
      </c>
      <c r="C2741" s="3" t="str">
        <f ca="1">IFERROR(__xludf.DUMMYFUNCTION("GOOGLETRANSLATE(B2741,""auto"",""en"")"),"The present invention is a computer vision. It is a method of similarity comparison of motion posture in the video, including steps: data extraction, and generate key node charts containing multiple human nodes; There is no change in the state diagram, on"&amp;"ly the change of the node in different times, and the characteristics of the timing of the node will be generated; according to the characteristics of the timing of the node, the difference is calculated through the differential algorithm. The difference "&amp;"matrix of all nodes is composed of the value; according to the differential matrix, the similarity of the two dimensions of the two dimensions in the movement posture, the amplitude of the action, and the movement speed of the action is calculated through"&amp;" the similarity algorithm. The similarity comparison technology provided by the present invention can efficiently and accurately compare the motion posture including the similarity of the action posture, the speed of action, and the amplitude of the actio"&amp;"n. It can be applied to sports and fitness errors.")</f>
        <v>The present invention is a computer vision. It is a method of similarity comparison of motion posture in the video, including steps: data extraction, and generate key node charts containing multiple human nodes; There is no change in the state diagram, only the change of the node in different times, and the characteristics of the timing of the node will be generated; according to the characteristics of the timing of the node, the difference is calculated through the differential algorithm. The difference matrix of all nodes is composed of the value; according to the differential matrix, the similarity of the two dimensions of the two dimensions in the movement posture, the amplitude of the action, and the movement speed of the action is calculated through the similarity algorithm. The similarity comparison technology provided by the present invention can efficiently and accurately compare the motion posture including the similarity of the action posture, the speed of action, and the amplitude of the action. It can be applied to sports and fitness errors.</v>
      </c>
      <c r="D2741" s="6" t="s">
        <v>7731</v>
      </c>
      <c r="E2741" s="4" t="str">
        <f ca="1">IFERROR(__xludf.DUMMYFUNCTION("GOOGLETRANSLATE(D2741,""auto"",""en"")"),"Method of similarity comparison in the video in a video")</f>
        <v>Method of similarity comparison in the video in a video</v>
      </c>
    </row>
    <row r="2742" spans="1:5" ht="15" x14ac:dyDescent="0.25">
      <c r="A2742" s="5" t="s">
        <v>7732</v>
      </c>
      <c r="B2742" s="6" t="s">
        <v>7733</v>
      </c>
      <c r="C2742" s="3" t="str">
        <f ca="1">IFERROR(__xludf.DUMMYFUNCTION("GOOGLETRANSLATE(B2742,""auto"",""en"")"),"The invention discloses a badminton trajectory monitoring and analysis system and method. It adopts image detection technology, image recognition technology, wireless transmission technology, data analysis technology. In real -time monitoring of informati"&amp;"on such as speed, ball movement process rotation trajectory, and continuous movement posture of athletes. Real -time video monitoring and recognition of the ball movement trajectory and athlete's movement attitude can be used to facilitate the scientific "&amp;"analysis of the ball movement in the coaches, formulate targeted training plans, and improve the effect of sports training.")</f>
        <v>The invention discloses a badminton trajectory monitoring and analysis system and method. It adopts image detection technology, image recognition technology, wireless transmission technology, data analysis technology. In real -time monitoring of information such as speed, ball movement process rotation trajectory, and continuous movement posture of athletes. Real -time video monitoring and recognition of the ball movement trajectory and athlete's movement attitude can be used to facilitate the scientific analysis of the ball movement in the coaches, formulate targeted training plans, and improve the effect of sports training.</v>
      </c>
      <c r="D2742" s="6" t="s">
        <v>7734</v>
      </c>
      <c r="E2742" s="4" t="str">
        <f ca="1">IFERROR(__xludf.DUMMYFUNCTION("GOOGLETRANSLATE(D2742,""auto"",""en"")"),"A badminton trajectory monitoring analysis system and method")</f>
        <v>A badminton trajectory monitoring analysis system and method</v>
      </c>
    </row>
    <row r="2743" spans="1:5" ht="15" x14ac:dyDescent="0.25">
      <c r="A2743" s="5" t="s">
        <v>7735</v>
      </c>
      <c r="B2743" s="6" t="s">
        <v>7736</v>
      </c>
      <c r="C2743" s="3" t="str">
        <f ca="1">IFERROR(__xludf.DUMMYFUNCTION("GOOGLETRANSLATE(B2743,""auto"",""en"")"),"The present invention disclosed a method of positioning ball video fragment detection method. This method includes: using the pre -built football detection model to detect the location information of the football in each frame of each frame of the video c"&amp;"lip of football; Each picture in the picture training collection is used as the input and the marked football marked in the corresponding picture as the goal to train the target detection algorithm based on convolutional neural networks; Whether the posit"&amp;"ion of the football in the n frame changes; in response to the judgment result, the position of the football in any continuous N frame screen has not changed, and the football video clip is determined as a positioning ball video fragment. The technical sc"&amp;"heme provided by the present invention can improve the degree and accuracy of positioning ball video fragment detection. At the same time, the present invention also provides a positioning ball video fragment detection device, system and storage medium.")</f>
        <v>The present invention disclosed a method of positioning ball video fragment detection method. This method includes: using the pre -built football detection model to detect the location information of the football in each frame of each frame of the video clip of football; Each picture in the picture training collection is used as the input and the marked football marked in the corresponding picture as the goal to train the target detection algorithm based on convolutional neural networks; Whether the position of the football in the n frame changes; in response to the judgment result, the position of the football in any continuous N frame screen has not changed, and the football video clip is determined as a positioning ball video fragment. The technical scheme provided by the present invention can improve the degree and accuracy of positioning ball video fragment detection. At the same time, the present invention also provides a positioning ball video fragment detection device, system and storage medium.</v>
      </c>
      <c r="D2743" s="6" t="s">
        <v>7737</v>
      </c>
      <c r="E2743" s="4" t="str">
        <f ca="1">IFERROR(__xludf.DUMMYFUNCTION("GOOGLETRANSLATE(D2743,""auto"",""en"")"),"Positioning ball video fragment detection method, device, system and storage medium")</f>
        <v>Positioning ball video fragment detection method, device, system and storage medium</v>
      </c>
    </row>
    <row r="2744" spans="1:5" ht="15" x14ac:dyDescent="0.25">
      <c r="A2744" s="5" t="s">
        <v>7738</v>
      </c>
      <c r="B2744" s="6" t="s">
        <v>7739</v>
      </c>
      <c r="C2744" s="3" t="str">
        <f ca="1">IFERROR(__xludf.DUMMYFUNCTION("GOOGLETRANSLATE(B2744,""auto"",""en"")"),"The present invention disclosed a football video fragment detection method, including: determine whether the football video fragment to be tested is a goal video fragment; in response to the football video clip that is determined to be tested as the goal "&amp;"video fragment, the football video clip to be tested will be detected. Enter to the pre -constructed goal video fragment quarter classification model to get the first recognition result of the output of the quarter classification model output from the goa"&amp;"l video fragment; As an input, and the first label content of the corresponding goal video fragment as the output, the first classification model based on the convolutional neural network is trained; type. The technical solution provided by the present in"&amp;"vention can improve the degree of intelligence and accuracy of the detection of football video fragments. At the same time, the invention also provides football video fragment detection devices, systems and storage media.")</f>
        <v>The present invention disclosed a football video fragment detection method, including: determine whether the football video fragment to be tested is a goal video fragment; in response to the football video clip that is determined to be tested as the goal video fragment, the football video clip to be tested will be detected. Enter to the pre -constructed goal video fragment quarter classification model to get the first recognition result of the output of the quarter classification model output from the goal video fragment; As an input, and the first label content of the corresponding goal video fragment as the output, the first classification model based on the convolutional neural network is trained; type. The technical solution provided by the present invention can improve the degree of intelligence and accuracy of the detection of football video fragments. At the same time, the invention also provides football video fragment detection devices, systems and storage media.</v>
      </c>
      <c r="D2744" s="6" t="s">
        <v>7740</v>
      </c>
      <c r="E2744" s="4" t="str">
        <f ca="1">IFERROR(__xludf.DUMMYFUNCTION("GOOGLETRANSLATE(D2744,""auto"",""en"")"),"Football video fragment detection method, device, system and storage medium")</f>
        <v>Football video fragment detection method, device, system and storage medium</v>
      </c>
    </row>
    <row r="2745" spans="1:5" ht="15" x14ac:dyDescent="0.25">
      <c r="A2745" s="5" t="s">
        <v>7741</v>
      </c>
      <c r="B2745" s="6" t="s">
        <v>7742</v>
      </c>
      <c r="C2745" s="3" t="str">
        <f ca="1">IFERROR(__xludf.DUMMYFUNCTION("GOOGLETRANSLATE(B2745,""auto"",""en"")"),"Kind Code: A1 more effectively learning artificial intelligence agents to use multiple objects to play video games.
  Player log collection department (52) obtains the player log. The player log is the data of the player's historical data of the game. T"&amp;"he emoji Learning Department 54 According to the player log stored in the player log DB 36, the emoji learns, and the study represents the characteristic vector of the characteristics of the characteristics of each role. Based on the player log stored in "&amp;"the player log DB 36, supervise the learning unit 56 to make the AI ​​proxy 42 learn the strategy of using each character while using the characteristic vector of each character that is learned from the expression learning unit 54. The AI ​​battle process"&amp;"ing unit 58 allows the trained AI agent 42 to play in this game. The AI ​​log collection unit 62 obtains the AI ​​log. Statistical generator 64 Statistics 44A based on AI logs generated by character use results.
  【Selection Figure】 Figure 5")</f>
        <v>Kind Code: A1 more effectively learning artificial intelligence agents to use multiple objects to play video games.
  Player log collection department (52) obtains the player log. The player log is the data of the player's historical data of the game. The emoji Learning Department 54 According to the player log stored in the player log DB 36, the emoji learns, and the study represents the characteristic vector of the characteristics of the characteristics of each role. Based on the player log stored in the player log DB 36, supervise the learning unit 56 to make the AI ​​proxy 42 learn the strategy of using each character while using the characteristic vector of each character that is learned from the expression learning unit 54. The AI ​​battle processing unit 58 allows the trained AI agent 42 to play in this game. The AI ​​log collection unit 62 obtains the AI ​​log. Statistical generator 64 Statistics 44A based on AI logs generated by character use results.
  【Selection Figure】 Figure 5</v>
      </c>
      <c r="D2745" s="6" t="s">
        <v>7743</v>
      </c>
      <c r="E2745" s="4" t="str">
        <f ca="1">IFERROR(__xludf.DUMMYFUNCTION("GOOGLETRANSLATE(D2745,""auto"",""en"")"),"Information processing device and information processing program")</f>
        <v>Information processing device and information processing program</v>
      </c>
    </row>
    <row r="2746" spans="1:5" ht="15" x14ac:dyDescent="0.25">
      <c r="A2746" s="5" t="s">
        <v>7744</v>
      </c>
      <c r="B2746" s="6" t="s">
        <v>7745</v>
      </c>
      <c r="C2746" s="3" t="str">
        <f ca="1">IFERROR(__xludf.DUMMYFUNCTION("GOOGLETRANSLATE(B2746,""auto"",""en"")"),"A video course recommendation system for fitness equipment, with one of the mutual link login modules, a video database and an analysis recommendation module for users to log in to the video course recommendation system. The product serial number in its a"&amp;"ccount information to determine the category of fitness equipment that the user actually owns, and further searches through the analysis recommendation module to automatically search for video files that meet the category of fitness equipment in the video"&amp;" database. After the total number of clicks and archives creation of the video archives are scored, the order of recommendation order can be prioritized according to the high and low of the scoring results, and the recommendation sort of the video file ca"&amp;"n be completed.")</f>
        <v>A video course recommendation system for fitness equipment, with one of the mutual link login modules, a video database and an analysis recommendation module for users to log in to the video course recommendation system. The product serial number in its account information to determine the category of fitness equipment that the user actually owns, and further searches through the analysis recommendation module to automatically search for video files that meet the category of fitness equipment in the video database. After the total number of clicks and archives creation of the video archives are scored, the order of recommendation order can be prioritized according to the high and low of the scoring results, and the recommendation sort of the video file can be completed.</v>
      </c>
      <c r="D2746" s="6" t="s">
        <v>7746</v>
      </c>
      <c r="E2746" s="4" t="str">
        <f ca="1">IFERROR(__xludf.DUMMYFUNCTION("GOOGLETRANSLATE(D2746,""auto"",""en"")"),"Fitness Equipment Video Course Recommendation System")</f>
        <v>Fitness Equipment Video Course Recommendation System</v>
      </c>
    </row>
    <row r="2747" spans="1:5" ht="15" x14ac:dyDescent="0.25">
      <c r="A2747" s="5" t="s">
        <v>7747</v>
      </c>
      <c r="B2747" s="6" t="s">
        <v>7727</v>
      </c>
      <c r="C2747" s="3" t="str">
        <f ca="1">IFERROR(__xludf.DUMMYFUNCTION("GOOGLETRANSLATE(B2747,""auto"",""en"")"),"A sports palace product, method and intelligent system, including: sports palace top, sports palace top pillar support, sports palace runway and venue, sports palace guardrail, IoT intelligent system, connecting corridor and corridor, among which preferre"&amp;"d blue sky and white clouds Color translucent board sports palace top A, sports palace color warning soft bag anti -column support B, color plastic asphalt concrete anti -collision logo warning corridor C; especially involved a kind of sunny and rainy day"&amp;"s can be used for shading and rainproof prevention and rain. Snow, lighting, riot sun exposure, coordination with the environment, and sports mood are good at sports palace products, methods and intelligent systems that perform track and field movements a"&amp;"nd various types of cultural and sports activities on sports runways and venues.")</f>
        <v>A sports palace product, method and intelligent system, including: sports palace top, sports palace top pillar support, sports palace runway and venue, sports palace guardrail, IoT intelligent system, connecting corridor and corridor, among which preferred blue sky and white clouds Color translucent board sports palace top A, sports palace color warning soft bag anti -column support B, color plastic asphalt concrete anti -collision logo warning corridor C; especially involved a kind of sunny and rainy days can be used for shading and rainproof prevention and rain. Snow, lighting, riot sun exposure, coordination with the environment, and sports mood are good at sports palace products, methods and intelligent systems that perform track and field movements and various types of cultural and sports activities on sports runways and venues.</v>
      </c>
      <c r="D2747" s="6" t="s">
        <v>7748</v>
      </c>
      <c r="E2747" s="4" t="str">
        <f ca="1">IFERROR(__xludf.DUMMYFUNCTION("GOOGLETRANSLATE(D2747,""auto"",""en"")"),"Sports palace building products, methods and intelligent systems")</f>
        <v>Sports palace building products, methods and intelligent systems</v>
      </c>
    </row>
    <row r="2748" spans="1:5" ht="15" x14ac:dyDescent="0.25">
      <c r="A2748" s="5" t="s">
        <v>7749</v>
      </c>
      <c r="B2748" s="6" t="s">
        <v>7750</v>
      </c>
      <c r="C2748" s="3" t="str">
        <f ca="1">IFERROR(__xludf.DUMMYFUNCTION("GOOGLETRANSLATE(B2748,""auto"",""en"")"),"The present invention disclosed a video course recommendation system for fitness equipment. It has a connected one -login module, one video database and an analysis recommendation module for users to log in to the video course recommendation system. The g"&amp;"roup automatically captures the product serial number in its account information to determine the category of fitness equipment that the user actually owns, and further searches through the analysis of the video database that conforms to its fitness equip"&amp;"ment category in the video database. After the total number of clicks and archives creation of the filtering video file is scored, the score can be arranged first according to the level of the scoring results, and the recommendation of the video file is c"&amp;"ompleted. The present invention has the effect of actively recommending fitness equipment that users actually have and the latest video courses.")</f>
        <v>The present invention disclosed a video course recommendation system for fitness equipment. It has a connected one -login module, one video database and an analysis recommendation module for users to log in to the video course recommendation system. The group automatically captures the product serial number in its account information to determine the category of fitness equipment that the user actually owns, and further searches through the analysis of the video database that conforms to its fitness equipment category in the video database. After the total number of clicks and archives creation of the filtering video file is scored, the score can be arranged first according to the level of the scoring results, and the recommendation of the video file is completed. The present invention has the effect of actively recommending fitness equipment that users actually have and the latest video courses.</v>
      </c>
      <c r="D2748" s="6" t="s">
        <v>7751</v>
      </c>
      <c r="E2748" s="4" t="str">
        <f ca="1">IFERROR(__xludf.DUMMYFUNCTION("GOOGLETRANSLATE(D2748,""auto"",""en"")"),"Fitness Equipment Video Course Recommendation System and Video Course Recommendation Method")</f>
        <v>Fitness Equipment Video Course Recommendation System and Video Course Recommendation Method</v>
      </c>
    </row>
    <row r="2749" spans="1:5" ht="15" x14ac:dyDescent="0.25">
      <c r="A2749" s="5" t="s">
        <v>7752</v>
      </c>
      <c r="B2749" s="6" t="s">
        <v>7745</v>
      </c>
      <c r="C2749" s="3" t="str">
        <f ca="1">IFERROR(__xludf.DUMMYFUNCTION("GOOGLETRANSLATE(B2749,""auto"",""en"")"),"A video course recommendation system for fitness equipment, with one of the mutual link login modules, a video database and an analysis recommendation module for users to log in to the video course recommendation system. The product serial number in its a"&amp;"ccount information to determine the category of fitness equipment that the user actually owns, and further searches through the analysis recommendation module to automatically search for video files that meet the category of fitness equipment in the video"&amp;" database. After the total number of clicks and archives creation of the video archives are scored, the order of recommendation order can be prioritized according to the high and low of the scoring results, and the recommendation sort of the video file ca"&amp;"n be completed.")</f>
        <v>A video course recommendation system for fitness equipment, with one of the mutual link login modules, a video database and an analysis recommendation module for users to log in to the video course recommendation system. The product serial number in its account information to determine the category of fitness equipment that the user actually owns, and further searches through the analysis recommendation module to automatically search for video files that meet the category of fitness equipment in the video database. After the total number of clicks and archives creation of the video archives are scored, the order of recommendation order can be prioritized according to the high and low of the scoring results, and the recommendation sort of the video file can be completed.</v>
      </c>
      <c r="D2749" s="6" t="s">
        <v>7753</v>
      </c>
      <c r="E2749" s="4" t="str">
        <f ca="1">IFERROR(__xludf.DUMMYFUNCTION("GOOGLETRANSLATE(D2749,""auto"",""en"")"),"Fitness Equipment Video Course Recommendation System and Video Course Recommendation Method")</f>
        <v>Fitness Equipment Video Course Recommendation System and Video Course Recommendation Method</v>
      </c>
    </row>
    <row r="2750" spans="1:5" ht="15" x14ac:dyDescent="0.25">
      <c r="A2750" s="5" t="s">
        <v>7754</v>
      </c>
      <c r="B2750" s="6" t="s">
        <v>7755</v>
      </c>
      <c r="C2750" s="3" t="str">
        <f ca="1">IFERROR(__xludf.DUMMYFUNCTION("GOOGLETRANSLATE(B2750,""auto"",""en"")"),"The present invention disclosed a type of football type recognition method, which includes: judging whether the football goal video fragment is a positioning ball video fragment; in response to determining the football video clips The positioning of the p"&amp;"ositioning ball three category identifies the positioning ball type of the positioning ball video fragment; of which, the three -category model of the positioning ball is used as an input of each video fragment in the positioning of the positioning ball v"&amp;"ideo fragment, and the corresponding video fragment The marking content is used as output to train the classification model based on convolutional neural networks; the labeling content is used to indicate the type of positioning ball type of the correspon"&amp;"ding video fragment. The technical scheme provided by the present invention can improve the degree and accuracy of the type recognition of football goals. At the same time, the invention also provides football type recognition devices, systems and storage"&amp;" media.")</f>
        <v>The present invention disclosed a type of football type recognition method, which includes: judging whether the football goal video fragment is a positioning ball video fragment; in response to determining the football video clips The positioning of the positioning ball three category identifies the positioning ball type of the positioning ball video fragment; of which, the three -category model of the positioning ball is used as an input of each video fragment in the positioning of the positioning ball video fragment, and the corresponding video fragment The marking content is used as output to train the classification model based on convolutional neural networks; the labeling content is used to indicate the type of positioning ball type of the corresponding video fragment. The technical scheme provided by the present invention can improve the degree and accuracy of the type recognition of football goals. At the same time, the invention also provides football type recognition devices, systems and storage media.</v>
      </c>
      <c r="D2750" s="6" t="s">
        <v>7756</v>
      </c>
      <c r="E2750" s="4" t="str">
        <f ca="1">IFERROR(__xludf.DUMMYFUNCTION("GOOGLETRANSLATE(D2750,""auto"",""en"")"),"Football type recognition method, device, system and storage medium")</f>
        <v>Football type recognition method, device, system and storage medium</v>
      </c>
    </row>
    <row r="2751" spans="1:5" ht="15" x14ac:dyDescent="0.25">
      <c r="A2751" s="5" t="s">
        <v>7757</v>
      </c>
      <c r="B2751" s="6" t="s">
        <v>7758</v>
      </c>
      <c r="C2751" s="3" t="str">
        <f ca="1">IFERROR(__xludf.DUMMYFUNCTION("GOOGLETRANSLATE(B2751,""auto"",""en"")"),"The present invention disclosed a type of football goal type recognition method, including: determine whether the football goal video fragment is a positioning ball video fragment; in response to determining the football video clip as the positioning ball"&amp;" video fragment, the pre -built positioning ball three categories are used for three categories The model recognizes the positioning ball type of the positioning ball video fragment; in response to the determination of the video clip of the football goal,"&amp;" the goal video fragment is not a positioning ball, and the goal type of football goal video clips is determined as ordinary goals; Each video fragment of the positioning ball video fragment training set is used as an input, the label content of the corre"&amp;"sponding video fragment is used as the output, and the classification model based on convolutional neural networks is generated. Positioning ball type. The technical scheme provided by the present invention can improve the degree and accuracy of the type "&amp;"recognition of football goals.")</f>
        <v>The present invention disclosed a type of football goal type recognition method, including: determine whether the football goal video fragment is a positioning ball video fragment; in response to determining the football video clip as the positioning ball video fragment, the pre -built positioning ball three categories are used for three categories The model recognizes the positioning ball type of the positioning ball video fragment; in response to the determination of the video clip of the football goal, the goal video fragment is not a positioning ball, and the goal type of football goal video clips is determined as ordinary goals; Each video fragment of the positioning ball video fragment training set is used as an input, the label content of the corresponding video fragment is used as the output, and the classification model based on convolutional neural networks is generated. Positioning ball type. The technical scheme provided by the present invention can improve the degree and accuracy of the type recognition of football goals.</v>
      </c>
      <c r="D2751" s="6" t="s">
        <v>7756</v>
      </c>
      <c r="E2751" s="4" t="str">
        <f ca="1">IFERROR(__xludf.DUMMYFUNCTION("GOOGLETRANSLATE(D2751,""auto"",""en"")"),"Football type recognition method, device, system and storage medium")</f>
        <v>Football type recognition method, device, system and storage medium</v>
      </c>
    </row>
    <row r="2752" spans="1:5" ht="15" x14ac:dyDescent="0.25">
      <c r="A2752" s="5" t="s">
        <v>7759</v>
      </c>
      <c r="B2752" s="6" t="s">
        <v>7760</v>
      </c>
      <c r="C2752" s="3" t="str">
        <f ca="1">IFERROR(__xludf.DUMMYFUNCTION("GOOGLETRANSLATE(B2752,""auto"",""en"")"),"1. The name of the product of the product: for the graphic user interface for the fixed -section competition.
 2. Design products in appearance: used to run program, display information and communication.
 3. Design of design products in this appearan"&amp;"ce: lies in the graphic user interface in the screen.
 4. Pictures or photos that can most indicate design points: main view.
 5. Hardware products are used to usual design, omitted view views; hardware products are commonly designed, omitted left vie"&amp;"ws; hardware products are commonly designed, omitted right views; hardware products are commonly designed, omittinds are omitted; hardware products are commonly designed, omitted viewing views, omittime view views Essence
 6. The purpose of the graphica"&amp;"l user interface: the music software client interface, the interface is used for human -computer interaction.
 7. Graphic user interface in the area in the product: the interface in the screen.
 8. Human -machine interaction method of graphical user i"&amp;"nterface: In the main view, the middle part of the interface is the ""matching K song"" control, and the user can click to enter the K song interface.
 In the interface, the ranking of the corresponding ranks corresponding to different lists and my corr"&amp;"esponding ranking ranking information. Users can click different lists to switch to view rankings. You can also choose to check the ranking of the nation's or cities and friends. You can also choose to invite invitations. Friends perform K songs.
 The o"&amp;"peration control is displayed at the bottom of the interface, and the user can click different controls to switch the display content.")</f>
        <v>1. The name of the product of the product: for the graphic user interface for the fixed -section competition.
 2. Design products in appearance: used to run program, display information and communication.
 3. Design of design products in this appearance: lies in the graphic user interface in the screen.
 4. Pictures or photos that can most indicate design points: main view.
 5. Hardware products are used to usual design, omitted view views; hardware products are commonly designed, omitted left views; hardware products are commonly designed, omitted right views; hardware products are commonly designed, omittinds are omitted; hardware products are commonly designed, omitted viewing views, omittime view views Essence
 6. The purpose of the graphical user interface: the music software client interface, the interface is used for human -computer interaction.
 7. Graphic user interface in the area in the product: the interface in the screen.
 8. Human -machine interaction method of graphical user interface: In the main view, the middle part of the interface is the "matching K song" control, and the user can click to enter the K song interface.
 In the interface, the ranking of the corresponding ranks corresponding to different lists and my corresponding ranking ranking information. Users can click different lists to switch to view rankings. You can also choose to check the ranking of the nation's or cities and friends. You can also choose to invite invitations. Friends perform K songs.
 The operation control is displayed at the bottom of the interface, and the user can click different controls to switch the display content.</v>
      </c>
      <c r="D2752" s="6" t="s">
        <v>7761</v>
      </c>
      <c r="E2752" s="4" t="str">
        <f ca="1">IFERROR(__xludf.DUMMYFUNCTION("GOOGLETRANSLATE(D2752,""auto"",""en"")"),"The graphical user interface for the mobile phone for mobile phones")</f>
        <v>The graphical user interface for the mobile phone for mobile phones</v>
      </c>
    </row>
    <row r="2753" spans="1:5" ht="15" x14ac:dyDescent="0.25">
      <c r="A2753" s="5" t="s">
        <v>7762</v>
      </c>
      <c r="B2753" s="6" t="s">
        <v>7763</v>
      </c>
      <c r="C2753" s="3" t="str">
        <f ca="1">IFERROR(__xludf.DUMMYFUNCTION("GOOGLETRANSLATE(B2753,""auto"",""en"")"),"The present invention disclosed a question and answer method and system based on the knowledge graph, which includes the corresponding entity, predicate and value from each corpus in the QA corpus; introduce the graphic database in the form of ternal grou"&amp;"ps to form knowledge in the field of table tennis fields to form knowledge in the field of table tennis fields Grade; select the problem in the QA corpus as the problem template to form a problem template knowledge base; according to the physical and valu"&amp;"es ​​corresponding to each problem template in the question template knowledge base, find the direct predicate of the connection entity and value, and mappore the problem template mapping At this point, the predicate construction of the predicate template"&amp;" knowledge base; the problem of extracting the entity raised by the user, finding the predicate words corresponding to the entity in the predicate template knowledge base, and obtaining the corresponding entity ‑ predicate pair; Query, get the correspondi"&amp;"ng value as the answer. The problem of the problem templates of the present invention is more accurate and convenient than the previous keywords, rules, and synonyms.")</f>
        <v>The present invention disclosed a question and answer method and system based on the knowledge graph, which includes the corresponding entity, predicate and value from each corpus in the QA corpus; introduce the graphic database in the form of ternal groups to form knowledge in the field of table tennis fields to form knowledge in the field of table tennis fields Grade; select the problem in the QA corpus as the problem template to form a problem template knowledge base; according to the physical and values ​​corresponding to each problem template in the question template knowledge base, find the direct predicate of the connection entity and value, and mappore the problem template mapping At this point, the predicate construction of the predicate template knowledge base; the problem of extracting the entity raised by the user, finding the predicate words corresponding to the entity in the predicate template knowledge base, and obtaining the corresponding entity ‑ predicate pair; Query, get the corresponding value as the answer. The problem of the problem templates of the present invention is more accurate and convenient than the previous keywords, rules, and synonyms.</v>
      </c>
      <c r="D2753" s="6" t="s">
        <v>7764</v>
      </c>
      <c r="E2753" s="4" t="str">
        <f ca="1">IFERROR(__xludf.DUMMYFUNCTION("GOOGLETRANSLATE(D2753,""auto"",""en"")"),"A question and answer method and system based on knowledge map")</f>
        <v>A question and answer method and system based on knowledge map</v>
      </c>
    </row>
    <row r="2754" spans="1:5" ht="15" x14ac:dyDescent="0.25">
      <c r="A2754" s="5" t="s">
        <v>7765</v>
      </c>
      <c r="B2754" s="6" t="s">
        <v>7766</v>
      </c>
      <c r="C2754" s="3" t="str">
        <f ca="1">IFERROR(__xludf.DUMMYFUNCTION("GOOGLETRANSLATE(B2754,""auto"",""en"")"),"The present invention involves a football simulation application developed for coaches and its assistants, which aims to use artificial intelligence to win the game with the least mistakes in football games.")</f>
        <v>The present invention involves a football simulation application developed for coaches and its assistants, which aims to use artificial intelligence to win the game with the least mistakes in football games.</v>
      </c>
      <c r="D2754" s="6" t="s">
        <v>7767</v>
      </c>
      <c r="E2754" s="4" t="str">
        <f ca="1">IFERROR(__xludf.DUMMYFUNCTION("GOOGLETRANSLATE(D2754,""auto"",""en"")"),"Football simulation application")</f>
        <v>Football simulation application</v>
      </c>
    </row>
    <row r="2755" spans="1:5" ht="15" x14ac:dyDescent="0.25">
      <c r="A2755" s="5" t="s">
        <v>7768</v>
      </c>
      <c r="B2755" s="6" t="s">
        <v>7769</v>
      </c>
      <c r="C2755" s="3" t="str">
        <f ca="1">IFERROR(__xludf.DUMMYFUNCTION("GOOGLETRANSLATE(B2755,""auto"",""en"")"),"The real -time trainer management system is based on the Internet of Things. The system consists of two stages. In the first stage, the distribution and calculation of the number of passengers from different subway stations from source to destinations wil"&amp;"l be provided. The machine installed at the hub station must ask the smart card holder to ask their destination subway stations in order to calculate the real -time count of passengers. In the second stage, the prescribed capacity of the urban subway is a"&amp;"bout 300 people per passenger car. Therefore, the 4th cars are 1200,6 cars of 1800 cars, and 800 cars of 8 cars. In order to effectively handle passengers. The main benefit of the proposed system is: it is responsible for handling the lack of resources an"&amp;"d excessive use. Bay. Can avoid the additional load of the engine and the power consumption caused by light and AC power.")</f>
        <v>The real -time trainer management system is based on the Internet of Things. The system consists of two stages. In the first stage, the distribution and calculation of the number of passengers from different subway stations from source to destinations will be provided. The machine installed at the hub station must ask the smart card holder to ask their destination subway stations in order to calculate the real -time count of passengers. In the second stage, the prescribed capacity of the urban subway is about 300 people per passenger car. Therefore, the 4th cars are 1200,6 cars of 1800 cars, and 800 cars of 8 cars. In order to effectively handle passengers. The main benefit of the proposed system is: it is responsible for handling the lack of resources and excessive use. Bay. Can avoid the additional load of the engine and the power consumption caused by light and AC power.</v>
      </c>
      <c r="D2755" s="6" t="s">
        <v>7770</v>
      </c>
      <c r="E2755" s="4" t="str">
        <f ca="1">IFERROR(__xludf.DUMMYFUNCTION("GOOGLETRANSLATE(D2755,""auto"",""en"")"),"Real -time railway bus management system based on the Internet of Things")</f>
        <v>Real -time railway bus management system based on the Internet of Things</v>
      </c>
    </row>
    <row r="2756" spans="1:5" ht="15" x14ac:dyDescent="0.25">
      <c r="A2756" s="5" t="s">
        <v>7771</v>
      </c>
      <c r="B2756" s="6" t="s">
        <v>7772</v>
      </c>
      <c r="C2756" s="3" t="str">
        <f ca="1">IFERROR(__xludf.DUMMYFUNCTION("GOOGLETRANSLATE(B2756,""auto"",""en"")"),"The present invention disclosed a wavelet transformation data processing system and method based on cardiac functional dynamic monitoring and analysis. The device includes the data pre -processing device and wavelet transformation device. Essence The inve"&amp;"ntion wavelet transformation data processing technology is applied to a portable heart intelligent patch system. It is worn on the human chest wall in the form of wearable devices to monitor the in vitro Learning and artificial intelligence technical mode"&amp;"l recognition and intelligent diagnosis, early detection of heart physical structure and abnormal rhythm, such as valve lesions, motor abnormalities in the heart wall, changes in cardiac ejection scores, and arrhythmia. Combined with the early warning rep"&amp;"ort system, the early warning monitoring of heart disease is achieved, recovery monitoring after surgery, the people at home, and the daily monitoring of the sports crowd is of great significance.")</f>
        <v>The present invention disclosed a wavelet transformation data processing system and method based on cardiac functional dynamic monitoring and analysis. The device includes the data pre -processing device and wavelet transformation device. Essence The invention wavelet transformation data processing technology is applied to a portable heart intelligent patch system. It is worn on the human chest wall in the form of wearable devices to monitor the in vitro Learning and artificial intelligence technical model recognition and intelligent diagnosis, early detection of heart physical structure and abnormal rhythm, such as valve lesions, motor abnormalities in the heart wall, changes in cardiac ejection scores, and arrhythmia. Combined with the early warning report system, the early warning monitoring of heart disease is achieved, recovery monitoring after surgery, the people at home, and the daily monitoring of the sports crowd is of great significance.</v>
      </c>
      <c r="D2756" s="6" t="s">
        <v>7773</v>
      </c>
      <c r="E2756" s="4" t="str">
        <f ca="1">IFERROR(__xludf.DUMMYFUNCTION("GOOGLETRANSLATE(D2756,""auto"",""en"")"),"A wave transformation data processing system and method based on dynamic monitoring of heart function dynamic monitoring")</f>
        <v>A wave transformation data processing system and method based on dynamic monitoring of heart function dynamic monitoring</v>
      </c>
    </row>
    <row r="2757" spans="1:5" ht="15" x14ac:dyDescent="0.25">
      <c r="A2757" s="5" t="s">
        <v>7774</v>
      </c>
      <c r="B2757" s="6" t="s">
        <v>7775</v>
      </c>
      <c r="C2757" s="3" t="str">
        <f ca="1">IFERROR(__xludf.DUMMYFUNCTION("GOOGLETRANSLATE(B2757,""auto"",""en"")"),"The invention disclosed a convolutional neural network information processing system and method based on dynamic monitoring of cardiac function. The information processing system includes a 14 -layer high -efficiency convolutional neural network. The conv"&amp;"olutional neural network information processing technology is applied to a portable cardiac intelligence patch system. It is worn on the human chest wall as a wearable device, and the in vitro monitoring of the heart mechanical vibration is performed. Pro"&amp;"cessing, machine learning and artificial intelligence technology model recognition and intelligent diagnosis, early detection of heart physical structure and abnormal rhythm, such as valve lesions, abnormal movement of the heart wall, changes in cardiac e"&amp;"jection scores, and arrhythmia. Combining the early warning report system to achieve the purpose of early warning and timely medical care for heart disease. Early early warning monitoring of severe arrhythmia, angina pectoris, and acute myocardial infarct"&amp;"ion, after recovery monitoring after surgery, home care people, and daily monitoring of sports groups are of great significance.")</f>
        <v>The invention disclosed a convolutional neural network information processing system and method based on dynamic monitoring of cardiac function. The information processing system includes a 14 -layer high -efficiency convolutional neural network. The convolutional neural network information processing technology is applied to a portable cardiac intelligence patch system. It is worn on the human chest wall as a wearable device, and the in vitro monitoring of the heart mechanical vibration is performed. Processing, machine learning and artificial intelligence technology model recognition and intelligent diagnosis, early detection of heart physical structure and abnormal rhythm, such as valve lesions, abnormal movement of the heart wall, changes in cardiac ejection scores, and arrhythmia. Combining the early warning report system to achieve the purpose of early warning and timely medical care for heart disease. Early early warning monitoring of severe arrhythmia, angina pectoris, and acute myocardial infarction, after recovery monitoring after surgery, home care people, and daily monitoring of sports groups are of great significance.</v>
      </c>
      <c r="D2757" s="6" t="s">
        <v>7776</v>
      </c>
      <c r="E2757" s="4" t="str">
        <f ca="1">IFERROR(__xludf.DUMMYFUNCTION("GOOGLETRANSLATE(D2757,""auto"",""en"")"),"A convolutional neural network information processing system and training method based on cardiac functional monitoring")</f>
        <v>A convolutional neural network information processing system and training method based on cardiac functional monitoring</v>
      </c>
    </row>
    <row r="2758" spans="1:5" ht="15" x14ac:dyDescent="0.25">
      <c r="A2758" s="5" t="s">
        <v>7777</v>
      </c>
      <c r="B2758" s="6" t="s">
        <v>7778</v>
      </c>
      <c r="C2758" s="3" t="str">
        <f ca="1">IFERROR(__xludf.DUMMYFUNCTION("GOOGLETRANSLATE(B2758,""auto"",""en"")"),"The invention disclosed a data encryption system and method based on the dynamic monitoring and analysis of cardiac functional dynamic monitoring, including feature ID devices, logical circuit encryption devices, and identification decryption devices. Aft"&amp;"er the ID, find the key corresponding to the ID through the database for decryption. The present invention uses a portable intelligent wearable device for in vitro monitoring of heart mechanical vibration. In real time, non -invasion of the heart of the h"&amp;"eart obtains the vibration information of the heart, combined with digital processing, machine learning and artificial intelligence technology model recognition and intelligent diagnosis. Abnormalities, such as valve lesions, abnormal movement of the hear"&amp;"t wall, changes in heart ejaculation scores, and arrhythmia. Combining the early warning report system to achieve the purpose of early warning and timely medical care for heart disease. Early early warning monitoring of severe arrhythmia, angina pectoris,"&amp;" and acute myocardial infarction, after recovery monitoring after surgery, home care people, and daily monitoring of sports groups are of great significance.")</f>
        <v>The invention disclosed a data encryption system and method based on the dynamic monitoring and analysis of cardiac functional dynamic monitoring, including feature ID devices, logical circuit encryption devices, and identification decryption devices. After the ID, find the key corresponding to the ID through the database for decryption. The present invention uses a portable intelligent wearable device for in vitro monitoring of heart mechanical vibration. In real time, non -invasion of the heart of the heart obtains the vibration information of the heart, combined with digital processing, machine learning and artificial intelligence technology model recognition and intelligent diagnosis. Abnormalities, such as valve lesions, abnormal movement of the heart wall, changes in heart ejaculation scores, and arrhythmia. Combining the early warning report system to achieve the purpose of early warning and timely medical care for heart disease. Early early warning monitoring of severe arrhythmia, angina pectoris, and acute myocardial infarction, after recovery monitoring after surgery, home care people, and daily monitoring of sports groups are of great significance.</v>
      </c>
      <c r="D2758" s="6" t="s">
        <v>7779</v>
      </c>
      <c r="E2758" s="4" t="str">
        <f ca="1">IFERROR(__xludf.DUMMYFUNCTION("GOOGLETRANSLATE(D2758,""auto"",""en"")"),"A data encryption -decryption system and method based on dynamic monitoring and analysis of cardiac functional dynamic monitoring and analysis")</f>
        <v>A data encryption -decryption system and method based on dynamic monitoring and analysis of cardiac functional dynamic monitoring and analysis</v>
      </c>
    </row>
    <row r="2759" spans="1:5" ht="15" x14ac:dyDescent="0.25">
      <c r="A2759" s="5" t="s">
        <v>7780</v>
      </c>
      <c r="B2759" s="6" t="s">
        <v>7781</v>
      </c>
      <c r="C2759" s="3" t="str">
        <f ca="1">IFERROR(__xludf.DUMMYFUNCTION("GOOGLETRANSLATE(B2759,""auto"",""en"")"),"The invention discloses a data compression system and method based on cardiac functional dynamic monitoring and analysis, which includes data compression systems, including data collection devices, data compression devices, and data processing devices of "&amp;"compression domain.本发明数据压缩技术应用于便携式心脏智能贴片系统，以可穿戴设备的形式佩戴于人体胸壁，对心脏机械振动进行体外监测，连续地、实时非侵入地获取心脏的振动信息，结合数字处理、 Machine learning and artificial intelligence technical model recognition and intelligent diagnosis, early detection of heart physical structure and beati"&amp;"ng rhythm abnormalities, such as valve lesions, motor abnormalities in the heart wall, changes in cardiac ejection scores, and arrhythmia. Combining the early warning report system to achieve the purpose of early warning and timely medical care for heart "&amp;"disease. Early early warning monitoring of severe arrhythmia, angina pectoris, and acute myocardial infarction, after recovery monitoring after surgery, home care people, and daily monitoring of sports groups are of great significance.")</f>
        <v>The invention discloses a data compression system and method based on cardiac functional dynamic monitoring and analysis, which includes data compression systems, including data collection devices, data compression devices, and data processing devices of compression domain.本发明数据压缩技术应用于便携式心脏智能贴片系统，以可穿戴设备的形式佩戴于人体胸壁，对心脏机械振动进行体外监测，连续地、实时非侵入地获取心脏的振动信息，结合数字处理、 Machine learning and artificial intelligence technical model recognition and intelligent diagnosis, early detection of heart physical structure and beating rhythm abnormalities, such as valve lesions, motor abnormalities in the heart wall, changes in cardiac ejection scores, and arrhythmia. Combining the early warning report system to achieve the purpose of early warning and timely medical care for heart disease. Early early warning monitoring of severe arrhythmia, angina pectoris, and acute myocardial infarction, after recovery monitoring after surgery, home care people, and daily monitoring of sports groups are of great significance.</v>
      </c>
      <c r="D2759" s="6" t="s">
        <v>7782</v>
      </c>
      <c r="E2759" s="4" t="str">
        <f ca="1">IFERROR(__xludf.DUMMYFUNCTION("GOOGLETRANSLATE(D2759,""auto"",""en"")"),"A data compression system and method based on heart function dynamic monitoring and analysis")</f>
        <v>A data compression system and method based on heart function dynamic monitoring and analysis</v>
      </c>
    </row>
    <row r="2760" spans="1:5" ht="15" x14ac:dyDescent="0.25">
      <c r="A2760" s="5" t="s">
        <v>7783</v>
      </c>
      <c r="B2760" s="6" t="s">
        <v>7784</v>
      </c>
      <c r="C2760" s="3" t="str">
        <f ca="1">IFERROR(__xludf.DUMMYFUNCTION("GOOGLETRANSLATE(B2760,""auto"",""en"")"),"This application discloses a method, device and equipment for intelligent guidance of fitness, including: obtaining to guide fitness videos; dealing with guidance fitness videos to obtain frame images of continuous moment of fitness videos; identify the t"&amp;"arget fitness of frame images fitness Area; Extracting the characteristics of skeleton node characteristics of the target fitness area to obtain the first posture characteristics of the skeleton sequence; compare the first posture of the first posture of "&amp;"the skeleton of the standard fitness video, and compare the comparison results. ; Based on the results of the comparison result, the fitness guidance to the fitness video to be guided. Realize the efficient and intelligentization of fitness guidance.")</f>
        <v>This application discloses a method, device and equipment for intelligent guidance of fitness, including: obtaining to guide fitness videos; dealing with guidance fitness videos to obtain frame images of continuous moment of fitness videos; identify the target fitness of frame images fitness Area; Extracting the characteristics of skeleton node characteristics of the target fitness area to obtain the first posture characteristics of the skeleton sequence; compare the first posture of the first posture of the skeleton of the standard fitness video, and compare the comparison results. ; Based on the results of the comparison result, the fitness guidance to the fitness video to be guided. Realize the efficient and intelligentization of fitness guidance.</v>
      </c>
      <c r="D2760" s="6" t="s">
        <v>7785</v>
      </c>
      <c r="E2760" s="4" t="str">
        <f ca="1">IFERROR(__xludf.DUMMYFUNCTION("GOOGLETRANSLATE(D2760,""auto"",""en"")"),"A method, device and equipment for intelligent guidance of fitness")</f>
        <v>A method, device and equipment for intelligent guidance of fitness</v>
      </c>
    </row>
    <row r="2761" spans="1:5" ht="15" x14ac:dyDescent="0.25">
      <c r="A2761" s="5" t="s">
        <v>7786</v>
      </c>
      <c r="B2761" s="6" t="s">
        <v>7787</v>
      </c>
      <c r="C2761" s="3" t="str">
        <f ca="1">IFERROR(__xludf.DUMMYFUNCTION("GOOGLETRANSLATE(B2761,""auto"",""en"")"),"The present invention disclosed a health management service system and method based on cardiac functional dynamic monitoring and analysis. The system includes a heart health service cloud platform. Management subsystem connected to the institutional infor"&amp;"mation platform. The present invention uses a portable intelligent wearable device for in vitro monitoring of heart mechanical vibration. In real time, non -invasion of the heart of the heart obtains the vibration information of the heart, combined with d"&amp;"igital processing, machine learning and artificial intelligence technology model recognition and intelligent diagnosis. Abnormalities, such as valve lesions, abnormal movement of the heart wall, changes in heart ejaculation scores, and arrhythmia. Combini"&amp;"ng the early warning report system to achieve the purpose of early warning and timely medical care for heart disease. Early early warning monitoring of severe arrhythmia, angina pectoris, and acute myocardial infarction, after recovery monitoring after su"&amp;"rgery, home care people, and daily monitoring of sports groups are of great significance.")</f>
        <v>The present invention disclosed a health management service system and method based on cardiac functional dynamic monitoring and analysis. The system includes a heart health service cloud platform. Management subsystem connected to the institutional information platform. The present invention uses a portable intelligent wearable device for in vitro monitoring of heart mechanical vibration. In real time, non -invasion of the heart of the heart obtains the vibration information of the heart, combined with digital processing, machine learning and artificial intelligence technology model recognition and intelligent diagnosis. Abnormalities, such as valve lesions, abnormal movement of the heart wall, changes in heart ejaculation scores, and arrhythmia. Combining the early warning report system to achieve the purpose of early warning and timely medical care for heart disease. Early early warning monitoring of severe arrhythmia, angina pectoris, and acute myocardial infarction, after recovery monitoring after surgery, home care people, and daily monitoring of sports groups are of great significance.</v>
      </c>
      <c r="D2761" s="6" t="s">
        <v>7788</v>
      </c>
      <c r="E2761" s="4" t="str">
        <f ca="1">IFERROR(__xludf.DUMMYFUNCTION("GOOGLETRANSLATE(D2761,""auto"",""en"")"),"A management service system and method based on heart function dynamic monitoring and analysis")</f>
        <v>A management service system and method based on heart function dynamic monitoring and analysis</v>
      </c>
    </row>
    <row r="2762" spans="1:5" ht="15" x14ac:dyDescent="0.25">
      <c r="A2762" s="5" t="s">
        <v>7789</v>
      </c>
      <c r="B2762" s="6" t="s">
        <v>7790</v>
      </c>
      <c r="C2762" s="3" t="str">
        <f ca="1">IFERROR(__xludf.DUMMYFUNCTION("GOOGLETRANSLATE(B2762,""auto"",""en"")"),"The present invention disclosed an artificial intelligence algorithm system and method based on cardiac functional dynamic monitoring and analysis. Device. Based on the artificial intelligence algorithm model system, the present invention uses it for a po"&amp;"rtable heart intelligent patch system. It is worn on the human chest wall in the form of wearable devices, and in vitro monitoring of cardiac mechanical vibration. Information, combined with digital processing, machine learning and artificial intelligence"&amp;" technical model recognition and intelligent diagnosis. Early discovery of heart physical structure and abnormal rhythm, such as valve lesions, motor abnormalities in the heart wall, changes in cardiac ejection scores, and arrhythmia. The purpose of achie"&amp;"ving early warning and timely medical treatment of heart disease. Early early warning monitoring of heart function, rehabilitation monitoring after surgery, daily guardianship of home care and sports people have practical significance.")</f>
        <v>The present invention disclosed an artificial intelligence algorithm system and method based on cardiac functional dynamic monitoring and analysis. Device. Based on the artificial intelligence algorithm model system, the present invention uses it for a portable heart intelligent patch system. It is worn on the human chest wall in the form of wearable devices, and in vitro monitoring of cardiac mechanical vibration. Information, combined with digital processing, machine learning and artificial intelligence technical model recognition and intelligent diagnosis. Early discovery of heart physical structure and abnormal rhythm, such as valve lesions, motor abnormalities in the heart wall, changes in cardiac ejection scores, and arrhythmia. The purpose of achieving early warning and timely medical treatment of heart disease. Early early warning monitoring of heart function, rehabilitation monitoring after surgery, daily guardianship of home care and sports people have practical significance.</v>
      </c>
      <c r="D2762" s="6" t="s">
        <v>7791</v>
      </c>
      <c r="E2762" s="4" t="str">
        <f ca="1">IFERROR(__xludf.DUMMYFUNCTION("GOOGLETRANSLATE(D2762,""auto"",""en"")"),"An artificial intelligence algorithm model system and method based on heart function dynamic monitoring")</f>
        <v>An artificial intelligence algorithm model system and method based on heart function dynamic monitoring</v>
      </c>
    </row>
    <row r="2763" spans="1:5" ht="15" x14ac:dyDescent="0.25">
      <c r="A2763" s="5" t="s">
        <v>7792</v>
      </c>
      <c r="B2763" s="6" t="s">
        <v>7793</v>
      </c>
      <c r="C2763" s="3" t="str">
        <f ca="1">IFERROR(__xludf.DUMMYFUNCTION("GOOGLETRANSLATE(B2763,""auto"",""en"")"),"The present invention disclosed a identity recognition system and method based on cardiac functional dynamic monitoring and analysis. The identity identification includes database establishment, feature spectrum extraction, feature query, comparison and i"&amp;"dentity judgment devices and methods. The identity identification technology of the present invention is used in a portable cardiac intelligent patch system. It is worn in the middle of the human chest in the form of wearable devices. In vitro monitoring "&amp;"of cardiac mechanical vibration, real -time non -invasion of the heart vibration information, combined with digital treatment, machinery machines Learning and artificial intelligence technical model recognition and intelligent diagnosis, early detection o"&amp;"f heart physical structure and abnormal rhythm, such as valve lesions, motor abnormalities in the heart wall, changes in cardiac ejection scores, and arrhythmia. Combining the early warning report system to achieve the purpose of early warning and timely "&amp;"medical care for heart disease. Early early warning monitoring of severe arrhythmia, angina pectoris, and acute myocardial infarction, recovery monitoring after surgery, monitoring of people at home, and sports people.")</f>
        <v>The present invention disclosed a identity recognition system and method based on cardiac functional dynamic monitoring and analysis. The identity identification includes database establishment, feature spectrum extraction, feature query, comparison and identity judgment devices and methods. The identity identification technology of the present invention is used in a portable cardiac intelligent patch system. It is worn in the middle of the human chest in the form of wearable devices. In vitro monitoring of cardiac mechanical vibration, real -time non -invasion of the heart vibration information, combined with digital treatment, machinery machines Learning and artificial intelligence technical model recognition and intelligent diagnosis, early detection of heart physical structure and abnormal rhythm, such as valve lesions, motor abnormalities in the heart wall, changes in cardiac ejection scores, and arrhythmia. Combining the early warning report system to achieve the purpose of early warning and timely medical care for heart disease. Early early warning monitoring of severe arrhythmia, angina pectoris, and acute myocardial infarction, recovery monitoring after surgery, monitoring of people at home, and sports people.</v>
      </c>
      <c r="D2763" s="6" t="s">
        <v>7794</v>
      </c>
      <c r="E2763" s="4" t="str">
        <f ca="1">IFERROR(__xludf.DUMMYFUNCTION("GOOGLETRANSLATE(D2763,""auto"",""en"")"),"An identification system and method based on cardiac functional dynamic monitoring and analysis")</f>
        <v>An identification system and method based on cardiac functional dynamic monitoring and analysis</v>
      </c>
    </row>
    <row r="2764" spans="1:5" ht="15" x14ac:dyDescent="0.25">
      <c r="A2764" s="5" t="s">
        <v>7795</v>
      </c>
      <c r="B2764" s="6" t="s">
        <v>7796</v>
      </c>
      <c r="C2764" s="3" t="str">
        <f ca="1">IFERROR(__xludf.DUMMYFUNCTION("GOOGLETRANSLATE(B2764,""auto"",""en"")"),"This utility model involves the technical field of Hulai Circle, and a manual woven Hulai ring is publicly disclosed, including the parent circle and Bluetooth receiving device. Fixed installation is an accelerated sensor. The Internet of Things manually "&amp;"weaves the Hulai ring. By installing an accelerated sensor in the parent circle to measure the amount of movement of the athletes, the acceleration sensor, Bluetooth device, Bluetooth receiving device and microprocessor can be used. The data detected by t"&amp;"he acceleration sensor is processed by the microprocessor, and then the processed data is transmitted to the Bluetooth device. The Bluetooth device transmits the data to the Bluetooth receiving device for a record. Users can better monitor their fitness w"&amp;"eight loss effects, achieve the ideal size, and greatly improve the practicality and intelligence of the Halu Circle.")</f>
        <v>This utility model involves the technical field of Hulai Circle, and a manual woven Hulai ring is publicly disclosed, including the parent circle and Bluetooth receiving device. Fixed installation is an accelerated sensor. The Internet of Things manually weaves the Hulai ring. By installing an accelerated sensor in the parent circle to measure the amount of movement of the athletes, the acceleration sensor, Bluetooth device, Bluetooth receiving device and microprocessor can be used. The data detected by the acceleration sensor is processed by the microprocessor, and then the processed data is transmitted to the Bluetooth device. The Bluetooth device transmits the data to the Bluetooth receiving device for a record. Users can better monitor their fitness weight loss effects, achieve the ideal size, and greatly improve the practicality and intelligence of the Halu Circle.</v>
      </c>
      <c r="D2764" s="6" t="s">
        <v>7797</v>
      </c>
      <c r="E2764" s="4" t="str">
        <f ca="1">IFERROR(__xludf.DUMMYFUNCTION("GOOGLETRANSLATE(D2764,""auto"",""en"")"),"A manual woven Ho La Ring of the Internet of Things")</f>
        <v>A manual woven Ho La Ring of the Internet of Things</v>
      </c>
    </row>
    <row r="2765" spans="1:5" ht="15" x14ac:dyDescent="0.25">
      <c r="A2765" s="5" t="s">
        <v>7798</v>
      </c>
      <c r="B2765" s="6" t="s">
        <v>7799</v>
      </c>
      <c r="C2765" s="3" t="str">
        <f ca="1">IFERROR(__xludf.DUMMYFUNCTION("GOOGLETRANSLATE(B2765,""auto"",""en"")"),"This utility model discloses a motion strength intelligent control device based on heart rate data, including motion strength controllers, power trainer interfaces, power bicycle interfaces, rowing meter interfaces, rowing machine interfaces, treadmill in"&amp;"terfaces, router, heart rate Tables, human -machine interaction terminals, user modules, power trainers, power bicycle modules, rowing meters, rowing machine modules, and sports shift modules. The exercise strength controller realizes the full coverage of"&amp;" the intelligent control of fitness training, including the mainstream equipment currently performing fitness training, to ensure that users can connect the exercise strength controller with the number of motion equipment through the data cable according "&amp;"to their own needs, and on the tablet on the tablet , Mobile phone, computer and other human -computer interaction terminals select the corresponding training equipment and suitable training schemes to conduct training. The human -machine interaction term"&amp;"inal sets an APP for users to choose different fitness solutions according to their own needs, and provide the setting of heart rate safety and threshold values. Determine function.")</f>
        <v>This utility model discloses a motion strength intelligent control device based on heart rate data, including motion strength controllers, power trainer interfaces, power bicycle interfaces, rowing meter interfaces, rowing machine interfaces, treadmill interfaces, router, heart rate Tables, human -machine interaction terminals, user modules, power trainers, power bicycle modules, rowing meters, rowing machine modules, and sports shift modules. The exercise strength controller realizes the full coverage of the intelligent control of fitness training, including the mainstream equipment currently performing fitness training, to ensure that users can connect the exercise strength controller with the number of motion equipment through the data cable according to their own needs, and on the tablet on the tablet , Mobile phone, computer and other human -computer interaction terminals select the corresponding training equipment and suitable training schemes to conduct training. The human -machine interaction terminal sets an APP for users to choose different fitness solutions according to their own needs, and provide the setting of heart rate safety and threshold values. Determine function.</v>
      </c>
      <c r="D2765" s="6" t="s">
        <v>7800</v>
      </c>
      <c r="E2765" s="4" t="str">
        <f ca="1">IFERROR(__xludf.DUMMYFUNCTION("GOOGLETRANSLATE(D2765,""auto"",""en"")"),"An intelligent regulatory equipment based on heart rate data -based data")</f>
        <v>An intelligent regulatory equipment based on heart rate data -based data</v>
      </c>
    </row>
    <row r="2766" spans="1:5" ht="15" x14ac:dyDescent="0.25">
      <c r="A2766" s="5" t="s">
        <v>7801</v>
      </c>
      <c r="B2766" s="6" t="s">
        <v>7802</v>
      </c>
      <c r="C2766" s="3" t="str">
        <f ca="1">IFERROR(__xludf.DUMMYFUNCTION("GOOGLETRANSLATE(B2766,""auto"",""en"")"),"The invention provides a classification device and method of sports products based on computer visual recognition. It involves the field of sports equipment technology and can intelligently summarizes sports balls to save artificial and time. Methods comb"&amp;"ined, the accuracy of classification is high; this device includes a capture device to place the balls to be classified from the ball frame on the transmission device; Used to collect and transmit the ball to the control calculation device; control the ca"&amp;"lculation device to analyze and calculate and classify the image, and control the classification device to classify ; The classification method uses the combination of size and texture to determine whether it is a basketball, and judge that it is football"&amp;" or volleyball according to the color scope of the color. The technical scheme provided by the present invention is suitable for the process of big ball classification.")</f>
        <v>The invention provides a classification device and method of sports products based on computer visual recognition. It involves the field of sports equipment technology and can intelligently summarizes sports balls to save artificial and time. Methods combined, the accuracy of classification is high; this device includes a capture device to place the balls to be classified from the ball frame on the transmission device; Used to collect and transmit the ball to the control calculation device; control the calculation device to analyze and calculate and classify the image, and control the classification device to classify ; The classification method uses the combination of size and texture to determine whether it is a basketball, and judge that it is football or volleyball according to the color scope of the color. The technical scheme provided by the present invention is suitable for the process of big ball classification.</v>
      </c>
      <c r="D2766" s="6" t="s">
        <v>7803</v>
      </c>
      <c r="E2766" s="4" t="str">
        <f ca="1">IFERROR(__xludf.DUMMYFUNCTION("GOOGLETRANSLATE(D2766,""auto"",""en"")"),"Sports classification devices and methods based on computer visual recognition")</f>
        <v>Sports classification devices and methods based on computer visual recognition</v>
      </c>
    </row>
    <row r="2767" spans="1:5" ht="15" x14ac:dyDescent="0.25">
      <c r="A2767" s="5" t="s">
        <v>7804</v>
      </c>
      <c r="B2767" s="6" t="s">
        <v>7805</v>
      </c>
      <c r="C2767" s="3" t="str">
        <f ca="1">IFERROR(__xludf.DUMMYFUNCTION("GOOGLETRANSLATE(B2767,""auto"",""en"")"),"The invention includes a confusion matrix for the consistency matrix between the interested exercise for evaluating the actual movement and the input image recognition. ; Determine the duration of the movement of interest to be recognized as an interestin"&amp;"g exercise; determine the size of the sliding window; the input image is divided into frames based on the sliding window; the number of movements that are interested in each frame; When the number exceeds the threshold, it is identified as an event.")</f>
        <v>The invention includes a confusion matrix for the consistency matrix between the interested exercise for evaluating the actual movement and the input image recognition. ; Determine the duration of the movement of interest to be recognized as an interesting exercise; determine the size of the sliding window; the input image is divided into frames based on the sliding window; the number of movements that are interested in each frame; When the number exceeds the threshold, it is identified as an event.</v>
      </c>
      <c r="D2767" s="6" t="s">
        <v>7806</v>
      </c>
      <c r="E2767" s="4" t="str">
        <f ca="1">IFERROR(__xludf.DUMMYFUNCTION("GOOGLETRANSLATE(D2767,""auto"",""en"")"),"Football event recognition method and device based on sports recognition probability")</f>
        <v>Football event recognition method and device based on sports recognition probability</v>
      </c>
    </row>
    <row r="2768" spans="1:5" ht="15" x14ac:dyDescent="0.25">
      <c r="A2768" s="5" t="s">
        <v>7807</v>
      </c>
      <c r="B2768" s="6" t="s">
        <v>7808</v>
      </c>
      <c r="C2768" s="3" t="str">
        <f ca="1">IFERROR(__xludf.DUMMYFUNCTION("GOOGLETRANSLATE(B2768,""auto"",""en"")"),"1. The name of the product of this product: computer with a graphical user interface with pole search function.
 2. Design product use: used for running procedures.
 3. Design of the design of the product here: lies in the interface content of the gra"&amp;"phic user interface in the screen.
 4. Pictures or photos that can most indicate design points: main view.
 5. Do not involve design points, omit the back view, left view, right view, down -view view, upper view.
 6. The purpose of graphical user in"&amp;"terface: The personal homepage interface of Public Security Application Software is used to display polar search and other information.
 7. The area of ​​the graphic user interface in the product: The upper left corner of the main picture is logo and na"&amp;"me, the upper right corner is the window operation and other user operation icons, the middle is navigation information, all below the logo are the content area, and the upper left corner of the content area is extremely extremely extremely extremely extr"&amp;"emely. The search entrance to the search is displayed in the middle of the software corresponding module in the middle of the left side, and it is commonly used by users at the bottom left; the upper right side is user information and the lower right is t"&amp;"he announcement area.
 8. Human -computer interaction method of graphic user interface: The main view is the initial state. Click on the graph search icon on the right side of the main view of the main view of the main view. The picture search panel app"&amp;"ears. The tab pages at the top left can switch the facial, personnel and vehicles. Introduce the corresponding picture to the query button, jump to the corresponding query results page, see the interface change state Figure 2, 3, 4, the query results page"&amp;" above the page of the query results page, Display the corresponding graph search query conditions, and the screening conditions and query results are displayed below; click the drop -down selection box on the left side of the polar search, you can switch"&amp;" to personnel and vehicles, enter keywords in the search box, click the polar search button, jump to the corresponding correspondingly On the query results page, see the interface change status Figure 5 and 6, the corresponding keyword search query condit"&amp;"ions are displayed above the query results, and the screening conditions and query results are displayed below; in Figure 6 of the interface changes The slightly diagram switch button, switch to the form of a narrowing diagram, see the interface change st"&amp;"ate Figure 7; click the screening conditions below and the tab pages in the upper left corner of the query result, you can switch to the vehicle file page, see the interface change state Figure 8.
 9. Change state description of the graphic user interfa"&amp;"ce: The main view of the view and its status change map design 1 ~ 8 During the actual use process, the interface content displayed can correspond to the reference diagram of each changing status diagram.")</f>
        <v>1. The name of the product of this product: computer with a graphical user interface with pole search function.
 2. Design product use: used for running procedures.
 3. Design of the design of the product here: lies in the interface content of the graphic user interface in the screen.
 4. Pictures or photos that can most indicate design points: main view.
 5. Do not involve design points, omit the back view, left view, right view, down -view view, upper view.
 6. The purpose of graphical user interface: The personal homepage interface of Public Security Application Software is used to display polar search and other information.
 7. The area of ​​the graphic user interface in the product: The upper left corner of the main picture is logo and name, the upper right corner is the window operation and other user operation icons, the middle is navigation information, all below the logo are the content area, and the upper left corner of the content area is extremely extremely extremely extremely extremely. The search entrance to the search is displayed in the middle of the software corresponding module in the middle of the left side, and it is commonly used by users at the bottom left; the upper right side is user information and the lower right is the announcement area.
 8. Human -computer interaction method of graphic user interface: The main view is the initial state. Click on the graph search icon on the right side of the main view of the main view of the main view. The picture search panel appears. The tab pages at the top left can switch the facial, personnel and vehicles. Introduce the corresponding picture to the query button, jump to the corresponding query results page, see the interface change state Figure 2, 3, 4, the query results page above the page of the query results page, Display the corresponding graph search query conditions, and the screening conditions and query results are displayed below; click the drop -down selection box on the left side of the polar search, you can switch to personnel and vehicles, enter keywords in the search box, click the polar search button, jump to the corresponding correspondingly On the query results page, see the interface change status Figure 5 and 6, the corresponding keyword search query conditions are displayed above the query results, and the screening conditions and query results are displayed below; in Figure 6 of the interface changes The slightly diagram switch button, switch to the form of a narrowing diagram, see the interface change state Figure 7; click the screening conditions below and the tab pages in the upper left corner of the query result, you can switch to the vehicle file page, see the interface change state Figure 8.
 9. Change state description of the graphic user interface: The main view of the view and its status change map design 1 ~ 8 During the actual use process, the interface content displayed can correspond to the reference diagram of each changing status diagram.</v>
      </c>
      <c r="D2768" s="6" t="s">
        <v>7809</v>
      </c>
      <c r="E2768" s="4" t="str">
        <f ca="1">IFERROR(__xludf.DUMMYFUNCTION("GOOGLETRANSLATE(D2768,""auto"",""en"")"),"Computer with a graphical user interface with pole search function")</f>
        <v>Computer with a graphical user interface with pole search function</v>
      </c>
    </row>
    <row r="2769" spans="1:5" ht="15" x14ac:dyDescent="0.25">
      <c r="A2769" s="5" t="s">
        <v>7810</v>
      </c>
      <c r="B2769" s="6" t="s">
        <v>7811</v>
      </c>
      <c r="C2769" s="3" t="str">
        <f ca="1">IFERROR(__xludf.DUMMYFUNCTION("GOOGLETRANSLATE(B2769,""auto"",""en"")"),"This application provides a deep strengthening method and system for learning rotation speed for deep strengthening of table tennis robots. The prediction method includes the one -ivers of the position sequence of the table tennis of the table tennis of t"&amp;"he time interval; input the normalized sequence into the deep LSTM network; Enter the status vector of the LSTM in the archery and estimate the deep neural network to get the transition speed; calculate the reward feedback of deep reinforcement learning; "&amp;"the table tennis position sequence, table tennis raise speed and arbitration speed and table tennis of table tennis. The reward feedback combines a hit memory and stores in the memory library; at least one memory is randomly selected from the memory libra"&amp;"ry, and the status vector of LSTM and table tennis are entered into the reward feedback estimation deep neural network. , And arbitrage estimation of deep neural networks and reward feedback estimation of deep neural networks for reverse propagation and p"&amp;"arameter update. This application can accurately return the ball when the rotating ball is dealt with.")</f>
        <v>This application provides a deep strengthening method and system for learning rotation speed for deep strengthening of table tennis robots. The prediction method includes the one -ivers of the position sequence of the table tennis of the table tennis of the time interval; input the normalized sequence into the deep LSTM network; Enter the status vector of the LSTM in the archery and estimate the deep neural network to get the transition speed; calculate the reward feedback of deep reinforcement learning; the table tennis position sequence, table tennis raise speed and arbitration speed and table tennis of table tennis. The reward feedback combines a hit memory and stores in the memory library; at least one memory is randomly selected from the memory library, and the status vector of LSTM and table tennis are entered into the reward feedback estimation deep neural network. , And arbitrage estimation of deep neural networks and reward feedback estimation of deep neural networks for reverse propagation and parameter update. This application can accurately return the ball when the rotating ball is dealt with.</v>
      </c>
      <c r="D2769" s="6" t="s">
        <v>7812</v>
      </c>
      <c r="E2769" s="4" t="str">
        <f ca="1">IFERROR(__xludf.DUMMYFUNCTION("GOOGLETRANSLATE(D2769,""auto"",""en"")"),"Table tennis robot in -depth reinforcement learning rotation speed prediction method and system")</f>
        <v>Table tennis robot in -depth reinforcement learning rotation speed prediction method and system</v>
      </c>
    </row>
    <row r="2770" spans="1:5" ht="15" x14ac:dyDescent="0.25">
      <c r="A2770" s="5" t="s">
        <v>7813</v>
      </c>
      <c r="B2770" s="6" t="s">
        <v>7814</v>
      </c>
      <c r="C2770" s="3" t="str">
        <f ca="1">IFERROR(__xludf.DUMMYFUNCTION("GOOGLETRANSLATE(B2770,""auto"",""en"")"),"Use machine logic (such as machine learning, artificial intelligence, cognitive computing) to determine whether an article (ie text, sometimes accompanied by pictures, videos and/or audio) is related to the real world events that occur in the real world, "&amp;"or it is related to The events that occur in the virtual world occur in the world incident (for example, the Fantasy Sports Alliance). The use of machine logic (such as machine learning, artificial intelligence, cognitive calculation) to determine whether"&amp;" the various parts of the article are related to the real world event or partly related to the virtual world event.")</f>
        <v>Use machine logic (such as machine learning, artificial intelligence, cognitive computing) to determine whether an article (ie text, sometimes accompanied by pictures, videos and/or audio) is related to the real world events that occur in the real world, or it is related to The events that occur in the virtual world occur in the world incident (for example, the Fantasy Sports Alliance). The use of machine logic (such as machine learning, artificial intelligence, cognitive calculation) to determine whether the various parts of the article are related to the real world event or partly related to the virtual world event.</v>
      </c>
      <c r="D2770" s="6" t="s">
        <v>7815</v>
      </c>
      <c r="E2770" s="4" t="str">
        <f ca="1">IFERROR(__xludf.DUMMYFUNCTION("GOOGLETRANSLATE(D2770,""auto"",""en"")"),"Unlock the virtual world and real world of a group of articles")</f>
        <v>Unlock the virtual world and real world of a group of articles</v>
      </c>
    </row>
    <row r="2771" spans="1:5" ht="15" x14ac:dyDescent="0.25">
      <c r="A2771" s="5" t="s">
        <v>7816</v>
      </c>
      <c r="B2771" s="6" t="s">
        <v>7817</v>
      </c>
      <c r="C2771" s="3" t="str">
        <f ca="1">IFERROR(__xludf.DUMMYFUNCTION("GOOGLETRANSLATE(B2771,""auto"",""en"")"),"An artificial intelligence and dividend calculator implemented by a computer. By selecting the color pool to bet on the predefined database, the statistical analysis of the selected color pool is displayed, and the bonus calculator can be used. The user c"&amp;"an enter any reasonable combination from it. , To promote online betting tracking. The pool obtains real -time dividend results.")</f>
        <v>An artificial intelligence and dividend calculator implemented by a computer. By selecting the color pool to bet on the predefined database, the statistical analysis of the selected color pool is displayed, and the bonus calculator can be used. The user can enter any reasonable combination from it. , To promote online betting tracking. The pool obtains real -time dividend results.</v>
      </c>
      <c r="D2771" s="6" t="s">
        <v>7818</v>
      </c>
      <c r="E2771" s="4" t="str">
        <f ca="1">IFERROR(__xludf.DUMMYFUNCTION("GOOGLETRANSLATE(D2771,""auto"",""en"")"),"Sports color pond betting dividend calculator")</f>
        <v>Sports color pond betting dividend calculator</v>
      </c>
    </row>
    <row r="2772" spans="1:5" ht="15" x14ac:dyDescent="0.25">
      <c r="A2772" s="5" t="s">
        <v>7819</v>
      </c>
      <c r="B2772" s="6" t="s">
        <v>7820</v>
      </c>
      <c r="C2772" s="3" t="str">
        <f ca="1">IFERROR(__xludf.DUMMYFUNCTION("GOOGLETRANSLATE(B2772,""auto"",""en"")"),"The present invention has disclosed a football shooting electronic floor, including football, human -machine interaction terminal, data cable, host, football goal frame, hook, football, external flexible material, LED light band, film switch and inductive"&amp;" element. The beneficial effect of the present invention is: to control the inner LED lights through the built -in control system to prompt and specify the shooting area, and to accurately determine whether the location of the football is in the specified"&amp;" shooting area, thereby detecting the shooting accuracy. You can quantify the shooting elements such as the shooting reaction time of the left and right feet, the success rate of the shooting, and the hit rate of different regions, and feedback the inform"&amp;"ation synchronously to the trainer to improve the training effect of the trainer.")</f>
        <v>The present invention has disclosed a football shooting electronic floor, including football, human -machine interaction terminal, data cable, host, football goal frame, hook, football, external flexible material, LED light band, film switch and inductive element. The beneficial effect of the present invention is: to control the inner LED lights through the built -in control system to prompt and specify the shooting area, and to accurately determine whether the location of the football is in the specified shooting area, thereby detecting the shooting accuracy. You can quantify the shooting elements such as the shooting reaction time of the left and right feet, the success rate of the shooting, and the hit rate of different regions, and feedback the information synchronously to the trainer to improve the training effect of the trainer.</v>
      </c>
      <c r="D2772" s="6" t="s">
        <v>7821</v>
      </c>
      <c r="E2772" s="4" t="str">
        <f ca="1">IFERROR(__xludf.DUMMYFUNCTION("GOOGLETRANSLATE(D2772,""auto"",""en"")"),"A football shooting electronic floor")</f>
        <v>A football shooting electronic floor</v>
      </c>
    </row>
    <row r="2773" spans="1:5" ht="15" x14ac:dyDescent="0.25">
      <c r="A2773" s="5" t="s">
        <v>7822</v>
      </c>
      <c r="B2773" s="6" t="s">
        <v>7823</v>
      </c>
      <c r="C2773" s="3" t="str">
        <f ca="1">IFERROR(__xludf.DUMMYFUNCTION("GOOGLETRANSLATE(B2773,""auto"",""en"")"),"1. The name of the product of the product: for mobile phones, the mobile phone listening to the graphic user interface.
 2. Design products in this exterior: for running programs and communication.
 3. Design of design products in this appearance: lie"&amp;"s in the graphic user interface in the screen.
 4. Pictures or photos that can best show design: Design 1 main view.
 5. Most of the design, omittime view; common design, omittient left view; usual design, omitted right view; common design, omittindin"&amp;"g view; common design, omittinding view view.
 6. Specify design 1 is the basic design.
 7. The purpose of the graphical user interface: Apply the software client interface for running and listening to songs.
 8. Graphical user interface in the area"&amp;" in the product: the interface in the screen.
 9. Human -computer interaction method of graphical user interface: Design 1 to Design 3 Main views are the main interface of running and listening to songs. The upper part of the interface is the total numb"&amp;"er of running kilometers of the user. Users can click the digital to view the running history.
 The middle part of the interface is the switching window of the two modes of outdoor running and treadmill, and the user clicks the interface to switch the r"&amp;"unning mode.
 The lower part of the interface is to start running and set up music controls. Users can click the control to start running or set up running music.
 In Design 1, when the user clicks the running icon at the lower part of the main view i"&amp;"nterface, the interface jumps to the interface in the running, showing the dynamic change effect of the main view to the interface change state diagram.
 In the interface changes state diagram, the upper part of the interface is the song information are"&amp;"a. The middle part of the interface is running data, running to select the control area, and the lower part of the interface is the lyrics and song control areas. Users can click the interface to change the state diagram to stop running, open the map, swi"&amp;"tch the song to the song, switch the song Single or controlling music playback.
 In Design 2, when the user clicks the running icon at the lower part of the main view interface, the interface jumps to the interface during running, presenting the dynamic"&amp;" change effect of the main view to the interface change state.
 In the interface change state Figure 1, the upper part of the interface is the song information area. The middle part of the interface is running data, running to select control areas, and "&amp;"the lower part of the interface is the lyrics and song control areas. Users can click the interface to change the state diagram to stop running, open the map, switch Playlists or control music playback.
 When the user further clicks the ""stop running"""&amp;" control in the interface change state, the ""stop running"" control becomes two circular controls, and the user can further click two circular controls to continue running or terminate running.
 In Design 3, when the user clicks the running icon at the"&amp;" lower part of the main view interface, the interface jumps to the interface in the running, showing the dynamic change effect of the main view to the interface changes.
 In the interface change state Figure 1, the upper part of the interface is the son"&amp;"g information area, the middle part of the interface is running data, running to select the control area, and the lower part of the interface is the lyrics and song control areas. Users can click the interface to stop running, open the map, switch the son"&amp;"g list or control the control. play music.
 When the user clicks the interface change state Figure 1 The return in the upper left corner of the game, the running interface is retreated to the background of the system, and the floating window moves to th"&amp;"e bottom of the screen.
 The dynamic change effect of the interface change state Figure 1 to the interface changes. 2.
 In Figure 2 of the interface change state, users can browse other contents of the mobile phone, or click on the floating window to "&amp;"return to the pages in the running.")</f>
        <v>1. The name of the product of the product: for mobile phones, the mobile phone listening to the graphic user interface.
 2. Design products in this exterior: for running programs and communication.
 3. Design of design products in this appearance: lies in the graphic user interface in the screen.
 4. Pictures or photos that can best show design: Design 1 main view.
 5. Most of the design, omittime view; common design, omittient left view; usual design, omitted right view; common design, omittinding view; common design, omittinding view view.
 6. Specify design 1 is the basic design.
 7. The purpose of the graphical user interface: Apply the software client interface for running and listening to songs.
 8. Graphical user interface in the area in the product: the interface in the screen.
 9. Human -computer interaction method of graphical user interface: Design 1 to Design 3 Main views are the main interface of running and listening to songs. The upper part of the interface is the total number of running kilometers of the user. Users can click the digital to view the running history.
 The middle part of the interface is the switching window of the two modes of outdoor running and treadmill, and the user clicks the interface to switch the running mode.
 The lower part of the interface is to start running and set up music controls. Users can click the control to start running or set up running music.
 In Design 1, when the user clicks the running icon at the lower part of the main view interface, the interface jumps to the interface in the running, showing the dynamic change effect of the main view to the interface change state diagram.
 In the interface changes state diagram, the upper part of the interface is the song information area. The middle part of the interface is running data, running to select the control area, and the lower part of the interface is the lyrics and song control areas. Users can click the interface to change the state diagram to stop running, open the map, switch the song to the song, switch the song Single or controlling music playback.
 In Design 2, when the user clicks the running icon at the lower part of the main view interface, the interface jumps to the interface during running, presenting the dynamic change effect of the main view to the interface change state.
 In the interface change state Figure 1, the upper part of the interface is the song information area. The middle part of the interface is running data, running to select control areas, and the lower part of the interface is the lyrics and song control areas. Users can click the interface to change the state diagram to stop running, open the map, switch Playlists or control music playback.
 When the user further clicks the "stop running" control in the interface change state, the "stop running" control becomes two circular controls, and the user can further click two circular controls to continue running or terminate running.
 In Design 3, when the user clicks the running icon at the lower part of the main view interface, the interface jumps to the interface in the running, showing the dynamic change effect of the main view to the interface changes.
 In the interface change state Figure 1, the upper part of the interface is the song information area, the middle part of the interface is running data, running to select the control area, and the lower part of the interface is the lyrics and song control areas. Users can click the interface to stop running, open the map, switch the song list or control the control. play music.
 When the user clicks the interface change state Figure 1 The return in the upper left corner of the game, the running interface is retreated to the background of the system, and the floating window moves to the bottom of the screen.
 The dynamic change effect of the interface change state Figure 1 to the interface changes. 2.
 In Figure 2 of the interface change state, users can browse other contents of the mobile phone, or click on the floating window to return to the pages in the running.</v>
      </c>
      <c r="D2773" s="6" t="s">
        <v>7824</v>
      </c>
      <c r="E2773" s="4" t="str">
        <f ca="1">IFERROR(__xludf.DUMMYFUNCTION("GOOGLETRANSLATE(D2773,""auto"",""en"")"),"Sports for mobile phones listening to the Graphical User Interface")</f>
        <v>Sports for mobile phones listening to the Graphical User Interface</v>
      </c>
    </row>
    <row r="2774" spans="1:5" ht="15" x14ac:dyDescent="0.25">
      <c r="A2774" s="5" t="s">
        <v>7825</v>
      </c>
      <c r="B2774" s="6" t="s">
        <v>7826</v>
      </c>
      <c r="C2774" s="3" t="str">
        <f ca="1">IFERROR(__xludf.DUMMYFUNCTION("GOOGLETRANSLATE(B2774,""auto"",""en"")"),"The present invention involves the field of Internet of Things management technology, and specifically involves the Internet of Things -based gymnasium booking system and methods. , Booking period and number of reservations; the opponent matching module t"&amp;"o select the target users with the same and have the needs of the opponent, choose the same and have the same and have the needs of the opponent's needs. Determine whether there is a matching user in the optional user. User's opponent users. The present i"&amp;"nvention can better help improve the motion experience of users who match the users of both parties.")</f>
        <v>The present invention involves the field of Internet of Things management technology, and specifically involves the Internet of Things -based gymnasium booking system and methods. , Booking period and number of reservations; the opponent matching module to select the target users with the same and have the needs of the opponent, choose the same and have the same and have the needs of the opponent's needs. Determine whether there is a matching user in the optional user. User's opponent users. The present invention can better help improve the motion experience of users who match the users of both parties.</v>
      </c>
      <c r="D2774" s="6" t="s">
        <v>7827</v>
      </c>
      <c r="E2774" s="4" t="str">
        <f ca="1">IFERROR(__xludf.DUMMYFUNCTION("GOOGLETRANSLATE(D2774,""auto"",""en"")"),"Stadium booking system and method based on the Internet of Things -based")</f>
        <v>Stadium booking system and method based on the Internet of Things -based</v>
      </c>
    </row>
    <row r="2775" spans="1:5" ht="15" x14ac:dyDescent="0.25">
      <c r="A2775" s="5" t="s">
        <v>7828</v>
      </c>
      <c r="B2775" s="6" t="s">
        <v>7829</v>
      </c>
      <c r="C2775" s="3" t="str">
        <f ca="1">IFERROR(__xludf.DUMMYFUNCTION("GOOGLETRANSLATE(B2775,""auto"",""en"")"),"The present invention involves a coaching two -dimensional visual device and high -precision stereo visual image acquisition method. It belongs to the field of stereo visual technology and solves the problem that existing three -dimensional visual devices"&amp;" cannot meet high -precision and low cost. The device includes: two -dimensional visual unit, offline collection of double -looking sample images within the field of view and real -time images of the two -eyed image of the test range of online collection."&amp;" ; The coaching unit obtains the precise three -dimensional visual images within the same field of view; the intelligent learning unit is based on the binocular visible light of the two -dimensional images based on the two -dimensional images of the two -"&amp;"dimensional images, the matching price chart, the two -dimensional visual image and the precise three -dimensional vision Images, deep convolutional neural networks stored in intelligent learning units, until convergence; after convergence, the correspond"&amp;"ing image obtained by processing real -time images of the two -eyed image obtains a three -dimensional visual image with a high -precision range of the measured range.")</f>
        <v>The present invention involves a coaching two -dimensional visual device and high -precision stereo visual image acquisition method. It belongs to the field of stereo visual technology and solves the problem that existing three -dimensional visual devices cannot meet high -precision and low cost. The device includes: two -dimensional visual unit, offline collection of double -looking sample images within the field of view and real -time images of the two -eyed image of the test range of online collection. ; The coaching unit obtains the precise three -dimensional visual images within the same field of view; the intelligent learning unit is based on the binocular visible light of the two -dimensional images based on the two -dimensional images of the two -dimensional images, the matching price chart, the two -dimensional visual image and the precise three -dimensional vision Images, deep convolutional neural networks stored in intelligent learning units, until convergence; after convergence, the corresponding image obtained by processing real -time images of the two -eyed image obtains a three -dimensional visual image with a high -precision range of the measured range.</v>
      </c>
      <c r="D2775" s="6" t="s">
        <v>7830</v>
      </c>
      <c r="E2775" s="4" t="str">
        <f ca="1">IFERROR(__xludf.DUMMYFUNCTION("GOOGLETRANSLATE(D2775,""auto"",""en"")"),"Coach -based two -dimensional visual device and high -precision stereo visual image acquisition method")</f>
        <v>Coach -based two -dimensional visual device and high -precision stereo visual image acquisition method</v>
      </c>
    </row>
    <row r="2776" spans="1:5" ht="15" x14ac:dyDescent="0.25">
      <c r="A2776" s="5" t="s">
        <v>7831</v>
      </c>
      <c r="B2776" s="6" t="s">
        <v>7832</v>
      </c>
      <c r="C2776" s="3" t="str">
        <f ca="1">IFERROR(__xludf.DUMMYFUNCTION("GOOGLETRANSLATE(B2776,""auto"",""en"")"),"A method of driving adjustment (216A) that provides a recommended driver (400) in real time (400) of a driver (30) that provides a driver (30) in real time. This method includes receiving one or more direct drivers input (111) and from the vehicle sensor "&amp;"system (120) receiving sensor data (122, 122A, 122B) from the vehicle control system (110). This method includes driver behavior based on direct driver input and sensor data (215). In addition, this method includes determining the ideal driver's behavior "&amp;"based on direct driver input and sensor data (213) and the difference between the behavior between the predicted driver's behavior and the ideal driver (219). This method also includes driving adjustments based on behavior differences. In addition, this m"&amp;"ethod includes sending instructions (217, 217A, 217B) to inform the driver's proposed driving adjustment to improve vehicle efficiency and/or performance.")</f>
        <v>A method of driving adjustment (216A) that provides a recommended driver (400) in real time (400) of a driver (30) that provides a driver (30) in real time. This method includes receiving one or more direct drivers input (111) and from the vehicle sensor system (120) receiving sensor data (122, 122A, 122B) from the vehicle control system (110). This method includes driver behavior based on direct driver input and sensor data (215). In addition, this method includes determining the ideal driver's behavior based on direct driver input and sensor data (213) and the difference between the behavior between the predicted driver's behavior and the ideal driver (219). This method also includes driving adjustments based on behavior differences. In addition, this method includes sending instructions (217, 217A, 217B) to inform the driver's proposed driving adjustment to improve vehicle efficiency and/or performance.</v>
      </c>
      <c r="D2776" s="6" t="s">
        <v>7833</v>
      </c>
      <c r="E2776" s="4" t="str">
        <f ca="1">IFERROR(__xludf.DUMMYFUNCTION("GOOGLETRANSLATE(D2776,""auto"",""en"")"),"Driver behavior with artificial intelligence learning and driving coach strategy")</f>
        <v>Driver behavior with artificial intelligence learning and driving coach strategy</v>
      </c>
    </row>
    <row r="2777" spans="1:5" ht="15" x14ac:dyDescent="0.25">
      <c r="A2777" s="5" t="s">
        <v>7834</v>
      </c>
      <c r="B2777" s="6" t="s">
        <v>7835</v>
      </c>
      <c r="C2777" s="3" t="str">
        <f ca="1">IFERROR(__xludf.DUMMYFUNCTION("GOOGLETRANSLATE(B2777,""auto"",""en"")"),"A method for driver (30) for drivers (30) for drivers (30) for vehicles (100) were disclosed (400). This method includes receiving one or more direct drivers input (111) and from the vehicle sensor system (120) receiving sensor data (122, 122A, 122B) from"&amp;" the vehicle control system (110). This method includes driver behavior based on direct driver input and sensor data (215). In addition, this method includes determining the ideal driver's behavior based on direct driver input and sensor data (213) and th"&amp;"e difference between the behavior between the predicted driver's behavior and the ideal driver (219). This method also includes driving adjustments based on behavior differences. In addition, this method includes sending instructions (217, 217A, 217B) to "&amp;"inform the driver's recommended driving adjustment to improve vehicle efficiency and/or performance.")</f>
        <v>A method for driver (30) for drivers (30) for drivers (30) for vehicles (100) were disclosed (400). This method includes receiving one or more direct drivers input (111) and from the vehicle sensor system (120) receiving sensor data (122, 122A, 122B) from the vehicle control system (110). This method includes driver behavior based on direct driver input and sensor data (215). In addition, this method includes determining the ideal driver's behavior based on direct driver input and sensor data (213) and the difference between the behavior between the predicted driver's behavior and the ideal driver (219). This method also includes driving adjustments based on behavior differences. In addition, this method includes sending instructions (217, 217A, 217B) to inform the driver's recommended driving adjustment to improve vehicle efficiency and/or performance.</v>
      </c>
      <c r="D2777" s="6" t="s">
        <v>7836</v>
      </c>
      <c r="E2777" s="4" t="str">
        <f ca="1">IFERROR(__xludf.DUMMYFUNCTION("GOOGLETRANSLATE(D2777,""auto"",""en"")"),"Use artificial intelligence to learn driver behavior and driver coach strategy")</f>
        <v>Use artificial intelligence to learn driver behavior and driver coach strategy</v>
      </c>
    </row>
    <row r="2778" spans="1:5" ht="15" x14ac:dyDescent="0.25">
      <c r="A2778" s="5" t="s">
        <v>7837</v>
      </c>
      <c r="B2778" s="6" t="s">
        <v>7838</v>
      </c>
      <c r="C2778" s="3" t="str">
        <f ca="1">IFERROR(__xludf.DUMMYFUNCTION("GOOGLETRANSLATE(B2778,""auto"",""en"")"),"A method of driving adjustment (216A) that provided a recommended driver (400) in real time (400) was disclosed to a driver (30) to the vehicle (100). The method includes receiving one or more direct drivers input (111) from the vehicle control system (11"&amp;"0), and receiving sensor data (122, 122A, 122B) from the vehicle sensor system (120). The method includes driver behavior based on direct driver input and sensor data (215). In addition, the method includes the difference between direct driver input and s"&amp;"ensor data to determine the ideal driver behavior (213), and the behavior difference between the driver's behavior and the ideal driver's behavior (219). The description also includes driving adjustments recommended based on behavior differences. In addit"&amp;"ion, the method includes sending instructions (217, 217A, 217B) to inform the driver's proposed driving adjustment to improve vehicle efficiency and/or performance.")</f>
        <v>A method of driving adjustment (216A) that provided a recommended driver (400) in real time (400) was disclosed to a driver (30) to the vehicle (100). The method includes receiving one or more direct drivers input (111) from the vehicle control system (110), and receiving sensor data (122, 122A, 122B) from the vehicle sensor system (120). The method includes driver behavior based on direct driver input and sensor data (215). In addition, the method includes the difference between direct driver input and sensor data to determine the ideal driver behavior (213), and the behavior difference between the driver's behavior and the ideal driver's behavior (219). The description also includes driving adjustments recommended based on behavior differences. In addition, the method includes sending instructions (217, 217A, 217B) to inform the driver's proposed driving adjustment to improve vehicle efficiency and/or performance.</v>
      </c>
      <c r="D2778" s="6" t="s">
        <v>7833</v>
      </c>
      <c r="E2778" s="4" t="str">
        <f ca="1">IFERROR(__xludf.DUMMYFUNCTION("GOOGLETRANSLATE(D2778,""auto"",""en"")"),"Driver behavior with artificial intelligence learning and driving coach strategy")</f>
        <v>Driver behavior with artificial intelligence learning and driving coach strategy</v>
      </c>
    </row>
    <row r="2779" spans="1:5" ht="15" x14ac:dyDescent="0.25">
      <c r="A2779" s="5" t="s">
        <v>7839</v>
      </c>
      <c r="B2779" s="6" t="s">
        <v>7840</v>
      </c>
      <c r="C2779" s="3" t="str">
        <f ca="1">IFERROR(__xludf.DUMMYFUNCTION("GOOGLETRANSLATE(B2779,""auto"",""en"")"),"The present invention involves the field of fitness exchange technology, especially a sports fitness exchange platform based on the Internet of Things, including processors. The processor also has electrical connection with member modules, storage modules"&amp;" and communication units. Sexual connection with information input modules, micro -chip electrical connection with memory, micro -chip electrical connection with display modules, micro -chip electrical connection with information processing unit, informat"&amp;"ion processing unit includes third miniature processors, third miniature processor electricity Sexual connection has information receiving modules, information receiving module electrical connection miniature chips, the third miniature processor electrica"&amp;"l connection has an integrated module, the electrical connection of the integrated module has a sorting module, the electrical connection of the sorting module has the identification module, the electrical identification module electrical There is a reply"&amp;" module in the connection, and there is a recovery module in the electrical connection of the response module. The invention structure is simple and worthy of promotion.")</f>
        <v>The present invention involves the field of fitness exchange technology, especially a sports fitness exchange platform based on the Internet of Things, including processors. The processor also has electrical connection with member modules, storage modules and communication units. Sexual connection with information input modules, micro -chip electrical connection with memory, micro -chip electrical connection with display modules, micro -chip electrical connection with information processing unit, information processing unit includes third miniature processors, third miniature processor electricity Sexual connection has information receiving modules, information receiving module electrical connection miniature chips, the third miniature processor electrical connection has an integrated module, the electrical connection of the integrated module has a sorting module, the electrical connection of the sorting module has the identification module, the electrical identification module electrical There is a reply module in the connection, and there is a recovery module in the electrical connection of the response module. The invention structure is simple and worthy of promotion.</v>
      </c>
      <c r="D2779" s="6" t="s">
        <v>4245</v>
      </c>
      <c r="E2779" s="4" t="str">
        <f ca="1">IFERROR(__xludf.DUMMYFUNCTION("GOOGLETRANSLATE(D2779,""auto"",""en"")"),"A sports fitness exchange platform based on the Internet of Things")</f>
        <v>A sports fitness exchange platform based on the Internet of Things</v>
      </c>
    </row>
    <row r="2780" spans="1:5" ht="15" x14ac:dyDescent="0.25">
      <c r="A2780" s="5" t="s">
        <v>7841</v>
      </c>
      <c r="B2780" s="6" t="s">
        <v>7842</v>
      </c>
      <c r="C2780" s="3" t="str">
        <f ca="1">IFERROR(__xludf.DUMMYFUNCTION("GOOGLETRANSLATE(B2780,""auto"",""en"")"),"A method of providing suggestions for driving adjustments to the driver of the vehicle is disclosed. This method includes receiving one or more direct drivers from the vehicle control system to input and receive sensor data from the vehicle sensor system."&amp;" This method includes driver behavior based on direct driver input and sensor data. In addition, this method includes the difference between direct driver input and sensor data to determine the ideal driver behavior and determine the behavior between pred"&amp;"ictive driver behavior and ideal driver behavior. This method also includes driving adjustments based on behavior differences. In addition, this method includes sending instructions to notify the driver's proposed driving adjustment to improve vehicle eff"&amp;"iciency and/or performance.")</f>
        <v>A method of providing suggestions for driving adjustments to the driver of the vehicle is disclosed. This method includes receiving one or more direct drivers from the vehicle control system to input and receive sensor data from the vehicle sensor system. This method includes driver behavior based on direct driver input and sensor data. In addition, this method includes the difference between direct driver input and sensor data to determine the ideal driver behavior and determine the behavior between predictive driver behavior and ideal driver behavior. This method also includes driving adjustments based on behavior differences. In addition, this method includes sending instructions to notify the driver's proposed driving adjustment to improve vehicle efficiency and/or performance.</v>
      </c>
      <c r="D2780" s="6" t="s">
        <v>7833</v>
      </c>
      <c r="E2780" s="4" t="str">
        <f ca="1">IFERROR(__xludf.DUMMYFUNCTION("GOOGLETRANSLATE(D2780,""auto"",""en"")"),"Driver behavior with artificial intelligence learning and driving coach strategy")</f>
        <v>Driver behavior with artificial intelligence learning and driving coach strategy</v>
      </c>
    </row>
    <row r="2781" spans="1:5" ht="15" x14ac:dyDescent="0.25">
      <c r="A2781" s="5" t="s">
        <v>7843</v>
      </c>
      <c r="B2781" s="6" t="s">
        <v>7844</v>
      </c>
      <c r="C2781" s="3" t="str">
        <f ca="1">IFERROR(__xludf.DUMMYFUNCTION("GOOGLETRANSLATE(B2781,""auto"",""en"")"),"When I cleaned the carpet, I was surprised to see the fine powder -like dust, so my thoughts seemed to stop. I thought, if these dust entered my mouth or in breathing, it would be troublesome. I put the dust bag of the vacuum cleaner in a black plastic ba"&amp;"g and sat on the lawn on the first floor. The dust fell on the dirt. After thinking for a long time, for a long time, at the revival, Father Ma Dong Catholic Church asked 10 questions in the Q &amp; A competition, and got all, all, all right (score). Yes! It "&amp;"is said that it was an artificial intelligence speech command recognition, removing the sink and dust, and announced in front of the 500 Catholic Church. Li Ruixian patented theft, the amount of reputation theft, and development. I hope I will no longer b"&amp;"ecome a thief, a wealthy and healthy enterprise group, and spend a happy time with my family.")</f>
        <v>When I cleaned the carpet, I was surprised to see the fine powder -like dust, so my thoughts seemed to stop. I thought, if these dust entered my mouth or in breathing, it would be troublesome. I put the dust bag of the vacuum cleaner in a black plastic bag and sat on the lawn on the first floor. The dust fell on the dirt. After thinking for a long time, for a long time, at the revival, Father Ma Dong Catholic Church asked 10 questions in the Q &amp; A competition, and got all, all, all right (score). Yes! It is said that it was an artificial intelligence speech command recognition, removing the sink and dust, and announced in front of the 500 Catholic Church. Li Ruixian patented theft, the amount of reputation theft, and development. I hope I will no longer become a thief, a wealthy and healthy enterprise group, and spend a happy time with my family.</v>
      </c>
      <c r="D2781" s="6" t="s">
        <v>7845</v>
      </c>
      <c r="E2781" s="4" t="str">
        <f ca="1">IFERROR(__xludf.DUMMYFUNCTION("GOOGLETRANSLATE(D2781,""auto"",""en"")"),"Galaxy smart water tank dust collector")</f>
        <v>Galaxy smart water tank dust collector</v>
      </c>
    </row>
    <row r="2782" spans="1:5" ht="15" x14ac:dyDescent="0.25">
      <c r="A2782" s="5" t="s">
        <v>7846</v>
      </c>
      <c r="B2782" s="6" t="s">
        <v>7847</v>
      </c>
      <c r="C2782" s="3" t="str">
        <f ca="1">IFERROR(__xludf.DUMMYFUNCTION("GOOGLETRANSLATE(B2782,""auto"",""en"")"),"The present invention involves a system of sports competition images. The technical problem to be solved is to use artificial intelligence technology to extract the skills of the athletes expected by the user's expectations from the use of artificial inte"&amp;"lligence technology, and it is easier to identify individual images.
  For example, based on machine learning algorithms, extract the bottom chart of each player from the relay image of the sports competition, and the bottom map of the event between at "&amp;"least two players based on the preset position combination. The relationship between players. Event image generation unit, generate and store a separate event image; and event image providing units, which can selectively provide a list composed of a proje"&amp;"ct for each individual event image to be used to correspond to the combination of players, and as the consuming as the consuming as the consuming. The project selected in the list provides a separate event image.")</f>
        <v>The present invention involves a system of sports competition images. The technical problem to be solved is to use artificial intelligence technology to extract the skills of the athletes expected by the user's expectations from the use of artificial intelligence technology, and it is easier to identify individual images.
  For example, based on machine learning algorithms, extract the bottom chart of each player from the relay image of the sports competition, and the bottom map of the event between at least two players based on the preset position combination. The relationship between players. Event image generation unit, generate and store a separate event image; and event image providing units, which can selectively provide a list composed of a project for each individual event image to be used to correspond to the combination of players, and as the consuming as the consuming as the consuming. The project selected in the list provides a separate event image.</v>
      </c>
      <c r="D2782" s="6" t="s">
        <v>7848</v>
      </c>
      <c r="E2782" s="4" t="str">
        <f ca="1">IFERROR(__xludf.DUMMYFUNCTION("GOOGLETRANSLATE(D2782,""auto"",""en"")"),"Sports game video provision system")</f>
        <v>Sports game video provision system</v>
      </c>
    </row>
    <row r="2783" spans="1:5" ht="15" x14ac:dyDescent="0.25">
      <c r="A2783" s="5" t="s">
        <v>7849</v>
      </c>
      <c r="B2783" s="6" t="s">
        <v>7850</v>
      </c>
      <c r="C2783" s="3" t="str">
        <f ca="1">IFERROR(__xludf.DUMMYFUNCTION("GOOGLETRANSLATE(B2783,""auto"",""en"")"),"The present invention has disclosed a portable comprehensive intelligent interactive fitness system, including: portable comprehensive intelligent fitness equipment, data collection sensing modules, mobile terminals, APP programs, external audio and video"&amp;" equipment and wireless communication modules. The invention also disclosed a portable comprehensive intelligent interactive fitness method. The present invention is convenient for carrying, and a variety of immersive fitness methods can be achieved throu"&amp;"gh the combination of the kit. The data ecological chain of the data ecological chain composed of the mobile terminal's APP program, wireless communication module, data collection sensing module, and external audio and video equipment can be used in users"&amp;". Real -time collection and displaying the movement data of the user during the exercise. Users can understand the exercise data during exercise in real time. At the same time, you can play teaching videos during fitness for audio interactive fitness. Cor"&amp;"rect the user's fitness action through the AI ​​algorithm correction module. The combination of fitness methods with the Internet of Things technology helps users to conduct more professional and efficient fitness training to achieve scientific fitness.")</f>
        <v>The present invention has disclosed a portable comprehensive intelligent interactive fitness system, including: portable comprehensive intelligent fitness equipment, data collection sensing modules, mobile terminals, APP programs, external audio and video equipment and wireless communication modules. The invention also disclosed a portable comprehensive intelligent interactive fitness method. The present invention is convenient for carrying, and a variety of immersive fitness methods can be achieved through the combination of the kit. The data ecological chain of the data ecological chain composed of the mobile terminal's APP program, wireless communication module, data collection sensing module, and external audio and video equipment can be used in users. Real -time collection and displaying the movement data of the user during the exercise. Users can understand the exercise data during exercise in real time. At the same time, you can play teaching videos during fitness for audio interactive fitness. Correct the user's fitness action through the AI ​​algorithm correction module. The combination of fitness methods with the Internet of Things technology helps users to conduct more professional and efficient fitness training to achieve scientific fitness.</v>
      </c>
      <c r="D2783" s="6" t="s">
        <v>7851</v>
      </c>
      <c r="E2783" s="4" t="str">
        <f ca="1">IFERROR(__xludf.DUMMYFUNCTION("GOOGLETRANSLATE(D2783,""auto"",""en"")"),"A portable comprehensive intelligent interactive fitness system and method")</f>
        <v>A portable comprehensive intelligent interactive fitness system and method</v>
      </c>
    </row>
    <row r="2784" spans="1:5" ht="15" x14ac:dyDescent="0.25">
      <c r="A2784" s="5" t="s">
        <v>7852</v>
      </c>
      <c r="B2784" s="6" t="s">
        <v>7853</v>
      </c>
      <c r="C2784" s="3" t="str">
        <f ca="1">IFERROR(__xludf.DUMMYFUNCTION("GOOGLETRANSLATE(B2784,""auto"",""en"")"),"This practical new type has disclosed a portable comprehensive intelligent interactive fitness system, which is characterized by: portable comprehensive intelligent fitness equipment and at least one mobile terminal, external audio and video equipment; In"&amp;" this set of components, the built -in data collection sensing module and wireless communication module, this set of components is used to simulate a variety of fitness equipment, and cooperate with mobile terminals, external audio and video equipment to "&amp;"build a variety of immersive fitness scenarios for users. This utility model is convenient for carriers. It can be combined with a set of packages to achieve a variety of fitness methods. Users can understand the exercise data during exercise in real time"&amp;". At the same time Fitness exercises combine fitness methods with the Internet of Things technology to actively guide users to conduct more professional and efficient fitness training to achieve scientific fitness.")</f>
        <v>This practical new type has disclosed a portable comprehensive intelligent interactive fitness system, which is characterized by: portable comprehensive intelligent fitness equipment and at least one mobile terminal, external audio and video equipment; In this set of components, the built -in data collection sensing module and wireless communication module, this set of components is used to simulate a variety of fitness equipment, and cooperate with mobile terminals, external audio and video equipment to build a variety of immersive fitness scenarios for users. This utility model is convenient for carriers. It can be combined with a set of packages to achieve a variety of fitness methods. Users can understand the exercise data during exercise in real time. At the same time Fitness exercises combine fitness methods with the Internet of Things technology to actively guide users to conduct more professional and efficient fitness training to achieve scientific fitness.</v>
      </c>
      <c r="D2784" s="6" t="s">
        <v>7854</v>
      </c>
      <c r="E2784" s="4" t="str">
        <f ca="1">IFERROR(__xludf.DUMMYFUNCTION("GOOGLETRANSLATE(D2784,""auto"",""en"")"),"A portable comprehensive intelligent interactive fitness system")</f>
        <v>A portable comprehensive intelligent interactive fitness system</v>
      </c>
    </row>
    <row r="2785" spans="1:5" ht="15" x14ac:dyDescent="0.25">
      <c r="A2785" s="5" t="s">
        <v>7855</v>
      </c>
      <c r="B2785" s="6" t="s">
        <v>7856</v>
      </c>
      <c r="C2785" s="3" t="str">
        <f ca="1">IFERROR(__xludf.DUMMYFUNCTION("GOOGLETRANSLATE(B2785,""auto"",""en"")"),"This utility model discloses an artificial intelligence multifunctional medical rehabilitation equipment, including treadmills, fixed boards and shells. There is a guardrail on the upper end of the runner. There is a fixed groove, which is set with wristb"&amp;"ands in the fixed slot. The wristband is set on the shell, which is set in the shell with a low -power Bluetooth chip, which is set with a speed sensor on the side of the low -power Bluetooth chip. There is a vibrator on the side of the acceleration senso"&amp;"r, which is set with three -axis sensors on one side of the vibrator. The beneficial effect is that: This utility model is set up by setting the shell, wristband, acceleration sensor, and three -axis sensor, so that rehabilitation instruments can monitor "&amp;"the user's movement status and sleep status. The practicality of medical equipment.")</f>
        <v>This utility model discloses an artificial intelligence multifunctional medical rehabilitation equipment, including treadmills, fixed boards and shells. There is a guardrail on the upper end of the runner. There is a fixed groove, which is set with wristbands in the fixed slot. The wristband is set on the shell, which is set in the shell with a low -power Bluetooth chip, which is set with a speed sensor on the side of the low -power Bluetooth chip. There is a vibrator on the side of the acceleration sensor, which is set with three -axis sensors on one side of the vibrator. The beneficial effect is that: This utility model is set up by setting the shell, wristband, acceleration sensor, and three -axis sensor, so that rehabilitation instruments can monitor the user's movement status and sleep status. The practicality of medical equipment.</v>
      </c>
      <c r="D2785" s="6" t="s">
        <v>7857</v>
      </c>
      <c r="E2785" s="4" t="str">
        <f ca="1">IFERROR(__xludf.DUMMYFUNCTION("GOOGLETRANSLATE(D2785,""auto"",""en"")"),"A kind of artificial intelligence multifunctional medical rehabilitation equipment")</f>
        <v>A kind of artificial intelligence multifunctional medical rehabilitation equipment</v>
      </c>
    </row>
    <row r="2786" spans="1:5" ht="15" x14ac:dyDescent="0.25">
      <c r="A2786" s="5" t="s">
        <v>7858</v>
      </c>
      <c r="B2786" s="6" t="s">
        <v>7859</v>
      </c>
      <c r="C2786" s="3" t="str">
        <f ca="1">IFERROR(__xludf.DUMMYFUNCTION("GOOGLETRANSLATE(B2786,""auto"",""en"")"),"This application discloses a method, device and computer storage medium for sports video data. It involves the field of data processing technology. It can analyze sports video data more comprehensive and improve the accuracy of sports video data processin"&amp;"g. The method includes: obtaining sports video sample data, which contains sports video pictures carrying technical action labels in the sports video sample data; input the sports video sample data with a technical action label in input to deep learning t"&amp;"o deep learning Train in the model to build a motion recognition model; when receiving the processing request of sports video data, enter the sports video picture in sports video data to be input to the action recognition model to obtain the technical mov"&amp;"ements in sports video pictures; The request information carried in the processing request, statistics on the technical actions in each sports video picture, and the processing results of sports video data.")</f>
        <v>This application discloses a method, device and computer storage medium for sports video data. It involves the field of data processing technology. It can analyze sports video data more comprehensive and improve the accuracy of sports video data processing. The method includes: obtaining sports video sample data, which contains sports video pictures carrying technical action labels in the sports video sample data; input the sports video sample data with a technical action label in input to deep learning to deep learning Train in the model to build a motion recognition model; when receiving the processing request of sports video data, enter the sports video picture in sports video data to be input to the action recognition model to obtain the technical movements in sports video pictures; The request information carried in the processing request, statistics on the technical actions in each sports video picture, and the processing results of sports video data.</v>
      </c>
      <c r="D2786" s="6" t="s">
        <v>7860</v>
      </c>
      <c r="E2786" s="4" t="str">
        <f ca="1">IFERROR(__xludf.DUMMYFUNCTION("GOOGLETRANSLATE(D2786,""auto"",""en"")"),"Sports video data processing methods, devices, computer equipment and computer storage media")</f>
        <v>Sports video data processing methods, devices, computer equipment and computer storage media</v>
      </c>
    </row>
    <row r="2787" spans="1:5" ht="15" x14ac:dyDescent="0.25">
      <c r="A2787" s="5" t="s">
        <v>7861</v>
      </c>
      <c r="B2787" s="6" t="s">
        <v>7862</v>
      </c>
      <c r="C2787" s="3" t="str">
        <f ca="1">IFERROR(__xludf.DUMMYFUNCTION("GOOGLETRANSLATE(B2787,""auto"",""en"")"),"A fitness auxiliary method based on muscle electricity signals is a mode of mode recognition and artificial intelligence technology, involving a fitness assistance method based on muscle electricity signals. This method is collected by the human surface m"&amp;"uscle signal through the electrode sheet, and the human surface muscle signal is processed through a variety of collecting circuits. The processing of the processing muscle electricity signal to the upper machine is passed to the signal. Through the SVM s"&amp;"upport vector machine of machine learning, as a classifier model for determining whether the action is standard, the SVM model training is conducted using the linear nucleus and different λ parameters, respectively, and selecting the best model fitness ac"&amp;"tion standard judgment of the best training effect. Three layers of BP neural networks are classified as a classifier model that classifies the movement, and the extra feature value is used as the input neuron of the neural network. Use the RELU function "&amp;"as the activation function to achieve non -linear mapping of the input information. After training, the classifier model is obtained to achieve action recognition.")</f>
        <v>A fitness auxiliary method based on muscle electricity signals is a mode of mode recognition and artificial intelligence technology, involving a fitness assistance method based on muscle electricity signals. This method is collected by the human surface muscle signal through the electrode sheet, and the human surface muscle signal is processed through a variety of collecting circuits. The processing of the processing muscle electricity signal to the upper machine is passed to the signal. Through the SVM support vector machine of machine learning, as a classifier model for determining whether the action is standard, the SVM model training is conducted using the linear nucleus and different λ parameters, respectively, and selecting the best model fitness action standard judgment of the best training effect. Three layers of BP neural networks are classified as a classifier model that classifies the movement, and the extra feature value is used as the input neuron of the neural network. Use the RELU function as the activation function to achieve non -linear mapping of the input information. After training, the classifier model is obtained to achieve action recognition.</v>
      </c>
      <c r="D2787" s="6" t="s">
        <v>7863</v>
      </c>
      <c r="E2787" s="4" t="str">
        <f ca="1">IFERROR(__xludf.DUMMYFUNCTION("GOOGLETRANSLATE(D2787,""auto"",""en"")"),"A fitness assistance method based on muscle electricity signals")</f>
        <v>A fitness assistance method based on muscle electricity signals</v>
      </c>
    </row>
    <row r="2788" spans="1:5" ht="15" x14ac:dyDescent="0.25">
      <c r="A2788" s="5" t="s">
        <v>7864</v>
      </c>
      <c r="B2788" s="6" t="s">
        <v>7865</v>
      </c>
      <c r="C2788" s="3" t="str">
        <f ca="1">IFERROR(__xludf.DUMMYFUNCTION("GOOGLETRANSLATE(B2788,""auto"",""en"")"),"The operation methods of the artificial intelligence fitness machine system of the present invention include: users choose the steps of using language; the user uses artificial intelligence fitness machines to determine its own body and characteristics. T"&amp;"he preservation steps, artificial intelligence can identify the type of exercise that users want to exercise through the preserved exercise method, based on the user exercise method data of the type of exercise, and the use of previously evaluated user ex"&amp;"ercise to provide users with improvement methods. The improvement method and the error and improvement method are conveyed to users and stored.")</f>
        <v>The operation methods of the artificial intelligence fitness machine system of the present invention include: users choose the steps of using language; the user uses artificial intelligence fitness machines to determine its own body and characteristics. The preservation steps, artificial intelligence can identify the type of exercise that users want to exercise through the preserved exercise method, based on the user exercise method data of the type of exercise, and the use of previously evaluated user exercise to provide users with improvement methods. The improvement method and the error and improvement method are conveyed to users and stored.</v>
      </c>
      <c r="D2788" s="6" t="s">
        <v>7866</v>
      </c>
      <c r="E2788" s="4" t="str">
        <f ca="1">IFERROR(__xludf.DUMMYFUNCTION("GOOGLETRANSLATE(D2788,""auto"",""en"")"),"Artificial Intelligence Personal Health Machine System")</f>
        <v>Artificial Intelligence Personal Health Machine System</v>
      </c>
    </row>
    <row r="2789" spans="1:5" ht="15" x14ac:dyDescent="0.25">
      <c r="A2789" s="5" t="s">
        <v>7867</v>
      </c>
      <c r="B2789" s="6" t="s">
        <v>7868</v>
      </c>
      <c r="C2789" s="3" t="str">
        <f ca="1">IFERROR(__xludf.DUMMYFUNCTION("GOOGLETRANSLATE(B2789,""auto"",""en"")"),"Conventional wheelchairs are used to improve the actions of disabled people, such as: physical disabled (especially those with leg disabilities), inpatient patients, elderly people (elderly people), and disabled people who are not allowed to perform a lar"&amp;"ge number of sports activities. At the time, the risk of injury is very high, so it is necessary to innovate wheelchair technology so that it can move without help with others, which is safe for users. In the present invention, the electric wheelchair is "&amp;"powered by the battery (13), equipped with heart rate and blood oxygen sensor (2), and is equipped with a wheelchair with a downward detector (14) and GPS (14) to determine the position. The test results prove that this electric wheelchair increases the e"&amp;"fficiency of the wheelchair, which is safe for users because it is equipped with medical sensors (2), accident detector (14), and you can know the location of the chair.")</f>
        <v>Conventional wheelchairs are used to improve the actions of disabled people, such as: physical disabled (especially those with leg disabilities), inpatient patients, elderly people (elderly people), and disabled people who are not allowed to perform a large number of sports activities. At the time, the risk of injury is very high, so it is necessary to innovate wheelchair technology so that it can move without help with others, which is safe for users. In the present invention, the electric wheelchair is powered by the battery (13), equipped with heart rate and blood oxygen sensor (2), and is equipped with a wheelchair with a downward detector (14) and GPS (14) to determine the position. The test results prove that this electric wheelchair increases the efficiency of the wheelchair, which is safe for users because it is equipped with medical sensors (2), accident detector (14), and you can know the location of the chair.</v>
      </c>
      <c r="D2789" s="6" t="s">
        <v>7869</v>
      </c>
      <c r="E2789" s="4" t="str">
        <f ca="1">IFERROR(__xludf.DUMMYFUNCTION("GOOGLETRANSLATE(D2789,""auto"",""en"")"),"Electric wheelchair using brain waves is equipped with a medical sensor based on the Internet of Things, which is suitable for disabled people")</f>
        <v>Electric wheelchair using brain waves is equipped with a medical sensor based on the Internet of Things, which is suitable for disabled people</v>
      </c>
    </row>
    <row r="2790" spans="1:5" ht="15" x14ac:dyDescent="0.25">
      <c r="A2790" s="5" t="s">
        <v>7870</v>
      </c>
      <c r="B2790" s="6" t="s">
        <v>7871</v>
      </c>
      <c r="C2790" s="3" t="str">
        <f ca="1">IFERROR(__xludf.DUMMYFUNCTION("GOOGLETRANSLATE(B2790,""auto"",""en"")"),"This utility model involves a IoT swimming cap, including swimming cap body, which has a pull -up tape at the bottom of the swimming cap body, and the handband is evenly distributed outside the swimmer body. And the cushion is set at the bottom of the swi"&amp;"mming hat body, which is set with meridians and weft lines outside the outside of the swimming hat body. The IoT tag is set in the mezzanine of the swimming cap. The structure is simple, the design is reasonable, and can be more timely rescue to the drown"&amp;"ing swimmers, improve the management level of the swimming pool, and be more stable when worn. The tightness of the wearing is fixed by fixing the elastic rope on the back of the swimming goggles by fixed bands, thereby preventing the temporary goggles te"&amp;"mporarily, and the swimming mirror is unexpectedly separated, and it has a certain lighting reminder effect.")</f>
        <v>This utility model involves a IoT swimming cap, including swimming cap body, which has a pull -up tape at the bottom of the swimming cap body, and the handband is evenly distributed outside the swimmer body. And the cushion is set at the bottom of the swimming hat body, which is set with meridians and weft lines outside the outside of the swimming hat body. The IoT tag is set in the mezzanine of the swimming cap. The structure is simple, the design is reasonable, and can be more timely rescue to the drowning swimmers, improve the management level of the swimming pool, and be more stable when worn. The tightness of the wearing is fixed by fixing the elastic rope on the back of the swimming goggles by fixed bands, thereby preventing the temporary goggles temporarily, and the swimming mirror is unexpectedly separated, and it has a certain lighting reminder effect.</v>
      </c>
      <c r="D2790" s="6" t="s">
        <v>7872</v>
      </c>
      <c r="E2790" s="4" t="str">
        <f ca="1">IFERROR(__xludf.DUMMYFUNCTION("GOOGLETRANSLATE(D2790,""auto"",""en"")"),"A IoT swimming hat")</f>
        <v>A IoT swimming hat</v>
      </c>
    </row>
    <row r="2791" spans="1:5" ht="15" x14ac:dyDescent="0.25">
      <c r="A2791" s="5" t="s">
        <v>7873</v>
      </c>
      <c r="B2791" s="6" t="s">
        <v>7874</v>
      </c>
      <c r="C2791" s="3" t="str">
        <f ca="1">IFERROR(__xludf.DUMMYFUNCTION("GOOGLETRANSLATE(B2791,""auto"",""en"")"),"Use two or more cameras to track the path and/or direction of the objects close to the athletes. Use at least two sets of images with at least two different cameras with different positions. Identify the motion area in the image and identify the candidate"&amp;" position in the 2D space of the object in the motion area. Based on this, each of which the object is approaching multiple moments, the identification can be recognized in the possible position in 3D space. At least the segmented 3D trajectory of the obj"&amp;"ect of the object can be approximately approximately approximately the object of the athletes from the athletes of the athletes from the 3D space of the object. The graphics of the 3D trajectory of the object are indicated by at least one set of images.")</f>
        <v>Use two or more cameras to track the path and/or direction of the objects close to the athletes. Use at least two sets of images with at least two different cameras with different positions. Identify the motion area in the image and identify the candidate position in the 2D space of the object in the motion area. Based on this, each of which the object is approaching multiple moments, the identification can be recognized in the possible position in 3D space. At least the segmented 3D trajectory of the object of the object can be approximately approximately approximately the object of the athletes from the athletes of the athletes from the 3D space of the object. The graphics of the 3D trajectory of the object are indicated by at least one set of images.</v>
      </c>
      <c r="D2791" s="6" t="s">
        <v>2320</v>
      </c>
      <c r="E2791" s="4" t="str">
        <f ca="1">IFERROR(__xludf.DUMMYFUNCTION("GOOGLETRANSLATE(D2791,""auto"",""en"")"),"Use a computer visual tracking handheld sports appliance")</f>
        <v>Use a computer visual tracking handheld sports appliance</v>
      </c>
    </row>
    <row r="2792" spans="1:5" ht="15" x14ac:dyDescent="0.25">
      <c r="A2792" s="5" t="s">
        <v>7875</v>
      </c>
      <c r="B2792" s="6" t="s">
        <v>7876</v>
      </c>
      <c r="C2792" s="3" t="str">
        <f ca="1">IFERROR(__xludf.DUMMYFUNCTION("GOOGLETRANSLATE(B2792,""auto"",""en"")"),"This utility model is a technical field of sporting tools. It is specifically a volleyball padding tester. There is a pillar fixed installation on the top of the support, which is set at the bottom of the pillar with the first board, which is set on the t"&amp;"op of the column with a second holder, which is set on the bracket. The top camera is set on the top of the top plate. At the same time, the video data of the tester is collected. When there is controversy, you can look back at and artificially judge the "&amp;"measurement results. The video can be traced.")</f>
        <v>This utility model is a technical field of sporting tools. It is specifically a volleyball padding tester. There is a pillar fixed installation on the top of the support, which is set at the bottom of the pillar with the first board, which is set on the top of the column with a second holder, which is set on the bracket. The top camera is set on the top of the top plate. At the same time, the video data of the tester is collected. When there is controversy, you can look back at and artificially judge the measurement results. The video can be traced.</v>
      </c>
      <c r="D2792" s="6" t="s">
        <v>7877</v>
      </c>
      <c r="E2792" s="4" t="str">
        <f ca="1">IFERROR(__xludf.DUMMYFUNCTION("GOOGLETRANSLATE(D2792,""auto"",""en"")"),"A volleyball cushion counting tester")</f>
        <v>A volleyball cushion counting tester</v>
      </c>
    </row>
    <row r="2793" spans="1:5" ht="15" x14ac:dyDescent="0.25">
      <c r="A2793" s="5" t="s">
        <v>7878</v>
      </c>
      <c r="B2793" s="6" t="s">
        <v>7879</v>
      </c>
      <c r="C2793" s="3" t="str">
        <f ca="1">IFERROR(__xludf.DUMMYFUNCTION("GOOGLETRANSLATE(B2793,""auto"",""en"")"),"1. Design product name: mobile phone graphics user interface for running programs.
 2. Design products in appearance: for running programs and communication.
 3. Design of design products in this exterior: lies in the user interface content displayed "&amp;"on the mobile phone screen.
 4. Pictures or photos that can best show design points: Figure 2 of the interface change state.
 5. Do not involve design points, omit the rear view, left view, right view, downward view, and retry view.
 6. The purpose "&amp;"of graphical user interface: interactive interface for interactive fingertips office platform.
 7. Graphic user interface in the product area: mobile phone screen.
 8. Human -computer interaction method of graphical user interface: click, slide.
 9."&amp;" Change state description of the graphic user interface: The interface shown in the main view is the homepage of the happy counting banknote application of the interactive fingertips office platform; Display interface; interface change state Figure 2 is t"&amp;"he interface shown by the interface change status of the interface. The interface displayed after the display; the interface change state Figure 4 is the interface shown in the interface change status of the interface. The amount of banknotes in China is "&amp;"only an example; the interface change state Figure 6 is the interface shown in the interface 5 shown in the interface transformation status. The interface shown in Status 6 Sliding up the interface displayed on the screen, the amount of the banknote in th"&amp;"e figure is only for example; The process of counting banknotes; interface change state Figure 8 is the interface displayed after the interface shown in the main view of the main view; Display interface; interface change state Figure 10 is the interface c"&amp;"hanges in the interface. 9 Show the ""Start Game"" button to enter the page after the game. The amount of banknotes in the figure is only for example; The interface shown in the change state Figure 10 slide the interface displayed on the screen upward. Th"&amp;"e amount of banknotes in the figure is only for example; The amount of banknotes in China is only an example; the interface change state Figure 13 is the interface shown in the interface as shown in the interface changes. Figure 11. Interface change state"&amp;" Figure 12. Interface change state Figure 13 is used to show the process of counting banknotes by sliding the screen through the finger.")</f>
        <v>1. Design product name: mobile phone graphics user interface for running programs.
 2. Design products in appearance: for running programs and communication.
 3. Design of design products in this exterior: lies in the user interface content displayed on the mobile phone screen.
 4. Pictures or photos that can best show design points: Figure 2 of the interface change state.
 5. Do not involve design points, omit the rear view, left view, right view, downward view, and retry view.
 6. The purpose of graphical user interface: interactive interface for interactive fingertips office platform.
 7. Graphic user interface in the product area: mobile phone screen.
 8. Human -computer interaction method of graphical user interface: click, slide.
 9. Change state description of the graphic user interface: The interface shown in the main view is the homepage of the happy counting banknote application of the interactive fingertips office platform; Display interface; interface change state Figure 2 is the interface shown by the interface change status of the interface. The interface displayed after the display; the interface change state Figure 4 is the interface shown in the interface change status of the interface. The amount of banknotes in China is only an example; the interface change state Figure 6 is the interface shown in the interface 5 shown in the interface transformation status. The interface shown in Status 6 Sliding up the interface displayed on the screen, the amount of the banknote in the figure is only for example; The process of counting banknotes; interface change state Figure 8 is the interface displayed after the interface shown in the main view of the main view; Display interface; interface change state Figure 10 is the interface changes in the interface. 9 Show the "Start Game" button to enter the page after the game. The amount of banknotes in the figure is only for example; The interface shown in the change state Figure 10 slide the interface displayed on the screen upward. The amount of banknotes in the figure is only for example; The amount of banknotes in China is only an example; the interface change state Figure 13 is the interface shown in the interface as shown in the interface changes. Figure 11. Interface change state Figure 12. Interface change state Figure 13 is used to show the process of counting banknotes by sliding the screen through the finger.</v>
      </c>
      <c r="D2793" s="6" t="s">
        <v>7880</v>
      </c>
      <c r="E2793" s="4" t="str">
        <f ca="1">IFERROR(__xludf.DUMMYFUNCTION("GOOGLETRANSLATE(D2793,""auto"",""en"")"),"Mobile phone graphics user interface for running programs")</f>
        <v>Mobile phone graphics user interface for running programs</v>
      </c>
    </row>
    <row r="2794" spans="1:5" ht="15" x14ac:dyDescent="0.25">
      <c r="A2794" s="5" t="s">
        <v>7881</v>
      </c>
      <c r="B2794" s="6" t="s">
        <v>7882</v>
      </c>
      <c r="C2794" s="3" t="str">
        <f ca="1">IFERROR(__xludf.DUMMYFUNCTION("GOOGLETRANSLATE(B2794,""auto"",""en"")"),"The present invention disclosed a small football robot based on deep reinforcement learning to actively control the suction method, including steps: S1: Actively control the ball -sucking task to define the deep strengthening learning framework for the sm"&amp;"all football robot; , Constantly interact with the environment, store the data obtained from the environment in the experience pool; S3: a small batch of samples in each sampling experience pool, use the method of deep reinforcement learning The training "&amp;"deep neural network model enables small football robots to complete the active control of the ball. The present invention uses deep reinforcement learning to control the ball suction process of small football robots, so that the robot can adjust the effec"&amp;"t of the ball through the main development with the environment and continuously improve the effect of the ball. The present invention can improve the stability and success rate of robot suction balls, while preventing the motor overheating damage due to "&amp;"the excessive output torque of the motor.")</f>
        <v>The present invention disclosed a small football robot based on deep reinforcement learning to actively control the suction method, including steps: S1: Actively control the ball -sucking task to define the deep strengthening learning framework for the small football robot; , Constantly interact with the environment, store the data obtained from the environment in the experience pool; S3: a small batch of samples in each sampling experience pool, use the method of deep reinforcement learning The training deep neural network model enables small football robots to complete the active control of the ball. The present invention uses deep reinforcement learning to control the ball suction process of small football robots, so that the robot can adjust the effect of the ball through the main development with the environment and continuously improve the effect of the ball. The present invention can improve the stability and success rate of robot suction balls, while preventing the motor overheating damage due to the excessive output torque of the motor.</v>
      </c>
      <c r="D2794" s="6" t="s">
        <v>7883</v>
      </c>
      <c r="E2794" s="4" t="str">
        <f ca="1">IFERROR(__xludf.DUMMYFUNCTION("GOOGLETRANSLATE(D2794,""auto"",""en"")"),"Small football robots based on deep reinforcement learning actively control the suction method")</f>
        <v>Small football robots based on deep reinforcement learning actively control the suction method</v>
      </c>
    </row>
    <row r="2795" spans="1:5" ht="15" x14ac:dyDescent="0.25">
      <c r="A2795" s="5" t="s">
        <v>7884</v>
      </c>
      <c r="B2795" s="6" t="s">
        <v>7885</v>
      </c>
      <c r="C2795" s="3" t="str">
        <f ca="1">IFERROR(__xludf.DUMMYFUNCTION("GOOGLETRANSLATE(B2795,""auto"",""en"")"),"One purpose of the present invention is to automatically switch and display the image of each player.
  Solution: In the automatic switch mode, the player recognition unit 103 will meet the image recognition of the player who predetermined the display c"&amp;"onditions as a player who is displayed when the scheduled switching conditions are met. For example, the player's determination of the 103 determination of the ranking of the ranking in the competition to meet the prescribed ranking conditions to meet the"&amp;" display conditions. By allocating the specified video, the video allocation unit 105 will be transformed to a video on the display surface 351 displayed on the display device 30 when the predetermined switching conditions are met to meet the video of the"&amp;" player who meets the predetermined display conditions. Specifically, the image distribution department 105 will display the image displayed by the device 30 as the image of the players who meet the specified display conditions, and switch to the image of"&amp;" the players with ranking conditions.
  【Selection Figure】 Figure 5")</f>
        <v>One purpose of the present invention is to automatically switch and display the image of each player.
  Solution: In the automatic switch mode, the player recognition unit 103 will meet the image recognition of the player who predetermined the display conditions as a player who is displayed when the scheduled switching conditions are met. For example, the player's determination of the 103 determination of the ranking of the ranking in the competition to meet the prescribed ranking conditions to meet the display conditions. By allocating the specified video, the video allocation unit 105 will be transformed to a video on the display surface 351 displayed on the display device 30 when the predetermined switching conditions are met to meet the video of the player who meets the predetermined display conditions. Specifically, the image distribution department 105 will display the image displayed by the device 30 as the image of the players who meet the specified display conditions, and switch to the image of the players with ranking conditions.
  【Selection Figure】 Figure 5</v>
      </c>
      <c r="D2795" s="6" t="s">
        <v>7886</v>
      </c>
      <c r="E2795" s="4" t="str">
        <f ca="1">IFERROR(__xludf.DUMMYFUNCTION("GOOGLETRANSLATE(D2795,""auto"",""en"")"),"Information processing device")</f>
        <v>Information processing device</v>
      </c>
    </row>
    <row r="2796" spans="1:5" ht="15" x14ac:dyDescent="0.25">
      <c r="A2796" s="5" t="s">
        <v>7887</v>
      </c>
      <c r="B2796" s="6" t="s">
        <v>7888</v>
      </c>
      <c r="C2796" s="3" t="str">
        <f ca="1">IFERROR(__xludf.DUMMYFUNCTION("GOOGLETRANSLATE(B2796,""auto"",""en"")"),"1. The name of the product designed this product: for the graphical user interface for the control screen of the car.
 2. Design product use in appearance: run program.
 3. Design of the design of the product in this appearance: lies in the graphic us"&amp;"er interface content in the screen.
 4. Pictures or photos that can most indicate design points: main view.
 5. The central control screen of the car is the existing design. There are no main points of other views, and other views are omitted.
 6. T"&amp;"he purpose of the graphical user interface: The design of the design of this design is a graphical user interface for the news of the car broadcast and viewing the news.
 7. Human -computer interaction method of graphics user interface: The main visual "&amp;"map interface is the recommendation press interface that the server is successfully displayed after the software starts; The display as shown in the interface change state Figure 2; if the resource abnormal loading fails, the interface changes are display"&amp;"ed. Figure 3; the main view of the main view of the resource provides the LOGO of the resource, and the news classification recommendation, wearing, hotspots, headlines, sports, finance, finance, finance, finance, finance, finance, finance, finance, finan"&amp;"cial and economic Wait, click the corresponding entry to switch the classification news, or slide left and right on the content of the news list below to switch the content; the list card below is the content drawing, the title display, the provider and t"&amp;"he update time, the right side is the playback button.
 Click on the play button on the right side of the main news list in the main view interface. If the network is loaded slowly, the interface changes state Figure 4; if the loading is completed, the "&amp;"playback will be displayed, and the interface changes state diagram 5. Click the pause button to pause the playback; drop the pull -down pull; drop the pull pull -down; pull down the pull -down; pull down the pull -down; pull down the pull -down; pull dow"&amp;"n the pull -down; pull down the pull -down; pull down the pull -down; pull down the pull -down; pull down the pull -down; pull down the pull -down; pull down the pull -down; drop the pull -down pull; The list of interface changes in Figure 5 will appear t"&amp;"o be loaded, that is, the display interface changes state Figure 6; if the loading fails, the interface changes state Figure 7, prompt disappearing the current cache content after three seconds; There is a process of loading in the middle and upper -pull "&amp;"loading current page, that is, the display interface changes status Figure 8; if the loading fails, the interface changes state Figure 9, prompt to disappear the current cache content after three seconds; Slowly, the content of the content is displayed in"&amp;" a place occupies first; click the list bar other than the icon in the main view interface, and it will jump to the interface change state diagram 11; 12. Click the icon in the upper left corner to return to the list page, click the left and right buttons"&amp;" at the bottom to display the previous or the next news. When the current news is the first or last news, the corresponding left and right buttons are gray. If the failure, the interface changes state Figure 13; the interface changes state Figure 14 is th"&amp;"e display interface played to the last one, and the next button is not available for clicks; click the interface changes status. As shown in the interface change state Figure 15; the load is successfully played, the display interface changes are displayed"&amp;". Figure 16.")</f>
        <v>1. The name of the product designed this product: for the graphical user interface for the control screen of the car.
 2. Design product use in appearance: run program.
 3. Design of the design of the product in this appearance: lies in the graphic user interface content in the screen.
 4. Pictures or photos that can most indicate design points: main view.
 5. The central control screen of the car is the existing design. There are no main points of other views, and other views are omitted.
 6. The purpose of the graphical user interface: The design of the design of this design is a graphical user interface for the news of the car broadcast and viewing the news.
 7. Human -computer interaction method of graphics user interface: The main visual map interface is the recommendation press interface that the server is successfully displayed after the software starts; The display as shown in the interface change state Figure 2; if the resource abnormal loading fails, the interface changes are displayed. Figure 3; the main view of the main view of the resource provides the LOGO of the resource, and the news classification recommendation, wearing, hotspots, headlines, sports, finance, finance, finance, finance, finance, finance, finance, finance, financial and economic Wait, click the corresponding entry to switch the classification news, or slide left and right on the content of the news list below to switch the content; the list card below is the content drawing, the title display, the provider and the update time, the right side is the playback button.
 Click on the play button on the right side of the main news list in the main view interface. If the network is loaded slowly, the interface changes state Figure 4; if the loading is completed, the playback will be displayed, and the interface changes state diagram 5. Click the pause button to pause the playback; drop the pull -down pull; drop the pull pull -down; pull down the pull -down; pull down the pull -down; pull down the pull -down; pull down the pull -down; pull down the pull -down; pull down the pull -down; pull down the pull -down; pull down the pull -down; pull down the pull -down; pull down the pull -down; drop the pull -down pull; The list of interface changes in Figure 5 will appear to be loaded, that is, the display interface changes state Figure 6; if the loading fails, the interface changes state Figure 7, prompt disappearing the current cache content after three seconds; There is a process of loading in the middle and upper -pull loading current page, that is, the display interface changes status Figure 8; if the loading fails, the interface changes state Figure 9, prompt to disappear the current cache content after three seconds; Slowly, the content of the content is displayed in a place occupies first; click the list bar other than the icon in the main view interface, and it will jump to the interface change state diagram 11; 12. Click the icon in the upper left corner to return to the list page, click the left and right buttons at the bottom to display the previous or the next news. When the current news is the first or last news, the corresponding left and right buttons are gray. If the failure, the interface changes state Figure 13; the interface changes state Figure 14 is the display interface played to the last one, and the next button is not available for clicks; click the interface changes status. As shown in the interface change state Figure 15; the load is successfully played, the display interface changes are displayed. Figure 16.</v>
      </c>
      <c r="D2796" s="6" t="s">
        <v>7889</v>
      </c>
      <c r="E2796" s="4" t="str">
        <f ca="1">IFERROR(__xludf.DUMMYFUNCTION("GOOGLETRANSLATE(D2796,""auto"",""en"")"),"Graphical user interface used for car -controlled screens")</f>
        <v>Graphical user interface used for car -controlled screens</v>
      </c>
    </row>
    <row r="2797" spans="1:5" ht="15" x14ac:dyDescent="0.25">
      <c r="A2797" s="5" t="s">
        <v>7890</v>
      </c>
      <c r="B2797" s="6" t="s">
        <v>7891</v>
      </c>
      <c r="C2797" s="3" t="str">
        <f ca="1">IFERROR(__xludf.DUMMYFUNCTION("GOOGLETRANSLATE(B2797,""auto"",""en"")"),"The present invention provides a method of comparison method based on artificial intelligence -based physical action recognition, including the following steps: S1, collect standard limb movement data, and train standard action models; S2, collect the phy"&amp;"sical action data; S3, it will be compared to compare For limb movement data input standard action models, the standard limb movement data and the key point data of the limbs in the limb movement data are extracted; S4, calculate the calculation of the ke"&amp;"y points of the limb key in the limb movement data according to the standard limb movement data and to the physical movement data. To compare the deviation between the limb movement and the standard limb movement, and score the comparison on the limb move"&amp;"ment. The invention has low cost, high convenience, and high efficiency, which can be applied to AI fitness and other scenarios for physical action recognition.")</f>
        <v>The present invention provides a method of comparison method based on artificial intelligence -based physical action recognition, including the following steps: S1, collect standard limb movement data, and train standard action models; S2, collect the physical action data; S3, it will be compared to compare For limb movement data input standard action models, the standard limb movement data and the key point data of the limbs in the limb movement data are extracted; S4, calculate the calculation of the key points of the limb key in the limb movement data according to the standard limb movement data and to the physical movement data. To compare the deviation between the limb movement and the standard limb movement, and score the comparison on the limb movement. The invention has low cost, high convenience, and high efficiency, which can be applied to AI fitness and other scenarios for physical action recognition.</v>
      </c>
      <c r="D2797" s="6" t="s">
        <v>7892</v>
      </c>
      <c r="E2797" s="4" t="str">
        <f ca="1">IFERROR(__xludf.DUMMYFUNCTION("GOOGLETRANSLATE(D2797,""auto"",""en"")"),"A method based on artificial intelligence -based physical action recognition comparison")</f>
        <v>A method based on artificial intelligence -based physical action recognition comparison</v>
      </c>
    </row>
    <row r="2798" spans="1:5" ht="15" x14ac:dyDescent="0.25">
      <c r="A2798" s="5" t="s">
        <v>7893</v>
      </c>
      <c r="B2798" s="6" t="s">
        <v>7894</v>
      </c>
      <c r="C2798" s="3" t="str">
        <f ca="1">IFERROR(__xludf.DUMMYFUNCTION("GOOGLETRANSLATE(B2798,""auto"",""en"")"),"Before the sports competitions to be broadcast, use machine learning adjustment (or training) audio forecast algorithms. The audio forecast algorithm is then continuously located to continue to locate a set of mobile microphones during the sports competit"&amp;"ion. In some embodiments, the frequency band prediction algorithm is used in the audio forecast algorithm. In some embodiments, use group -based related algorithms in audio forecast algorithms.")</f>
        <v>Before the sports competitions to be broadcast, use machine learning adjustment (or training) audio forecast algorithms. The audio forecast algorithm is then continuously located to continue to locate a set of mobile microphones during the sports competition. In some embodiments, the frequency band prediction algorithm is used in the audio forecast algorithm. In some embodiments, use group -based related algorithms in audio forecast algorithms.</v>
      </c>
      <c r="D2798" s="6" t="s">
        <v>7895</v>
      </c>
      <c r="E2798" s="4" t="str">
        <f ca="1">IFERROR(__xludf.DUMMYFUNCTION("GOOGLETRANSLATE(D2798,""auto"",""en"")"),"The sound of predicting on -site performances to determine the microphone location")</f>
        <v>The sound of predicting on -site performances to determine the microphone location</v>
      </c>
    </row>
    <row r="2799" spans="1:5" ht="15" x14ac:dyDescent="0.25">
      <c r="A2799" s="5" t="s">
        <v>7896</v>
      </c>
      <c r="B2799" s="6" t="s">
        <v>7897</v>
      </c>
      <c r="C2799" s="3" t="str">
        <f ca="1">IFERROR(__xludf.DUMMYFUNCTION("GOOGLETRANSLATE(B2799,""auto"",""en"")"),"The invention disclosed a way to automatically generate the NBA basketball news combined with the knowledge map of the NBA event, including: pre -processing the NBA text live text data crawling of the Internet, removing the crawler webpage label, and remo"&amp;"ving the stop words in the text, and then It is expressed in the five -dollar group; according to the proposed segmented algorithm, the pre -processing live data segmentation data segments are used to obtain the development trend of the game; according to"&amp;" the definition of special events of the basketball event, special events are extracted; Description templates; combine data segment results, special events extraction results and corresponding news description templates to generate a preliminary release "&amp;"of news; combine the knowledge map, generate the background information of the game, and get the release of the news; therefore, the automatic generation of the news of the NBA event news is realized. It improved the quality of the news of the generated N"&amp;"BA events, and can better control the generated news content.")</f>
        <v>The invention disclosed a way to automatically generate the NBA basketball news combined with the knowledge map of the NBA event, including: pre -processing the NBA text live text data crawling of the Internet, removing the crawler webpage label, and removing the stop words in the text, and then It is expressed in the five -dollar group; according to the proposed segmented algorithm, the pre -processing live data segmentation data segments are used to obtain the development trend of the game; according to the definition of special events of the basketball event, special events are extracted; Description templates; combine data segment results, special events extraction results and corresponding news description templates to generate a preliminary release of news; combine the knowledge map, generate the background information of the game, and get the release of the news; therefore, the automatic generation of the news of the NBA event news is realized. It improved the quality of the news of the generated NBA events, and can better control the generated news content.</v>
      </c>
      <c r="D2799" s="6" t="s">
        <v>7898</v>
      </c>
      <c r="E2799" s="4" t="str">
        <f ca="1">IFERROR(__xludf.DUMMYFUNCTION("GOOGLETRANSLATE(D2799,""auto"",""en"")"),"NBA basketball news automatic generation method combined with the knowledge map of the NBA event")</f>
        <v>NBA basketball news automatic generation method combined with the knowledge map of the NBA event</v>
      </c>
    </row>
    <row r="2800" spans="1:5" ht="15" x14ac:dyDescent="0.25">
      <c r="A2800" s="5" t="s">
        <v>7899</v>
      </c>
      <c r="B2800" s="6" t="s">
        <v>7900</v>
      </c>
      <c r="C2800" s="3" t="str">
        <f ca="1">IFERROR(__xludf.DUMMYFUNCTION("GOOGLETRANSLATE(B2800,""auto"",""en"")"),"The present invention involves a broadcast system that provides a sports game video taken using a VR camera connected to the drone. According to the present invention, a VR camera designed and recording and reproducible image based on dual image sensors c"&amp;"an transmit images captured by the installed VR camera to the broadcast server, and transmit the control signal required by the drone. Flying from the broadcast server. Drone flying over the sports field, responding to the position and angle of receiving "&amp;"and shooting, and input the received image into the pre -constructed neural network model for learning, and control the drone network model and broadcast through the neural network that learns to learn The server generates a control signal and sends the r"&amp;"eceived image to the user terminal. Broadcasting systems based on the embodiment of the present invention to provide sports events can control the autonomous flight of the drone based on the video captured by the VR camera and the drone control signal gen"&amp;"erated by the user to control the drone. Using neural networks and recursive neural network derivation signals can reduce the generation process of drone control signals, and provide a drone control signal that can accurately and accurately control the dr"&amp;"one.")</f>
        <v>The present invention involves a broadcast system that provides a sports game video taken using a VR camera connected to the drone. According to the present invention, a VR camera designed and recording and reproducible image based on dual image sensors can transmit images captured by the installed VR camera to the broadcast server, and transmit the control signal required by the drone. Flying from the broadcast server. Drone flying over the sports field, responding to the position and angle of receiving and shooting, and input the received image into the pre -constructed neural network model for learning, and control the drone network model and broadcast through the neural network that learns to learn The server generates a control signal and sends the received image to the user terminal. Broadcasting systems based on the embodiment of the present invention to provide sports events can control the autonomous flight of the drone based on the video captured by the VR camera and the drone control signal generated by the user to control the drone. Using neural networks and recursive neural network derivation signals can reduce the generation process of drone control signals, and provide a drone control signal that can accurately and accurately control the drone.</v>
      </c>
      <c r="D2800" s="6" t="s">
        <v>7901</v>
      </c>
      <c r="E2800" s="4" t="str">
        <f ca="1">IFERROR(__xludf.DUMMYFUNCTION("GOOGLETRANSLATE(D2800,""auto"",""en"")"),"A radio system, using VR camera connected to the drone to provide video shooting video to provide sports events")</f>
        <v>A radio system, using VR camera connected to the drone to provide video shooting video to provide sports events</v>
      </c>
    </row>
    <row r="2801" spans="1:5" ht="15" x14ac:dyDescent="0.25">
      <c r="A2801" s="5" t="s">
        <v>7902</v>
      </c>
      <c r="B2801" s="6" t="s">
        <v>7903</v>
      </c>
      <c r="C2801" s="3" t="str">
        <f ca="1">IFERROR(__xludf.DUMMYFUNCTION("GOOGLETRANSLATE(B2801,""auto"",""en"")"),"The present invention revealed a method of reviewing short video generation methods based on deep -enhanced learning events, including: enter the original video of sports events, data processing through data pre -processing, lens segmentation, and feature"&amp;" extraction Data format storage to obtain the structured data of the original video; build a deep summary network, and based on the method of strengthening learning, the coder ‑ decoder deep learning network structure And optimize the model; enter the str"&amp;"uctured data of the original video to be predicted, and synthesize and output the corresponding short video media files according to the corresponding results data. The method of the present invention solved the problem of processing difficulties due to t"&amp;"he complexity of the data itself due to the complexity of the data. Essence")</f>
        <v>The present invention revealed a method of reviewing short video generation methods based on deep -enhanced learning events, including: enter the original video of sports events, data processing through data pre -processing, lens segmentation, and feature extraction Data format storage to obtain the structured data of the original video; build a deep summary network, and based on the method of strengthening learning, the coder ‑ decoder deep learning network structure And optimize the model; enter the structured data of the original video to be predicted, and synthesize and output the corresponding short video media files according to the corresponding results data. The method of the present invention solved the problem of processing difficulties due to the complexity of the data itself due to the complexity of the data. Essence</v>
      </c>
      <c r="D2801" s="6" t="s">
        <v>7904</v>
      </c>
      <c r="E2801" s="4" t="str">
        <f ca="1">IFERROR(__xludf.DUMMYFUNCTION("GOOGLETRANSLATE(D2801,""auto"",""en"")"),"Review the short video generating method based on sports events based on deep enhancement learning")</f>
        <v>Review the short video generating method based on sports events based on deep enhancement learning</v>
      </c>
    </row>
    <row r="2802" spans="1:5" ht="15" x14ac:dyDescent="0.25">
      <c r="A2802" s="5" t="s">
        <v>7905</v>
      </c>
      <c r="B2802" s="6" t="s">
        <v>7906</v>
      </c>
      <c r="C2802" s="3" t="str">
        <f ca="1">IFERROR(__xludf.DUMMYFUNCTION("GOOGLETRANSLATE(B2802,""auto"",""en"")"),"The present invention involves a personalized and customized fitness system, which is characterized by the portable monitoring unit, servo unit, wound mechanism, power media, operating unit, human -computer interaction unit and cloud. The fitness system p"&amp;"rovided by the present invention is suitable for different people with different heights and long arm lengths to achieve personalized fitness customization. It has the following advantages and positive effects: unlike traditional self -weight or heavy fit"&amp;"ness projects, active and passive fitness exercises can pass through Set the corresponding torque to make the fitness feel the resistance, which is safe and can increase the fitness effect and fitness experience. For different people, the fitness system c"&amp;"an remember the best start and end operation position of the person's fitness project, so that the same fitness system is applicable to different people to make humanized customs and economical and practical. It is possible to make ordinary people correct"&amp;" and safe fitness with the assistance of a fitness coach.")</f>
        <v>The present invention involves a personalized and customized fitness system, which is characterized by the portable monitoring unit, servo unit, wound mechanism, power media, operating unit, human -computer interaction unit and cloud. The fitness system provided by the present invention is suitable for different people with different heights and long arm lengths to achieve personalized fitness customization. It has the following advantages and positive effects: unlike traditional self -weight or heavy fitness projects, active and passive fitness exercises can pass through Set the corresponding torque to make the fitness feel the resistance, which is safe and can increase the fitness effect and fitness experience. For different people, the fitness system can remember the best start and end operation position of the person's fitness project, so that the same fitness system is applicable to different people to make humanized customs and economical and practical. It is possible to make ordinary people correct and safe fitness with the assistance of a fitness coach.</v>
      </c>
      <c r="D2802" s="6" t="s">
        <v>7907</v>
      </c>
      <c r="E2802" s="4" t="str">
        <f ca="1">IFERROR(__xludf.DUMMYFUNCTION("GOOGLETRANSLATE(D2802,""auto"",""en"")"),"A personalized and customized fitness system")</f>
        <v>A personalized and customized fitness system</v>
      </c>
    </row>
    <row r="2803" spans="1:5" ht="15" x14ac:dyDescent="0.25">
      <c r="A2803" s="5" t="s">
        <v>7908</v>
      </c>
      <c r="B2803" s="6" t="s">
        <v>7909</v>
      </c>
      <c r="C2803" s="3" t="str">
        <f ca="1">IFERROR(__xludf.DUMMYFUNCTION("GOOGLETRANSLATE(B2803,""auto"",""en"")"),"The invention is a computer technology field, especially involving a kind of football game recognition method, device, computer readable storage medium and terminal equipment based on deep learning. The method first obtains the video of the football game "&amp;"to be recognized, and then divides the video of the football game into N video bands, and takes a frame of images from each video band as an input image. The preset deep learning network model is processed to the input image, and the behavior recognition "&amp;"results corresponding to the video corresponding to the football game video are obtained. Through the embodiment of the present invention, use the Inception network model to learn the relationship between the pixels in each frame of the input image, and u"&amp;"se the three -dimensional resnet network model to learn the relationship between the input images. The process reduces the accuracy loss caused by the overlapping of multiple complex steps in the existing technologies. While reducing the time consumption,"&amp;" it also improves the accuracy of the final recognition results.")</f>
        <v>The invention is a computer technology field, especially involving a kind of football game recognition method, device, computer readable storage medium and terminal equipment based on deep learning. The method first obtains the video of the football game to be recognized, and then divides the video of the football game into N video bands, and takes a frame of images from each video band as an input image. The preset deep learning network model is processed to the input image, and the behavior recognition results corresponding to the video corresponding to the football game video are obtained. Through the embodiment of the present invention, use the Inception network model to learn the relationship between the pixels in each frame of the input image, and use the three -dimensional resnet network model to learn the relationship between the input images. The process reduces the accuracy loss caused by the overlapping of multiple complex steps in the existing technologies. While reducing the time consumption, it also improves the accuracy of the final recognition results.</v>
      </c>
      <c r="D2803" s="6" t="s">
        <v>7687</v>
      </c>
      <c r="E2803" s="4" t="str">
        <f ca="1">IFERROR(__xludf.DUMMYFUNCTION("GOOGLETRANSLATE(D2803,""auto"",""en"")"),"Deep learning -based football competition behavior recognition method, device and terminal equipment")</f>
        <v>Deep learning -based football competition behavior recognition method, device and terminal equipment</v>
      </c>
    </row>
    <row r="2804" spans="1:5" ht="15" x14ac:dyDescent="0.25">
      <c r="A2804" s="5" t="s">
        <v>7910</v>
      </c>
      <c r="B2804" s="6" t="s">
        <v>7911</v>
      </c>
      <c r="C2804" s="3" t="str">
        <f ca="1">IFERROR(__xludf.DUMMYFUNCTION("GOOGLETRANSLATE(B2804,""auto"",""en"")"),"The present invention disclosed a method of implementing the ball field camera implementation method based on artificial intelligence visual recognition technology. Fixed the pre -mobile area B, and the pre -movement area B contains a fixed monitoring are"&amp;"a C; S2, the camera to collect the image of the area where the game is located and use the background server visual recognition module to determine the camera area where the game is located; The collected image is uploaded to the background server. The ba"&amp;"ck -end server will publish the received images to the required audience through the Internet; S4 and background servers edit the image automatic image and save wonderful images in memory for post -stage for post -stage period View; be able to put the are"&amp;"a where the game is located in real time is under the lens to effectively prevent the game from flying out of the camera screen, improve the video effect of the camera, and the live broadcast effect.")</f>
        <v>The present invention disclosed a method of implementing the ball field camera implementation method based on artificial intelligence visual recognition technology. Fixed the pre -mobile area B, and the pre -movement area B contains a fixed monitoring area C; S2, the camera to collect the image of the area where the game is located and use the background server visual recognition module to determine the camera area where the game is located; The collected image is uploaded to the background server. The back -end server will publish the received images to the required audience through the Internet; S4 and background servers edit the image automatic image and save wonderful images in memory for post -stage for post -stage period View; be able to put the area where the game is located in real time is under the lens to effectively prevent the game from flying out of the camera screen, improve the video effect of the camera, and the live broadcast effect.</v>
      </c>
      <c r="D2804" s="6" t="s">
        <v>7912</v>
      </c>
      <c r="E2804" s="4" t="str">
        <f ca="1">IFERROR(__xludf.DUMMYFUNCTION("GOOGLETRANSLATE(D2804,""auto"",""en"")"),"A way of implementing the ball field camera based on artificial intelligence visual recognition technology")</f>
        <v>A way of implementing the ball field camera based on artificial intelligence visual recognition technology</v>
      </c>
    </row>
    <row r="2805" spans="1:5" ht="15" x14ac:dyDescent="0.25">
      <c r="A2805" s="5" t="s">
        <v>7913</v>
      </c>
      <c r="B2805" s="6" t="s">
        <v>7914</v>
      </c>
      <c r="C2805" s="3" t="str">
        <f ca="1">IFERROR(__xludf.DUMMYFUNCTION("GOOGLETRANSLATE(B2805,""auto"",""en"")"),"The present invention discloses a test device for artificial intelligence running results. The key points of its technical solutions include the startup system, the processing system started by the startup system, and the induction device. The pedal of th"&amp;"e dynamic open switch; the pedal includes the upper base and the lower base with the upper base; the micro switch is set in the lower base; the surface of the lower base is set with a rotor; Including a cylindrical pores set at the back of the lower base;"&amp;" the cylindrical hole is set with supported cylinders; supporting cylindrical and cylindrical pores to coordinate; a springs are set down with a sprint of the cylindrical and cylindrical holes; Spring is set inside the spring tolerance; the rear side of t"&amp;"he lower base is set with a adjustable nut; the present invention has accurate timing and can accurately judge the effect of the athlete's starting time.")</f>
        <v>The present invention discloses a test device for artificial intelligence running results. The key points of its technical solutions include the startup system, the processing system started by the startup system, and the induction device. The pedal of the dynamic open switch; the pedal includes the upper base and the lower base with the upper base; the micro switch is set in the lower base; the surface of the lower base is set with a rotor; Including a cylindrical pores set at the back of the lower base; the cylindrical hole is set with supported cylinders; supporting cylindrical and cylindrical pores to coordinate; a springs are set down with a sprint of the cylindrical and cylindrical holes; Spring is set inside the spring tolerance; the rear side of the lower base is set with a adjustable nut; the present invention has accurate timing and can accurately judge the effect of the athlete's starting time.</v>
      </c>
      <c r="D2805" s="6" t="s">
        <v>7915</v>
      </c>
      <c r="E2805" s="4" t="str">
        <f ca="1">IFERROR(__xludf.DUMMYFUNCTION("GOOGLETRANSLATE(D2805,""auto"",""en"")"),"A test device for artificial intelligence running results")</f>
        <v>A test device for artificial intelligence running results</v>
      </c>
    </row>
    <row r="2806" spans="1:5" ht="15" x14ac:dyDescent="0.25">
      <c r="A2806" s="5" t="s">
        <v>7916</v>
      </c>
      <c r="B2806" s="6" t="s">
        <v>7917</v>
      </c>
      <c r="C2806" s="3" t="str">
        <f ca="1">IFERROR(__xludf.DUMMYFUNCTION("GOOGLETRANSLATE(B2806,""auto"",""en"")"),"This utility model opens a test device for artificial intelligence running results. The key points of its technical solutions include the startup system, the processing system started by the startup system, and the induction device. The pedal of the micro"&amp;" -switch; the pedal includes the upper base and the lower base of the hinge with the upper base; the micro switch is set in the lower base; the surface of the lower base is set with a rotor; The pieces include a cylindrical hole set on the rear side of th"&amp;"e lower base; the cylindrical holes are set with supporting cylinders; supporting cylindrical and cylindrical holes in the pillar and cylindrical holes; ; The spring is set with a spring; the rear side of the lower base is set with a adjustable nut; the s"&amp;"olid new type has accurate timing and can accurately determine the effect of the athlete's starting time.")</f>
        <v>This utility model opens a test device for artificial intelligence running results. The key points of its technical solutions include the startup system, the processing system started by the startup system, and the induction device. The pedal of the micro -switch; the pedal includes the upper base and the lower base of the hinge with the upper base; the micro switch is set in the lower base; the surface of the lower base is set with a rotor; The pieces include a cylindrical hole set on the rear side of the lower base; the cylindrical holes are set with supporting cylinders; supporting cylindrical and cylindrical holes in the pillar and cylindrical holes; ; The spring is set with a spring; the rear side of the lower base is set with a adjustable nut; the solid new type has accurate timing and can accurately determine the effect of the athlete's starting time.</v>
      </c>
      <c r="D2806" s="6" t="s">
        <v>7915</v>
      </c>
      <c r="E2806" s="4" t="str">
        <f ca="1">IFERROR(__xludf.DUMMYFUNCTION("GOOGLETRANSLATE(D2806,""auto"",""en"")"),"A test device for artificial intelligence running results")</f>
        <v>A test device for artificial intelligence running results</v>
      </c>
    </row>
    <row r="2807" spans="1:5" ht="15" x14ac:dyDescent="0.25">
      <c r="A2807" s="5" t="s">
        <v>7918</v>
      </c>
      <c r="B2807" s="6" t="s">
        <v>7919</v>
      </c>
      <c r="C2807" s="3" t="str">
        <f ca="1">IFERROR(__xludf.DUMMYFUNCTION("GOOGLETRANSLATE(B2807,""auto"",""en"")"),"A system and method that uses artificial intelligence technology to monitor and maintain an overweight individual weight. Software applications with AI are used by private coaches for setting BMI and other health standards. Private coaches use this applic"&amp;"ation to set goals for each customer, and AI will remind customers from time to time to achieve their goals in order to control weight. The main key feature of the system is to use the information in the electronic health records and provide personal targ"&amp;"et settings, weight change monitoring and physical activity combination feedback, increase the knowledge of personalized education materials, set personal weight loss goals, self -monitor weight, and physical body Activities, online social support interac"&amp;"ting with clinicians.")</f>
        <v>A system and method that uses artificial intelligence technology to monitor and maintain an overweight individual weight. Software applications with AI are used by private coaches for setting BMI and other health standards. Private coaches use this application to set goals for each customer, and AI will remind customers from time to time to achieve their goals in order to control weight. The main key feature of the system is to use the information in the electronic health records and provide personal target settings, weight change monitoring and physical activity combination feedback, increase the knowledge of personalized education materials, set personal weight loss goals, self -monitor weight, and physical body Activities, online social support interacting with clinicians.</v>
      </c>
      <c r="D2807" s="6" t="s">
        <v>7920</v>
      </c>
      <c r="E2807" s="4" t="str">
        <f ca="1">IFERROR(__xludf.DUMMYFUNCTION("GOOGLETRANSLATE(D2807,""auto"",""en"")"),"Using artificial intelligence personalized health care management system")</f>
        <v>Using artificial intelligence personalized health care management system</v>
      </c>
    </row>
    <row r="2808" spans="1:5" ht="15" x14ac:dyDescent="0.25">
      <c r="A2808" s="5" t="s">
        <v>7921</v>
      </c>
      <c r="B2808" s="6" t="s">
        <v>7922</v>
      </c>
      <c r="C2808" s="3" t="str">
        <f ca="1">IFERROR(__xludf.DUMMYFUNCTION("GOOGLETRANSLATE(B2808,""auto"",""en"")"),"The present invention disclosed a method of judgment of a billiard collision library and a billiard competition system. This method includes the following steps: within a hit scope, identify the ball, the edge of the warehouse, and the library side positi"&amp;"on according to the scope of the game; to obtain At least one frame of the process image of the game, identify the sports billiards information in the image of each frame, and according to the inter -frame data of the athletic pledge, speculate on the spe"&amp;"culative location of the relationship between the athletic and library; The relationship with the side of the library is to determine the cinema collision information of the current sports billiards. The method and system of the present invention, the jud"&amp;"gment of billiards collision library is more reasonable and accurate.")</f>
        <v>The present invention disclosed a method of judgment of a billiard collision library and a billiard competition system. This method includes the following steps: within a hit scope, identify the ball, the edge of the warehouse, and the library side position according to the scope of the game; to obtain At least one frame of the process image of the game, identify the sports billiards information in the image of each frame, and according to the inter -frame data of the athletic pledge, speculate on the speculative location of the relationship between the athletic and library; The relationship with the side of the library is to determine the cinema collision information of the current sports billiards. The method and system of the present invention, the judgment of billiards collision library is more reasonable and accurate.</v>
      </c>
      <c r="D2808" s="6" t="s">
        <v>7923</v>
      </c>
      <c r="E2808" s="4" t="str">
        <f ca="1">IFERROR(__xludf.DUMMYFUNCTION("GOOGLETRANSLATE(D2808,""auto"",""en"")"),"The judgment method of a billiard collision library and the billiard competition scoring system")</f>
        <v>The judgment method of a billiard collision library and the billiard competition scoring system</v>
      </c>
    </row>
    <row r="2809" spans="1:5" ht="15" x14ac:dyDescent="0.25">
      <c r="A2809" s="5" t="s">
        <v>7924</v>
      </c>
      <c r="B2809" s="6" t="s">
        <v>2974</v>
      </c>
      <c r="C2809" s="3" t="str">
        <f ca="1">IFERROR(__xludf.DUMMYFUNCTION("GOOGLETRANSLATE(B2809,""auto"",""en"")"),"The user calculates the entity execution of the application code to display IUI by using the user's user interface to calculate the user interface through the user. IUI includes action list, which includes one or more action items corresponding to one or "&amp;"more team members corresponding to the team. Action projects are automatically sorted according to one or more action priorities. At least one in the action project corresponds to the opportunity for counseling and responding to it. Recommended models of "&amp;"machine learning training based on performance data corresponding to multiple key performance indicators measured by multiple key performance indicators are used automatically. The recommendation of the coaching opportunity is determined by using a recomm"&amp;"endation model and based on performance data. Recommended models use information about previous coaching opportunities and the corresponding results indicators of a group of teams for training.")</f>
        <v>The user calculates the entity execution of the application code to display IUI by using the user's user interface to calculate the user interface through the user. IUI includes action list, which includes one or more action items corresponding to one or more team members corresponding to the team. Action projects are automatically sorted according to one or more action priorities. At least one in the action project corresponds to the opportunity for counseling and responding to it. Recommended models of machine learning training based on performance data corresponding to multiple key performance indicators measured by multiple key performance indicators are used automatically. The recommendation of the coaching opportunity is determined by using a recommendation model and based on performance data. Recommended models use information about previous coaching opportunities and the corresponding results indicators of a group of teams for training.</v>
      </c>
      <c r="D2809" s="6" t="s">
        <v>2975</v>
      </c>
      <c r="E2809" s="4" t="str">
        <f ca="1">IFERROR(__xludf.DUMMYFUNCTION("GOOGLETRANSLATE(D2809,""auto"",""en"")"),"Self -training machine learning system for generating and providing action recommendations")</f>
        <v>Self -training machine learning system for generating and providing action recommendations</v>
      </c>
    </row>
    <row r="2810" spans="1:5" ht="15" x14ac:dyDescent="0.25">
      <c r="A2810" s="5" t="s">
        <v>7925</v>
      </c>
      <c r="B2810" s="6" t="s">
        <v>7926</v>
      </c>
      <c r="C2810" s="3" t="str">
        <f ca="1">IFERROR(__xludf.DUMMYFUNCTION("GOOGLETRANSLATE(B2810,""auto"",""en"")"),"This application disclosed a method and device of a video. Among them, this method includes: to obtain frame images of the original video, of which the frame image is a variety of images including the first human body; the frame image is entered into the "&amp;"deep learning model in the preset order to obtain the target image, and the target image is obtained. The target image is the image that migrates multiple actions from the first human body to the second body; the target image is composed of the target vid"&amp;"eo frame by frame. This application solves the process of making the course caused by conventional camera recording due to the existing fitness course.")</f>
        <v>This application disclosed a method and device of a video. Among them, this method includes: to obtain frame images of the original video, of which the frame image is a variety of images including the first human body; the frame image is entered into the deep learning model in the preset order to obtain the target image, and the target image is obtained. The target image is the image that migrates multiple actions from the first human body to the second body; the target image is composed of the target video frame by frame. This application solves the process of making the course caused by conventional camera recording due to the existing fitness course.</v>
      </c>
      <c r="D2810" s="6" t="s">
        <v>7927</v>
      </c>
      <c r="E2810" s="4" t="str">
        <f ca="1">IFERROR(__xludf.DUMMYFUNCTION("GOOGLETRANSLATE(D2810,""auto"",""en"")"),"Video generation method and device")</f>
        <v>Video generation method and device</v>
      </c>
    </row>
    <row r="2811" spans="1:5" ht="15" x14ac:dyDescent="0.25">
      <c r="A2811" s="5" t="s">
        <v>7928</v>
      </c>
      <c r="B2811" s="6" t="s">
        <v>7929</v>
      </c>
      <c r="C2811" s="3" t="str">
        <f ca="1">IFERROR(__xludf.DUMMYFUNCTION("GOOGLETRANSLATE(B2811,""auto"",""en"")"),"Computer vision, target tracking and image analysis equipment, systems, and methods; especially suitable or configured to analyze the image or video used to analyze tennis. One device includes two adjacent and at the same position. The angle between them "&amp;"is 20 to 120 degrees, which can capture at least 75% of the combination of the entire tennis court. The processor uses a computer visual algorithm to analyze the captured images or videos, and detect the ball rebound event and its attributes. There is ins"&amp;"ight into the performance of one or more players.")</f>
        <v>Computer vision, target tracking and image analysis equipment, systems, and methods; especially suitable or configured to analyze the image or video used to analyze tennis. One device includes two adjacent and at the same position. The angle between them is 20 to 120 degrees, which can capture at least 75% of the combination of the entire tennis court. The processor uses a computer visual algorithm to analyze the captured images or videos, and detect the ball rebound event and its attributes. There is insight into the performance of one or more players.</v>
      </c>
      <c r="D2811" s="6" t="s">
        <v>7930</v>
      </c>
      <c r="E2811" s="4" t="str">
        <f ca="1">IFERROR(__xludf.DUMMYFUNCTION("GOOGLETRANSLATE(D2811,""auto"",""en"")"),"Equipment, system, and methods of computer vision, target tracking, image analysis and trajectory estimation")</f>
        <v>Equipment, system, and methods of computer vision, target tracking, image analysis and trajectory estimation</v>
      </c>
    </row>
    <row r="2812" spans="1:5" ht="15" x14ac:dyDescent="0.25">
      <c r="A2812" s="5" t="s">
        <v>7931</v>
      </c>
      <c r="B2812" s="6" t="s">
        <v>7932</v>
      </c>
      <c r="C2812" s="3" t="str">
        <f ca="1">IFERROR(__xludf.DUMMYFUNCTION("GOOGLETRANSLATE(B2812,""auto"",""en"")"),"Computer vision, target tracking and image analysis equipment, systems, and methods; especially suitable or configured to analyze the image or video used to analyze tennis. One device includes two adjacent and at the same position. The angle between them "&amp;"is 20 to 120 degrees, which can capture at least 75% of the combination of the entire tennis court. The processor uses a computer visual algorithm to analyze the captured images or videos, and detect the ball rebound event and its attributes. Opinions of "&amp;"the performance of one or more players.")</f>
        <v>Computer vision, target tracking and image analysis equipment, systems, and methods; especially suitable or configured to analyze the image or video used to analyze tennis. One device includes two adjacent and at the same position. The angle between them is 20 to 120 degrees, which can capture at least 75% of the combination of the entire tennis court. The processor uses a computer visual algorithm to analyze the captured images or videos, and detect the ball rebound event and its attributes. Opinions of the performance of one or more players.</v>
      </c>
      <c r="D2812" s="6" t="s">
        <v>7930</v>
      </c>
      <c r="E2812" s="4" t="str">
        <f ca="1">IFERROR(__xludf.DUMMYFUNCTION("GOOGLETRANSLATE(D2812,""auto"",""en"")"),"Equipment, system, and methods of computer vision, target tracking, image analysis and trajectory estimation")</f>
        <v>Equipment, system, and methods of computer vision, target tracking, image analysis and trajectory estimation</v>
      </c>
    </row>
    <row r="2813" spans="1:5" ht="15" x14ac:dyDescent="0.25">
      <c r="A2813" s="5" t="s">
        <v>7933</v>
      </c>
      <c r="B2813" s="6" t="s">
        <v>7934</v>
      </c>
      <c r="C2813" s="3" t="str">
        <f ca="1">IFERROR(__xludf.DUMMYFUNCTION("GOOGLETRANSLATE(B2813,""auto"",""en"")"),"The present invention involves the field of fitness equipment, and a smart skipping control system and intelligent skipping rope are proposed. The device displays an input interface to collect at least one human parameter entered by the user input; the ca"&amp;"lculation unit calculates the input human parameters, obtain the length of the rope corresponding to the human parameter, and calculate the current required rope adjustment Level; the driving unit drives the first automatic line mechanism and/or the secon"&amp;"d automatic line closing mechanism according to the rope adjustment length to drive the line to collect or put the line, so that the length of the rope corresponds to the current user input entered by the current user input Human parameters. The invention"&amp;" can automatically calculate the length of the rope and record according to the user's own parameters. When different users use it, they can automatically adjust the length of the rope based on the data of each customer recorded by each customer to enhanc"&amp;"e the user experience.")</f>
        <v>The present invention involves the field of fitness equipment, and a smart skipping control system and intelligent skipping rope are proposed. The device displays an input interface to collect at least one human parameter entered by the user input; the calculation unit calculates the input human parameters, obtain the length of the rope corresponding to the human parameter, and calculate the current required rope adjustment Level; the driving unit drives the first automatic line mechanism and/or the second automatic line closing mechanism according to the rope adjustment length to drive the line to collect or put the line, so that the length of the rope corresponds to the current user input entered by the current user input Human parameters. The invention can automatically calculate the length of the rope and record according to the user's own parameters. When different users use it, they can automatically adjust the length of the rope based on the data of each customer recorded by each customer to enhance the user experience.</v>
      </c>
      <c r="D2813" s="6" t="s">
        <v>7935</v>
      </c>
      <c r="E2813" s="4" t="str">
        <f ca="1">IFERROR(__xludf.DUMMYFUNCTION("GOOGLETRANSLATE(D2813,""auto"",""en"")"),"A smart skipping control system and smart skipping rope")</f>
        <v>A smart skipping control system and smart skipping rope</v>
      </c>
    </row>
    <row r="2814" spans="1:5" ht="15" x14ac:dyDescent="0.25">
      <c r="A2814" s="5" t="s">
        <v>7936</v>
      </c>
      <c r="B2814" s="6" t="s">
        <v>7937</v>
      </c>
      <c r="C2814" s="3" t="str">
        <f ca="1">IFERROR(__xludf.DUMMYFUNCTION("GOOGLETRANSLATE(B2814,""auto"",""en"")"),"A prediction method based on characteristic selection and parameter optimization, which is characterized by the first use of the L1 model characteristics to retain the characteristics of the ice hockey data set with large sparse scores and less correlatio"&amp;"n. The punishment factor C and nuclear function parameter G in the predictive model of the vector machine C and nuclear function parameter G, which has a greater influence and the parameters are difficult to adjust, use a hybrid GAPSO parameter optimizati"&amp;"on algorithm to support vector machine C and nuclear function parameter G and nuclear function parameter G Optimize; finally, the K folding verification method of the support vector machine is used to achieve prediction of ice hockey conditions. The prese"&amp;"nt invention improves the operating speed and efficiency of the prediction model of the ice hockey competition through the feature selection algorithm, and improves the accuracy of the prediction of ice hockey.")</f>
        <v>A prediction method based on characteristic selection and parameter optimization, which is characterized by the first use of the L1 model characteristics to retain the characteristics of the ice hockey data set with large sparse scores and less correlation. The punishment factor C and nuclear function parameter G in the predictive model of the vector machine C and nuclear function parameter G, which has a greater influence and the parameters are difficult to adjust, use a hybrid GAPSO parameter optimization algorithm to support vector machine C and nuclear function parameter G and nuclear function parameter G Optimize; finally, the K folding verification method of the support vector machine is used to achieve prediction of ice hockey conditions. The present invention improves the operating speed and efficiency of the prediction model of the ice hockey competition through the feature selection algorithm, and improves the accuracy of the prediction of ice hockey.</v>
      </c>
      <c r="D2814" s="6" t="s">
        <v>7938</v>
      </c>
      <c r="E2814" s="4" t="str">
        <f ca="1">IFERROR(__xludf.DUMMYFUNCTION("GOOGLETRANSLATE(D2814,""auto"",""en"")"),"A prediction method based on characteristic selection and parameter optimization")</f>
        <v>A prediction method based on characteristic selection and parameter optimization</v>
      </c>
    </row>
    <row r="2815" spans="1:5" ht="15" x14ac:dyDescent="0.25">
      <c r="A2815" s="5" t="s">
        <v>7939</v>
      </c>
      <c r="B2815" s="6" t="s">
        <v>7940</v>
      </c>
      <c r="C2815" s="3" t="str">
        <f ca="1">IFERROR(__xludf.DUMMYFUNCTION("GOOGLETRANSLATE(B2815,""auto"",""en"")"),"The present invention provides a intelligent management system for the Internet of Things -based scientific sports gym. Software connects healthy cloud server, gym management computer, gym store smart access control, smart fitness equipment in the gym sto"&amp;"re, and WeChat Cloud Server; WeChat Cloud Server connects WeChat public account software on the mobile phone of this system of the Internet system. Essence The invention also provides an intelligent management method for the Internet of Things -based scie"&amp;"ntific sports gym. The present invention can reduce the gym management personnel, reduce operating costs, and improve member movement effects.")</f>
        <v>The present invention provides a intelligent management system for the Internet of Things -based scientific sports gym. Software connects healthy cloud server, gym management computer, gym store smart access control, smart fitness equipment in the gym store, and WeChat Cloud Server; WeChat Cloud Server connects WeChat public account software on the mobile phone of this system of the Internet system. Essence The invention also provides an intelligent management method for the Internet of Things -based scientific sports gym. The present invention can reduce the gym management personnel, reduce operating costs, and improve member movement effects.</v>
      </c>
      <c r="D2815" s="6" t="s">
        <v>7941</v>
      </c>
      <c r="E2815" s="4" t="str">
        <f ca="1">IFERROR(__xludf.DUMMYFUNCTION("GOOGLETRANSLATE(D2815,""auto"",""en"")"),"A intelligent management system and method of intelligent sports gym based on the Internet of Things -based")</f>
        <v>A intelligent management system and method of intelligent sports gym based on the Internet of Things -based</v>
      </c>
    </row>
    <row r="2816" spans="1:5" ht="15" x14ac:dyDescent="0.25">
      <c r="A2816" s="5" t="s">
        <v>7942</v>
      </c>
      <c r="B2816" s="6" t="s">
        <v>7943</v>
      </c>
      <c r="C2816" s="3" t="str">
        <f ca="1">IFERROR(__xludf.DUMMYFUNCTION("GOOGLETRANSLATE(B2816,""auto"",""en"")"),"The present invention disclosed a method for national health data collection, which involves the field of personal health and fitness, including health data acquisition system. The health data collection system includes a data analysis client. The data in"&amp;"put panel, the data analysis client connects the information collection end through the Ethernet. The invention has a data analysis client and data feedback. The data analysis client connects the database through the server according to the user informati"&amp;"on, and the analysis algorithm, clustering rules, neural network methods, web data mining are based on big data through the server through the server. Users 'personal fitness data models, and households formulate separate exercise tutorials, and then feed"&amp;"back to users through the data feedback side. They can send exercise items to user mobile phones every day. At the same time, they can also remind users' exercise schedule Essence")</f>
        <v>The present invention disclosed a method for national health data collection, which involves the field of personal health and fitness, including health data acquisition system. The health data collection system includes a data analysis client. The data input panel, the data analysis client connects the information collection end through the Ethernet. The invention has a data analysis client and data feedback. The data analysis client connects the database through the server according to the user information, and the analysis algorithm, clustering rules, neural network methods, web data mining are based on big data through the server through the server. Users 'personal fitness data models, and households formulate separate exercise tutorials, and then feedback to users through the data feedback side. They can send exercise items to user mobile phones every day. At the same time, they can also remind users' exercise schedule Essence</v>
      </c>
      <c r="D2816" s="6" t="s">
        <v>7944</v>
      </c>
      <c r="E2816" s="4" t="str">
        <f ca="1">IFERROR(__xludf.DUMMYFUNCTION("GOOGLETRANSLATE(D2816,""auto"",""en"")"),"A method for national health data collection")</f>
        <v>A method for national health data collection</v>
      </c>
    </row>
    <row r="2817" spans="1:5" ht="15" x14ac:dyDescent="0.25">
      <c r="A2817" s="5" t="s">
        <v>7945</v>
      </c>
      <c r="B2817" s="6" t="s">
        <v>7946</v>
      </c>
      <c r="C2817" s="3" t="str">
        <f ca="1">IFERROR(__xludf.DUMMYFUNCTION("GOOGLETRANSLATE(B2817,""auto"",""en"")"),"The general fields of this article involve the design of one or more health -related monitoring or maintenance equipment. These devices may include but not limited to equipment that monitor and/or maintain user health or monitor and/or maintain asset heal"&amp;"th equipment. These devices include oral cleaning equipment for maintaining and monitoring user oral health, clothes used to monitor users' health and fitness, and charging pads that can monitor health or are charging assets. The sensor can integrate in t"&amp;"hese devices, including but not limited to IMU, thermocouple or oral cleaning equipment, shoes or wristbands and other clothes, or the timer or charging sensor in the magnetic surface. These sensors may cause one or more one or more The object and/or othe"&amp;"r magnetic surfaces are floating when the required function is implemented.")</f>
        <v>The general fields of this article involve the design of one or more health -related monitoring or maintenance equipment. These devices may include but not limited to equipment that monitor and/or maintain user health or monitor and/or maintain asset health equipment. These devices include oral cleaning equipment for maintaining and monitoring user oral health, clothes used to monitor users' health and fitness, and charging pads that can monitor health or are charging assets. The sensor can integrate in these devices, including but not limited to IMU, thermocouple or oral cleaning equipment, shoes or wristbands and other clothes, or the timer or charging sensor in the magnetic surface. These sensors may cause one or more one or more The object and/or other magnetic surfaces are floating when the required function is implemented.</v>
      </c>
      <c r="D2817" s="6" t="s">
        <v>7947</v>
      </c>
      <c r="E2817" s="4" t="str">
        <f ca="1">IFERROR(__xludf.DUMMYFUNCTION("GOOGLETRANSLATE(D2817,""auto"",""en"")"),"Advanced deep learning health related sensor integration and data collection devices, methods and systems")</f>
        <v>Advanced deep learning health related sensor integration and data collection devices, methods and systems</v>
      </c>
    </row>
    <row r="2818" spans="1:5" ht="15" x14ac:dyDescent="0.25">
      <c r="A2818" s="5" t="s">
        <v>7948</v>
      </c>
      <c r="B2818" s="6" t="s">
        <v>7949</v>
      </c>
      <c r="C2818" s="3" t="str">
        <f ca="1">IFERROR(__xludf.DUMMYFUNCTION("GOOGLETRANSLATE(B2818,""auto"",""en"")"),"The present invention disclosed a method of diabetic retinopathy detection based on deep residual networks. The steps of the present invention are as follows: Step 1: Filter of the dataset; step 2: Pre -processing of the bottom of the eye, step 3: expand "&amp;"the data set, use the image in the class with less samples for the image expansion processing, the specific operations include the image image image Whenever rotation; step 4: the production of data set labels; step 5: the construction of training sets an"&amp;"d test sets; step 6: the construction of convolutional neural network; step 7: network training; step 8: network test. The invention can obtain the accuracy of the lesion higher, and the time for testing can also be greatly shortened.")</f>
        <v>The present invention disclosed a method of diabetic retinopathy detection based on deep residual networks. The steps of the present invention are as follows: Step 1: Filter of the dataset; step 2: Pre -processing of the bottom of the eye, step 3: expand the data set, use the image in the class with less samples for the image expansion processing, the specific operations include the image image image Whenever rotation; step 4: the production of data set labels; step 5: the construction of training sets and test sets; step 6: the construction of convolutional neural network; step 7: network training; step 8: network test. The invention can obtain the accuracy of the lesion higher, and the time for testing can also be greatly shortened.</v>
      </c>
      <c r="D2818" s="6" t="s">
        <v>7950</v>
      </c>
      <c r="E2818" s="4" t="str">
        <f ca="1">IFERROR(__xludf.DUMMYFUNCTION("GOOGLETRANSLATE(D2818,""auto"",""en"")"),"A method of diabetic retinopathy detection based on deep residual network")</f>
        <v>A method of diabetic retinopathy detection based on deep residual network</v>
      </c>
    </row>
    <row r="2819" spans="1:5" ht="15" x14ac:dyDescent="0.25">
      <c r="A2819" s="5" t="s">
        <v>7951</v>
      </c>
      <c r="B2819" s="6" t="s">
        <v>7952</v>
      </c>
      <c r="C2819" s="3" t="str">
        <f ca="1">IFERROR(__xludf.DUMMYFUNCTION("GOOGLETRANSLATE(B2819,""auto"",""en"")"),"The invention disclosed the big data analysis method based on electronic skin and artificial intelligence balls, involving computer technology artificial intelligence, big data, electronic skin, and sporting goods. One specific implementation includes: th"&amp;"e first data of the ball, the first data includes the sport trajectory of the ball and the inertial sensor data of the ball, and then the digital twin model of the ball is established based on the first data obtained. In some embodiments, the first data a"&amp;"lso includes the electronic skin data of the ball. At this time, based on the inertia sensor data and electronic skin data identification balls obtained at this time, whether the ball is in the player's ball control state, it can also be based on the cont"&amp;"act area and inertia sensor data of the electronic skin. And the corresponding time analysis of the player's technical characteristics of the player. Big data analysis methods and devices based on electronic skin and artificial intelligence balls provided"&amp;" by the embodiments of this application have improved the intelligence level, accuracy and efficiency of the data analysis of the ball through the above methods, thereby making the analysis results more accurate.")</f>
        <v>The invention disclosed the big data analysis method based on electronic skin and artificial intelligence balls, involving computer technology artificial intelligence, big data, electronic skin, and sporting goods. One specific implementation includes: the first data of the ball, the first data includes the sport trajectory of the ball and the inertial sensor data of the ball, and then the digital twin model of the ball is established based on the first data obtained. In some embodiments, the first data also includes the electronic skin data of the ball. At this time, based on the inertia sensor data and electronic skin data identification balls obtained at this time, whether the ball is in the player's ball control state, it can also be based on the contact area and inertia sensor data of the electronic skin. And the corresponding time analysis of the player's technical characteristics of the player. Big data analysis methods and devices based on electronic skin and artificial intelligence balls provided by the embodiments of this application have improved the intelligence level, accuracy and efficiency of the data analysis of the ball through the above methods, thereby making the analysis results more accurate.</v>
      </c>
      <c r="D2819" s="6" t="s">
        <v>7953</v>
      </c>
      <c r="E2819" s="4" t="str">
        <f ca="1">IFERROR(__xludf.DUMMYFUNCTION("GOOGLETRANSLATE(D2819,""auto"",""en"")"),"Big data analysis method based on electronic skin and artificial intelligence balls")</f>
        <v>Big data analysis method based on electronic skin and artificial intelligence balls</v>
      </c>
    </row>
    <row r="2820" spans="1:5" ht="15" x14ac:dyDescent="0.25">
      <c r="A2820" s="5" t="s">
        <v>7954</v>
      </c>
      <c r="B2820" s="6" t="s">
        <v>7955</v>
      </c>
      <c r="C2820" s="3" t="str">
        <f ca="1">IFERROR(__xludf.DUMMYFUNCTION("GOOGLETRANSLATE(B2820,""auto"",""en"")"),"The invention disclosed a big data analysis device based on electronic skin and artificial intelligence, involving computer technology artificial intelligence, big data, electronic skin, and sporting goods. One specific implementation includes: the first "&amp;"data of the ball, the first data includes the sport trajectory of the ball and the inertial sensor data of the ball, and then the digital twin model of the ball is established based on the first data obtained. In some embodiments, the first data also incl"&amp;"udes the electronic skin data of the ball. At this time, based on the inertia sensor data and electronic skin data identification balls obtained at this time, whether the ball is in the player's ball control state, it can also be based on the contact area"&amp;" and inertia sensor data of the electronic skin. And the corresponding time analysis of the player's technical characteristics of the player. Big data analysis methods and devices based on electronic skin and artificial intelligence balls provided by the "&amp;"embodiments of this application have improved the intelligence level, accuracy and efficiency of the data analysis of the ball through the above methods, thereby making the analysis results more accurate.")</f>
        <v>The invention disclosed a big data analysis device based on electronic skin and artificial intelligence, involving computer technology artificial intelligence, big data, electronic skin, and sporting goods. One specific implementation includes: the first data of the ball, the first data includes the sport trajectory of the ball and the inertial sensor data of the ball, and then the digital twin model of the ball is established based on the first data obtained. In some embodiments, the first data also includes the electronic skin data of the ball. At this time, based on the inertia sensor data and electronic skin data identification balls obtained at this time, whether the ball is in the player's ball control state, it can also be based on the contact area and inertia sensor data of the electronic skin. And the corresponding time analysis of the player's technical characteristics of the player. Big data analysis methods and devices based on electronic skin and artificial intelligence balls provided by the embodiments of this application have improved the intelligence level, accuracy and efficiency of the data analysis of the ball through the above methods, thereby making the analysis results more accurate.</v>
      </c>
      <c r="D2820" s="6" t="s">
        <v>7956</v>
      </c>
      <c r="E2820" s="4" t="str">
        <f ca="1">IFERROR(__xludf.DUMMYFUNCTION("GOOGLETRANSLATE(D2820,""auto"",""en"")"),"Big data analysis device based on electronic skin and artificial intelligence balls")</f>
        <v>Big data analysis device based on electronic skin and artificial intelligence balls</v>
      </c>
    </row>
    <row r="2821" spans="1:5" ht="15" x14ac:dyDescent="0.25">
      <c r="A2821" s="5" t="s">
        <v>7957</v>
      </c>
      <c r="B2821" s="6" t="s">
        <v>7958</v>
      </c>
      <c r="C2821" s="3" t="str">
        <f ca="1">IFERROR(__xludf.DUMMYFUNCTION("GOOGLETRANSLATE(B2821,""auto"",""en"")"),"The present invention involves a friction -type smart goal, which is the field of football player technology. The present invention includes racks and ball -storage institutions. The storage mechanism has gravity to send the ball slide, and the end of the"&amp;" gravity to send the ball slide is the serving position. There are three friction wheels for the serving position. When the football enters the serve position, The working surface of the three friction wheels can be in contact with the outer surface of th"&amp;"e football; each friction wheel is equipped with a hub motor, and the wheel motor is installed on the rack through the first rotor, the first bearing and the first bearing seat. In addition, the invention also has a pitch adjustment mechanism for the rack"&amp;". The base is set with a 360 -degree steering mechanism. At the same time, there are image recognition tracking systems and computing control gimbal. The invention structure is simple and easy to implement. It can better control the angle and strength of "&amp;"the football launch, and it can provide more flights with different flight trajectories to train players more comprehensively.")</f>
        <v>The present invention involves a friction -type smart goal, which is the field of football player technology. The present invention includes racks and ball -storage institutions. The storage mechanism has gravity to send the ball slide, and the end of the gravity to send the ball slide is the serving position. There are three friction wheels for the serving position. When the football enters the serve position, The working surface of the three friction wheels can be in contact with the outer surface of the football; each friction wheel is equipped with a hub motor, and the wheel motor is installed on the rack through the first rotor, the first bearing and the first bearing seat. In addition, the invention also has a pitch adjustment mechanism for the rack. The base is set with a 360 -degree steering mechanism. At the same time, there are image recognition tracking systems and computing control gimbal. The invention structure is simple and easy to implement. It can better control the angle and strength of the football launch, and it can provide more flights with different flight trajectories to train players more comprehensively.</v>
      </c>
      <c r="D2821" s="6" t="s">
        <v>7959</v>
      </c>
      <c r="E2821" s="4" t="str">
        <f ca="1">IFERROR(__xludf.DUMMYFUNCTION("GOOGLETRANSLATE(D2821,""auto"",""en"")"),"Smart smart goal machine")</f>
        <v>Smart smart goal machine</v>
      </c>
    </row>
    <row r="2822" spans="1:5" ht="15" x14ac:dyDescent="0.25">
      <c r="A2822" s="5" t="s">
        <v>7960</v>
      </c>
      <c r="B2822" s="6" t="s">
        <v>7961</v>
      </c>
      <c r="C2822" s="3" t="str">
        <f ca="1">IFERROR(__xludf.DUMMYFUNCTION("GOOGLETRANSLATE(B2822,""auto"",""en"")"),"1. Design product name: Dragon boat training monitoring graphic user interface for mobile phones.
 2. The purpose of designing products in this exterior: The arrangement and monitoring of the dragon boat training of coaches to achieve interactive operat"&amp;"ions with coaches.
 3. Design of the design of the product in appearance: lies in the graphic user interface displayed by the mobile phone.
 4. Pictures or photos that can most indicate design points: main view.
 5. No design points, omitted view vi"&amp;"ews; no design points, omitting left view; no design points, omitting the right view; no design points, omittinding view; no design points, omittinding view; no design points, omittient three -dimensional map.
 6. The purpose of graphical user interface"&amp;": The arrangement and monitoring of the dragon boat training of coaches to achieve interactive operations with coaches.
 7. Graphic user interface in the product area: mobile phone screen.
 8. Human -computer interaction method of graphical user inter"&amp;"face: touch interaction.
 9. The change of the graphic user interface explanation: The main view is the main interface of the dragon boat training monitoring mini program. It is mainly used as the functional guidance of the dragon boat training monitori"&amp;"ng mini program. The change status Figure 1 is the jump interface after clicking the team information management button in the main interface, including the team information, the team members' information, the search function, and the main interface butto"&amp;"n; The team member information button after the team members, including the team's name, paddle, height, weight and other information, and training history. The training arrangement of the team is classified as the classification, and the main view button"&amp;" is prescribed by the time record; the change state of the change state is the jump interface after clicking the real -time heart rate monitoring button in the main view, which is used to display the real -time heart rate, heart rate percentage percentage"&amp;" and percentage percentage percentage of the players' training during training. The main interface button.")</f>
        <v>1. Design product name: Dragon boat training monitoring graphic user interface for mobile phones.
 2. The purpose of designing products in this exterior: The arrangement and monitoring of the dragon boat training of coaches to achieve interactive operations with coaches.
 3. Design of the design of the product in appearance: lies in the graphic user interface displayed by the mobile phone.
 4. Pictures or photos that can most indicate design points: main view.
 5. No design points, omitted view views; no design points, omitting left view; no design points, omitting the right view; no design points, omittinding view; no design points, omittinding view; no design points, omittient three -dimensional map.
 6. The purpose of graphical user interface: The arrangement and monitoring of the dragon boat training of coaches to achieve interactive operations with coaches.
 7. Graphic user interface in the product area: mobile phone screen.
 8. Human -computer interaction method of graphical user interface: touch interaction.
 9. The change of the graphic user interface explanation: The main view is the main interface of the dragon boat training monitoring mini program. It is mainly used as the functional guidance of the dragon boat training monitoring mini program. The change status Figure 1 is the jump interface after clicking the team information management button in the main interface, including the team information, the team members' information, the search function, and the main interface button; The team member information button after the team members, including the team's name, paddle, height, weight and other information, and training history. The training arrangement of the team is classified as the classification, and the main view button is prescribed by the time record; the change state of the change state is the jump interface after clicking the real -time heart rate monitoring button in the main view, which is used to display the real -time heart rate, heart rate percentage percentage and percentage percentage percentage of the players' training during training. The main interface button.</v>
      </c>
      <c r="D2822" s="6" t="s">
        <v>7962</v>
      </c>
      <c r="E2822" s="4" t="str">
        <f ca="1">IFERROR(__xludf.DUMMYFUNCTION("GOOGLETRANSLATE(D2822,""auto"",""en"")"),"Dragon boat training monitoring graphics user interface")</f>
        <v>Dragon boat training monitoring graphics user interface</v>
      </c>
    </row>
    <row r="2823" spans="1:5" ht="15" x14ac:dyDescent="0.25">
      <c r="A2823" s="5" t="s">
        <v>7963</v>
      </c>
      <c r="B2823" s="6" t="s">
        <v>7964</v>
      </c>
      <c r="C2823" s="3" t="str">
        <f ca="1">IFERROR(__xludf.DUMMYFUNCTION("GOOGLETRANSLATE(B2823,""auto"",""en"")"),"This utility model involves a friction -type smart goal, which is the field of football player technology. This utility model includes racks and ball -storage institutions. The storage mechanism has gravity to send the ball slide, and the end of the gravi"&amp;"ty to send the ball slide is the serving position. The working surface of the three friction wheels can be in contact with the outer surface of the football; each friction wheel is equipped with a hub motor, and the wheel motor is installed on the rack th"&amp;"rough the first rotor, the first bearing and the first bearing seat. In addition, the practical new type of the rack also has a pitch adjustment mechanism, the base is set with a 360 -degree steering mechanism, and the image recognition tracking system an"&amp;"d the computing control cloud are also set up. The solid new structure is simple and easy to implement. It can better control the angle and strength of football launch, and can provide more serving of different flight trajectories to train players more co"&amp;"mprehensively.")</f>
        <v>This utility model involves a friction -type smart goal, which is the field of football player technology. This utility model includes racks and ball -storage institutions. The storage mechanism has gravity to send the ball slide, and the end of the gravity to send the ball slide is the serving position. The working surface of the three friction wheels can be in contact with the outer surface of the football; each friction wheel is equipped with a hub motor, and the wheel motor is installed on the rack through the first rotor, the first bearing and the first bearing seat. In addition, the practical new type of the rack also has a pitch adjustment mechanism, the base is set with a 360 -degree steering mechanism, and the image recognition tracking system and the computing control cloud are also set up. The solid new structure is simple and easy to implement. It can better control the angle and strength of football launch, and can provide more serving of different flight trajectories to train players more comprehensively.</v>
      </c>
      <c r="D2823" s="6" t="s">
        <v>7959</v>
      </c>
      <c r="E2823" s="4" t="str">
        <f ca="1">IFERROR(__xludf.DUMMYFUNCTION("GOOGLETRANSLATE(D2823,""auto"",""en"")"),"Smart smart goal machine")</f>
        <v>Smart smart goal machine</v>
      </c>
    </row>
    <row r="2824" spans="1:5" ht="15" x14ac:dyDescent="0.25">
      <c r="A2824" s="5" t="s">
        <v>7965</v>
      </c>
      <c r="B2824" s="6" t="s">
        <v>7966</v>
      </c>
      <c r="C2824" s="3" t="str">
        <f ca="1">IFERROR(__xludf.DUMMYFUNCTION("GOOGLETRANSLATE(B2824,""auto"",""en"")"),"1. The name of the product in appearance: mobile phones with dragon boat training rhythm graphical user interface.
 2. Design products for this appearance: used for intelligent communication equipment.
 3. Design of the design of the product in appear"&amp;"ance: lies in the graphic user interface displayed by the mobile phone.
 4. Pictures or photos that can most indicate design points: main view.
 5. No design points, omit other views.
 6. The purpose of the graphical user interface: The content arra"&amp;"ngement and management of the coaches during the training of the coach dragon boat training, and realize the interactive operation with the coach.
 7. Graphic user interface in the product area: mobile phone screen.
 8. Human -computer interaction met"&amp;"hod of graphical user interface: touch interaction.
 9. The change of the graphic user interface explanation: The main view is the main interface of the dragon boat training management applet. Newly built, including the editing addition of four contents"&amp;" of warm -up, rest, training, and relaxation. The lower part of the interface is the icon of the training content and contains the naming and the button that revokes, archives, and executes. The jump interface after the button is mainly used to display th"&amp;"e archived training content and total length; the change state of the change is the jump interface after clicking the button on the top of the main interface. , Edit, last content, execution, next content.")</f>
        <v>1. The name of the product in appearance: mobile phones with dragon boat training rhythm graphical user interface.
 2. Design products for this appearance: used for intelligent communication equipment.
 3. Design of the design of the product in appearance: lies in the graphic user interface displayed by the mobile phone.
 4. Pictures or photos that can most indicate design points: main view.
 5. No design points, omit other views.
 6. The purpose of the graphical user interface: The content arrangement and management of the coaches during the training of the coach dragon boat training, and realize the interactive operation with the coach.
 7. Graphic user interface in the product area: mobile phone screen.
 8. Human -computer interaction method of graphical user interface: touch interaction.
 9. The change of the graphic user interface explanation: The main view is the main interface of the dragon boat training management applet. Newly built, including the editing addition of four contents of warm -up, rest, training, and relaxation. The lower part of the interface is the icon of the training content and contains the naming and the button that revokes, archives, and executes. The jump interface after the button is mainly used to display the archived training content and total length; the change state of the change is the jump interface after clicking the button on the top of the main interface. , Edit, last content, execution, next content.</v>
      </c>
      <c r="D2824" s="6" t="s">
        <v>7967</v>
      </c>
      <c r="E2824" s="4" t="str">
        <f ca="1">IFERROR(__xludf.DUMMYFUNCTION("GOOGLETRANSLATE(D2824,""auto"",""en"")"),"Mobile phones with dragon boat training rhythmizer graphics user interface")</f>
        <v>Mobile phones with dragon boat training rhythmizer graphics user interface</v>
      </c>
    </row>
    <row r="2825" spans="1:5" ht="15" x14ac:dyDescent="0.25">
      <c r="A2825" s="5" t="s">
        <v>7968</v>
      </c>
      <c r="B2825" s="6" t="s">
        <v>7969</v>
      </c>
      <c r="C2825" s="3" t="str">
        <f ca="1">IFERROR(__xludf.DUMMYFUNCTION("GOOGLETRANSLATE(B2825,""auto"",""en"")"),"Optimized and enhanced learning includes: using the received marking data set as the training data collection model parameter to form a initial reinforcement learning model; use the initial model (Agent 120) to find the matching item of the undorked data "&amp;"set to find the target; Ranking; display the highest ranking competition and corresponding goals; incorrect feedback (110) in the receiving instructions (110); add information to the description error matching and the corresponding goals to the mark datas"&amp;"et to form a new training set. Use a new training data set to update the model parameters of the initial enhanced learning model to form an updated enhanced learning model (120). Update parameters include finding maximum rewards R defined by the distance "&amp;"of Ma's. The invention involves convolutional neural networks (CNN) and the in-depth strengthening of active active learning (DRAL) of people in the ring (Hitl), such as a notes 110 to provide weak binary feedback and applied to personnel re-recognition. "&amp;"It also claims that edge -optimized distributed enhanced models shall be shared through multi -model alignment and accumulation through knowledge integration and distillation to share global knowledge from the application target domain. This is achieved b"&amp;"y combining the first/second parameter of the enhanced learning model using the first/second marker and unsigned data set training at different nodes.")</f>
        <v>Optimized and enhanced learning includes: using the received marking data set as the training data collection model parameter to form a initial reinforcement learning model; use the initial model (Agent 120) to find the matching item of the undorked data set to find the target; Ranking; display the highest ranking competition and corresponding goals; incorrect feedback (110) in the receiving instructions (110); add information to the description error matching and the corresponding goals to the mark dataset to form a new training set. Use a new training data set to update the model parameters of the initial enhanced learning model to form an updated enhanced learning model (120). Update parameters include finding maximum rewards R defined by the distance of Ma's. The invention involves convolutional neural networks (CNN) and the in-depth strengthening of active active learning (DRAL) of people in the ring (Hitl), such as a notes 110 to provide weak binary feedback and applied to personnel re-recognition. It also claims that edge -optimized distributed enhanced models shall be shared through multi -model alignment and accumulation through knowledge integration and distillation to share global knowledge from the application target domain. This is achieved by combining the first/second parameter of the enhanced learning model using the first/second marker and unsigned data set training at different nodes.</v>
      </c>
      <c r="D2825" s="6" t="s">
        <v>6475</v>
      </c>
      <c r="E2825" s="4" t="str">
        <f ca="1">IFERROR(__xludf.DUMMYFUNCTION("GOOGLETRANSLATE(D2825,""auto"",""en"")"),"Optimize machine learning")</f>
        <v>Optimize machine learning</v>
      </c>
    </row>
    <row r="2826" spans="1:5" ht="15" x14ac:dyDescent="0.25">
      <c r="A2826" s="5" t="s">
        <v>7970</v>
      </c>
      <c r="B2826" s="6" t="s">
        <v>7971</v>
      </c>
      <c r="C2826" s="3" t="str">
        <f ca="1">IFERROR(__xludf.DUMMYFUNCTION("GOOGLETRANSLATE(B2826,""auto"",""en"")"),"Examples of the present invention involve the field of video surveillance technology. Specifically, a device monitoring system and method are involved. The device monitoring system includes: fitness compartment, camera, mobile terminal and main control co"&amp;"mputer. The fitness compartment is placed in fixed equipment, dumbbells and barbells. The fitness compartment includes a cabin door with a QR code scanning device. There are deep convolutional neural networks that have been trained. The main control compu"&amp;"ter is used to receive real -time images in the fitness cabin taken by the camera, generates initial expenses bills, and uses deep convolutional neural networks The final fee bill is sent to the mobile terminal. The device monitoring system and method can"&amp;" reduce the management and maintenance costs of the fitness compartment.")</f>
        <v>Examples of the present invention involve the field of video surveillance technology. Specifically, a device monitoring system and method are involved. The device monitoring system includes: fitness compartment, camera, mobile terminal and main control computer. The fitness compartment is placed in fixed equipment, dumbbells and barbells. The fitness compartment includes a cabin door with a QR code scanning device. There are deep convolutional neural networks that have been trained. The main control computer is used to receive real -time images in the fitness cabin taken by the camera, generates initial expenses bills, and uses deep convolutional neural networks The final fee bill is sent to the mobile terminal. The device monitoring system and method can reduce the management and maintenance costs of the fitness compartment.</v>
      </c>
      <c r="D2826" s="6" t="s">
        <v>7972</v>
      </c>
      <c r="E2826" s="4" t="str">
        <f ca="1">IFERROR(__xludf.DUMMYFUNCTION("GOOGLETRANSLATE(D2826,""auto"",""en"")"),"A device monitoring system and method")</f>
        <v>A device monitoring system and method</v>
      </c>
    </row>
    <row r="2827" spans="1:5" ht="15" x14ac:dyDescent="0.25">
      <c r="A2827" s="5" t="s">
        <v>7973</v>
      </c>
      <c r="B2827" s="6" t="s">
        <v>7974</v>
      </c>
      <c r="C2827" s="3" t="str">
        <f ca="1">IFERROR(__xludf.DUMMYFUNCTION("GOOGLETRANSLATE(B2827,""auto"",""en"")"),"Examples of the present invention involve the field of intelligent fitness technology. Specifically, the processing methods, devices and IoT systems are involved in the processing method, devices and IoT systems of IoT data. This method includes: determin"&amp;"e the trainer's identity according to the palm line information and fingerprint information, extract the trainer of the trainer collected by each camera during the preset period, obtain the speed information, location information and voice information, an"&amp;"d generate The muscle contraction quality report generates the motion trajectory report according to the training image and location information, and the emotional response report is generated according to the voice information. storage. This method can a"&amp;"nalyze and guide the trainer's training.")</f>
        <v>Examples of the present invention involve the field of intelligent fitness technology. Specifically, the processing methods, devices and IoT systems are involved in the processing method, devices and IoT systems of IoT data. This method includes: determine the trainer's identity according to the palm line information and fingerprint information, extract the trainer of the trainer collected by each camera during the preset period, obtain the speed information, location information and voice information, and generate The muscle contraction quality report generates the motion trajectory report according to the training image and location information, and the emotional response report is generated according to the voice information. storage. This method can analyze and guide the trainer's training.</v>
      </c>
      <c r="D2827" s="6" t="s">
        <v>7975</v>
      </c>
      <c r="E2827" s="4" t="str">
        <f ca="1">IFERROR(__xludf.DUMMYFUNCTION("GOOGLETRANSLATE(D2827,""auto"",""en"")"),"The processing method, device and IoT system of an IoT data")</f>
        <v>The processing method, device and IoT system of an IoT data</v>
      </c>
    </row>
    <row r="2828" spans="1:5" ht="15" x14ac:dyDescent="0.25">
      <c r="A2828" s="5" t="s">
        <v>7976</v>
      </c>
      <c r="B2828" s="6" t="s">
        <v>7977</v>
      </c>
      <c r="C2828" s="3" t="str">
        <f ca="1">IFERROR(__xludf.DUMMYFUNCTION("GOOGLETRANSLATE(B2828,""auto"",""en"")"),"1. Design product name: For the graphic user interface for mobile phones.
 2. Design product use in appearance: run software.
 3. Design of the design of the product in this exterior: lies in the software graphics user interface displayed in the scree"&amp;"n.
 4. Pictures or photos that can most indicate design points: main view.
 5. The mobile phone is commonly designed, and other views have no design points, and other views are omitted.
 6. The purpose of the graphical user interface: The design of "&amp;"the product is used for users to quickly start a specific theme running course in the software.
 7. Human -computer interaction method of graphic user interface: The main interface of the main view is the main interface of the theme of the motion. , You"&amp;" can display the state change state in turn. Figure 1‑4; the interface change status. Figure 1 ‑ 4 There are four course content pages below. Click any one to view the course details; In the display interface after the first 25 -minute course content, cli"&amp;"ck the first course at the bottom of Figure 5 to start the first course of the running course, and you can start the running course training process.")</f>
        <v>1. Design product name: For the graphic user interface for mobile phones.
 2. Design product use in appearance: run software.
 3. Design of the design of the product in this exterior: lies in the software graphics user interface displayed in the screen.
 4. Pictures or photos that can most indicate design points: main view.
 5. The mobile phone is commonly designed, and other views have no design points, and other views are omitted.
 6. The purpose of the graphical user interface: The design of the product is used for users to quickly start a specific theme running course in the software.
 7. Human -computer interaction method of graphic user interface: The main interface of the main view is the main interface of the theme of the motion. , You can display the state change state in turn. Figure 1‑4; the interface change status. Figure 1 ‑ 4 There are four course content pages below. Click any one to view the course details; In the display interface after the first 25 -minute course content, click the first course at the bottom of Figure 5 to start the first course of the running course, and you can start the running course training process.</v>
      </c>
      <c r="D2828" s="6" t="s">
        <v>7563</v>
      </c>
      <c r="E2828" s="4" t="str">
        <f ca="1">IFERROR(__xludf.DUMMYFUNCTION("GOOGLETRANSLATE(D2828,""auto"",""en"")"),"The graphic user interface used for mobile phones")</f>
        <v>The graphic user interface used for mobile phones</v>
      </c>
    </row>
    <row r="2829" spans="1:5" ht="15" x14ac:dyDescent="0.25">
      <c r="A2829" s="5" t="s">
        <v>7978</v>
      </c>
      <c r="B2829" s="6" t="s">
        <v>7979</v>
      </c>
      <c r="C2829" s="3" t="str">
        <f ca="1">IFERROR(__xludf.DUMMYFUNCTION("GOOGLETRANSLATE(B2829,""auto"",""en"")"),"The invention is a system, process and method that allows players to bet on sports or e -sports events from their mobile devices in a way that is easy to understand, simple and fast -paced. By using artificial intelligence, it allows operators to only pro"&amp;"vide betting to some registered members of the system, instead of providing betting to the general public, thereby providing automatically balanced their account books through dynamics. It also allows operators to effectively and automatically generate mo"&amp;"re bets, and automatically abide by the tax, laws and regulations of any jurisdiction of any jurisdiction in the world.")</f>
        <v>The invention is a system, process and method that allows players to bet on sports or e -sports events from their mobile devices in a way that is easy to understand, simple and fast -paced. By using artificial intelligence, it allows operators to only provide betting to some registered members of the system, instead of providing betting to the general public, thereby providing automatically balanced their account books through dynamics. It also allows operators to effectively and automatically generate more bets, and automatically abide by the tax, laws and regulations of any jurisdiction of any jurisdiction in the world.</v>
      </c>
      <c r="D2829" s="6" t="s">
        <v>7980</v>
      </c>
      <c r="E2829" s="4" t="str">
        <f ca="1">IFERROR(__xludf.DUMMYFUNCTION("GOOGLETRANSLATE(D2829,""auto"",""en"")"),"Use artificial intelligence to create real -time, mobile, and betting system systems and methods, and provide betting on the results of the child results of sports and e -sports events.")</f>
        <v>Use artificial intelligence to create real -time, mobile, and betting system systems and methods, and provide betting on the results of the child results of sports and e -sports events.</v>
      </c>
    </row>
    <row r="2830" spans="1:5" ht="15" x14ac:dyDescent="0.25">
      <c r="A2830" s="5" t="s">
        <v>7981</v>
      </c>
      <c r="B2830" s="6" t="s">
        <v>7982</v>
      </c>
      <c r="C2830" s="3" t="str">
        <f ca="1">IFERROR(__xludf.DUMMYFUNCTION("GOOGLETRANSLATE(B2830,""auto"",""en"")"),"This publicly provides a method of smoke interaction in the evacuation environment based on virtual reality. It connects hardware equipment, automatic control equipment to the VR scene software system, and establishes a model. Distance, control the output"&amp;" heat of the output of smoke from the automatic control device to realize the interactive operation of smoke in a evacuation environment based on virtual reality. This method connects the smell player to the fire experiment scene of the virtual subway sta"&amp;"tion, which can be used for HTC Vive and KAT treadmills, realize the automation control of smoke in the real physical environment in the virtual scene. Perform fire evacuation experiments, collect behavioral experimental data, and have the authenticity an"&amp;"d real nature of perception. This disclosure also provides a smoke interactive device in an evacuation environment based on virtual reality.")</f>
        <v>This publicly provides a method of smoke interaction in the evacuation environment based on virtual reality. It connects hardware equipment, automatic control equipment to the VR scene software system, and establishes a model. Distance, control the output heat of the output of smoke from the automatic control device to realize the interactive operation of smoke in a evacuation environment based on virtual reality. This method connects the smell player to the fire experiment scene of the virtual subway station, which can be used for HTC Vive and KAT treadmills, realize the automation control of smoke in the real physical environment in the virtual scene. Perform fire evacuation experiments, collect behavioral experimental data, and have the authenticity and real nature of perception. This disclosure also provides a smoke interactive device in an evacuation environment based on virtual reality.</v>
      </c>
      <c r="D2830" s="6" t="s">
        <v>7983</v>
      </c>
      <c r="E2830" s="4" t="str">
        <f ca="1">IFERROR(__xludf.DUMMYFUNCTION("GOOGLETRANSLATE(D2830,""auto"",""en"")"),"Smoke interaction methods and devices in the evacuation environment based on virtual reality")</f>
        <v>Smoke interaction methods and devices in the evacuation environment based on virtual reality</v>
      </c>
    </row>
    <row r="2831" spans="1:5" ht="15" x14ac:dyDescent="0.25">
      <c r="A2831" s="5" t="s">
        <v>7984</v>
      </c>
      <c r="B2831" s="6" t="s">
        <v>7985</v>
      </c>
      <c r="C2831" s="3" t="str">
        <f ca="1">IFERROR(__xludf.DUMMYFUNCTION("GOOGLETRANSLATE(B2831,""auto"",""en"")"),"The present invention disclosed a method and system based on energy management
  IoT. This energy management method includes: acquisition operating parameters
  The operating parameters of the equipment include power and water volume
  Energy consum"&amp;"ption, gas volume, centralized cooling energy consumption, concentration
  Hot water supply;
  The architectural types include office buildings, libraries, stadiums, concert halls, teaching buildings,
  Experimental buildings, hotels, hospitals, caf"&amp;"eterias, apartments; determine whether
  The working parameters of the equipment are greater than the corresponding specified threshold
  The type of building belongs to the equipment; if so, it will trigger the alarm to remind the manager
  Device;"&amp;" if not, get the work parameters of the equipment again. Based on energy
  The operating cost of the management method or system and construction equipment of the present invention
  Can reduce, avoid energy waste, save energy saving and emission redu"&amp;"ction
  completed.
  picture. 1.")</f>
        <v>The present invention disclosed a method and system based on energy management
  IoT. This energy management method includes: acquisition operating parameters
  The operating parameters of the equipment include power and water volume
  Energy consumption, gas volume, centralized cooling energy consumption, concentration
  Hot water supply;
  The architectural types include office buildings, libraries, stadiums, concert halls, teaching buildings,
  Experimental buildings, hotels, hospitals, cafeterias, apartments; determine whether
  The working parameters of the equipment are greater than the corresponding specified threshold
  The type of building belongs to the equipment; if so, it will trigger the alarm to remind the manager
  Device; if not, get the work parameters of the equipment again. Based on energy
  The operating cost of the management method or system and construction equipment of the present invention
  Can reduce, avoid energy waste, save energy saving and emission reduction
  completed.
  picture. 1.</v>
      </c>
      <c r="D2831" s="6" t="s">
        <v>7986</v>
      </c>
      <c r="E2831" s="4" t="str">
        <f ca="1">IFERROR(__xludf.DUMMYFUNCTION("GOOGLETRANSLATE(D2831,""auto"",""en"")"),"Energy management methods and systems based on the Internet of Things")</f>
        <v>Energy management methods and systems based on the Internet of Things</v>
      </c>
    </row>
    <row r="2832" spans="1:5" ht="15" x14ac:dyDescent="0.25">
      <c r="A2832" s="5" t="s">
        <v>7987</v>
      </c>
      <c r="B2832" s="6" t="s">
        <v>7988</v>
      </c>
      <c r="C2832" s="3" t="str">
        <f ca="1">IFERROR(__xludf.DUMMYFUNCTION("GOOGLETRANSLATE(B2832,""auto"",""en"")"),"A prediction method and device for the results of the competition were disclosed. The prediction method of the competition includes the following steps: According to the selected game character combination, the selected combination information is collecte"&amp;"d by the first team and the second team related to the game, the selected portfolio information is prepared for the selected portfolio information, and the data pre -processing is processed. By entering the selected combination information into the embedd"&amp;"ed model of the game winning forecast model, the feature value of the selected game character combination is obtained for each team, and the feature value is input to the artificial neural network of the group in the group. It is determined that the game "&amp;"wins may include obtaining prediction information.")</f>
        <v>A prediction method and device for the results of the competition were disclosed. The prediction method of the competition includes the following steps: According to the selected game character combination, the selected combination information is collected by the first team and the second team related to the game, the selected portfolio information is prepared for the selected portfolio information, and the data pre -processing is processed. By entering the selected combination information into the embedded model of the game winning forecast model, the feature value of the selected game character combination is obtained for each team, and the feature value is input to the artificial neural network of the group in the group. It is determined that the game wins may include obtaining prediction information.</v>
      </c>
      <c r="D2832" s="6" t="s">
        <v>7989</v>
      </c>
      <c r="E2832" s="4" t="str">
        <f ca="1">IFERROR(__xludf.DUMMYFUNCTION("GOOGLETRANSLATE(D2832,""auto"",""en"")"),"Game victory prediction method and device")</f>
        <v>Game victory prediction method and device</v>
      </c>
    </row>
    <row r="2833" spans="1:5" ht="15" x14ac:dyDescent="0.25">
      <c r="A2833" s="5" t="s">
        <v>7990</v>
      </c>
      <c r="B2833" s="6" t="s">
        <v>7991</v>
      </c>
      <c r="C2833" s="3" t="str">
        <f ca="1">IFERROR(__xludf.DUMMYFUNCTION("GOOGLETRANSLATE(B2833,""auto"",""en"")"),"The present invention involves personalized customized wearable technology of different sizes of men and women, including coupled electrode conductive tracks together, sealed tanks for drugs, and micro ECG (ECG) containing GSM (global mobile system) and G"&amp;"PS (global positioning system) Equipment) modem or Bluetooth system, and use wireless personal regional network (PAN or WPAN) specifications. When the user presses the button, start to get the electrical signal. The present invention is a medical entertai"&amp;"nment and/or sports application field. It aims to monitor patients with high -hearted vascular risk and may be diagnosed as soon as possible in order to shorten the final treatment time acute myocardial infarction (AMI) of patients with acute coronary art"&amp;"erial syndrome (ACS) patients (AMI) Acute ventral fibrillation (AAF) arrhythmia and other types of arrhythmia or other cardiac diseases can track big data analysis and deep learning and the use of artificial intelligence through ECG, and appropriate manag"&amp;"ement of drugs in the sealing tank.")</f>
        <v>The present invention involves personalized customized wearable technology of different sizes of men and women, including coupled electrode conductive tracks together, sealed tanks for drugs, and micro ECG (ECG) containing GSM (global mobile system) and GPS (global positioning system) Equipment) modem or Bluetooth system, and use wireless personal regional network (PAN or WPAN) specifications. When the user presses the button, start to get the electrical signal. The present invention is a medical entertainment and/or sports application field. It aims to monitor patients with high -hearted vascular risk and may be diagnosed as soon as possible in order to shorten the final treatment time acute myocardial infarction (AMI) of patients with acute coronary arterial syndrome (ACS) patients (AMI) Acute ventral fibrillation (AAF) arrhythmia and other types of arrhythmia or other cardiac diseases can track big data analysis and deep learning and the use of artificial intelligence through ECG, and appropriate management of drugs in the sealing tank.</v>
      </c>
      <c r="D2833" s="6" t="s">
        <v>7992</v>
      </c>
      <c r="E2833" s="4" t="str">
        <f ca="1">IFERROR(__xludf.DUMMYFUNCTION("GOOGLETRANSLATE(D2833,""auto"",""en"")"),"Wearable ECG monitoring technology, with sealing medicine tanks and integrated medical monitoring systems")</f>
        <v>Wearable ECG monitoring technology, with sealing medicine tanks and integrated medical monitoring systems</v>
      </c>
    </row>
    <row r="2834" spans="1:5" ht="15" x14ac:dyDescent="0.25">
      <c r="A2834" s="5" t="s">
        <v>7993</v>
      </c>
      <c r="B2834" s="6" t="s">
        <v>7994</v>
      </c>
      <c r="C2834" s="3" t="str">
        <f ca="1">IFERROR(__xludf.DUMMYFUNCTION("GOOGLETRANSLATE(B2834,""auto"",""en"")"),"The invention provides a vitiligo intelligent administration system based on digital and precise skin color analysis, which can intelligently analyze the skin color and skin color of the patient's normal area and the skin color of the affected area. Perfe"&amp;"ct skin tone covering the patient's affected area. The specific operation steps are to identify the lens through the AI ​​image to obtain the patient's normal skin and the skin image of the patient, and transport it to the skin color collection module, ex"&amp;"tract the corresponding color feature vector, and then use the intelligent analysis system to calculate the color between the two colors. The difference, and transport the data to the intelligent color tone control module, and then the intelligent color c"&amp;"ontrol control module calculates the optimal ratio of the combination of vitiligo repair and covering solution based on the color difference calculated above. Cover the combination of liquid and spray the patient's affected area to achieve perfect cover o"&amp;"f the skin color of the patient's affected area.")</f>
        <v>The invention provides a vitiligo intelligent administration system based on digital and precise skin color analysis, which can intelligently analyze the skin color and skin color of the patient's normal area and the skin color of the affected area. Perfect skin tone covering the patient's affected area. The specific operation steps are to identify the lens through the AI ​​image to obtain the patient's normal skin and the skin image of the patient, and transport it to the skin color collection module, extract the corresponding color feature vector, and then use the intelligent analysis system to calculate the color between the two colors. The difference, and transport the data to the intelligent color tone control module, and then the intelligent color control control module calculates the optimal ratio of the combination of vitiligo repair and covering solution based on the color difference calculated above. Cover the combination of liquid and spray the patient's affected area to achieve perfect cover of the skin color of the patient's affected area.</v>
      </c>
      <c r="D2834" s="6" t="s">
        <v>7995</v>
      </c>
      <c r="E2834" s="4" t="str">
        <f ca="1">IFERROR(__xludf.DUMMYFUNCTION("GOOGLETRANSLATE(D2834,""auto"",""en"")"),"Vitiligo intelligent administration system based on digital precision skin color analysis")</f>
        <v>Vitiligo intelligent administration system based on digital precision skin color analysis</v>
      </c>
    </row>
    <row r="2835" spans="1:5" ht="15" x14ac:dyDescent="0.25">
      <c r="A2835" s="5" t="s">
        <v>7996</v>
      </c>
      <c r="B2835" s="6" t="s">
        <v>7997</v>
      </c>
      <c r="C2835" s="3" t="str">
        <f ca="1">IFERROR(__xludf.DUMMYFUNCTION("GOOGLETRANSLATE(B2835,""auto"",""en"")"),"The present invention involves a response AI closed -circuit TV camera that includes the adjustable brightness light, the light control unit for the brightness used to control the light, the camera for receiving the image, and the image processing unit fo"&amp;"r extracting objects from it. From the image received from the camera, the microphone used to receive the voice, identify the voice processing unit received by the microphone and extract the speech processing unit of the command, output the speaker of the"&amp;" guidance information suitable for the situation, detect the sensor unit of the surrounding environment, and via the network and external server through the network and external server. Communication. It includes a communication unit, a data storage unit,"&amp;" which stores a guideline message DB suitable for each situation that is suitable for output from the speaker, and a control unit for the overall operation of each component At least one of the server, comprehensive control center server, public health ce"&amp;"nter server, disaster reporting server, map server, fire department server, information extraction server, the control unit request will be extracted from the objects of the object extraction from the image processing unit and the data of the specific obj"&amp;"ects. Compare. Together with the characteristics of the object, the request is sent to the external server through the communication unit to control the speaker or the communication unit based on the objects received from the object received from the exte"&amp;"rnal server, and based on the voice commands extracted from the voice processing unit. You can control the speaker by extracting information from the communication unit or sensor unit and processing the extracted information.")</f>
        <v>The present invention involves a response AI closed -circuit TV camera that includes the adjustable brightness light, the light control unit for the brightness used to control the light, the camera for receiving the image, and the image processing unit for extracting objects from it. From the image received from the camera, the microphone used to receive the voice, identify the voice processing unit received by the microphone and extract the speech processing unit of the command, output the speaker of the guidance information suitable for the situation, detect the sensor unit of the surrounding environment, and via the network and external server through the network and external server. Communication. It includes a communication unit, a data storage unit, which stores a guideline message DB suitable for each situation that is suitable for output from the speaker, and a control unit for the overall operation of each component At least one of the server, comprehensive control center server, public health center server, disaster reporting server, map server, fire department server, information extraction server, the control unit request will be extracted from the objects of the object extraction from the image processing unit and the data of the specific objects. Compare. Together with the characteristics of the object, the request is sent to the external server through the communication unit to control the speaker or the communication unit based on the objects received from the object received from the external server, and based on the voice commands extracted from the voice processing unit. You can control the speaker by extracting information from the communication unit or sensor unit and processing the extracted information.</v>
      </c>
      <c r="D2835" s="6" t="s">
        <v>7998</v>
      </c>
      <c r="E2835" s="4" t="str">
        <f ca="1">IFERROR(__xludf.DUMMYFUNCTION("GOOGLETRANSLATE(D2835,""auto"",""en"")"),"Response artificial intelligence closed -circuit TV camera")</f>
        <v>Response artificial intelligence closed -circuit TV camera</v>
      </c>
    </row>
    <row r="2836" spans="1:5" ht="15" x14ac:dyDescent="0.25">
      <c r="A2836" s="5" t="s">
        <v>7999</v>
      </c>
      <c r="B2836" s="6" t="s">
        <v>8000</v>
      </c>
      <c r="C2836" s="3" t="str">
        <f ca="1">IFERROR(__xludf.DUMMYFUNCTION("GOOGLETRANSLATE(B2836,""auto"",""en"")"),"Use artificial intelligence to predict the strategy, scenes and/or computer systems of sports competitions in progress. In some embodiments, the use of feedback circuits make artificial intelligence considers events in the game and/or surrounding events w"&amp;"hen they occur to provide updated forecasts.")</f>
        <v>Use artificial intelligence to predict the strategy, scenes and/or computer systems of sports competitions in progress. In some embodiments, the use of feedback circuits make artificial intelligence considers events in the game and/or surrounding events when they occur to provide updated forecasts.</v>
      </c>
      <c r="D2836" s="6" t="s">
        <v>8001</v>
      </c>
      <c r="E2836" s="4" t="str">
        <f ca="1">IFERROR(__xludf.DUMMYFUNCTION("GOOGLETRANSLATE(D2836,""auto"",""en"")"),"Artificial Intelligence Auxiliary Movement Strategy Predictor")</f>
        <v>Artificial Intelligence Auxiliary Movement Strategy Predictor</v>
      </c>
    </row>
    <row r="2837" spans="1:5" ht="15" x14ac:dyDescent="0.25">
      <c r="A2837" s="5" t="s">
        <v>8002</v>
      </c>
      <c r="B2837" s="6" t="s">
        <v>8003</v>
      </c>
      <c r="C2837" s="3" t="str">
        <f ca="1">IFERROR(__xludf.DUMMYFUNCTION("GOOGLETRANSLATE(B2837,""auto"",""en"")"),"The abstract active seat system active seat system is composed of a system inserted into the armchair and chair seat, which is used to stimulate the muscles such as the back, hip, tendon, etc. Keep in the same position for a long time. This mechanism will"&amp;" not replace physical exercise, stretching or massage. It should be indicated that trained professionals, such as doctors. Instead of bad posture on chairs or armchairs or near inertia can cause back pain, increased leg and hip fat, fatigue, poor performa"&amp;"nce and depression. The system will consist of a board. The board is formed by the slight fiber with nodules and inserts into the seat of the armchair. The order of these points can be activated, just like when you throw stones in the lake It's random. Th"&amp;"e artificial intelligence board will be powered by software and battery. Professionals will explain whether and what exercises will be performed, and their cycles and intervals, because they will interfere with short -term, medium -term and long -term hea"&amp;"lth. If the management is not good, it will cause serious sequelae. The board must be wrapped in materials that can protect people and seats from harsh weather (such as impact and fire). The system can also be applied to the back.")</f>
        <v>The abstract active seat system active seat system is composed of a system inserted into the armchair and chair seat, which is used to stimulate the muscles such as the back, hip, tendon, etc. Keep in the same position for a long time. This mechanism will not replace physical exercise, stretching or massage. It should be indicated that trained professionals, such as doctors. Instead of bad posture on chairs or armchairs or near inertia can cause back pain, increased leg and hip fat, fatigue, poor performance and depression. The system will consist of a board. The board is formed by the slight fiber with nodules and inserts into the seat of the armchair. The order of these points can be activated, just like when you throw stones in the lake It's random. The artificial intelligence board will be powered by software and battery. Professionals will explain whether and what exercises will be performed, and their cycles and intervals, because they will interfere with short -term, medium -term and long -term health. If the management is not good, it will cause serious sequelae. The board must be wrapped in materials that can protect people and seats from harsh weather (such as impact and fire). The system can also be applied to the back.</v>
      </c>
      <c r="D2837" s="6" t="s">
        <v>8004</v>
      </c>
      <c r="E2837" s="4" t="str">
        <f ca="1">IFERROR(__xludf.DUMMYFUNCTION("GOOGLETRANSLATE(D2837,""auto"",""en"")"),"Activity seat system")</f>
        <v>Activity seat system</v>
      </c>
    </row>
    <row r="2838" spans="1:5" ht="15" x14ac:dyDescent="0.25">
      <c r="A2838" s="5" t="s">
        <v>8005</v>
      </c>
      <c r="B2838" s="6" t="s">
        <v>8006</v>
      </c>
      <c r="C2838" s="3" t="str">
        <f ca="1">IFERROR(__xludf.DUMMYFUNCTION("GOOGLETRANSLATE(B2838,""auto"",""en"")"),"The invention discloses a kind of automatic collection system and method of event programs, involving the field of production technology production technology. The present invention includes data gathering modules to gather data providers of the event dat"&amp;"a providers and the Internet; the intelligent analysis module is based on the built built. The knowledge map uses intelligent algorithm to extract the event label of the event data. Statically analyzes the event label and the knowledge map, generates char"&amp;"acteristic labels, and obtains the scoring results based on feature labels and scoring rules.片段进行截取，直至达到预设的集锦时间长度和事件数目，完成自动集锦，本发明利用多种智能技术，对赛事数据进行识别、提炼和分析，生成比赛进程时间线和特征标签，进一步定位和The key frame of the mark event is used to realize the automatic enrichment of t"&amp;"he wonderful moment of the event, which greatly improves the efficiency of the production of the program.")</f>
        <v>The invention discloses a kind of automatic collection system and method of event programs, involving the field of production technology production technology. The present invention includes data gathering modules to gather data providers of the event data providers and the Internet; the intelligent analysis module is based on the built built. The knowledge map uses intelligent algorithm to extract the event label of the event data. Statically analyzes the event label and the knowledge map, generates characteristic labels, and obtains the scoring results based on feature labels and scoring rules.片段进行截取，直至达到预设的集锦时间长度和事件数目，完成自动集锦，本发明利用多种智能技术，对赛事数据进行识别、提炼和分析，生成比赛进程时间线和特征标签，进一步定位和The key frame of the mark event is used to realize the automatic enrichment of the wonderful moment of the event, which greatly improves the efficiency of the production of the program.</v>
      </c>
      <c r="D2838" s="6" t="s">
        <v>8007</v>
      </c>
      <c r="E2838" s="4" t="str">
        <f ca="1">IFERROR(__xludf.DUMMYFUNCTION("GOOGLETRANSLATE(D2838,""auto"",""en"")"),"An automatic collection system and method of a event program")</f>
        <v>An automatic collection system and method of a event program</v>
      </c>
    </row>
    <row r="2839" spans="1:5" ht="15" x14ac:dyDescent="0.25">
      <c r="A2839" s="5" t="s">
        <v>8008</v>
      </c>
      <c r="B2839" s="6" t="s">
        <v>8009</v>
      </c>
      <c r="C2839" s="3" t="str">
        <f ca="1">IFERROR(__xludf.DUMMYFUNCTION("GOOGLETRANSLATE(B2839,""auto"",""en"")"),"1. Design product name: The human parameter scanning system interface of the mobile phone.
 2. Design products in this exterior: for running programs and communication.
 3. Design of design products in this appearance: lies in the graphic user interfa"&amp;"ce in the screen.
 4. Pictures or photos that can best show design points: Figure 1 of the interface change state.
 5. The purpose of graphical user interface: used to record, display and analyze the body data of the human body, and give improvement o"&amp;"pinions.
 6. Human -computer interaction method of graphic user interface: interface change state Figure 1 shows the overall model of the human body, including the left arm, right arm, waist circumference, bust, hip, left leg, right leg, etc. The corres"&amp;"ponding value is displayed on the upper left side of the screen, and the changes compared with the previous data (for example: the bust is 98.4cm, which is 2.2cm more than the last time). There is a human body weight on the lower left side of the screen.
"&amp;" 
 Click on the interface change state Figure 1 The value of the bust in the bust ""98.4cm"", that is, enter the interface change state Figure 2. At the white box where the bust is located, the left or right sliding can switch the detailed display of othe"&amp;"r items (for example, if you slide to the left, you can view the changes in the waist circumference value over time). Figure 1 to the interface change state.
 Click the ""data"" in the interface change state, and enter the interface change state Figure "&amp;"3. The interface change status Figure 3 displays a number of fitness indicators, such as weight, fat rate, muscle rate, water rate, BMI, waist and hip ratio, waist and hip ratio And give the standard value range for comparison.
 Click the ""moisture rat"&amp;"e"" in the interface change state to enter the interface change state Figure 4, the interface changes status Figure 4 detailed the changes in the moisture value over time (can be viewed on the day or monthly), ""moisture rate),"" moisture rate rate), ""mo"&amp;"isture rate rate rate),"" moisture rate rate), ""moisture rate rate) ""At the white box where you live, the left or right sliding can switch the detailed display of other items (for example, if you slide to the left, you can view the change of the BMI val"&amp;"ue with the time of time). The interface changes status Figure 3.
 Click the ""body enclosure"" in the interface change state to enter the interface change state Figure 5. The interface changes status Figure 5 shows data such as neck, bust, waist, hip, "&amp;"left arm, right arm, etc. Show the change of the last data.
 Click the ""body posture"" in the interface change state, enter the interface change state Figure 6, and the interface changes are analyzed in the human body. Several items such as metaphysics"&amp;", two directions: back -side view and side view can be selected in the lower right corner of the screen.
 Click ""My"" in Figure 6 in Figure 6 of the interface changes to enter the interface change state Figure 7. The interface change state Figure 7 sho"&amp;"ws information related to personal accounts, including coaching centers, account management, and about ARCSCAN.")</f>
        <v>1. Design product name: The human parameter scanning system interface of the mobile phone.
 2. Design products in this exterior: for running programs and communication.
 3. Design of design products in this appearance: lies in the graphic user interface in the screen.
 4. Pictures or photos that can best show design points: Figure 1 of the interface change state.
 5. The purpose of graphical user interface: used to record, display and analyze the body data of the human body, and give improvement opinions.
 6. Human -computer interaction method of graphic user interface: interface change state Figure 1 shows the overall model of the human body, including the left arm, right arm, waist circumference, bust, hip, left leg, right leg, etc. The corresponding value is displayed on the upper left side of the screen, and the changes compared with the previous data (for example: the bust is 98.4cm, which is 2.2cm more than the last time). There is a human body weight on the lower left side of the screen.
 Click on the interface change state Figure 1 The value of the bust in the bust "98.4cm", that is, enter the interface change state Figure 2. At the white box where the bust is located, the left or right sliding can switch the detailed display of other items (for example, if you slide to the left, you can view the changes in the waist circumference value over time). Figure 1 to the interface change state.
 Click the "data" in the interface change state, and enter the interface change state Figure 3. The interface change status Figure 3 displays a number of fitness indicators, such as weight, fat rate, muscle rate, water rate, BMI, waist and hip ratio, waist and hip ratio And give the standard value range for comparison.
 Click the "moisture rate" in the interface change state to enter the interface change state Figure 4, the interface changes status Figure 4 detailed the changes in the moisture value over time (can be viewed on the day or monthly), "moisture rate)," moisture rate rate), "moisture rate rate rate)," moisture rate rate), "moisture rate rate) "At the white box where you live, the left or right sliding can switch the detailed display of other items (for example, if you slide to the left, you can view the change of the BMI value with the time of time). The interface changes status Figure 3.
 Click the "body enclosure" in the interface change state to enter the interface change state Figure 5. The interface changes status Figure 5 shows data such as neck, bust, waist, hip, left arm, right arm, etc. Show the change of the last data.
 Click the "body posture" in the interface change state, enter the interface change state Figure 6, and the interface changes are analyzed in the human body. Several items such as metaphysics, two directions: back -side view and side view can be selected in the lower right corner of the screen.
 Click "My" in Figure 6 in Figure 6 of the interface changes to enter the interface change state Figure 7. The interface change state Figure 7 shows information related to personal accounts, including coaching centers, account management, and about ARCSCAN.</v>
      </c>
      <c r="D2839" s="6" t="s">
        <v>8010</v>
      </c>
      <c r="E2839" s="4" t="str">
        <f ca="1">IFERROR(__xludf.DUMMYFUNCTION("GOOGLETRANSLATE(D2839,""auto"",""en"")"),"The human parameter scanning system interface of the mobile phone")</f>
        <v>The human parameter scanning system interface of the mobile phone</v>
      </c>
    </row>
    <row r="2840" spans="1:5" ht="15" x14ac:dyDescent="0.25">
      <c r="A2840" s="5" t="s">
        <v>8011</v>
      </c>
      <c r="B2840" s="6" t="s">
        <v>8012</v>
      </c>
      <c r="C2840" s="3" t="str">
        <f ca="1">IFERROR(__xludf.DUMMYFUNCTION("GOOGLETRANSLATE(B2840,""auto"",""en"")"),"The invention of self -power supply AI treadmill involves a self -powered AI treadmill, which involves a self -power -supply treadmill using piezoelectric components.
  That is, among the treadmills of the present invention, the piezoelectric element pa"&amp;"rt has a shelf that can be formed as a user that can be stepped on it, and multiple piezoelectric components are used to convert the mechanical energy provided by the user into the electrical energy on the treadmill of the treadmill. As well as the power "&amp;"supply of the electrical energy -driven treadmill converted by the piezoelectric component, you can use the artificial intelligence sensor of the motor inspection momentum of steps and the planned motion inspection, and the display unit user of the displa"&amp;"y unit suitable for sports images that provides treadmills. Wireless charging seat.
  Therefore, the present invention has the effect of increasing the motivation of exercise, because the treadmill can generate electrical energy while moving.")</f>
        <v>The invention of self -power supply AI treadmill involves a self -powered AI treadmill, which involves a self -power -supply treadmill using piezoelectric components.
  That is, among the treadmills of the present invention, the piezoelectric element part has a shelf that can be formed as a user that can be stepped on it, and multiple piezoelectric components are used to convert the mechanical energy provided by the user into the electrical energy on the treadmill of the treadmill. As well as the power supply of the electrical energy -driven treadmill converted by the piezoelectric component, you can use the artificial intelligence sensor of the motor inspection momentum of steps and the planned motion inspection, and the display unit user of the display unit suitable for sports images that provides treadmills. Wireless charging seat.
  Therefore, the present invention has the effect of increasing the motivation of exercise, because the treadmill can generate electrical energy while moving.</v>
      </c>
      <c r="D2840" s="6" t="s">
        <v>8013</v>
      </c>
      <c r="E2840" s="4" t="str">
        <f ca="1">IFERROR(__xludf.DUMMYFUNCTION("GOOGLETRANSLATE(D2840,""auto"",""en"")"),"Self -supply artificial intelligence treadmill")</f>
        <v>Self -supply artificial intelligence treadmill</v>
      </c>
    </row>
    <row r="2841" spans="1:5" ht="15" x14ac:dyDescent="0.25">
      <c r="A2841" s="5" t="s">
        <v>8014</v>
      </c>
      <c r="B2841" s="6" t="s">
        <v>8015</v>
      </c>
      <c r="C2841" s="3" t="str">
        <f ca="1">IFERROR(__xludf.DUMMYFUNCTION("GOOGLETRANSLATE(B2841,""auto"",""en"")"),"The present invention disclosed a intelligent production system and production method of the event, involving the field of production technology production technology. The invention includes the data convergence module used to gather data providers of the"&amp;" event data providers and the Internet; the intelligent analysis module is based on the constructed by the constructed. The knowledge map uses intelligent algorithm to extract the event label of the event data. Statistically analyzes based on event labels"&amp;" and knowledge maps, and generates characteristic labels; select the editing module to display the results of statistical analysis in the competition production tools. Personnel selects the time fragment corresponding to the results of the event fragment "&amp;"according to the results of statistical analysis and the feature label, and drag this time fragment to the timeline to complete the event editing. The invention uses a variety of intelligent technologies to identify, refine and analyze the data of the eve"&amp;"nt data to identify, refine and analyze the analysis of the event data. To generate the timeline and characteristic labels of the competition, let the editors quickly understand the event process, and greatly improve the efficiency of program production.")</f>
        <v>The present invention disclosed a intelligent production system and production method of the event, involving the field of production technology production technology. The invention includes the data convergence module used to gather data providers of the event data providers and the Internet; the intelligent analysis module is based on the constructed by the constructed. The knowledge map uses intelligent algorithm to extract the event label of the event data. Statistically analyzes based on event labels and knowledge maps, and generates characteristic labels; select the editing module to display the results of statistical analysis in the competition production tools. Personnel selects the time fragment corresponding to the results of the event fragment according to the results of statistical analysis and the feature label, and drag this time fragment to the timeline to complete the event editing. The invention uses a variety of intelligent technologies to identify, refine and analyze the data of the event data to identify, refine and analyze the analysis of the event data. To generate the timeline and characteristic labels of the competition, let the editors quickly understand the event process, and greatly improve the efficiency of program production.</v>
      </c>
      <c r="D2841" s="6" t="s">
        <v>8016</v>
      </c>
      <c r="E2841" s="4" t="str">
        <f ca="1">IFERROR(__xludf.DUMMYFUNCTION("GOOGLETRANSLATE(D2841,""auto"",""en"")"),"A intelligent production system and production method of the event")</f>
        <v>A intelligent production system and production method of the event</v>
      </c>
    </row>
    <row r="2842" spans="1:5" ht="15" x14ac:dyDescent="0.25">
      <c r="A2842" s="5" t="s">
        <v>8017</v>
      </c>
      <c r="B2842" s="6" t="s">
        <v>8018</v>
      </c>
      <c r="C2842" s="3" t="str">
        <f ca="1">IFERROR(__xludf.DUMMYFUNCTION("GOOGLETRANSLATE(B2842,""auto"",""en"")"),"A method and device based on computer vision, the technology field of sports scoring information system. The present invention uses 3D video recording and deep learning algorithms to score action sports, which overcomes the negligence or unfairness often "&amp;"existing in human referees' scores, can achieve transparent fairness and fair Intelligence.")</f>
        <v>A method and device based on computer vision, the technology field of sports scoring information system. The present invention uses 3D video recording and deep learning algorithms to score action sports, which overcomes the negligence or unfairness often existing in human referees' scores, can achieve transparent fairness and fair Intelligence.</v>
      </c>
      <c r="D2842" s="6" t="s">
        <v>8019</v>
      </c>
      <c r="E2842" s="4" t="str">
        <f ca="1">IFERROR(__xludf.DUMMYFUNCTION("GOOGLETRANSLATE(D2842,""auto"",""en"")"),"A method and device based on computer vision -based on computer vision")</f>
        <v>A method and device based on computer vision -based on computer vision</v>
      </c>
    </row>
    <row r="2843" spans="1:5" ht="15" x14ac:dyDescent="0.25">
      <c r="A2843" s="5" t="s">
        <v>8020</v>
      </c>
      <c r="B2843" s="6" t="s">
        <v>8021</v>
      </c>
      <c r="C2843" s="3" t="str">
        <f ca="1">IFERROR(__xludf.DUMMYFUNCTION("GOOGLETRANSLATE(B2843,""auto"",""en"")"),"Automatic recording method of basketball game data based on voice recognition. The present invention involves using voice recognition technology to record basketball game data. It is the field of sports Internet+application technology. Data enrolled in th"&amp;"e present invention reported the player's competition event (including scores, rebounds, suspension, etc.) on the players on the Basketball Games of the Basketball Games. The specific basketball game data is automatically entered into the database. Throug"&amp;"h this method, you can not only electronic basketball games, but also liberate data into the entry into the work from complicated manual enrollment to achieve automatic enrollment of the game data voice, which is of great practical significance for the de"&amp;"velopment of sports intelligence.")</f>
        <v>Automatic recording method of basketball game data based on voice recognition. The present invention involves using voice recognition technology to record basketball game data. It is the field of sports Internet+application technology. Data enrolled in the present invention reported the player's competition event (including scores, rebounds, suspension, etc.) on the players on the Basketball Games of the Basketball Games. The specific basketball game data is automatically entered into the database. Through this method, you can not only electronic basketball games, but also liberate data into the entry into the work from complicated manual enrollment to achieve automatic enrollment of the game data voice, which is of great practical significance for the development of sports intelligence.</v>
      </c>
      <c r="D2843" s="6" t="s">
        <v>8022</v>
      </c>
      <c r="E2843" s="4" t="str">
        <f ca="1">IFERROR(__xludf.DUMMYFUNCTION("GOOGLETRANSLATE(D2843,""auto"",""en"")"),"Automatic recording method of basketball game data based on voice recognition")</f>
        <v>Automatic recording method of basketball game data based on voice recognition</v>
      </c>
    </row>
    <row r="2844" spans="1:5" ht="15" x14ac:dyDescent="0.25">
      <c r="A2844" s="5" t="s">
        <v>8023</v>
      </c>
      <c r="B2844" s="6" t="s">
        <v>8024</v>
      </c>
      <c r="C2844" s="3" t="str">
        <f ca="1">IFERROR(__xludf.DUMMYFUNCTION("GOOGLETRANSLATE(B2844,""auto"",""en"")"),"A intelligent gymnastics training system, including: gymnastics training equipment, terminals and servers that connect through communication, terminals include sensors, somatosensory equipment, sports cameras, intelligent decision modules, communication m"&amp;"odules; sensors are used to collect user sports data; physical sensation; Collect device -sensitive application household signs data. The terminal will be sent to the server for the signs data; the sports camera is used to recording or camera users to tra"&amp;"in image information during the training process. The terminal sends the training image information to the server; the intelligent decision module is used to perform users Sports data and signs of data aggregation calculate the amount of user sports and p"&amp;"hysical indicators through algorithms, and use artificial intelligence algorithms to calculate user health indicators and health recommendations: communication modules are used to communicate with cloud servers and upload the collected user data. Let the "&amp;"basic gymnastics education of children realize digitalization, informatization, intelligence, and facilitate schools to manage student information and achievements.")</f>
        <v>A intelligent gymnastics training system, including: gymnastics training equipment, terminals and servers that connect through communication, terminals include sensors, somatosensory equipment, sports cameras, intelligent decision modules, communication modules; sensors are used to collect user sports data; physical sensation; Collect device -sensitive application household signs data. The terminal will be sent to the server for the signs data; the sports camera is used to recording or camera users to train image information during the training process. The terminal sends the training image information to the server; the intelligent decision module is used to perform users Sports data and signs of data aggregation calculate the amount of user sports and physical indicators through algorithms, and use artificial intelligence algorithms to calculate user health indicators and health recommendations: communication modules are used to communicate with cloud servers and upload the collected user data. Let the basic gymnastics education of children realize digitalization, informatization, intelligence, and facilitate schools to manage student information and achievements.</v>
      </c>
      <c r="D2844" s="6" t="s">
        <v>8025</v>
      </c>
      <c r="E2844" s="4" t="str">
        <f ca="1">IFERROR(__xludf.DUMMYFUNCTION("GOOGLETRANSLATE(D2844,""auto"",""en"")"),"A intelligent gymnastics training system")</f>
        <v>A intelligent gymnastics training system</v>
      </c>
    </row>
    <row r="2845" spans="1:5" ht="15" x14ac:dyDescent="0.25">
      <c r="A2845" s="5" t="s">
        <v>8026</v>
      </c>
      <c r="B2845" s="6" t="s">
        <v>8024</v>
      </c>
      <c r="C2845" s="3" t="str">
        <f ca="1">IFERROR(__xludf.DUMMYFUNCTION("GOOGLETRANSLATE(B2845,""auto"",""en"")"),"A intelligent gymnastics training system, including: gymnastics training equipment, terminals and servers that connect through communication, terminals include sensors, somatosensory equipment, sports cameras, intelligent decision modules, communication m"&amp;"odules; sensors are used to collect user sports data; physical sensation; Collect device -sensitive application household signs data. The terminal will be sent to the server for the signs data; the sports camera is used to recording or camera users to tra"&amp;"in image information during the training process. The terminal sends the training image information to the server; the intelligent decision module is used to perform users Sports data and signs of data aggregation calculate the amount of user sports and p"&amp;"hysical indicators through algorithms, and use artificial intelligence algorithms to calculate user health indicators and health recommendations: communication modules are used to communicate with cloud servers and upload the collected user data. Let the "&amp;"basic gymnastics education of children realize digitalization, informatization, intelligence, and facilitate schools to manage student information and achievements.")</f>
        <v>A intelligent gymnastics training system, including: gymnastics training equipment, terminals and servers that connect through communication, terminals include sensors, somatosensory equipment, sports cameras, intelligent decision modules, communication modules; sensors are used to collect user sports data; physical sensation; Collect device -sensitive application household signs data. The terminal will be sent to the server for the signs data; the sports camera is used to recording or camera users to train image information during the training process. The terminal sends the training image information to the server; the intelligent decision module is used to perform users Sports data and signs of data aggregation calculate the amount of user sports and physical indicators through algorithms, and use artificial intelligence algorithms to calculate user health indicators and health recommendations: communication modules are used to communicate with cloud servers and upload the collected user data. Let the basic gymnastics education of children realize digitalization, informatization, intelligence, and facilitate schools to manage student information and achievements.</v>
      </c>
      <c r="D2845" s="6" t="s">
        <v>8025</v>
      </c>
      <c r="E2845" s="4" t="str">
        <f ca="1">IFERROR(__xludf.DUMMYFUNCTION("GOOGLETRANSLATE(D2845,""auto"",""en"")"),"A intelligent gymnastics training system")</f>
        <v>A intelligent gymnastics training system</v>
      </c>
    </row>
    <row r="2846" spans="1:5" ht="15" x14ac:dyDescent="0.25">
      <c r="A2846" s="5" t="s">
        <v>8027</v>
      </c>
      <c r="B2846" s="6" t="s">
        <v>8028</v>
      </c>
      <c r="C2846" s="3" t="str">
        <f ca="1">IFERROR(__xludf.DUMMYFUNCTION("GOOGLETRANSLATE(B2846,""auto"",""en"")"),"This public involves an operational method, device and related products. The products may include the following or more components: processing components, memory, power components, multimedia components, input/output interfaces, and communication componen"&amp;"ts. Treatment components to control integrated operations. The processing component can include one or more processors to perform instructions to complete all or part of the above -mentioned computing methods. This public can improve the operational effic"&amp;"iency of related products when performing the operation of neural network models.")</f>
        <v>This public involves an operational method, device and related products. The products may include the following or more components: processing components, memory, power components, multimedia components, input/output interfaces, and communication components. Treatment components to control integrated operations. The processing component can include one or more processors to perform instructions to complete all or part of the above -mentioned computing methods. This public can improve the operational efficiency of related products when performing the operation of neural network models.</v>
      </c>
      <c r="D2846" s="6" t="s">
        <v>8029</v>
      </c>
      <c r="E2846" s="4" t="str">
        <f ca="1">IFERROR(__xludf.DUMMYFUNCTION("GOOGLETRANSLATE(D2846,""auto"",""en"")"),"Computing method, device and related products")</f>
        <v>Computing method, device and related products</v>
      </c>
    </row>
    <row r="2847" spans="1:5" ht="15" x14ac:dyDescent="0.25">
      <c r="A2847" s="5" t="s">
        <v>8030</v>
      </c>
      <c r="B2847" s="6" t="s">
        <v>8031</v>
      </c>
      <c r="C2847" s="3" t="str">
        <f ca="1">IFERROR(__xludf.DUMMYFUNCTION("GOOGLETRANSLATE(B2847,""auto"",""en"")"),"A basketball video semantic event recognition method of a fusion motion mode and key visual information belongs to the field of video semantic events. In order to automatically recognize the semantic events in basketball videos, based on the inherent attr"&amp;"ibutes of the camera lens change, the mixing motion is decomposed into global exercises and local sports. Based on these two modes of data, the dual -stream 3D convolutional neural network network is used to realize the identification of group activities "&amp;"in basketball videos. Subsequently, the application of convolutional neural networks expressed the changes in the appearance characteristics of the basket, and the decision to achieve the failure of the event. Finally, the prediction results of these two "&amp;"parts are fused to realize semantic events in basketball videos. This invention has laid the foundation for the intelligent management of basketball video data, basketball skills and tactical analysis, and automatic broadcasting.")</f>
        <v>A basketball video semantic event recognition method of a fusion motion mode and key visual information belongs to the field of video semantic events. In order to automatically recognize the semantic events in basketball videos, based on the inherent attributes of the camera lens change, the mixing motion is decomposed into global exercises and local sports. Based on these two modes of data, the dual -stream 3D convolutional neural network network is used to realize the identification of group activities in basketball videos. Subsequently, the application of convolutional neural networks expressed the changes in the appearance characteristics of the basket, and the decision to achieve the failure of the event. Finally, the prediction results of these two parts are fused to realize semantic events in basketball videos. This invention has laid the foundation for the intelligent management of basketball video data, basketball skills and tactical analysis, and automatic broadcasting.</v>
      </c>
      <c r="D2847" s="6" t="s">
        <v>8032</v>
      </c>
      <c r="E2847" s="4" t="str">
        <f ca="1">IFERROR(__xludf.DUMMYFUNCTION("GOOGLETRANSLATE(D2847,""auto"",""en"")"),"Basketball video semantic event identification method of fusion motion mode and key visual information")</f>
        <v>Basketball video semantic event identification method of fusion motion mode and key visual information</v>
      </c>
    </row>
    <row r="2848" spans="1:5" ht="15" x14ac:dyDescent="0.25">
      <c r="A2848" s="5" t="s">
        <v>8033</v>
      </c>
      <c r="B2848" s="6" t="s">
        <v>8034</v>
      </c>
      <c r="C2848" s="3" t="str">
        <f ca="1">IFERROR(__xludf.DUMMYFUNCTION("GOOGLETRANSLATE(B2848,""auto"",""en"")"),"The invention discloses an archery attitude instant feedback system, including the first image acquisition module, the second image acquisition module, the third image collection module, the human -machine interactive module, the image collection trigger "&amp;"module, the data processing module, the results display module; the human machine; The interactive module sends a shooting signal to the first and third image acquisition modules. The first image collection module collection athlete's archery process phys"&amp;"ical posture, trigger module sends a shooting instruction to the second image collection module when the arrow is separated by the arrow. Module shooting arrows are sporty in the arrow; the third image collection module collection arrow target performance"&amp;" image; the data processing module converts the image of the first image collection module into a slow motion video; Parameters; save the arrow target grade image of the third image collection module, and send the above results to the results display modu"&amp;"le to display. The present invention can automatically analyze and instantly feedback the arrow sports parameters.")</f>
        <v>The invention discloses an archery attitude instant feedback system, including the first image acquisition module, the second image acquisition module, the third image collection module, the human -machine interactive module, the image collection trigger module, the data processing module, the results display module; the human machine; The interactive module sends a shooting signal to the first and third image acquisition modules. The first image collection module collection athlete's archery process physical posture, trigger module sends a shooting instruction to the second image collection module when the arrow is separated by the arrow. Module shooting arrows are sporty in the arrow; the third image collection module collection arrow target performance image; the data processing module converts the image of the first image collection module into a slow motion video; Parameters; save the arrow target grade image of the third image collection module, and send the above results to the results display module to display. The present invention can automatically analyze and instantly feedback the arrow sports parameters.</v>
      </c>
      <c r="D2848" s="6" t="s">
        <v>8035</v>
      </c>
      <c r="E2848" s="4" t="str">
        <f ca="1">IFERROR(__xludf.DUMMYFUNCTION("GOOGLETRANSLATE(D2848,""auto"",""en"")"),"An archery posture instant feedback system")</f>
        <v>An archery posture instant feedback system</v>
      </c>
    </row>
    <row r="2849" spans="1:5" ht="15" x14ac:dyDescent="0.25">
      <c r="A2849" s="5" t="s">
        <v>8036</v>
      </c>
      <c r="B2849" s="6" t="s">
        <v>8037</v>
      </c>
      <c r="C2849" s="3" t="str">
        <f ca="1">IFERROR(__xludf.DUMMYFUNCTION("GOOGLETRANSLATE(B2849,""auto"",""en"")"),"A system and method for video analysis for golf games were released. In one embodiment, the camera captures videos from the different angles of the golf player's swing and/or hitting the ball; the system network includes: processing modules to receive vid"&amp;"eos, 3D modeling on the trajectory of the swing/hitting ball, And perform 3D modeling for golf players; a machine learning module to receive the 3D swing trajectory of the professional golf player/hit the ball and golf player model, and according to the p"&amp;"rofessional golf player's swing/hit The aggregation of the ball calculates the 3D model of one or more reference swing; stores the database of the reference swing/strike; the analysis module is configured to receive the 3D swing/hit trajectory model of th"&amp;"e golf player and the 3D golf player model. The trajectory model is compared with the reference swing, and the recommendation of the golf player is calculated based on the comparison; the display module is configured to display recommendation to the golf "&amp;"player.")</f>
        <v>A system and method for video analysis for golf games were released. In one embodiment, the camera captures videos from the different angles of the golf player's swing and/or hitting the ball; the system network includes: processing modules to receive videos, 3D modeling on the trajectory of the swing/hitting ball, And perform 3D modeling for golf players; a machine learning module to receive the 3D swing trajectory of the professional golf player/hit the ball and golf player model, and according to the professional golf player's swing/hit The aggregation of the ball calculates the 3D model of one or more reference swing; stores the database of the reference swing/strike; the analysis module is configured to receive the 3D swing/hit trajectory model of the golf player and the 3D golf player model. The trajectory model is compared with the reference swing, and the recommendation of the golf player is calculated based on the comparison; the display module is configured to display recommendation to the golf player.</v>
      </c>
      <c r="D2849" s="6" t="s">
        <v>5673</v>
      </c>
      <c r="E2849" s="4" t="str">
        <f ca="1">IFERROR(__xludf.DUMMYFUNCTION("GOOGLETRANSLATE(D2849,""auto"",""en"")"),"Golf game video analysis system")</f>
        <v>Golf game video analysis system</v>
      </c>
    </row>
    <row r="2850" spans="1:5" ht="15" x14ac:dyDescent="0.25">
      <c r="A2850" s="5" t="s">
        <v>8038</v>
      </c>
      <c r="B2850" s="6" t="s">
        <v>8039</v>
      </c>
      <c r="C2850" s="3" t="str">
        <f ca="1">IFERROR(__xludf.DUMMYFUNCTION("GOOGLETRANSLATE(B2850,""auto"",""en"")"),"It describes a method of monitoring physical exercise based on the image frame sequences for the exercise of people to monitor people. This method includes the following steps: Based on the image frame serial, using a neural network to extract a set of ke"&amp;"y points for each image frame. At least one feature parameter of the physical point of the body indicates the progress of human movement. This method also includes the start of the cycle by evaluating at least one time progress in the evaluation feature p"&amp;"arameters. The start of the cycle conditions instructions from the beginning of the person's starting posture to the transformation of human movement during physical exercise.")</f>
        <v>It describes a method of monitoring physical exercise based on the image frame sequences for the exercise of people to monitor people. This method includes the following steps: Based on the image frame serial, using a neural network to extract a set of key points for each image frame. At least one feature parameter of the physical point of the body indicates the progress of human movement. This method also includes the start of the cycle by evaluating at least one time progress in the evaluation feature parameters. The start of the cycle conditions instructions from the beginning of the person's starting posture to the transformation of human movement during physical exercise.</v>
      </c>
      <c r="D2850" s="6" t="s">
        <v>3881</v>
      </c>
      <c r="E2850" s="4" t="str">
        <f ca="1">IFERROR(__xludf.DUMMYFUNCTION("GOOGLETRANSLATE(D2850,""auto"",""en"")"),"Monitor the expression of physical exercise")</f>
        <v>Monitor the expression of physical exercise</v>
      </c>
    </row>
    <row r="2851" spans="1:5" ht="15" x14ac:dyDescent="0.25">
      <c r="A2851" s="5" t="s">
        <v>8040</v>
      </c>
      <c r="B2851" s="6" t="s">
        <v>8041</v>
      </c>
      <c r="C2851" s="3" t="str">
        <f ca="1">IFERROR(__xludf.DUMMYFUNCTION("GOOGLETRANSLATE(B2851,""auto"",""en"")"),"This utility model opens up a adjustable angle of the auxiliary training. The base board has several thread holes inside the base plate. Passing and right pedaling, left pedal and right pedal can be disassembled and connected with the base plate through s"&amp;"crews. , The pedal plate and the bottom plate are rotated through the hinge, and the interior of the pedal plate is equipped with a measurement device. The measurement device includes a three -dimensional measurement sensor, an inclination sensor, an elec"&amp;"tronic timer, a first wireless module, a battery storage, a speaker and a main control chip. The measurement device is measured. Connect the human -machine interactive device through wireless signals; the practical new model has the angle that can adjust "&amp;"the pedal, the left and right vertical distance between the left and right pedals and the vertical distance between the left and right pedals The advantages of driving force and athletes burst time when starting.")</f>
        <v>This utility model opens up a adjustable angle of the auxiliary training. The base board has several thread holes inside the base plate. Passing and right pedaling, left pedal and right pedal can be disassembled and connected with the base plate through screws. , The pedal plate and the bottom plate are rotated through the hinge, and the interior of the pedal plate is equipped with a measurement device. The measurement device includes a three -dimensional measurement sensor, an inclination sensor, an electronic timer, a first wireless module, a battery storage, a speaker and a main control chip. The measurement device is measured. Connect the human -machine interactive device through wireless signals; the practical new model has the angle that can adjust the pedal, the left and right vertical distance between the left and right pedals and the vertical distance between the left and right pedals The advantages of driving force and athletes burst time when starting.</v>
      </c>
      <c r="D2851" s="6" t="s">
        <v>8042</v>
      </c>
      <c r="E2851" s="4" t="str">
        <f ca="1">IFERROR(__xludf.DUMMYFUNCTION("GOOGLETRANSLATE(D2851,""auto"",""en"")"),"A adjustable angle of auxiliary training")</f>
        <v>A adjustable angle of auxiliary training</v>
      </c>
    </row>
    <row r="2852" spans="1:5" ht="15" x14ac:dyDescent="0.25">
      <c r="A2852" s="5" t="s">
        <v>8043</v>
      </c>
      <c r="B2852" s="6" t="s">
        <v>8044</v>
      </c>
      <c r="C2852" s="3" t="str">
        <f ca="1">IFERROR(__xludf.DUMMYFUNCTION("GOOGLETRANSLATE(B2852,""auto"",""en"")"),"The invention disclosed a badminton racket test method for unmanned online rental machines. It specifically includes the following steps: Collect the image training circulating neural network of various badminton rackets to be leased and optimize the netw"&amp;"ork parameters; collect standard images of badminton rackets to be leased under the camera of unmanned network rental machines; Which racket and corresponding standard images are collected by the badminton racket to collect the image recognition; based on"&amp;" standard images as a reference image, the collected image is allocated; convert the image to ash image as a band -resistant filtering; The two -value segmentation is connected to the prospects of the two -value division; the image is directly detected on"&amp;" the image; the detected straight lines and the standard image have been labeled in a straight line to obtain the result. The beneficial effect of the present invention is: collecting the corresponding badminton racket can realize whether there is a mesh "&amp;"break on the badminton ball racket to ensure that the badminton can be rented and sold again.")</f>
        <v>The invention disclosed a badminton racket test method for unmanned online rental machines. It specifically includes the following steps: Collect the image training circulating neural network of various badminton rackets to be leased and optimize the network parameters; collect standard images of badminton rackets to be leased under the camera of unmanned network rental machines; Which racket and corresponding standard images are collected by the badminton racket to collect the image recognition; based on standard images as a reference image, the collected image is allocated; convert the image to ash image as a band -resistant filtering; The two -value segmentation is connected to the prospects of the two -value division; the image is directly detected on the image; the detected straight lines and the standard image have been labeled in a straight line to obtain the result. The beneficial effect of the present invention is: collecting the corresponding badminton racket can realize whether there is a mesh break on the badminton ball racket to ensure that the badminton can be rented and sold again.</v>
      </c>
      <c r="D2852" s="6" t="s">
        <v>8045</v>
      </c>
      <c r="E2852" s="4" t="str">
        <f ca="1">IFERROR(__xludf.DUMMYFUNCTION("GOOGLETRANSLATE(D2852,""auto"",""en"")"),"A badminton racket test method for unmanned online rental machines")</f>
        <v>A badminton racket test method for unmanned online rental machines</v>
      </c>
    </row>
    <row r="2853" spans="1:5" ht="15" x14ac:dyDescent="0.25">
      <c r="A2853" s="5" t="s">
        <v>8046</v>
      </c>
      <c r="B2853" s="6" t="s">
        <v>8047</v>
      </c>
      <c r="C2853" s="3" t="str">
        <f ca="1">IFERROR(__xludf.DUMMYFUNCTION("GOOGLETRANSLATE(B2853,""auto"",""en"")"),"Examples of the present invention provide a physical training method, device, equipment, and storage medium. This method includes: obtain user training items, obtain artificial intelligence AI virtual coaches corresponding to training items, AI virtual co"&amp;"aches are used to perform physical movements of users Guidance, according to the camera on the terminal device, obtain the user's physical movement, and conduct physical movement training on users according to the AI ​​virtual coach and user's limbs. Ther"&amp;"efore, the physical training method provided by the embodiments of the present invention is used in the teaching and training scene of limb movements, which greatly reduces costs.")</f>
        <v>Examples of the present invention provide a physical training method, device, equipment, and storage medium. This method includes: obtain user training items, obtain artificial intelligence AI virtual coaches corresponding to training items, AI virtual coaches are used to perform physical movements of users Guidance, according to the camera on the terminal device, obtain the user's physical movement, and conduct physical movement training on users according to the AI ​​virtual coach and user's limbs. Therefore, the physical training method provided by the embodiments of the present invention is used in the teaching and training scene of limb movements, which greatly reduces costs.</v>
      </c>
      <c r="D2853" s="6" t="s">
        <v>8048</v>
      </c>
      <c r="E2853" s="4" t="str">
        <f ca="1">IFERROR(__xludf.DUMMYFUNCTION("GOOGLETRANSLATE(D2853,""auto"",""en"")"),"Body training methods, devices, equipment and storage media")</f>
        <v>Body training methods, devices, equipment and storage media</v>
      </c>
    </row>
    <row r="2854" spans="1:5" ht="15" x14ac:dyDescent="0.25">
      <c r="A2854" s="5" t="s">
        <v>8049</v>
      </c>
      <c r="B2854" s="6" t="s">
        <v>8050</v>
      </c>
      <c r="C2854" s="3" t="str">
        <f ca="1">IFERROR(__xludf.DUMMYFUNCTION("GOOGLETRANSLATE(B2854,""auto"",""en"")"),"A person's fall risk can be determined based on machine learning algorithms. Poor risk information can be used to notify individuals and/or third -party monitoring personnel (such as doctors, physical therapists, private coaches, etc.). This information c"&amp;"an be used to monitor and track changes in the risk of falling risks affected by health, lifestyle behavior or medical changes. In addition, the risk of falling risk can help individuals more careful in the days when the risk of falling is higher. You can"&amp;" use machine learning algorithms to estimate the risk of falling. The algorithm can process data from the load sensor by calculating the basic and high -end interruption balance model (PEM) stability indicator.")</f>
        <v>A person's fall risk can be determined based on machine learning algorithms. Poor risk information can be used to notify individuals and/or third -party monitoring personnel (such as doctors, physical therapists, private coaches, etc.). This information can be used to monitor and track changes in the risk of falling risks affected by health, lifestyle behavior or medical changes. In addition, the risk of falling risk can help individuals more careful in the days when the risk of falling is higher. You can use machine learning algorithms to estimate the risk of falling. The algorithm can process data from the load sensor by calculating the basic and high -end interruption balance model (PEM) stability indicator.</v>
      </c>
      <c r="D2854" s="6" t="s">
        <v>4580</v>
      </c>
      <c r="E2854" s="4" t="str">
        <f ca="1">IFERROR(__xludf.DUMMYFUNCTION("GOOGLETRANSLATE(D2854,""auto"",""en"")"),"Use machine learning algorithm to identify the risk of falling down")</f>
        <v>Use machine learning algorithm to identify the risk of falling down</v>
      </c>
    </row>
    <row r="2855" spans="1:5" ht="15" x14ac:dyDescent="0.25">
      <c r="A2855" s="5" t="s">
        <v>8051</v>
      </c>
      <c r="B2855" s="6" t="s">
        <v>8052</v>
      </c>
      <c r="C2855" s="3" t="str">
        <f ca="1">IFERROR(__xludf.DUMMYFUNCTION("GOOGLETRANSLATE(B2855,""auto"",""en"")"),"1. The name of the product in appearance: The results of the graphic user interface for learning competitions are used for mobile phones.
 2. The purpose of designing products in appearance: for human -computer interaction and display.
 3. Design of t"&amp;"he design of the product in this exterior: lies in the interface content of the graphical user interface of the display information.
 4. Pictures or photos that can best show design: Design 1 main view.
 5. Because it does not have design points, omit"&amp;"ting design 1 to design 2 overdue views, view views, left view, right view, rear view.
 6. Specify design 1 is the basic design.
 7. The purpose of the graphical user interface: The graphic user interface of the product is the graphical user interface"&amp;" of the results of the learning game.
 Design 1 The main view shows the results interface of the user's own victory. The lower right corner shows the course that the user has not learned. Click the ""Look at it again"" button to re -study this course. ;"&amp;" Design 2 main view shows the result interface of the user's failure to succeed, and the lower right corner shows the courses that the user has not learned; each view has a corresponding status reference map. The design 2 refers to the result interface of"&amp;" the user's failure of the user himself. Design 2 Refer to the results interface of the drawing level.")</f>
        <v>1. The name of the product in appearance: The results of the graphic user interface for learning competitions are used for mobile phones.
 2. The purpose of designing products in appearance: for human -computer interaction and display.
 3. Design of the design of the product in this exterior: lies in the interface content of the graphical user interface of the display information.
 4. Pictures or photos that can best show design: Design 1 main view.
 5. Because it does not have design points, omitting design 1 to design 2 overdue views, view views, left view, right view, rear view.
 6. Specify design 1 is the basic design.
 7. The purpose of the graphical user interface: The graphic user interface of the product is the graphical user interface of the results of the learning game.
 Design 1 The main view shows the results interface of the user's own victory. The lower right corner shows the course that the user has not learned. Click the "Look at it again" button to re -study this course. ; Design 2 main view shows the result interface of the user's failure to succeed, and the lower right corner shows the courses that the user has not learned; each view has a corresponding status reference map. The design 2 refers to the result interface of the user's failure of the user himself. Design 2 Refer to the results interface of the drawing level.</v>
      </c>
      <c r="D2855" s="6" t="s">
        <v>8053</v>
      </c>
      <c r="E2855" s="4" t="str">
        <f ca="1">IFERROR(__xludf.DUMMYFUNCTION("GOOGLETRANSLATE(D2855,""auto"",""en"")"),"The results used for mobile phones show the graphical user interface")</f>
        <v>The results used for mobile phones show the graphical user interface</v>
      </c>
    </row>
    <row r="2856" spans="1:5" ht="15" x14ac:dyDescent="0.25">
      <c r="A2856" s="5" t="s">
        <v>8054</v>
      </c>
      <c r="B2856" s="6" t="s">
        <v>8055</v>
      </c>
      <c r="C2856" s="3" t="str">
        <f ca="1">IFERROR(__xludf.DUMMYFUNCTION("GOOGLETRANSLATE(B2856,""auto"",""en"")"),"The present invention discloses a bicycle motion assist method based on the narrow belt Internet of Things and the cloud platform. It is installed on the bicycle to install NB‑ioT communication modules, speed sensors, GPS modules, LED lights and battery N"&amp;"B‑ioT terminals; Xiangyun Platform provides the personal physiological characteristics of bicycle athletes and different bicycle driving routes; NB‑ioT terminals are responsible for the collective bicycle speed, cyclist step -frequency, and GPS data colle"&amp;"cted through a communication module at a fixed time interval TN to the cloud platform , The communication between the terminal and the cloud platform uses the COAP protocol; the cloud platform decodes the COAP packet to record the trajectory, speed, and s"&amp;"tep frequency information of the cyclist, and converts GPS medium latitude information into a three -dimensional coordinate of space that is easy to use. Through the coordinates of coordinates Analysis of the reminder signal to a bicycle that deviates fro"&amp;"m the driving route in time. The use of the present invention can reduce the consumption of network bandwidth, which increases the scene where transmission effects facing the surge in business provide more stable performance.")</f>
        <v>The present invention discloses a bicycle motion assist method based on the narrow belt Internet of Things and the cloud platform. It is installed on the bicycle to install NB‑ioT communication modules, speed sensors, GPS modules, LED lights and battery NB‑ioT terminals; Xiangyun Platform provides the personal physiological characteristics of bicycle athletes and different bicycle driving routes; NB‑ioT terminals are responsible for the collective bicycle speed, cyclist step -frequency, and GPS data collected through a communication module at a fixed time interval TN to the cloud platform , The communication between the terminal and the cloud platform uses the COAP protocol; the cloud platform decodes the COAP packet to record the trajectory, speed, and step frequency information of the cyclist, and converts GPS medium latitude information into a three -dimensional coordinate of space that is easy to use. Through the coordinates of coordinates Analysis of the reminder signal to a bicycle that deviates from the driving route in time. The use of the present invention can reduce the consumption of network bandwidth, which increases the scene where transmission effects facing the surge in business provide more stable performance.</v>
      </c>
      <c r="D2856" s="6" t="s">
        <v>8056</v>
      </c>
      <c r="E2856" s="4" t="str">
        <f ca="1">IFERROR(__xludf.DUMMYFUNCTION("GOOGLETRANSLATE(D2856,""auto"",""en"")"),"A bicycle motion assist method based on narrow -band Internet of Things and cloud platforms")</f>
        <v>A bicycle motion assist method based on narrow -band Internet of Things and cloud platforms</v>
      </c>
    </row>
    <row r="2857" spans="1:5" ht="15" x14ac:dyDescent="0.25">
      <c r="A2857" s="5" t="s">
        <v>8057</v>
      </c>
      <c r="B2857" s="6" t="s">
        <v>8058</v>
      </c>
      <c r="C2857" s="3" t="str">
        <f ca="1">IFERROR(__xludf.DUMMYFUNCTION("GOOGLETRANSLATE(B2857,""auto"",""en"")"),"A method for generating artificial intelligence agents in the online game environment. The generation method includes collecting the game log data of ordinary players and the game log data of the target player; the game log data of the general players col"&amp;"lected as a tendency data and skill data for ordinary players will be collected. Log data classification is the target player's tendency data and skill data; and use the classification tendency data and skills data of ordinary players, as well as the clas"&amp;"sification tendency data and skill data of the target player to perform machine learning, and based on the result of machine learning, artificial intelligence is based on personal players. The game is required to customize. Intelligent proxy; including.")</f>
        <v>A method for generating artificial intelligence agents in the online game environment. The generation method includes collecting the game log data of ordinary players and the game log data of the target player; the game log data of the general players collected as a tendency data and skill data for ordinary players will be collected. Log data classification is the target player's tendency data and skill data; and use the classification tendency data and skills data of ordinary players, as well as the classification tendency data and skill data of the target player to perform machine learning, and based on the result of machine learning, artificial intelligence is based on personal players. The game is required to customize. Intelligent proxy; including.</v>
      </c>
      <c r="D2857" s="6" t="s">
        <v>8059</v>
      </c>
      <c r="E2857" s="4" t="str">
        <f ca="1">IFERROR(__xludf.DUMMYFUNCTION("GOOGLETRANSLATE(D2857,""auto"",""en"")"),"It is used to generate devices and methods with artificial intelligence agents with game player tendencies and abilities in the online game environment")</f>
        <v>It is used to generate devices and methods with artificial intelligence agents with game player tendencies and abilities in the online game environment</v>
      </c>
    </row>
    <row r="2858" spans="1:5" ht="15" x14ac:dyDescent="0.25">
      <c r="A2858" s="5" t="s">
        <v>8060</v>
      </c>
      <c r="B2858" s="6" t="s">
        <v>8061</v>
      </c>
      <c r="C2858" s="3" t="str">
        <f ca="1">IFERROR(__xludf.DUMMYFUNCTION("GOOGLETRANSLATE(B2858,""auto"",""en"")"),"This application discloses a basketball rack with the intelligent control function, including basket circles, rebounds, and basketball brackets. Its characteristics are that the basketball rack also includes driving mechanisms, communication modules and c"&amp;"ontrol modules. The instruction of the communication module can be turned on and closed through the control mechanism by controlling the driver mechanism. The communication module transmits the received instructions to the communication module. The practi"&amp;"cal new type of basketball racks use mechanical and electrical control and IoT technology to provide effective hardware support for the intelligent management of the public stadium through basketball racks. This utility model enables the basket to have a "&amp;"opening and closing function. Through the opening and closing of the basket, cooperate with the timing system and identity recognition system to realize the intelligent control and management of the stadium.")</f>
        <v>This application discloses a basketball rack with the intelligent control function, including basket circles, rebounds, and basketball brackets. Its characteristics are that the basketball rack also includes driving mechanisms, communication modules and control modules. The instruction of the communication module can be turned on and closed through the control mechanism by controlling the driver mechanism. The communication module transmits the received instructions to the communication module. The practical new type of basketball racks use mechanical and electrical control and IoT technology to provide effective hardware support for the intelligent management of the public stadium through basketball racks. This utility model enables the basket to have a opening and closing function. Through the opening and closing of the basket, cooperate with the timing system and identity recognition system to realize the intelligent control and management of the stadium.</v>
      </c>
      <c r="D2858" s="6" t="s">
        <v>8062</v>
      </c>
      <c r="E2858" s="4" t="str">
        <f ca="1">IFERROR(__xludf.DUMMYFUNCTION("GOOGLETRANSLATE(D2858,""auto"",""en"")"),"A basketball rack with opening and closing intelligent control function")</f>
        <v>A basketball rack with opening and closing intelligent control function</v>
      </c>
    </row>
    <row r="2859" spans="1:5" ht="15" x14ac:dyDescent="0.25">
      <c r="A2859" s="5" t="s">
        <v>8063</v>
      </c>
      <c r="B2859" s="6" t="s">
        <v>8064</v>
      </c>
      <c r="C2859" s="3" t="str">
        <f ca="1">IFERROR(__xludf.DUMMYFUNCTION("GOOGLETRANSLATE(B2859,""auto"",""en"")"),"The invention involves a sports interactive content execution system for inducing exercise. Among them, interactive content related to sports is projected on a large screen such as walls. Players throw balls such as throws on the wall for interaction. The"&amp;" content and induction exercise effects are about the system. By using machine learning to accurately identify the player and/or throwing from the video, throwing beyond the baseline or throwing other players in multiplayer games can be considered a foul.")</f>
        <v>The invention involves a sports interactive content execution system for inducing exercise. Among them, interactive content related to sports is projected on a large screen such as walls. Players throw balls such as throws on the wall for interaction. The content and induction exercise effects are about the system. By using machine learning to accurately identify the player and/or throwing from the video, throwing beyond the baseline or throwing other players in multiplayer games can be considered a foul.</v>
      </c>
      <c r="D2859" s="6" t="s">
        <v>8065</v>
      </c>
      <c r="E2859" s="4" t="str">
        <f ca="1">IFERROR(__xludf.DUMMYFUNCTION("GOOGLETRANSLATE(D2859,""auto"",""en"")"),"Sports -induced interactive content execution system")</f>
        <v>Sports -induced interactive content execution system</v>
      </c>
    </row>
    <row r="2860" spans="1:5" ht="15" x14ac:dyDescent="0.25">
      <c r="A2860" s="5" t="s">
        <v>8066</v>
      </c>
      <c r="B2860" s="6" t="s">
        <v>8067</v>
      </c>
      <c r="C2860" s="3" t="str">
        <f ca="1">IFERROR(__xludf.DUMMYFUNCTION("GOOGLETRANSLATE(B2860,""auto"",""en"")"),"The invention involves a user interface. The user interface provides techniques for the virtual interaction content of the use of the wall or the floor surface as the screen. More specifically, the invention involves a user interface that provides a techn"&amp;"ology that uses virtual mouse objects such as football to play virtual interactive content projected on the wall or floor. The movement of the movement is recognized from the image that is being played by the digital camera, and by tracking the movement p"&amp;"ath of the object, the event is generated at the moment when the object is exposed to the wall. In order to clearly identify objects, you can learn the characteristic patterns of objects in advance through machine learning.")</f>
        <v>The invention involves a user interface. The user interface provides techniques for the virtual interaction content of the use of the wall or the floor surface as the screen. More specifically, the invention involves a user interface that provides a technology that uses virtual mouse objects such as football to play virtual interactive content projected on the wall or floor. The movement of the movement is recognized from the image that is being played by the digital camera, and by tracking the movement path of the object, the event is generated at the moment when the object is exposed to the wall. In order to clearly identify objects, you can learn the characteristic patterns of objects in advance through machine learning.</v>
      </c>
      <c r="D2860" s="6" t="s">
        <v>8068</v>
      </c>
      <c r="E2860" s="4" t="str">
        <f ca="1">IFERROR(__xludf.DUMMYFUNCTION("GOOGLETRANSLATE(D2860,""auto"",""en"")"),"A system and method for providing user interfaces that provide virtual interaction content, and the record medium that stores the computer program used for it")</f>
        <v>A system and method for providing user interfaces that provide virtual interaction content, and the record medium that stores the computer program used for it</v>
      </c>
    </row>
    <row r="2861" spans="1:5" ht="15" x14ac:dyDescent="0.25">
      <c r="A2861" s="5" t="s">
        <v>8069</v>
      </c>
      <c r="B2861" s="6" t="s">
        <v>8070</v>
      </c>
      <c r="C2861" s="3" t="str">
        <f ca="1">IFERROR(__xludf.DUMMYFUNCTION("GOOGLETRANSLATE(B2861,""auto"",""en"")"),"The present invention disclosed a wearable Tai Chi motion gait evaluation and training system based on the cloud platform, including gait parameter collection modules, gait parameter processing modules, gait motion function evaluation and training modules"&amp;", cloud platform modules; adopting attitude attitude Sensor, bottom pressure sensor, and surface muscle sensor collects gait data in the human Tai Chi movement in real time. Based on the cloud platform data fusion algorithm, the horizontal and vertical co"&amp;"mparison of the user Tai Chi motion gait training is used. Realize reverse analysis from muscle signals to gait standards; multi -user -based human -computer interaction functions can provide clear digital visualization guidance for Tai Chi lectures, and "&amp;"can also provide objective quantitative reference for the scoring of the jurisdiction of the competition Tai Chi; Integrity design of packaging makes the system portable and wearable, easy to use and reliable, and has good market value.")</f>
        <v>The present invention disclosed a wearable Tai Chi motion gait evaluation and training system based on the cloud platform, including gait parameter collection modules, gait parameter processing modules, gait motion function evaluation and training modules, cloud platform modules; adopting attitude attitude Sensor, bottom pressure sensor, and surface muscle sensor collects gait data in the human Tai Chi movement in real time. Based on the cloud platform data fusion algorithm, the horizontal and vertical comparison of the user Tai Chi motion gait training is used. Realize reverse analysis from muscle signals to gait standards; multi -user -based human -computer interaction functions can provide clear digital visualization guidance for Tai Chi lectures, and can also provide objective quantitative reference for the scoring of the jurisdiction of the competition Tai Chi; Integrity design of packaging makes the system portable and wearable, easy to use and reliable, and has good market value.</v>
      </c>
      <c r="D2861" s="6" t="s">
        <v>8071</v>
      </c>
      <c r="E2861" s="4" t="str">
        <f ca="1">IFERROR(__xludf.DUMMYFUNCTION("GOOGLETRANSLATE(D2861,""auto"",""en"")"),"A cloud platform -based wearable Taiji sports gait evaluation and training system")</f>
        <v>A cloud platform -based wearable Taiji sports gait evaluation and training system</v>
      </c>
    </row>
    <row r="2862" spans="1:5" ht="15" x14ac:dyDescent="0.25">
      <c r="A2862" s="5" t="s">
        <v>8072</v>
      </c>
      <c r="B2862" s="6" t="s">
        <v>8067</v>
      </c>
      <c r="C2862" s="3" t="str">
        <f ca="1">IFERROR(__xludf.DUMMYFUNCTION("GOOGLETRANSLATE(B2862,""auto"",""en"")"),"The invention involves a user interface. The user interface provides techniques for the virtual interaction content of the use of the wall or the floor surface as the screen. More specifically, the invention involves a user interface that provides a techn"&amp;"ology that uses virtual mouse objects such as football to play virtual interactive content projected on the wall or floor. The movement of the movement is recognized from the image that is being played by the digital camera, and by tracking the movement p"&amp;"ath of the object, the event is generated at the moment when the object is exposed to the wall. In order to clearly identify objects, you can learn the characteristic patterns of objects in advance through machine learning.")</f>
        <v>The invention involves a user interface. The user interface provides techniques for the virtual interaction content of the use of the wall or the floor surface as the screen. More specifically, the invention involves a user interface that provides a technology that uses virtual mouse objects such as football to play virtual interactive content projected on the wall or floor. The movement of the movement is recognized from the image that is being played by the digital camera, and by tracking the movement path of the object, the event is generated at the moment when the object is exposed to the wall. In order to clearly identify objects, you can learn the characteristic patterns of objects in advance through machine learning.</v>
      </c>
      <c r="D2862" s="6" t="s">
        <v>8068</v>
      </c>
      <c r="E2862" s="4" t="str">
        <f ca="1">IFERROR(__xludf.DUMMYFUNCTION("GOOGLETRANSLATE(D2862,""auto"",""en"")"),"A system and method for providing user interfaces that provide virtual interaction content, and the record medium that stores the computer program used for it")</f>
        <v>A system and method for providing user interfaces that provide virtual interaction content, and the record medium that stores the computer program used for it</v>
      </c>
    </row>
    <row r="2863" spans="1:5" ht="15" x14ac:dyDescent="0.25">
      <c r="A2863" s="5" t="s">
        <v>8073</v>
      </c>
      <c r="B2863" s="6" t="s">
        <v>8074</v>
      </c>
      <c r="C2863" s="3" t="str">
        <f ca="1">IFERROR(__xludf.DUMMYFUNCTION("GOOGLETRANSLATE(B2863,""auto"",""en"")"),"The present invention involves a sports -induced sports interactive content execution system. Through the player throwing a projectile, the movement -related interaction content is projected on the large screen such as the wall, and the sports effect is g"&amp;"enerated while interacting with the content. Such as the ball on the wall. This is about the system. By using machine learning to accurately identify the player and/or throwing objects from content images, throwing the base line or throwing other players "&amp;"in multiplayer games can be regarded as foul.")</f>
        <v>The present invention involves a sports -induced sports interactive content execution system. Through the player throwing a projectile, the movement -related interaction content is projected on the large screen such as the wall, and the sports effect is generated while interacting with the content. Such as the ball on the wall. This is about the system. By using machine learning to accurately identify the player and/or throwing objects from content images, throwing the base line or throwing other players in multiplayer games can be regarded as foul.</v>
      </c>
      <c r="D2863" s="6" t="s">
        <v>8075</v>
      </c>
      <c r="E2863" s="4" t="str">
        <f ca="1">IFERROR(__xludf.DUMMYFUNCTION("GOOGLETRANSLATE(D2863,""auto"",""en"")"),"Sports interactive content execution system for sports -induced")</f>
        <v>Sports interactive content execution system for sports -induced</v>
      </c>
    </row>
    <row r="2864" spans="1:5" ht="15" x14ac:dyDescent="0.25">
      <c r="A2864" s="5" t="s">
        <v>8076</v>
      </c>
      <c r="B2864" s="6" t="s">
        <v>8077</v>
      </c>
      <c r="C2864" s="3" t="str">
        <f ca="1">IFERROR(__xludf.DUMMYFUNCTION("GOOGLETRANSLATE(B2864,""auto"",""en"")"),"1. Design product name: For the graphical user interface for the computer.
 2. The purpose of designing products in this exterior: The design of the product is used for running procedures and display.
 3. Design of the design of the product in this ex"&amp;"terior: lies in the interface content of the graphic user interface in the screen.
 4. The picture or photo of the main point of design design in this appearance: Design 1 main view.
 5. Small view: Design 1 10 other views without design points, so om"&amp;"itted.
 6. Specify basic design: Design 1.
 7. Interface use: Design the product interface of 1界10 to show the interactive interface of the data of the Internet of Things platform; to select the most in line with the user's usage scenario, display dat"&amp;"a statistics and analysis, so that users can easily complete operation and maintenance management; The 13 sections are the title sections at the top of the interface, the 11 chart sections and the large screen type section in the middle of the left, lower"&amp;", and right; the users of each section can select the configuration according to the use scenario; design the 1 product interface interface In order to show the interactive interface of campus architecture (1) scene data; when the mouse is hovering on the"&amp;" building, the building is highly lit and shows the building's equipment summary information, which is suitable for the school scene of primary and secondary schools; the design 2 product interface is to show the campus building ( 2) Interaction interface"&amp;" of scene data; suitable for school scenes in primary and secondary schools; design 3 product interface to show the interactive interface of campus architecture (3) scene data; suitable for school scenes for primary and secondary schools; design 4 product"&amp;" interface to show medical building scenes Data interaction interface; suitable for medical industries such as hospitals or beauty institutions; design 5 product interfaces to show the interactive interface of government building scene data; suitable for "&amp;"government agencies and units; design 6 product interfaces to display the interactive interface of the construction scene data of the exhibition hall; Applicable to gymnasium, activity center, etc.; Design 7 product interfaces to display the interactive i"&amp;"nterface of the data of the cabinet scene of the machine room; it is suitable for the machine room in the independent computer room or office building; the design 8 product interface is campus building (1) When an abnormal alarm appears in the space in th"&amp;"e scene, The interactive interface; the building of the space will become a warning flash state (for example: the warning flash color is red) and extend the alarm information box. At this time, if the linkage strategy is triggered, the strategy informatio"&amp;"n will be displayed. (1) The interactive interface of the space in the scene when performing inspection tasks; the lighting effect of the triggers will have the light sweeping effect and extend the inspection information and inspection progress, and the i"&amp;"nspection results will be displayed after the inspection is completed; the 10 products are designed. The interface is the initial interface of the enterprise IoT platform; users of each section can select the configuration based on the use scenario; this "&amp;"product is a similar appearance design.")</f>
        <v>1. Design product name: For the graphical user interface for the computer.
 2. The purpose of designing products in this exterior: The design of the product is used for running procedures and display.
 3. Design of the design of the product in this exterior: lies in the interface content of the graphic user interface in the screen.
 4. The picture or photo of the main point of design design in this appearance: Design 1 main view.
 5. Small view: Design 1 10 other views without design points, so omitted.
 6. Specify basic design: Design 1.
 7. Interface use: Design the product interface of 1界10 to show the interactive interface of the data of the Internet of Things platform; to select the most in line with the user's usage scenario, display data statistics and analysis, so that users can easily complete operation and maintenance management; The 13 sections are the title sections at the top of the interface, the 11 chart sections and the large screen type section in the middle of the left, lower, and right; the users of each section can select the configuration according to the use scenario; design the 1 product interface interface In order to show the interactive interface of campus architecture (1) scene data; when the mouse is hovering on the building, the building is highly lit and shows the building's equipment summary information, which is suitable for the school scene of primary and secondary schools; the design 2 product interface is to show the campus building ( 2) Interaction interface of scene data; suitable for school scenes in primary and secondary schools; design 3 product interface to show the interactive interface of campus architecture (3) scene data; suitable for school scenes for primary and secondary schools; design 4 product interface to show medical building scenes Data interaction interface; suitable for medical industries such as hospitals or beauty institutions; design 5 product interfaces to show the interactive interface of government building scene data; suitable for government agencies and units; design 6 product interfaces to display the interactive interface of the construction scene data of the exhibition hall; Applicable to gymnasium, activity center, etc.; Design 7 product interfaces to display the interactive interface of the data of the cabinet scene of the machine room; it is suitable for the machine room in the independent computer room or office building; the design 8 product interface is campus building (1) When an abnormal alarm appears in the space in the scene, The interactive interface; the building of the space will become a warning flash state (for example: the warning flash color is red) and extend the alarm information box. At this time, if the linkage strategy is triggered, the strategy information will be displayed. (1) The interactive interface of the space in the scene when performing inspection tasks; the lighting effect of the triggers will have the light sweeping effect and extend the inspection information and inspection progress, and the inspection results will be displayed after the inspection is completed; the 10 products are designed. The interface is the initial interface of the enterprise IoT platform; users of each section can select the configuration based on the use scenario; this product is a similar appearance design.</v>
      </c>
      <c r="D2864" s="6" t="s">
        <v>7566</v>
      </c>
      <c r="E2864" s="4" t="str">
        <f ca="1">IFERROR(__xludf.DUMMYFUNCTION("GOOGLETRANSLATE(D2864,""auto"",""en"")"),"The graphical user interface used for a computer")</f>
        <v>The graphical user interface used for a computer</v>
      </c>
    </row>
    <row r="2865" spans="1:5" ht="15" x14ac:dyDescent="0.25">
      <c r="A2865" s="5" t="s">
        <v>8078</v>
      </c>
      <c r="B2865" s="6" t="s">
        <v>8079</v>
      </c>
      <c r="C2865" s="3" t="str">
        <f ca="1">IFERROR(__xludf.DUMMYFUNCTION("GOOGLETRANSLATE(B2865,""auto"",""en"")"),"The popular science knowledge display and evaluation methods provided by the embodiments of the present invention involve the science knowledge learning technology field, and the science popularization knowledge display and evaluation methods are sent to "&amp;"the group or more group of test content to the touch -type comprehensive display. Score the results of this evaluation and get the scoring results. Based on the scoring results, calculate the results of the evaluation results and rank the scoring results "&amp;"and evaluation results on the touch -type display screen. Learn the model identify the problem and calculate the similarity between the problem and the science popularization content in the database based on the text similarity algorithm, obtain the answe"&amp;"r corresponding to the question according to the similarity and output the answer Funity and interaction improve the user experience and improve the effect of popular science knowledge learning. At the same time, the embodiment of the present invention al"&amp;"so provides a popular science knowledge display and evaluation system and equipment.")</f>
        <v>The popular science knowledge display and evaluation methods provided by the embodiments of the present invention involve the science knowledge learning technology field, and the science popularization knowledge display and evaluation methods are sent to the group or more group of test content to the touch -type comprehensive display. Score the results of this evaluation and get the scoring results. Based on the scoring results, calculate the results of the evaluation results and rank the scoring results and evaluation results on the touch -type display screen. Learn the model identify the problem and calculate the similarity between the problem and the science popularization content in the database based on the text similarity algorithm, obtain the answer corresponding to the question according to the similarity and output the answer Funity and interaction improve the user experience and improve the effect of popular science knowledge learning. At the same time, the embodiment of the present invention also provides a popular science knowledge display and evaluation system and equipment.</v>
      </c>
      <c r="D2865" s="6" t="s">
        <v>8080</v>
      </c>
      <c r="E2865" s="4" t="str">
        <f ca="1">IFERROR(__xludf.DUMMYFUNCTION("GOOGLETRANSLATE(D2865,""auto"",""en"")"),"A popular science knowledge evaluation and learning method, system and equipment")</f>
        <v>A popular science knowledge evaluation and learning method, system and equipment</v>
      </c>
    </row>
    <row r="2866" spans="1:5" ht="15" x14ac:dyDescent="0.25">
      <c r="A2866" s="5" t="s">
        <v>8081</v>
      </c>
      <c r="B2866" s="6" t="s">
        <v>8082</v>
      </c>
      <c r="C2866" s="3" t="str">
        <f ca="1">IFERROR(__xludf.DUMMYFUNCTION("GOOGLETRANSLATE(B2866,""auto"",""en"")"),"Extract the metadata of the wonderful clips of the video stream from the card image embedded in the video stream. Wonderful fragments can be a video stream that is particularly interested in one or more users, such as the broadcast of sports events. Ident"&amp;"ify and process card images embedded in video frames embedded in the video stream to extract the text. You can identify text characters by applying a set of character training models extracted from a card image embedded in sports TV programs. The pre -pro"&amp;"cessing distance between the character vector can be pre -processed to maximize the measurement distance between members of the training set. You can explain the text to obtain metadata. Metadata can be stored in related parts of the video stream. Metal d"&amp;"ata can provide information about wonderful fragments, and can be presented at the same time as the reflection of wonderful fragments.")</f>
        <v>Extract the metadata of the wonderful clips of the video stream from the card image embedded in the video stream. Wonderful fragments can be a video stream that is particularly interested in one or more users, such as the broadcast of sports events. Identify and process card images embedded in video frames embedded in the video stream to extract the text. You can identify text characters by applying a set of character training models extracted from a card image embedded in sports TV programs. The pre -processing distance between the character vector can be pre -processed to maximize the measurement distance between members of the training set. You can explain the text to obtain metadata. Metadata can be stored in related parts of the video stream. Metal data can provide information about wonderful fragments, and can be presented at the same time as the reflection of wonderful fragments.</v>
      </c>
      <c r="D2866" s="6" t="s">
        <v>2053</v>
      </c>
      <c r="E2866" s="4" t="str">
        <f ca="1">IFERROR(__xludf.DUMMYFUNCTION("GOOGLETRANSLATE(D2866,""auto"",""en"")"),"Machine learning for identifying and interpreting the content of embedded information card content")</f>
        <v>Machine learning for identifying and interpreting the content of embedded information card content</v>
      </c>
    </row>
    <row r="2867" spans="1:5" ht="15" x14ac:dyDescent="0.25">
      <c r="A2867" s="5" t="s">
        <v>8083</v>
      </c>
      <c r="B2867" s="6" t="s">
        <v>8082</v>
      </c>
      <c r="C2867" s="3" t="str">
        <f ca="1">IFERROR(__xludf.DUMMYFUNCTION("GOOGLETRANSLATE(B2867,""auto"",""en"")"),"Extract the metadata of the wonderful clips of the video stream from the card image embedded in the video stream. Wonderful fragments can be a video stream that is particularly interested in one or more users, such as the broadcast of sports events. Ident"&amp;"ify and process card images embedded in video frames embedded in the video stream to extract the text. You can identify text characters by applying a set of character training models extracted from a card image embedded in sports TV programs. The pre -pro"&amp;"cessing distance between the character vector can be pre -processed to maximize the measurement distance between members of the training set. You can explain the text to obtain metadata. Metadata can be stored in related parts of the video stream. Metal d"&amp;"ata can provide information about wonderful fragments, and can be presented at the same time as the reflection of wonderful fragments.")</f>
        <v>Extract the metadata of the wonderful clips of the video stream from the card image embedded in the video stream. Wonderful fragments can be a video stream that is particularly interested in one or more users, such as the broadcast of sports events. Identify and process card images embedded in video frames embedded in the video stream to extract the text. You can identify text characters by applying a set of character training models extracted from a card image embedded in sports TV programs. The pre -processing distance between the character vector can be pre -processed to maximize the measurement distance between members of the training set. You can explain the text to obtain metadata. Metadata can be stored in related parts of the video stream. Metal data can provide information about wonderful fragments, and can be presented at the same time as the reflection of wonderful fragments.</v>
      </c>
      <c r="D2867" s="6" t="s">
        <v>2053</v>
      </c>
      <c r="E2867" s="4" t="str">
        <f ca="1">IFERROR(__xludf.DUMMYFUNCTION("GOOGLETRANSLATE(D2867,""auto"",""en"")"),"Machine learning for identifying and interpreting the content of embedded information card content")</f>
        <v>Machine learning for identifying and interpreting the content of embedded information card content</v>
      </c>
    </row>
    <row r="2868" spans="1:5" ht="15" x14ac:dyDescent="0.25">
      <c r="A2868" s="5" t="s">
        <v>8084</v>
      </c>
      <c r="B2868" s="6" t="s">
        <v>8082</v>
      </c>
      <c r="C2868" s="3" t="str">
        <f ca="1">IFERROR(__xludf.DUMMYFUNCTION("GOOGLETRANSLATE(B2868,""auto"",""en"")"),"Extract the metadata of the wonderful clips of the video stream from the card image embedded in the video stream. Wonderful fragments can be a video stream that is particularly interested in one or more users, such as the broadcast of sports events. Ident"&amp;"ify and process card images embedded in video frames embedded in the video stream to extract the text. You can identify text characters by applying a set of character training models extracted from a card image embedded in sports TV programs. The pre -pro"&amp;"cessing distance between the character vector can be pre -processed to maximize the measurement distance between members of the training set. You can explain the text to obtain metadata. Metadata can be stored in related parts of the video stream. Metal d"&amp;"ata can provide information about wonderful fragments, and can be presented at the same time as the reflection of wonderful fragments.")</f>
        <v>Extract the metadata of the wonderful clips of the video stream from the card image embedded in the video stream. Wonderful fragments can be a video stream that is particularly interested in one or more users, such as the broadcast of sports events. Identify and process card images embedded in video frames embedded in the video stream to extract the text. You can identify text characters by applying a set of character training models extracted from a card image embedded in sports TV programs. The pre -processing distance between the character vector can be pre -processed to maximize the measurement distance between members of the training set. You can explain the text to obtain metadata. Metadata can be stored in related parts of the video stream. Metal data can provide information about wonderful fragments, and can be presented at the same time as the reflection of wonderful fragments.</v>
      </c>
      <c r="D2868" s="6" t="s">
        <v>2053</v>
      </c>
      <c r="E2868" s="4" t="str">
        <f ca="1">IFERROR(__xludf.DUMMYFUNCTION("GOOGLETRANSLATE(D2868,""auto"",""en"")"),"Machine learning for identifying and interpreting the content of embedded information card content")</f>
        <v>Machine learning for identifying and interpreting the content of embedded information card content</v>
      </c>
    </row>
    <row r="2869" spans="1:5" ht="15" x14ac:dyDescent="0.25">
      <c r="A2869" s="5" t="s">
        <v>8085</v>
      </c>
      <c r="B2869" s="6" t="s">
        <v>8086</v>
      </c>
      <c r="C2869" s="3" t="str">
        <f ca="1">IFERROR(__xludf.DUMMYFUNCTION("GOOGLETRANSLATE(B2869,""auto"",""en"")"),"Extract the metadata of the wonderful fragments of the video stream from the card image embedded in the video stream. The wonderful fragments can be a video stream that is particularly interested in one or more users, such as the broadcast of sports event"&amp;"s. The card portrait of the video frame embedded in the video stream is processed to extract the text. You can identify text characters by applying a set of character training models extracted in sports TV programs in sports TV programs. The training set "&amp;"of the character vector can be pre -processing the characteristics of the training set. You can interpret the text to obtain the metadata. The meta -data can be stored in the relevant parts of the video stream. The meta -data can provide information about"&amp;" the wonderful fragments, and it can be presented at the same time as the reflection of the wonderful fragments.")</f>
        <v>Extract the metadata of the wonderful fragments of the video stream from the card image embedded in the video stream. The wonderful fragments can be a video stream that is particularly interested in one or more users, such as the broadcast of sports events. The card portrait of the video frame embedded in the video stream is processed to extract the text. You can identify text characters by applying a set of character training models extracted in sports TV programs in sports TV programs. The training set of the character vector can be pre -processing the characteristics of the training set. You can interpret the text to obtain the metadata. The meta -data can be stored in the relevant parts of the video stream. The meta -data can provide information about the wonderful fragments, and it can be presented at the same time as the reflection of the wonderful fragments.</v>
      </c>
      <c r="D2869" s="6" t="s">
        <v>8087</v>
      </c>
      <c r="E2869" s="4" t="str">
        <f ca="1">IFERROR(__xludf.DUMMYFUNCTION("GOOGLETRANSLATE(D2869,""auto"",""en"")"),"Machine learning for identifying and interpreting the content of embedded information card content")</f>
        <v>Machine learning for identifying and interpreting the content of embedded information card content</v>
      </c>
    </row>
    <row r="2870" spans="1:5" ht="15" x14ac:dyDescent="0.25">
      <c r="A2870" s="5" t="s">
        <v>8088</v>
      </c>
      <c r="B2870" s="6" t="s">
        <v>8089</v>
      </c>
      <c r="C2870" s="3" t="str">
        <f ca="1">IFERROR(__xludf.DUMMYFUNCTION("GOOGLETRANSLATE(B2870,""auto"",""en"")"),"Video flow highlights are extracted from the card image embedded in the video stream. Wonderful fragments can be a video stream that is particularly interested in one or more users, such as the broadcast of sports events. Identify and process card images "&amp;"embedded in video frames embedded in the video stream to extract the text. Text characters can be identified by applying machine learning models. This model is trained to train a set of characters extracted from card images embedded in sports TV programs."&amp;" The training set of the character vector can be pre -processed to maximize the measurement distance between members of the training set. You can analyze text and get metadata. Metadata can be stored in related parts of the video stream. Metal data can pr"&amp;"ovide information about wonderful fragments and can be presented at the same time as the release of wonderful fragments.
  【Select Figure】 Figure 4")</f>
        <v>Video flow highlights are extracted from the card image embedded in the video stream. Wonderful fragments can be a video stream that is particularly interested in one or more users, such as the broadcast of sports events. Identify and process card images embedded in video frames embedded in the video stream to extract the text. Text characters can be identified by applying machine learning models. This model is trained to train a set of characters extracted from card images embedded in sports TV programs. The training set of the character vector can be pre -processed to maximize the measurement distance between members of the training set. You can analyze text and get metadata. Metadata can be stored in related parts of the video stream. Metal data can provide information about wonderful fragments and can be presented at the same time as the release of wonderful fragments.
  【Select Figure】 Figure 4</v>
      </c>
      <c r="D2870" s="6" t="s">
        <v>2053</v>
      </c>
      <c r="E2870" s="4" t="str">
        <f ca="1">IFERROR(__xludf.DUMMYFUNCTION("GOOGLETRANSLATE(D2870,""auto"",""en"")"),"Machine learning for identifying and interpreting the content of embedded information card content")</f>
        <v>Machine learning for identifying and interpreting the content of embedded information card content</v>
      </c>
    </row>
    <row r="2871" spans="1:5" ht="15" x14ac:dyDescent="0.25">
      <c r="A2871" s="5" t="s">
        <v>8090</v>
      </c>
      <c r="B2871" s="6" t="s">
        <v>8082</v>
      </c>
      <c r="C2871" s="3" t="str">
        <f ca="1">IFERROR(__xludf.DUMMYFUNCTION("GOOGLETRANSLATE(B2871,""auto"",""en"")"),"Extract the metadata of the wonderful clips of the video stream from the card image embedded in the video stream. Wonderful fragments can be a video stream that is particularly interested in one or more users, such as the broadcast of sports events. Ident"&amp;"ify and process card images embedded in video frames embedded in the video stream to extract the text. You can identify text characters by applying a set of character training models extracted from a card image embedded in sports TV programs. The pre -pro"&amp;"cessing distance between the character vector can be pre -processed to maximize the measurement distance between members of the training set. You can explain the text to obtain metadata. Metadata can be stored in related parts of the video stream. Metal d"&amp;"ata can provide information about wonderful fragments, and can be presented at the same time as the reflection of wonderful fragments.")</f>
        <v>Extract the metadata of the wonderful clips of the video stream from the card image embedded in the video stream. Wonderful fragments can be a video stream that is particularly interested in one or more users, such as the broadcast of sports events. Identify and process card images embedded in video frames embedded in the video stream to extract the text. You can identify text characters by applying a set of character training models extracted from a card image embedded in sports TV programs. The pre -processing distance between the character vector can be pre -processed to maximize the measurement distance between members of the training set. You can explain the text to obtain metadata. Metadata can be stored in related parts of the video stream. Metal data can provide information about wonderful fragments, and can be presented at the same time as the reflection of wonderful fragments.</v>
      </c>
      <c r="D2871" s="6" t="s">
        <v>2053</v>
      </c>
      <c r="E2871" s="4" t="str">
        <f ca="1">IFERROR(__xludf.DUMMYFUNCTION("GOOGLETRANSLATE(D2871,""auto"",""en"")"),"Machine learning for identifying and interpreting the content of embedded information card content")</f>
        <v>Machine learning for identifying and interpreting the content of embedded information card content</v>
      </c>
    </row>
    <row r="2872" spans="1:5" ht="15" x14ac:dyDescent="0.25">
      <c r="A2872" s="5" t="s">
        <v>8091</v>
      </c>
      <c r="B2872" s="6" t="s">
        <v>8092</v>
      </c>
      <c r="C2872" s="3" t="str">
        <f ca="1">IFERROR(__xludf.DUMMYFUNCTION("GOOGLETRANSLATE(B2872,""auto"",""en"")"),"The present invention disclosed a prediction method based on a mixed model of football competition, including steps: collecting player game data, pre -processing data; statistical characteristics of building players' various competitions; , Park Bayes mod"&amp;"el, enter the game data of all players in the team, get the probability of the first player in each player in the future; give different weights for the three models, and use the probability of three models. The voting method voted for the players to get "&amp;"the starting player, and the first 11 players who obtained the most votes were the players who played the starting of the first game in the future. The present invention uses a mixed model in machine learning, which can fully and effectively predict its f"&amp;"uture starting situation through the historical competition data of the players, which can help coaches and teams be able to analyze and prepare for war.")</f>
        <v>The present invention disclosed a prediction method based on a mixed model of football competition, including steps: collecting player game data, pre -processing data; statistical characteristics of building players' various competitions; , Park Bayes model, enter the game data of all players in the team, get the probability of the first player in each player in the future; give different weights for the three models, and use the probability of three models. The voting method voted for the players to get the starting player, and the first 11 players who obtained the most votes were the players who played the starting of the first game in the future. The present invention uses a mixed model in machine learning, which can fully and effectively predict its future starting situation through the historical competition data of the players, which can help coaches and teams be able to analyze and prepare for war.</v>
      </c>
      <c r="D2872" s="6" t="s">
        <v>8093</v>
      </c>
      <c r="E2872" s="4" t="str">
        <f ca="1">IFERROR(__xludf.DUMMYFUNCTION("GOOGLETRANSLATE(D2872,""auto"",""en"")"),"A prediction method based on a mixed model football game")</f>
        <v>A prediction method based on a mixed model football game</v>
      </c>
    </row>
    <row r="2873" spans="1:5" ht="15" x14ac:dyDescent="0.25">
      <c r="A2873" s="5" t="s">
        <v>8094</v>
      </c>
      <c r="B2873" s="6" t="s">
        <v>8095</v>
      </c>
      <c r="C2873" s="3" t="str">
        <f ca="1">IFERROR(__xludf.DUMMYFUNCTION("GOOGLETRANSLATE(B2873,""auto"",""en"")"),"The highlights of the video stream are extracted from the card image embedded in the video stream. Highlights can be a video stream fragment that is particularly interested in one or more users, such as the broadcast of sports events. The card image embed"&amp;"ded in the video frame is recognized and processed to extract the text. Text characters can be identified by applying machine learning models. This model uses a set of characters extracted from card images embedded in sports TV programs for training. The "&amp;"training set of characteristic vectors can be pre -processing at the measurement distance between members to maximize the training set. You can explain the text to obtain metadata. Metadata can be stored in related parts of the video stream. Metal data ca"&amp;"n provide information about wonderful fragments, and can be presented at the same time as the reflection of wonderful fragments.")</f>
        <v>The highlights of the video stream are extracted from the card image embedded in the video stream. Highlights can be a video stream fragment that is particularly interested in one or more users, such as the broadcast of sports events. The card image embedded in the video frame is recognized and processed to extract the text. Text characters can be identified by applying machine learning models. This model uses a set of characters extracted from card images embedded in sports TV programs for training. The training set of characteristic vectors can be pre -processing at the measurement distance between members to maximize the training set. You can explain the text to obtain metadata. Metadata can be stored in related parts of the video stream. Metal data can provide information about wonderful fragments, and can be presented at the same time as the reflection of wonderful fragments.</v>
      </c>
      <c r="D2873" s="6" t="s">
        <v>2053</v>
      </c>
      <c r="E2873" s="4" t="str">
        <f ca="1">IFERROR(__xludf.DUMMYFUNCTION("GOOGLETRANSLATE(D2873,""auto"",""en"")"),"Machine learning for identifying and interpreting the content of embedded information card content")</f>
        <v>Machine learning for identifying and interpreting the content of embedded information card content</v>
      </c>
    </row>
    <row r="2874" spans="1:5" ht="15" x14ac:dyDescent="0.25">
      <c r="A2874" s="5" t="s">
        <v>8096</v>
      </c>
      <c r="B2874" s="6" t="s">
        <v>8097</v>
      </c>
      <c r="C2874" s="3" t="str">
        <f ca="1">IFERROR(__xludf.DUMMYFUNCTION("GOOGLETRANSLATE(B2874,""auto"",""en"")"),"The present invention disclosed a Yunjia school system based on the Internet of Things, including processors, message push modules, psychological health perception modules, activity trajectory perception modules, classroom performance perception modules, "&amp;"sports perception modules, academic quality perception modules, physical health health Perception module, disease prevention perception module, and school inspection perception module, introduce Internet of Things technology to improve data quality and us"&amp;"er experience for home -school communication. Based on IoT devices, it automatically generates, automatically filter, automatic analysis and automatic analysis and automatic analysis and analysis through multiple aspects. Automatically summarize students "&amp;"to express data in schools, feedback and communicate through the Internet, reduce the workload of teachers, and high accuracy of data. The school has increased the degree of campus information through the application of the Internet of Things, and establi"&amp;"shes an intelligent cloud home school system. The construction of artificial intelligence campuses has a good basis for big data, which is conducive to students' learning and growth.")</f>
        <v>The present invention disclosed a Yunjia school system based on the Internet of Things, including processors, message push modules, psychological health perception modules, activity trajectory perception modules, classroom performance perception modules, sports perception modules, academic quality perception modules, physical health health Perception module, disease prevention perception module, and school inspection perception module, introduce Internet of Things technology to improve data quality and user experience for home -school communication. Based on IoT devices, it automatically generates, automatically filter, automatic analysis and automatic analysis and automatic analysis and analysis through multiple aspects. Automatically summarize students to express data in schools, feedback and communicate through the Internet, reduce the workload of teachers, and high accuracy of data. The school has increased the degree of campus information through the application of the Internet of Things, and establishes an intelligent cloud home school system. The construction of artificial intelligence campuses has a good basis for big data, which is conducive to students' learning and growth.</v>
      </c>
      <c r="D2874" s="6" t="s">
        <v>8098</v>
      </c>
      <c r="E2874" s="4" t="str">
        <f ca="1">IFERROR(__xludf.DUMMYFUNCTION("GOOGLETRANSLATE(D2874,""auto"",""en"")"),"A Yun family school system based on the Internet of Things")</f>
        <v>A Yun family school system based on the Internet of Things</v>
      </c>
    </row>
    <row r="2875" spans="1:5" ht="15" x14ac:dyDescent="0.25">
      <c r="A2875" s="5" t="s">
        <v>8099</v>
      </c>
      <c r="B2875" s="6" t="s">
        <v>8100</v>
      </c>
      <c r="C2875" s="3" t="str">
        <f ca="1">IFERROR(__xludf.DUMMYFUNCTION("GOOGLETRANSLATE(B2875,""auto"",""en"")"),"The invention involves a intermittent training plan management system and method based on the Internet of Things, including treadmills, cameras, monitors and cloud servers, the internal settings of the treadmill with timer and controllers, cameras and mon"&amp;"itors in front of the treadmill And the camera and the display are connected to the controller respectively; the camera is used to collect the user's upper body image and sends the user's upper body image to the controller; Send to the controller, the int"&amp;"ermittent training plan includes the number of times during the training period and the running speed of each training stage. By adopting the present invention, the number of times the training phase can be pre -set and the running speed of each training "&amp;"phase, and the target training time of each training stage is specified by statistics through the average data of the user within three months, and the training has been achieved. Planning personalized customization and strict and accurate implementation.")</f>
        <v>The invention involves a intermittent training plan management system and method based on the Internet of Things, including treadmills, cameras, monitors and cloud servers, the internal settings of the treadmill with timer and controllers, cameras and monitors in front of the treadmill And the camera and the display are connected to the controller respectively; the camera is used to collect the user's upper body image and sends the user's upper body image to the controller; Send to the controller, the intermittent training plan includes the number of times during the training period and the running speed of each training stage. By adopting the present invention, the number of times the training phase can be pre -set and the running speed of each training phase, and the target training time of each training stage is specified by statistics through the average data of the user within three months, and the training has been achieved. Planning personalized customization and strict and accurate implementation.</v>
      </c>
      <c r="D2875" s="6" t="s">
        <v>8101</v>
      </c>
      <c r="E2875" s="4" t="str">
        <f ca="1">IFERROR(__xludf.DUMMYFUNCTION("GOOGLETRANSLATE(D2875,""auto"",""en"")"),"An intermittent training plan management system and method based on the Internet of Things")</f>
        <v>An intermittent training plan management system and method based on the Internet of Things</v>
      </c>
    </row>
    <row r="2876" spans="1:5" ht="15" x14ac:dyDescent="0.25">
      <c r="A2876" s="5" t="s">
        <v>8102</v>
      </c>
      <c r="B2876" s="6" t="s">
        <v>8103</v>
      </c>
      <c r="C2876" s="3" t="str">
        <f ca="1">IFERROR(__xludf.DUMMYFUNCTION("GOOGLETRANSLATE(B2876,""auto"",""en"")"),"The present invention involves a system and method based on the IoT intelligent custom slimming plan, including trainer terminals, coach terminals, displays, controllers and cloud servers. The controller is connected to the display screen, and the cloud s"&amp;"erver communicates with the controller, the trainer terminal and the coach terminal, which is bound to the trainer's terminal and the trainer ID. The terminal is bound to the coach ID, which is a touch display. By adopting the present invention, the coach"&amp;" can be intelligently allocated according to the basic information and training needs of the trainer, and you can match the thinning training program suitable for trainers according to the classification of the trainer. The needs of each different trainer"&amp;" realizes the intelligent customization and management of the weight -loss training program, and improves the efficiency of the development of weight -loss training programs.")</f>
        <v>The present invention involves a system and method based on the IoT intelligent custom slimming plan, including trainer terminals, coach terminals, displays, controllers and cloud servers. The controller is connected to the display screen, and the cloud server communicates with the controller, the trainer terminal and the coach terminal, which is bound to the trainer's terminal and the trainer ID. The terminal is bound to the coach ID, which is a touch display. By adopting the present invention, the coach can be intelligently allocated according to the basic information and training needs of the trainer, and you can match the thinning training program suitable for trainers according to the classification of the trainer. The needs of each different trainer realizes the intelligent customization and management of the weight -loss training program, and improves the efficiency of the development of weight -loss training programs.</v>
      </c>
      <c r="D2876" s="6" t="s">
        <v>8104</v>
      </c>
      <c r="E2876" s="4" t="str">
        <f ca="1">IFERROR(__xludf.DUMMYFUNCTION("GOOGLETRANSLATE(D2876,""auto"",""en"")"),"A system and method based on the Internet of Things intelligent custom slimming plan")</f>
        <v>A system and method based on the Internet of Things intelligent custom slimming plan</v>
      </c>
    </row>
    <row r="2877" spans="1:5" ht="15" x14ac:dyDescent="0.25">
      <c r="A2877" s="5" t="s">
        <v>8105</v>
      </c>
      <c r="B2877" s="6" t="s">
        <v>8106</v>
      </c>
      <c r="C2877" s="3" t="str">
        <f ca="1">IFERROR(__xludf.DUMMYFUNCTION("GOOGLETRANSLATE(B2877,""auto"",""en"")"),"The present invention disclosed a swimming pool underwater intelligent life system, including underwater cameras, intelligent life livelihood systems, workstations, and handheld on -site display terminals. , Through computer artificial intelligence techno"&amp;"logy, visual recognition technology, behavioral recognition technology, deep learning technology, within 8 seconds of arbitrary time, identify and discover drowning people underwater, at the same time issue alarm information Drown, ensure the safety of sw"&amp;"immers. The present invention adopts the deep integration of artificial intelligence technology and swimming, breaks through the defects of existing drowning life -saving methods, and establish an intelligent anti -drowning warning and alarm system in the"&amp;" swimming pool to achieve active prevention, early warning and timely discovery of drowning life.")</f>
        <v>The present invention disclosed a swimming pool underwater intelligent life system, including underwater cameras, intelligent life livelihood systems, workstations, and handheld on -site display terminals. , Through computer artificial intelligence technology, visual recognition technology, behavioral recognition technology, deep learning technology, within 8 seconds of arbitrary time, identify and discover drowning people underwater, at the same time issue alarm information Drown, ensure the safety of swimmers. The present invention adopts the deep integration of artificial intelligence technology and swimming, breaks through the defects of existing drowning life -saving methods, and establish an intelligent anti -drowning warning and alarm system in the swimming pool to achieve active prevention, early warning and timely discovery of drowning life.</v>
      </c>
      <c r="D2877" s="6" t="s">
        <v>8107</v>
      </c>
      <c r="E2877" s="4" t="str">
        <f ca="1">IFERROR(__xludf.DUMMYFUNCTION("GOOGLETRANSLATE(D2877,""auto"",""en"")"),"A swimming pool underwater intelligent life -saving system")</f>
        <v>A swimming pool underwater intelligent life -saving system</v>
      </c>
    </row>
    <row r="2878" spans="1:5" ht="15" x14ac:dyDescent="0.25">
      <c r="A2878" s="5" t="s">
        <v>8108</v>
      </c>
      <c r="B2878" s="6" t="s">
        <v>8109</v>
      </c>
      <c r="C2878" s="3" t="str">
        <f ca="1">IFERROR(__xludf.DUMMYFUNCTION("GOOGLETRANSLATE(B2878,""auto"",""en"")"),"The present invention disclosed a monitoring method and system for swimming pools, which achieved monitoring by identifying and analyzing the facial expressions and physical movements of swimmers. The main point of its technical solution is to set up a mo"&amp;"nitoring system in the swimming pool to implement safety monitoring system that includes a video collection unit, pre -processing unit, feature extraction unit, training unit, identification unit, and alarm unit. Collect the real -time swimming videos of "&amp;"swimmers. After pre -processing and feature extraction, enter the drowning recognition model. When identifying the drowning characteristics, the alarm unit is triggered to alarm. This public uses a swimming pool monitoring method and the drowning identifi"&amp;"cation model trained by deep neural network training, which has a good prevention effect on drowning.")</f>
        <v>The present invention disclosed a monitoring method and system for swimming pools, which achieved monitoring by identifying and analyzing the facial expressions and physical movements of swimmers. The main point of its technical solution is to set up a monitoring system in the swimming pool to implement safety monitoring system that includes a video collection unit, pre -processing unit, feature extraction unit, training unit, identification unit, and alarm unit. Collect the real -time swimming videos of swimmers. After pre -processing and feature extraction, enter the drowning recognition model. When identifying the drowning characteristics, the alarm unit is triggered to alarm. This public uses a swimming pool monitoring method and the drowning identification model trained by deep neural network training, which has a good prevention effect on drowning.</v>
      </c>
      <c r="D2878" s="6" t="s">
        <v>8110</v>
      </c>
      <c r="E2878" s="4" t="str">
        <f ca="1">IFERROR(__xludf.DUMMYFUNCTION("GOOGLETRANSLATE(D2878,""auto"",""en"")"),"A monitoring method and system for swimming pools")</f>
        <v>A monitoring method and system for swimming pools</v>
      </c>
    </row>
    <row r="2879" spans="1:5" ht="15" x14ac:dyDescent="0.25">
      <c r="A2879" s="5" t="s">
        <v>8111</v>
      </c>
      <c r="B2879" s="6" t="s">
        <v>8112</v>
      </c>
      <c r="C2879" s="3" t="str">
        <f ca="1">IFERROR(__xludf.DUMMYFUNCTION("GOOGLETRANSLATE(B2879,""auto"",""en"")"),"The present invention involves a method, equipment and system based on machine learning, including: determine the target of the target competition; the historical competition data based on the participating targets determines the characteristics of the co"&amp;"ntestant; The results of the game results interference data; based on the prediction model of the first competition results, the characteristics of the characteristic data and the results of the competition results are predicted, and the results of the fi"&amp;"rst game of the target competition are obtained. The learning of data and the results of the game interference data has improved the accuracy of the prediction of the game.")</f>
        <v>The present invention involves a method, equipment and system based on machine learning, including: determine the target of the target competition; the historical competition data based on the participating targets determines the characteristics of the contestant; The results of the game results interference data; based on the prediction model of the first competition results, the characteristics of the characteristic data and the results of the competition results are predicted, and the results of the first game of the target competition are obtained. The learning of data and the results of the game interference data has improved the accuracy of the prediction of the game.</v>
      </c>
      <c r="D2879" s="6" t="s">
        <v>8113</v>
      </c>
      <c r="E2879" s="4" t="str">
        <f ca="1">IFERROR(__xludf.DUMMYFUNCTION("GOOGLETRANSLATE(D2879,""auto"",""en"")"),"A method, device and equipment based on machine learning results")</f>
        <v>A method, device and equipment based on machine learning results</v>
      </c>
    </row>
    <row r="2880" spans="1:5" ht="15" x14ac:dyDescent="0.25">
      <c r="A2880" s="5" t="s">
        <v>8114</v>
      </c>
      <c r="B2880" s="6" t="s">
        <v>8115</v>
      </c>
      <c r="C2880" s="3" t="str">
        <f ca="1">IFERROR(__xludf.DUMMYFUNCTION("GOOGLETRANSLATE(B2880,""auto"",""en"")"),"The invention involves a supporting element with artificial intelligence, used in volleyball, basketball, football and similar sports games or sports competitions of the National and International Sports Federation. The invention is developed in the elect"&amp;"ronic referee bracelet (4), which is connected to the server (1) through the server (1), analyzed the position of the image of the video referee application, and sent the analysis results to the video referee application (VAR system) and attached to it El"&amp;"ectronic referee wristband on the referee (4). ) On the screen (5), it can evaluate the position and make it easier to execute.")</f>
        <v>The invention involves a supporting element with artificial intelligence, used in volleyball, basketball, football and similar sports games or sports competitions of the National and International Sports Federation. The invention is developed in the electronic referee bracelet (4), which is connected to the server (1) through the server (1), analyzed the position of the image of the video referee application, and sent the analysis results to the video referee application (VAR system) and attached to it Electronic referee wristband on the referee (4). ) On the screen (5), it can evaluate the position and make it easier to execute.</v>
      </c>
      <c r="D2880" s="6" t="s">
        <v>8116</v>
      </c>
      <c r="E2880" s="4" t="str">
        <f ca="1">IFERROR(__xludf.DUMMYFUNCTION("GOOGLETRANSLATE(D2880,""auto"",""en"")"),"Artificial intelligence support elements used in sports competitions")</f>
        <v>Artificial intelligence support elements used in sports competitions</v>
      </c>
    </row>
    <row r="2881" spans="1:5" ht="15" x14ac:dyDescent="0.25">
      <c r="A2881" s="5" t="s">
        <v>8117</v>
      </c>
      <c r="B2881" s="6" t="s">
        <v>8118</v>
      </c>
      <c r="C2881" s="3" t="str">
        <f ca="1">IFERROR(__xludf.DUMMYFUNCTION("GOOGLETRANSLATE(B2881,""auto"",""en"")"),"The distributed machine learning system and other distributed computing systems are improved by embedding computing logic at the network switch level to perform collective operations for gradient or other data processed by the system node, such as intensi"&amp;"ve operations. The switch is configured to identify the data units associated with a collective movement that is carried out and carrying a collective action that is implemented by a distributed system. Here is called ""calculation data"" and uses the cal"&amp;"culation subsystem in the switch to process the data. The computing subsystem includes a calculation engine. The calculation engine is configured to perform various operations on the calculation data, such as ""return"" operation, and forward the results "&amp;"back to the calculation node. The intensive operation can include, for example, for the sum of peace, average, and one by one. In this way, the network switch can take over the part or all of the distributed system during the set stage.")</f>
        <v>The distributed machine learning system and other distributed computing systems are improved by embedding computing logic at the network switch level to perform collective operations for gradient or other data processed by the system node, such as intensive operations. The switch is configured to identify the data units associated with a collective movement that is carried out and carrying a collective action that is implemented by a distributed system. Here is called "calculation data" and uses the calculation subsystem in the switch to process the data. The computing subsystem includes a calculation engine. The calculation engine is configured to perform various operations on the calculation data, such as "return" operation, and forward the results back to the calculation node. The intensive operation can include, for example, for the sum of peace, average, and one by one. In this way, the network switch can take over the part or all of the distributed system during the set stage.</v>
      </c>
      <c r="D2881" s="6" t="s">
        <v>8119</v>
      </c>
      <c r="E2881" s="4" t="str">
        <f ca="1">IFERROR(__xludf.DUMMYFUNCTION("GOOGLETRANSLATE(D2881,""auto"",""en"")"),"The network switch with an integrated computing subsystem is used for distributed artificial intelligence and other applications")</f>
        <v>The network switch with an integrated computing subsystem is used for distributed artificial intelligence and other applications</v>
      </c>
    </row>
    <row r="2882" spans="1:5" ht="15" x14ac:dyDescent="0.25">
      <c r="A2882" s="5" t="s">
        <v>8120</v>
      </c>
      <c r="B2882" s="6" t="s">
        <v>8121</v>
      </c>
      <c r="C2882" s="3" t="str">
        <f ca="1">IFERROR(__xludf.DUMMYFUNCTION("GOOGLETRANSLATE(B2882,""auto"",""en"")"),"The distributed machine learning system and other distributed computing systems are improved by embedding computing logic at the network switch level to perform collective operations for gradient or other data processed by the system node, such as intensi"&amp;"ve operations. The switch is configured to identify the data units associated with a collective movement that is carried out and carrying a collective action that is implemented by a distributed system. Here is called ""calculation data"" and uses the cal"&amp;"culation subsystem in the switch to process the data. The computing subsystem includes a calculation engine. The calculation engine is configured to perform various operations on the calculation data, such as ""return"" operation, and forward the results "&amp;"back to the calculation node. The intensive operation can include, for example, for the sum, average, according to the operation, etc. In this way, the network switch can take over the part or all of the distributed system during the set stage.")</f>
        <v>The distributed machine learning system and other distributed computing systems are improved by embedding computing logic at the network switch level to perform collective operations for gradient or other data processed by the system node, such as intensive operations. The switch is configured to identify the data units associated with a collective movement that is carried out and carrying a collective action that is implemented by a distributed system. Here is called "calculation data" and uses the calculation subsystem in the switch to process the data. The computing subsystem includes a calculation engine. The calculation engine is configured to perform various operations on the calculation data, such as "return" operation, and forward the results back to the calculation node. The intensive operation can include, for example, for the sum, average, according to the operation, etc. In this way, the network switch can take over the part or all of the distributed system during the set stage.</v>
      </c>
      <c r="D2882" s="6" t="s">
        <v>8122</v>
      </c>
      <c r="E2882" s="4" t="str">
        <f ca="1">IFERROR(__xludf.DUMMYFUNCTION("GOOGLETRANSLATE(D2882,""auto"",""en"")"),"Export -based computing architecture of network switches in distributed artificial intelligence and other applications")</f>
        <v>Export -based computing architecture of network switches in distributed artificial intelligence and other applications</v>
      </c>
    </row>
    <row r="2883" spans="1:5" ht="15" x14ac:dyDescent="0.25">
      <c r="A2883" s="5" t="s">
        <v>8123</v>
      </c>
      <c r="B2883" s="6" t="s">
        <v>8124</v>
      </c>
      <c r="C2883" s="3" t="str">
        <f ca="1">IFERROR(__xludf.DUMMYFUNCTION("GOOGLETRANSLATE(B2883,""auto"",""en"")"),"The present invention is a basketball score judgment method based on convolutional neural networks, including the following steps: obtaining the game video clips and its labeling data, the marking data includes goals and score data; Obtain the goal classi"&amp;"fication model, use the game video fragment and scoring data training to obtain the score classification model; get the video fragment to be judged, enter the goal classification model to be judged to obtain the goal classification results, obtain the goa"&amp;"l classification results to get the score Ball fragments; enter the scores input score classification model to get the corresponding score. The invention can get the results of the goal classification of video clips to be judged, and the output scores acc"&amp;"ordingly.")</f>
        <v>The present invention is a basketball score judgment method based on convolutional neural networks, including the following steps: obtaining the game video clips and its labeling data, the marking data includes goals and score data; Obtain the goal classification model, use the game video fragment and scoring data training to obtain the score classification model; get the video fragment to be judged, enter the goal classification model to be judged to obtain the goal classification results, obtain the goal classification results to get the score Ball fragments; enter the scores input score classification model to get the corresponding score. The invention can get the results of the goal classification of video clips to be judged, and the output scores accordingly.</v>
      </c>
      <c r="D2883" s="6" t="s">
        <v>8125</v>
      </c>
      <c r="E2883" s="4" t="str">
        <f ca="1">IFERROR(__xludf.DUMMYFUNCTION("GOOGLETRANSLATE(D2883,""auto"",""en"")"),"A method and system of a basketball scoring score based on convolutional neural network")</f>
        <v>A method and system of a basketball scoring score based on convolutional neural network</v>
      </c>
    </row>
    <row r="2884" spans="1:5" ht="15" x14ac:dyDescent="0.25">
      <c r="A2884" s="5" t="s">
        <v>8126</v>
      </c>
      <c r="B2884" s="6" t="s">
        <v>8121</v>
      </c>
      <c r="C2884" s="3" t="str">
        <f ca="1">IFERROR(__xludf.DUMMYFUNCTION("GOOGLETRANSLATE(B2884,""auto"",""en"")"),"The distributed machine learning system and other distributed computing systems are improved by embedding computing logic at the network switch level to perform collective operations for gradient or other data processed by the system node, such as intensi"&amp;"ve operations. The switch is configured to identify the data units associated with a collective movement that is carried out and carrying a collective action that is implemented by a distributed system. Here is called ""calculation data"" and uses the cal"&amp;"culation subsystem in the switch to process the data. The computing subsystem includes a calculation engine. The calculation engine is configured to perform various operations on the calculation data, such as ""return"" operation, and forward the results "&amp;"back to the calculation node. The intensive operation can include, for example, for the sum, average, according to the operation, etc. In this way, the network switch can take over the part or all of the distributed system during the set stage.")</f>
        <v>The distributed machine learning system and other distributed computing systems are improved by embedding computing logic at the network switch level to perform collective operations for gradient or other data processed by the system node, such as intensive operations. The switch is configured to identify the data units associated with a collective movement that is carried out and carrying a collective action that is implemented by a distributed system. Here is called "calculation data" and uses the calculation subsystem in the switch to process the data. The computing subsystem includes a calculation engine. The calculation engine is configured to perform various operations on the calculation data, such as "return" operation, and forward the results back to the calculation node. The intensive operation can include, for example, for the sum, average, according to the operation, etc. In this way, the network switch can take over the part or all of the distributed system during the set stage.</v>
      </c>
      <c r="D2884" s="6" t="s">
        <v>8127</v>
      </c>
      <c r="E2884" s="4" t="str">
        <f ca="1">IFERROR(__xludf.DUMMYFUNCTION("GOOGLETRANSLATE(D2884,""auto"",""en"")"),"The parallel portal computing architecture of the network switch in distributed artificial intelligence and other applications")</f>
        <v>The parallel portal computing architecture of the network switch in distributed artificial intelligence and other applications</v>
      </c>
    </row>
    <row r="2885" spans="1:5" ht="15" x14ac:dyDescent="0.25">
      <c r="A2885" s="5" t="s">
        <v>8128</v>
      </c>
      <c r="B2885" s="6" t="s">
        <v>8129</v>
      </c>
      <c r="C2885" s="3" t="str">
        <f ca="1">IFERROR(__xludf.DUMMYFUNCTION("GOOGLETRANSLATE(B2885,""auto"",""en"")"),"The distributed machine learning system and other distributed computing systems are improved by embedding computing logic at the network switch level, and collective operations are performed on the gradient or other data processed by the system node, such"&amp;" as reducing operations. The switch is configured to identify data units associated with a collective action that is carried out and carrying a collective action that is executed by a distributed system. It is called ""calculating data"" in this article a"&amp;"nd uses the calculating subsystem in the switch to process the data. The computing subsystem includes a computing engine, which is configured to perform various operations for the calculation data, such as ""return"" operation, and forward the results bac"&amp;"k to the calculation node. The intensive operation can include, for example, for the sum, average, according to the operation, etc. In this way, the network switch can take over the part or all of the distributed system during the set stage.")</f>
        <v>The distributed machine learning system and other distributed computing systems are improved by embedding computing logic at the network switch level, and collective operations are performed on the gradient or other data processed by the system node, such as reducing operations. The switch is configured to identify data units associated with a collective action that is carried out and carrying a collective action that is executed by a distributed system. It is called "calculating data" in this article and uses the calculating subsystem in the switch to process the data. The computing subsystem includes a computing engine, which is configured to perform various operations for the calculation data, such as "return" operation, and forward the results back to the calculation node. The intensive operation can include, for example, for the sum, average, according to the operation, etc. In this way, the network switch can take over the part or all of the distributed system during the set stage.</v>
      </c>
      <c r="D2885" s="6" t="s">
        <v>8130</v>
      </c>
      <c r="E2885" s="4" t="str">
        <f ca="1">IFERROR(__xludf.DUMMYFUNCTION("GOOGLETRANSLATE(D2885,""auto"",""en"")"),"Network switches with integrated gradient aggregation for distributed machine learning")</f>
        <v>Network switches with integrated gradient aggregation for distributed machine learning</v>
      </c>
    </row>
    <row r="2886" spans="1:5" ht="15" x14ac:dyDescent="0.25">
      <c r="A2886" s="5" t="s">
        <v>8131</v>
      </c>
      <c r="B2886" s="6" t="s">
        <v>8132</v>
      </c>
      <c r="C2886" s="3" t="str">
        <f ca="1">IFERROR(__xludf.DUMMYFUNCTION("GOOGLETRANSLATE(B2886,""auto"",""en"")"),"The present invention disclosed an online recognition method based on machine vision. Including: collect images; pre -processing; image transmission: the pre -processing image will be transmitted to the cloud server through the wireless network; offline t"&amp;"raining OpenPose: Cloud server is based on lightweight acceleration OpenPose, offline training is suitable for extracting models in the water in the water in the water in the water ; Offline training classifiers: After the extraction of the extraordinary "&amp;"human body, then train the two -class classifier based on neural networks to determine whether the personnel drowned; the server online monitoring: the lightweight acceleration of the online operation of the cloud server is used for the extraction of the "&amp;"image to extract images The key points of the human body are judged, the degree of danger is calculated, and the alarm information is exported. The present invention can be used on a small water robot, a fixed camera on the water, or a fixed camera underw"&amp;"ater to identify the real -time posture of swimmers, identify and early warning of the suspicious posture of drowning, and assist lifeguards to identify drowning on swimming pools and seasons. effect.")</f>
        <v>The present invention disclosed an online recognition method based on machine vision. Including: collect images; pre -processing; image transmission: the pre -processing image will be transmitted to the cloud server through the wireless network; offline training OpenPose: Cloud server is based on lightweight acceleration OpenPose, offline training is suitable for extracting models in the water in the water in the water in the water ; Offline training classifiers: After the extraction of the extraordinary human body, then train the two -class classifier based on neural networks to determine whether the personnel drowned; the server online monitoring: the lightweight acceleration of the online operation of the cloud server is used for the extraction of the image to extract images The key points of the human body are judged, the degree of danger is calculated, and the alarm information is exported. The present invention can be used on a small water robot, a fixed camera on the water, or a fixed camera underwater to identify the real -time posture of swimmers, identify and early warning of the suspicious posture of drowning, and assist lifeguards to identify drowning on swimming pools and seasons. effect.</v>
      </c>
      <c r="D2886" s="6" t="s">
        <v>8133</v>
      </c>
      <c r="E2886" s="4" t="str">
        <f ca="1">IFERROR(__xludf.DUMMYFUNCTION("GOOGLETRANSLATE(D2886,""auto"",""en"")"),"An online recognition method based on machine vision drowning")</f>
        <v>An online recognition method based on machine vision drowning</v>
      </c>
    </row>
    <row r="2887" spans="1:5" ht="15" x14ac:dyDescent="0.25">
      <c r="A2887" s="5" t="s">
        <v>8134</v>
      </c>
      <c r="B2887" s="6" t="s">
        <v>8135</v>
      </c>
      <c r="C2887" s="3" t="str">
        <f ca="1">IFERROR(__xludf.DUMMYFUNCTION("GOOGLETRANSLATE(B2887,""auto"",""en"")"),"The method of providing personal training services based on the embodiment of the present invention includes: the first action image of the selected trainer's action to the user terminal; the second movement image of the user action in the user terminal; "&amp;"The image is evaluated to evaluate the user's motion. Set the user's movement direction according to the motion status. Among them, the coach movement is extracted from the first sports image through deep learning, the user movement is extracted from the "&amp;"second sports image, and the coach movement is extracted. Evaluate the state by comparing exercise with user movement.")</f>
        <v>The method of providing personal training services based on the embodiment of the present invention includes: the first action image of the selected trainer's action to the user terminal; the second movement image of the user action in the user terminal; The image is evaluated to evaluate the user's motion. Set the user's movement direction according to the motion status. Among them, the coach movement is extracted from the first sports image through deep learning, the user movement is extracted from the second sports image, and the coach movement is extracted. Evaluate the state by comparing exercise with user movement.</v>
      </c>
      <c r="D2887" s="6" t="s">
        <v>8136</v>
      </c>
      <c r="E2887" s="4" t="str">
        <f ca="1">IFERROR(__xludf.DUMMYFUNCTION("GOOGLETRANSLATE(D2887,""auto"",""en"")"),"Personal training service provision method and system")</f>
        <v>Personal training service provision method and system</v>
      </c>
    </row>
    <row r="2888" spans="1:5" ht="15" x14ac:dyDescent="0.25">
      <c r="A2888" s="5" t="s">
        <v>8137</v>
      </c>
      <c r="B2888" s="6" t="s">
        <v>8138</v>
      </c>
      <c r="C2888" s="3" t="str">
        <f ca="1">IFERROR(__xludf.DUMMYFUNCTION("GOOGLETRANSLATE(B2888,""auto"",""en"")"),"A game prediction method and device were disclosed. The prediction method of using neural networks includes the following steps: collecting the game data in the past, data pre -processing data for the game data, and using the game data learning competitio"&amp;"n prediction model with data pre -processing. Use the learning matching prediction model to obtain the prediction value of the matching result.")</f>
        <v>A game prediction method and device were disclosed. The prediction method of using neural networks includes the following steps: collecting the game data in the past, data pre -processing data for the game data, and using the game data learning competition prediction model with data pre -processing. Use the learning matching prediction model to obtain the prediction value of the matching result.</v>
      </c>
      <c r="D2888" s="6" t="s">
        <v>8139</v>
      </c>
      <c r="E2888" s="4" t="str">
        <f ca="1">IFERROR(__xludf.DUMMYFUNCTION("GOOGLETRANSLATE(D2888,""auto"",""en"")"),"Game prediction method and device")</f>
        <v>Game prediction method and device</v>
      </c>
    </row>
    <row r="2889" spans="1:5" ht="15" x14ac:dyDescent="0.25">
      <c r="A2889" s="5" t="s">
        <v>8140</v>
      </c>
      <c r="B2889" s="6" t="s">
        <v>8141</v>
      </c>
      <c r="C2889" s="3" t="str">
        <f ca="1">IFERROR(__xludf.DUMMYFUNCTION("GOOGLETRANSLATE(B2889,""auto"",""en"")"),"The theme of this public taught an artificial intelligence -driven advanced exercise system and its working method. Advanced exercise facilities driven by artificial intelligence -driven in this example, by providing high -level coupling of user devices ("&amp;"such as smartphones, laptops or any wearable smart devices) that provides the exercise of the exercise Receive and display real -time exercise data. In addition, the system provides a supporting platform for the user's device to support the device safely "&amp;"when users exercise. In addition, all the machinery and equipment in the sports facilities, and the surrounding environment of the system facility wall are embedded in smart chips, real -time monitoring and transmission of the sports data of the athletes,"&amp;" such as the daily activity of the athlete, the form and posture of the athletes, and the use of fitness facilities. The LAN sends duplicate times and self -weight counts to the central artificial intelligence engine. The artificial intelligence engine pr"&amp;"epares the best exercise procedure and exercise plan for each exercise according to the past exercise data, exercise schemes, health data and expert suggestions.")</f>
        <v>The theme of this public taught an artificial intelligence -driven advanced exercise system and its working method. Advanced exercise facilities driven by artificial intelligence -driven in this example, by providing high -level coupling of user devices (such as smartphones, laptops or any wearable smart devices) that provides the exercise of the exercise Receive and display real -time exercise data. In addition, the system provides a supporting platform for the user's device to support the device safely when users exercise. In addition, all the machinery and equipment in the sports facilities, and the surrounding environment of the system facility wall are embedded in smart chips, real -time monitoring and transmission of the sports data of the athletes, such as the daily activity of the athlete, the form and posture of the athletes, and the use of fitness facilities. The LAN sends duplicate times and self -weight counts to the central artificial intelligence engine. The artificial intelligence engine prepares the best exercise procedure and exercise plan for each exercise according to the past exercise data, exercise schemes, health data and expert suggestions.</v>
      </c>
      <c r="D2889" s="6" t="s">
        <v>8142</v>
      </c>
      <c r="E2889" s="4" t="str">
        <f ca="1">IFERROR(__xludf.DUMMYFUNCTION("GOOGLETRANSLATE(D2889,""auto"",""en"")"),"The wireless gym system driven by artificial intelligence (AI)")</f>
        <v>The wireless gym system driven by artificial intelligence (AI)</v>
      </c>
    </row>
    <row r="2890" spans="1:5" ht="15" x14ac:dyDescent="0.25">
      <c r="A2890" s="5" t="s">
        <v>8143</v>
      </c>
      <c r="B2890" s="6" t="s">
        <v>518</v>
      </c>
      <c r="C2890" s="3" t="str">
        <f ca="1">IFERROR(__xludf.DUMMYFUNCTION("GOOGLETRANSLATE(B2890,""auto"",""en"")"),"-")</f>
        <v>-</v>
      </c>
      <c r="D2890" s="6" t="s">
        <v>8144</v>
      </c>
      <c r="E2890" s="4" t="str">
        <f ca="1">IFERROR(__xludf.DUMMYFUNCTION("GOOGLETRANSLATE(D2890,""auto"",""en"")"),"Historytracker: Human -machine interaction in the notes of the minimum baseball game")</f>
        <v>Historytracker: Human -machine interaction in the notes of the minimum baseball game</v>
      </c>
    </row>
    <row r="2891" spans="1:5" ht="15" x14ac:dyDescent="0.25">
      <c r="A2891" s="5" t="s">
        <v>8145</v>
      </c>
      <c r="B2891" s="6" t="s">
        <v>8146</v>
      </c>
      <c r="C2891" s="3" t="str">
        <f ca="1">IFERROR(__xludf.DUMMYFUNCTION("GOOGLETRANSLATE(B2891,""auto"",""en"")"),"1. Design product name: The information of the mobile phone display the graphical user interface.
 2. Design products in appearance: used for running programs and mobile communication.
 3. Design of design products in this exterior: lies in the graphi"&amp;"c user interface displayed on the display screen of the mobile phone.
 4. Pictures or photos that can best show design: Design 1 main view.
 5. Specify design 1 is the basic design.
 6. The purpose of graphical user interface: The interface of the m"&amp;"ain view of design 1 to design 6 shows two or three display areas.
 The display area can be used to display a variety of information, for example, the content screen of the Baseball Player in Design 1, Design 2, Design 2, and Design 5 can be used to rem"&amp;"ind users to play the battleball, Water and Dust Resistance (Water and Dust Resistance). The content screen can provide users with information about the dust resistance of mobile phones in an intuitive form. The screen can be used to remind users to play "&amp;"the baseball. The content of the ""Coffee Time"" can be used to remind users to drink coffee, and users can perform human -machine interaction by operating various display areas.
 7. The design of the design of the design involves the graphical user int"&amp;"erface. The design points are the graphic user interface. Therefore, the corresponding rear views, left views, right views, down views, and retry views are omitted in each design.")</f>
        <v>1. Design product name: The information of the mobile phone display the graphical user interface.
 2. Design products in appearance: used for running programs and mobile communication.
 3. Design of design products in this exterior: lies in the graphic user interface displayed on the display screen of the mobile phone.
 4. Pictures or photos that can best show design: Design 1 main view.
 5. Specify design 1 is the basic design.
 6. The purpose of graphical user interface: The interface of the main view of design 1 to design 6 shows two or three display areas.
 The display area can be used to display a variety of information, for example, the content screen of the Baseball Player in Design 1, Design 2, Design 2, and Design 5 can be used to remind users to play the battleball, Water and Dust Resistance (Water and Dust Resistance). The content screen can provide users with information about the dust resistance of mobile phones in an intuitive form. The screen can be used to remind users to play the baseball. The content of the "Coffee Time" can be used to remind users to drink coffee, and users can perform human -machine interaction by operating various display areas.
 7. The design of the design of the design involves the graphical user interface. The design points are the graphic user interface. Therefore, the corresponding rear views, left views, right views, down views, and retry views are omitted in each design.</v>
      </c>
      <c r="D2891" s="6" t="s">
        <v>8147</v>
      </c>
      <c r="E2891" s="4" t="str">
        <f ca="1">IFERROR(__xludf.DUMMYFUNCTION("GOOGLETRANSLATE(D2891,""auto"",""en"")"),"Mobile phone information display graphical user interface")</f>
        <v>Mobile phone information display graphical user interface</v>
      </c>
    </row>
    <row r="2892" spans="1:5" ht="15" x14ac:dyDescent="0.25">
      <c r="A2892" s="5" t="s">
        <v>8148</v>
      </c>
      <c r="B2892" s="6" t="s">
        <v>8149</v>
      </c>
      <c r="C2892" s="3" t="str">
        <f ca="1">IFERROR(__xludf.DUMMYFUNCTION("GOOGLETRANSLATE(B2892,""auto"",""en"")"),"The present invention discloses a method, device and wearable equipment for badminton hitting. Among them, this method includes: collecting the movement trajectory data of the wrist in the badminton; generates characteristic data according to the motion t"&amp;"rajectory data; the characteristic data input identification model will be hit by the badminton of the identification model identification feature data. Among them, the identification model is used as use. Multi -sets of data are trained by machine learni"&amp;"ng. Each set of data in multiple sets of data includes: feature data and badminton hitting action corresponding to the feature data. The invention solves the technical problems that cannot identify badminton strikes in related technologies.")</f>
        <v>The present invention discloses a method, device and wearable equipment for badminton hitting. Among them, this method includes: collecting the movement trajectory data of the wrist in the badminton; generates characteristic data according to the motion trajectory data; the characteristic data input identification model will be hit by the badminton of the identification model identification feature data. Among them, the identification model is used as use. Multi -sets of data are trained by machine learning. Each set of data in multiple sets of data includes: feature data and badminton hitting action corresponding to the feature data. The invention solves the technical problems that cannot identify badminton strikes in related technologies.</v>
      </c>
      <c r="D2892" s="6" t="s">
        <v>8150</v>
      </c>
      <c r="E2892" s="4" t="str">
        <f ca="1">IFERROR(__xludf.DUMMYFUNCTION("GOOGLETRANSLATE(D2892,""auto"",""en"")"),"The identification method, device and wearable equipment of badminton strikes")</f>
        <v>The identification method, device and wearable equipment of badminton strikes</v>
      </c>
    </row>
    <row r="2893" spans="1:5" ht="15" x14ac:dyDescent="0.25">
      <c r="A2893" s="5" t="s">
        <v>8151</v>
      </c>
      <c r="B2893" s="6" t="s">
        <v>8152</v>
      </c>
      <c r="C2893" s="3" t="str">
        <f ca="1">IFERROR(__xludf.DUMMYFUNCTION("GOOGLETRANSLATE(B2893,""auto"",""en"")"),"A display device with a water tank was disclosed, and one or more swimming robots were located in the water tank. This device includes communication units that communicate with swimming robots or mobile terminals, monitors displayed on it, one or more sen"&amp;"sing units, and wireless power transmission units, including multiple transmitted coils on the inner wall of the water There is also a control module. Therefore, it can provide display devices and swimming robots equipped with artificial intelligence, and"&amp;" can provide display devices and swimming robots that perform 5G communication. Therefore, it can improve charging efficiency and further improve user convenience.")</f>
        <v>A display device with a water tank was disclosed, and one or more swimming robots were located in the water tank. This device includes communication units that communicate with swimming robots or mobile terminals, monitors displayed on it, one or more sensing units, and wireless power transmission units, including multiple transmitted coils on the inner wall of the water There is also a control module. Therefore, it can provide display devices and swimming robots equipped with artificial intelligence, and can provide display devices and swimming robots that perform 5G communication. Therefore, it can improve charging efficiency and further improve user convenience.</v>
      </c>
      <c r="D2893" s="6" t="s">
        <v>7618</v>
      </c>
      <c r="E2893" s="4" t="str">
        <f ca="1">IFERROR(__xludf.DUMMYFUNCTION("GOOGLETRANSLATE(D2893,""auto"",""en"")"),"Swimming robot and its charging display device")</f>
        <v>Swimming robot and its charging display device</v>
      </c>
    </row>
    <row r="2894" spans="1:5" ht="15" x14ac:dyDescent="0.25">
      <c r="A2894" s="5" t="s">
        <v>8153</v>
      </c>
      <c r="B2894" s="6" t="s">
        <v>8154</v>
      </c>
      <c r="C2894" s="3" t="str">
        <f ca="1">IFERROR(__xludf.DUMMYFUNCTION("GOOGLETRANSLATE(B2894,""auto"",""en"")"),"A system for artificial intelligence and fitness supported by vibrant physical guidance includes a diagnostic engine. The diagnostic engine runs at least on the server and configures to receive training data and biological extracts from at least users and"&amp;" generate diagnostic output. The system includes the consulting module, which is configured to receive requests for consulting input and generate at least consulting output. The system includes a fitness module, which is configured to select at least one "&amp;"notification consultant client device and transmit at least one proposal to at least one notification consultant client device.")</f>
        <v>A system for artificial intelligence and fitness supported by vibrant physical guidance includes a diagnostic engine. The diagnostic engine runs at least on the server and configures to receive training data and biological extracts from at least users and generate diagnostic output. The system includes the consulting module, which is configured to receive requests for consulting input and generate at least consulting output. The system includes a fitness module, which is configured to select at least one notification consultant client device and transmit at least one proposal to at least one notification consultant client device.</v>
      </c>
      <c r="D2894" s="6" t="s">
        <v>8155</v>
      </c>
      <c r="E2894" s="4" t="str">
        <f ca="1">IFERROR(__xludf.DUMMYFUNCTION("GOOGLETRANSLATE(D2894,""auto"",""en"")"),"Methods and systems for artificial intelligence and fitness professional support for vibrant physical guidance")</f>
        <v>Methods and systems for artificial intelligence and fitness professional support for vibrant physical guidance</v>
      </c>
    </row>
    <row r="2895" spans="1:5" ht="15" x14ac:dyDescent="0.25">
      <c r="A2895" s="5" t="s">
        <v>8156</v>
      </c>
      <c r="B2895" s="6" t="s">
        <v>8157</v>
      </c>
      <c r="C2895" s="3" t="str">
        <f ca="1">IFERROR(__xludf.DUMMYFUNCTION("GOOGLETRANSLATE(B2895,""auto"",""en"")"),"A computer -based equipment system, which is used to evaluate, predict, correct, restore, and reduce the risk caused by insufficient context (SA) of operators. The system recognizes operators' contextual consciousness by computer equipment and use of neur"&amp;"ological-psychological physiology-neuropathic-artificial intelligence processes. The system is configured to receive psychological and physiological data from the operator through the nerve -derived sensor, and is configured to load the data corresponding"&amp;" to the baseline SA capability of the operator and/or the AI ​​algorithm to learn and calibrate the baseline SA of the operator SA The ability and sound If it exceeds the SA defect threshold, a warning is issued as a response. Optional land, autonomous dr"&amp;"iver/autonomous driver/automatic operator/automatic staff/student alarm/player and coach alarm interface is configured to activate the autonomous driver/autonomous driver/automatic operator/automatic work The personnel command to respond to the SA deficie"&amp;"ncy threshold has exceeded.")</f>
        <v>A computer -based equipment system, which is used to evaluate, predict, correct, restore, and reduce the risk caused by insufficient context (SA) of operators. The system recognizes operators' contextual consciousness by computer equipment and use of neurological-psychological physiology-neuropathic-artificial intelligence processes. The system is configured to receive psychological and physiological data from the operator through the nerve -derived sensor, and is configured to load the data corresponding to the baseline SA capability of the operator and/or the AI ​​algorithm to learn and calibrate the baseline SA of the operator SA The ability and sound If it exceeds the SA defect threshold, a warning is issued as a response. Optional land, autonomous driver/autonomous driver/automatic operator/automatic staff/student alarm/player and coach alarm interface is configured to activate the autonomous driver/autonomous driver/automatic operator/automatic work The personnel command to respond to the SA deficiency threshold has exceeded.</v>
      </c>
      <c r="D2895" s="6" t="s">
        <v>8158</v>
      </c>
      <c r="E2895" s="4" t="str">
        <f ca="1">IFERROR(__xludf.DUMMYFUNCTION("GOOGLETRANSLATE(D2895,""auto"",""en"")"),"The computer system based on computer is used to evaluate, predict, correct, restore, and reduce risks caused by the lack of trend perception of operators.")</f>
        <v>The computer system based on computer is used to evaluate, predict, correct, restore, and reduce risks caused by the lack of trend perception of operators.</v>
      </c>
    </row>
    <row r="2896" spans="1:5" ht="15" x14ac:dyDescent="0.25">
      <c r="A2896" s="5" t="s">
        <v>8159</v>
      </c>
      <c r="B2896" s="6" t="s">
        <v>8160</v>
      </c>
      <c r="C2896" s="3" t="str">
        <f ca="1">IFERROR(__xludf.DUMMYFUNCTION("GOOGLETRANSLATE(B2896,""auto"",""en"")"),"The present invention disclosed a method based on the knowledge map -based reasoning inference universal software defect model. Step 1. Data acquisition and pre -processing. The specific operation is: obtain all data from the data source. Description of d"&amp;"efects, the relationship between different defects, and the results caused by defects, pre -process the relationship between different defects and description information; step 2, the description of describing representatives, build described representati"&amp;"ve HD; step 3. Learning based on based on The structure of the structure is to build a described representative ES; step 4, through the structure -based representative ES and description -based representative ED, build the final software defect model tran"&amp;"scat model step 5. Optimize the transcat model. Compared with existing technologies, the Transcat model implemented by the present invention can capture text and structural knowledge about common software weaknesses, thereby effectively supporting various"&amp;" reasoning tasks on software weaknesses.")</f>
        <v>The present invention disclosed a method based on the knowledge map -based reasoning inference universal software defect model. Step 1. Data acquisition and pre -processing. The specific operation is: obtain all data from the data source. Description of defects, the relationship between different defects, and the results caused by defects, pre -process the relationship between different defects and description information; step 2, the description of describing representatives, build described representative HD; step 3. Learning based on based on The structure of the structure is to build a described representative ES; step 4, through the structure -based representative ES and description -based representative ED, build the final software defect model transcat model step 5. Optimize the transcat model. Compared with existing technologies, the Transcat model implemented by the present invention can capture text and structural knowledge about common software weaknesses, thereby effectively supporting various reasoning tasks on software weaknesses.</v>
      </c>
      <c r="D2896" s="6" t="s">
        <v>8161</v>
      </c>
      <c r="E2896" s="4" t="str">
        <f ca="1">IFERROR(__xludf.DUMMYFUNCTION("GOOGLETRANSLATE(D2896,""auto"",""en"")"),"A method based on the knowledge map -based reasoning inference general software defect modeling method")</f>
        <v>A method based on the knowledge map -based reasoning inference general software defect modeling method</v>
      </c>
    </row>
    <row r="2897" spans="1:5" ht="15" x14ac:dyDescent="0.25">
      <c r="A2897" s="5" t="s">
        <v>8162</v>
      </c>
      <c r="B2897" s="6" t="s">
        <v>8163</v>
      </c>
      <c r="C2897" s="3" t="str">
        <f ca="1">IFERROR(__xludf.DUMMYFUNCTION("GOOGLETRANSLATE(B2897,""auto"",""en"")"),"A fish monitoring system deployed in a specific area to obtain fish images. Neural networks and machine learning technology can be implemented to regularly train fish monitoring systems and generate monitoring modes to capture high -quality fish images in"&amp;" accordance with the conditions of the determined area. When the conditions that match the monitoring mode are detected, the camera system can be configured according to the settings specified by the monitoring mode (for example, position, perspective). E"&amp;"ach monitoring mode can be associated with one or more fish activities, such as sleeping, eating, swimming alone, and one or more parameters, such as time, location and fish types.")</f>
        <v>A fish monitoring system deployed in a specific area to obtain fish images. Neural networks and machine learning technology can be implemented to regularly train fish monitoring systems and generate monitoring modes to capture high -quality fish images in accordance with the conditions of the determined area. When the conditions that match the monitoring mode are detected, the camera system can be configured according to the settings specified by the monitoring mode (for example, position, perspective). Each monitoring mode can be associated with one or more fish activities, such as sleeping, eating, swimming alone, and one or more parameters, such as time, location and fish types.</v>
      </c>
      <c r="D2897" s="6" t="s">
        <v>4103</v>
      </c>
      <c r="E2897" s="4" t="str">
        <f ca="1">IFERROR(__xludf.DUMMYFUNCTION("GOOGLETRANSLATE(D2897,""auto"",""en"")"),"Keep fish measurement station")</f>
        <v>Keep fish measurement station</v>
      </c>
    </row>
    <row r="2898" spans="1:5" ht="15" x14ac:dyDescent="0.25">
      <c r="A2898" s="5" t="s">
        <v>8164</v>
      </c>
      <c r="B2898" s="6" t="s">
        <v>8165</v>
      </c>
      <c r="C2898" s="3" t="str">
        <f ca="1">IFERROR(__xludf.DUMMYFUNCTION("GOOGLETRANSLATE(B2898,""auto"",""en"")"),"A fish monitoring system deployed in a specific area to obtain fish images. Neural networks and machine learning technology can be implemented to regularly train fish monitoring systems and generate monitoring modes to capture high -quality fish images in"&amp;" accordance with the conditions of the determined area. When the conditions that match the monitoring mode are detected, the camera system can be configured according to the settings specified by the monitoring mode (for example, position, perspective). E"&amp;"ach monitoring mode can be associated with one or more fish activities, such as sleeping, eating, swimming alone, and one or more parameters, such as time, location and fish types.")</f>
        <v>A fish monitoring system deployed in a specific area to obtain fish images. Neural networks and machine learning technology can be implemented to regularly train fish monitoring systems and generate monitoring modes to capture high -quality fish images in accordance with the conditions of the determined area. When the conditions that match the monitoring mode are detected, the camera system can be configured according to the settings specified by the monitoring mode (for example, position, perspective). Each monitoring mode can be associated with one or more fish activities, such as sleeping, eating, swimming alone, and one or more parameters, such as time, location and fish types.</v>
      </c>
      <c r="D2898" s="6" t="s">
        <v>4103</v>
      </c>
      <c r="E2898" s="4" t="str">
        <f ca="1">IFERROR(__xludf.DUMMYFUNCTION("GOOGLETRANSLATE(D2898,""auto"",""en"")"),"Keep fish measurement station")</f>
        <v>Keep fish measurement station</v>
      </c>
    </row>
    <row r="2899" spans="1:5" ht="15" x14ac:dyDescent="0.25">
      <c r="A2899" s="5" t="s">
        <v>8166</v>
      </c>
      <c r="B2899" s="6" t="s">
        <v>8163</v>
      </c>
      <c r="C2899" s="3" t="str">
        <f ca="1">IFERROR(__xludf.DUMMYFUNCTION("GOOGLETRANSLATE(B2899,""auto"",""en"")"),"A fish monitoring system deployed in a specific area to obtain fish images. Neural networks and machine learning technology can be implemented to regularly train fish monitoring systems and generate monitoring modes to capture high -quality fish images in"&amp;" accordance with the conditions of the determined area. When the conditions that match the monitoring mode are detected, the camera system can be configured according to the settings specified by the monitoring mode (for example, position, perspective). E"&amp;"ach monitoring mode can be associated with one or more fish activities, such as sleeping, eating, swimming alone, and one or more parameters, such as time, location and fish types.")</f>
        <v>A fish monitoring system deployed in a specific area to obtain fish images. Neural networks and machine learning technology can be implemented to regularly train fish monitoring systems and generate monitoring modes to capture high -quality fish images in accordance with the conditions of the determined area. When the conditions that match the monitoring mode are detected, the camera system can be configured according to the settings specified by the monitoring mode (for example, position, perspective). Each monitoring mode can be associated with one or more fish activities, such as sleeping, eating, swimming alone, and one or more parameters, such as time, location and fish types.</v>
      </c>
      <c r="D2899" s="6" t="s">
        <v>4103</v>
      </c>
      <c r="E2899" s="4" t="str">
        <f ca="1">IFERROR(__xludf.DUMMYFUNCTION("GOOGLETRANSLATE(D2899,""auto"",""en"")"),"Keep fish measurement station")</f>
        <v>Keep fish measurement station</v>
      </c>
    </row>
    <row r="2900" spans="1:5" ht="15" x14ac:dyDescent="0.25">
      <c r="A2900" s="5" t="s">
        <v>8167</v>
      </c>
      <c r="B2900" s="6" t="s">
        <v>8168</v>
      </c>
      <c r="C2900" s="3" t="str">
        <f ca="1">IFERROR(__xludf.DUMMYFUNCTION("GOOGLETRANSLATE(B2900,""auto"",""en"")"),"A goal identification method for the unmanned sensor system, the steps include: step S1: data pre -processing; convert the raw data obtained by the unmanned ground sensor equipment into two forms of data: time sequence data and power and power Spectral de"&amp;"nsity spectrum data; step s2: circulating neural network training; two types of data obtained by step S1 are used as training samples, and input to two different circular neural network training; step S3: parallel circulating neural network recognition si"&amp;"gnal; will be will be coupled Step S2's two models of training generate in parallel. One model judges no one walks, one model judges that no one runs, the results of the two models are made or operations, and finally determine whether anyone is. The inven"&amp;"tion has the advantages of simple principles, can detect personnel in real time, and significantly improve the accuracy rate of identification.")</f>
        <v>A goal identification method for the unmanned sensor system, the steps include: step S1: data pre -processing; convert the raw data obtained by the unmanned ground sensor equipment into two forms of data: time sequence data and power and power Spectral density spectrum data; step s2: circulating neural network training; two types of data obtained by step S1 are used as training samples, and input to two different circular neural network training; step S3: parallel circulating neural network recognition signal; will be will be coupled Step S2's two models of training generate in parallel. One model judges no one walks, one model judges that no one runs, the results of the two models are made or operations, and finally determine whether anyone is. The invention has the advantages of simple principles, can detect personnel in real time, and significantly improve the accuracy rate of identification.</v>
      </c>
      <c r="D2900" s="6" t="s">
        <v>8169</v>
      </c>
      <c r="E2900" s="4" t="str">
        <f ca="1">IFERROR(__xludf.DUMMYFUNCTION("GOOGLETRANSLATE(D2900,""auto"",""en"")"),"Personnel target recognition method for unmanned sensor system")</f>
        <v>Personnel target recognition method for unmanned sensor system</v>
      </c>
    </row>
    <row r="2901" spans="1:5" ht="15" x14ac:dyDescent="0.25">
      <c r="A2901" s="5" t="s">
        <v>8170</v>
      </c>
      <c r="B2901" s="6" t="s">
        <v>8171</v>
      </c>
      <c r="C2901" s="3" t="str">
        <f ca="1">IFERROR(__xludf.DUMMYFUNCTION("GOOGLETRANSLATE(B2901,""auto"",""en"")"),"A fish monitoring system is described that the system is deployed in a specific area to obtain fish images. Neural networks and machine learning technology can be implemented to regularly train fish monitoring systems and generate monitoring mode to captu"&amp;"re high -quality fish images in the determination of the regional conditions. When the conditions that match the monitoring mode are detected, the camera system can be configured according to the setting of the monitoring mode, such as the position and pe"&amp;"rspective. Each monitoring mode can be associated with one or more fish activities, such as sleep, feeding, swimming alone, and one or more parameters, such as time, location and fish types.
  【Selection Figure】 Figure 1")</f>
        <v>A fish monitoring system is described that the system is deployed in a specific area to obtain fish images. Neural networks and machine learning technology can be implemented to regularly train fish monitoring systems and generate monitoring mode to capture high -quality fish images in the determination of the regional conditions. When the conditions that match the monitoring mode are detected, the camera system can be configured according to the setting of the monitoring mode, such as the position and perspective. Each monitoring mode can be associated with one or more fish activities, such as sleep, feeding, swimming alone, and one or more parameters, such as time, location and fish types.
  【Selection Figure】 Figure 1</v>
      </c>
      <c r="D2901" s="6" t="s">
        <v>8172</v>
      </c>
      <c r="E2901" s="4" t="str">
        <f ca="1">IFERROR(__xludf.DUMMYFUNCTION("GOOGLETRANSLATE(D2901,""auto"",""en"")"),"Fish Measurement Station Management")</f>
        <v>Fish Measurement Station Management</v>
      </c>
    </row>
    <row r="2902" spans="1:5" ht="15" x14ac:dyDescent="0.25">
      <c r="A2902" s="5" t="s">
        <v>8173</v>
      </c>
      <c r="B2902" s="6" t="s">
        <v>4102</v>
      </c>
      <c r="C2902" s="3" t="str">
        <f ca="1">IFERROR(__xludf.DUMMYFUNCTION("GOOGLETRANSLATE(B2902,""auto"",""en"")"),"The fish monitoring system deployed in specific areas to obtain fish images is described. Neural networks and machine learning technology can be implemented to regularly train fish monitoring systems and generate monitoring mode to capture high -quality i"&amp;"mages of fish according to the conditions of the determined area. When the conditions that match the monitoring mode are detected, the camera system can be configured according to the settings (such as position, perspective) specified by the monitoring mo"&amp;"de. Each monitoring mode can be associated with one or more fish activities, such as sleeping, eating, swimming alone, and one or more parameters, such as time, location and fish types.")</f>
        <v>The fish monitoring system deployed in specific areas to obtain fish images is described. Neural networks and machine learning technology can be implemented to regularly train fish monitoring systems and generate monitoring mode to capture high -quality images of fish according to the conditions of the determined area. When the conditions that match the monitoring mode are detected, the camera system can be configured according to the settings (such as position, perspective) specified by the monitoring mode. Each monitoring mode can be associated with one or more fish activities, such as sleeping, eating, swimming alone, and one or more parameters, such as time, location and fish types.</v>
      </c>
      <c r="D2902" s="6" t="s">
        <v>4103</v>
      </c>
      <c r="E2902" s="4" t="str">
        <f ca="1">IFERROR(__xludf.DUMMYFUNCTION("GOOGLETRANSLATE(D2902,""auto"",""en"")"),"Keep fish measurement station")</f>
        <v>Keep fish measurement station</v>
      </c>
    </row>
    <row r="2903" spans="1:5" ht="15" x14ac:dyDescent="0.25">
      <c r="A2903" s="5" t="s">
        <v>8174</v>
      </c>
      <c r="B2903" s="6" t="s">
        <v>8175</v>
      </c>
      <c r="C2903" s="3" t="str">
        <f ca="1">IFERROR(__xludf.DUMMYFUNCTION("GOOGLETRANSLATE(B2903,""auto"",""en"")"),"The fish monitoring system deployed in specific areas to obtain fish images is described. Neural networks and machine learning technology can be implemented to regularly train the fish monitoring system and generate a monitoring mode to capture high -qual"&amp;"ity images of fish based on conditions in the determination area. When the conditions that match the monitoring mode are detected, the camera system can be configured according to the settings (eg, position, perspective) specified by the monitoring mode. "&amp;"Each monitoring mode may be associated with one or more fish activities (such as sleep, eating, swimming alone), and one or more parameters (such as time, location and fish type).")</f>
        <v>The fish monitoring system deployed in specific areas to obtain fish images is described. Neural networks and machine learning technology can be implemented to regularly train the fish monitoring system and generate a monitoring mode to capture high -quality images of fish based on conditions in the determination area. When the conditions that match the monitoring mode are detected, the camera system can be configured according to the settings (eg, position, perspective) specified by the monitoring mode. Each monitoring mode may be associated with one or more fish activities (such as sleep, eating, swimming alone), and one or more parameters (such as time, location and fish type).</v>
      </c>
      <c r="D2903" s="6" t="s">
        <v>8176</v>
      </c>
      <c r="E2903" s="4" t="str">
        <f ca="1">IFERROR(__xludf.DUMMYFUNCTION("GOOGLETRANSLATE(D2903,""auto"",""en"")"),"Fish measuring station maintenance")</f>
        <v>Fish measuring station maintenance</v>
      </c>
    </row>
    <row r="2904" spans="1:5" ht="15" x14ac:dyDescent="0.25">
      <c r="A2904" s="5" t="s">
        <v>8177</v>
      </c>
      <c r="B2904" s="6" t="s">
        <v>8178</v>
      </c>
      <c r="C2904" s="3" t="str">
        <f ca="1">IFERROR(__xludf.DUMMYFUNCTION("GOOGLETRANSLATE(B2904,""auto"",""en"")"),"The invention is a tennis and equipment field, especially involving a tennis pickup robot, including the base, support pillar, bearing board, cylinder, connection structure, superiority, shock absorption device and lower mold. The supporting column is fix"&amp;"ed with the carrier board at the end of the base. The top of the carrier board is fixed with a cylinder, and the output of the cylinder is fixed to the connection structure through sliding parts. The invention can achieve digital image recognition technol"&amp;"ogy through the cooperation of identification devices, location detection devices, and sensors. Let the machine actively act, complete a series of actions to collect tennis, preliminary machine learning and path planning, innovative roller collecting tenn"&amp;"is devices, wireless communication technology, and accurate ultrasonic accurate positioning.")</f>
        <v>The invention is a tennis and equipment field, especially involving a tennis pickup robot, including the base, support pillar, bearing board, cylinder, connection structure, superiority, shock absorption device and lower mold. The supporting column is fixed with the carrier board at the end of the base. The top of the carrier board is fixed with a cylinder, and the output of the cylinder is fixed to the connection structure through sliding parts. The invention can achieve digital image recognition technology through the cooperation of identification devices, location detection devices, and sensors. Let the machine actively act, complete a series of actions to collect tennis, preliminary machine learning and path planning, innovative roller collecting tennis devices, wireless communication technology, and accurate ultrasonic accurate positioning.</v>
      </c>
      <c r="D2904" s="6" t="s">
        <v>8179</v>
      </c>
      <c r="E2904" s="4" t="str">
        <f ca="1">IFERROR(__xludf.DUMMYFUNCTION("GOOGLETRANSLATE(D2904,""auto"",""en"")"),"A kind of tennis pickup robot")</f>
        <v>A kind of tennis pickup robot</v>
      </c>
    </row>
    <row r="2905" spans="1:5" ht="15" x14ac:dyDescent="0.25">
      <c r="A2905" s="5" t="s">
        <v>8180</v>
      </c>
      <c r="B2905" s="6" t="s">
        <v>8181</v>
      </c>
      <c r="C2905" s="3" t="str">
        <f ca="1">IFERROR(__xludf.DUMMYFUNCTION("GOOGLETRANSLATE(B2905,""auto"",""en"")"),"This application involves the field of computer vision, and a method, device and electronic equipment for assisting motion action training have been released. Among them, the method of assisting exercise exercise training includes: to analyze the first vi"&amp;"deo of the movement of any movement, , Get the shooting angle of the first video; then obtain the second video of the template that meets the shooting angle for the shooting angle; then determine the first starting action frame of the first action of any "&amp;"movement in the first video, and In the second video, the second starting action frame of the second starting action of any movement action; then determine the angle deviation of the first case of the first motion frame compared to the second hack chart o"&amp;"f the second starting action frame. The auxiliary sports personnel are trained at any movement action according to the angle deviation. The method of embodiments in this application enables sports staff to train exercise without artificial coaches to impr"&amp;"ove the technical level.")</f>
        <v>This application involves the field of computer vision, and a method, device and electronic equipment for assisting motion action training have been released. Among them, the method of assisting exercise exercise training includes: to analyze the first video of the movement of any movement, , Get the shooting angle of the first video; then obtain the second video of the template that meets the shooting angle for the shooting angle; then determine the first starting action frame of the first action of any movement in the first video, and In the second video, the second starting action frame of the second starting action of any movement action; then determine the angle deviation of the first case of the first motion frame compared to the second hack chart of the second starting action frame. The auxiliary sports personnel are trained at any movement action according to the angle deviation. The method of embodiments in this application enables sports staff to train exercise without artificial coaches to improve the technical level.</v>
      </c>
      <c r="D2905" s="6" t="s">
        <v>8182</v>
      </c>
      <c r="E2905" s="4" t="str">
        <f ca="1">IFERROR(__xludf.DUMMYFUNCTION("GOOGLETRANSLATE(D2905,""auto"",""en"")"),"Methods, devices and electronic equipment for assisted movement action training")</f>
        <v>Methods, devices and electronic equipment for assisted movement action training</v>
      </c>
    </row>
    <row r="2906" spans="1:5" ht="15" x14ac:dyDescent="0.25">
      <c r="A2906" s="5" t="s">
        <v>8183</v>
      </c>
      <c r="B2906" s="6" t="s">
        <v>8184</v>
      </c>
      <c r="C2906" s="3" t="str">
        <f ca="1">IFERROR(__xludf.DUMMYFUNCTION("GOOGLETRANSLATE(B2906,""auto"",""en"")"),"A system and method used to determine the statistical data of player performance. Such players are captured by sensors and cameras. The captured data is further processed by machine learning algorithms to generate player attributes, such as reaction time,"&amp;" expected shooting, shooting selection What are the accuracy of the ball, the choice of the ball, consistency, the quality of the ball and the length of the balloon, the 3D visualization of the ball line and the length of the length from the ball to the t"&amp;"hree -pillar goal, the accuracy of the length, the delivery of each ball, the delivery of each ball Speed, compare the operating insights of the player. This system can be used to train athletes and athletes to improve coordination and/or skills. Figure 3"&amp;" describes the system of the present invention.")</f>
        <v>A system and method used to determine the statistical data of player performance. Such players are captured by sensors and cameras. The captured data is further processed by machine learning algorithms to generate player attributes, such as reaction time, expected shooting, shooting selection What are the accuracy of the ball, the choice of the ball, consistency, the quality of the ball and the length of the balloon, the 3D visualization of the ball line and the length of the length from the ball to the three -pillar goal, the accuracy of the length, the delivery of each ball, the delivery of each ball Speed, compare the operating insights of the player. This system can be used to train athletes and athletes to improve coordination and/or skills. Figure 3 describes the system of the present invention.</v>
      </c>
      <c r="D2906" s="6" t="s">
        <v>8185</v>
      </c>
      <c r="E2906" s="4" t="str">
        <f ca="1">IFERROR(__xludf.DUMMYFUNCTION("GOOGLETRANSLATE(D2906,""auto"",""en"")"),"Through analysis and feedback to improve the dynamic situation of player performance")</f>
        <v>Through analysis and feedback to improve the dynamic situation of player performance</v>
      </c>
    </row>
    <row r="2907" spans="1:5" ht="15" x14ac:dyDescent="0.25">
      <c r="A2907" s="5" t="s">
        <v>8186</v>
      </c>
      <c r="B2907" s="6" t="s">
        <v>8187</v>
      </c>
      <c r="C2907" s="3" t="str">
        <f ca="1">IFERROR(__xludf.DUMMYFUNCTION("GOOGLETRANSLATE(B2907,""auto"",""en"")"),"The invention provides an artificial intelligence anti -drowning warning equipment based on image recognition, including wearable swimming equipment. It has an image recognition area in the wearable swimming equipment. The image recognition area has image"&amp;" recognition characteristics. The present invention also provides an artificial intelligence anti -drowning warning system based on image recognition. The image collection equipment of the drowning warning system is installed near the water facilities to "&amp;"collect images of the swimmer status in the water facilities; Collecting equipment, the output end of the system host connect to the warning device; it also includes a wearable swimming device for image recognition. The swimmers use the visual connection "&amp;"of the wearable swimming device and image collection equipment for image recognition. The present invention also provides an anti -drowning warning method based on image recognition. The present invention can improve the recognition rate of drowning accid"&amp;"ents in water facilities, assist lifeguards to complete life -saving work, and improve the safety of water facilities.")</f>
        <v>The invention provides an artificial intelligence anti -drowning warning equipment based on image recognition, including wearable swimming equipment. It has an image recognition area in the wearable swimming equipment. The image recognition area has image recognition characteristics. The present invention also provides an artificial intelligence anti -drowning warning system based on image recognition. The image collection equipment of the drowning warning system is installed near the water facilities to collect images of the swimmer status in the water facilities; Collecting equipment, the output end of the system host connect to the warning device; it also includes a wearable swimming device for image recognition. The swimmers use the visual connection of the wearable swimming device and image collection equipment for image recognition. The present invention also provides an anti -drowning warning method based on image recognition. The present invention can improve the recognition rate of drowning accidents in water facilities, assist lifeguards to complete life -saving work, and improve the safety of water facilities.</v>
      </c>
      <c r="D2907" s="6" t="s">
        <v>8188</v>
      </c>
      <c r="E2907" s="4" t="str">
        <f ca="1">IFERROR(__xludf.DUMMYFUNCTION("GOOGLETRANSLATE(D2907,""auto"",""en"")"),"Image recognition of artificial intelligence anti -drowning warning system, equipment and methods")</f>
        <v>Image recognition of artificial intelligence anti -drowning warning system, equipment and methods</v>
      </c>
    </row>
    <row r="2908" spans="1:5" ht="15" x14ac:dyDescent="0.25">
      <c r="A2908" s="5" t="s">
        <v>8189</v>
      </c>
      <c r="B2908" s="6" t="s">
        <v>8190</v>
      </c>
      <c r="C2908" s="3" t="str">
        <f ca="1">IFERROR(__xludf.DUMMYFUNCTION("GOOGLETRANSLATE(B2908,""auto"",""en"")"),"This practical new model provides an artificial intelligence anti -drowning warning equipment based on image recognition, including wearable swimming equipment. It has an image recognition area outside the wearable swimming equipment. The image recognitio"&amp;"n area has image recognition features. This utility model also provides an artificial intelligence anti -drowning warning system based on image recognition. The image collection camera of this anti -drowning warning system is installed near the water faci"&amp;"lities to use the image collection of swimmers in the water facilities; The end -connected image collection camera, the output end of the system host is connected to the warning device; it also includes a wearable swimming device for image recognition. Th"&amp;"e swimmer collects the visual connection of the camera through the wearable swimming device and the image of the image recognition. This practical new model can improve the recognition rate of drowning accidents on water facilities, assist lifeguards to c"&amp;"omplete life -saving work, and improve the safety of water facilities.")</f>
        <v>This practical new model provides an artificial intelligence anti -drowning warning equipment based on image recognition, including wearable swimming equipment. It has an image recognition area outside the wearable swimming equipment. The image recognition area has image recognition features. This utility model also provides an artificial intelligence anti -drowning warning system based on image recognition. The image collection camera of this anti -drowning warning system is installed near the water facilities to use the image collection of swimmers in the water facilities; The end -connected image collection camera, the output end of the system host is connected to the warning device; it also includes a wearable swimming device for image recognition. The swimmer collects the visual connection of the camera through the wearable swimming device and the image of the image recognition. This practical new model can improve the recognition rate of drowning accidents on water facilities, assist lifeguards to complete life -saving work, and improve the safety of water facilities.</v>
      </c>
      <c r="D2908" s="6" t="s">
        <v>8191</v>
      </c>
      <c r="E2908" s="4" t="str">
        <f ca="1">IFERROR(__xludf.DUMMYFUNCTION("GOOGLETRANSLATE(D2908,""auto"",""en"")"),"An artificial intelligence anti -drowning warning equipment and system based on image recognition")</f>
        <v>An artificial intelligence anti -drowning warning equipment and system based on image recognition</v>
      </c>
    </row>
    <row r="2909" spans="1:5" ht="15" x14ac:dyDescent="0.25">
      <c r="A2909" s="5" t="s">
        <v>8192</v>
      </c>
      <c r="B2909" s="6" t="s">
        <v>8193</v>
      </c>
      <c r="C2909" s="3" t="str">
        <f ca="1">IFERROR(__xludf.DUMMYFUNCTION("GOOGLETRANSLATE(B2909,""auto"",""en"")"),"The present invention involves simulation boards and equipment for family fitness and virtual reality movements (motion games using boards, such as surfing, skating, and skiing) experience. It automatically identifies the posture of users and creates virt"&amp;"ual reality (VR) content. The virtual reality simulation board 100 is coordinated with the simulation board and device that is tilted and instantaneous to reverse the motion to form the simulation board 100 through the force applied by the user's feet to "&amp;"form the simulation board. Sensor signal acquisition module, installed on analog board 100, receive detection signals from sensor 30 from the detection board behavior, used to detect the inclined, acceleration, and reversing of the simulation board 100, a"&amp;"nd send the detection signal to the motion simulation unit 120. (110 100 ) And; Movement simulation unit 120, its signal recognition and identification of users and boards based on the sensor -based signal signal obtaining unit 110, and realize the gradie"&amp;"nt and distortion information existing in the content image on the analog board 100; the driving unit control module 130 response response The command of the motion simulation unit 120 to control the driver of the simulation board 100 driving unit 40 to a"&amp;"chieve the tilt, distortions and jittering behavior of the content image on the upper panel 20. Image expression unit 140 includes VR glasses or display devices, which receives sports content images (surfing boards, skateboards, skilets) from the movement"&amp;" simulation unit 120 and can display character images and content images visually. It involves simulation boards and devices combined with sports games such as family fitness and virtual reality (surfing, skating, and skiing, etc., which is characterized "&amp;"by configuration.")</f>
        <v>The present invention involves simulation boards and equipment for family fitness and virtual reality movements (motion games using boards, such as surfing, skating, and skiing) experience. It automatically identifies the posture of users and creates virtual reality (VR) content. The virtual reality simulation board 100 is coordinated with the simulation board and device that is tilted and instantaneous to reverse the motion to form the simulation board 100 through the force applied by the user's feet to form the simulation board. Sensor signal acquisition module, installed on analog board 100, receive detection signals from sensor 30 from the detection board behavior, used to detect the inclined, acceleration, and reversing of the simulation board 100, and send the detection signal to the motion simulation unit 120. (110 100 ) And; Movement simulation unit 120, its signal recognition and identification of users and boards based on the sensor -based signal signal obtaining unit 110, and realize the gradient and distortion information existing in the content image on the analog board 100; the driving unit control module 130 response response The command of the motion simulation unit 120 to control the driver of the simulation board 100 driving unit 40 to achieve the tilt, distortions and jittering behavior of the content image on the upper panel 20. Image expression unit 140 includes VR glasses or display devices, which receives sports content images (surfing boards, skateboards, skilets) from the movement simulation unit 120 and can display character images and content images visually. It involves simulation boards and devices combined with sports games such as family fitness and virtual reality (surfing, skating, and skiing, etc., which is characterized by configuration.</v>
      </c>
      <c r="D2909" s="6" t="s">
        <v>8194</v>
      </c>
      <c r="E2909" s="4" t="str">
        <f ca="1">IFERROR(__xludf.DUMMYFUNCTION("GOOGLETRANSLATE(D2909,""auto"",""en"")"),"Family fitness and virtual reality motion experience simulation devices with IoT data collection functions")</f>
        <v>Family fitness and virtual reality motion experience simulation devices with IoT data collection functions</v>
      </c>
    </row>
    <row r="2910" spans="1:5" ht="15" x14ac:dyDescent="0.25">
      <c r="A2910" s="5" t="s">
        <v>8195</v>
      </c>
      <c r="B2910" s="6" t="s">
        <v>8196</v>
      </c>
      <c r="C2910" s="3" t="str">
        <f ca="1">IFERROR(__xludf.DUMMYFUNCTION("GOOGLETRANSLATE(B2910,""auto"",""en"")"),"1. The name of the product in appearance: venue component.
 2. The purpose of designing products in this exterior: It is used for teaching, competitions and other equipment for smart vehicles, smart robots and other equipment.
 3. Design of the design"&amp;" of the product in appearance: lies in the shape.
 4. Pictures or photos that can most indicate design points: Figure 1 in combination status.")</f>
        <v>1. The name of the product in appearance: venue component.
 2. The purpose of designing products in this exterior: It is used for teaching, competitions and other equipment for smart vehicles, smart robots and other equipment.
 3. Design of the design of the product in appearance: lies in the shape.
 4. Pictures or photos that can most indicate design points: Figure 1 in combination status.</v>
      </c>
      <c r="D2910" s="6" t="s">
        <v>8197</v>
      </c>
      <c r="E2910" s="4" t="str">
        <f ca="1">IFERROR(__xludf.DUMMYFUNCTION("GOOGLETRANSLATE(D2910,""auto"",""en"")"),"Venue component")</f>
        <v>Venue component</v>
      </c>
    </row>
    <row r="2911" spans="1:5" ht="15" x14ac:dyDescent="0.25">
      <c r="A2911" s="5" t="s">
        <v>8198</v>
      </c>
      <c r="B2911" s="6" t="s">
        <v>8199</v>
      </c>
      <c r="C2911" s="3" t="str">
        <f ca="1">IFERROR(__xludf.DUMMYFUNCTION("GOOGLETRANSLATE(B2911,""auto"",""en"")"),"A method for calculating the position of athletes called the target on the sports field, including the general location of the use of a radio -based positioning system estimation of the target. The system includes the tracking sensor of several athletes c"&amp;"onnected to the sports field and The antenna, define the search space around the general position, use an optical positioning system to detect athletes in the search space. The system includes the camera and image recognition equipment installed above and"&amp;"/or surrounding the surrounding. The accurate position is attributed to the goal.")</f>
        <v>A method for calculating the position of athletes called the target on the sports field, including the general location of the use of a radio -based positioning system estimation of the target. The system includes the tracking sensor of several athletes connected to the sports field and The antenna, define the search space around the general position, use an optical positioning system to detect athletes in the search space. The system includes the camera and image recognition equipment installed above and/or surrounding the surrounding. The accurate position is attributed to the goal.</v>
      </c>
      <c r="D2911" s="6" t="s">
        <v>8200</v>
      </c>
      <c r="E2911" s="4" t="str">
        <f ca="1">IFERROR(__xludf.DUMMYFUNCTION("GOOGLETRANSLATE(D2911,""auto"",""en"")"),"Calculation method of the athlete location on the sports field")</f>
        <v>Calculation method of the athlete location on the sports field</v>
      </c>
    </row>
    <row r="2912" spans="1:5" ht="15" x14ac:dyDescent="0.25">
      <c r="A2912" s="5" t="s">
        <v>8201</v>
      </c>
      <c r="B2912" s="6" t="s">
        <v>8202</v>
      </c>
      <c r="C2912" s="3" t="str">
        <f ca="1">IFERROR(__xludf.DUMMYFUNCTION("GOOGLETRANSLATE(B2912,""auto"",""en"")"),"This utility model discloses an intelligent management system for sports equipment, including information recognition circuits, processors, communication modules, storage circuits, power modules, and human -machine interactive modules. The human -machine "&amp;"interaction module is connected to the processor, respectively, and the power module provides a working power supply for the system; it also includes the detection circuit and the cost payment module. The detection circuit detects the damage of returned s"&amp;"ports equipment. This practical new model can avoid the emergence of risky borrowing, while improving the safety of sports equipment; the use of online expenses to pay for loan fees has convenient characteristics, while reducing artificial labor.")</f>
        <v>This utility model discloses an intelligent management system for sports equipment, including information recognition circuits, processors, communication modules, storage circuits, power modules, and human -machine interactive modules. The human -machine interaction module is connected to the processor, respectively, and the power module provides a working power supply for the system; it also includes the detection circuit and the cost payment module. The detection circuit detects the damage of returned sports equipment. This practical new model can avoid the emergence of risky borrowing, while improving the safety of sports equipment; the use of online expenses to pay for loan fees has convenient characteristics, while reducing artificial labor.</v>
      </c>
      <c r="D2912" s="6" t="s">
        <v>8203</v>
      </c>
      <c r="E2912" s="4" t="str">
        <f ca="1">IFERROR(__xludf.DUMMYFUNCTION("GOOGLETRANSLATE(D2912,""auto"",""en"")"),"A Sports Equipment Intelligent Management System")</f>
        <v>A Sports Equipment Intelligent Management System</v>
      </c>
    </row>
    <row r="2913" spans="1:5" ht="15" x14ac:dyDescent="0.25">
      <c r="A2913" s="5" t="s">
        <v>8204</v>
      </c>
      <c r="B2913" s="6" t="s">
        <v>8205</v>
      </c>
      <c r="C2913" s="3" t="str">
        <f ca="1">IFERROR(__xludf.DUMMYFUNCTION("GOOGLETRANSLATE(B2913,""auto"",""en"")"),"For the first time, the information inspection system that can respond to false news, rumors and inaccurate information that can be transmitted in the digital environment. Our invention starts from discovery: Although fake news is exponentially disseminat"&amp;"ed, the attempts against its solutions are still limited to manual inspections and cannot keep up with its diffusion speed. Our system is innovative: combined with three verification level mixtures: (1) Index and probability level made by cricket robots. "&amp;"It may create index levels of information verified information by artificial intelligence and connect to connected to the connection to the connection to the exponential information, and connect to it to the connection to the connection. In the middle per"&amp;"iod, millions of users in the world are mobile devices; (2) an automated system, through software receiving the input of the information to be verified, query the information database that has been checked (through the cricket and the inspection agency ma"&amp;"de by special artificial work), The execution of public data has been automatically queried and constantly generated a package of inspection information related to feeding 蟋蟀 and (3) third -level professional artificial inspection, which is verified by qu"&amp;"alified professionals with recognized professional knowledge.")</f>
        <v>For the first time, the information inspection system that can respond to false news, rumors and inaccurate information that can be transmitted in the digital environment. Our invention starts from discovery: Although fake news is exponentially disseminated, the attempts against its solutions are still limited to manual inspections and cannot keep up with its diffusion speed. Our system is innovative: combined with three verification level mixtures: (1) Index and probability level made by cricket robots. It may create index levels of information verified information by artificial intelligence and connect to connected to the connection to the connection to the exponential information, and connect to it to the connection to the connection. In the middle period, millions of users in the world are mobile devices; (2) an automated system, through software receiving the input of the information to be verified, query the information database that has been checked (through the cricket and the inspection agency made by special artificial work), The execution of public data has been automatically queried and constantly generated a package of inspection information related to feeding 蟋蟀 and (3) third -level professional artificial inspection, which is verified by qualified professionals with recognized professional knowledge.</v>
      </c>
      <c r="D2913" s="6" t="s">
        <v>8206</v>
      </c>
      <c r="E2913" s="4" t="str">
        <f ca="1">IFERROR(__xludf.DUMMYFUNCTION("GOOGLETRANSLATE(D2913,""auto"",""en"")"),"Information verification system")</f>
        <v>Information verification system</v>
      </c>
    </row>
    <row r="2914" spans="1:5" ht="15" x14ac:dyDescent="0.25">
      <c r="A2914" s="5" t="s">
        <v>8207</v>
      </c>
      <c r="B2914" s="6" t="s">
        <v>8208</v>
      </c>
      <c r="C2914" s="3" t="str">
        <f ca="1">IFERROR(__xludf.DUMMYFUNCTION("GOOGLETRANSLATE(B2914,""auto"",""en"")"),"The present invention provides a method and system for monitoring, analyzing, improving, and giving instant feedback on individual movement performance. Examples provide a system and method to create a visual representation of sports action without using "&amp;"any visual data capture mechanism. The system includes game monitoring equipment (102), communication network (104), remote server (106) and computing devices (116). The remote server includes filtering and signal processing modules (108), analysis module"&amp;" (110), database (112), and artificial intelligence module (114). The computing device includes several modules and user interfaces (118). The game monitoring equipment detection comes from multiple data points of the player and transmits it to the remote"&amp;" server. Remote server filtering and processing signals to analyze the game of each player and player. Analyze visualization and display on the user computing device.")</f>
        <v>The present invention provides a method and system for monitoring, analyzing, improving, and giving instant feedback on individual movement performance. Examples provide a system and method to create a visual representation of sports action without using any visual data capture mechanism. The system includes game monitoring equipment (102), communication network (104), remote server (106) and computing devices (116). The remote server includes filtering and signal processing modules (108), analysis module (110), database (112), and artificial intelligence module (114). The computing device includes several modules and user interfaces (118). The game monitoring equipment detection comes from multiple data points of the player and transmits it to the remote server. Remote server filtering and processing signals to analyze the game of each player and player. Analyze visualization and display on the user computing device.</v>
      </c>
      <c r="D2914" s="6" t="s">
        <v>8209</v>
      </c>
      <c r="E2914" s="4" t="str">
        <f ca="1">IFERROR(__xludf.DUMMYFUNCTION("GOOGLETRANSLATE(D2914,""auto"",""en"")"),"A system and method of using monitoring equipment analysis and improving sports performance")</f>
        <v>A system and method of using monitoring equipment analysis and improving sports performance</v>
      </c>
    </row>
    <row r="2915" spans="1:5" ht="15" x14ac:dyDescent="0.25">
      <c r="A2915" s="5" t="s">
        <v>8210</v>
      </c>
      <c r="B2915" s="6" t="s">
        <v>8211</v>
      </c>
      <c r="C2915" s="3" t="str">
        <f ca="1">IFERROR(__xludf.DUMMYFUNCTION("GOOGLETRANSLATE(B2915,""auto"",""en"")"),"This utility model opens up a fitness equipment based on artificial intelligence technology, including supporting boards and support beams. The two support beams have a rotor roller at the same end. There are the first transmission chain between the two r"&amp;"otor rollers on the top of the rotor roller. The outer ring surface of the first transmission chain is equipped with rubber tapes. There are several climbing blocks on the rubber tape. The outer surface has a static support rod through the first support a"&amp;"xis, and the lower end of the static support rod is fixed to the upper surface of the front side of the support plate. The back surface is installed with a hydraulic telescopic rod through the installation seat. The practical new type is small and placed "&amp;"in the gym, which is conducive to urban life to climb the fitness in the gym.")</f>
        <v>This utility model opens up a fitness equipment based on artificial intelligence technology, including supporting boards and support beams. The two support beams have a rotor roller at the same end. There are the first transmission chain between the two rotor rollers on the top of the rotor roller. The outer ring surface of the first transmission chain is equipped with rubber tapes. There are several climbing blocks on the rubber tape. The outer surface has a static support rod through the first support axis, and the lower end of the static support rod is fixed to the upper surface of the front side of the support plate. The back surface is installed with a hydraulic telescopic rod through the installation seat. The practical new type is small and placed in the gym, which is conducive to urban life to climb the fitness in the gym.</v>
      </c>
      <c r="D2915" s="6" t="s">
        <v>8212</v>
      </c>
      <c r="E2915" s="4" t="str">
        <f ca="1">IFERROR(__xludf.DUMMYFUNCTION("GOOGLETRANSLATE(D2915,""auto"",""en"")"),"A fitness equipment based on artificial intelligence technology")</f>
        <v>A fitness equipment based on artificial intelligence technology</v>
      </c>
    </row>
    <row r="2916" spans="1:5" ht="15" x14ac:dyDescent="0.25">
      <c r="A2916" s="5" t="s">
        <v>8213</v>
      </c>
      <c r="B2916" s="6" t="s">
        <v>8214</v>
      </c>
      <c r="C2916" s="3" t="str">
        <f ca="1">IFERROR(__xludf.DUMMYFUNCTION("GOOGLETRANSLATE(B2916,""auto"",""en"")"),"The present invention involves the field of intelligent fitness equipment technology, which specifically involves a intelligent control method of a smart Taiji kneading system and Tai Chi kneading device. This system includes: support gear, rotating disk,"&amp;" image acquisition device, human -machine interaction device and main control device, which uses image collection and processing technology. On the one hand, the main control device is based on the image control of the human -machine interactive device ob"&amp;"tained by the image collection device. Operating status, saving energy consumption, extending the service life of the device, on the other hand, the main control device obtains the user's motion status information according to the image obtained by the im"&amp;"age collection device, and interacts with the user in real time according to the user's motion status information. Sports guidance information solves the problem of existing Tai Chi kneading devices. Users can monitor their own movements in real time and "&amp;"adjust their motion status based on exercise guidance information, which is conducive to users' physical health.")</f>
        <v>The present invention involves the field of intelligent fitness equipment technology, which specifically involves a intelligent control method of a smart Taiji kneading system and Tai Chi kneading device. This system includes: support gear, rotating disk, image acquisition device, human -machine interaction device and main control device, which uses image collection and processing technology. On the one hand, the main control device is based on the image control of the human -machine interactive device obtained by the image collection device. Operating status, saving energy consumption, extending the service life of the device, on the other hand, the main control device obtains the user's motion status information according to the image obtained by the image collection device, and interacts with the user in real time according to the user's motion status information. Sports guidance information solves the problem of existing Tai Chi kneading devices. Users can monitor their own movements in real time and adjust their motion status based on exercise guidance information, which is conducive to users' physical health.</v>
      </c>
      <c r="D2916" s="6" t="s">
        <v>8215</v>
      </c>
      <c r="E2916" s="4" t="str">
        <f ca="1">IFERROR(__xludf.DUMMYFUNCTION("GOOGLETRANSLATE(D2916,""auto"",""en"")"),"Intelligent control method of smart Taiji kneading system and Taiji kneading device")</f>
        <v>Intelligent control method of smart Taiji kneading system and Taiji kneading device</v>
      </c>
    </row>
    <row r="2917" spans="1:5" ht="15" x14ac:dyDescent="0.25">
      <c r="A2917" s="5" t="s">
        <v>8216</v>
      </c>
      <c r="B2917" s="6" t="s">
        <v>8217</v>
      </c>
      <c r="C2917" s="3" t="str">
        <f ca="1">IFERROR(__xludf.DUMMYFUNCTION("GOOGLETRANSLATE(B2917,""auto"",""en"")"),"This utility model involves the technical field of intelligent fitness equipment, and specifically involves a smart Taiji kneading system. It includes supporting racks, rotating disks, image collection devices, human -machine interaction devices and main "&amp;"control devices. The image acquisition device and human -machine interactive device are set on the supporting frame and the rotating disk is located in the field of view of the image collection device. The main control device and the main control device a"&amp;"nd the main control device and Image acquisition device and human -machine interactive device communication connection; the main control device is running the man -machine interaction device by the image control device obtained by the image collection dev"&amp;"ice, and at the same time obtains the user's movement status information, and according to the user's motion status information Real -time interactive movement information with users solves the problem of existing Tai Chi kneading devices only provides ex"&amp;"ercise. Users can monitor their own movements in real time and adjust their motion status according to the guidance information of the exercise, which is conducive to users' physical health.")</f>
        <v>This utility model involves the technical field of intelligent fitness equipment, and specifically involves a smart Taiji kneading system. It includes supporting racks, rotating disks, image collection devices, human -machine interaction devices and main control devices. The image acquisition device and human -machine interactive device are set on the supporting frame and the rotating disk is located in the field of view of the image collection device. The main control device and the main control device and the main control device and Image acquisition device and human -machine interactive device communication connection; the main control device is running the man -machine interaction device by the image control device obtained by the image collection device, and at the same time obtains the user's movement status information, and according to the user's motion status information Real -time interactive movement information with users solves the problem of existing Tai Chi kneading devices only provides exercise. Users can monitor their own movements in real time and adjust their motion status according to the guidance information of the exercise, which is conducive to users' physical health.</v>
      </c>
      <c r="D2917" s="6" t="s">
        <v>8218</v>
      </c>
      <c r="E2917" s="4" t="str">
        <f ca="1">IFERROR(__xludf.DUMMYFUNCTION("GOOGLETRANSLATE(D2917,""auto"",""en"")"),"A smart Taiji kneading system")</f>
        <v>A smart Taiji kneading system</v>
      </c>
    </row>
    <row r="2918" spans="1:5" ht="15" x14ac:dyDescent="0.25">
      <c r="A2918" s="5" t="s">
        <v>8219</v>
      </c>
      <c r="B2918" s="6" t="s">
        <v>8220</v>
      </c>
      <c r="C2918" s="3" t="str">
        <f ca="1">IFERROR(__xludf.DUMMYFUNCTION("GOOGLETRANSLATE(B2918,""auto"",""en"")"),"The present invention disclosed a physical education teaching intelligent system based on sports bracelets and online cloud platforms, involving the field of information processing of the Internet of Things, including bracelets, cloud platforms, and webs."&amp;" Narrow Band Internet of Things (NB‑ioT) technology connection, which is connected to the cloud platform with the cloud platform. The present invention uses modern biomedical sensing technology with modern information and communication technology to combi"&amp;"ne sports bracelets and network cloud platforms to establish a set of sports -based analysis and evaluation of physical education teaching effects based on target heart rate. Teaching intelligent systems, using individual evaluation standards, simply and "&amp;"accurately evaluate the movement of the athletes, realize the supervision, analysis and evaluation of sports individuals and groups, and to achieve a scientific warning of dangerous situations for sports.")</f>
        <v>The present invention disclosed a physical education teaching intelligent system based on sports bracelets and online cloud platforms, involving the field of information processing of the Internet of Things, including bracelets, cloud platforms, and webs. Narrow Band Internet of Things (NB‑ioT) technology connection, which is connected to the cloud platform with the cloud platform. The present invention uses modern biomedical sensing technology with modern information and communication technology to combine sports bracelets and network cloud platforms to establish a set of sports -based analysis and evaluation of physical education teaching effects based on target heart rate. Teaching intelligent systems, using individual evaluation standards, simply and accurately evaluate the movement of the athletes, realize the supervision, analysis and evaluation of sports individuals and groups, and to achieve a scientific warning of dangerous situations for sports.</v>
      </c>
      <c r="D2918" s="6" t="s">
        <v>8221</v>
      </c>
      <c r="E2918" s="4" t="str">
        <f ca="1">IFERROR(__xludf.DUMMYFUNCTION("GOOGLETRANSLATE(D2918,""auto"",""en"")"),"A sports teaching intelligent system based on sports bracelets and network cloud platforms")</f>
        <v>A sports teaching intelligent system based on sports bracelets and network cloud platforms</v>
      </c>
    </row>
    <row r="2919" spans="1:5" ht="15" x14ac:dyDescent="0.25">
      <c r="A2919" s="5" t="s">
        <v>8222</v>
      </c>
      <c r="B2919" s="6" t="s">
        <v>8223</v>
      </c>
      <c r="C2919" s="3" t="str">
        <f ca="1">IFERROR(__xludf.DUMMYFUNCTION("GOOGLETRANSLATE(B2919,""auto"",""en"")"),"The present invention disclosed a fitness action recognition method, device, equipment and medium based on neural networks. This method includes at least one cut feature data in order in order of the training fitness action identification model in order. "&amp;"The type of movement corresponding to the characteristic data; the corresponding standard characteristic group data is obtained based on the type of action type, and the specific characteristic data group is selected from the characteristics of the charac"&amp;"teristics of the standard feature group to obtain the characteristic identification results from the identification feature data to obtain the feature identification results; to determine the specific characteristic data group Whether it is a standard fea"&amp;"ture, statistical the characteristics of the characteristics of all specific data groups, when all the characteristic recognition results corresponding to all specific data groups are feature standards, the fitness recognition results corresponding to the"&amp;" sequence data to be recognized to be recognized as the action standard to ensure the guarantee to ensure At the same time, the accuracy of identifying the sequence of the sequence of the action, and at the same time, it can avoid the use of high -cost se"&amp;"nsors to save the cost of solution.")</f>
        <v>The present invention disclosed a fitness action recognition method, device, equipment and medium based on neural networks. This method includes at least one cut feature data in order in order of the training fitness action identification model in order. The type of movement corresponding to the characteristic data; the corresponding standard characteristic group data is obtained based on the type of action type, and the specific characteristic data group is selected from the characteristics of the characteristics of the standard feature group to obtain the characteristic identification results from the identification feature data to obtain the feature identification results; to determine the specific characteristic data group Whether it is a standard feature, statistical the characteristics of the characteristics of all specific data groups, when all the characteristic recognition results corresponding to all specific data groups are feature standards, the fitness recognition results corresponding to the sequence data to be recognized to be recognized as the action standard to ensure the guarantee to ensure At the same time, the accuracy of identifying the sequence of the sequence of the action, and at the same time, it can avoid the use of high -cost sensors to save the cost of solution.</v>
      </c>
      <c r="D2919" s="6" t="s">
        <v>8224</v>
      </c>
      <c r="E2919" s="4" t="str">
        <f ca="1">IFERROR(__xludf.DUMMYFUNCTION("GOOGLETRANSLATE(D2919,""auto"",""en"")"),"Fitness action recognition methods, devices, equipment and media based on neural network")</f>
        <v>Fitness action recognition methods, devices, equipment and media based on neural network</v>
      </c>
    </row>
    <row r="2920" spans="1:5" ht="15" x14ac:dyDescent="0.25">
      <c r="A2920" s="5" t="s">
        <v>8225</v>
      </c>
      <c r="B2920" s="6" t="s">
        <v>8226</v>
      </c>
      <c r="C2920" s="3" t="str">
        <f ca="1">IFERROR(__xludf.DUMMYFUNCTION("GOOGLETRANSLATE(B2920,""auto"",""en"")"),"A method for authentication and systems to issue decentralized identifiers to passengers. Passport issuance uses this identifier to sign the passport data, including enhanced biological characteristics, including the holder's image. Authorities use. Provi"&amp;"de a copy of the signature data to the holder. Before the trip, the holder submitted APIS data with his/her decentralized logo to the authorities reaching the destination. These data will be verified in advance and authorized the holder to use the pre -ap"&amp;"proval part in the Immigration Department. After arriving, the bearer's image will be captured and it matches it with the pre -authorized passenger records. If the competition is approved, the holder will be allowed to control the door through the automat"&amp;"ic border. During the matching process, machine learning can be used to reduce the number of pre -authorized passengers used in matching according to the expected time of the immigration bureau.")</f>
        <v>A method for authentication and systems to issue decentralized identifiers to passengers. Passport issuance uses this identifier to sign the passport data, including enhanced biological characteristics, including the holder's image. Authorities use. Provide a copy of the signature data to the holder. Before the trip, the holder submitted APIS data with his/her decentralized logo to the authorities reaching the destination. These data will be verified in advance and authorized the holder to use the pre -approval part in the Immigration Department. After arriving, the bearer's image will be captured and it matches it with the pre -authorized passenger records. If the competition is approved, the holder will be allowed to control the door through the automatic border. During the matching process, machine learning can be used to reduce the number of pre -authorized passengers used in matching according to the expected time of the immigration bureau.</v>
      </c>
      <c r="D2920" s="6" t="s">
        <v>8227</v>
      </c>
      <c r="E2920" s="4" t="str">
        <f ca="1">IFERROR(__xludf.DUMMYFUNCTION("GOOGLETRANSLATE(D2920,""auto"",""en"")"),"Authentication")</f>
        <v>Authentication</v>
      </c>
    </row>
    <row r="2921" spans="1:5" ht="15" x14ac:dyDescent="0.25">
      <c r="A2921" s="5" t="s">
        <v>8228</v>
      </c>
      <c r="B2921" s="6" t="s">
        <v>8229</v>
      </c>
      <c r="C2921" s="3" t="str">
        <f ca="1">IFERROR(__xludf.DUMMYFUNCTION("GOOGLETRANSLATE(B2921,""auto"",""en"")"),"The present invention proposes a badminton -based assistant referee system based on computer visual detection technology. The system described by the present invention includes image collection platforms, data processing platforms, and display terminals. "&amp;"The camera or camera is an image acquisition platform, the computer and software are the data processing platform. The software includes image processing software and the corresponding calculation formula designed according to this method. The display ter"&amp;"minal can be an external display device or the data processing platform comes with display device. The system described by the present invention first calibrate the camera. Through pre -processing of video, the target detection tracking algorithm is used "&amp;"to achieve real -time detection, tracking and positioning of the target. In the image, the threshold of the value of the badminton horizontal motion (X -axis) value change scale is set to lock the strike instantaneous screen frame as a key frame. Calculat"&amp;"e the key frame badminton height according to the principle of shooting geometry, assist the camera positioning, correct the calculation results and display in real time. The invention realizes the real -time nature of the judgment, and the accuracy of th"&amp;"e judgment reaches centimeter.")</f>
        <v>The present invention proposes a badminton -based assistant referee system based on computer visual detection technology. The system described by the present invention includes image collection platforms, data processing platforms, and display terminals. The camera or camera is an image acquisition platform, the computer and software are the data processing platform. The software includes image processing software and the corresponding calculation formula designed according to this method. The display terminal can be an external display device or the data processing platform comes with display device. The system described by the present invention first calibrate the camera. Through pre -processing of video, the target detection tracking algorithm is used to achieve real -time detection, tracking and positioning of the target. In the image, the threshold of the value of the badminton horizontal motion (X -axis) value change scale is set to lock the strike instantaneous screen frame as a key frame. Calculate the key frame badminton height according to the principle of shooting geometry, assist the camera positioning, correct the calculation results and display in real time. The invention realizes the real -time nature of the judgment, and the accuracy of the judgment reaches centimeter.</v>
      </c>
      <c r="D2921" s="6" t="s">
        <v>8230</v>
      </c>
      <c r="E2921" s="4" t="str">
        <f ca="1">IFERROR(__xludf.DUMMYFUNCTION("GOOGLETRANSLATE(D2921,""auto"",""en"")"),"Badminton Services Assistant Judgment System based on computer visual detection technology")</f>
        <v>Badminton Services Assistant Judgment System based on computer visual detection technology</v>
      </c>
    </row>
    <row r="2922" spans="1:5" ht="15" x14ac:dyDescent="0.25">
      <c r="A2922" s="5" t="s">
        <v>8231</v>
      </c>
      <c r="B2922" s="6" t="s">
        <v>8232</v>
      </c>
      <c r="C2922" s="3" t="str">
        <f ca="1">IFERROR(__xludf.DUMMYFUNCTION("GOOGLETRANSLATE(B2922,""auto"",""en"")"),"The present invention involves the field of artificial intelligence and automatic control technology. It provides a smart voice -based device operation process control method and system. The control method of equipment operation processes based on intelli"&amp;"gent voice includes: start the corresponding equipment operation process according to the current device operation scenario; According to the corresponding operation method of the current equipment operation process; when the node currently places the nod"&amp;"e where the equipment is required to select the process, the corresponding selection items are reported through the voice broadcast, and according to the device operator’s of the device operator Select the process of completing the process; and the specif"&amp;"ic operation of the operator of the device operator at the current node before entering the next node. The invention allowed engineers and other equipment operators to liberate their hands through voice interaction, and it was recorded while repairing, wh"&amp;"ich greatly facilitated the equipment operators such as engineers and other equipment operators to convert the knowledge of maintenance process into data for secondary use.")</f>
        <v>The present invention involves the field of artificial intelligence and automatic control technology. It provides a smart voice -based device operation process control method and system. The control method of equipment operation processes based on intelligent voice includes: start the corresponding equipment operation process according to the current device operation scenario; According to the corresponding operation method of the current equipment operation process; when the node currently places the node where the equipment is required to select the process, the corresponding selection items are reported through the voice broadcast, and according to the device operator’s of the device operator Select the process of completing the process; and the specific operation of the operator of the device operator at the current node before entering the next node. The invention allowed engineers and other equipment operators to liberate their hands through voice interaction, and it was recorded while repairing, which greatly facilitated the equipment operators such as engineers and other equipment operators to convert the knowledge of maintenance process into data for secondary use.</v>
      </c>
      <c r="D2922" s="6" t="s">
        <v>8233</v>
      </c>
      <c r="E2922" s="4" t="str">
        <f ca="1">IFERROR(__xludf.DUMMYFUNCTION("GOOGLETRANSLATE(D2922,""auto"",""en"")"),"Methods and systems based on smart voice -based device operation processes")</f>
        <v>Methods and systems based on smart voice -based device operation processes</v>
      </c>
    </row>
    <row r="2923" spans="1:5" ht="15" x14ac:dyDescent="0.25">
      <c r="A2923" s="5" t="s">
        <v>8234</v>
      </c>
      <c r="B2923" s="6" t="s">
        <v>8235</v>
      </c>
      <c r="C2923" s="3" t="str">
        <f ca="1">IFERROR(__xludf.DUMMYFUNCTION("GOOGLETRANSLATE(B2923,""auto"",""en"")"),"A method for controlling a robot camera to capture a part of the game venue. Determine the image area of ​​interest in the reference image of the competition field. Interested image areas are determined by artificial intelligence. Interested image areas a"&amp;"re associated with interested areas on the competition venue. Deduct the control parameters of the robot's camera from interested in the physical area, so that the robot camera captures the physical area of ​​interest on the field. Therefore, robots can a"&amp;"utomatically capture the most interesting scenes on the field. In addition, a camera system that implements this method is proposed.")</f>
        <v>A method for controlling a robot camera to capture a part of the game venue. Determine the image area of ​​interest in the reference image of the competition field. Interested image areas are determined by artificial intelligence. Interested image areas are associated with interested areas on the competition venue. Deduct the control parameters of the robot's camera from interested in the physical area, so that the robot camera captures the physical area of ​​interest on the field. Therefore, robots can automatically capture the most interesting scenes on the field. In addition, a camera system that implements this method is proposed.</v>
      </c>
      <c r="D2923" s="6" t="s">
        <v>8236</v>
      </c>
      <c r="E2923" s="4" t="str">
        <f ca="1">IFERROR(__xludf.DUMMYFUNCTION("GOOGLETRANSLATE(D2923,""auto"",""en"")"),"Methods used to control robot cameras and camera systems")</f>
        <v>Methods used to control robot cameras and camera systems</v>
      </c>
    </row>
    <row r="2924" spans="1:5" ht="15" x14ac:dyDescent="0.25">
      <c r="A2924" s="5" t="s">
        <v>8237</v>
      </c>
      <c r="B2924" s="6" t="s">
        <v>8238</v>
      </c>
      <c r="C2924" s="3" t="str">
        <f ca="1">IFERROR(__xludf.DUMMYFUNCTION("GOOGLETRANSLATE(B2924,""auto"",""en"")"),"The present invention disclosed a method of improving the short -term load based on load characteristics under the influence of meteorological factors. The specific operation steps involved in the field of short -term load prediction technology are as fol"&amp;"lows: Step 1: From SCADA real -time database and meteorological database, the original user load Data and pre -processing; Step 2: Based on the load characteristics, it is subdivided into a typical five types of load; step 3: Use the cluster algorithm com"&amp;"bined with related influencing factors to subdivide each typical load, respectively. The present invention completes the second segmentation of the load by using the method of combining load physical characteristics and attribute cluster algorithms. The o"&amp;"ptimization of high accuracy is optimized to improve the particle group optimization of the radial base neural network and the minimum daily support vector regression model and other algorithms The short -term improvement of the prediction model can not o"&amp;"nly obtain the accurate load prediction results, but also facilitate the demand -side users to perform various types of load targeted regulation on the spot.")</f>
        <v>The present invention disclosed a method of improving the short -term load based on load characteristics under the influence of meteorological factors. The specific operation steps involved in the field of short -term load prediction technology are as follows: Step 1: From SCADA real -time database and meteorological database, the original user load Data and pre -processing; Step 2: Based on the load characteristics, it is subdivided into a typical five types of load; step 3: Use the cluster algorithm combined with related influencing factors to subdivide each typical load, respectively. The present invention completes the second segmentation of the load by using the method of combining load physical characteristics and attribute cluster algorithms. The optimization of high accuracy is optimized to improve the particle group optimization of the radial base neural network and the minimum daily support vector regression model and other algorithms The short -term improvement of the prediction model can not only obtain the accurate load prediction results, but also facilitate the demand -side users to perform various types of load targeted regulation on the spot.</v>
      </c>
      <c r="D2924" s="6" t="s">
        <v>8239</v>
      </c>
      <c r="E2924" s="4" t="str">
        <f ca="1">IFERROR(__xludf.DUMMYFUNCTION("GOOGLETRANSLATE(D2924,""auto"",""en"")"),"A prediction method of improving the short -term load based on the impact of a meteorological factor")</f>
        <v>A prediction method of improving the short -term load based on the impact of a meteorological factor</v>
      </c>
    </row>
    <row r="2925" spans="1:5" ht="15" x14ac:dyDescent="0.25">
      <c r="A2925" s="5" t="s">
        <v>8240</v>
      </c>
      <c r="B2925" s="6" t="s">
        <v>8241</v>
      </c>
      <c r="C2925" s="3" t="str">
        <f ca="1">IFERROR(__xludf.DUMMYFUNCTION("GOOGLETRANSLATE(B2925,""auto"",""en"")"),"The present invention disclosed a method of gesture image recognition, including the following steps: A. Image extraction and preservation; B. Image effectiveness recognition; C. The image results of the image recognition based on step B are determined wh"&amp;"ether it is a gesture action; D. The judgment result is the result of judgment. The image of the gesture action is identified and treated; the image of the judgment result is not the automatic filtering and delete of the image of the gesture; E. Gesture a"&amp;"ction information comparison; the specific meaning of judging the gesture action information, F, output specific operation instructions, and the use of the gesture image recognition method of the present invention use The camera collects human gesture inf"&amp;"ormation and conducts two levels of judgment. The effectiveness of the first level judgment gesture, the specific function of the second level judgment gesture, the invalidation of the first level judgment will not enter the second level judgment. Rate, i"&amp;"ncrease the speed of gesture control, give people a better experience.")</f>
        <v>The present invention disclosed a method of gesture image recognition, including the following steps: A. Image extraction and preservation; B. Image effectiveness recognition; C. The image results of the image recognition based on step B are determined whether it is a gesture action; D. The judgment result is the result of judgment. The image of the gesture action is identified and treated; the image of the judgment result is not the automatic filtering and delete of the image of the gesture; E. Gesture action information comparison; the specific meaning of judging the gesture action information, F, output specific operation instructions, and the use of the gesture image recognition method of the present invention use The camera collects human gesture information and conducts two levels of judgment. The effectiveness of the first level judgment gesture, the specific function of the second level judgment gesture, the invalidation of the first level judgment will not enter the second level judgment. Rate, increase the speed of gesture control, give people a better experience.</v>
      </c>
      <c r="D2925" s="6" t="s">
        <v>8242</v>
      </c>
      <c r="E2925" s="4" t="str">
        <f ca="1">IFERROR(__xludf.DUMMYFUNCTION("GOOGLETRANSLATE(D2925,""auto"",""en"")"),"One gesture image recognition method")</f>
        <v>One gesture image recognition method</v>
      </c>
    </row>
    <row r="2926" spans="1:5" ht="15" x14ac:dyDescent="0.25">
      <c r="A2926" s="5" t="s">
        <v>8243</v>
      </c>
      <c r="B2926" s="6" t="s">
        <v>8244</v>
      </c>
      <c r="C2926" s="3" t="str">
        <f ca="1">IFERROR(__xludf.DUMMYFUNCTION("GOOGLETRANSLATE(B2926,""auto"",""en"")"),"The present invention disclosed a VR human -machine interaction all -around sports and Wanxiang treadmill. This is a kind of human user can achieve in the physical space. Set (such as VR handle gloves) and other devices can be used in the intelligent spac"&amp;"e in the virtual space, intelligent VR human -machine interaction devices that are free to walk, omnidirectional and various operations. Including the five major subsystems: rotary running table, gait adaptive treadmill, human movement cantilever, 褓 armor"&amp;", control system (including algorithm). And other VR glasses and computer systems are not belonging to this item, but also closely related. This hair is a genetic with a high degree of integration of fitness exercise and VR games, providing a fundamental "&amp;"path to the people who love to play games and do not love sports. So as to solve the problem of a large group of hidden dangers for the society.")</f>
        <v>The present invention disclosed a VR human -machine interaction all -around sports and Wanxiang treadmill. This is a kind of human user can achieve in the physical space. Set (such as VR handle gloves) and other devices can be used in the intelligent space in the virtual space, intelligent VR human -machine interaction devices that are free to walk, omnidirectional and various operations. Including the five major subsystems: rotary running table, gait adaptive treadmill, human movement cantilever, 褓 armor, control system (including algorithm). And other VR glasses and computer systems are not belonging to this item, but also closely related. This hair is a genetic with a high degree of integration of fitness exercise and VR games, providing a fundamental path to the people who love to play games and do not love sports. So as to solve the problem of a large group of hidden dangers for the society.</v>
      </c>
      <c r="D2926" s="6" t="s">
        <v>8245</v>
      </c>
      <c r="E2926" s="4" t="str">
        <f ca="1">IFERROR(__xludf.DUMMYFUNCTION("GOOGLETRANSLATE(D2926,""auto"",""en"")"),"A VR human -machine interaction all -around motion and Wanxiang treadmill")</f>
        <v>A VR human -machine interaction all -around motion and Wanxiang treadmill</v>
      </c>
    </row>
    <row r="2927" spans="1:5" ht="15" x14ac:dyDescent="0.25">
      <c r="A2927" s="5" t="s">
        <v>8246</v>
      </c>
      <c r="B2927" s="6" t="s">
        <v>8247</v>
      </c>
      <c r="C2927" s="3" t="str">
        <f ca="1">IFERROR(__xludf.DUMMYFUNCTION("GOOGLETRANSLATE(B2927,""auto"",""en"")"),"The present invention disclosed a type of e -sports quiz interactive system based on the Internet of Things live broadcast technology, including system applications, login modules, selection modules, interactive modules, and feedback modules. Select e -sp"&amp;"orts games to watch in the system application. You can accurately find your favorite e -sports games to watch through the first -level e -sports game classification selection and sub -layer live title. The results of the game predict, and in the process o"&amp;"f watching the live broadcast of e -sports, to support the party that predicts the victory by sending barrage, gifts, etc., thereby adding the fun of watching the e -sports competition. Work and send gifts for the correct user to quiz. This session furthe"&amp;"r increases the fun and interaction used in watching the e -sports competition, and can attract users to watch the e -sports competition.")</f>
        <v>The present invention disclosed a type of e -sports quiz interactive system based on the Internet of Things live broadcast technology, including system applications, login modules, selection modules, interactive modules, and feedback modules. Select e -sports games to watch in the system application. You can accurately find your favorite e -sports games to watch through the first -level e -sports game classification selection and sub -layer live title. The results of the game predict, and in the process of watching the live broadcast of e -sports, to support the party that predicts the victory by sending barrage, gifts, etc., thereby adding the fun of watching the e -sports competition. Work and send gifts for the correct user to quiz. This session further increases the fun and interaction used in watching the e -sports competition, and can attract users to watch the e -sports competition.</v>
      </c>
      <c r="D2927" s="6" t="s">
        <v>8248</v>
      </c>
      <c r="E2927" s="4" t="str">
        <f ca="1">IFERROR(__xludf.DUMMYFUNCTION("GOOGLETRANSLATE(D2927,""auto"",""en"")"),"An interactive system based on the Internet of Things guessing guessing")</f>
        <v>An interactive system based on the Internet of Things guessing guessing</v>
      </c>
    </row>
    <row r="2928" spans="1:5" ht="15" x14ac:dyDescent="0.25">
      <c r="A2928" s="5" t="s">
        <v>8249</v>
      </c>
      <c r="B2928" s="6" t="s">
        <v>8250</v>
      </c>
      <c r="C2928" s="3" t="str">
        <f ca="1">IFERROR(__xludf.DUMMYFUNCTION("GOOGLETRANSLATE(B2928,""auto"",""en"")"),"This utility model discloses a VR human -machine interaction all -around sports and universal treadmill, including the base, which is set with arc guide rails and circular follow -up protection nets on the inside of the base. Outside, the upper end of the"&amp;" arc guide rail slides is installed with a guide rail slider. The upper end of the guide rail slider is fixed with a load -load turntable. Center point. This practical new model is born with a highly integrated fitness and VR games, providing a fundamenta"&amp;"l way to improve physical health and quality of life for people who love to play games and do not like sports. So as to solve the problem of a large group of hidden dangers for the society.")</f>
        <v>This utility model discloses a VR human -machine interaction all -around sports and universal treadmill, including the base, which is set with arc guide rails and circular follow -up protection nets on the inside of the base. Outside, the upper end of the arc guide rail slides is installed with a guide rail slider. The upper end of the guide rail slider is fixed with a load -load turntable. Center point. This practical new model is born with a highly integrated fitness and VR games, providing a fundamental way to improve physical health and quality of life for people who love to play games and do not like sports. So as to solve the problem of a large group of hidden dangers for the society.</v>
      </c>
      <c r="D2928" s="6" t="s">
        <v>8245</v>
      </c>
      <c r="E2928" s="4" t="str">
        <f ca="1">IFERROR(__xludf.DUMMYFUNCTION("GOOGLETRANSLATE(D2928,""auto"",""en"")"),"A VR human -machine interaction all -around motion and Wanxiang treadmill")</f>
        <v>A VR human -machine interaction all -around motion and Wanxiang treadmill</v>
      </c>
    </row>
    <row r="2929" spans="1:5" ht="15" x14ac:dyDescent="0.25">
      <c r="A2929" s="5" t="s">
        <v>8251</v>
      </c>
      <c r="B2929" s="6" t="s">
        <v>8252</v>
      </c>
      <c r="C2929" s="3" t="str">
        <f ca="1">IFERROR(__xludf.DUMMYFUNCTION("GOOGLETRANSLATE(B2929,""auto"",""en"")"),"A real -time interactive treadmill based on VR technology, including treadmill body, VR equipment and control system. The treadmill body and VR device are connected through the control system. The control system is set by the controller and the speed conn"&amp;"ected to the controller Module, wireless transmission module, voice acquisition module, voice recognition module, interactive controller and wind speed humidity module composition, speed setting module is used to set the running speed of the treadmill bod"&amp;"y. Information transmission, the voice acquisition module is connected to the controller through the voice recognition module, and the interactive controller and wind speed and humidity module are connected to the controller. , Protective device and mobil"&amp;"e institutions. The structure of the invention is reasonable and easy to use. The mobile wheel can automatically reset and facilitate movement.")</f>
        <v>A real -time interactive treadmill based on VR technology, including treadmill body, VR equipment and control system. The treadmill body and VR device are connected through the control system. The control system is set by the controller and the speed connected to the controller Module, wireless transmission module, voice acquisition module, voice recognition module, interactive controller and wind speed humidity module composition, speed setting module is used to set the running speed of the treadmill body. Information transmission, the voice acquisition module is connected to the controller through the voice recognition module, and the interactive controller and wind speed and humidity module are connected to the controller. , Protective device and mobile institutions. The structure of the invention is reasonable and easy to use. The mobile wheel can automatically reset and facilitate movement.</v>
      </c>
      <c r="D2929" s="6" t="s">
        <v>8253</v>
      </c>
      <c r="E2929" s="4" t="str">
        <f ca="1">IFERROR(__xludf.DUMMYFUNCTION("GOOGLETRANSLATE(D2929,""auto"",""en"")"),"A real -time interactive treadmill based on VR technology")</f>
        <v>A real -time interactive treadmill based on VR technology</v>
      </c>
    </row>
    <row r="2930" spans="1:5" ht="15" x14ac:dyDescent="0.25">
      <c r="A2930" s="5" t="s">
        <v>8254</v>
      </c>
      <c r="B2930" s="6" t="s">
        <v>8255</v>
      </c>
      <c r="C2930" s="3" t="str">
        <f ca="1">IFERROR(__xludf.DUMMYFUNCTION("GOOGLETRANSLATE(B2930,""auto"",""en"")"),"A method for automatic training neural networks, including the training device with the first communication device and perception recorder, continuously records the environment near the first object; The message includes the information about the location"&amp;" and type of the object; the record of the time corresponding to the time to receive the message from the object; ; According to the information type received in the object, the type of identification is classified; and the classification records are used"&amp;" to train the neural network.")</f>
        <v>A method for automatic training neural networks, including the training device with the first communication device and perception recorder, continuously records the environment near the first object; The message includes the information about the location and type of the object; the record of the time corresponding to the time to receive the message from the object; ; According to the information type received in the object, the type of identification is classified; and the classification records are used to train the neural network.</v>
      </c>
      <c r="D2930" s="6" t="s">
        <v>8256</v>
      </c>
      <c r="E2930" s="4" t="str">
        <f ca="1">IFERROR(__xludf.DUMMYFUNCTION("GOOGLETRANSLATE(D2930,""auto"",""en"")"),"Systems and methods used to automatically train neural networks")</f>
        <v>Systems and methods used to automatically train neural networks</v>
      </c>
    </row>
    <row r="2931" spans="1:5" ht="15" x14ac:dyDescent="0.25">
      <c r="A2931" s="5" t="s">
        <v>8257</v>
      </c>
      <c r="B2931" s="6" t="s">
        <v>8258</v>
      </c>
      <c r="C2931" s="3" t="str">
        <f ca="1">IFERROR(__xludf.DUMMYFUNCTION("GOOGLETRANSLATE(B2931,""auto"",""en"")"),"This utility model belongs to the field of fitness equipment technology, which involves a multi -functional bodies based on the Internet of Things, including the base, including the base. The base is equipped with a T -shaped groove. There are convex stri"&amp;"ps, threading short rods on the lower side of the convex strip, rotating the thread short rod with rubber pads, and two limited blocks welded on the other side of the skateboard. Symmetric has two long rods, the upper side of the long rod is equipped with"&amp;" a threaded long hole, and the long rod is connected to the adjustment rod through the threaded long hole. There are connecting connections on the upper side of the rod, the connecting parts are connected with a crossbar, a bracket on both sides of the ho"&amp;"rizontal rod, a assembly slot on the upper side of the bracket, an infrared transmitter on the left side, the right side is equipped with infrared rays Receive device.")</f>
        <v>This utility model belongs to the field of fitness equipment technology, which involves a multi -functional bodies based on the Internet of Things, including the base, including the base. The base is equipped with a T -shaped groove. There are convex strips, threading short rods on the lower side of the convex strip, rotating the thread short rod with rubber pads, and two limited blocks welded on the other side of the skateboard. Symmetric has two long rods, the upper side of the long rod is equipped with a threaded long hole, and the long rod is connected to the adjustment rod through the threaded long hole. There are connecting connections on the upper side of the rod, the connecting parts are connected with a crossbar, a bracket on both sides of the horizontal rod, a assembly slot on the upper side of the bracket, an infrared transmitter on the left side, the right side is equipped with infrared rays Receive device.</v>
      </c>
      <c r="D2931" s="6" t="s">
        <v>8259</v>
      </c>
      <c r="E2931" s="4" t="str">
        <f ca="1">IFERROR(__xludf.DUMMYFUNCTION("GOOGLETRANSLATE(D2931,""auto"",""en"")"),"A multi -functional traction of the Internet of Things upper fitness equipment")</f>
        <v>A multi -functional traction of the Internet of Things upper fitness equipment</v>
      </c>
    </row>
    <row r="2932" spans="1:5" ht="15" x14ac:dyDescent="0.25">
      <c r="A2932" s="5" t="s">
        <v>8260</v>
      </c>
      <c r="B2932" s="6" t="s">
        <v>8261</v>
      </c>
      <c r="C2932" s="3" t="str">
        <f ca="1">IFERROR(__xludf.DUMMYFUNCTION("GOOGLETRANSLATE(B2932,""auto"",""en"")"),"The present invention disclosed a type of VR human -machine interaction human movement cantilever, including rotary running table, lifting column base, lifting column, lifting cantilever base and lifting drive motor. The lift column base, which is connect"&amp;"ed above the lift column base with a lifting column. There is a lifting cantilever base above the lifting column, which is set on one side of the lifting cantilever base. The other side is connected to the pitch shaft angle sensor, which is set with a pit"&amp;"ch shaft inside the sensor of the pitch shaft angle. The structure of the present invention is simple and novel. The primary function is to locate and restrict the center of gravity of the human body, so that the human body's center of gravity is always k"&amp;"ept on the original point on the horizontal plane during exercise, so as to provide the core basic function of the human body travel forward and left and right. Obtain horizontal movement function through a treadmill and a turning reset device.")</f>
        <v>The present invention disclosed a type of VR human -machine interaction human movement cantilever, including rotary running table, lifting column base, lifting column, lifting cantilever base and lifting drive motor. The lift column base, which is connected above the lift column base with a lifting column. There is a lifting cantilever base above the lifting column, which is set on one side of the lifting cantilever base. The other side is connected to the pitch shaft angle sensor, which is set with a pitch shaft inside the sensor of the pitch shaft angle. The structure of the present invention is simple and novel. The primary function is to locate and restrict the center of gravity of the human body, so that the human body's center of gravity is always kept on the original point on the horizontal plane during exercise, so as to provide the core basic function of the human body travel forward and left and right. Obtain horizontal movement function through a treadmill and a turning reset device.</v>
      </c>
      <c r="D2932" s="6" t="s">
        <v>8262</v>
      </c>
      <c r="E2932" s="4" t="str">
        <f ca="1">IFERROR(__xludf.DUMMYFUNCTION("GOOGLETRANSLATE(D2932,""auto"",""en"")"),"A VR human -machine interaction human movement position cantilever")</f>
        <v>A VR human -machine interaction human movement position cantilever</v>
      </c>
    </row>
    <row r="2933" spans="1:5" ht="15" x14ac:dyDescent="0.25">
      <c r="A2933" s="5" t="s">
        <v>8263</v>
      </c>
      <c r="B2933" s="6" t="s">
        <v>8264</v>
      </c>
      <c r="C2933" s="3" t="str">
        <f ca="1">IFERROR(__xludf.DUMMYFUNCTION("GOOGLETRANSLATE(B2933,""auto"",""en"")"),"A magnetic intelligent combination toy, including the subject and multiple external components assembled to the subject. Users can control the actions of toys through intelligent mobile devices to play close or long -distance hitting or game games with ot"&amp;"hers. During the game, if any external component on the toy subject falls off due to the collision, the toy will be able to change the action mode and upload the information to the cloud platform through intelligent mobile devices. Therefore , Therefore p"&amp;"roduce the effect of long -distance interactive games or competitions.")</f>
        <v>A magnetic intelligent combination toy, including the subject and multiple external components assembled to the subject. Users can control the actions of toys through intelligent mobile devices to play close or long -distance hitting or game games with others. During the game, if any external component on the toy subject falls off due to the collision, the toy will be able to change the action mode and upload the information to the cloud platform through intelligent mobile devices. Therefore , Therefore produce the effect of long -distance interactive games or competitions.</v>
      </c>
      <c r="D2933" s="6" t="s">
        <v>8265</v>
      </c>
      <c r="E2933" s="4" t="str">
        <f ca="1">IFERROR(__xludf.DUMMYFUNCTION("GOOGLETRANSLATE(D2933,""auto"",""en"")"),"IoT interactive magnetic intelligent modular modular toys")</f>
        <v>IoT interactive magnetic intelligent modular modular toys</v>
      </c>
    </row>
    <row r="2934" spans="1:5" ht="15" x14ac:dyDescent="0.25">
      <c r="A2934" s="5" t="s">
        <v>8266</v>
      </c>
      <c r="B2934" s="6" t="s">
        <v>8267</v>
      </c>
      <c r="C2934" s="3" t="str">
        <f ca="1">IFERROR(__xludf.DUMMYFUNCTION("GOOGLETRANSLATE(B2934,""auto"",""en"")"),"The invention uses smartphone applications. Only the photos taken by deep learning algorithms can notify the calorie value of the food through deep learning algorithms. Through the application, it can consume various information of calories and provide of"&amp;"fline networks. This is a business model that provides services in the fitness club. More specifically, it uses the deep learning algorithm of big data to find the same type and quantity of food that customers want to eat and enter it in advance. By displ"&amp;"aying the value of a calorie, it informed the calories of the food it eats, calculating the calories consumed and consumed. If it exceeds the average weight index, it provides warning information and various information that can consume calories, that is "&amp;"Data and programs are applied as applications. If you want to exercise offline, the information you want is to provide the sports center and gym, location, price, etc. that are closest to your current position through your smartphone's GPS. If you want to"&amp;" exercise or receive private training at the fitness club, register the service in advance through the contract, and connect the location of the fitness club service to the closest place to your current location for reservation and exercise. Provide infor"&amp;"mation calorie management system so that you can do this.")</f>
        <v>The invention uses smartphone applications. Only the photos taken by deep learning algorithms can notify the calorie value of the food through deep learning algorithms. Through the application, it can consume various information of calories and provide offline networks. This is a business model that provides services in the fitness club. More specifically, it uses the deep learning algorithm of big data to find the same type and quantity of food that customers want to eat and enter it in advance. By displaying the value of a calorie, it informed the calories of the food it eats, calculating the calories consumed and consumed. If it exceeds the average weight index, it provides warning information and various information that can consume calories, that is Data and programs are applied as applications. If you want to exercise offline, the information you want is to provide the sports center and gym, location, price, etc. that are closest to your current position through your smartphone's GPS. If you want to exercise or receive private training at the fitness club, register the service in advance through the contract, and connect the location of the fitness club service to the closest place to your current location for reservation and exercise. Provide information calorie management system so that you can do this.</v>
      </c>
      <c r="D2934" s="6" t="s">
        <v>8268</v>
      </c>
      <c r="E2934" s="4" t="str">
        <f ca="1">IFERROR(__xludf.DUMMYFUNCTION("GOOGLETRANSLATE(D2934,""auto"",""en"")"),"Use photo -based object recognition technology for calorie measurement and consumption online to offline calories management system")</f>
        <v>Use photo -based object recognition technology for calorie measurement and consumption online to offline calories management system</v>
      </c>
    </row>
    <row r="2935" spans="1:5" ht="15" x14ac:dyDescent="0.25">
      <c r="A2935" s="5" t="s">
        <v>8269</v>
      </c>
      <c r="B2935" s="6" t="s">
        <v>8270</v>
      </c>
      <c r="C2935" s="3" t="str">
        <f ca="1">IFERROR(__xludf.DUMMYFUNCTION("GOOGLETRANSLATE(B2935,""auto"",""en"")"),"The present invention has disclosed a running rhythm training equipment, including host, data cable, light belt, battery, user, human -computer interaction terminal, server, heart rate table, LED lights and flexible wires. The beneficial effect of the pre"&amp;"sent invention is: the design of the running rhythm training equipment is reasonable. The LED lights on the lamp band adopt the direction of the self -running direction of the user's running. The flowing speed and lighting order guidance and training user"&amp;"s' running rhythm of the lighting lights. During the entire running process, by controlling the light order, direction, and interval time of the light band The luminous color of the LED lamp can be changed with the scheme set by the user. The luminous col"&amp;"or of the LED lamp on the lamp can change to enhance the fun of training. Automatic adjustment.")</f>
        <v>The present invention has disclosed a running rhythm training equipment, including host, data cable, light belt, battery, user, human -computer interaction terminal, server, heart rate table, LED lights and flexible wires. The beneficial effect of the present invention is: the design of the running rhythm training equipment is reasonable. The LED lights on the lamp band adopt the direction of the self -running direction of the user's running. The flowing speed and lighting order guidance and training users' running rhythm of the lighting lights. During the entire running process, by controlling the light order, direction, and interval time of the light band The luminous color of the LED lamp can be changed with the scheme set by the user. The luminous color of the LED lamp on the lamp can change to enhance the fun of training. Automatic adjustment.</v>
      </c>
      <c r="D2935" s="6" t="s">
        <v>8271</v>
      </c>
      <c r="E2935" s="4" t="str">
        <f ca="1">IFERROR(__xludf.DUMMYFUNCTION("GOOGLETRANSLATE(D2935,""auto"",""en"")"),"A running rhythm training equipment")</f>
        <v>A running rhythm training equipment</v>
      </c>
    </row>
    <row r="2936" spans="1:5" ht="15" x14ac:dyDescent="0.25">
      <c r="A2936" s="5" t="s">
        <v>8272</v>
      </c>
      <c r="B2936" s="6" t="s">
        <v>8273</v>
      </c>
      <c r="C2936" s="3" t="str">
        <f ca="1">IFERROR(__xludf.DUMMYFUNCTION("GOOGLETRANSLATE(B2936,""auto"",""en"")"),"This utility model discloses a running rhythm training equipment, including host, data cable, light belt, battery, user, human -computer interaction terminal, server, heart rate table, LED light and flexible wires. The useful new type of beneficial effect"&amp;" is: the design of the running rhythm training equipment is reasonable. The LED lights on the lamp band adopt the direction of the self -running direction of the user's running. Guide and train users' running rhythm at the running rhythm of the flow of li"&amp;"ghts and lighting in the order of lighting. During the entire running process, by controlling the light order, direction, and interval time of the light band In the rhythm, the luminous color of the LED lamp can be changed with the scheme set by the user."&amp;" The luminous color of the LED lamp on the lights can be changed to enhance the fun of training. Automatically adjust high and low.")</f>
        <v>This utility model discloses a running rhythm training equipment, including host, data cable, light belt, battery, user, human -computer interaction terminal, server, heart rate table, LED light and flexible wires. The useful new type of beneficial effect is: the design of the running rhythm training equipment is reasonable. The LED lights on the lamp band adopt the direction of the self -running direction of the user's running. Guide and train users' running rhythm at the running rhythm of the flow of lights and lighting in the order of lighting. During the entire running process, by controlling the light order, direction, and interval time of the light band In the rhythm, the luminous color of the LED lamp can be changed with the scheme set by the user. The luminous color of the LED lamp on the lights can be changed to enhance the fun of training. Automatically adjust high and low.</v>
      </c>
      <c r="D2936" s="6" t="s">
        <v>8271</v>
      </c>
      <c r="E2936" s="4" t="str">
        <f ca="1">IFERROR(__xludf.DUMMYFUNCTION("GOOGLETRANSLATE(D2936,""auto"",""en"")"),"A running rhythm training equipment")</f>
        <v>A running rhythm training equipment</v>
      </c>
    </row>
    <row r="2937" spans="1:5" ht="15" x14ac:dyDescent="0.25">
      <c r="A2937" s="5" t="s">
        <v>8274</v>
      </c>
      <c r="B2937" s="6" t="s">
        <v>8275</v>
      </c>
      <c r="C2937" s="3" t="str">
        <f ca="1">IFERROR(__xludf.DUMMYFUNCTION("GOOGLETRANSLATE(B2937,""auto"",""en"")"),"1. The name of the product in this exterior: cabinet operation platform.
 2. The purpose of designing products in this exterior: The design of the product in this exterior is used as an interactive device for human -computer to verify and identify the r"&amp;"elevant documents, materials, etc. of the archives, and feedback according to the information entered by the user.
 3. The design points of the design of the product in this exterior: lies in the shape of the product.
 4. It can most indicate pictures"&amp;" or photos of design design in this appearance: stereo.")</f>
        <v>1. The name of the product in this exterior: cabinet operation platform.
 2. The purpose of designing products in this exterior: The design of the product in this exterior is used as an interactive device for human -computer to verify and identify the relevant documents, materials, etc. of the archives, and feedback according to the information entered by the user.
 3. The design points of the design of the product in this exterior: lies in the shape of the product.
 4. It can most indicate pictures or photos of design design in this appearance: stereo.</v>
      </c>
      <c r="D2937" s="6" t="s">
        <v>8276</v>
      </c>
      <c r="E2937" s="4" t="str">
        <f ca="1">IFERROR(__xludf.DUMMYFUNCTION("GOOGLETRANSLATE(D2937,""auto"",""en"")"),"Cabinet operation platform")</f>
        <v>Cabinet operation platform</v>
      </c>
    </row>
    <row r="2938" spans="1:5" ht="15" x14ac:dyDescent="0.25">
      <c r="A2938" s="5" t="s">
        <v>8277</v>
      </c>
      <c r="B2938" s="6" t="s">
        <v>8278</v>
      </c>
      <c r="C2938" s="3" t="str">
        <f ca="1">IFERROR(__xludf.DUMMYFUNCTION("GOOGLETRANSLATE(B2938,""auto"",""en"")"),"The present invention involves the field of intelligent robots, providing a kind of intelligent ball pick -up robot based on a omnidirectional blessing wheel, including badminton pickup structure, full -faced blessing chassis structure, badminton collecti"&amp;"on barrel and electrical control system. The structure includes four blessings and chassis, and the four blessings are connected to the chassis. There is a step -by -motor installed at the connection. The bracket is connected below the chassis. The invent"&amp;"ion implements path planning and identification function of badminton through infrared identification and camera, and uses a omnidirectional blessing wheel to achieve a walking task of the specified path to solve the problem of collecting badminton in bad"&amp;"minton venues, which greatly improves the efficiency of badminton picking.")</f>
        <v>The present invention involves the field of intelligent robots, providing a kind of intelligent ball pick -up robot based on a omnidirectional blessing wheel, including badminton pickup structure, full -faced blessing chassis structure, badminton collection barrel and electrical control system. The structure includes four blessings and chassis, and the four blessings are connected to the chassis. There is a step -by -motor installed at the connection. The bracket is connected below the chassis. The invention implements path planning and identification function of badminton through infrared identification and camera, and uses a omnidirectional blessing wheel to achieve a walking task of the specified path to solve the problem of collecting badminton in badminton venues, which greatly improves the efficiency of badminton picking.</v>
      </c>
      <c r="D2938" s="6" t="s">
        <v>8279</v>
      </c>
      <c r="E2938" s="4" t="str">
        <f ca="1">IFERROR(__xludf.DUMMYFUNCTION("GOOGLETRANSLATE(D2938,""auto"",""en"")"),"Based on the Badford Badfire Intelligent Picking Robot")</f>
        <v>Based on the Badford Badfire Intelligent Picking Robot</v>
      </c>
    </row>
    <row r="2939" spans="1:5" ht="15" x14ac:dyDescent="0.25">
      <c r="A2939" s="5" t="s">
        <v>8280</v>
      </c>
      <c r="B2939" s="6" t="s">
        <v>8281</v>
      </c>
      <c r="C2939" s="3" t="str">
        <f ca="1">IFERROR(__xludf.DUMMYFUNCTION("GOOGLETRANSLATE(B2939,""auto"",""en"")"),"The present invention has disclosed a kind of bodybuilding and flexible training auxiliary control system, which involves the field of sports training equipment technology. It mainly solves the problem of high safety performance of existing bodybuilding a"&amp;"nd flexible training auxiliary devices. The module, analog system, response module, and voice simulation system, the information collection module is connected to the A/D conversion module and the human -computer interaction module, which is connected to "&amp;"the A/D conversion module to the control module, which is characterized by the control of the control. The modules are connected to the D/A conversion module and the human -computer interaction module; the bodybuilding and flexible training auxiliary devi"&amp;"ce includes the fitness training auxiliary control system, including the auxiliary control control system, which includes a high degree of intelligence, high safety performance, and being able to be injured in trainers. The first time is feeded to the bac"&amp;"kground management office, and the trainer training videos are stored for the trainer to play back, which can adapt to the trainers of different heights and adjust it for convenience.")</f>
        <v>The present invention has disclosed a kind of bodybuilding and flexible training auxiliary control system, which involves the field of sports training equipment technology. It mainly solves the problem of high safety performance of existing bodybuilding and flexible training auxiliary devices. The module, analog system, response module, and voice simulation system, the information collection module is connected to the A/D conversion module and the human -computer interaction module, which is connected to the A/D conversion module to the control module, which is characterized by the control of the control. The modules are connected to the D/A conversion module and the human -computer interaction module; the bodybuilding and flexible training auxiliary device includes the fitness training auxiliary control system, including the auxiliary control control system, which includes a high degree of intelligence, high safety performance, and being able to be injured in trainers. The first time is feeded to the background management office, and the trainer training videos are stored for the trainer to play back, which can adapt to the trainers of different heights and adjust it for convenience.</v>
      </c>
      <c r="D2939" s="6" t="s">
        <v>8282</v>
      </c>
      <c r="E2939" s="4" t="str">
        <f ca="1">IFERROR(__xludf.DUMMYFUNCTION("GOOGLETRANSLATE(D2939,""auto"",""en"")"),"A kind of bodybuilding and flexible training auxiliary device")</f>
        <v>A kind of bodybuilding and flexible training auxiliary device</v>
      </c>
    </row>
    <row r="2940" spans="1:5" ht="15" x14ac:dyDescent="0.25">
      <c r="A2940" s="5" t="s">
        <v>8283</v>
      </c>
      <c r="B2940" s="6" t="s">
        <v>8284</v>
      </c>
      <c r="C2940" s="3" t="str">
        <f ca="1">IFERROR(__xludf.DUMMYFUNCTION("GOOGLETRANSLATE(B2940,""auto"",""en"")"),"The purpose of the present invention is to provide an indoor aerobic motion device with data analysis function. It will not be boring due to changing the scene during indoor exercises, which is expected to improve the body.
  A sensor (100), shooting de"&amp;"vice (20), input device for input user self -evaluating data (9), for learning units for machine learning for sports, appearance data and self -assessment data, external reproduction videos, external reproduction videos, external reproduction videos, exte"&amp;"rnal reproduction videos, and external reproduction videos, and external reproduction videos, external reproduction videos, external reproduction videos, and external reproduction videos, and external reproduction videos, and external reproduction videos,"&amp;" external reproduction videos. And/or alternative place, provide a display control unit for control zoom and perform various processing identification units, and use the practice data as a teacher data, and the numerical model obtained through machine lea"&amp;"rning teachers is currently run, which is the user running. As a result, the playback speed of external videos and the playback speed of external videos are synchronized with the user's running speed. This is an external video of the external video based "&amp;"on the external video analysis based on the user GPS data. It is characterized by shrinking.
  【Selection Figure】 Figure 1")</f>
        <v>The purpose of the present invention is to provide an indoor aerobic motion device with data analysis function. It will not be boring due to changing the scene during indoor exercises, which is expected to improve the body.
  A sensor (100), shooting device (20), input device for input user self -evaluating data (9), for learning units for machine learning for sports, appearance data and self -assessment data, external reproduction videos, external reproduction videos, external reproduction videos, external reproduction videos, and external reproduction videos, and external reproduction videos, external reproduction videos, external reproduction videos, and external reproduction videos, and external reproduction videos, and external reproduction videos, external reproduction videos. And/or alternative place, provide a display control unit for control zoom and perform various processing identification units, and use the practice data as a teacher data, and the numerical model obtained through machine learning teachers is currently run, which is the user running. As a result, the playback speed of external videos and the playback speed of external videos are synchronized with the user's running speed. This is an external video of the external video based on the external video analysis based on the user GPS data. It is characterized by shrinking.
  【Selection Figure】 Figure 1</v>
      </c>
      <c r="D2940" s="6" t="s">
        <v>8285</v>
      </c>
      <c r="E2940" s="4" t="str">
        <f ca="1">IFERROR(__xludf.DUMMYFUNCTION("GOOGLETRANSLATE(D2940,""auto"",""en"")"),"Indoor aerobic exercise equipment, sports system")</f>
        <v>Indoor aerobic exercise equipment, sports system</v>
      </c>
    </row>
    <row r="2941" spans="1:5" ht="15" x14ac:dyDescent="0.25">
      <c r="A2941" s="5" t="s">
        <v>8286</v>
      </c>
      <c r="B2941" s="6" t="s">
        <v>6926</v>
      </c>
      <c r="C2941" s="3" t="str">
        <f ca="1">IFERROR(__xludf.DUMMYFUNCTION("GOOGLETRANSLATE(B2941,""auto"",""en"")"),"Describe a method for training characters for game. This method includes a display of one or more scenes of the game. One or more scenes include characters and virtual objects. This method also includes input data that receives the interaction between the"&amp;" user to control the role and the virtual object, and analyzes the input data to identify the interaction mode of the character in one or more scenes. The interactive mode defines an artificial intelligence (AI) model associated with the user account of t"&amp;"he user's user account. This method includes enabling characters to interact with new scenarios based on AI models. This method includes the interaction between tracking characters and new scenes to perform additional training of the AI ​​model.")</f>
        <v>Describe a method for training characters for game. This method includes a display of one or more scenes of the game. One or more scenes include characters and virtual objects. This method also includes input data that receives the interaction between the user to control the role and the virtual object, and analyzes the input data to identify the interaction mode of the character in one or more scenes. The interactive mode defines an artificial intelligence (AI) model associated with the user account of the user's user account. This method includes enabling characters to interact with new scenarios based on AI models. This method includes the interaction between tracking characters and new scenes to perform additional training of the AI ​​model.</v>
      </c>
      <c r="D2941" s="6" t="s">
        <v>6927</v>
      </c>
      <c r="E2941" s="4" t="str">
        <f ca="1">IFERROR(__xludf.DUMMYFUNCTION("GOOGLETRANSLATE(D2941,""auto"",""en"")"),"Systems and methods for training for artificial intelligence models for competitions")</f>
        <v>Systems and methods for training for artificial intelligence models for competitions</v>
      </c>
    </row>
    <row r="2942" spans="1:5" ht="15" x14ac:dyDescent="0.25">
      <c r="A2942" s="5" t="s">
        <v>8287</v>
      </c>
      <c r="B2942" s="6" t="s">
        <v>8288</v>
      </c>
      <c r="C2942" s="3" t="str">
        <f ca="1">IFERROR(__xludf.DUMMYFUNCTION("GOOGLETRANSLATE(B2942,""auto"",""en"")"),"In computer games, it is a system that enables game users to meet and interact in the same environment. Its feature is; user interface allows the team to enter their information to identify themselves and their players, game users and team officials enter"&amp;" them If you want to participate in the date and time of the training competition, game users and team officials can see the training time and arrange the team (40) mobile client (10), the web client (20), and/or desktop client at any time (30) Database ("&amp;"50) records of the data entered through the user interface (40) database, encounter, success, matching and tracking database (50) it contains a machine learning and artificial intelligence unit (60), which can be based on the data User interface (40) prop"&amp;"oses team and player suggestions.")</f>
        <v>In computer games, it is a system that enables game users to meet and interact in the same environment. Its feature is; user interface allows the team to enter their information to identify themselves and their players, game users and team officials enter them If you want to participate in the date and time of the training competition, game users and team officials can see the training time and arrange the team (40) mobile client (10), the web client (20), and/or desktop client at any time (30) Database (50) records of the data entered through the user interface (40) database, encounter, success, matching and tracking database (50) it contains a machine learning and artificial intelligence unit (60), which can be based on the data User interface (40) proposes team and player suggestions.</v>
      </c>
      <c r="D2942" s="6" t="s">
        <v>8289</v>
      </c>
      <c r="E2942" s="4" t="str">
        <f ca="1">IFERROR(__xludf.DUMMYFUNCTION("GOOGLETRANSLATE(D2942,""auto"",""en"")"),"Systems and methods that gather game users in the same environment in computer games")</f>
        <v>Systems and methods that gather game users in the same environment in computer games</v>
      </c>
    </row>
    <row r="2943" spans="1:5" ht="15" x14ac:dyDescent="0.25">
      <c r="A2943" s="5" t="s">
        <v>8290</v>
      </c>
      <c r="B2943" s="6" t="s">
        <v>8291</v>
      </c>
      <c r="C2943" s="3" t="str">
        <f ca="1">IFERROR(__xludf.DUMMYFUNCTION("GOOGLETRANSLATE(B2943,""auto"",""en"")"),"IoT-ITPC-System provides car owners with protection and solutions. When the engine starts, the system automatically starts and checks whether the tires are punching. If the tire is punching, it will keep it in a constant pressure so that the driver can ma"&amp;"nage the tire without repairing the tires and just manage the tires without repairing the tires. To the destination. It also contains a button that allows the driver to send a notice to the nearest service center to inform the complete status of your tire"&amp;"s and need to be repaired or completely replaced. When the driver starts to drive, it measures all 2 tires (suitable for 2-W), 4 tires (suitable for 4-W), 6 tires, etc., and distribute air according to its speed to obtain maximum grip. The vehicle is driv"&amp;"ing at high speed, and many drivers cannot drive the car effectively at this speed, which will cause accidents. Therefore, the experienced driver cannot make full use of the tire's air pressure, so that the tire is kept a little inflated, thereby increasi"&amp;"ng the grip of the road to the road This leads to better treatment. Therefore, the present invention will pump the air to the tire in real time according to the speed of the car. If the tire is pierced on the way, it will emit the indicators about the con"&amp;"dition of the tire and help keep the tire pressure until you reach your destination. It also contains a help button. If you have to repair or completely replace the tire, the button will remind the condition of the tire to the nearest service center. In a"&amp;"ddition, the present invention is a experienced driver, and if you want to manually adjust the pressure of the tire, you can complete it through the display on the car dashboard. The system uses nitrogen to maintain the temperature of the tire, and due to"&amp;" light weight, it can increase driving mileage. It can also be used as normal items such as tires or football such as conventional pumping to pumping other vehicles.")</f>
        <v>IoT-ITPC-System provides car owners with protection and solutions. When the engine starts, the system automatically starts and checks whether the tires are punching. If the tire is punching, it will keep it in a constant pressure so that the driver can manage the tire without repairing the tires and just manage the tires without repairing the tires. To the destination. It also contains a button that allows the driver to send a notice to the nearest service center to inform the complete status of your tires and need to be repaired or completely replaced. When the driver starts to drive, it measures all 2 tires (suitable for 2-W), 4 tires (suitable for 4-W), 6 tires, etc., and distribute air according to its speed to obtain maximum grip. The vehicle is driving at high speed, and many drivers cannot drive the car effectively at this speed, which will cause accidents. Therefore, the experienced driver cannot make full use of the tire's air pressure, so that the tire is kept a little inflated, thereby increasing the grip of the road to the road This leads to better treatment. Therefore, the present invention will pump the air to the tire in real time according to the speed of the car. If the tire is pierced on the way, it will emit the indicators about the condition of the tire and help keep the tire pressure until you reach your destination. It also contains a help button. If you have to repair or completely replace the tire, the button will remind the condition of the tire to the nearest service center. In addition, the present invention is a experienced driver, and if you want to manually adjust the pressure of the tire, you can complete it through the display on the car dashboard. The system uses nitrogen to maintain the temperature of the tire, and due to light weight, it can increase driving mileage. It can also be used as normal items such as tires or football such as conventional pumping to pumping other vehicles.</v>
      </c>
      <c r="D2943" s="6" t="s">
        <v>8292</v>
      </c>
      <c r="E2943" s="4" t="str">
        <f ca="1">IFERROR(__xludf.DUMMYFUNCTION("GOOGLETRANSLATE(D2943,""auto"",""en"")"),"IOT-ITPC-SYSTEM: Intelligent tire pressure control system with IoT technology.")</f>
        <v>IOT-ITPC-SYSTEM: Intelligent tire pressure control system with IoT technology.</v>
      </c>
    </row>
    <row r="2944" spans="1:5" ht="15" x14ac:dyDescent="0.25">
      <c r="A2944" s="5" t="s">
        <v>8293</v>
      </c>
      <c r="B2944" s="6" t="s">
        <v>8294</v>
      </c>
      <c r="C2944" s="3" t="str">
        <f ca="1">IFERROR(__xludf.DUMMYFUNCTION("GOOGLETRANSLATE(B2944,""auto"",""en"")"),"The present invention involves a tactile feedback training system for physical training, including: multiple tactile feeders, located on the trainer's training clothing, used to send vibration or electronic stimulus signals to the trainee; Connect to the "&amp;"tactile feeder; the central controller is connected to the second communication module to send the touch feedback control signal; the first communication module, connect to the central controller; Send a control signal to the tactile feeder through the fi"&amp;"rst communication module, and the sensor data issued by the receiving tactile feeder; artificial intelligence software connects to the central controller to send control signals to the touch feeder, receive and process the tactile feeder Sensor data sent."&amp;" The invention is used to realize the tactile tips of the trainees in remote courses or training, and you can conduct remote teaching through the Internet, and you can also achieve intelligent training without coaches through artificial intelligence softw"&amp;"are.")</f>
        <v>The present invention involves a tactile feedback training system for physical training, including: multiple tactile feeders, located on the trainer's training clothing, used to send vibration or electronic stimulus signals to the trainee; Connect to the tactile feeder; the central controller is connected to the second communication module to send the touch feedback control signal; the first communication module, connect to the central controller; Send a control signal to the tactile feeder through the first communication module, and the sensor data issued by the receiving tactile feeder; artificial intelligence software connects to the central controller to send control signals to the touch feeder, receive and process the tactile feeder Sensor data sent. The invention is used to realize the tactile tips of the trainees in remote courses or training, and you can conduct remote teaching through the Internet, and you can also achieve intelligent training without coaches through artificial intelligence software.</v>
      </c>
      <c r="D2944" s="6" t="s">
        <v>8295</v>
      </c>
      <c r="E2944" s="4" t="str">
        <f ca="1">IFERROR(__xludf.DUMMYFUNCTION("GOOGLETRANSLATE(D2944,""auto"",""en"")"),"A tactile feedback training system for physical training")</f>
        <v>A tactile feedback training system for physical training</v>
      </c>
    </row>
    <row r="2945" spans="1:5" ht="15" x14ac:dyDescent="0.25">
      <c r="A2945" s="5" t="s">
        <v>8296</v>
      </c>
      <c r="B2945" s="6" t="s">
        <v>8297</v>
      </c>
      <c r="C2945" s="3" t="str">
        <f ca="1">IFERROR(__xludf.DUMMYFUNCTION("GOOGLETRANSLATE(B2945,""auto"",""en"")"),"In the present invention, when athletes play tennis in virtual tennis simulation methods such as screen tennis systems, even if the virtual opponent athletes on the image hit the virtual ball under various circumstances and conditions through artificial i"&amp;"ntelligence, virtuality is installed on the screen by installing it through the screen. The kicker on the back makes the sport of the ball correspond to the launch of the ball. The virtual tennis game combined with the video with the real situation is rea"&amp;"lized as a dynamic and realistic game like a real tennis. It can increase the focus and interest of players for virtual tennis games.")</f>
        <v>In the present invention, when athletes play tennis in virtual tennis simulation methods such as screen tennis systems, even if the virtual opponent athletes on the image hit the virtual ball under various circumstances and conditions through artificial intelligence, virtuality is installed on the screen by installing it through the screen. The kicker on the back makes the sport of the ball correspond to the launch of the ball. The virtual tennis game combined with the video with the real situation is realized as a dynamic and realistic game like a real tennis. It can increase the focus and interest of players for virtual tennis games.</v>
      </c>
      <c r="D2945" s="6" t="s">
        <v>8298</v>
      </c>
      <c r="E2945" s="4" t="str">
        <f ca="1">IFERROR(__xludf.DUMMYFUNCTION("GOOGLETRANSLATE(D2945,""auto"",""en"")"),"Virtual tennis simulation system and its control method")</f>
        <v>Virtual tennis simulation system and its control method</v>
      </c>
    </row>
    <row r="2946" spans="1:5" ht="15" x14ac:dyDescent="0.25">
      <c r="A2946" s="5" t="s">
        <v>8299</v>
      </c>
      <c r="B2946" s="6" t="s">
        <v>8300</v>
      </c>
      <c r="C2946" s="3" t="str">
        <f ca="1">IFERROR(__xludf.DUMMYFUNCTION("GOOGLETRANSLATE(B2946,""auto"",""en"")"),"The present invention is to practice tennis or play tennis in various ways, and realize the artificial intelligence of senior virtual opponents that are difficult to achieve by the traditional screen tennis system mentioned above, as well as realistic ral"&amp;"ly. The purpose of the present invention is to provide a method of implementing a virtual tennis simulation tennis artificial intelligence implementation method, and the virtual tennis simulation system and method using this method.")</f>
        <v>The present invention is to practice tennis or play tennis in various ways, and realize the artificial intelligence of senior virtual opponents that are difficult to achieve by the traditional screen tennis system mentioned above, as well as realistic rally. The purpose of the present invention is to provide a method of implementing a virtual tennis simulation tennis artificial intelligence implementation method, and the virtual tennis simulation system and method using this method.</v>
      </c>
      <c r="D2946" s="6" t="s">
        <v>8301</v>
      </c>
      <c r="E2946" s="4" t="str">
        <f ca="1">IFERROR(__xludf.DUMMYFUNCTION("GOOGLETRANSLATE(D2946,""auto"",""en"")"),"An artificial intelligence implementation method for virtual tennis simulation, the virtual tennis simulation system and method of using this method, and the recording medium that can be read by the computing device that records the method")</f>
        <v>An artificial intelligence implementation method for virtual tennis simulation, the virtual tennis simulation system and method of using this method, and the recording medium that can be read by the computing device that records the method</v>
      </c>
    </row>
    <row r="2947" spans="1:5" ht="15" x14ac:dyDescent="0.25">
      <c r="A2947" s="5" t="s">
        <v>8302</v>
      </c>
      <c r="B2947" s="6" t="s">
        <v>8303</v>
      </c>
      <c r="C2947" s="3" t="str">
        <f ca="1">IFERROR(__xludf.DUMMYFUNCTION("GOOGLETRANSLATE(B2947,""auto"",""en"")"),"This utility model involves a smart tennis pick -up robot based on STM32 and Raspberry Pi. The formation of the mobile robot is formed by sheet metal combination. The driving method used is a three -wheeled independent drive. One omnipotent wheel. The rob"&amp;"ot is divided into chassis motion control parts, visual processing parts, and tennis collection parts. The chassis control part is located at the bottom layer of the robot, including servo drives, batteries, main control boards, Bluetooth modules, two ult"&amp;"rasonic obstacle -free sensors, and three hollow cup DC servo motors. The visual processing part is composed of Raspberry Pi and camera. Tennis collection parts include tennis collection structure and capacity boxes. This robot is positive hexagonal and t"&amp;"hree omnidirectional wheels are installed at 120 degrees. The STM32 controllers interact with the servo drive through the CAN bus through the CAN bus, so that the robot can be fully moved and the radius of the rotation is zero. At the same time The image "&amp;"recognition program and camera based on the HAAR -class coupling classifier can accurately identify the target location of the tennis. The entire patented design is exquisite and scientific, which solves the problem of time and effort of artificial tennis"&amp;".")</f>
        <v>This utility model involves a smart tennis pick -up robot based on STM32 and Raspberry Pi. The formation of the mobile robot is formed by sheet metal combination. The driving method used is a three -wheeled independent drive. One omnipotent wheel. The robot is divided into chassis motion control parts, visual processing parts, and tennis collection parts. The chassis control part is located at the bottom layer of the robot, including servo drives, batteries, main control boards, Bluetooth modules, two ultrasonic obstacle -free sensors, and three hollow cup DC servo motors. The visual processing part is composed of Raspberry Pi and camera. Tennis collection parts include tennis collection structure and capacity boxes. This robot is positive hexagonal and three omnidirectional wheels are installed at 120 degrees. The STM32 controllers interact with the servo drive through the CAN bus through the CAN bus, so that the robot can be fully moved and the radius of the rotation is zero. At the same time The image recognition program and camera based on the HAAR -class coupling classifier can accurately identify the target location of the tennis. The entire patented design is exquisite and scientific, which solves the problem of time and effort of artificial tennis.</v>
      </c>
      <c r="D2947" s="6" t="s">
        <v>8304</v>
      </c>
      <c r="E2947" s="4" t="str">
        <f ca="1">IFERROR(__xludf.DUMMYFUNCTION("GOOGLETRANSLATE(D2947,""auto"",""en"")"),"A smart tennis pick -up robot based on STM32 and Raspberry Pi")</f>
        <v>A smart tennis pick -up robot based on STM32 and Raspberry Pi</v>
      </c>
    </row>
    <row r="2948" spans="1:5" ht="15" x14ac:dyDescent="0.25">
      <c r="A2948" s="5" t="s">
        <v>8305</v>
      </c>
      <c r="B2948" s="6" t="s">
        <v>8306</v>
      </c>
      <c r="C2948" s="3" t="str">
        <f ca="1">IFERROR(__xludf.DUMMYFUNCTION("GOOGLETRANSLATE(B2948,""auto"",""en"")"),"The present invention disclosed a swimming posture recognition method based on convolutional neural networks, including: installing the nine -axis sensor on the wrist, recording the acceleration and angle speed signals of the wrist when swimming Segmentat"&amp;"ion; pre -processing signal obtained by the segmentation, design the convolutional neural network model structure; train the parameters of the convolutional neural network model, and input the pre -processing signal into the trained convolutional neural n"&amp;"etwork model to determine Signal classification results; according to the results of the signal classification, determine the interval of the signal fragment of the unit length to be taken out in the signal to be tested, and repeat the above steps. The in"&amp;"vention has modified the convolutional neural network structure, which reduces its demand for computing resources, so that it can efficiently and accurately identify the swimming position on smart wearable devices.")</f>
        <v>The present invention disclosed a swimming posture recognition method based on convolutional neural networks, including: installing the nine -axis sensor on the wrist, recording the acceleration and angle speed signals of the wrist when swimming Segmentation; pre -processing signal obtained by the segmentation, design the convolutional neural network model structure; train the parameters of the convolutional neural network model, and input the pre -processing signal into the trained convolutional neural network model to determine Signal classification results; according to the results of the signal classification, determine the interval of the signal fragment of the unit length to be taken out in the signal to be tested, and repeat the above steps. The invention has modified the convolutional neural network structure, which reduces its demand for computing resources, so that it can efficiently and accurately identify the swimming position on smart wearable devices.</v>
      </c>
      <c r="D2948" s="6" t="s">
        <v>8307</v>
      </c>
      <c r="E2948" s="4" t="str">
        <f ca="1">IFERROR(__xludf.DUMMYFUNCTION("GOOGLETRANSLATE(D2948,""auto"",""en"")"),"A method of swimming posture based on convolutional neural networks")</f>
        <v>A method of swimming posture based on convolutional neural networks</v>
      </c>
    </row>
    <row r="2949" spans="1:5" ht="15" x14ac:dyDescent="0.25">
      <c r="A2949" s="5" t="s">
        <v>8308</v>
      </c>
      <c r="B2949" s="6" t="s">
        <v>8309</v>
      </c>
      <c r="C2949" s="3" t="str">
        <f ca="1">IFERROR(__xludf.DUMMYFUNCTION("GOOGLETRANSLATE(B2949,""auto"",""en"")"),"The present invention realizes the senior artificial intelligence of the virtual opponent that is difficult to achieve the above -mentioned traditional screen tennis system, and allows players to practice tennis or play tennis in various cases. A method f"&amp;"or achieving tennis artificial intelligence virtual tennis simulation and the virtual tennis simulation system and methods using this method can realize realistic rally.
  【Selection Figure】 Figure 1")</f>
        <v>The present invention realizes the senior artificial intelligence of the virtual opponent that is difficult to achieve the above -mentioned traditional screen tennis system, and allows players to practice tennis or play tennis in various cases. A method for achieving tennis artificial intelligence virtual tennis simulation and the virtual tennis simulation system and methods using this method can realize realistic rally.
  【Selection Figure】 Figure 1</v>
      </c>
      <c r="D2949" s="6" t="s">
        <v>8310</v>
      </c>
      <c r="E2949" s="4" t="str">
        <f ca="1">IFERROR(__xludf.DUMMYFUNCTION("GOOGLETRANSLATE(D2949,""auto"",""en"")"),"Tennis artificial intelligence implementation method, virtual tennis simulation system, and method used for virtual tennis simulation")</f>
        <v>Tennis artificial intelligence implementation method, virtual tennis simulation system, and method used for virtual tennis simulation</v>
      </c>
    </row>
    <row r="2950" spans="1:5" ht="15" x14ac:dyDescent="0.25">
      <c r="A2950" s="5" t="s">
        <v>8311</v>
      </c>
      <c r="B2950" s="6" t="s">
        <v>8312</v>
      </c>
      <c r="C2950" s="3" t="str">
        <f ca="1">IFERROR(__xludf.DUMMYFUNCTION("GOOGLETRANSLATE(B2950,""auto"",""en"")"),"1. The name of the product in appearance: for the graphical user interface for smart watches.
 2. Design product use: Smart watch is used for communication and/or running programs.
 3. Design of the design of the product in appearance: lies in the gra"&amp;"phic user interface.
 4. Pictures or photos that can most indicate design points: Design 1 interface zoom in the picture.
 5. Specify design 1 is the basic design.
 6. The purpose of graphical user interface: Design 1: Display calendar/dating inform"&amp;"ation design 2: Show and tracking activities/fitness information design 3: Display and track heart/health information design 4: Show World Time/Clock Information Design 5: Display Entertainment Entertainment /Music/Media Information Design 6: Show and tra"&amp;"ck weather information.
 7. Human -computer interaction method of graphical user interface: display screens of smart watches through contact (including touch, light strike, or click), smart watches through operation (including moving or lifting smart wa"&amp;"tches, or pressing the crown on the smart watch or pressing the smart watch Button), activate the sensor in smart watches (including voice control sensors, optical sensors, face recognition sensors), and/or other gestures that affect smart watches.
 8. "&amp;"Smart watches are conventional, so other views are omitted.")</f>
        <v>1. The name of the product in appearance: for the graphical user interface for smart watches.
 2. Design product use: Smart watch is used for communication and/or running programs.
 3. Design of the design of the product in appearance: lies in the graphic user interface.
 4. Pictures or photos that can most indicate design points: Design 1 interface zoom in the picture.
 5. Specify design 1 is the basic design.
 6. The purpose of graphical user interface: Design 1: Display calendar/dating information design 2: Show and tracking activities/fitness information design 3: Display and track heart/health information design 4: Show World Time/Clock Information Design 5: Display Entertainment Entertainment /Music/Media Information Design 6: Show and track weather information.
 7. Human -computer interaction method of graphical user interface: display screens of smart watches through contact (including touch, light strike, or click), smart watches through operation (including moving or lifting smart watches, or pressing the crown on the smart watch or pressing the smart watch Button), activate the sensor in smart watches (including voice control sensors, optical sensors, face recognition sensors), and/or other gestures that affect smart watches.
 8. Smart watches are conventional, so other views are omitted.</v>
      </c>
      <c r="D2950" s="6" t="s">
        <v>8313</v>
      </c>
      <c r="E2950" s="4" t="str">
        <f ca="1">IFERROR(__xludf.DUMMYFUNCTION("GOOGLETRANSLATE(D2950,""auto"",""en"")"),"Graphical user interface for smart watches")</f>
        <v>Graphical user interface for smart watches</v>
      </c>
    </row>
    <row r="2951" spans="1:5" ht="15" x14ac:dyDescent="0.25">
      <c r="A2951" s="5" t="s">
        <v>8314</v>
      </c>
      <c r="B2951" s="6" t="s">
        <v>8315</v>
      </c>
      <c r="C2951" s="3" t="str">
        <f ca="1">IFERROR(__xludf.DUMMYFUNCTION("GOOGLETRANSLATE(B2951,""auto"",""en"")"),"1. Design product name: Smart watch graphics user interface.
 2. Design products in this exterior: communication, running procedures.
 3. Design of the design of the product in appearance: lies in the graphic user interface.
 4. Pictures or photos t"&amp;"hat can most indicate design points: Design 1 interface zoom in the picture.
 5. Specify design 1 is the basic design.
 6. The purpose of graphic user interface: Show tracking monitoring calendar/dating (design 1. Design 2, Design 5, Design 7), weathe"&amp;"r (such as ultraviolet line index, air quality index, temperature, sunrise and sunset) (Design 1‑ Design 8 ), Time/world clock/timer/alarm clock (Design 1‑ Design 5, Design 7‑ Design 8), Sun Day (Design 1, Design 4, Design 8), Astronomical (Design 1, Desi"&amp;"gn 4, Design 7, Design 7, Design 8) Activity (Design 1, Design 6 活动 Design 8), Moon phase (design 2, design 4, design 7), power (design 2), contact person (design 3, design 8), heart/health, fitness, fitness, fitness, fitness, fitness, fitness, fitness, f"&amp;"itness, fitness, fitness, fitness, fitness, fitness, fitness, fitness, fitness, fitness, fitness, fitness, fitness, fitness, fitness, fitness, fitness, fitness, exercise Entertainment/music/media, focus/breathing (design 6).
 7.图形用户界面的人机交互方式：接触（含触、击或点）屏"&amp;"、操作手表（含移或抬、按表冠或按钮）、激活传感器（含声控、光学、识脸传感器）、 And/or other gestures affecting smart watches.
 8. Smart watches are conventional design, omitting other views.")</f>
        <v>1. Design product name: Smart watch graphics user interface.
 2. Design products in this exterior: communication, running procedures.
 3. Design of the design of the product in appearance: lies in the graphic user interface.
 4. Pictures or photos that can most indicate design points: Design 1 interface zoom in the picture.
 5. Specify design 1 is the basic design.
 6. The purpose of graphic user interface: Show tracking monitoring calendar/dating (design 1. Design 2, Design 5, Design 7), weather (such as ultraviolet line index, air quality index, temperature, sunrise and sunset) (Design 1‑ Design 8 ), Time/world clock/timer/alarm clock (Design 1‑ Design 5, Design 7‑ Design 8), Sun Day (Design 1, Design 4, Design 8), Astronomical (Design 1, Design 4, Design 7, Design 7, Design 8) Activity (Design 1, Design 6 活动 Design 8), Moon phase (design 2, design 4, design 7), power (design 2), contact person (design 3, design 8), heart/health, fitness, fitness, fitness, fitness, fitness, fitness, fitness, fitness, fitness, fitness, fitness, fitness, fitness, fitness, fitness, fitness, fitness, fitness, fitness, fitness, fitness, fitness, fitness, fitness, fitness, exercise Entertainment/music/media, focus/breathing (design 6).
 7.图形用户界面的人机交互方式：接触（含触、击或点）屏、操作手表（含移或抬、按表冠或按钮）、激活传感器（含声控、光学、识脸传感器）、 And/or other gestures affecting smart watches.
 8. Smart watches are conventional design, omitting other views.</v>
      </c>
      <c r="D2951" s="6" t="s">
        <v>8316</v>
      </c>
      <c r="E2951" s="4" t="str">
        <f ca="1">IFERROR(__xludf.DUMMYFUNCTION("GOOGLETRANSLATE(D2951,""auto"",""en"")"),"Smart watch graphical user interface")</f>
        <v>Smart watch graphical user interface</v>
      </c>
    </row>
    <row r="2952" spans="1:5" ht="15" x14ac:dyDescent="0.25">
      <c r="A2952" s="5" t="s">
        <v>8317</v>
      </c>
      <c r="B2952" s="6" t="s">
        <v>8318</v>
      </c>
      <c r="C2952" s="3" t="str">
        <f ca="1">IFERROR(__xludf.DUMMYFUNCTION("GOOGLETRANSLATE(B2952,""auto"",""en"")"),"1. The name of the product in appearance: for the graphical user interface for smart watches.
 2. Design product use: Smart watch is used for communication and/or running programs.
 3. Design of the design of the product in appearance: lies in the gra"&amp;"phic user interface.
 4. Pictures or photos that can most indicate design points: Design 1 interface zoom in the picture.
 5. Specify design 1 is the basic design.
 6. The purpose of graphic user interface: Design 1: Display and track weather (inclu"&amp;"ding ultraviolet index, temperature), activity/fitness, time information; Design 2: battery power, time, calendar/dating, weather/astronomical information (including moon phase phase (monthly phase phase phase phase phase phase phase phase phase phase pha"&amp;"se phase phase -you -monthly phase -phase information ); Design 3: Weather (including UV index, temperature), time and timing information (including timer, world time/clock).
 7. Human -computer interaction method of graphical user interface: display sc"&amp;"reens of smart watches through contact (including touch, light strike, or click), smart watches through operation (including moving or lifting smart watches, or pressing the crown on the smart watch or pressing the smart watch Button), activate the sensor"&amp;" in smart watches (including voice control sensors, optical sensors, face recognition sensors), and/or other gestures that affect smart watches.
 8. Smart watches are conventional design and omit other views of smart watches.")</f>
        <v>1. The name of the product in appearance: for the graphical user interface for smart watches.
 2. Design product use: Smart watch is used for communication and/or running programs.
 3. Design of the design of the product in appearance: lies in the graphic user interface.
 4. Pictures or photos that can most indicate design points: Design 1 interface zoom in the picture.
 5. Specify design 1 is the basic design.
 6. The purpose of graphic user interface: Design 1: Display and track weather (including ultraviolet index, temperature), activity/fitness, time information; Design 2: battery power, time, calendar/dating, weather/astronomical information (including moon phase phase (monthly phase phase phase phase phase phase phase phase phase phase phase phase phase -you -monthly phase -phase information ); Design 3: Weather (including UV index, temperature), time and timing information (including timer, world time/clock).
 7. Human -computer interaction method of graphical user interface: display screens of smart watches through contact (including touch, light strike, or click), smart watches through operation (including moving or lifting smart watches, or pressing the crown on the smart watch or pressing the smart watch Button), activate the sensor in smart watches (including voice control sensors, optical sensors, face recognition sensors), and/or other gestures that affect smart watches.
 8. Smart watches are conventional design and omit other views of smart watches.</v>
      </c>
      <c r="D2952" s="6" t="s">
        <v>8313</v>
      </c>
      <c r="E2952" s="4" t="str">
        <f ca="1">IFERROR(__xludf.DUMMYFUNCTION("GOOGLETRANSLATE(D2952,""auto"",""en"")"),"Graphical user interface for smart watches")</f>
        <v>Graphical user interface for smart watches</v>
      </c>
    </row>
    <row r="2953" spans="1:5" ht="15" x14ac:dyDescent="0.25">
      <c r="A2953" s="5" t="s">
        <v>8319</v>
      </c>
      <c r="B2953" s="6" t="s">
        <v>8320</v>
      </c>
      <c r="C2953" s="3" t="str">
        <f ca="1">IFERROR(__xludf.DUMMYFUNCTION("GOOGLETRANSLATE(B2953,""auto"",""en"")"),"1. The name of the product in appearance: for the graphical user interface for smart watches.
 2. Design products in appearance: used for communication and/or running programs.
 3. Design of the design of the product in appearance: lies in the graphic"&amp;" user interface.
 4. Pictures or photos that can most indicate design points: Design 1 interface zoom in the picture.
 5. Specify design 1 is the basic design.
 6. The purpose of the graphical user interface: Design 1: Display tracking weather (such"&amp;" as temperature) Design 2: Display tracking weather (such as UV index) Design 3: Display tracking weather (such as air quality index) Design 4: Show navigation/positioning (such Panpan) Design 5: Display signal strength design 6: Show tracking battery pow"&amp;"er design 7: Display tracking chronograph design 8: Display calendar design 9: Display tracking fitness.
 7.图形用户界面的人机交互方式：通过接触（包括触摸、轻击或点击）显示屏、操作智能手表（包括移动或抬起，或按下冠或按钮）、激活传感器（包括声控传感器、 Optical sensor, face recognition sensor) and/or other influence gestures"&amp;".")</f>
        <v>1. The name of the product in appearance: for the graphical user interface for smart watches.
 2. Design products in appearance: used for communication and/or running programs.
 3. Design of the design of the product in appearance: lies in the graphic user interface.
 4. Pictures or photos that can most indicate design points: Design 1 interface zoom in the picture.
 5. Specify design 1 is the basic design.
 6. The purpose of the graphical user interface: Design 1: Display tracking weather (such as temperature) Design 2: Display tracking weather (such as UV index) Design 3: Display tracking weather (such as air quality index) Design 4: Show navigation/positioning (such Panpan) Design 5: Display signal strength design 6: Show tracking battery power design 7: Display tracking chronograph design 8: Display calendar design 9: Display tracking fitness.
 7.图形用户界面的人机交互方式：通过接触（包括触摸、轻击或点击）显示屏、操作智能手表（包括移动或抬起，或按下冠或按钮）、激活传感器（包括声控传感器、 Optical sensor, face recognition sensor) and/or other influence gestures.</v>
      </c>
      <c r="D2953" s="6" t="s">
        <v>8313</v>
      </c>
      <c r="E2953" s="4" t="str">
        <f ca="1">IFERROR(__xludf.DUMMYFUNCTION("GOOGLETRANSLATE(D2953,""auto"",""en"")"),"Graphical user interface for smart watches")</f>
        <v>Graphical user interface for smart watches</v>
      </c>
    </row>
    <row r="2954" spans="1:5" ht="15" x14ac:dyDescent="0.25">
      <c r="A2954" s="5" t="s">
        <v>8321</v>
      </c>
      <c r="B2954" s="6" t="s">
        <v>8322</v>
      </c>
      <c r="C2954" s="3" t="str">
        <f ca="1">IFERROR(__xludf.DUMMYFUNCTION("GOOGLETRANSLATE(B2954,""auto"",""en"")"),"The present invention involves a swimming training equipment, including processors, human -computer interaction agencies, drivers, deceleration agencies, and traction institutions; the driver and human -machine interaction mechanism are connected to the p"&amp;"rocessor, respectively; ; Users set training information through human -computer interaction institutions; processors control the driver's operation according to the training information control mechanism; the driver mechanism drives the traction institut"&amp;"ion through a reducer to drive the athletes for swimming training by the traction institution. Using this technical solution, you can apply resistance to the athletes to increase resistance to the athletes through the traction agency, so as to exercise th"&amp;"e strength of the athletes. You can also drag the athletes in the same way as the athlete swimming direction as the athlete swimming direction, thereby improving the athletes to improve the athletes, thereby improving Athlete's perception of speed, and th"&amp;"is technical solution is carried out in the water during the training of the athletes, and can exercise all the muscle groups used during swimming.")</f>
        <v>The present invention involves a swimming training equipment, including processors, human -computer interaction agencies, drivers, deceleration agencies, and traction institutions; the driver and human -machine interaction mechanism are connected to the processor, respectively; ; Users set training information through human -computer interaction institutions; processors control the driver's operation according to the training information control mechanism; the driver mechanism drives the traction institution through a reducer to drive the athletes for swimming training by the traction institution. Using this technical solution, you can apply resistance to the athletes to increase resistance to the athletes through the traction agency, so as to exercise the strength of the athletes. You can also drag the athletes in the same way as the athlete swimming direction as the athlete swimming direction, thereby improving the athletes to improve the athletes, thereby improving Athlete's perception of speed, and this technical solution is carried out in the water during the training of the athletes, and can exercise all the muscle groups used during swimming.</v>
      </c>
      <c r="D2954" s="6" t="s">
        <v>8323</v>
      </c>
      <c r="E2954" s="4" t="str">
        <f ca="1">IFERROR(__xludf.DUMMYFUNCTION("GOOGLETRANSLATE(D2954,""auto"",""en"")"),"Swimming training equipment")</f>
        <v>Swimming training equipment</v>
      </c>
    </row>
    <row r="2955" spans="1:5" ht="15" x14ac:dyDescent="0.25">
      <c r="A2955" s="5" t="s">
        <v>8324</v>
      </c>
      <c r="B2955" s="6" t="s">
        <v>8325</v>
      </c>
      <c r="C2955" s="3" t="str">
        <f ca="1">IFERROR(__xludf.DUMMYFUNCTION("GOOGLETRANSLATE(B2955,""auto"",""en"")"),"This utility model involves a swimming training equipment, including processors, human -computer interaction agencies, drivers, deceleration agencies, and traction institutions; driving institutions and human -machine interaction agencies are connected to"&amp;" the processor respectively; Connected; users set training information through human -computer interaction institutions; processors control the driver's operation according to the training information control mechanism; the drive mechanism drives the oper"&amp;"ation of the traction institution through a deceleration mechanism, so that the traction institution will drive the athletes to perform swimming training. Using this technical solution, you can apply resistance to the athletes to increase resistance to th"&amp;"e athletes through the traction agency, so as to exercise the strength of the athletes. You can also drag the athletes in the same way as the athlete swimming direction as the athlete swimming direction, thereby improving the athletes to improve the athle"&amp;"tes, thereby improving Athlete's perception of speed, and this technical solution is carried out in the water during the training of the athletes, and can exercise all the muscle groups used during swimming.")</f>
        <v>This utility model involves a swimming training equipment, including processors, human -computer interaction agencies, drivers, deceleration agencies, and traction institutions; driving institutions and human -machine interaction agencies are connected to the processor respectively; Connected; users set training information through human -computer interaction institutions; processors control the driver's operation according to the training information control mechanism; the drive mechanism drives the operation of the traction institution through a deceleration mechanism, so that the traction institution will drive the athletes to perform swimming training. Using this technical solution, you can apply resistance to the athletes to increase resistance to the athletes through the traction agency, so as to exercise the strength of the athletes. You can also drag the athletes in the same way as the athlete swimming direction as the athlete swimming direction, thereby improving the athletes to improve the athletes, thereby improving Athlete's perception of speed, and this technical solution is carried out in the water during the training of the athletes, and can exercise all the muscle groups used during swimming.</v>
      </c>
      <c r="D2955" s="6" t="s">
        <v>8323</v>
      </c>
      <c r="E2955" s="4" t="str">
        <f ca="1">IFERROR(__xludf.DUMMYFUNCTION("GOOGLETRANSLATE(D2955,""auto"",""en"")"),"Swimming training equipment")</f>
        <v>Swimming training equipment</v>
      </c>
    </row>
    <row r="2956" spans="1:5" ht="15" x14ac:dyDescent="0.25">
      <c r="A2956" s="5" t="s">
        <v>8326</v>
      </c>
      <c r="B2956" s="6" t="s">
        <v>8327</v>
      </c>
      <c r="C2956" s="3" t="str">
        <f ca="1">IFERROR(__xludf.DUMMYFUNCTION("GOOGLETRANSLATE(B2956,""auto"",""en"")"),"An IoT mobile multi -channel health game dynamic bicycle equipped with a instrument panel integrated light device. In the IoT (Internet of Things) mobile multi -entry healthy game dynamic bicycle (100), the instrument board integrates a beam projector, wh"&amp;"ich is used to hold and support the user's handlebars (110)); Fixed in the center of the handlebar rod 110 and set up towards the user; the dismantled place is installed on the instrument stand bracket 120, controlling the strength of the user's movement,"&amp;" displaying the adjustment of the post -adjustment and the user's movement information, and the exercise strength and sports information of the movement. Applicated to the Internet of Things mobile access to health games. Integrated light beam projector 1"&amp;"30, used for real -time transmission to mobile device 200, so that they are configured to receive images and output it to the front end or receive it from the mobile device 200 to receive the Internet of Things to access the health game image and output i"&amp;"t to the front end front end Essence According to the above configuration, the dynamic bicycle is installed where there is no separate TV or instrument panel integrated light beam projector display, and you can enjoy a large screen fitness game without in"&amp;"stalling a separate TV or display.")</f>
        <v>An IoT mobile multi -channel health game dynamic bicycle equipped with a instrument panel integrated light device. In the IoT (Internet of Things) mobile multi -entry healthy game dynamic bicycle (100), the instrument board integrates a beam projector, which is used to hold and support the user's handlebars (110)); Fixed in the center of the handlebar rod 110 and set up towards the user; the dismantled place is installed on the instrument stand bracket 120, controlling the strength of the user's movement, displaying the adjustment of the post -adjustment and the user's movement information, and the exercise strength and sports information of the movement. Applicated to the Internet of Things mobile access to health games. Integrated light beam projector 130, used for real -time transmission to mobile device 200, so that they are configured to receive images and output it to the front end or receive it from the mobile device 200 to receive the Internet of Things to access the health game image and output it to the front end front end Essence According to the above configuration, the dynamic bicycle is installed where there is no separate TV or instrument panel integrated light beam projector display, and you can enjoy a large screen fitness game without installing a separate TV or display.</v>
      </c>
      <c r="D2956" s="6" t="s">
        <v>8328</v>
      </c>
      <c r="E2956" s="4" t="str">
        <f ca="1">IFERROR(__xludf.DUMMYFUNCTION("GOOGLETRANSLATE(D2956,""auto"",""en"")"),"The IoT mobile with a instrument board integrated light beam slotting instrument more access to healthy games dynamic bicycles")</f>
        <v>The IoT mobile with a instrument board integrated light beam slotting instrument more access to healthy games dynamic bicycles</v>
      </c>
    </row>
    <row r="2957" spans="1:5" ht="15" x14ac:dyDescent="0.25">
      <c r="A2957" s="5" t="s">
        <v>8329</v>
      </c>
      <c r="B2957" s="6" t="s">
        <v>8330</v>
      </c>
      <c r="C2957" s="3" t="str">
        <f ca="1">IFERROR(__xludf.DUMMYFUNCTION("GOOGLETRANSLATE(B2957,""auto"",""en"")"),"The present invention disclose a scientific fitness guidance system and method based on the knowledge map. Among them, the system includes sensor modules, fitness information resources acquisition modules, knowledge map modules, fitness knowledge bases, i"&amp;"ntelligent analysis modules, fitness guidance modules, user interaction modules. The method includes: a method of constructing a scientific fitness guidance system and a method for users to obtain scientific fitness guidance. The scientific fitness guidan"&amp;"ce system and method provided by the present invention adopt a variety of methods to obtain fitness information resources, and use the knowledge map technology to build a fitness knowledge base to improve the accuracy of fitness guidance and the effective"&amp;" utilization rate of resources. At the same time, multiple artificial intelligence algorithms are used to improve The accuracy of fitness data analysis.")</f>
        <v>The present invention disclose a scientific fitness guidance system and method based on the knowledge map. Among them, the system includes sensor modules, fitness information resources acquisition modules, knowledge map modules, fitness knowledge bases, intelligent analysis modules, fitness guidance modules, user interaction modules. The method includes: a method of constructing a scientific fitness guidance system and a method for users to obtain scientific fitness guidance. The scientific fitness guidance system and method provided by the present invention adopt a variety of methods to obtain fitness information resources, and use the knowledge map technology to build a fitness knowledge base to improve the accuracy of fitness guidance and the effective utilization rate of resources. At the same time, multiple artificial intelligence algorithms are used to improve The accuracy of fitness data analysis.</v>
      </c>
      <c r="D2957" s="6" t="s">
        <v>8331</v>
      </c>
      <c r="E2957" s="4" t="str">
        <f ca="1">IFERROR(__xludf.DUMMYFUNCTION("GOOGLETRANSLATE(D2957,""auto"",""en"")"),"A scientific fitness guidance system and method based on knowledge map")</f>
        <v>A scientific fitness guidance system and method based on knowledge map</v>
      </c>
    </row>
    <row r="2958" spans="1:5" ht="15" x14ac:dyDescent="0.25">
      <c r="A2958" s="5" t="s">
        <v>8332</v>
      </c>
      <c r="B2958" s="6" t="s">
        <v>8333</v>
      </c>
      <c r="C2958" s="3" t="str">
        <f ca="1">IFERROR(__xludf.DUMMYFUNCTION("GOOGLETRANSLATE(B2958,""auto"",""en"")"),"The present invention disclosed an auxiliary guidance system based on artificial intelligence -based sports training movement. Its sports status collection module is sticked through the water colloid dressing layer in a large arm and/or/or wrist and/or th"&amp;"e back and/or fingers. The gesture of/or/or the thighs and/or waist posture of/or/or the thighs and/or waist gathers the motion status data of the human body during training. It is sent to the monitoring terminal through the wireless communication module;"&amp;" Judgment module, action guidance suggestion output module, data processing module, human -machine operation module and central processor. The present invention realizes the automatic judgment and guidance of sports training movements. Based on the self -"&amp;"made posture collection and stickers, the data of the positions of each body of the body can be collected in real time. It is more standardized and reduced the workload of the coach.")</f>
        <v>The present invention disclosed an auxiliary guidance system based on artificial intelligence -based sports training movement. Its sports status collection module is sticked through the water colloid dressing layer in a large arm and/or/or wrist and/or the back and/or fingers. The gesture of/or/or the thighs and/or waist posture of/or/or the thighs and/or waist gathers the motion status data of the human body during training. It is sent to the monitoring terminal through the wireless communication module; Judgment module, action guidance suggestion output module, data processing module, human -machine operation module and central processor. The present invention realizes the automatic judgment and guidance of sports training movements. Based on the self -made posture collection and stickers, the data of the positions of each body of the body can be collected in real time. It is more standardized and reduced the workload of the coach.</v>
      </c>
      <c r="D2958" s="6" t="s">
        <v>8334</v>
      </c>
      <c r="E2958" s="4" t="str">
        <f ca="1">IFERROR(__xludf.DUMMYFUNCTION("GOOGLETRANSLATE(D2958,""auto"",""en"")"),"A auxiliary guidance system based on artificial intelligence training action action action")</f>
        <v>A auxiliary guidance system based on artificial intelligence training action action action</v>
      </c>
    </row>
    <row r="2959" spans="1:5" ht="15" x14ac:dyDescent="0.25">
      <c r="A2959" s="5" t="s">
        <v>8335</v>
      </c>
      <c r="B2959" s="6" t="s">
        <v>8336</v>
      </c>
      <c r="C2959" s="3" t="str">
        <f ca="1">IFERROR(__xludf.DUMMYFUNCTION("GOOGLETRANSLATE(B2959,""auto"",""en"")"),"The invention involves a video analysis method and system for assisting gymnastics training. The purpose is to provide a gymnastic video analysis method and analysis system that can improve the detection accuracy of the human body's key joint nodes and re"&amp;"alize the intelligent and automated processing of data. The gymnastic video analysis system based on 3D cameras includes 3D cameras, analysis modules, and display modules. The analysis method is to first test pedestrian testing, and estimate the key joint"&amp;" node of the human body based on the candidate box detected by pedestrian testing; then use the convolutional neural network to predict the key joints of the human body, so as to obtain an accurate joint node coordinate estimate to ensure that from differ"&amp;"ent perspectives, light, distance, distance, distance, distance, distance Under the change, you can get better results; then combine the color information of the image with deep information to obtain the 3D information of the key joint node of the human b"&amp;"ody; eventually, according to the information of the key joint node of the human body in the 3D space, Auxiliary training system for gymnastics.")</f>
        <v>The invention involves a video analysis method and system for assisting gymnastics training. The purpose is to provide a gymnastic video analysis method and analysis system that can improve the detection accuracy of the human body's key joint nodes and realize the intelligent and automated processing of data. The gymnastic video analysis system based on 3D cameras includes 3D cameras, analysis modules, and display modules. The analysis method is to first test pedestrian testing, and estimate the key joint node of the human body based on the candidate box detected by pedestrian testing; then use the convolutional neural network to predict the key joints of the human body, so as to obtain an accurate joint node coordinate estimate to ensure that from different perspectives, light, distance, distance, distance, distance, distance Under the change, you can get better results; then combine the color information of the image with deep information to obtain the 3D information of the key joint node of the human body; eventually, according to the information of the key joint node of the human body in the 3D space, Auxiliary training system for gymnastics.</v>
      </c>
      <c r="D2959" s="6" t="s">
        <v>8337</v>
      </c>
      <c r="E2959" s="4" t="str">
        <f ca="1">IFERROR(__xludf.DUMMYFUNCTION("GOOGLETRANSLATE(D2959,""auto"",""en"")"),"Gymnastic video analysis method and system based on 3D cameras")</f>
        <v>Gymnastic video analysis method and system based on 3D cameras</v>
      </c>
    </row>
    <row r="2960" spans="1:5" ht="15" x14ac:dyDescent="0.25">
      <c r="A2960" s="5" t="s">
        <v>8338</v>
      </c>
      <c r="B2960" s="6" t="s">
        <v>8339</v>
      </c>
      <c r="C2960" s="3" t="str">
        <f ca="1">IFERROR(__xludf.DUMMYFUNCTION("GOOGLETRANSLATE(B2960,""auto"",""en"")"),"The invention describes a shared table tennis table based on the Internet of Things, which mainly includes four major modules: main control module, sensing module, communication module, and execution module. Module; the sensor module includes light sensor"&amp;"s, temperature and humidity sensors, dust sensors, gas sensors, A/D converters; the communication module includes the NB‑ioT module; Array screen, camera, LED lighting. The present invention allows users to obtain the temperature, humidity, air quality, a"&amp;"nd light intensity near the table tennis table, and have the functions of music playback, score records, and night lighting. Users can also watch the ping -youth game video taken by the camera through a mobile phone. Enhance the fun of table tennis and me"&amp;"et the needs of users.")</f>
        <v>The invention describes a shared table tennis table based on the Internet of Things, which mainly includes four major modules: main control module, sensing module, communication module, and execution module. Module; the sensor module includes light sensors, temperature and humidity sensors, dust sensors, gas sensors, A/D converters; the communication module includes the NB‑ioT module; Array screen, camera, LED lighting. The present invention allows users to obtain the temperature, humidity, air quality, and light intensity near the table tennis table, and have the functions of music playback, score records, and night lighting. Users can also watch the ping -youth game video taken by the camera through a mobile phone. Enhance the fun of table tennis and meet the needs of users.</v>
      </c>
      <c r="D2960" s="6" t="s">
        <v>8340</v>
      </c>
      <c r="E2960" s="4" t="str">
        <f ca="1">IFERROR(__xludf.DUMMYFUNCTION("GOOGLETRANSLATE(D2960,""auto"",""en"")"),"Shared table tennis table based on the Internet of Things")</f>
        <v>Shared table tennis table based on the Internet of Things</v>
      </c>
    </row>
    <row r="2961" spans="1:5" ht="15" x14ac:dyDescent="0.25">
      <c r="A2961" s="5" t="s">
        <v>8341</v>
      </c>
      <c r="B2961" s="6" t="s">
        <v>8342</v>
      </c>
      <c r="C2961" s="3" t="str">
        <f ca="1">IFERROR(__xludf.DUMMYFUNCTION("GOOGLETRANSLATE(B2961,""auto"",""en"")"),"The technology used to fill the audiovisual editing (such as the audiovisual editing of sports events), the purpose is to enable the editing to have a predetermined duration so that the audience's interest can be evaluated by machine learning (ML) algorit"&amp;"hm. Unopened editing fills with audiovisual fragments, which will cause the filling editing to have the level where the audience is interested in if it is not filled. In some embodiments, the filling fragment is a synthetic image generated by generating a"&amp;" confrontation network, so that synthetic images will be interested in viewers with the same level (such as judgment by the ML algorithm), as if not filled with editing has been taken longer.")</f>
        <v>The technology used to fill the audiovisual editing (such as the audiovisual editing of sports events), the purpose is to enable the editing to have a predetermined duration so that the audience's interest can be evaluated by machine learning (ML) algorithm. Unopened editing fills with audiovisual fragments, which will cause the filling editing to have the level where the audience is interested in if it is not filled. In some embodiments, the filling fragment is a synthetic image generated by generating a confrontation network, so that synthetic images will be interested in viewers with the same level (such as judgment by the ML algorithm), as if not filled with editing has been taken longer.</v>
      </c>
      <c r="D2961" s="6" t="s">
        <v>6011</v>
      </c>
      <c r="E2961" s="4" t="str">
        <f ca="1">IFERROR(__xludf.DUMMYFUNCTION("GOOGLETRANSLATE(D2961,""auto"",""en"")"),"Dynamic audiovisual fragments used for machine learning")</f>
        <v>Dynamic audiovisual fragments used for machine learning</v>
      </c>
    </row>
    <row r="2962" spans="1:5" ht="15" x14ac:dyDescent="0.25">
      <c r="A2962" s="5" t="s">
        <v>8343</v>
      </c>
      <c r="B2962" s="6" t="s">
        <v>8344</v>
      </c>
      <c r="C2962" s="3" t="str">
        <f ca="1">IFERROR(__xludf.DUMMYFUNCTION("GOOGLETRANSLATE(B2962,""auto"",""en"")"),"The present invention disclosed a method of football action based on deep learning, including the following steps: S1: Standard templates for the standard movements of various football movements; S2: use the camera to collect football training and game sp"&amp;"orts videos; S3: processing Video data in sports videos gets the category of football action; S4: The football action category obtained by S3 is matched with the standard action of the football action category in the standard template, and the difference "&amp;"between the output and the standard action. The invention proposes a human posture estimation model to reduce the redundancy of the human gesture estimation model based on deep learning, accelerate the computing speed of the key point extraction of the hu"&amp;"man bone bone bone bones of the video frame, reduce the operation time, and use the bone point diagram. The structure is constructed to construct skeletal data with space -time information. It has a good characteristic of the movement of local limb moveme"&amp;"nts in football and improved the recognition rate.")</f>
        <v>The present invention disclosed a method of football action based on deep learning, including the following steps: S1: Standard templates for the standard movements of various football movements; S2: use the camera to collect football training and game sports videos; S3: processing Video data in sports videos gets the category of football action; S4: The football action category obtained by S3 is matched with the standard action of the football action category in the standard template, and the difference between the output and the standard action. The invention proposes a human posture estimation model to reduce the redundancy of the human gesture estimation model based on deep learning, accelerate the computing speed of the key point extraction of the human bone bone bone bones of the video frame, reduce the operation time, and use the bone point diagram. The structure is constructed to construct skeletal data with space -time information. It has a good characteristic of the movement of local limb movements in football and improved the recognition rate.</v>
      </c>
      <c r="D2962" s="6" t="s">
        <v>8345</v>
      </c>
      <c r="E2962" s="4" t="str">
        <f ca="1">IFERROR(__xludf.DUMMYFUNCTION("GOOGLETRANSLATE(D2962,""auto"",""en"")"),"A football action evaluation method and system based on deep learning")</f>
        <v>A football action evaluation method and system based on deep learning</v>
      </c>
    </row>
    <row r="2963" spans="1:5" ht="15" x14ac:dyDescent="0.25">
      <c r="A2963" s="5" t="s">
        <v>8346</v>
      </c>
      <c r="B2963" s="6" t="s">
        <v>8347</v>
      </c>
      <c r="C2963" s="3" t="str">
        <f ca="1">IFERROR(__xludf.DUMMYFUNCTION("GOOGLETRANSLATE(B2963,""auto"",""en"")"),"1. The name of the product in this exterior: a watch with a graphical user interface.
 2. The purpose of designing products in this exterior: This design product is used for communication, executing programs, and information interaction with mobile phon"&amp;"es.
 3. The design of the design of the product: the graphical user interface displayed on the screen.
 4. The most important picture or photo of the design design of this appearance: main view.
 5. Save the view: The watch of the watch is designed "&amp;"with the existing design, and there is no design point, so other views other than the main view are omitted.
 6. Interface use: realize human -machine interactions through touch, sliding or clicking, etc., such as the movement of users such as swimming."&amp;"
 7. Other instructions: Click the ""indoor swimming"" of the change state Figure 1 to enter the state of change status. 2. After selecting the icon ""√"" in the change state Figure 2, click to enter the change state. Enter the state of change. Figure 4"&amp;" 其7 (where the order of 4 7 is not restricted, the purpose is to set the movement goal), click the triangular arrow icon of the change state Figure 3 (without setting the movement target), then enter the changing state Figure 8 (countdown time timing time"&amp;" 8 The interface, for example, the countdown of 321, etc.), after the countdown is over, if the triangular arrow icon of the changing state Figure 3 is clicked, for example, the condition of the first time during the use of the device can enter During the"&amp;" swimming process, the touch screen is locked. You need to use the button of the device to unlock the touch screen and then operate through the touch screen). Click the icon ""√"" of the change state. In Figure 1, when selecting ""OK"", the touch screen i"&amp;"s locked during the swimming process. If you select ""No more display"", the change state Figure 9 and 10 will not be displayed in the subsequent equipment), the next step Enter the changing state Figure 11. When the ""No more display"" of the changing st"&amp;"ate Figure 10 or the device is not used for the first time, when the triangular arrow icon of Figure 3 is clicked, it can directly enter the change state Figure 11 and control it by controlling it by controlling it by control. You can enter the change sta"&amp;"te from the change status. And 12 can display information such as time, mileage, number of travels, paces, kida, etc. can be set according to the type of movement. The above information is not all shown in the change state. 11 and 12 can be increased.类似的变"&amp;"化状态图），通过对变化状态图11及变化状态图12 进行左右滑动（如果触摸屏被锁定，则需要通过设备按钮来对触摸屏进行解锁后进行左右滑动），则进入变化状态图13， After clicking the changing state Figure 13, after the suspension icon of Figure 13, enter the change state Figure 11 and change status Figure 12. If you slide left and right "&amp;"in Figure 12 in the state of change, enter the state of change. 14 After the end of the icon is ended, if the exercise time is too short, enter the change state Figure 15. If the icon ""√"" of the changing state Figure 15, return to the change state Figur"&amp;"e 1. Enter the state of change status Figure 11 or 12 or 13 (set according to the actual situation). Sport record information shown).
 When the triangular arrow icon in Figure 4 的7 is clicked, in addition to the changing state corresponding to the state"&amp;" of change status 11 and the change status of the change status. State Figure 3 The triangular arrow icon is clicked the same. The difference is that the use of the change state of the change state replace the change state of the state and the use of the "&amp;"change state. In Figure 18, the triangle arrow icon of the changing state shows the relevant interface when the triangle arrow icon is clicked, so the **** kcal is displayed in the change state Figure 17 and the change state. 6 When the triangular arrow i"&amp;"con is clicked, the position of ""**** kcal"" can be displayed in the position of ""**** rice"", ""**** points"" and ""**"", of which*is only an example. Sexual purpose).
 In addition, refer to the zoom diagram shown in Figure 3 in Figure 3 参4.")</f>
        <v>1. The name of the product in this exterior: a watch with a graphical user interface.
 2. The purpose of designing products in this exterior: This design product is used for communication, executing programs, and information interaction with mobile phones.
 3. The design of the design of the product: the graphical user interface displayed on the screen.
 4. The most important picture or photo of the design design of this appearance: main view.
 5. Save the view: The watch of the watch is designed with the existing design, and there is no design point, so other views other than the main view are omitted.
 6. Interface use: realize human -machine interactions through touch, sliding or clicking, etc., such as the movement of users such as swimming.
 7. Other instructions: Click the "indoor swimming" of the change state Figure 1 to enter the state of change status. 2. After selecting the icon "√" in the change state Figure 2, click to enter the change state. Enter the state of change. Figure 4 其7 (where the order of 4 7 is not restricted, the purpose is to set the movement goal), click the triangular arrow icon of the change state Figure 3 (without setting the movement target), then enter the changing state Figure 8 (countdown time timing time 8 The interface, for example, the countdown of 321, etc.), after the countdown is over, if the triangular arrow icon of the changing state Figure 3 is clicked, for example, the condition of the first time during the use of the device can enter During the swimming process, the touch screen is locked. You need to use the button of the device to unlock the touch screen and then operate through the touch screen). Click the icon "√" of the change state. In Figure 1, when selecting "OK", the touch screen is locked during the swimming process. If you select "No more display", the change state Figure 9 and 10 will not be displayed in the subsequent equipment), the next step Enter the changing state Figure 11. When the "No more display" of the changing state Figure 10 or the device is not used for the first time, when the triangular arrow icon of Figure 3 is clicked, it can directly enter the change state Figure 11 and control it by controlling it by controlling it by control. You can enter the change state from the change status. And 12 can display information such as time, mileage, number of travels, paces, kida, etc. can be set according to the type of movement. The above information is not all shown in the change state. 11 and 12 can be increased.类似的变化状态图），通过对变化状态图11及变化状态图12 进行左右滑动（如果触摸屏被锁定，则需要通过设备按钮来对触摸屏进行解锁后进行左右滑动），则进入变化状态图13， After clicking the changing state Figure 13, after the suspension icon of Figure 13, enter the change state Figure 11 and change status Figure 12. If you slide left and right in Figure 12 in the state of change, enter the state of change. 14 After the end of the icon is ended, if the exercise time is too short, enter the change state Figure 15. If the icon "√" of the changing state Figure 15, return to the change state Figure 1. Enter the state of change status Figure 11 or 12 or 13 (set according to the actual situation). Sport record information shown).
 When the triangular arrow icon in Figure 4 的7 is clicked, in addition to the changing state corresponding to the state of change status 11 and the change status of the change status. State Figure 3 The triangular arrow icon is clicked the same. The difference is that the use of the change state of the change state replace the change state of the state and the use of the change state. In Figure 18, the triangle arrow icon of the changing state shows the relevant interface when the triangle arrow icon is clicked, so the **** kcal is displayed in the change state Figure 17 and the change state. 6 When the triangular arrow icon is clicked, the position of "**** kcal" can be displayed in the position of "**** rice", "**** points" and "**", of which*is only an example. Sexual purpose).
 In addition, refer to the zoom diagram shown in Figure 3 in Figure 3 参4.</v>
      </c>
      <c r="D2963" s="6" t="s">
        <v>8348</v>
      </c>
      <c r="E2963" s="4" t="str">
        <f ca="1">IFERROR(__xludf.DUMMYFUNCTION("GOOGLETRANSLATE(D2963,""auto"",""en"")"),"Watch with graphical user interface")</f>
        <v>Watch with graphical user interface</v>
      </c>
    </row>
    <row r="2964" spans="1:5" ht="15" x14ac:dyDescent="0.25">
      <c r="A2964" s="5" t="s">
        <v>8349</v>
      </c>
      <c r="B2964" s="6" t="s">
        <v>8350</v>
      </c>
      <c r="C2964" s="3" t="s">
        <v>12413</v>
      </c>
      <c r="D2964" s="6" t="s">
        <v>8348</v>
      </c>
      <c r="E2964" s="4" t="str">
        <f ca="1">IFERROR(__xludf.DUMMYFUNCTION("GOOGLETRANSLATE(D2964,""auto"",""en"")"),"Watch with graphical user interface")</f>
        <v>Watch with graphical user interface</v>
      </c>
    </row>
    <row r="2965" spans="1:5" ht="15" x14ac:dyDescent="0.25">
      <c r="A2965" s="5" t="s">
        <v>8351</v>
      </c>
      <c r="B2965" s="6" t="s">
        <v>8352</v>
      </c>
      <c r="C2965" s="3" t="str">
        <f ca="1">IFERROR(__xludf.DUMMYFUNCTION("GOOGLETRANSLATE(B2965,""auto"",""en"")"),"1. The name of the product in appearance: for the graphical user interface for smart watches.
 2. Design product use: Smart watch can be used to run programs and/or communication, graphic user interface user -machine interaction and realization of smart"&amp;" watches.
 3. Design of design products in this exterior: lies in patterns.
 4. Pictures or photos that can most indicate design points: main view.
 5. The purpose of the graphical user interface: used to display the interface of the list of menu co"&amp;"lumns.
 6. Human -computer interaction method of graphical user interface: touch operation interaction.
 7. Change state description of the graphic user interface: After clicking out the outdoor running icon in the enlarged diagram of the main interfa"&amp;"ce, the icons of the current hierarchical menu in the interface are gradually hidden. : After clicking the outdoor running icon at the bottom of the main interface, the interface is according to the interface change state. Figure 6化 Interface change state"&amp;" Figure 7‑ Interface change Status Figure 8 图 Interface changes. 9 The order 9 automatically changes.")</f>
        <v>1. The name of the product in appearance: for the graphical user interface for smart watches.
 2. Design product use: Smart watch can be used to run programs and/or communication, graphic user interface user -machine interaction and realization of smart watches.
 3. Design of design products in this exterior: lies in patterns.
 4. Pictures or photos that can most indicate design points: main view.
 5. The purpose of the graphical user interface: used to display the interface of the list of menu columns.
 6. Human -computer interaction method of graphical user interface: touch operation interaction.
 7. Change state description of the graphic user interface: After clicking out the outdoor running icon in the enlarged diagram of the main interface, the icons of the current hierarchical menu in the interface are gradually hidden. : After clicking the outdoor running icon at the bottom of the main interface, the interface is according to the interface change state. Figure 6化 Interface change state Figure 7‑ Interface change Status Figure 8 图 Interface changes. 9 The order 9 automatically changes.</v>
      </c>
      <c r="D2965" s="6" t="s">
        <v>8313</v>
      </c>
      <c r="E2965" s="4" t="str">
        <f ca="1">IFERROR(__xludf.DUMMYFUNCTION("GOOGLETRANSLATE(D2965,""auto"",""en"")"),"Graphical user interface for smart watches")</f>
        <v>Graphical user interface for smart watches</v>
      </c>
    </row>
    <row r="2966" spans="1:5" ht="15" x14ac:dyDescent="0.25">
      <c r="A2966" s="5" t="s">
        <v>8353</v>
      </c>
      <c r="B2966" s="6" t="s">
        <v>8354</v>
      </c>
      <c r="C2966" s="3" t="str">
        <f ca="1">IFERROR(__xludf.DUMMYFUNCTION("GOOGLETRANSLATE(B2966,""auto"",""en"")"),"The present invention involves a member of a gym -based gym member management system based on the Internet of Things, which is used to manage the gym, member management server management member information registered in the gym, links with member manageme"&amp;"nt server, registered membership, A having can be managed with member management The smartphone of the server -link member management application is fixed in the gym and provided a communication device that provides a distance signal to the smartphone, an"&amp;"d multiple fitness equipment provided in the gym. This fitness equipment includes: when the occupation status is occupied by the member occupation of fitness equipment, it is occupied by the membership, when the members occupy the fitness equipment, they "&amp;"occupy fitness equipment,, when members occupy fitness equipment, they are occupied by fitness equipment. The unit of communication with the smartphone communication processing equipment and provided to the unit to manage the server. Among them, the membe"&amp;"r management server sends the equipment occupation information to the smartphone owned by the members. Provide units, location information calculation units, from the smartphone receiving distance signal and calculate the location of the smartphone, store"&amp;" the coordinates determined by the device determined according to each position in multiple exercise devices, and store the location information coordinate processing unit. Calculate the location coordinates of the location of the smartphone, and compare "&amp;"it with the mechanical coordinate, receive mechanical coordinates and location coordinates from the coordinate processing unit, and use members through membership management applications, including path guidance units, created to the corresponding corresp"&amp;"onding to the sports equipment corresponding to the corresponding of the sports equipment. The path of the instrument coordinates is provided to a smartphone. The present invention with the above -mentioned configuration has the advantages of determining "&amp;"the position of the members in real time to perform the advantages of the route to the sports equipment, the occupation of sports equipment, and booking, and it is easy to manage through the information of the members. Exercise details.")</f>
        <v>The present invention involves a member of a gym -based gym member management system based on the Internet of Things, which is used to manage the gym, member management server management member information registered in the gym, links with member management server, registered membership, A having can be managed with member management The smartphone of the server -link member management application is fixed in the gym and provided a communication device that provides a distance signal to the smartphone, and multiple fitness equipment provided in the gym. This fitness equipment includes: when the occupation status is occupied by the member occupation of fitness equipment, it is occupied by the membership, when the members occupy the fitness equipment, they occupy fitness equipment,, when members occupy fitness equipment, they are occupied by fitness equipment. The unit of communication with the smartphone communication processing equipment and provided to the unit to manage the server. Among them, the member management server sends the equipment occupation information to the smartphone owned by the members. Provide units, location information calculation units, from the smartphone receiving distance signal and calculate the location of the smartphone, store the coordinates determined by the device determined according to each position in multiple exercise devices, and store the location information coordinate processing unit. Calculate the location coordinates of the location of the smartphone, and compare it with the mechanical coordinate, receive mechanical coordinates and location coordinates from the coordinate processing unit, and use members through membership management applications, including path guidance units, created to the corresponding corresponding to the sports equipment corresponding to the corresponding of the sports equipment. The path of the instrument coordinates is provided to a smartphone. The present invention with the above -mentioned configuration has the advantages of determining the position of the members in real time to perform the advantages of the route to the sports equipment, the occupation of sports equipment, and booking, and it is easy to manage through the information of the members. Exercise details.</v>
      </c>
      <c r="D2966" s="6" t="s">
        <v>8355</v>
      </c>
      <c r="E2966" s="4" t="str">
        <f ca="1">IFERROR(__xludf.DUMMYFUNCTION("GOOGLETRANSLATE(D2966,""auto"",""en"")"),"Gym management system based on the Internet of Things -based")</f>
        <v>Gym management system based on the Internet of Things -based</v>
      </c>
    </row>
    <row r="2967" spans="1:5" ht="15" x14ac:dyDescent="0.25">
      <c r="A2967" s="5" t="s">
        <v>8356</v>
      </c>
      <c r="B2967" s="6" t="s">
        <v>8357</v>
      </c>
      <c r="C2967" s="3" t="str">
        <f ca="1">IFERROR(__xludf.DUMMYFUNCTION("GOOGLETRANSLATE(B2967,""auto"",""en"")"),"Category code: A1 a device for data that indicates the characteristics of a specific time point according to the location of each athlete at the time in a certain sport.
  The data generation device of an embodiment of the present invention has the stat"&amp;"us data generation department. The context data generator enters the location relationship data and feature data into a data generation model based on neural networks to generate the situation data. Location relationship data represents the location relat"&amp;"ionship of each athlete in exercise. Feature data represents the characteristics of each player. In terms of data indicating the characteristics of motion.
  【Selection Figure】 Figure 1")</f>
        <v>Category code: A1 a device for data that indicates the characteristics of a specific time point according to the location of each athlete at the time in a certain sport.
  The data generation device of an embodiment of the present invention has the status data generation department. The context data generator enters the location relationship data and feature data into a data generation model based on neural networks to generate the situation data. Location relationship data represents the location relationship of each athlete in exercise. Feature data represents the characteristics of each player. In terms of data indicating the characteristics of motion.
  【Selection Figure】 Figure 1</v>
      </c>
      <c r="D2967" s="6" t="s">
        <v>8358</v>
      </c>
      <c r="E2967" s="4" t="str">
        <f ca="1">IFERROR(__xludf.DUMMYFUNCTION("GOOGLETRANSLATE(D2967,""auto"",""en"")"),"Data generation device, data processing device, data generation model, data generation method and program")</f>
        <v>Data generation device, data processing device, data generation model, data generation method and program</v>
      </c>
    </row>
    <row r="2968" spans="1:5" ht="15" x14ac:dyDescent="0.25">
      <c r="A2968" s="5" t="s">
        <v>8359</v>
      </c>
      <c r="B2968" s="6" t="s">
        <v>8360</v>
      </c>
      <c r="C2968" s="3" t="str">
        <f ca="1">IFERROR(__xludf.DUMMYFUNCTION("GOOGLETRANSLATE(B2968,""auto"",""en"")"),"The systems and methods for preferred fitness status are disclosed. The system includes at least one sensor that detects at least one biological parameter of the user and a fitness status classification module that uses machine learning and at least one b"&amp;"iological parameter to generate the current user fitness status. The method of providing users' preferably fitness status includes at least detecting the user's biological parameters, determining the current user fitness status through the fitness status "&amp;"classification module, and determining specific user recommendations through the fitness status classification module.")</f>
        <v>The systems and methods for preferred fitness status are disclosed. The system includes at least one sensor that detects at least one biological parameter of the user and a fitness status classification module that uses machine learning and at least one biological parameter to generate the current user fitness status. The method of providing users' preferably fitness status includes at least detecting the user's biological parameters, determining the current user fitness status through the fitness status classification module, and determining specific user recommendations through the fitness status classification module.</v>
      </c>
      <c r="D2968" s="6" t="s">
        <v>1939</v>
      </c>
      <c r="E2968" s="4" t="str">
        <f ca="1">IFERROR(__xludf.DUMMYFUNCTION("GOOGLETRANSLATE(D2968,""auto"",""en"")"),"Methods and systems used to provide users with preferred fitness status")</f>
        <v>Methods and systems used to provide users with preferred fitness status</v>
      </c>
    </row>
    <row r="2969" spans="1:5" ht="15" x14ac:dyDescent="0.25">
      <c r="A2969" s="5" t="s">
        <v>8361</v>
      </c>
      <c r="B2969" s="6" t="s">
        <v>8362</v>
      </c>
      <c r="C2969" s="3" t="str">
        <f ca="1">IFERROR(__xludf.DUMMYFUNCTION("GOOGLETRANSLATE(B2969,""auto"",""en"")"),"Based on the Internet of Things technology, this embodiment will link various cameras and sensors installed in the swimming pool, as well as the wearable device worn by users to connect with the pool system. Users can receive information from the terminal"&amp;" through the cloud and other networks. A intelligent management system that can not only provide more intelligent services for people who use the swimming pool, but also provide smarter services to managers who manage the swimming pool.")</f>
        <v>Based on the Internet of Things technology, this embodiment will link various cameras and sensors installed in the swimming pool, as well as the wearable device worn by users to connect with the pool system. Users can receive information from the terminal through the cloud and other networks. A intelligent management system that can not only provide more intelligent services for people who use the swimming pool, but also provide smarter services to managers who manage the swimming pool.</v>
      </c>
      <c r="D2969" s="6" t="s">
        <v>8363</v>
      </c>
      <c r="E2969" s="4" t="str">
        <f ca="1">IFERROR(__xludf.DUMMYFUNCTION("GOOGLETRANSLATE(D2969,""auto"",""en"")"),"Intelligent management system")</f>
        <v>Intelligent management system</v>
      </c>
    </row>
    <row r="2970" spans="1:5" ht="15" x14ac:dyDescent="0.25">
      <c r="A2970" s="5" t="s">
        <v>8364</v>
      </c>
      <c r="B2970" s="6" t="s">
        <v>8365</v>
      </c>
      <c r="C2970" s="3" t="str">
        <f ca="1">IFERROR(__xludf.DUMMYFUNCTION("GOOGLETRANSLATE(B2970,""auto"",""en"")"),"The present invention disclosed a way to serve based on deep learning. 1) Before tennis training, athletes took pictures in front of the camera. The image collection device obtained face image information and stored it inside it; 2) Athletes start trainin"&amp;"g, The camera first carried out image collection and face capture within the field of vision, and found face images that match the pre -mortar image to be locked; 3) with the athlete's move, the image collection device will extract a series of images from"&amp;" the video stream of the camera's video stream Frames, pre -process the image frame, and use deep learning modeling for neural networks to realize the real -time dynamic tracking of the athletes, and then turn the emitting port according to the position o"&amp;"f the face characteristics of the face; Tennis that adapts to the location of the athletes. The present invention can be able to locate the athletes through this serving method, and can shoot tennis that adapt to the position of the athletes, which improv"&amp;"es the accuracy of the serve.")</f>
        <v>The present invention disclosed a way to serve based on deep learning. 1) Before tennis training, athletes took pictures in front of the camera. The image collection device obtained face image information and stored it inside it; 2) Athletes start training, The camera first carried out image collection and face capture within the field of vision, and found face images that match the pre -mortar image to be locked; 3) with the athlete's move, the image collection device will extract a series of images from the video stream of the camera's video stream Frames, pre -process the image frame, and use deep learning modeling for neural networks to realize the real -time dynamic tracking of the athletes, and then turn the emitting port according to the position of the face characteristics of the face; Tennis that adapts to the location of the athletes. The present invention can be able to locate the athletes through this serving method, and can shoot tennis that adapt to the position of the athletes, which improves the accuracy of the serve.</v>
      </c>
      <c r="D2970" s="6" t="s">
        <v>8366</v>
      </c>
      <c r="E2970" s="4" t="str">
        <f ca="1">IFERROR(__xludf.DUMMYFUNCTION("GOOGLETRANSLATE(D2970,""auto"",""en"")"),"A way of serving a tennis player based on deep learning")</f>
        <v>A way of serving a tennis player based on deep learning</v>
      </c>
    </row>
    <row r="2971" spans="1:5" ht="15" x14ac:dyDescent="0.25">
      <c r="A2971" s="5" t="s">
        <v>8367</v>
      </c>
      <c r="B2971" s="6" t="s">
        <v>8368</v>
      </c>
      <c r="C2971" s="3" t="str">
        <f ca="1">IFERROR(__xludf.DUMMYFUNCTION("GOOGLETRANSLATE(B2971,""auto"",""en"")"),"The present invention involves a kind of physical action recognition and correction auxiliary training system and method. It uses the large data set training deep neural networks generated by simulation, and then uses the real collected data for migration"&amp;" and learning, and then builds an accurate motion posture to analyze the neural network model; At the same time, the present invention only uses a single inertial sensor to obtain the trainer's feet sensor data or two -handed sensor data, and use the time"&amp;" sequence of the feet or hands of the sensor data as the input of the run recognition model, so as to analyze the trainer in the movement process in the movement process The irregularities of the existence of the posture and the suggestions of correcting "&amp;"corrections can help trainers to prevent and reduce exercise damage to a certain extent, and help traineers to cultivate a good movement posture.")</f>
        <v>The present invention involves a kind of physical action recognition and correction auxiliary training system and method. It uses the large data set training deep neural networks generated by simulation, and then uses the real collected data for migration and learning, and then builds an accurate motion posture to analyze the neural network model; At the same time, the present invention only uses a single inertial sensor to obtain the trainer's feet sensor data or two -handed sensor data, and use the time sequence of the feet or hands of the sensor data as the input of the run recognition model, so as to analyze the trainer in the movement process in the movement process The irregularities of the existence of the posture and the suggestions of correcting corrections can help trainers to prevent and reduce exercise damage to a certain extent, and help traineers to cultivate a good movement posture.</v>
      </c>
      <c r="D2971" s="6" t="s">
        <v>8369</v>
      </c>
      <c r="E2971" s="4" t="str">
        <f ca="1">IFERROR(__xludf.DUMMYFUNCTION("GOOGLETRANSLATE(D2971,""auto"",""en"")"),"A kind of physical action recognition and correction auxiliary training system and method")</f>
        <v>A kind of physical action recognition and correction auxiliary training system and method</v>
      </c>
    </row>
    <row r="2972" spans="1:5" ht="15" x14ac:dyDescent="0.25">
      <c r="A2972" s="5" t="s">
        <v>8370</v>
      </c>
      <c r="B2972" s="6" t="s">
        <v>8371</v>
      </c>
      <c r="C2972" s="3" t="str">
        <f ca="1">IFERROR(__xludf.DUMMYFUNCTION("GOOGLETRANSLATE(B2972,""auto"",""en"")"),"It provides systems and methods for remote monitoring, optimization and control to provide network connections and swimming pool/spa. Provide the ""Internet of Things"" (IoT) functions for swimming pools and spa in a flexible and economical way. The netwo"&amp;"rk connection and remote monitoring/control of the swimming pool and spa equipment are provided by various components, such as network communication and local control subsystems installed in the swimming pool/spa equipment, as well as other components. Va"&amp;"rious control processes (""Pond Logic"") are also disclosed, which can be reflected in the software code of any of the various embodiments installed in this public.")</f>
        <v>It provides systems and methods for remote monitoring, optimization and control to provide network connections and swimming pool/spa.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2972" s="6" t="s">
        <v>8372</v>
      </c>
      <c r="E2972" s="4" t="str">
        <f ca="1">IFERROR(__xludf.DUMMYFUNCTION("GOOGLETRANSLATE(D2972,""auto"",""en"")"),"It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2973" spans="1:5" ht="15" x14ac:dyDescent="0.25">
      <c r="A2973" s="5" t="s">
        <v>8373</v>
      </c>
      <c r="B2973" s="6" t="s">
        <v>8374</v>
      </c>
      <c r="C2973" s="3" t="str">
        <f ca="1">IFERROR(__xludf.DUMMYFUNCTION("GOOGLETRANSLATE(B2973,""auto"",""en"")"),"Provides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2973" s="6" t="s">
        <v>8372</v>
      </c>
      <c r="E2973" s="4" t="str">
        <f ca="1">IFERROR(__xludf.DUMMYFUNCTION("GOOGLETRANSLATE(D2973,""auto"",""en"")"),"It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2974" spans="1:5" ht="15" x14ac:dyDescent="0.25">
      <c r="A2974" s="5" t="s">
        <v>8375</v>
      </c>
      <c r="B2974" s="6" t="s">
        <v>8374</v>
      </c>
      <c r="C2974" s="3" t="str">
        <f ca="1">IFERROR(__xludf.DUMMYFUNCTION("GOOGLETRANSLATE(B2974,""auto"",""en"")"),"Provides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2974" s="6" t="s">
        <v>8372</v>
      </c>
      <c r="E2974" s="4" t="str">
        <f ca="1">IFERROR(__xludf.DUMMYFUNCTION("GOOGLETRANSLATE(D2974,""auto"",""en"")"),"It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2975" spans="1:5" ht="15" x14ac:dyDescent="0.25">
      <c r="A2975" s="5" t="s">
        <v>8376</v>
      </c>
      <c r="B2975" s="6" t="s">
        <v>8377</v>
      </c>
      <c r="C2975" s="3" t="str">
        <f ca="1">IFERROR(__xludf.DUMMYFUNCTION("GOOGLETRANSLATE(B2975,""auto"",""en"")"),"The present invention involves the fitness field of fitness, and a fitness expert system is disclosed, including the user side, which is used to obtain the movement goals and initial physical data of the user; the server is used to store the user's moveme"&amp;"nt goals and initial physical data; Based on the movement goals and initial physical data in the server to build a motion solution for users; store the exercise scheme to the server; the coaching end is used to obtain the exercise scheme from the server, "&amp;"adjust the motion solution, and cover the original motion scheme in the server; among them , The user side is also used to push the adjustment of the adjustment of the adjustment from the server from the server; the processing module is also used to obtai"&amp;"n the adjusted motion solution. Based on the adjustment of the pre -adjusted motion plan and the post -adjustment motion scheme, re -train through the machine learning model to re -train through the machine learning model. Construction of exercise schemes"&amp;". The technical solution of the present invention can generate a motion solution according to the physical condition of the user.")</f>
        <v>The present invention involves the fitness field of fitness, and a fitness expert system is disclosed, including the user side, which is used to obtain the movement goals and initial physical data of the user; the server is used to store the user's movement goals and initial physical data; Based on the movement goals and initial physical data in the server to build a motion solution for users; store the exercise scheme to the server; the coaching end is used to obtain the exercise scheme from the server, adjust the motion solution, and cover the original motion scheme in the server; among them , The user side is also used to push the adjustment of the adjustment of the adjustment from the server from the server; the processing module is also used to obtain the adjusted motion solution. Based on the adjustment of the pre -adjusted motion plan and the post -adjustment motion scheme, re -train through the machine learning model to re -train through the machine learning model. Construction of exercise schemes. The technical solution of the present invention can generate a motion solution according to the physical condition of the user.</v>
      </c>
      <c r="D2975" s="6" t="s">
        <v>8378</v>
      </c>
      <c r="E2975" s="4" t="str">
        <f ca="1">IFERROR(__xludf.DUMMYFUNCTION("GOOGLETRANSLATE(D2975,""auto"",""en"")"),"A fitness expert system")</f>
        <v>A fitness expert system</v>
      </c>
    </row>
    <row r="2976" spans="1:5" ht="15" x14ac:dyDescent="0.25">
      <c r="A2976" s="5" t="s">
        <v>8379</v>
      </c>
      <c r="B2976" s="6" t="s">
        <v>8380</v>
      </c>
      <c r="C2976" s="3" t="str">
        <f ca="1">IFERROR(__xludf.DUMMYFUNCTION("GOOGLETRANSLATE(B2976,""auto"",""en"")"),"This utility model opens a pool -proof drowning artificial intelligence early warning device based on image recognition technology. Its structure includes fixed seats, waterproof frames, waterproof cables, fixed heads, cameras, waterproofers, anti -light "&amp;"film, circuit boards, central processors, central processors And wireless module, a new model of a new type of image recognition technology -based swimming pool anti -drowning artificial intelligence early warning device, its advantage is that the device "&amp;"can independently judge the drowning situation and conduct early warning. Identify the OpenCV library and Python program language. By obtaining multiple pictures and HSV format processing through a certain frequency of the video, use the Hoff Circle funct"&amp;"ion to identify the swimmer of the swimming pool, and to continuously calculate the status function of the avatar to determine the swimmer Whether there is a drowning situation and eventually early warning of the possible drowning incident can reduce misj"&amp;"udgment and improve the accuracy of identification of drowning, thereby warning in a timely manner to prevent the occurrence of drowning incidents.")</f>
        <v>This utility model opens a pool -proof drowning artificial intelligence early warning device based on image recognition technology. Its structure includes fixed seats, waterproof frames, waterproof cables, fixed heads, cameras, waterproofers, anti -light film, circuit boards, central processors, central processors And wireless module, a new model of a new type of image recognition technology -based swimming pool anti -drowning artificial intelligence early warning device, its advantage is that the device can independently judge the drowning situation and conduct early warning. Identify the OpenCV library and Python program language. By obtaining multiple pictures and HSV format processing through a certain frequency of the video, use the Hoff Circle function to identify the swimmer of the swimming pool, and to continuously calculate the status function of the avatar to determine the swimmer Whether there is a drowning situation and eventually early warning of the possible drowning incident can reduce misjudgment and improve the accuracy of identification of drowning, thereby warning in a timely manner to prevent the occurrence of drowning incidents.</v>
      </c>
      <c r="D2976" s="6" t="s">
        <v>8381</v>
      </c>
      <c r="E2976" s="4" t="str">
        <f ca="1">IFERROR(__xludf.DUMMYFUNCTION("GOOGLETRANSLATE(D2976,""auto"",""en"")"),"A swimming pool anti -drowning artificial intelligence early warning device based on image recognition technology")</f>
        <v>A swimming pool anti -drowning artificial intelligence early warning device based on image recognition technology</v>
      </c>
    </row>
    <row r="2977" spans="1:5" ht="15" x14ac:dyDescent="0.25">
      <c r="A2977" s="5" t="s">
        <v>8382</v>
      </c>
      <c r="B2977" s="6" t="s">
        <v>8383</v>
      </c>
      <c r="C2977" s="3" t="str">
        <f ca="1">IFERROR(__xludf.DUMMYFUNCTION("GOOGLETRANSLATE(B2977,""auto"",""en"")"),"The present invention provides a sports facility and equipment based on sports monitoring and analysis. It couples sports facilities and equipment and health monitoring systems. The various sports data, life signs and health data of the human body are col"&amp;"lected through the sensor group. The pre -stored health reference data is compared to form a network of monitoring of physiological signals, and a comprehensive judgment of whether the human body is in a normal physiological state and given accurate concl"&amp;"usions. The main purpose is to provide convenient and fast self -health monitoring methods. At the same time, once abnormal conditions occur, prompts will be promptly through the display module and reminder device on the management end. The real realizati"&amp;"on of the instant, high efficiency, accuracy, practicality, stability and safety of the Internet of Things sports facilities and equipment is worth promoting.")</f>
        <v>The present invention provides a sports facility and equipment based on sports monitoring and analysis. It couples sports facilities and equipment and health monitoring systems. The various sports data, life signs and health data of the human body are collected through the sensor group. The pre -stored health reference data is compared to form a network of monitoring of physiological signals, and a comprehensive judgment of whether the human body is in a normal physiological state and given accurate conclusions. The main purpose is to provide convenient and fast self -health monitoring methods. At the same time, once abnormal conditions occur, prompts will be promptly through the display module and reminder device on the management end. The real realization of the instant, high efficiency, accuracy, practicality, stability and safety of the Internet of Things sports facilities and equipment is worth promoting.</v>
      </c>
      <c r="D2977" s="6" t="s">
        <v>8384</v>
      </c>
      <c r="E2977" s="4" t="str">
        <f ca="1">IFERROR(__xludf.DUMMYFUNCTION("GOOGLETRANSLATE(D2977,""auto"",""en"")"),"A sports facility and equipment based on sports monitoring and analysis")</f>
        <v>A sports facility and equipment based on sports monitoring and analysis</v>
      </c>
    </row>
    <row r="2978" spans="1:5" ht="15" x14ac:dyDescent="0.25">
      <c r="A2978" s="5" t="s">
        <v>8385</v>
      </c>
      <c r="B2978" s="6" t="s">
        <v>8386</v>
      </c>
      <c r="C2978" s="3" t="str">
        <f ca="1">IFERROR(__xludf.DUMMYFUNCTION("GOOGLETRANSLATE(B2978,""auto"",""en"")"),"A fitness tracking system for motion variables corresponding to user exercise includes monitoring devices, personal electronic devices and remote processing servers. The monitoring device is configured as a user wearing or carrying, and includes a sports "&amp;"sensor configured to collect motion data. Personal electronic equipment can be connected to the monitoring device. At least one of the personal electronic equipment and monitoring equipment is configured to calculate the feature data by applying a set of "&amp;"rules to mobile data, to concentrate from the mobile data to the original speed data corresponding to the user's speed, and from mobile data, and from mobile data The original distance data corresponding to the distance from the user's movement is calcula"&amp;"ted. The remote processing server includes machine learning models for at least processing feature data.")</f>
        <v>A fitness tracking system for motion variables corresponding to user exercise includes monitoring devices, personal electronic devices and remote processing servers. The monitoring device is configured as a user wearing or carrying, and includes a sports sensor configured to collect motion data. Personal electronic equipment can be connected to the monitoring device. At least one of the personal electronic equipment and monitoring equipment is configured to calculate the feature data by applying a set of rules to mobile data, to concentrate from the mobile data to the original speed data corresponding to the user's speed, and from mobile data, and from mobile data The original distance data corresponding to the distance from the user's movement is calculated. The remote processing server includes machine learning models for at least processing feature data.</v>
      </c>
      <c r="D2978" s="6" t="s">
        <v>8387</v>
      </c>
      <c r="E2978" s="4" t="str">
        <f ca="1">IFERROR(__xludf.DUMMYFUNCTION("GOOGLETRANSLATE(D2978,""auto"",""en"")"),"Systems and methods used to estimate motor variables")</f>
        <v>Systems and methods used to estimate motor variables</v>
      </c>
    </row>
    <row r="2979" spans="1:5" ht="15" x14ac:dyDescent="0.25">
      <c r="A2979" s="5" t="s">
        <v>8388</v>
      </c>
      <c r="B2979" s="6" t="s">
        <v>8389</v>
      </c>
      <c r="C2979" s="3" t="str">
        <f ca="1">IFERROR(__xludf.DUMMYFUNCTION("GOOGLETRANSLATE(B2979,""auto"",""en"")"),"本发明公开了一种模拟重现投篮过程的方法，涉及人机交互技术领域，其中包括：采用数据采集设备持续记录投篮者投篮过程中的手腕以及肩膀的节点数据，还包括：步骤S1，根据Node data judgment gets the first posture of the shooter and records the position of the wrist at this time; step S2, the second position of the shooter is obtained according "&amp;"to the node data judgment, and the position of the wrist position at this time; step s3, according to the node data Determine the third posture of the shooter and record the position of the wrist at this time; step S4, process the direction of the basketb"&amp;"all according to the position of the record and the position of the shoulder; Essence The useful effect of the above technical solutions is: simulated re -shooters include shooting angle, shooting strength, and judging whether the entire shooting process "&amp;"in the shooting is.")</f>
        <v>本发明公开了一种模拟重现投篮过程的方法，涉及人机交互技术领域，其中包括：采用数据采集设备持续记录投篮者投篮过程中的手腕以及肩膀的节点数据，还包括：步骤S1，根据Node data judgment gets the first posture of the shooter and records the position of the wrist at this time; step S2, the second position of the shooter is obtained according to the node data judgment, and the position of the wrist position at this time; step s3, according to the node data Determine the third posture of the shooter and record the position of the wrist at this time; step S4, process the direction of the basketball according to the position of the record and the position of the shoulder; Essence The useful effect of the above technical solutions is: simulated re -shooters include shooting angle, shooting strength, and judging whether the entire shooting process in the shooting is.</v>
      </c>
      <c r="D2979" s="6" t="s">
        <v>8390</v>
      </c>
      <c r="E2979" s="4" t="str">
        <f ca="1">IFERROR(__xludf.DUMMYFUNCTION("GOOGLETRANSLATE(D2979,""auto"",""en"")"),"A method to simulate the shooting process")</f>
        <v>A method to simulate the shooting process</v>
      </c>
    </row>
    <row r="2980" spans="1:5" ht="15" x14ac:dyDescent="0.25">
      <c r="A2980" s="5" t="s">
        <v>8391</v>
      </c>
      <c r="B2980" s="6" t="s">
        <v>8392</v>
      </c>
      <c r="C2980" s="3" t="str">
        <f ca="1">IFERROR(__xludf.DUMMYFUNCTION("GOOGLETRANSLATE(B2980,""auto"",""en"")"),"A running distance statistical method based on video -based multi -target tracking is the field of sports data statistics. The running distance of the athletes on the field is an important statistical data. With the development of computer vision technolo"&amp;"gy, this article proposes a player running distance statistics solution based on football game video. First of all, this method can obtain multiple target tracking data in the video by analyzing the video video. Then we summarize the tracking trajectories"&amp;". After the trajectory is smooth and the top -view map mapping operation, the player's running trajectory, running distance, and output visualization results are obtained. This method is a complete set of solutions to the running player running trajectory"&amp;" and running distance. It aims to reduce the cost of manual labeling and verify the feasibility of the method by testing, and has important application value.")</f>
        <v>A running distance statistical method based on video -based multi -target tracking is the field of sports data statistics. The running distance of the athletes on the field is an important statistical data. With the development of computer vision technology, this article proposes a player running distance statistics solution based on football game video. First of all, this method can obtain multiple target tracking data in the video by analyzing the video video. Then we summarize the tracking trajectories. After the trajectory is smooth and the top -view map mapping operation, the player's running trajectory, running distance, and output visualization results are obtained. This method is a complete set of solutions to the running player running trajectory and running distance. It aims to reduce the cost of manual labeling and verify the feasibility of the method by testing, and has important application value.</v>
      </c>
      <c r="D2980" s="6" t="s">
        <v>8393</v>
      </c>
      <c r="E2980" s="4" t="str">
        <f ca="1">IFERROR(__xludf.DUMMYFUNCTION("GOOGLETRANSLATE(D2980,""auto"",""en"")"),"A method of running distance based on video -based multi -target tracking")</f>
        <v>A method of running distance based on video -based multi -target tracking</v>
      </c>
    </row>
    <row r="2981" spans="1:5" ht="15" x14ac:dyDescent="0.25">
      <c r="A2981" s="5" t="s">
        <v>8394</v>
      </c>
      <c r="B2981" s="6" t="s">
        <v>8395</v>
      </c>
      <c r="C2981" s="3" t="str">
        <f ca="1">IFERROR(__xludf.DUMMYFUNCTION("GOOGLETRANSLATE(B2981,""auto"",""en"")"),"The present invention provides a alarm method and system that involves the field of mode recognition technology, including video input, and obtaining video streams through monitoring equipment; calibrating the target: through the target standard, obtain t"&amp;"he target that needs to be tracked in the video stream, and to the place for the place The goal is followed; the behavior analysis, the behavior judgment of each goal, the results of the behavior of the target; the alarm step, if the results of the behavi"&amp;"or of any of the goals meet the conditions of the alarm, start the alarm device. This method can analyze drowning infants and young children in the swimming pool by deploying cameras, computing modules and alarms outside the swimming pool. This method is "&amp;"fast and highly accurate. It can solve the problem of low recognition effects and poor applicability in the current infant drowning testing and alarm technology.")</f>
        <v>The present invention provides a alarm method and system that involves the field of mode recognition technology, including video input, and obtaining video streams through monitoring equipment; calibrating the target: through the target standard, obtain the target that needs to be tracked in the video stream, and to the place for the place The goal is followed; the behavior analysis, the behavior judgment of each goal, the results of the behavior of the target; the alarm step, if the results of the behavior of any of the goals meet the conditions of the alarm, start the alarm device. This method can analyze drowning infants and young children in the swimming pool by deploying cameras, computing modules and alarms outside the swimming pool. This method is fast and highly accurate. It can solve the problem of low recognition effects and poor applicability in the current infant drowning testing and alarm technology.</v>
      </c>
      <c r="D2981" s="6" t="s">
        <v>8396</v>
      </c>
      <c r="E2981" s="4" t="str">
        <f ca="1">IFERROR(__xludf.DUMMYFUNCTION("GOOGLETRANSLATE(D2981,""auto"",""en"")"),"Alarm method and system")</f>
        <v>Alarm method and system</v>
      </c>
    </row>
    <row r="2982" spans="1:5" ht="15" x14ac:dyDescent="0.25">
      <c r="A2982" s="5" t="s">
        <v>8397</v>
      </c>
      <c r="B2982" s="6" t="s">
        <v>8398</v>
      </c>
      <c r="C2982" s="3" t="str">
        <f ca="1">IFERROR(__xludf.DUMMYFUNCTION("GOOGLETRANSLATE(B2982,""auto"",""en"")"),"1. The name of the product in this exterior: the graphic user interface for the mobile phone.
 2. The purpose of designing products in this exterior: The design of this product is used for running programs, display information and communication.
 3. T"&amp;"he design of the design of the product in this exterior: lies in the graphic user interface in the screen.
 4. The picture or photo of the main point of design design in this appearance: Design 1 main view.
 5. Save omitted view: Hardware products are"&amp;" commonly designed, and other views are omitted.
 6. Specify basic design: Design 1 is the basic design.
 7. The interface purpose of designing products in this exterior: This graphic user interface is the interface of the application software client."&amp;" The interface is used to display information and realize human -computer interaction.
 For example, display the information of the classification column information, activities, sports, or other events, and related progress, etc.
 In design 1 to desi"&amp;"gn 10, planets in the bottom area of ​​the interface are the classification icons of season information. Users can click icon to view the season information under different classifications.
 The circular icon and meteorite icon at the top right of the i"&amp;"nterface are the progress of the current season.
 The blank areas in each design interface are content screens, such as background, pictures, text introduction, etc.")</f>
        <v>1. The name of the product in this exterior: the graphic user interface for the mobile phone.
 2. The purpose of designing products in this exterior: The design of this product is used for running programs, display information and communication.
 3. The design of the design of the product in this exterior: lies in the graphic user interface in the screen.
 4. The picture or photo of the main point of design design in this appearance: Design 1 main view.
 5. Save omitted view: Hardware products are commonly designed, and other views are omitted.
 6. Specify basic design: Design 1 is the basic design.
 7. The interface purpose of designing products in this exterior: This graphic user interface is the interface of the application software client. The interface is used to display information and realize human -computer interaction.
 For example, display the information of the classification column information, activities, sports, or other events, and related progress, etc.
 In design 1 to design 10, planets in the bottom area of ​​the interface are the classification icons of season information. Users can click icon to view the season information under different classifications.
 The circular icon and meteorite icon at the top right of the interface are the progress of the current season.
 The blank areas in each design interface are content screens, such as background, pictures, text introduction, etc.</v>
      </c>
      <c r="D2982" s="6" t="s">
        <v>7563</v>
      </c>
      <c r="E2982" s="4" t="str">
        <f ca="1">IFERROR(__xludf.DUMMYFUNCTION("GOOGLETRANSLATE(D2982,""auto"",""en"")"),"The graphic user interface used for mobile phones")</f>
        <v>The graphic user interface used for mobile phones</v>
      </c>
    </row>
    <row r="2983" spans="1:5" ht="15" x14ac:dyDescent="0.25">
      <c r="A2983" s="5" t="s">
        <v>8399</v>
      </c>
      <c r="B2983" s="6" t="s">
        <v>8400</v>
      </c>
      <c r="C2983" s="3" t="str">
        <f ca="1">IFERROR(__xludf.DUMMYFUNCTION("GOOGLETRANSLATE(B2983,""auto"",""en"")"),"1. The name of the product in this exterior: the graphic user interface for the mobile phone.
 2. The purpose of designing products in this exterior: The design of this product is used for running programs, display information and communication.
 3. T"&amp;"he design of the design of the product in this exterior: lies in the graphic user interface in the screen.
 4. The picture or photo of the main point of design design in this appearance: Design 1 main view.
 5. Save omitted view: Hardware products are"&amp;" commonly designed, and other views are omitted.
 6. Specify basic design: Design 1 is the basic design.
 7. The interface purpose of designing products in this exterior: This graphic user interface is the interface of the application software client."&amp;" The interface is used to display information and realize human -computer interaction.
 For example, display information, sports, sports, or other events of the season information, related progress, etc.
 In design 1 to design 10, planets in the middl"&amp;"e of the interface are classified icons of season information. Users can click the icon to enter the current season to view more information.
 The circular icon and meteorite icon in the upper part of the interface are the progress of the current season"&amp;".
 The blank areas in each design interface are content screens, such as background, pictures, text introduction, etc.")</f>
        <v>1. The name of the product in this exterior: the graphic user interface for the mobile phone.
 2. The purpose of designing products in this exterior: The design of this product is used for running programs, display information and communication.
 3. The design of the design of the product in this exterior: lies in the graphic user interface in the screen.
 4. The picture or photo of the main point of design design in this appearance: Design 1 main view.
 5. Save omitted view: Hardware products are commonly designed, and other views are omitted.
 6. Specify basic design: Design 1 is the basic design.
 7. The interface purpose of designing products in this exterior: This graphic user interface is the interface of the application software client. The interface is used to display information and realize human -computer interaction.
 For example, display information, sports, sports, or other events of the season information, related progress, etc.
 In design 1 to design 10, planets in the middle of the interface are classified icons of season information. Users can click the icon to enter the current season to view more information.
 The circular icon and meteorite icon in the upper part of the interface are the progress of the current season.
 The blank areas in each design interface are content screens, such as background, pictures, text introduction, etc.</v>
      </c>
      <c r="D2983" s="6" t="s">
        <v>7563</v>
      </c>
      <c r="E2983" s="4" t="str">
        <f ca="1">IFERROR(__xludf.DUMMYFUNCTION("GOOGLETRANSLATE(D2983,""auto"",""en"")"),"The graphic user interface used for mobile phones")</f>
        <v>The graphic user interface used for mobile phones</v>
      </c>
    </row>
    <row r="2984" spans="1:5" ht="15" x14ac:dyDescent="0.25">
      <c r="A2984" s="5" t="s">
        <v>8401</v>
      </c>
      <c r="B2984" s="6" t="s">
        <v>8402</v>
      </c>
      <c r="C2984" s="3" t="str">
        <f ca="1">IFERROR(__xludf.DUMMYFUNCTION("GOOGLETRANSLATE(B2984,""auto"",""en"")"),"The invention is an area of ​​an artificial intelligence management system, especially the campus health management platform based on artificial intelligence. It is characterized by the establishment of the health information of each individual and divide"&amp;"d into three aspects: mental health, sports health, and physical health. Health models, according to the above health model, add an artificial intelligence dynamic data model based on information records, divided into three models: mental health, sports h"&amp;"ealth, and physical health. Three separate dynamic data artificial intelligence access artificial intelligence campus health platforms Make big data analysis, labeling, evaluation, and statistics. Multi -dimensional data analysis, modeling, output, and li"&amp;"nks are performed according to the platform management. The first health management data provided by the person, teachers, and parents will be used for the management data of the Kang. Through the terminal APP, it will be used for individuals and managers"&amp;".")</f>
        <v>The invention is an area of ​​an artificial intelligence management system, especially the campus health management platform based on artificial intelligence. It is characterized by the establishment of the health information of each individual and divided into three aspects: mental health, sports health, and physical health. Health models, according to the above health model, add an artificial intelligence dynamic data model based on information records, divided into three models: mental health, sports health, and physical health. Three separate dynamic data artificial intelligence access artificial intelligence campus health platforms Make big data analysis, labeling, evaluation, and statistics. Multi -dimensional data analysis, modeling, output, and links are performed according to the platform management. The first health management data provided by the person, teachers, and parents will be used for the management data of the Kang. Through the terminal APP, it will be used for individuals and managers.</v>
      </c>
      <c r="D2984" s="6" t="s">
        <v>8403</v>
      </c>
      <c r="E2984" s="4" t="str">
        <f ca="1">IFERROR(__xludf.DUMMYFUNCTION("GOOGLETRANSLATE(D2984,""auto"",""en"")"),"An artificial intelligence -based personalized terminal service campus health platform")</f>
        <v>An artificial intelligence -based personalized terminal service campus health platform</v>
      </c>
    </row>
    <row r="2985" spans="1:5" ht="15" x14ac:dyDescent="0.25">
      <c r="A2985" s="5" t="s">
        <v>8404</v>
      </c>
      <c r="B2985" s="6" t="s">
        <v>8405</v>
      </c>
      <c r="C2985" s="3" t="str">
        <f ca="1">IFERROR(__xludf.DUMMYFUNCTION("GOOGLETRANSLATE(B2985,""auto"",""en"")"),"The invention is an area of ​​an artificial intelligence sports health management system. It specially involves a sports health data collection management prescription and terminal service system based on artificial intelligence. The invention collects th"&amp;"e environment, movement and physical fitness parameters through the data collection module. The background data analysis module will automatically analyze the parameter data collected by the user three aspects, and generate a personalized motion prescript"&amp;"ion through the motion plan production module; exercise; exercise; Prescription management AI pushes the personalized movement prescription to the personal terminal in real time. The problem of individual sports prescription reference conditions, incomple"&amp;"te data, and inability to effectively guide users' fitness, and can provide personalized terminal services. Based on more factors of different physical testing personnel, they can analyze and quantitatively quantify the more real and effective scientific "&amp;"sports prescriptions. The system is optimized, analyzed and information feedback through artificial intelligence technology to increase the interactive experience of users and the system.")</f>
        <v>The invention is an area of ​​an artificial intelligence sports health management system. It specially involves a sports health data collection management prescription and terminal service system based on artificial intelligence. The invention collects the environment, movement and physical fitness parameters through the data collection module. The background data analysis module will automatically analyze the parameter data collected by the user three aspects, and generate a personalized motion prescription through the motion plan production module; exercise; exercise; Prescription management AI pushes the personalized movement prescription to the personal terminal in real time. The problem of individual sports prescription reference conditions, incomplete data, and inability to effectively guide users' fitness, and can provide personalized terminal services. Based on more factors of different physical testing personnel, they can analyze and quantitatively quantify the more real and effective scientific sports prescriptions. The system is optimized, analyzed and information feedback through artificial intelligence technology to increase the interactive experience of users and the system.</v>
      </c>
      <c r="D2985" s="6" t="s">
        <v>8406</v>
      </c>
      <c r="E2985" s="4" t="str">
        <f ca="1">IFERROR(__xludf.DUMMYFUNCTION("GOOGLETRANSLATE(D2985,""auto"",""en"")"),"An artificial intelligence -based sports health data collection management prescription and terminal service system")</f>
        <v>An artificial intelligence -based sports health data collection management prescription and terminal service system</v>
      </c>
    </row>
    <row r="2986" spans="1:5" ht="15" x14ac:dyDescent="0.25">
      <c r="A2986" s="5" t="s">
        <v>8407</v>
      </c>
      <c r="B2986" s="6" t="s">
        <v>8408</v>
      </c>
      <c r="C2986" s="3" t="str">
        <f ca="1">IFERROR(__xludf.DUMMYFUNCTION("GOOGLETRANSLATE(B2986,""auto"",""en"")"),"This utility model opens up a reminder device to calculate the speed of swimming, including induction pedal, three -color lamp belt, optocoupler voltage conversion board, optocoupler conversion board power supply, data collection card and human -computer "&amp;"interaction equipment. On the lane platform, the front wall of the lane, and the rear wall of the lane, there is a pressure sensor inside the induction pedal. Connected, the data collection card is set inside the human -computer interaction device. The ou"&amp;"tput end of the data collection card is connected to the optocoupler voltage conversion board, which is connected to the three -color lamp belt. The optical coupling voltage conversion board is connected to the power supply of the optocoupler conversion b"&amp;"oard. The practical new model can understand the current movement in real time, saving artificially, and improved the measurement accuracy.")</f>
        <v>This utility model opens up a reminder device to calculate the speed of swimming, including induction pedal, three -color lamp belt, optocoupler voltage conversion board, optocoupler conversion board power supply, data collection card and human -computer interaction equipment. On the lane platform, the front wall of the lane, and the rear wall of the lane, there is a pressure sensor inside the induction pedal. Connected, the data collection card is set inside the human -computer interaction device. The output end of the data collection card is connected to the optocoupler voltage conversion board, which is connected to the three -color lamp belt. The optical coupling voltage conversion board is connected to the power supply of the optocoupler conversion board. The practical new model can understand the current movement in real time, saving artificially, and improved the measurement accuracy.</v>
      </c>
      <c r="D2986" s="6" t="s">
        <v>8409</v>
      </c>
      <c r="E2986" s="4" t="str">
        <f ca="1">IFERROR(__xludf.DUMMYFUNCTION("GOOGLETRANSLATE(D2986,""auto"",""en"")"),"A reminder device that calculates the speed of swimming")</f>
        <v>A reminder device that calculates the speed of swimming</v>
      </c>
    </row>
    <row r="2987" spans="1:5" ht="15" x14ac:dyDescent="0.25">
      <c r="A2987" s="5" t="s">
        <v>8410</v>
      </c>
      <c r="B2987" s="6" t="s">
        <v>8411</v>
      </c>
      <c r="C2987" s="3" t="str">
        <f ca="1">IFERROR(__xludf.DUMMYFUNCTION("GOOGLETRANSLATE(B2987,""auto"",""en"")"),"The invention provides a sports posture recognition method, device and electronic equipment, involving the field of intelligent sports equipment technology. The motion posture recognition method includes the first action data of the handheld sports equipm"&amp;"ent currently collected by the attitude sensor; On the handheld exercise equipment; based on the second action data collected before the above -mentioned first action data and the preset period, use the differential value algorithm to determine the effect"&amp;"ive action data; Enter the standard action data to the pre -trained convolutional neural network for action classification to obtain the type of motion posture of the current handheld motion equipment. This method can more accurately identify the type of "&amp;"movement posture of hand -held sports equipment. It does not require many peripheral equipment, effectively reduces costs, broaden the scope of application, and promote the promotion and use of products.")</f>
        <v>The invention provides a sports posture recognition method, device and electronic equipment, involving the field of intelligent sports equipment technology. The motion posture recognition method includes the first action data of the handheld sports equipment currently collected by the attitude sensor; On the handheld exercise equipment; based on the second action data collected before the above -mentioned first action data and the preset period, use the differential value algorithm to determine the effective action data; Enter the standard action data to the pre -trained convolutional neural network for action classification to obtain the type of motion posture of the current handheld motion equipment. This method can more accurately identify the type of movement posture of hand -held sports equipment. It does not require many peripheral equipment, effectively reduces costs, broaden the scope of application, and promote the promotion and use of products.</v>
      </c>
      <c r="D2987" s="6" t="s">
        <v>8412</v>
      </c>
      <c r="E2987" s="4" t="str">
        <f ca="1">IFERROR(__xludf.DUMMYFUNCTION("GOOGLETRANSLATE(D2987,""auto"",""en"")"),"Sports attitude recognition method, device and electronic equipment")</f>
        <v>Sports attitude recognition method, device and electronic equipment</v>
      </c>
    </row>
    <row r="2988" spans="1:5" ht="15" x14ac:dyDescent="0.25">
      <c r="A2988" s="5" t="s">
        <v>8413</v>
      </c>
      <c r="B2988" s="6" t="s">
        <v>8414</v>
      </c>
      <c r="C2988" s="3" t="str">
        <f ca="1">IFERROR(__xludf.DUMMYFUNCTION("GOOGLETRANSLATE(B2988,""auto"",""en"")"),"This article revealed a method for generating results for sports events. The computing system retrieves the tracking data from the data storage. The computing system uses a deep neural network to generate a prediction model. One or more neural networks of"&amp;" deep neural networks are based on tracking data to generate one or more embedded, which includes a team specific information and proxy specific information. The computing system selects one or more features related to the current context of sports events"&amp;" from the tracking data. The computing system learns one or more possible results of one or more sports events through deep neural networks. Calculate the system to receive sports events before the game. The computing system is based on the historical inf"&amp;"ormation of each agent of the home team, each agent of the visiting team and the specific characteristics of the team, and generates the possible results of sports events by predicting a model.")</f>
        <v>This article revealed a method for generating results for sports events. The computing system retrieves the tracking data from the data storage. The computing system uses a deep neural network to generate a prediction model. One or more neural networks of deep neural networks are based on tracking data to generate one or more embedded, which includes a team specific information and proxy specific information. The computing system selects one or more features related to the current context of sports events from the tracking data. The computing system learns one or more possible results of one or more sports events through deep neural networks. Calculate the system to receive sports events before the game. The computing system is based on the historical information of each agent of the home team, each agent of the visiting team and the specific characteristics of the team, and generates the possible results of sports events by predicting a model.</v>
      </c>
      <c r="D2988" s="6" t="s">
        <v>8415</v>
      </c>
      <c r="E2988" s="4" t="str">
        <f ca="1">IFERROR(__xludf.DUMMYFUNCTION("GOOGLETRANSLATE(D2988,""auto"",""en"")"),"Interactive, explained and improved methods and system prediction methods and systems in the team movement")</f>
        <v>Interactive, explained and improved methods and system prediction methods and systems in the team movement</v>
      </c>
    </row>
    <row r="2989" spans="1:5" ht="15" x14ac:dyDescent="0.25">
      <c r="A2989" s="5" t="s">
        <v>8416</v>
      </c>
      <c r="B2989" s="6" t="s">
        <v>8417</v>
      </c>
      <c r="C2989" s="3" t="str">
        <f ca="1">IFERROR(__xludf.DUMMYFUNCTION("GOOGLETRANSLATE(B2989,""auto"",""en"")"),"This article revealed a method of generating sports events. The computing system retrieves the tracking data from the data storage. The computing system uses a deep neural network to generate a prediction model. One or more neural networks of deep neural "&amp;"networks generate one or more embedded based on tracking data, which include information that is specific to the team and information specific to the agent. The computing system selects one or more features related to the current background of sports even"&amp;"ts from tracking data. The computing system learns one or more possible results of one or more sports events through deep neural networks. Calculate the system to receive sports events before the game. The computing system is based on the historical infor"&amp;"mation and specific characteristics of each agent of each of the home team and each agent of the visiting team, and generates the possible results of sports events by pre -measured modeling.")</f>
        <v>This article revealed a method of generating sports events. The computing system retrieves the tracking data from the data storage. The computing system uses a deep neural network to generate a prediction model. One or more neural networks of deep neural networks generate one or more embedded based on tracking data, which include information that is specific to the team and information specific to the agent. The computing system selects one or more features related to the current background of sports events from tracking data. The computing system learns one or more possible results of one or more sports events through deep neural networks. Calculate the system to receive sports events before the game. The computing system is based on the historical information and specific characteristics of each agent of each of the home team and each agent of the visiting team, and generates the possible results of sports events by pre -measured modeling.</v>
      </c>
      <c r="D2989" s="6" t="s">
        <v>8418</v>
      </c>
      <c r="E2989" s="4" t="str">
        <f ca="1">IFERROR(__xludf.DUMMYFUNCTION("GOOGLETRANSLATE(D2989,""auto"",""en"")"),"Methods and systems used for interactive, explained and improved competitions in team movements and systems")</f>
        <v>Methods and systems used for interactive, explained and improved competitions in team movements and systems</v>
      </c>
    </row>
    <row r="2990" spans="1:5" ht="15" x14ac:dyDescent="0.25">
      <c r="A2990" s="5" t="s">
        <v>8419</v>
      </c>
      <c r="B2990" s="6" t="s">
        <v>8420</v>
      </c>
      <c r="C2990" s="3" t="str">
        <f ca="1">IFERROR(__xludf.DUMMYFUNCTION("GOOGLETRANSLATE(B2990,""auto"",""en"")"),"This article revealed a method of identifying the defensive formation and offensive team in positioning offensive. The computing system receives one or more tracking data streams. The computing system identifies the positioning attack contained in one or "&amp;"more tracking data streams. The computing system identifies the defensive formation of the first team and the offensive formation of the second team. The computing system is one or more feature corresponding to the type of defensive formation implemented "&amp;"by the convolutional neural network through the convolutional neural network of the convolutional neural network through the convolutional neural network. The computing system scan the positioning offensive by a machine learning algorithm to identify one "&amp;"or more characteristics of the type of offensive formation implemented by the second team. The computing system derives the type of defensive formation achieved by the first team.")</f>
        <v>This article revealed a method of identifying the defensive formation and offensive team in positioning offensive. The computing system receives one or more tracking data streams. The computing system identifies the positioning attack contained in one or more tracking data streams. The computing system identifies the defensive formation of the first team and the offensive formation of the second team. The computing system is one or more feature corresponding to the type of defensive formation implemented by the convolutional neural network through the convolutional neural network of the convolutional neural network through the convolutional neural network. The computing system scan the positioning offensive by a machine learning algorithm to identify one or more characteristics of the type of offensive formation implemented by the second team. The computing system derives the type of defensive formation achieved by the first team.</v>
      </c>
      <c r="D2990" s="6" t="s">
        <v>8421</v>
      </c>
      <c r="E2990" s="4" t="str">
        <f ca="1">IFERROR(__xludf.DUMMYFUNCTION("GOOGLETRANSLATE(D2990,""auto"",""en"")"),"Methods to detect races in sports using convolutional neural networks")</f>
        <v>Methods to detect races in sports using convolutional neural networks</v>
      </c>
    </row>
    <row r="2991" spans="1:5" ht="15" x14ac:dyDescent="0.25">
      <c r="A2991" s="5" t="s">
        <v>8422</v>
      </c>
      <c r="B2991" s="6" t="s">
        <v>8423</v>
      </c>
      <c r="C2991" s="3" t="str">
        <f ca="1">IFERROR(__xludf.DUMMYFUNCTION("GOOGLETRANSLATE(B2991,""auto"",""en"")"),"This article revealed a method of generating sports events. The computing system retrieves the tracking data from the data storage department. The computing system uses a deep neural network to generate a predictive model. One or more neural networks in t"&amp;"he deep neural network are based on tracking data to generate one or more embedded in the formation of a team specific information and players' specific information. The computing system selects one or more features related to the current background of sp"&amp;"orts events from the tracking data. The computing system learns one or more possible results of one or more sports events through deep neural networks. The computing system receives the front lineup of sports events. The computing system is predicting the"&amp;" model, based on the historical information of the players of the home team, the historical information of the team members of the team, and the specific characteristics of the team to generate the possible results of sports events.")</f>
        <v>This article revealed a method of generating sports events. The computing system retrieves the tracking data from the data storage department. The computing system uses a deep neural network to generate a predictive model. One or more neural networks in the deep neural network are based on tracking data to generate one or more embedded in the formation of a team specific information and players' specific information. The computing system selects one or more features related to the current background of sports events from the tracking data. The computing system learns one or more possible results of one or more sports events through deep neural networks. The computing system receives the front lineup of sports events. The computing system is predicting the model, based on the historical information of the players of the home team, the historical information of the team members of the team, and the specific characteristics of the team to generate the possible results of sports events.</v>
      </c>
      <c r="D2991" s="6" t="s">
        <v>8424</v>
      </c>
      <c r="E2991" s="4" t="str">
        <f ca="1">IFERROR(__xludf.DUMMYFUNCTION("GOOGLETRANSLATE(D2991,""auto"",""en"")"),"Interactive, explicit, and improved methods and systems that can interact in the team movement")</f>
        <v>Interactive, explicit, and improved methods and systems that can interact in the team movement</v>
      </c>
    </row>
    <row r="2992" spans="1:5" ht="15" x14ac:dyDescent="0.25">
      <c r="A2992" s="5" t="s">
        <v>8425</v>
      </c>
      <c r="B2992" s="6" t="s">
        <v>8426</v>
      </c>
      <c r="C2992" s="3" t="str">
        <f ca="1">IFERROR(__xludf.DUMMYFUNCTION("GOOGLETRANSLATE(B2992,""auto"",""en"")"),"This article revealed a method of generating sports events. The computing system retrieves the tracking data from the data storage department. The computing system uses a deep neural network to generate a predictive model. One or more neural networks in t"&amp;"he deep neural network are based on tracking data to generate one or more embedded in the formation of a team specific information and players' specific information. The computing system selects one or more features related to the current background of sp"&amp;"orts events from the tracking data. The computing system learns one or more possible results of one or more sports events through deep neural networks. The computing system receives the front lineup of sports events. The computing system is predicting the"&amp;" model, based on the historical information of the players of the home team, the historical information of the team members of the team, and the specific characteristics of the team to generate the possible results of sports events.")</f>
        <v>This article revealed a method of generating sports events. The computing system retrieves the tracking data from the data storage department. The computing system uses a deep neural network to generate a predictive model. One or more neural networks in the deep neural network are based on tracking data to generate one or more embedded in the formation of a team specific information and players' specific information. The computing system selects one or more features related to the current background of sports events from the tracking data. The computing system learns one or more possible results of one or more sports events through deep neural networks. The computing system receives the front lineup of sports events. The computing system is predicting the model, based on the historical information of the players of the home team, the historical information of the team members of the team, and the specific characteristics of the team to generate the possible results of sports events.</v>
      </c>
      <c r="D2992" s="6" t="s">
        <v>8424</v>
      </c>
      <c r="E2992" s="4" t="str">
        <f ca="1">IFERROR(__xludf.DUMMYFUNCTION("GOOGLETRANSLATE(D2992,""auto"",""en"")"),"Interactive, explicit, and improved methods and systems that can interact in the team movement")</f>
        <v>Interactive, explicit, and improved methods and systems that can interact in the team movement</v>
      </c>
    </row>
    <row r="2993" spans="1:5" ht="15" x14ac:dyDescent="0.25">
      <c r="A2993" s="5" t="s">
        <v>8427</v>
      </c>
      <c r="B2993" s="6" t="s">
        <v>8414</v>
      </c>
      <c r="C2993" s="3" t="str">
        <f ca="1">IFERROR(__xludf.DUMMYFUNCTION("GOOGLETRANSLATE(B2993,""auto"",""en"")"),"This article revealed a method for generating results for sports events. The computing system retrieves the tracking data from the data storage. The computing system uses a deep neural network to generate a prediction model. One or more neural networks of"&amp;" deep neural networks are based on tracking data to generate one or more embedded, which includes a team specific information and proxy specific information. The computing system selects one or more features related to the current context of sports events"&amp;" from the tracking data. The computing system learns one or more possible results of one or more sports events through deep neural networks. Calculate the system to receive sports events before the game. The computing system is based on the historical inf"&amp;"ormation of each agent of the home team, each agent of the visiting team and the specific characteristics of the team, and generates the possible results of sports events by predicting a model.")</f>
        <v>This article revealed a method for generating results for sports events. The computing system retrieves the tracking data from the data storage. The computing system uses a deep neural network to generate a prediction model. One or more neural networks of deep neural networks are based on tracking data to generate one or more embedded, which includes a team specific information and proxy specific information. The computing system selects one or more features related to the current context of sports events from the tracking data. The computing system learns one or more possible results of one or more sports events through deep neural networks. Calculate the system to receive sports events before the game. The computing system is based on the historical information of each agent of the home team, each agent of the visiting team and the specific characteristics of the team, and generates the possible results of sports events by predicting a model.</v>
      </c>
      <c r="D2993" s="6" t="s">
        <v>8415</v>
      </c>
      <c r="E2993" s="4" t="str">
        <f ca="1">IFERROR(__xludf.DUMMYFUNCTION("GOOGLETRANSLATE(D2993,""auto"",""en"")"),"Interactive, explained and improved methods and system prediction methods and systems in the team movement")</f>
        <v>Interactive, explained and improved methods and system prediction methods and systems in the team movement</v>
      </c>
    </row>
    <row r="2994" spans="1:5" ht="15" x14ac:dyDescent="0.25">
      <c r="A2994" s="5" t="s">
        <v>8428</v>
      </c>
      <c r="B2994" s="6" t="s">
        <v>8417</v>
      </c>
      <c r="C2994" s="3" t="str">
        <f ca="1">IFERROR(__xludf.DUMMYFUNCTION("GOOGLETRANSLATE(B2994,""auto"",""en"")"),"This article revealed a method of generating sports events. The computing system retrieves the tracking data from the data storage. The computing system uses a deep neural network to generate a prediction model. One or more neural networks of deep neural "&amp;"networks generate one or more embedded based on tracking data, which include information that is specific to the team and information specific to the agent. The computing system selects one or more features related to the current background of sports even"&amp;"ts from tracking data. The computing system learns one or more possible results of one or more sports events through deep neural networks. Calculate the system to receive sports events before the game. The computing system is based on the historical infor"&amp;"mation and specific characteristics of each agent of each of the home team and each agent of the visiting team, and generates the possible results of sports events by pre -measured modeling.")</f>
        <v>This article revealed a method of generating sports events. The computing system retrieves the tracking data from the data storage. The computing system uses a deep neural network to generate a prediction model. One or more neural networks of deep neural networks generate one or more embedded based on tracking data, which include information that is specific to the team and information specific to the agent. The computing system selects one or more features related to the current background of sports events from tracking data. The computing system learns one or more possible results of one or more sports events through deep neural networks. Calculate the system to receive sports events before the game. The computing system is based on the historical information and specific characteristics of each agent of each of the home team and each agent of the visiting team, and generates the possible results of sports events by pre -measured modeling.</v>
      </c>
      <c r="D2994" s="6" t="s">
        <v>8415</v>
      </c>
      <c r="E2994" s="4" t="str">
        <f ca="1">IFERROR(__xludf.DUMMYFUNCTION("GOOGLETRANSLATE(D2994,""auto"",""en"")"),"Interactive, explained and improved methods and system prediction methods and systems in the team movement")</f>
        <v>Interactive, explained and improved methods and system prediction methods and systems in the team movement</v>
      </c>
    </row>
    <row r="2995" spans="1:5" ht="15" x14ac:dyDescent="0.25">
      <c r="A2995" s="5" t="s">
        <v>8429</v>
      </c>
      <c r="B2995" s="6" t="s">
        <v>8417</v>
      </c>
      <c r="C2995" s="3" t="str">
        <f ca="1">IFERROR(__xludf.DUMMYFUNCTION("GOOGLETRANSLATE(B2995,""auto"",""en"")"),"This article revealed a method of generating sports events. The computing system retrieves the tracking data from the data storage. The computing system uses a deep neural network to generate a prediction model. One or more neural networks of deep neural "&amp;"networks generate one or more embedded based on tracking data, which include information that is specific to the team and information specific to the agent. The computing system selects one or more features related to the current background of sports even"&amp;"ts from tracking data. The computing system learns one or more possible results of one or more sports events through deep neural networks. Calculate the system to receive sports events before the game. The computing system is based on the historical infor"&amp;"mation and specific characteristics of each agent of each of the home team and each agent of the visiting team, and generates the possible results of sports events by pre -measured modeling.")</f>
        <v>This article revealed a method of generating sports events. The computing system retrieves the tracking data from the data storage. The computing system uses a deep neural network to generate a prediction model. One or more neural networks of deep neural networks generate one or more embedded based on tracking data, which include information that is specific to the team and information specific to the agent. The computing system selects one or more features related to the current background of sports events from tracking data. The computing system learns one or more possible results of one or more sports events through deep neural networks. Calculate the system to receive sports events before the game. The computing system is based on the historical information and specific characteristics of each agent of each of the home team and each agent of the visiting team, and generates the possible results of sports events by pre -measured modeling.</v>
      </c>
      <c r="D2995" s="6" t="s">
        <v>8418</v>
      </c>
      <c r="E2995" s="4" t="str">
        <f ca="1">IFERROR(__xludf.DUMMYFUNCTION("GOOGLETRANSLATE(D2995,""auto"",""en"")"),"Methods and systems used for interactive, explained and improved competitions in team movements and systems")</f>
        <v>Methods and systems used for interactive, explained and improved competitions in team movements and systems</v>
      </c>
    </row>
    <row r="2996" spans="1:5" ht="15" x14ac:dyDescent="0.25">
      <c r="A2996" s="5" t="s">
        <v>8430</v>
      </c>
      <c r="B2996" s="6" t="s">
        <v>8417</v>
      </c>
      <c r="C2996" s="3" t="str">
        <f ca="1">IFERROR(__xludf.DUMMYFUNCTION("GOOGLETRANSLATE(B2996,""auto"",""en"")"),"This article revealed a method of generating sports events. The computing system retrieves the tracking data from the data storage. The computing system uses a deep neural network to generate a prediction model. One or more neural networks of deep neural "&amp;"networks generate one or more embedded based on tracking data, which include information that is specific to the team and information specific to the agent. The computing system selects one or more features related to the current background of sports even"&amp;"ts from tracking data. The computing system learns one or more possible results of one or more sports events through deep neural networks. Calculate the system to receive sports events before the game. The computing system is based on the historical infor"&amp;"mation and specific characteristics of each agent of each of the home team and each agent of the visiting team, and generates the possible results of sports events by pre -measured modeling.")</f>
        <v>This article revealed a method of generating sports events. The computing system retrieves the tracking data from the data storage. The computing system uses a deep neural network to generate a prediction model. One or more neural networks of deep neural networks generate one or more embedded based on tracking data, which include information that is specific to the team and information specific to the agent. The computing system selects one or more features related to the current background of sports events from tracking data. The computing system learns one or more possible results of one or more sports events through deep neural networks. Calculate the system to receive sports events before the game. The computing system is based on the historical information and specific characteristics of each agent of each of the home team and each agent of the visiting team, and generates the possible results of sports events by pre -measured modeling.</v>
      </c>
      <c r="D2996" s="6" t="s">
        <v>8418</v>
      </c>
      <c r="E2996" s="4" t="str">
        <f ca="1">IFERROR(__xludf.DUMMYFUNCTION("GOOGLETRANSLATE(D2996,""auto"",""en"")"),"Methods and systems used for interactive, explained and improved competitions in team movements and systems")</f>
        <v>Methods and systems used for interactive, explained and improved competitions in team movements and systems</v>
      </c>
    </row>
    <row r="2997" spans="1:5" ht="15" x14ac:dyDescent="0.25">
      <c r="A2997" s="5" t="s">
        <v>8431</v>
      </c>
      <c r="B2997" s="6" t="s">
        <v>8432</v>
      </c>
      <c r="C2997" s="3" t="str">
        <f ca="1">IFERROR(__xludf.DUMMYFUNCTION("GOOGLETRANSLATE(B2997,""auto"",""en"")"),"The present invention involves a network -based personal characteristics customized professional competition recommendation system. When the competition generates unit planning competition, enters the input, which is suitable for members and registered me"&amp;"mbers who are suitable for the competition. According to the adaptability determined by members and competitions, select the competition and deliver the match for members to the members. Because the information of the recruitment competition is insufficie"&amp;"nt, it is not activated to participate in the competition. Insufficient information leads to the inability to activate the participation competition, that is, the present invention is to enter the event to participate in the recruitment system event gener"&amp;"ating unit during the planning competition. It is used to create and register the event through institutional accounts. Quantitative conversion to determine the event suitable for registered members. Send a text message to the phone number registered in t"&amp;"he membership information, including the URL containing the game information, so that the appropriate competition is sent to the membership competition notification part of the membership of the game according to the adaptability of the members and the ad"&amp;"aptive judgment of the competition and the adaptability of the competition. For the generation of recruitment incidents, the configuration to generate competitions to participate in the recruitment, so that students who want to participate can apply for p"&amp;"articipation, the number of participants approved and rejected by one recruitment activity supports the approval unit. The number of participants refuses to be recognized. Therefore, the present invention aims to enter the competition that is suitable for"&amp;" registered members through the input of the appropriate judgment unit of members and competitions, and through the recommendation of the notification unit and the existing bidding information, the members are allowed to receive To the right bidding, solv"&amp;"e the problem of being unable to activate the participation in the competition due to insufficient competition information. It has the effect of resolving the effect of not activating due to poor results.")</f>
        <v>The present invention involves a network -based personal characteristics customized professional competition recommendation system. When the competition generates unit planning competition, enters the input, which is suitable for members and registered members who are suitable for the competition. According to the adaptability determined by members and competitions, select the competition and deliver the match for members to the members. Because the information of the recruitment competition is insufficient, it is not activated to participate in the competition. Insufficient information leads to the inability to activate the participation competition, that is, the present invention is to enter the event to participate in the recruitment system event generating unit during the planning competition. It is used to create and register the event through institutional accounts. Quantitative conversion to determine the event suitable for registered members. Send a text message to the phone number registered in the membership information, including the URL containing the game information, so that the appropriate competition is sent to the membership competition notification part of the membership of the game according to the adaptability of the members and the adaptive judgment of the competition and the adaptability of the competition. For the generation of recruitment incidents, the configuration to generate competitions to participate in the recruitment, so that students who want to participate can apply for participation, the number of participants approved and rejected by one recruitment activity supports the approval unit. The number of participants refuses to be recognized. Therefore, the present invention aims to enter the competition that is suitable for registered members through the input of the appropriate judgment unit of members and competitions, and through the recommendation of the notification unit and the existing bidding information, the members are allowed to receive To the right bidding, solve the problem of being unable to activate the participation in the competition due to insufficient competition information. It has the effect of resolving the effect of not activating due to poor results.</v>
      </c>
      <c r="D2997" s="6" t="s">
        <v>8433</v>
      </c>
      <c r="E2997" s="4" t="str">
        <f ca="1">IFERROR(__xludf.DUMMYFUNCTION("GOOGLETRANSLATE(D2997,""auto"",""en"")"),"Web -based personalized competition recommendation system")</f>
        <v>Web -based personalized competition recommendation system</v>
      </c>
    </row>
    <row r="2998" spans="1:5" ht="15" x14ac:dyDescent="0.25">
      <c r="A2998" s="5" t="s">
        <v>8434</v>
      </c>
      <c r="B2998" s="6" t="s">
        <v>8435</v>
      </c>
      <c r="C2998" s="3" t="str">
        <f ca="1">IFERROR(__xludf.DUMMYFUNCTION("GOOGLETRANSLATE(B2998,""auto"",""en"")"),"The present invention involves a reading and counseling system. It is more specific. For objective analysis data, it is targeted at students, especially in adolescence and adolescence. It can promote the best intellectual growth through reading and custom"&amp;"ize their reading. In addition to being able to present reading procedures, using artificial intelligence -based big data analysis reading and counseling systems can correctly read habits, improve writing ability, and obtain various background knowledge t"&amp;"hrough professional reading coaches. Finally, the invention provides personal recommendations for personal recommendations and reading of schoolbags and recommendation schoolbags based on the nationality, age, gender, education, academic qualifications, h"&amp;"obbies, places of residence, and reading levels of the counseling objects. Read the tutoring management server and automatically generate scheduling information; regional franchise store terminals are used to send tutoring target information to the readin"&amp;"g tutoring management server, receiving reading scheduling information; coach terminal, approved by the franchise store terminal Reading scheduling information Educate the target reading coach.")</f>
        <v>The present invention involves a reading and counseling system. It is more specific. For objective analysis data, it is targeted at students, especially in adolescence and adolescence. It can promote the best intellectual growth through reading and customize their reading. In addition to being able to present reading procedures, using artificial intelligence -based big data analysis reading and counseling systems can correctly read habits, improve writing ability, and obtain various background knowledge through professional reading coaches. Finally, the invention provides personal recommendations for personal recommendations and reading of schoolbags and recommendation schoolbags based on the nationality, age, gender, education, academic qualifications, hobbies, places of residence, and reading levels of the counseling objects. Read the tutoring management server and automatically generate scheduling information; regional franchise store terminals are used to send tutoring target information to the reading tutoring management server, receiving reading scheduling information; coach terminal, approved by the franchise store terminal Reading scheduling information Educate the target reading coach.</v>
      </c>
      <c r="D2998" s="6" t="s">
        <v>8436</v>
      </c>
      <c r="E2998" s="4" t="str">
        <f ca="1">IFERROR(__xludf.DUMMYFUNCTION("GOOGLETRANSLATE(D2998,""auto"",""en"")"),"Use artificial intelligence -based big data analysis reading and counseling system")</f>
        <v>Use artificial intelligence -based big data analysis reading and counseling system</v>
      </c>
    </row>
    <row r="2999" spans="1:5" ht="15" x14ac:dyDescent="0.25">
      <c r="A2999" s="5" t="s">
        <v>8437</v>
      </c>
      <c r="B2999" s="6" t="s">
        <v>8438</v>
      </c>
      <c r="C2999" s="3" t="str">
        <f ca="1">IFERROR(__xludf.DUMMYFUNCTION("GOOGLETRANSLATE(B2999,""auto"",""en"")"),"This utility model provides a fire protection facility and equipment maintenance service device based on the Internet of Things, including the main body of the motor and fire facilities and equipment maintenance service device. The fixed bottom plate betw"&amp;"een the installation board, the back end of the main body of the fire protection facility and equipment maintenance service device is equipped with a shell, the inside of the shell is installed through the bearing of the bearing. Compared with the existin"&amp;"g technology, this practical new model has the following useful effects: real -time observation can be performed through transparent boards, and installation boards and transparent boards are also protected to increase functionality and improve security. "&amp;"At the same time , Move the ontology of fire protection facilities and equipment maintenance service device to a suitable position, which is convenient for the operation of the fire protection facilities and equipment maintenance service device.")</f>
        <v>This utility model provides a fire protection facility and equipment maintenance service device based on the Internet of Things, including the main body of the motor and fire facilities and equipment maintenance service device. The fixed bottom plate between the installation board, the back end of the main body of the fire protection facility and equipment maintenance service device is equipped with a shell, the inside of the shell is installed through the bearing of the bearing. Compared with the existing technology, this practical new model has the following useful effects: real -time observation can be performed through transparent boards, and installation boards and transparent boards are also protected to increase functionality and improve security. At the same time , Move the ontology of fire protection facilities and equipment maintenance service device to a suitable position, which is convenient for the operation of the fire protection facilities and equipment maintenance service device.</v>
      </c>
      <c r="D2999" s="6" t="s">
        <v>8439</v>
      </c>
      <c r="E2999" s="4" t="str">
        <f ca="1">IFERROR(__xludf.DUMMYFUNCTION("GOOGLETRANSLATE(D2999,""auto"",""en"")"),"A service device based on the Internet of Things fire facilities and equipment maintenance")</f>
        <v>A service device based on the Internet of Things fire facilities and equipment maintenance</v>
      </c>
    </row>
    <row r="3000" spans="1:5" ht="15" x14ac:dyDescent="0.25">
      <c r="A3000" s="5" t="s">
        <v>8440</v>
      </c>
      <c r="B3000" s="6" t="s">
        <v>8441</v>
      </c>
      <c r="C3000" s="3" t="str">
        <f ca="1">IFERROR(__xludf.DUMMYFUNCTION("GOOGLETRANSLATE(B3000,""auto"",""en"")"),"A comprehensive sports training and detection device based on the Internet of Things, including the box body, the left side of the box body, the left side of the box, the left front corner of the box body and the symmetrical support plate of the front and"&amp;" rear corners of the left corner. There are strip plates, strip -shaped pores on the front side of the strip plate, and a strip -shaped block in the pores of the strip pores. The left side of the pores is fixed by several springs, and the two ends of the "&amp;"block are fixed to install a alien gear. The invention has a simple structure, a small size, easy to carry, low transportation cost, and convenient use of operation. The imaging of the far -infrared camera is displayed through the glasses display, which i"&amp;"s conducive to the privacy protection of users. It is protected by far -infrared camera glasses display, and can be cleaned out of the outer side of the glasses display lens, which can meet market demand and suitable for promotion.")</f>
        <v>A comprehensive sports training and detection device based on the Internet of Things, including the box body, the left side of the box body, the left side of the box, the left front corner of the box body and the symmetrical support plate of the front and rear corners of the left corner. There are strip plates, strip -shaped pores on the front side of the strip plate, and a strip -shaped block in the pores of the strip pores. The left side of the pores is fixed by several springs, and the two ends of the block are fixed to install a alien gear. The invention has a simple structure, a small size, easy to carry, low transportation cost, and convenient use of operation. The imaging of the far -infrared camera is displayed through the glasses display, which is conducive to the privacy protection of users. It is protected by far -infrared camera glasses display, and can be cleaned out of the outer side of the glasses display lens, which can meet market demand and suitable for promotion.</v>
      </c>
      <c r="D3000" s="6" t="s">
        <v>8442</v>
      </c>
      <c r="E3000" s="4" t="str">
        <f ca="1">IFERROR(__xludf.DUMMYFUNCTION("GOOGLETRANSLATE(D3000,""auto"",""en"")"),"A comprehensive sports training detection device based on the Internet of Things")</f>
        <v>A comprehensive sports training detection device based on the Internet of Things</v>
      </c>
    </row>
    <row r="3001" spans="1:5" ht="15" x14ac:dyDescent="0.25">
      <c r="A3001" s="5" t="s">
        <v>8443</v>
      </c>
      <c r="B3001" s="6" t="s">
        <v>8444</v>
      </c>
      <c r="C3001" s="3" t="str">
        <f ca="1">IFERROR(__xludf.DUMMYFUNCTION("GOOGLETRANSLATE(B3001,""auto"",""en"")"),"The present invention uses image processing algorithms and artificial intelligence in baseball, billiards, football, basketball, volleyball, tennis, badminton, curling, fencing, taekwondo and other sports broadcasts. The accurate quantitative rectificatio"&amp;"n invention involves video content production equipment in sports broadcasting. The data of the test record is then mixed with the image information that is actually captured to provide a variety of augmented reality (AR/MR) video content. According to th"&amp;"e invention for using artificial intelligence and augmented reality in sports broadcasting, the device that produces video content includes image receiving units, which is used to receive real -time images provided by at least one camera used for shooting"&amp;" sports broadcasts; Video information obtained by the image receiving unit, through the game process processing and artificial intelligence recognition game process, detect quantitative object data by capturing the image and detection movement; the storag"&amp;"e unit is used to store the shooting image and object detection unit received by the storage image receiving unit The detected object data; the mixed image generation unit detects the capture image and object data stored in the storage unit, and provides "&amp;"augmented real video content by mixed actual capture image information and object data.")</f>
        <v>The present invention uses image processing algorithms and artificial intelligence in baseball, billiards, football, basketball, volleyball, tennis, badminton, curling, fencing, taekwondo and other sports broadcasts. The accurate quantitative rectification invention involves video content production equipment in sports broadcasting. The data of the test record is then mixed with the image information that is actually captured to provide a variety of augmented reality (AR/MR) video content. According to the invention for using artificial intelligence and augmented reality in sports broadcasting, the device that produces video content includes image receiving units, which is used to receive real -time images provided by at least one camera used for shooting sports broadcasts; Video information obtained by the image receiving unit, through the game process processing and artificial intelligence recognition game process, detect quantitative object data by capturing the image and detection movement; the storage unit is used to store the shooting image and object detection unit received by the storage image receiving unit The detected object data; the mixed image generation unit detects the capture image and object data stored in the storage unit, and provides augmented real video content by mixed actual capture image information and object data.</v>
      </c>
      <c r="D3001" s="6" t="s">
        <v>8445</v>
      </c>
      <c r="E3001" s="4" t="str">
        <f ca="1">IFERROR(__xludf.DUMMYFUNCTION("GOOGLETRANSLATE(D3001,""auto"",""en"")"),"Video content production equipment in sports broadcasts using artificial intelligence and augmented reality")</f>
        <v>Video content production equipment in sports broadcasts using artificial intelligence and augmented reality</v>
      </c>
    </row>
    <row r="3002" spans="1:5" ht="15" x14ac:dyDescent="0.25">
      <c r="A3002" s="5" t="s">
        <v>8446</v>
      </c>
      <c r="B3002" s="6" t="s">
        <v>8447</v>
      </c>
      <c r="C3002" s="3" t="str">
        <f ca="1">IFERROR(__xludf.DUMMYFUNCTION("GOOGLETRANSLATE(B3002,""auto"",""en"")"),"Computer vision systems and methods, as well as product recognition products through camera image. This patent application involves inventing a computer vision system and method, as well as image recognition products through the camera, especially a solut"&amp;"ion to identify the product by analyzing the image captured by the camera to identify the image, size, volume and barcode, storage This type of data allows any types of commercial institutions to use such applications to register and collect only identifi"&amp;"ed projects. The present invention includes an arch/tower (1) with a built -in camera (1B), especially the 120 FPS camera, and the switch board for turning on and off the treadmill through the graphical interface (2). In addition, there is a CPU (3) With "&amp;"speed acceleration cards, video (4) and computer visual algorithms (5); graphical interface software (2) interacting with commercial automation software, which is necessary for tax registration and receipts.")</f>
        <v>Computer vision systems and methods, as well as product recognition products through camera image. This patent application involves inventing a computer vision system and method, as well as image recognition products through the camera, especially a solution to identify the product by analyzing the image captured by the camera to identify the image, size, volume and barcode, storage This type of data allows any types of commercial institutions to use such applications to register and collect only identified projects. The present invention includes an arch/tower (1) with a built -in camera (1B), especially the 120 FPS camera, and the switch board for turning on and off the treadmill through the graphical interface (2). In addition, there is a CPU (3) With speed acceleration cards, video (4) and computer visual algorithms (5); graphical interface software (2) interacting with commercial automation software, which is necessary for tax registration and receipts.</v>
      </c>
      <c r="D3002" s="6" t="s">
        <v>8448</v>
      </c>
      <c r="E3002" s="4" t="str">
        <f ca="1">IFERROR(__xludf.DUMMYFUNCTION("GOOGLETRANSLATE(D3002,""auto"",""en"")"),"Computer vision systems and methods, as well as product recognition products through camera image")</f>
        <v>Computer vision systems and methods, as well as product recognition products through camera image</v>
      </c>
    </row>
    <row r="3003" spans="1:5" ht="15" x14ac:dyDescent="0.25">
      <c r="A3003" s="5" t="s">
        <v>8449</v>
      </c>
      <c r="B3003" s="6" t="s">
        <v>8450</v>
      </c>
      <c r="C3003" s="3" t="str">
        <f ca="1">IFERROR(__xludf.DUMMYFUNCTION("GOOGLETRANSLATE(B3003,""auto"",""en"")"),"The present invention has disclosed an artificial intelligence net that can improve entertainment, including the bottom board and the ball network. Both sides of the ball network are fixed and connected with vertical panels, and both sides on the top of t"&amp;"he bottom plate are fixed with the first electric telescopic rod. The top of the electric retractable rod is fixed with a fixed board, the top of the fixed board is fixed with a fixed box, the top of the fixed board is located on both sides of the fixed f"&amp;"rame, and the connection rod is fixed. The invention involves sports equipment technology fields. It is time to improve the entertaining artificial intelligence network. After using the ball network, it can be very convenient to put away the ball network "&amp;"to avoid unnecessary damage when the net is not used. Movement, so that the ball network equipment can be moved to the designated location required by the user, which improves the entertainment of the network equipment and facilitates the use of users. Go"&amp;"od avoiding misjudgment.")</f>
        <v>The present invention has disclosed an artificial intelligence net that can improve entertainment, including the bottom board and the ball network. Both sides of the ball network are fixed and connected with vertical panels, and both sides on the top of the bottom plate are fixed with the first electric telescopic rod. The top of the electric retractable rod is fixed with a fixed board, the top of the fixed board is fixed with a fixed box, the top of the fixed board is located on both sides of the fixed frame, and the connection rod is fixed. The invention involves sports equipment technology fields. It is time to improve the entertaining artificial intelligence network. After using the ball network, it can be very convenient to put away the ball network to avoid unnecessary damage when the net is not used. Movement, so that the ball network equipment can be moved to the designated location required by the user, which improves the entertainment of the network equipment and facilitates the use of users. Good avoiding misjudgment.</v>
      </c>
      <c r="D3003" s="6" t="s">
        <v>8451</v>
      </c>
      <c r="E3003" s="4" t="str">
        <f ca="1">IFERROR(__xludf.DUMMYFUNCTION("GOOGLETRANSLATE(D3003,""auto"",""en"")"),"An artificial intelligence network that can improve entertainment")</f>
        <v>An artificial intelligence network that can improve entertainment</v>
      </c>
    </row>
    <row r="3004" spans="1:5" ht="15" x14ac:dyDescent="0.25">
      <c r="A3004" s="5" t="s">
        <v>8452</v>
      </c>
      <c r="B3004" s="6" t="s">
        <v>8453</v>
      </c>
      <c r="C3004" s="3" t="str">
        <f ca="1">IFERROR(__xludf.DUMMYFUNCTION("GOOGLETRANSLATE(B3004,""auto"",""en"")"),"The invention describes a shared basketball rack based on the Internet of Things, which mainly includes four major modules: main control module, sensing module, communication module, and execution module. ; The sensor modules include temperature and humid"&amp;"ity sensors, PM2.5 dust sensors, gas sensors, light sensors, A/D converters; the communication module includes the NB‑ioT module; , Squad display, camera, LED lighting, relay, electromagnetic locks. The present invention allows users to obtain the tempera"&amp;"ture and humidity, air quality and light intensity near the basketball rack long -distance, and have the functions of music playback, score records, time display, and night lighting. Users can watch the video of basketball games taken by the camera throug"&amp;"h mobile phones. Enhance the fun of basketball and meet the needs of basketball enthusiasts.")</f>
        <v>The invention describes a shared basketball rack based on the Internet of Things, which mainly includes four major modules: main control module, sensing module, communication module, and execution module. ; The sensor modules include temperature and humidity sensors, PM2.5 dust sensors, gas sensors, light sensors, A/D converters; the communication module includes the NB‑ioT module; , Squad display, camera, LED lighting, relay, electromagnetic locks. The present invention allows users to obtain the temperature and humidity, air quality and light intensity near the basketball rack long -distance, and have the functions of music playback, score records, time display, and night lighting. Users can watch the video of basketball games taken by the camera through mobile phones. Enhance the fun of basketball and meet the needs of basketball enthusiasts.</v>
      </c>
      <c r="D3004" s="6" t="s">
        <v>8454</v>
      </c>
      <c r="E3004" s="4" t="str">
        <f ca="1">IFERROR(__xludf.DUMMYFUNCTION("GOOGLETRANSLATE(D3004,""auto"",""en"")"),"Shared basketball rack based on the Internet of Things")</f>
        <v>Shared basketball rack based on the Internet of Things</v>
      </c>
    </row>
    <row r="3005" spans="1:5" ht="15" x14ac:dyDescent="0.25">
      <c r="A3005" s="5" t="s">
        <v>8455</v>
      </c>
      <c r="B3005" s="6" t="s">
        <v>8456</v>
      </c>
      <c r="C3005" s="3" t="str">
        <f ca="1">IFERROR(__xludf.DUMMYFUNCTION("GOOGLETRANSLATE(B3005,""auto"",""en"")"),"The present invention provides a surveying and mapping device for a race. During the use, the three -dimensional smooth platform is used to make the workpiece to be tested with the image header and the space coordinate header. Parameters; Similarly, the t"&amp;"hree -dimensional skating platform and the image measurement header can obtain a two -dimensional coordinate value of the workpiece to be tested. The device set on this base is suitable for high -vocational testing and measurement measures such as higher "&amp;"vocational test and drawing measurement; the sub -titles inspection platform, the second partial inspection instrument, the sub -toolbox and the human machine are set up Interactive units can achieve measurement and mapping with less difficult operations,"&amp;" which are suitable for racing items such as middle -class surveying and mapping. The surveying and mapping device for this competition integrates two groups of surveying and mapping devices suitable for different operational difficulties. The structure i"&amp;"s reasonable and easy to use to improve the quality and efficiency of the competition.")</f>
        <v>The present invention provides a surveying and mapping device for a race. During the use, the three -dimensional smooth platform is used to make the workpiece to be tested with the image header and the space coordinate header. Parameters; Similarly, the three -dimensional skating platform and the image measurement header can obtain a two -dimensional coordinate value of the workpiece to be tested. The device set on this base is suitable for high -vocational testing and measurement measures such as higher vocational test and drawing measurement; the sub -titles inspection platform, the second partial inspection instrument, the sub -toolbox and the human machine are set up Interactive units can achieve measurement and mapping with less difficult operations, which are suitable for racing items such as middle -class surveying and mapping. The surveying and mapping device for this competition integrates two groups of surveying and mapping devices suitable for different operational difficulties. The structure is reasonable and easy to use to improve the quality and efficiency of the competition.</v>
      </c>
      <c r="D3005" s="6" t="s">
        <v>8457</v>
      </c>
      <c r="E3005" s="4" t="str">
        <f ca="1">IFERROR(__xludf.DUMMYFUNCTION("GOOGLETRANSLATE(D3005,""auto"",""en"")"),"A race measurement and mapping device for surveying and mapping")</f>
        <v>A race measurement and mapping device for surveying and mapping</v>
      </c>
    </row>
    <row r="3006" spans="1:5" ht="15" x14ac:dyDescent="0.25">
      <c r="A3006" s="5" t="s">
        <v>8458</v>
      </c>
      <c r="B3006" s="6" t="s">
        <v>8459</v>
      </c>
      <c r="C3006" s="3" t="str">
        <f ca="1">IFERROR(__xludf.DUMMYFUNCTION("GOOGLETRANSLATE(B3006,""auto"",""en"")"),"This utility model provides a surveying and mapping device for competition. During the use, through the three -dimensional smooth platform, the workpiece to be tested can be located with the image header and the space coordinate header to obtain the shape"&amp;", position tolerance and other other tested workpieces. Geometric parameters; Similarly, the three -dimensional skating platform and the image measurement header can be located to obtain the two -dimensional coordinate value of the workpiece to be tested."&amp;" Detection, the device set on this base is suitable for high -vocational testing and measurement measures such as higher vocational testing and diagnosis; this granite inspection platform, the second partial inspection instrument, the sub -toolbox and the"&amp;" person The interactive unit of the machine can achieve measurement and mapping with a slightly less difficult operation, which is suitable for racing items such as surveying and mapping in secondary vocational categories. The surveying and mapping device"&amp;" for this competition integrates two groups of surveying and mapping devices suitable for different operational difficulties. The structure is reasonable and easy to use to improve the quality and efficiency of the competition.")</f>
        <v>This utility model provides a surveying and mapping device for competition. During the use, through the three -dimensional smooth platform, the workpiece to be tested can be located with the image header and the space coordinate header to obtain the shape, position tolerance and other other tested workpieces. Geometric parameters; Similarly, the three -dimensional skating platform and the image measurement header can be located to obtain the two -dimensional coordinate value of the workpiece to be tested. Detection, the device set on this base is suitable for high -vocational testing and measurement measures such as higher vocational testing and diagnosis; this granite inspection platform, the second partial inspection instrument, the sub -toolbox and the person The interactive unit of the machine can achieve measurement and mapping with a slightly less difficult operation, which is suitable for racing items such as surveying and mapping in secondary vocational categories. The surveying and mapping device for this competition integrates two groups of surveying and mapping devices suitable for different operational difficulties. The structure is reasonable and easy to use to improve the quality and efficiency of the competition.</v>
      </c>
      <c r="D3006" s="6" t="s">
        <v>8457</v>
      </c>
      <c r="E3006" s="4" t="str">
        <f ca="1">IFERROR(__xludf.DUMMYFUNCTION("GOOGLETRANSLATE(D3006,""auto"",""en"")"),"A race measurement and mapping device for surveying and mapping")</f>
        <v>A race measurement and mapping device for surveying and mapping</v>
      </c>
    </row>
    <row r="3007" spans="1:5" ht="15" x14ac:dyDescent="0.25">
      <c r="A3007" s="5" t="s">
        <v>8460</v>
      </c>
      <c r="B3007" s="6" t="s">
        <v>8461</v>
      </c>
      <c r="C3007" s="3" t="str">
        <f ca="1">IFERROR(__xludf.DUMMYFUNCTION("GOOGLETRANSLATE(B3007,""auto"",""en"")"),"1. Design product name: Translation machine with graphical user interface.
 2. Design product use: used for running procedures.
 3. Design of the design of the product in this exterior: lies in the interface content of the graphical user interface in "&amp;"the translation machine screen.
 4. Pictures or photos that can most indicate design points: main view.
 5. No design points, so omitted, omitted views, left view, right view, down -view view, viewing view, three -dimensional map.
 6. The purpose of"&amp;" the graphic user interface: The graphic user interface of the product is the graphic user interface when the human -computer interdependence is performed by the translation machine.
 7. The area of ​​the graphic user interface in the product: The main "&amp;"view of the map is on the left position, and there are translation, intercom, traffic sharing, tour guides, Internet access, me and setting mold fast.
 The right side is time display and message display.
 8. Human -computer interaction method of graph"&amp;"ical user interface: The user can communicate with the translation machine to communicate with the translation machine by clicking the translation icon of the main screen interface.
 9. Change state description of the graphic user interface: Swipe the i"&amp;"nterface from the main view to the right, display another interface diagram.")</f>
        <v>1. Design product name: Translation machine with graphical user interface.
 2. Design product use: used for running procedures.
 3. Design of the design of the product in this exterior: lies in the interface content of the graphical user interface in the translation machine screen.
 4. Pictures or photos that can most indicate design points: main view.
 5. No design points, so omitted, omitted views, left view, right view, down -view view, viewing view, three -dimensional map.
 6. The purpose of the graphic user interface: The graphic user interface of the product is the graphic user interface when the human -computer interdependence is performed by the translation machine.
 7. The area of ​​the graphic user interface in the product: The main view of the map is on the left position, and there are translation, intercom, traffic sharing, tour guides, Internet access, me and setting mold fast.
 The right side is time display and message display.
 8. Human -computer interaction method of graphical user interface: The user can communicate with the translation machine to communicate with the translation machine by clicking the translation icon of the main screen interface.
 9. Change state description of the graphic user interface: Swipe the interface from the main view to the right, display another interface diagram.</v>
      </c>
      <c r="D3007" s="6" t="s">
        <v>8462</v>
      </c>
      <c r="E3007" s="4" t="str">
        <f ca="1">IFERROR(__xludf.DUMMYFUNCTION("GOOGLETRANSLATE(D3007,""auto"",""en"")"),"Translation machine with graphical user interface")</f>
        <v>Translation machine with graphical user interface</v>
      </c>
    </row>
    <row r="3008" spans="1:5" ht="15" x14ac:dyDescent="0.25">
      <c r="A3008" s="5" t="s">
        <v>8463</v>
      </c>
      <c r="B3008" s="6" t="s">
        <v>8464</v>
      </c>
      <c r="C3008" s="3" t="str">
        <f ca="1">IFERROR(__xludf.DUMMYFUNCTION("GOOGLETRANSLATE(B3008,""auto"",""en"")"),"The present invention involves an anaerobic exercise and fitness recommendation method, device, anaerobic equipment and storage media. This method includes: obtaining users on both sides of anaerobic exercise equipment on both sides of the oxygen -oxygen "&amp;"sports equipment; input the motion trajectory on both sides of the anaerobic exercise equipment into the preset neural network model to obtain the action posture on both sides of the human body In the preset neural network model, the corresponding relatio"&amp;"nship between the motion trajectory on both sides of the human body and the action posture on both sides of the human body; according to the action posture on both sides of the human body, calculate the relative error of the action posture on both sides o"&amp;"f the human body, and will relative to relative The error is compared with the corresponding relative error threshold; if the relative error is greater than the relative error threshold, the output prompt message, prompting the message to indicate that th"&amp;"e user corrects the current error movement posture. Using this method, users can timely let users know whether their current action posture is correct, which improves the interactive experience between users and anaerobic sports equipment.")</f>
        <v>The present invention involves an anaerobic exercise and fitness recommendation method, device, anaerobic equipment and storage media. This method includes: obtaining users on both sides of anaerobic exercise equipment on both sides of the oxygen -oxygen sports equipment; input the motion trajectory on both sides of the anaerobic exercise equipment into the preset neural network model to obtain the action posture on both sides of the human body In the preset neural network model, the corresponding relationship between the motion trajectory on both sides of the human body and the action posture on both sides of the human body; according to the action posture on both sides of the human body, calculate the relative error of the action posture on both sides of the human body, and will relative to relative The error is compared with the corresponding relative error threshold; if the relative error is greater than the relative error threshold, the output prompt message, prompting the message to indicate that the user corrects the current error movement posture. Using this method, users can timely let users know whether their current action posture is correct, which improves the interactive experience between users and anaerobic sports equipment.</v>
      </c>
      <c r="D3008" s="6" t="s">
        <v>8465</v>
      </c>
      <c r="E3008" s="4" t="str">
        <f ca="1">IFERROR(__xludf.DUMMYFUNCTION("GOOGLETRANSLATE(D3008,""auto"",""en"")"),"Aerobic exercise and fitness recommendation method, device, anaerobic equipment and storage media")</f>
        <v>Aerobic exercise and fitness recommendation method, device, anaerobic equipment and storage media</v>
      </c>
    </row>
    <row r="3009" spans="1:5" ht="15" x14ac:dyDescent="0.25">
      <c r="A3009" s="5" t="s">
        <v>8466</v>
      </c>
      <c r="B3009" s="6" t="s">
        <v>8467</v>
      </c>
      <c r="C3009" s="3" t="str">
        <f ca="1">IFERROR(__xludf.DUMMYFUNCTION("GOOGLETRANSLATE(B3009,""auto"",""en"")"),"The present invention provides a shooting game management method, system, equipment and storage medium. This method includes: to obtain the shooting video corresponding to each contestant's shooting competition; extract the target image corresponding to t"&amp;"he participants in the shooting video; Identify the position and ring number of the pores in the target image in the target image, and calculate the results of the corresponding contestants and store it. By collecting the shooting videos of the participan"&amp;"ts, the target image corresponding to the participant shooting video can be used to achieve automatic identification of the competition results of the participants. There is no need to participate in the whole process. With ability, convenient trace trace"&amp;"ability.")</f>
        <v>The present invention provides a shooting game management method, system, equipment and storage medium. This method includes: to obtain the shooting video corresponding to each contestant's shooting competition; extract the target image corresponding to the participants in the shooting video; Identify the position and ring number of the pores in the target image in the target image, and calculate the results of the corresponding contestants and store it. By collecting the shooting videos of the participants, the target image corresponding to the participant shooting video can be used to achieve automatic identification of the competition results of the participants. There is no need to participate in the whole process. With ability, convenient trace traceability.</v>
      </c>
      <c r="D3009" s="6" t="s">
        <v>8468</v>
      </c>
      <c r="E3009" s="4" t="str">
        <f ca="1">IFERROR(__xludf.DUMMYFUNCTION("GOOGLETRANSLATE(D3009,""auto"",""en"")"),"Shooting competition management methods, systems, equipment and storage media")</f>
        <v>Shooting competition management methods, systems, equipment and storage media</v>
      </c>
    </row>
    <row r="3010" spans="1:5" ht="15" x14ac:dyDescent="0.25">
      <c r="A3010" s="5" t="s">
        <v>8469</v>
      </c>
      <c r="B3010" s="6" t="s">
        <v>8470</v>
      </c>
      <c r="C3010" s="3" t="str">
        <f ca="1">IFERROR(__xludf.DUMMYFUNCTION("GOOGLETRANSLATE(B3010,""auto"",""en"")"),"The invention disclosed an automatic navigation system for unmanned lifeboats, including processors, radio frequency receiving modules, storage modules, power supply modules, driving modules, speed measuring modules, GPS navigation modules, radar modules,"&amp;" image recognition modules and camera modules. Electrochemical connection between the sending module and the processor is connected with the electrical connection of the processor to the processor, the power supply module is connected to the processor The"&amp;" speed measuring module is connected to the processor's electricality, the GPS navigation module is connected to the processor. Benefit effects: It can use radar system and image recognition technology to timely discover non -fixed obstacles that cannot b"&amp;"e found in GPS technologies such as unmanned lifeboats, and swimmers, and other GPS technologies that cannot be found, and control the real -time dynamic planning path of unmanned lifeboats, reasonably Avoid obstacles such as ships and personnel, achieve "&amp;"the purpose of safety rescue, and avoid secondary accidents.")</f>
        <v>The invention disclosed an automatic navigation system for unmanned lifeboats, including processors, radio frequency receiving modules, storage modules, power supply modules, driving modules, speed measuring modules, GPS navigation modules, radar modules, image recognition modules and camera modules. Electrochemical connection between the sending module and the processor is connected with the electrical connection of the processor to the processor, the power supply module is connected to the processor The speed measuring module is connected to the processor's electricality, the GPS navigation module is connected to the processor. Benefit effects: It can use radar system and image recognition technology to timely discover non -fixed obstacles that cannot be found in GPS technologies such as unmanned lifeboats, and swimmers, and other GPS technologies that cannot be found, and control the real -time dynamic planning path of unmanned lifeboats, reasonably Avoid obstacles such as ships and personnel, achieve the purpose of safety rescue, and avoid secondary accidents.</v>
      </c>
      <c r="D3010" s="6" t="s">
        <v>8471</v>
      </c>
      <c r="E3010" s="4" t="str">
        <f ca="1">IFERROR(__xludf.DUMMYFUNCTION("GOOGLETRANSLATE(D3010,""auto"",""en"")"),"An unmanned lifeboat automatic return system")</f>
        <v>An unmanned lifeboat automatic return system</v>
      </c>
    </row>
    <row r="3011" spans="1:5" ht="15" x14ac:dyDescent="0.25">
      <c r="A3011" s="5" t="s">
        <v>8472</v>
      </c>
      <c r="B3011" s="6" t="s">
        <v>8473</v>
      </c>
      <c r="C3011" s="3" t="str">
        <f ca="1">IFERROR(__xludf.DUMMYFUNCTION("GOOGLETRANSLATE(B3011,""auto"",""en"")"),"The present invention records virtual reality treadmills, including the main body of the treadmill, and the main body of the treadmill has a virtual reality and human -computer interaction system, intelligent shock absorption system, infrared light curtai"&amp;"n safety system, and auxiliary air purification circulation system. Due to the use of the above technology, the invention not only expands the virtual reality of the virtual reality through combining virtual reality technology with the treadmill, but also"&amp;" brings new experience and attempts to traditional treadmills, thereby increasing users to users Use fun. At the same time, the intelligent shock absorption system, infrared light curtain safety system, and auxiliary air purification cycle system are reas"&amp;"onably settled, thereby effectively solving problems such as poor shock absorption effects of traditional treadmills, unfriendly control interaction, insufficient oxygen supply, and poor safety. Under the premise of ensuring the safety of the user's use a"&amp;"nd experience, the ultimate goal of strengthening the body is achieved.")</f>
        <v>The present invention records virtual reality treadmills, including the main body of the treadmill, and the main body of the treadmill has a virtual reality and human -computer interaction system, intelligent shock absorption system, infrared light curtain safety system, and auxiliary air purification circulation system. Due to the use of the above technology, the invention not only expands the virtual reality of the virtual reality through combining virtual reality technology with the treadmill, but also brings new experience and attempts to traditional treadmills, thereby increasing users to users Use fun. At the same time, the intelligent shock absorption system, infrared light curtain safety system, and auxiliary air purification cycle system are reasonably settled, thereby effectively solving problems such as poor shock absorption effects of traditional treadmills, unfriendly control interaction, insufficient oxygen supply, and poor safety. Under the premise of ensuring the safety of the user's use and experience, the ultimate goal of strengthening the body is achieved.</v>
      </c>
      <c r="D3011" s="6" t="s">
        <v>8474</v>
      </c>
      <c r="E3011" s="4" t="str">
        <f ca="1">IFERROR(__xludf.DUMMYFUNCTION("GOOGLETRANSLATE(D3011,""auto"",""en"")"),"Virtual reality treadmill")</f>
        <v>Virtual reality treadmill</v>
      </c>
    </row>
    <row r="3012" spans="1:5" ht="15" x14ac:dyDescent="0.25">
      <c r="A3012" s="5" t="s">
        <v>8475</v>
      </c>
      <c r="B3012" s="6" t="s">
        <v>8476</v>
      </c>
      <c r="C3012" s="3" t="str">
        <f ca="1">IFERROR(__xludf.DUMMYFUNCTION("GOOGLETRANSLATE(B3012,""auto"",""en"")"),"[0001] The present invention involves the method, system, and computer readable medium of using machine learning to provide interview preparation services. More specific, the coach evaluation of the use of machine learning with the coach evaluation of the"&amp;" image Provide interview preparation methods, systems, and computers readable mediums, which provide feedback that can be improved and allows candidates to be more intuitive and detailed to improve the feedback skills that can improve him or her interview"&amp;". This is about")</f>
        <v>[0001] The present invention involves the method, system, and computer readable medium of using machine learning to provide interview preparation services. More specific, the coach evaluation of the use of machine learning with the coach evaluation of the image Provide interview preparation methods, systems, and computers readable mediums, which provide feedback that can be improved and allows candidates to be more intuitive and detailed to improve the feedback skills that can improve him or her interview. This is about</v>
      </c>
      <c r="D3012" s="6" t="s">
        <v>8477</v>
      </c>
      <c r="E3012" s="4" t="str">
        <f ca="1">IFERROR(__xludf.DUMMYFUNCTION("GOOGLETRANSLATE(D3012,""auto"",""en"")"),"Use machine learning to provide the method of interview preparation services, system and computer readable media")</f>
        <v>Use machine learning to provide the method of interview preparation services, system and computer readable media</v>
      </c>
    </row>
    <row r="3013" spans="1:5" ht="15" x14ac:dyDescent="0.25">
      <c r="A3013" s="5" t="s">
        <v>8478</v>
      </c>
      <c r="B3013" s="6" t="s">
        <v>8479</v>
      </c>
      <c r="C3013" s="3" t="str">
        <f ca="1">IFERROR(__xludf.DUMMYFUNCTION("GOOGLETRANSLATE(B3013,""auto"",""en"")"),"This utility model involves a new type of running training monitoring and management system, including smart bracelets, smart bracelets with heart rate sensing devices, positioning devices and wireless communication devices, as well as data hotspot collec"&amp;"tion terminals and management platforms. In multiple training areas, each training area is set up with a data hotspot collection terminal. The data hotspot acquisition terminal is connected to the smart bracelet through the wireless network. The data hots"&amp;"pot collection terminal is connected to the management platform through the network. This utility model has a data hotspot collection terminal in multiple training areas, which can collect information on the smart bracelets on the students. Essence")</f>
        <v>This utility model involves a new type of running training monitoring and management system, including smart bracelets, smart bracelets with heart rate sensing devices, positioning devices and wireless communication devices, as well as data hotspot collection terminals and management platforms. In multiple training areas, each training area is set up with a data hotspot collection terminal. The data hotspot acquisition terminal is connected to the smart bracelet through the wireless network. The data hotspot collection terminal is connected to the management platform through the network. This utility model has a data hotspot collection terminal in multiple training areas, which can collect information on the smart bracelets on the students. Essence</v>
      </c>
      <c r="D3013" s="6" t="s">
        <v>8480</v>
      </c>
      <c r="E3013" s="4" t="str">
        <f ca="1">IFERROR(__xludf.DUMMYFUNCTION("GOOGLETRANSLATE(D3013,""auto"",""en"")"),"A new type of running training monitoring management system")</f>
        <v>A new type of running training monitoring management system</v>
      </c>
    </row>
    <row r="3014" spans="1:5" ht="15" x14ac:dyDescent="0.25">
      <c r="A3014" s="5" t="s">
        <v>8481</v>
      </c>
      <c r="B3014" s="6" t="s">
        <v>8482</v>
      </c>
      <c r="C3014" s="3" t="str">
        <f ca="1">IFERROR(__xludf.DUMMYFUNCTION("GOOGLETRANSLATE(B3014,""auto"",""en"")"),"The present invention disclosed a IoT cooking system and its control methods. The IoT cooking system includes cloud platforms, control, mobile clients, dishes, and service units. The control method includes the following steps The name and recipe picture "&amp;"are sent to the mobile client for display; the mobile client displays the recipe name and recipe picture stored by the cloud platform storage. Start the cooking machine according to the control instructions, and cook the main ingredients, auxiliary materi"&amp;"als and ingredients in the ingredients bag according to the cooking steps in the recipe information and the cooking time corresponding to the cooking steps. In the present invention, the control end, the control end, the cooking machine and the service un"&amp;"it are used as the background service to perform specific operations. The user only needs to choose the recipe name and the preset meal time to enjoy the food cooked by the cooking machine in the corresponding time.")</f>
        <v>The present invention disclosed a IoT cooking system and its control methods. The IoT cooking system includes cloud platforms, control, mobile clients, dishes, and service units. The control method includes the following steps The name and recipe picture are sent to the mobile client for display; the mobile client displays the recipe name and recipe picture stored by the cloud platform storage. Start the cooking machine according to the control instructions, and cook the main ingredients, auxiliary materials and ingredients in the ingredients bag according to the cooking steps in the recipe information and the cooking time corresponding to the cooking steps. In the present invention, the control end, the control end, the cooking machine and the service unit are used as the background service to perform specific operations. The user only needs to choose the recipe name and the preset meal time to enjoy the food cooked by the cooking machine in the corresponding time.</v>
      </c>
      <c r="D3014" s="6" t="s">
        <v>8483</v>
      </c>
      <c r="E3014" s="4" t="str">
        <f ca="1">IFERROR(__xludf.DUMMYFUNCTION("GOOGLETRANSLATE(D3014,""auto"",""en"")"),"An IoT cooking system and its control method")</f>
        <v>An IoT cooking system and its control method</v>
      </c>
    </row>
    <row r="3015" spans="1:5" ht="15" x14ac:dyDescent="0.25">
      <c r="A3015" s="5" t="s">
        <v>8484</v>
      </c>
      <c r="B3015" s="6" t="s">
        <v>8374</v>
      </c>
      <c r="C3015" s="3" t="str">
        <f ca="1">IFERROR(__xludf.DUMMYFUNCTION("GOOGLETRANSLATE(B3015,""auto"",""en"")"),"Provides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015" s="6" t="s">
        <v>8485</v>
      </c>
      <c r="E3015" s="4" t="str">
        <f ca="1">IFERROR(__xludf.DUMMYFUNCTION("GOOGLETRANSLATE(D3015,""auto"",""en"")"),"Used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016" spans="1:5" ht="15" x14ac:dyDescent="0.25">
      <c r="A3016" s="5" t="s">
        <v>8486</v>
      </c>
      <c r="B3016" s="6" t="s">
        <v>8487</v>
      </c>
      <c r="C3016" s="3" t="str">
        <f ca="1">IFERROR(__xludf.DUMMYFUNCTION("GOOGLETRANSLATE(B3016,""auto"",""en"")"),"Early warning algorithm based on the CNN model is an early warning method of early epileptic seizures based on deep learning. The invention proposes an early warning algorithm based on the CNN model, which aims to achieve an early warning system for epile"&amp;"ptic seizures. This algorithm first preprocesses the intracranial electrocardiogram (EEG) data (EEG) data under IEEG monitoring, and then standardized the original results based on the CNN model and through SoftMax, minmax, and Median. The ROC curve and s"&amp;"ensitivity specific analysis curve of the data obtain the original predictive AUC value based on the CNN model. The original predictive AUC value of the algorithm is 0.790, which means that the CNN model of the algorithm has learned the key information of"&amp;" predicting epilepsy, which can accurately predict the state of epileptic seizures based on Electronics data or pre -seizures. This algorithm can be used to control seizures and remind patients when they need to pay attention to potential dangerous activi"&amp;"ties such as driving or swimming.")</f>
        <v>Early warning algorithm based on the CNN model is an early warning method of early epileptic seizures based on deep learning. The invention proposes an early warning algorithm based on the CNN model, which aims to achieve an early warning system for epileptic seizures. This algorithm first preprocesses the intracranial electrocardiogram (EEG) data (EEG) data under IEEG monitoring, and then standardized the original results based on the CNN model and through SoftMax, minmax, and Median. The ROC curve and sensitivity specific analysis curve of the data obtain the original predictive AUC value based on the CNN model. The original predictive AUC value of the algorithm is 0.790, which means that the CNN model of the algorithm has learned the key information of predicting epilepsy, which can accurately predict the state of epileptic seizures based on Electronics data or pre -seizures. This algorithm can be used to control seizures and remind patients when they need to pay attention to potential dangerous activities such as driving or swimming.</v>
      </c>
      <c r="D3016" s="6" t="s">
        <v>8488</v>
      </c>
      <c r="E3016" s="4" t="str">
        <f ca="1">IFERROR(__xludf.DUMMYFUNCTION("GOOGLETRANSLATE(D3016,""auto"",""en"")"),"Early warning algorithm based on the CNN model")</f>
        <v>Early warning algorithm based on the CNN model</v>
      </c>
    </row>
    <row r="3017" spans="1:5" ht="15" x14ac:dyDescent="0.25">
      <c r="A3017" s="5" t="s">
        <v>8489</v>
      </c>
      <c r="B3017" s="6" t="s">
        <v>8490</v>
      </c>
      <c r="C3017" s="3" t="str">
        <f ca="1">IFERROR(__xludf.DUMMYFUNCTION("GOOGLETRANSLATE(B3017,""auto"",""en"")"),"The present invention disclosed a image segmentation method based on the iterative learning based on convolutional neural networks. Based on the U‑Net model, it proposes a new method of loss calculation and iteration training for the training process of t"&amp;"he pathological image semantic segmentation model training process. This method adjusts the solution target function by improving the calculation method of the loss function in the model. It is proposed to use the model of the model prediction area to sup"&amp;"plement the bidding area. Through iterative training, further repair incomplete and uncertain supervision areas to obtain a more fine sample, thereby completing a higher precise semantic segmentation. This new model learning method proposed for incomplete"&amp;" and uncertainty supervision issues has a strong robustness, so it can better divide the lesion area. In the case of the same training model and the same dataset, this method is used, which can improve the accuracy of about 0.4‑0.8 compared to the origina"&amp;"l model. In the field of competitions and scientific research, it has a significant effect.")</f>
        <v>The present invention disclosed a image segmentation method based on the iterative learning based on convolutional neural networks. Based on the U‑Net model, it proposes a new method of loss calculation and iteration training for the training process of the pathological image semantic segmentation model training process. This method adjusts the solution target function by improving the calculation method of the loss function in the model. It is proposed to use the model of the model prediction area to supplement the bidding area. Through iterative training, further repair incomplete and uncertain supervision areas to obtain a more fine sample, thereby completing a higher precise semantic segmentation. This new model learning method proposed for incomplete and uncertainty supervision issues has a strong robustness, so it can better divide the lesion area. In the case of the same training model and the same dataset, this method is used, which can improve the accuracy of about 0.4‑0.8 compared to the original model. In the field of competitions and scientific research, it has a significant effect.</v>
      </c>
      <c r="D3017" s="6" t="s">
        <v>8491</v>
      </c>
      <c r="E3017" s="4" t="str">
        <f ca="1">IFERROR(__xludf.DUMMYFUNCTION("GOOGLETRANSLATE(D3017,""auto"",""en"")"),"A method of image segmentation based on iterative learning based on convolutional neural networks")</f>
        <v>A method of image segmentation based on iterative learning based on convolutional neural networks</v>
      </c>
    </row>
    <row r="3018" spans="1:5" ht="15" x14ac:dyDescent="0.25">
      <c r="A3018" s="5" t="s">
        <v>8492</v>
      </c>
      <c r="B3018" s="6" t="s">
        <v>8493</v>
      </c>
      <c r="C3018" s="3" t="str">
        <f ca="1">IFERROR(__xludf.DUMMYFUNCTION("GOOGLETRANSLATE(B3018,""auto"",""en"")"),"本发明公开了一种基于划船动作的智能化老年人肌肉训练设备及方法，包括心电检测模块、血压测量模块、肌肉和脂肪测量模块、控制处理模块、磁阻调节模块、人机交互模块、 Power module, shipwriter main body and cloud database. The training equipment in the invention is based on the functional parameters of the elderly fitness, combined with histo"&amp;"rical training programs and training records, and intelligently generate reasonable and effective muscle training solutions. During the training process, the invention monitors the heart rate of the elderly fitness in real time, reaches the adjustment of "&amp;"the heart rate by adjusting the intensity of the training, and monitor the dynamic ECG and dynamic blood pressure of the elderly fitness in real time to predict the possible exercise risks. After finishing training, the training will be evaluated and anal"&amp;"yzed the reasons that may cause unfinished training. The results of the historical training in the cloud database can only be analyzed in real time. sex.")</f>
        <v>本发明公开了一种基于划船动作的智能化老年人肌肉训练设备及方法，包括心电检测模块、血压测量模块、肌肉和脂肪测量模块、控制处理模块、磁阻调节模块、人机交互模块、 Power module, shipwriter main body and cloud database. The training equipment in the invention is based on the functional parameters of the elderly fitness, combined with historical training programs and training records, and intelligently generate reasonable and effective muscle training solutions. During the training process, the invention monitors the heart rate of the elderly fitness in real time, reaches the adjustment of the heart rate by adjusting the intensity of the training, and monitor the dynamic ECG and dynamic blood pressure of the elderly fitness in real time to predict the possible exercise risks. After finishing training, the training will be evaluated and analyzed the reasons that may cause unfinished training. The results of the historical training in the cloud database can only be analyzed in real time. sex.</v>
      </c>
      <c r="D3018" s="6" t="s">
        <v>8494</v>
      </c>
      <c r="E3018" s="4" t="str">
        <f ca="1">IFERROR(__xludf.DUMMYFUNCTION("GOOGLETRANSLATE(D3018,""auto"",""en"")"),"An intelligent elderly muscle training equipment and methods based on rowing movements")</f>
        <v>An intelligent elderly muscle training equipment and methods based on rowing movements</v>
      </c>
    </row>
    <row r="3019" spans="1:5" ht="15" x14ac:dyDescent="0.25">
      <c r="A3019" s="5" t="s">
        <v>8495</v>
      </c>
      <c r="B3019" s="6" t="s">
        <v>8496</v>
      </c>
      <c r="C3019" s="3" t="str">
        <f ca="1">IFERROR(__xludf.DUMMYFUNCTION("GOOGLETRANSLATE(B3019,""auto"",""en"")"),"The present invention disclosed a sports testing equipment based on IoT technology, which is a sports equipment technology field, including detecting the main body of the belt and receiving equipment. There is a sticky band A on the right side. The interi"&amp;"or position of the inside of the main body of the belt is set with a central processor. There is a communication module on the left side of the central processor. Essence Based on the use of IoT technology as the foundation, information interaction betwee"&amp;"n sensors and IoT information, analyzing and judging motion data, and testing the athlete's body, which improves the accuracy of the data obtained in the game. At the same time, the physical condition of the athletes is guaranteed in the exercise process,"&amp;" the degree of intelligence is high, the data analysis, the data is accurately transmitted, and the data is timeliness, which improves the intelligence of exercise testing equipment.")</f>
        <v>The present invention disclosed a sports testing equipment based on IoT technology, which is a sports equipment technology field, including detecting the main body of the belt and receiving equipment. There is a sticky band A on the right side. The interior position of the inside of the main body of the belt is set with a central processor. There is a communication module on the left side of the central processor. Essence Based on the use of IoT technology as the foundation, information interaction between sensors and IoT information, analyzing and judging motion data, and testing the athlete's body, which improves the accuracy of the data obtained in the game. At the same time, the physical condition of the athletes is guaranteed in the exercise process, the degree of intelligence is high, the data analysis, the data is accurately transmitted, and the data is timeliness, which improves the intelligence of exercise testing equipment.</v>
      </c>
      <c r="D3019" s="6" t="s">
        <v>8497</v>
      </c>
      <c r="E3019" s="4" t="str">
        <f ca="1">IFERROR(__xludf.DUMMYFUNCTION("GOOGLETRANSLATE(D3019,""auto"",""en"")"),"A motion detection equipment based on IoT technology")</f>
        <v>A motion detection equipment based on IoT technology</v>
      </c>
    </row>
    <row r="3020" spans="1:5" ht="15" x14ac:dyDescent="0.25">
      <c r="A3020" s="5" t="s">
        <v>8498</v>
      </c>
      <c r="B3020" s="6" t="s">
        <v>8499</v>
      </c>
      <c r="C3020" s="3" t="str">
        <f ca="1">IFERROR(__xludf.DUMMYFUNCTION("GOOGLETRANSLATE(B3020,""auto"",""en"")"),"The invention provides a large span sports building indoor temperature intelligent regulation system, including: multiple infrared temperature monitors for real -time temperature monitoring of large -scale space indoor, and obtaining the first temperature"&amp;" data; multiple ground temperature sensors , It is used to monitor the temperature of the ground and obtains the second temperature data; multiple air -conditioning outlets are set in various areas of large span sports buildings; multiple air conditioning"&amp;" air outlet control devices are set on each air conditioner outlet, respectively, respectively, respectively, respectively on each air conditioner outlet, respectively, respectively, respectively. It is used to control the closure and opening of the air -"&amp;"conditioning outlet; and the artificial intelligence data processing center to receive two sets of temperature data and generate real -time operation instructions, and then send it to each air conditioner outlet control device through the circuit to contr"&amp;"ol multiple air conditioners out of the out of The air outlet is closed and opened, and the temperature data monitored by the real -time operation instructions is self -learning and adjustment of the real -time control instructions, so that the room can r"&amp;"each the most ideal comfort environment.")</f>
        <v>The invention provides a large span sports building indoor temperature intelligent regulation system, including: multiple infrared temperature monitors for real -time temperature monitoring of large -scale space indoor, and obtaining the first temperature data; multiple ground temperature sensors , It is used to monitor the temperature of the ground and obtains the second temperature data; multiple air -conditioning outlets are set in various areas of large span sports buildings; multiple air conditioning air outlet control devices are set on each air conditioner outlet, respectively, respectively, respectively, respectively on each air conditioner outlet, respectively, respectively, respectively. It is used to control the closure and opening of the air -conditioning outlet; and the artificial intelligence data processing center to receive two sets of temperature data and generate real -time operation instructions, and then send it to each air conditioner outlet control device through the circuit to control multiple air conditioners out of the out of The air outlet is closed and opened, and the temperature data monitored by the real -time operation instructions is self -learning and adjustment of the real -time control instructions, so that the room can reach the most ideal comfort environment.</v>
      </c>
      <c r="D3020" s="6" t="s">
        <v>8500</v>
      </c>
      <c r="E3020" s="4" t="str">
        <f ca="1">IFERROR(__xludf.DUMMYFUNCTION("GOOGLETRANSLATE(D3020,""auto"",""en"")"),"Large -span sports building indoor temperature intelligent regulation system")</f>
        <v>Large -span sports building indoor temperature intelligent regulation system</v>
      </c>
    </row>
    <row r="3021" spans="1:5" ht="15" x14ac:dyDescent="0.25">
      <c r="A3021" s="5" t="s">
        <v>8501</v>
      </c>
      <c r="B3021" s="6" t="s">
        <v>8502</v>
      </c>
      <c r="C3021" s="3" t="str">
        <f ca="1">IFERROR(__xludf.DUMMYFUNCTION("GOOGLETRANSLATE(B3021,""auto"",""en"")"),"Examples of the present invention disclose a three -dimensional human model generating method, device, equipment, and storage medium, wherein the method includes: obtaining two -dimensional human images; entering the two -dimensional human image into the "&amp;"three -dimensional human parameter model, and obtaining two -dimensional two -dimensional The three -dimensional human parameters corresponding to the human image; adjust the three -dimensional flexible deformation model according to the three -dimensiona"&amp;"l human parameter, and the adjusted three -dimensional flexible deformation model is used as a three -dimensional human model corresponding to the two -dimensional human image. The embodiments of the present invention adopt the method of machine learning,"&amp;" and use the marked two -dimensional human images and the corresponding 3D human models to train a neural network of three -dimensional human parameters for samples, so that they can quickly obtain rebuilding on the basis of only single images. The three "&amp;"-dimensional human model has greatly reduced the complexity and calculation amount, which can be widely used in the field of sports and fitness.")</f>
        <v>Examples of the present invention disclose a three -dimensional human model generating method, device, equipment, and storage medium, wherein the method includes: obtaining two -dimensional human images; entering the two -dimensional human image into the three -dimensional human parameter model, and obtaining two -dimensional two -dimensional The three -dimensional human parameters corresponding to the human image; adjust the three -dimensional flexible deformation model according to the three -dimensional human parameter, and the adjusted three -dimensional flexible deformation model is used as a three -dimensional human model corresponding to the two -dimensional human image. The embodiments of the present invention adopt the method of machine learning, and use the marked two -dimensional human images and the corresponding 3D human models to train a neural network of three -dimensional human parameters for samples, so that they can quickly obtain rebuilding on the basis of only single images. The three -dimensional human model has greatly reduced the complexity and calculation amount, which can be widely used in the field of sports and fitness.</v>
      </c>
      <c r="D3021" s="6" t="s">
        <v>8503</v>
      </c>
      <c r="E3021" s="4" t="str">
        <f ca="1">IFERROR(__xludf.DUMMYFUNCTION("GOOGLETRANSLATE(D3021,""auto"",""en"")"),"The generation method, device, equipment and storage media of the three -dimensional human model")</f>
        <v>The generation method, device, equipment and storage media of the three -dimensional human model</v>
      </c>
    </row>
    <row r="3022" spans="1:5" ht="15" x14ac:dyDescent="0.25">
      <c r="A3022" s="5" t="s">
        <v>8504</v>
      </c>
      <c r="B3022" s="6" t="s">
        <v>8505</v>
      </c>
      <c r="C3022" s="3" t="str">
        <f ca="1">IFERROR(__xludf.DUMMYFUNCTION("GOOGLETRANSLATE(B3022,""auto"",""en"")"),"The present invention is open to the field of charging device technology. It is specifically for a remote control charging device and remote control charging method, including the device body and placing board. The central position thread is connected to "&amp;"the pressure sensor. The top cavity is installed with relay modules, single -chip microcomputers and voice recognition modules from left to right. The charging method, the specific operation steps are as follows: S1) Incontracting the wires inside the rem"&amp;"ote control; S2) Place the remote control into the storage tank to trigger the pressure sensor; S3) to say instructions, the single -chip control relay module connects the charging interface and the charging interface and The power supply between the wire"&amp;"less charging circuit board begins to charge the remote control. This solution does not need to be inserted into the cable. It simplifies the charging steps and is convenient to use. At the same time, it enriches the function of the charging device.")</f>
        <v>The present invention is open to the field of charging device technology. It is specifically for a remote control charging device and remote control charging method, including the device body and placing board. The central position thread is connected to the pressure sensor. The top cavity is installed with relay modules, single -chip microcomputers and voice recognition modules from left to right. The charging method, the specific operation steps are as follows: S1) Incontracting the wires inside the remote control; S2) Place the remote control into the storage tank to trigger the pressure sensor; S3) to say instructions, the single -chip control relay module connects the charging interface and the charging interface and The power supply between the wireless charging circuit board begins to charge the remote control. This solution does not need to be inserted into the cable. It simplifies the charging steps and is convenient to use. At the same time, it enriches the function of the charging device.</v>
      </c>
      <c r="D3022" s="6" t="s">
        <v>8506</v>
      </c>
      <c r="E3022" s="4" t="str">
        <f ca="1">IFERROR(__xludf.DUMMYFUNCTION("GOOGLETRANSLATE(D3022,""auto"",""en"")"),"A remote control charging device and remote control charging method")</f>
        <v>A remote control charging device and remote control charging method</v>
      </c>
    </row>
    <row r="3023" spans="1:5" ht="15" x14ac:dyDescent="0.25">
      <c r="A3023" s="5" t="s">
        <v>8507</v>
      </c>
      <c r="B3023" s="6" t="s">
        <v>8508</v>
      </c>
      <c r="C3023" s="3" t="str">
        <f ca="1">IFERROR(__xludf.DUMMYFUNCTION("GOOGLETRANSLATE(B3023,""auto"",""en"")"),"The present invention belongs to the field of intelligent robotics, which involves a smart ball pick -up robot, including a mobile carrier, a walking mechanism for driving rack motion on the mobile carrier, the ball pick -up device set on the rack, and th"&amp;"e settings are located on mobile The carrier is used to identify the identification module of the basketball; the invention of no this invention can identify the basketball through identifying the module and perform positioning. Realize the operation and "&amp;"capture operation of the scattered basketball, save the time to pick up the ball, do not require manpower to pick up the ball, improve the fluency during training, especially for professional players. During training Time output.")</f>
        <v>The present invention belongs to the field of intelligent robotics, which involves a smart ball pick -up robot, including a mobile carrier, a walking mechanism for driving rack motion on the mobile carrier, the ball pick -up device set on the rack, and the settings are located on mobile The carrier is used to identify the identification module of the basketball; the invention of no this invention can identify the basketball through identifying the module and perform positioning. Realize the operation and capture operation of the scattered basketball, save the time to pick up the ball, do not require manpower to pick up the ball, improve the fluency during training, especially for professional players. During training Time output.</v>
      </c>
      <c r="D3023" s="6" t="s">
        <v>8509</v>
      </c>
      <c r="E3023" s="4" t="str">
        <f ca="1">IFERROR(__xludf.DUMMYFUNCTION("GOOGLETRANSLATE(D3023,""auto"",""en"")"),"Smart ball picking robot")</f>
        <v>Smart ball picking robot</v>
      </c>
    </row>
    <row r="3024" spans="1:5" ht="15" x14ac:dyDescent="0.25">
      <c r="A3024" s="5" t="s">
        <v>8510</v>
      </c>
      <c r="B3024" s="6" t="s">
        <v>8511</v>
      </c>
      <c r="C3024" s="3" t="str">
        <f ca="1">IFERROR(__xludf.DUMMYFUNCTION("GOOGLETRANSLATE(B3024,""auto"",""en"")"),"The present invention involves a full -coverage path planning method of a screening machine. The specific operation steps of this method are: 1) map construction, 2) multi -angle scanning segmentation, 3) greedy initialization, and 4) adaptive genetic alg"&amp;"orithm treatment. The invention is looking for the minimum number of segmentation angles of the sweeper, so that the sweeper has a higher cleaning efficiency. The present invention optimizes the traversal route between the sub -regions, shorten the cleani"&amp;"ng time, and further improve its cleaning efficiency.")</f>
        <v>The present invention involves a full -coverage path planning method of a screening machine. The specific operation steps of this method are: 1) map construction, 2) multi -angle scanning segmentation, 3) greedy initialization, and 4) adaptive genetic algorithm treatment. The invention is looking for the minimum number of segmentation angles of the sweeper, so that the sweeper has a higher cleaning efficiency. The present invention optimizes the traversal route between the sub -regions, shorten the cleaning time, and further improve its cleaning efficiency.</v>
      </c>
      <c r="D3024" s="6" t="s">
        <v>8512</v>
      </c>
      <c r="E3024" s="4" t="str">
        <f ca="1">IFERROR(__xludf.DUMMYFUNCTION("GOOGLETRANSLATE(D3024,""auto"",""en"")"),"A full coverage path planning method of a floor sweeper")</f>
        <v>A full coverage path planning method of a floor sweeper</v>
      </c>
    </row>
    <row r="3025" spans="1:5" ht="15" x14ac:dyDescent="0.25">
      <c r="A3025" s="5" t="s">
        <v>8513</v>
      </c>
      <c r="B3025" s="6" t="s">
        <v>8514</v>
      </c>
      <c r="C3025" s="3" t="str">
        <f ca="1">IFERROR(__xludf.DUMMYFUNCTION("GOOGLETRANSLATE(B3025,""auto"",""en"")"),"1. The name of the product in this exterior: the graphic user interface for the mobile phone.
 2. The purpose of designing products in this exterior: The design of this product is used for running programs, display information and communication.
 3. T"&amp;"he design of the design of the product in this exterior: lies in the graphic user interface in the screen.
 4. The picture or photo of the main point of design design in this appearance: Design 1 main view.
 5. Save omitted view: Hardware products are"&amp;" commonly designed, and other views are omitted.
 6. Specify basic design: Design 1 is the basic design.
 7. The interface purpose of designing products in this exterior: This graphic user interface is the support interface of the application software"&amp;" client, and the interface is used for human -computer interaction.
 In the interface of design 1 to design 10, users can view information such as scores, records and records of the contestants, and can also view the voting support of other users on the"&amp;" competition players.
 Users can click the control at the bottom of the interface to select a game player to vote for support.")</f>
        <v>1. The name of the product in this exterior: the graphic user interface for the mobile phone.
 2. The purpose of designing products in this exterior: The design of this product is used for running programs, display information and communication.
 3. The design of the design of the product in this exterior: lies in the graphic user interface in the screen.
 4. The picture or photo of the main point of design design in this appearance: Design 1 main view.
 5. Save omitted view: Hardware products are commonly designed, and other views are omitted.
 6. Specify basic design: Design 1 is the basic design.
 7. The interface purpose of designing products in this exterior: This graphic user interface is the support interface of the application software client, and the interface is used for human -computer interaction.
 In the interface of design 1 to design 10, users can view information such as scores, records and records of the contestants, and can also view the voting support of other users on the competition players.
 Users can click the control at the bottom of the interface to select a game player to vote for support.</v>
      </c>
      <c r="D3025" s="6" t="s">
        <v>7563</v>
      </c>
      <c r="E3025" s="4" t="str">
        <f ca="1">IFERROR(__xludf.DUMMYFUNCTION("GOOGLETRANSLATE(D3025,""auto"",""en"")"),"The graphic user interface used for mobile phones")</f>
        <v>The graphic user interface used for mobile phones</v>
      </c>
    </row>
    <row r="3026" spans="1:5" ht="15" x14ac:dyDescent="0.25">
      <c r="A3026" s="5" t="s">
        <v>8515</v>
      </c>
      <c r="B3026" s="6" t="s">
        <v>8516</v>
      </c>
      <c r="C3026" s="3" t="str">
        <f ca="1">IFERROR(__xludf.DUMMYFUNCTION("GOOGLETRANSLATE(B3026,""auto"",""en"")"),"The present invention disclosed a daily behavior recognition method based on the coherent of muscle and electrical waves and support vector machines. The invention collects muscle electrical signals of human muscles through muscle signal collections to ob"&amp;"tain sample data of the two -way muscle electrical signal, and use it. Use it. Use it. Use it. A pre -processing method of improving the wavelet threshold noise reduction. Calculate the wavelet related coefficient of the wavelet signal. The sharing coeffi"&amp;"cients obtained as a feature vector input support vector machine are classified and identified. It successfully identifies different daily behaviors and has a high recognition rate. The present invention has a high recognition rate and reliability of the "&amp;"combination of small waves of muscle and electricity characteristics and support vector machines. The experimental results show that the average sensitivity of the method of the present invention for upstairs, downstairs, standing, walking, running, and f"&amp;"alling is 96.17, with an average specific degree of 92.29, which is higher than the general traditional method.")</f>
        <v>The present invention disclosed a daily behavior recognition method based on the coherent of muscle and electrical waves and support vector machines. The invention collects muscle electrical signals of human muscles through muscle signal collections to obtain sample data of the two -way muscle electrical signal, and use it. Use it. Use it. Use it. A pre -processing method of improving the wavelet threshold noise reduction. Calculate the wavelet related coefficient of the wavelet signal. The sharing coefficients obtained as a feature vector input support vector machine are classified and identified. It successfully identifies different daily behaviors and has a high recognition rate. The present invention has a high recognition rate and reliability of the combination of small waves of muscle and electricity characteristics and support vector machines. The experimental results show that the average sensitivity of the method of the present invention for upstairs, downstairs, standing, walking, running, and falling is 96.17, with an average specific degree of 92.29, which is higher than the general traditional method.</v>
      </c>
      <c r="D3026" s="6" t="s">
        <v>8517</v>
      </c>
      <c r="E3026" s="4" t="str">
        <f ca="1">IFERROR(__xludf.DUMMYFUNCTION("GOOGLETRANSLATE(D3026,""auto"",""en"")"),"Daily behavior recognition method based on muscle and electrical wavelets and support vector machines")</f>
        <v>Daily behavior recognition method based on muscle and electrical wavelets and support vector machines</v>
      </c>
    </row>
    <row r="3027" spans="1:5" ht="15" x14ac:dyDescent="0.25">
      <c r="A3027" s="5" t="s">
        <v>8518</v>
      </c>
      <c r="B3027" s="6" t="s">
        <v>8519</v>
      </c>
      <c r="C3027" s="3" t="str">
        <f ca="1">IFERROR(__xludf.DUMMYFUNCTION("GOOGLETRANSLATE(B3027,""auto"",""en"")"),"The present invention involves a smart psychological health assistant, records and analyzes the psychological state of users, and provides a variety of treatment methods. Artificial Intelligence Integration (1) The test is guided to online customers, whic"&amp;"h aims to detect the psychological state of users, an interactive support system, and provide support for doctors, psychologists, living coaches and other experts through the system during the evaluation of the user status (2 ) Regular online monitoring u"&amp;"ser status, consisting of active monitoring system (3), aiming to follow up.")</f>
        <v>The present invention involves a smart psychological health assistant, records and analyzes the psychological state of users, and provides a variety of treatment methods. Artificial Intelligence Integration (1) The test is guided to online customers, which aims to detect the psychological state of users, an interactive support system, and provide support for doctors, psychologists, living coaches and other experts through the system during the evaluation of the user status (2 ) Regular online monitoring user status, consisting of active monitoring system (3), aiming to follow up.</v>
      </c>
      <c r="D3027" s="6" t="s">
        <v>8520</v>
      </c>
      <c r="E3027" s="4" t="str">
        <f ca="1">IFERROR(__xludf.DUMMYFUNCTION("GOOGLETRANSLATE(D3027,""auto"",""en"")"),"Intelligent mental health assistant")</f>
        <v>Intelligent mental health assistant</v>
      </c>
    </row>
    <row r="3028" spans="1:5" ht="15" x14ac:dyDescent="0.25">
      <c r="A3028" s="5" t="s">
        <v>8521</v>
      </c>
      <c r="B3028" s="6" t="s">
        <v>8522</v>
      </c>
      <c r="C3028" s="3" t="str">
        <f ca="1">IFERROR(__xludf.DUMMYFUNCTION("GOOGLETRANSLATE(B3028,""auto"",""en"")"),"A method of sports relay videos based on machine learning, including the following steps: receiving multiple image data taken by multiple cameras, multiple video data received, conducting preliminary machine learning, calculating feature values ​​and pres"&amp;"et sports Feature information related to feature information; 2 to extract one of the number of image data with the results of primary machine learning as a sports image data for user preferences; it can include car machine learning and recommended image "&amp;"data on the extracted user preferences extracted.")</f>
        <v>A method of sports relay videos based on machine learning, including the following steps: receiving multiple image data taken by multiple cameras, multiple video data received, conducting preliminary machine learning, calculating feature values ​​and preset sports Feature information related to feature information; 2 to extract one of the number of image data with the results of primary machine learning as a sports image data for user preferences; it can include car machine learning and recommended image data on the extracted user preferences extracted.</v>
      </c>
      <c r="D3028" s="6" t="s">
        <v>8523</v>
      </c>
      <c r="E3028" s="4" t="str">
        <f ca="1">IFERROR(__xludf.DUMMYFUNCTION("GOOGLETRANSLATE(D3028,""auto"",""en"")"),"Sports broadcast video recommendation method and device based on machine learning")</f>
        <v>Sports broadcast video recommendation method and device based on machine learning</v>
      </c>
    </row>
    <row r="3029" spans="1:5" ht="15" x14ac:dyDescent="0.25">
      <c r="A3029" s="5" t="s">
        <v>8524</v>
      </c>
      <c r="B3029" s="6" t="s">
        <v>8525</v>
      </c>
      <c r="C3029" s="3" t="str">
        <f ca="1">IFERROR(__xludf.DUMMYFUNCTION("GOOGLETRANSLATE(B3029,""auto"",""en"")"),"This practical new model discloses a type of home fitness equipment based on the field of fitness equipment technology, including the support board and supporting board installed on the back end of the chain. The wall is evenly connected to the muscle det"&amp;"ector through the data cable. The control panel includes the PLC controller. The mission of the host's outer wall is installed with communication modules, displays, cameras, bee twisters, memory and power supply, muscle detector and camera processing modu"&amp;"le through the data processing module through the data processing module through the data processing module Electric output connection PLC controller, PLC controller via a communication module electrical output connection to the application server, the ap"&amp;"plication server electrical output connection data server, design novel design, through muscle detectors and cameras, the muscle hardness and posture of the exercise during the exercise of the exercise Real -time monitoring, reminding the exercise in a ti"&amp;"mely manner to ensure the correctness and time of the exercise posture of the exercise, thereby improving the exercise effect of the exercise.")</f>
        <v>This practical new model discloses a type of home fitness equipment based on the field of fitness equipment technology, including the support board and supporting board installed on the back end of the chain. The wall is evenly connected to the muscle detector through the data cable. The control panel includes the PLC controller. The mission of the host's outer wall is installed with communication modules, displays, cameras, bee twisters, memory and power supply, muscle detector and camera processing module through the data processing module through the data processing module through the data processing module Electric output connection PLC controller, PLC controller via a communication module electrical output connection to the application server, the application server electrical output connection data server, design novel design, through muscle detectors and cameras, the muscle hardness and posture of the exercise during the exercise of the exercise Real -time monitoring, reminding the exercise in a timely manner to ensure the correctness and time of the exercise posture of the exercise, thereby improving the exercise effect of the exercise.</v>
      </c>
      <c r="D3029" s="6" t="s">
        <v>8526</v>
      </c>
      <c r="E3029" s="4" t="str">
        <f ca="1">IFERROR(__xludf.DUMMYFUNCTION("GOOGLETRANSLATE(D3029,""auto"",""en"")"),"A home fitness equipment based on the Internet of Things")</f>
        <v>A home fitness equipment based on the Internet of Things</v>
      </c>
    </row>
    <row r="3030" spans="1:5" ht="15" x14ac:dyDescent="0.25">
      <c r="A3030" s="5" t="s">
        <v>8527</v>
      </c>
      <c r="B3030" s="6" t="s">
        <v>8528</v>
      </c>
      <c r="C3030" s="3" t="str">
        <f ca="1">IFERROR(__xludf.DUMMYFUNCTION("GOOGLETRANSLATE(B3030,""auto"",""en"")"),"The present invention involves a hidden analysis analysis method based on deep learning. The specific operation steps are as follows: divide data sets, obtain residual images through high -pass filter, build convolutional neural networks, train network mo"&amp;"dels, and preserve the best best for preservation Models, load the model respectively, save the output of the pooling layer as a feature; change the high -pass filter, generate different residual images, obtain differences characteristics, and obtain high"&amp;" -vitamin signs after the characteristic fusion; Dis -dimensional reduction; input the features after dimension reduction to XGBOOST classifiers, SVM classifiers, and KNN classifiers for classification; integrated the obtained classification results, and "&amp;"the final classification results are obtained through weighted voting. The invention can effectively improve the classification accuracy of the classifier.")</f>
        <v>The present invention involves a hidden analysis analysis method based on deep learning. The specific operation steps are as follows: divide data sets, obtain residual images through high -pass filter, build convolutional neural networks, train network models, and preserve the best best for preservation Models, load the model respectively, save the output of the pooling layer as a feature; change the high -pass filter, generate different residual images, obtain differences characteristics, and obtain high -vitamin signs after the characteristic fusion; Dis -dimensional reduction; input the features after dimension reduction to XGBOOST classifiers, SVM classifiers, and KNN classifiers for classification; integrated the obtained classification results, and the final classification results are obtained through weighted voting. The invention can effectively improve the classification accuracy of the classifier.</v>
      </c>
      <c r="D3030" s="6" t="s">
        <v>8529</v>
      </c>
      <c r="E3030" s="4" t="str">
        <f ca="1">IFERROR(__xludf.DUMMYFUNCTION("GOOGLETRANSLATE(D3030,""auto"",""en"")"),"A hybrid integration method based on deep learning analysis")</f>
        <v>A hybrid integration method based on deep learning analysis</v>
      </c>
    </row>
    <row r="3031" spans="1:5" ht="15" x14ac:dyDescent="0.25">
      <c r="A3031" s="5" t="s">
        <v>8530</v>
      </c>
      <c r="B3031" s="6" t="s">
        <v>8531</v>
      </c>
      <c r="C3031" s="3" t="str">
        <f ca="1">IFERROR(__xludf.DUMMYFUNCTION("GOOGLETRANSLATE(B3031,""auto"",""en"")"),"Portable intelligent fitness equipment (100), sports system and application methods based on the Internet of Things. The portable intelligent fitness equipment (100) includes a detachable main device (1) and multiple split devices (2) to measure different"&amp;" mechanical/human motion parameters, postures, movements and environmental parameters. The motion system includes a portable intelligent fitness device (100), smart mobile device (4), and back -end server (3) that connect to each other. Equipment (4) or u"&amp;"ploaded to the background server (3), build a game platform through the background server (3), simulate and display virtual scenarios through the APP on mobile smart devices (100), and enjoy the fun of the game during the fitness process. , Increase the e"&amp;"ntertainment of fitness; the above fitness equipment is small, easy to carry, and can do fitness exercise anytime, anywhere.")</f>
        <v>Portable intelligent fitness equipment (100), sports system and application methods based on the Internet of Things. The portable intelligent fitness equipment (100) includes a detachable main device (1) and multiple split devices (2) to measure different mechanical/human motion parameters, postures, movements and environmental parameters. The motion system includes a portable intelligent fitness device (100), smart mobile device (4), and back -end server (3) that connect to each other. Equipment (4) or uploaded to the background server (3), build a game platform through the background server (3), simulate and display virtual scenarios through the APP on mobile smart devices (100), and enjoy the fun of the game during the fitness process. , Increase the entertainment of fitness; the above fitness equipment is small, easy to carry, and can do fitness exercise anytime, anywhere.</v>
      </c>
      <c r="D3031" s="6" t="s">
        <v>8532</v>
      </c>
      <c r="E3031" s="4" t="str">
        <f ca="1">IFERROR(__xludf.DUMMYFUNCTION("GOOGLETRANSLATE(D3031,""auto"",""en"")"),"Portable intelligent fitness equipment, sports systems and application methods based on the Internet of Things")</f>
        <v>Portable intelligent fitness equipment, sports systems and application methods based on the Internet of Things</v>
      </c>
    </row>
    <row r="3032" spans="1:5" ht="15" x14ac:dyDescent="0.25">
      <c r="A3032" s="5" t="s">
        <v>8533</v>
      </c>
      <c r="B3032" s="6" t="s">
        <v>8534</v>
      </c>
      <c r="C3032" s="3" t="str">
        <f ca="1">IFERROR(__xludf.DUMMYFUNCTION("GOOGLETRANSLATE(B3032,""auto"",""en"")"),"According to the personalized living movement platform system of the implementation of the invention, including user terminals, it provides personal data including user information, physical information, and interest information; and collect personal data"&amp;" to capture multiple public data from the link server, through based on the based on the link to the server, through the based on the link server, based on the linked server. Personal data and public data pre -set machine learning and recommendation algor"&amp;"ithms, personalized customized living sports events and community living sports facilities include: providing information to user terminal information to provide servers.")</f>
        <v>According to the personalized living movement platform system of the implementation of the invention, including user terminals, it provides personal data including user information, physical information, and interest information; and collect personal data to capture multiple public data from the link server, through based on the based on the link to the server, through the based on the link server, based on the linked server. Personal data and public data pre -set machine learning and recommendation algorithms, personalized customized living sports events and community living sports facilities include: providing information to user terminal information to provide servers.</v>
      </c>
      <c r="D3032" s="6" t="s">
        <v>8535</v>
      </c>
      <c r="E3032" s="4" t="str">
        <f ca="1">IFERROR(__xludf.DUMMYFUNCTION("GOOGLETRANSLATE(D3032,""auto"",""en"")"),"Personalized Life Sports Recommended Platform System")</f>
        <v>Personalized Life Sports Recommended Platform System</v>
      </c>
    </row>
    <row r="3033" spans="1:5" ht="15" x14ac:dyDescent="0.25">
      <c r="A3033" s="5" t="s">
        <v>8536</v>
      </c>
      <c r="B3033" s="6" t="s">
        <v>8537</v>
      </c>
      <c r="C3033" s="3" t="str">
        <f ca="1">IFERROR(__xludf.DUMMYFUNCTION("GOOGLETRANSLATE(B3033,""auto"",""en"")"),"This utility model opens a smart voice recognition computer based on the Type‑c interface, including the bottom shell and the shell covered on the bottom shell. The edge of the board is installed in turn with USB 3.0 AF interface, audio/channel interface,"&amp;" RJ interface, VGA interface, HDMI interface, USB‑C interface and DC interface. Based on the smart voice recognition computer based on the Type口c interface, through the integration of a variety of data transmission interfaces on the PCB circuit board, to "&amp;"meet the needs of the venue for various multimedia operations. Communication, connect the microphone through audio/channel interfaces to achieve voice recognition and intelligent control; therefore, it can be applied to various types of conference needs, "&amp;"making people more convenient when using.")</f>
        <v>This utility model opens a smart voice recognition computer based on the Type‑c interface, including the bottom shell and the shell covered on the bottom shell. The edge of the board is installed in turn with USB 3.0 AF interface, audio/channel interface, RJ interface, VGA interface, HDMI interface, USB‑C interface and DC interface. Based on the smart voice recognition computer based on the Type口c interface, through the integration of a variety of data transmission interfaces on the PCB circuit board, to meet the needs of the venue for various multimedia operations. Communication, connect the microphone through audio/channel interfaces to achieve voice recognition and intelligent control; therefore, it can be applied to various types of conference needs, making people more convenient when using.</v>
      </c>
      <c r="D3033" s="6" t="s">
        <v>8538</v>
      </c>
      <c r="E3033" s="4" t="str">
        <f ca="1">IFERROR(__xludf.DUMMYFUNCTION("GOOGLETRANSLATE(D3033,""auto"",""en"")"),"A smart voice recognition computer based on the Type-C interface")</f>
        <v>A smart voice recognition computer based on the Type-C interface</v>
      </c>
    </row>
    <row r="3034" spans="1:5" ht="15" x14ac:dyDescent="0.25">
      <c r="A3034" s="5" t="s">
        <v>8539</v>
      </c>
      <c r="B3034" s="6" t="s">
        <v>8540</v>
      </c>
      <c r="C3034" s="3" t="str">
        <f ca="1">IFERROR(__xludf.DUMMYFUNCTION("GOOGLETRANSLATE(B3034,""auto"",""en"")"),"The invention discloses a neural network prediction system, including information entry modules, neural network construction modules, neural network prediction modules, comparative modules, and display modules; information entry modules include informatio"&amp;"n collection unit, information pre -processing unit, information storage unit, and information output Unit; the neural network construction module is constructed by the BP neural network model group transmitted by the information output unit; the neural n"&amp;"etwork prediction module is predicted by the ball player's ball control position transmitted by the information output unit according to the BP neural network model group; compare the module; compare the module Compare the prediction results of the output"&amp;" of the neural network prediction module, and obtain the maximum value of the prediction results and the maximum value of the ball control position; display the module to display the input data required by the information entry module and the output data "&amp;"of the comparative module. The present invention also publicly disclosed a prediction method based on neural networks. The present invention can reduce human factors in the selection process and improve the scientific and objectiveness of the selection pr"&amp;"ocess.")</f>
        <v>The invention discloses a neural network prediction system, including information entry modules, neural network construction modules, neural network prediction modules, comparative modules, and display modules; information entry modules include information collection unit, information pre -processing unit, information storage unit, and information output Unit; the neural network construction module is constructed by the BP neural network model group transmitted by the information output unit; the neural network prediction module is predicted by the ball player's ball control position transmitted by the information output unit according to the BP neural network model group; compare the module; compare the module Compare the prediction results of the output of the neural network prediction module, and obtain the maximum value of the prediction results and the maximum value of the ball control position; display the module to display the input data required by the information entry module and the output data of the comparative module. The present invention also publicly disclosed a prediction method based on neural networks. The present invention can reduce human factors in the selection process and improve the scientific and objectiveness of the selection process.</v>
      </c>
      <c r="D3034" s="6" t="s">
        <v>8541</v>
      </c>
      <c r="E3034" s="4" t="str">
        <f ca="1">IFERROR(__xludf.DUMMYFUNCTION("GOOGLETRANSLATE(D3034,""auto"",""en"")"),"Forecast system and method based on neural network")</f>
        <v>Forecast system and method based on neural network</v>
      </c>
    </row>
    <row r="3035" spans="1:5" ht="15" x14ac:dyDescent="0.25">
      <c r="A3035" s="5" t="s">
        <v>8542</v>
      </c>
      <c r="B3035" s="6" t="s">
        <v>8543</v>
      </c>
      <c r="C3035" s="3" t="str">
        <f ca="1">IFERROR(__xludf.DUMMYFUNCTION("GOOGLETRANSLATE(B3035,""auto"",""en"")"),"This application involves biological identification in artificial intelligence, and specially involves emotional identification in micro -expression recognition, that is, a competition monitoring method, device, computer equipment and storage media. Metho"&amp;"ds include: receiving the video to be monitored, and obtaining the first extraction time period, querying the first target emotional information of the human face image contained in the surveillance video; Two extraction time periods, query the second tar"&amp;"get emotional information of the face image included in the surveillance video; obtain the second target emotion score corresponding to the second target emotional information; calculate the first target emotion score and the second target emotional score"&amp;" The difference, when the difference exceeds the threshold, query the action information; when the action information has suspicious action information, the first identity information corresponding to the suspicious action information is queried and the f"&amp;"irst identity information is output. The use of this method can improve monitoring efficiency.")</f>
        <v>This application involves biological identification in artificial intelligence, and specially involves emotional identification in micro -expression recognition, that is, a competition monitoring method, device, computer equipment and storage media. Methods include: receiving the video to be monitored, and obtaining the first extraction time period, querying the first target emotional information of the human face image contained in the surveillance video; Two extraction time periods, query the second target emotional information of the face image included in the surveillance video; obtain the second target emotion score corresponding to the second target emotional information; calculate the first target emotion score and the second target emotional score The difference, when the difference exceeds the threshold, query the action information; when the action information has suspicious action information, the first identity information corresponding to the suspicious action information is queried and the first identity information is output. The use of this method can improve monitoring efficiency.</v>
      </c>
      <c r="D3035" s="6" t="s">
        <v>8544</v>
      </c>
      <c r="E3035" s="4" t="str">
        <f ca="1">IFERROR(__xludf.DUMMYFUNCTION("GOOGLETRANSLATE(D3035,""auto"",""en"")"),"Competition monitoring methods, devices, computer equipment and storage media")</f>
        <v>Competition monitoring methods, devices, computer equipment and storage media</v>
      </c>
    </row>
    <row r="3036" spans="1:5" ht="15" x14ac:dyDescent="0.25">
      <c r="A3036" s="5" t="s">
        <v>8545</v>
      </c>
      <c r="B3036" s="6" t="s">
        <v>8546</v>
      </c>
      <c r="C3036" s="3" t="str">
        <f ca="1">IFERROR(__xludf.DUMMYFUNCTION("GOOGLETRANSLATE(B3036,""auto"",""en"")"),"The present invention discloses a player recognition method based on deep learning. This method step: (1) Download the video of the HD basketball game and draw the video into a frame of pictures; (2) intercept the athletes in the picture, Get 210 athletes"&amp;" with a clearer jersey number; (3) According to the player's jersey number, use Bounding Box to mark the position of the number of 210 pictures and classify the label; The dataset is trained, and the weight of the training is preserved after the training "&amp;"is completed. The invention can use the positioning of the jersey number and identification to achieve automatic recognition of the athletes. The test results have good accuracy and robustness, which greatly reduces the workload of artificial search metho"&amp;"ds that was commonly used in the past.")</f>
        <v>The present invention discloses a player recognition method based on deep learning. This method step: (1) Download the video of the HD basketball game and draw the video into a frame of pictures; (2) intercept the athletes in the picture, Get 210 athletes with a clearer jersey number; (3) According to the player's jersey number, use Bounding Box to mark the position of the number of 210 pictures and classify the label; The dataset is trained, and the weight of the training is preserved after the training is completed. The invention can use the positioning of the jersey number and identification to achieve automatic recognition of the athletes. The test results have good accuracy and robustness, which greatly reduces the workload of artificial search methods that was commonly used in the past.</v>
      </c>
      <c r="D3036" s="6" t="s">
        <v>8547</v>
      </c>
      <c r="E3036" s="4" t="str">
        <f ca="1">IFERROR(__xludf.DUMMYFUNCTION("GOOGLETRANSLATE(D3036,""auto"",""en"")"),"A method of player recognition based on deep learning")</f>
        <v>A method of player recognition based on deep learning</v>
      </c>
    </row>
    <row r="3037" spans="1:5" ht="15" x14ac:dyDescent="0.25">
      <c r="A3037" s="5" t="s">
        <v>8548</v>
      </c>
      <c r="B3037" s="6" t="s">
        <v>8549</v>
      </c>
      <c r="C3037" s="3" t="str">
        <f ca="1">IFERROR(__xludf.DUMMYFUNCTION("GOOGLETRANSLATE(B3037,""auto"",""en"")"),"This utility model discloses an IoT technology field -based electric treadmill intelligent adapter, including the shell, the internal installation of the shell, the PCB motherboard, and the MCU processor, the data collection module, and the power supply a"&amp;"re installed on the PCB motherboard respectively Manage the module, the outer wall of the shell is installed with wireless transceivers, communication interfaces, and electric power cables, data collection module electrical output connecting MCU processor"&amp;"s, data collection modules input the electric treadmill MCU processor, MCU processor MCU processor, MCU processor through power wire electrical input Electric two -way connection power management modules, wireless transceivers and communication interfaces"&amp;", wireless transceiver signals are connected to the mobile terminal of external users. Through the mobile terminal obtains runner information and power information, the mobile terminal can use a smart adapter to perform an electric treadmill machine throu"&amp;"gh a smart adapter to an electric treadmill machine Wireless control, that is, the power supply can be connected and disconnected, and the working status of the electric treadmill can be controlled, which greatly improves the user's experience and is conv"&amp;"enient to use.")</f>
        <v>This utility model discloses an IoT technology field -based electric treadmill intelligent adapter, including the shell, the internal installation of the shell, the PCB motherboard, and the MCU processor, the data collection module, and the power supply are installed on the PCB motherboard respectively Manage the module, the outer wall of the shell is installed with wireless transceivers, communication interfaces, and electric power cables, data collection module electrical output connecting MCU processors, data collection modules input the electric treadmill MCU processor, MCU processor MCU processor, MCU processor through power wire electrical input Electric two -way connection power management modules, wireless transceivers and communication interfaces, wireless transceiver signals are connected to the mobile terminal of external users. Through the mobile terminal obtains runner information and power information, the mobile terminal can use a smart adapter to perform an electric treadmill machine through a smart adapter to an electric treadmill machine Wireless control, that is, the power supply can be connected and disconnected, and the working status of the electric treadmill can be controlled, which greatly improves the user's experience and is convenient to use.</v>
      </c>
      <c r="D3037" s="6" t="s">
        <v>8550</v>
      </c>
      <c r="E3037" s="4" t="str">
        <f ca="1">IFERROR(__xludf.DUMMYFUNCTION("GOOGLETRANSLATE(D3037,""auto"",""en"")"),"An intelligent adapter based on the Internet of Things -based electric treadmill")</f>
        <v>An intelligent adapter based on the Internet of Things -based electric treadmill</v>
      </c>
    </row>
    <row r="3038" spans="1:5" ht="15" x14ac:dyDescent="0.25">
      <c r="A3038" s="5" t="s">
        <v>8551</v>
      </c>
      <c r="B3038" s="6" t="s">
        <v>8552</v>
      </c>
      <c r="C3038" s="3" t="str">
        <f ca="1">IFERROR(__xludf.DUMMYFUNCTION("GOOGLETRANSLATE(B3038,""auto"",""en"")"),"This utility model discloses a fitness equipment based on IoT technology with real -time online interactive functions, including the body of the fitness equipment and the online interactive system set on the fitness equipment body. There is a sliding pane"&amp;"l on the top, a supporting plate on the bracket, a lifting screw rod on the left side of the support plate, the bottom end of the rod at the rod of the rod, the middle part of the barbell is equipped with a barbell pole, the ends of the barbell pole are c"&amp;"onnected to the limited bits of nuts at both ends of the lever , Install on the sliding rod, there is a buffer spring between the barbell lever and the support plate. The online interactive system includes the displacement sensor, wireless data transmitte"&amp;"r, wireless data receiver, service host, and mobile terminals that are connected in turn. The design of the new structure is reasonable. This practical new model can be suitable for people of different heights, and can avoid the sudden decline in the barb"&amp;"ells and cause damage to users during the weightlifting process. It has certain protection functions.")</f>
        <v>This utility model discloses a fitness equipment based on IoT technology with real -time online interactive functions, including the body of the fitness equipment and the online interactive system set on the fitness equipment body. There is a sliding panel on the top, a supporting plate on the bracket, a lifting screw rod on the left side of the support plate, the bottom end of the rod at the rod of the rod, the middle part of the barbell is equipped with a barbell pole, the ends of the barbell pole are connected to the limited bits of nuts at both ends of the lever , Install on the sliding rod, there is a buffer spring between the barbell lever and the support plate. The online interactive system includes the displacement sensor, wireless data transmitter, wireless data receiver, service host, and mobile terminals that are connected in turn. The design of the new structure is reasonable. This practical new model can be suitable for people of different heights, and can avoid the sudden decline in the barbells and cause damage to users during the weightlifting process. It has certain protection functions.</v>
      </c>
      <c r="D3038" s="6" t="s">
        <v>8553</v>
      </c>
      <c r="E3038" s="4" t="str">
        <f ca="1">IFERROR(__xludf.DUMMYFUNCTION("GOOGLETRANSLATE(D3038,""auto"",""en"")"),"A fitness equipment based on IoT technology with real -time online interactive functions")</f>
        <v>A fitness equipment based on IoT technology with real -time online interactive functions</v>
      </c>
    </row>
    <row r="3039" spans="1:5" ht="15" x14ac:dyDescent="0.25">
      <c r="A3039" s="5" t="s">
        <v>8554</v>
      </c>
      <c r="B3039" s="6" t="s">
        <v>8555</v>
      </c>
      <c r="C3039" s="3" t="str">
        <f ca="1">IFERROR(__xludf.DUMMYFUNCTION("GOOGLETRANSLATE(B3039,""auto"",""en"")"),"Examples of the present invention provide a fitness time computing method, device and fitness equipment based on face recognition. This method includes: collecting face images to be recognized, to know the face images of the face of other people's faces; "&amp;"identify the face of other people's faces Image, the feature vector of the image of other people's faces; the characteristic vector of the image of the face of others is matched with the characteristic vectors of multiple personal face image samples in th"&amp;"e database to get the matching result; according to the result, determine whether the fittener is With the right to use fitness equipment, if so, activate fitness equipment and start timing; to detect whether to receive instructions used to indicate to st"&amp;"op timing. If you receive instructions, stop timing; The use of fitness equipment. The technical scheme provided by the embodiments of the present invention can solve the problem of the low efficiency of artificial statistics in existing technology.")</f>
        <v>Examples of the present invention provide a fitness time computing method, device and fitness equipment based on face recognition. This method includes: collecting face images to be recognized, to know the face images of the face of other people's faces; identify the face of other people's faces Image, the feature vector of the image of other people's faces; the characteristic vector of the image of the face of others is matched with the characteristic vectors of multiple personal face image samples in the database to get the matching result; according to the result, determine whether the fittener is With the right to use fitness equipment, if so, activate fitness equipment and start timing; to detect whether to receive instructions used to indicate to stop timing. If you receive instructions, stop timing; The use of fitness equipment. The technical scheme provided by the embodiments of the present invention can solve the problem of the low efficiency of artificial statistics in existing technology.</v>
      </c>
      <c r="D3039" s="6" t="s">
        <v>8556</v>
      </c>
      <c r="E3039" s="4" t="str">
        <f ca="1">IFERROR(__xludf.DUMMYFUNCTION("GOOGLETRANSLATE(D3039,""auto"",""en"")"),"Face -based fitness calculation method, device and fitness equipment")</f>
        <v>Face -based fitness calculation method, device and fitness equipment</v>
      </c>
    </row>
    <row r="3040" spans="1:5" ht="15" x14ac:dyDescent="0.25">
      <c r="A3040" s="5" t="s">
        <v>8557</v>
      </c>
      <c r="B3040" s="6" t="s">
        <v>8558</v>
      </c>
      <c r="C3040" s="3" t="str">
        <f ca="1">IFERROR(__xludf.DUMMYFUNCTION("GOOGLETRANSLATE(B3040,""auto"",""en"")"),"Examples of the present invention provides a parameter adjustment method, device and fitness equipment based on voice recognition. This method includes: obtain the voice signal of the fitness person; use the preset deep learning voice recognition model to"&amp;" identify the voice signal to obtain the voice text; extract voice text; extract voice text; extract voice text; The keywords in the middle, get the target keyword, and concentrate the keywords of the target keywords with the preset voice instructions to "&amp;"match the keywords to get the target voice instruction. Each voice instruction concentrated by voice instructions is at least one keyword. Correspondingly; respond to the target voice instructions to detect the real -time heart rate of the fitness of the "&amp;"fitness; judge whether the real -time heart rate of the fitness of the fitness is within the preset heart rate range; Parameters of fitness equipment. The technical scheme provided by the embodiment of the present invention can solve the problem that the "&amp;"fitness equipment in the existing technology cannot automatically adjust the parameters to meet the physical fitness needs of users.")</f>
        <v>Examples of the present invention provides a parameter adjustment method, device and fitness equipment based on voice recognition. This method includes: obtain the voice signal of the fitness person; use the preset deep learning voice recognition model to identify the voice signal to obtain the voice text; extract voice text; extract voice text; extract voice text; The keywords in the middle, get the target keyword, and concentrate the keywords of the target keywords with the preset voice instructions to match the keywords to get the target voice instruction. Each voice instruction concentrated by voice instructions is at least one keyword. Correspondingly; respond to the target voice instructions to detect the real -time heart rate of the fitness of the fitness; judge whether the real -time heart rate of the fitness of the fitness is within the preset heart rate range; Parameters of fitness equipment. The technical scheme provided by the embodiment of the present invention can solve the problem that the fitness equipment in the existing technology cannot automatically adjust the parameters to meet the physical fitness needs of users.</v>
      </c>
      <c r="D3040" s="6" t="s">
        <v>8559</v>
      </c>
      <c r="E3040" s="4" t="str">
        <f ca="1">IFERROR(__xludf.DUMMYFUNCTION("GOOGLETRANSLATE(D3040,""auto"",""en"")"),"Parameter adjustment method, device and fitness equipment based on voice recognition")</f>
        <v>Parameter adjustment method, device and fitness equipment based on voice recognition</v>
      </c>
    </row>
    <row r="3041" spans="1:5" ht="15" x14ac:dyDescent="0.25">
      <c r="A3041" s="5" t="s">
        <v>8560</v>
      </c>
      <c r="B3041" s="6" t="s">
        <v>8561</v>
      </c>
      <c r="C3041" s="3" t="str">
        <f ca="1">IFERROR(__xludf.DUMMYFUNCTION("GOOGLETRANSLATE(B3041,""auto"",""en"")"),"The present invention provides a method, device and system of exercise training effects, technical fields involving human -machine interaction, including: the muscle sound information of each muscle group trained muscle group, and simultaneous collection "&amp;"of training videos of training; for the muscle, the muscle The sound information is filtered and featured to obtain feature information; the action video is extracted to obtain the action image; the exercise training effect is evaluated according to the f"&amp;"eature information and the action image. The invention can timely evaluate sports training effects by combining muscle sound information with action videos. It has the characteristics of strong timeliness, high accuracy, and strong operability. It is suit"&amp;"able for sports workers and can realize industrialization.")</f>
        <v>The present invention provides a method, device and system of exercise training effects, technical fields involving human -machine interaction, including: the muscle sound information of each muscle group trained muscle group, and simultaneous collection of training videos of training; for the muscle, the muscle The sound information is filtered and featured to obtain feature information; the action video is extracted to obtain the action image; the exercise training effect is evaluated according to the feature information and the action image. The invention can timely evaluate sports training effects by combining muscle sound information with action videos. It has the characteristics of strong timeliness, high accuracy, and strong operability. It is suitable for sports workers and can realize industrialization.</v>
      </c>
      <c r="D3041" s="6" t="s">
        <v>8562</v>
      </c>
      <c r="E3041" s="4" t="str">
        <f ca="1">IFERROR(__xludf.DUMMYFUNCTION("GOOGLETRANSLATE(D3041,""auto"",""en"")"),"Evaluation method, device and system of sports training effect")</f>
        <v>Evaluation method, device and system of sports training effect</v>
      </c>
    </row>
    <row r="3042" spans="1:5" ht="15" x14ac:dyDescent="0.25">
      <c r="A3042" s="5" t="s">
        <v>8563</v>
      </c>
      <c r="B3042" s="6" t="s">
        <v>8564</v>
      </c>
      <c r="C3042" s="3" t="str">
        <f ca="1">IFERROR(__xludf.DUMMYFUNCTION("GOOGLETRANSLATE(B3042,""auto"",""en"")"),"The present invention involves a device and method that improves the image recognition rate. The device that improves the license plate recognition rate of the invention includes: image pre -processing unit for image preparation to remove the noise contai"&amp;"ned in the image; Detect the license plate from the pre -processed image; the license plate image extraction unit, only the detected license plate image is extracted; the image recovery unit is used to recover the extracted license plate image with the SR"&amp;"GAN algorithm to the resolution of the resolution. Regional detection units are used to detect the number, symbols and at least one area in the license plate image that resumes more than the set resolution; Read at least one in the detected numbers, symbo"&amp;"ls, and character areas detected by the device; and the control unit for controlling the overall operation.")</f>
        <v>The present invention involves a device and method that improves the image recognition rate. The device that improves the license plate recognition rate of the invention includes: image pre -processing unit for image preparation to remove the noise contained in the image; Detect the license plate from the pre -processed image; the license plate image extraction unit, only the detected license plate image is extracted; the image recovery unit is used to recover the extracted license plate image with the SRGAN algorithm to the resolution of the resolution. Regional detection units are used to detect the number, symbols and at least one area in the license plate image that resumes more than the set resolution; Read at least one in the detected numbers, symbols, and character areas detected by the device; and the control unit for controlling the overall operation.</v>
      </c>
      <c r="D3042" s="6" t="s">
        <v>7497</v>
      </c>
      <c r="E3042" s="4" t="str">
        <f ca="1">IFERROR(__xludf.DUMMYFUNCTION("GOOGLETRANSLATE(D3042,""auto"",""en"")"),"Device and methods to improve image recognition rate")</f>
        <v>Device and methods to improve image recognition rate</v>
      </c>
    </row>
    <row r="3043" spans="1:5" ht="15" x14ac:dyDescent="0.25">
      <c r="A3043" s="5" t="s">
        <v>8565</v>
      </c>
      <c r="B3043" s="6" t="s">
        <v>8566</v>
      </c>
      <c r="C3043" s="3" t="str">
        <f ca="1">IFERROR(__xludf.DUMMYFUNCTION("GOOGLETRANSLATE(B3043,""auto"",""en"")"),"This utility model disclosed a basketball shooting training equipment based on the Internet of Things, including basket frame mechanisms, blocking guide networks and supporting frames. The top of the basketball chain has a activity shelf. There are reboun"&amp;"ds on the top of the top side of the activity rack. Symmetrical settings at the bottom of the wall have a side wall to support the lower grid, and the top of the left and right walls of the rebounds The symmetrical setting of the side wall to support the "&amp;"network shelf, upper support mesh, downwriting, side wall to support the mesh and side wall to support the upper network shelf There are threaded holes on the surface. The practical new structure design is reasonable, reducing the difficulty of shooting t"&amp;"raining, reducing the labor cost of training, and can be taken during the shooting of shooting trainers. Observe and understand the shooting posture.")</f>
        <v>This utility model disclosed a basketball shooting training equipment based on the Internet of Things, including basket frame mechanisms, blocking guide networks and supporting frames. The top of the basketball chain has a activity shelf. There are rebounds on the top of the top side of the activity rack. Symmetrical settings at the bottom of the wall have a side wall to support the lower grid, and the top of the left and right walls of the rebounds The symmetrical setting of the side wall to support the network shelf, upper support mesh, downwriting, side wall to support the mesh and side wall to support the upper network shelf There are threaded holes on the surface. The practical new structure design is reasonable, reducing the difficulty of shooting training, reducing the labor cost of training, and can be taken during the shooting of shooting trainers. Observe and understand the shooting posture.</v>
      </c>
      <c r="D3043" s="6" t="s">
        <v>6379</v>
      </c>
      <c r="E3043" s="4" t="str">
        <f ca="1">IFERROR(__xludf.DUMMYFUNCTION("GOOGLETRANSLATE(D3043,""auto"",""en"")"),"A basketball shooting training equipment based on the Internet of Things")</f>
        <v>A basketball shooting training equipment based on the Internet of Things</v>
      </c>
    </row>
    <row r="3044" spans="1:5" ht="15" x14ac:dyDescent="0.25">
      <c r="A3044" s="5" t="s">
        <v>8567</v>
      </c>
      <c r="B3044" s="6" t="s">
        <v>8568</v>
      </c>
      <c r="C3044" s="3" t="str">
        <f ca="1">IFERROR(__xludf.DUMMYFUNCTION("GOOGLETRANSLATE(B3044,""auto"",""en"")"),"An agent creation method for creating agents in the gaming environment is disclosed. The generation method can include: proxy generating device generates basic proxy according to the game player's common behavior characteristics mode, and sends basic prox"&amp;"y to the game server; the proxy generator generates the matching result data from the game server receiving basic proxy and the game player's personal character; The agent generates the results of the equipment to perform the machine learning using the ga"&amp;"me results, and generates the evolutionary agent customized as a personal game player based on the results of the machine learning.")</f>
        <v>An agent creation method for creating agents in the gaming environment is disclosed. The generation method can include: proxy generating device generates basic proxy according to the game player's common behavior characteristics mode, and sends basic proxy to the game server; the proxy generator generates the matching result data from the game server receiving basic proxy and the game player's personal character; The agent generates the results of the equipment to perform the machine learning using the game results, and generates the evolutionary agent customized as a personal game player based on the results of the machine learning.</v>
      </c>
      <c r="D3044" s="6" t="s">
        <v>8569</v>
      </c>
      <c r="E3044" s="4" t="str">
        <f ca="1">IFERROR(__xludf.DUMMYFUNCTION("GOOGLETRANSLATE(D3044,""auto"",""en"")"),"Agent generation devices and methods in the game environment")</f>
        <v>Agent generation devices and methods in the game environment</v>
      </c>
    </row>
    <row r="3045" spans="1:5" ht="15" x14ac:dyDescent="0.25">
      <c r="A3045" s="5" t="s">
        <v>8570</v>
      </c>
      <c r="B3045" s="6" t="s">
        <v>8571</v>
      </c>
      <c r="C3045" s="3" t="str">
        <f ca="1">IFERROR(__xludf.DUMMYFUNCTION("GOOGLETRANSLATE(B3045,""auto"",""en"")"),"The present invention discloses a athlete athlete auxiliary training data acquisition method, device and electronic equipment. By obtaining N image sequences corresponding to N different angles, each group of image sequences include the training correspon"&amp;"ding to K Zhang Pangsters corresponding to K at all times. Image; based on the timestamp in the training image, match each training image in the N group of image sequences to obtain the K group image group; obtain the skeleton outline in each training ima"&amp;"ge, and target each group of image groups for each group of image groups Based on the skeletal contour in each training image and the standard contour corresponding to each skeletal outline, build a joint input vector; for each group of image groups, base"&amp;"d on the training neural network and combined input vector, obtains n image sequences in N image sequences Each training image comparative data comparison data. The technical problems of the comparison data that cannot be obtained in the existing technolo"&amp;"gy that cannot obtain the action details of the human body has achieved the technical effect of the comparison data of the human body's action details.")</f>
        <v>The present invention discloses a athlete athlete auxiliary training data acquisition method, device and electronic equipment. By obtaining N image sequences corresponding to N different angles, each group of image sequences include the training corresponding to K Zhang Pangsters corresponding to K at all times. Image; based on the timestamp in the training image, match each training image in the N group of image sequences to obtain the K group image group; obtain the skeleton outline in each training image, and target each group of image groups for each group of image groups Based on the skeletal contour in each training image and the standard contour corresponding to each skeletal outline, build a joint input vector; for each group of image groups, based on the training neural network and combined input vector, obtains n image sequences in N image sequences Each training image comparative data comparison data. The technical problems of the comparison data that cannot be obtained in the existing technology that cannot obtain the action details of the human body has achieved the technical effect of the comparison data of the human body's action details.</v>
      </c>
      <c r="D3045" s="6" t="s">
        <v>8572</v>
      </c>
      <c r="E3045" s="4" t="str">
        <f ca="1">IFERROR(__xludf.DUMMYFUNCTION("GOOGLETRANSLATE(D3045,""auto"",""en"")"),"An athlete athlete auxiliary training data acquisition method, device and electronic equipment")</f>
        <v>An athlete athlete auxiliary training data acquisition method, device and electronic equipment</v>
      </c>
    </row>
    <row r="3046" spans="1:5" ht="15" x14ac:dyDescent="0.25">
      <c r="A3046" s="5" t="s">
        <v>8573</v>
      </c>
      <c r="B3046" s="6" t="s">
        <v>8574</v>
      </c>
      <c r="C3046" s="3" t="str">
        <f ca="1">IFERROR(__xludf.DUMMYFUNCTION("GOOGLETRANSLATE(B3046,""auto"",""en"")"),"1. The name of the product in appearance: computer with graphical user interface.
 2. Design products in appearance: Display images, run software, or communicate. The graphic user interface is used for human -computer interaction.
 3. Design of design"&amp;" products in this appearance: lies in the combination of patterns and color.
 4. Pictures or photos that can best show design: Design 1 main view.
 5. The design that requests protection contains color.
 6. Specify design 1 is the basic design.
 7"&amp;". The purpose of the graphic user interface: Design 1 The main view is to select the display interface of a single box, design 1 interface change state amplification Figure 1 is a display interface of a single box rotation, design 1 interface change state"&amp;" amplification Figure 2 is a single box body. Another display interface of the rotation, design 1 interface change state amplification Figure 3 is another display interface of a single box rotation. In the design 1 main view, the green area is the rotatio"&amp;"n point, and the green area of ​​the black spot is the rotation center.
 Press the left mouse button in the rotating point area, then drag the mouse, the box follows the mouse movement to rotate, and the rotation point is moved with the mouse when dragg"&amp;"ing the mouse. The amplification Figure 2 shows that the left mouse button is loosened and spin the rod to restore the initial length. Design 1 interface change state amplification Figure 5 is the display interface of multiple box rotation. In the design "&amp;"1 interface change state amplification Figure 4, after selecting multiple boxes, all the rotating rods of the box can be visible; the left mouse button is rotating in the rotation. Press the point area, then drag the mouse, the box follows the movement of"&amp;" the mouse to rotate, rotate the point follow the mouse when dragging the mouse, you can rotate any box of the selected box, or all the selected ones are rotated together, such as design 1 The interface changes are amplified in Figure 5; design 1 interfac"&amp;"e change state amplification Figure 6 is the display interface of the box combination. Design 1 interface change state amplification. 7 is the display interface of the box combination rotation. After that, overall operations can be performed.
 After mul"&amp;"tiple box combinations, the rotation center of all boxes in the combination is the same as the position of the combination rotation center.
 Leave the mouse button and click any box in the combination. Select the combination. After the combination is se"&amp;"lected, the rotating rod will be displayed. The rotating rods of the box of the box will not be displayed. , The box follows the mouse movement to rotate. When dragging the mouse, the rotation point follows the mouse and rotates the group. All the boxes i"&amp;"n the combination are rotated from the rotating center and rotation angle of the combination.")</f>
        <v>1. The name of the product in appearance: computer with graphical user interface.
 2. Design products in appearance: Display images, run software, or communicate. The graphic user interface is used for human -computer interaction.
 3. Design of design products in this appearance: lies in the combination of patterns and color.
 4. Pictures or photos that can best show design: Design 1 main view.
 5. The design that requests protection contains color.
 6. Specify design 1 is the basic design.
 7. The purpose of the graphic user interface: Design 1 The main view is to select the display interface of a single box, design 1 interface change state amplification Figure 1 is a display interface of a single box rotation, design 1 interface change state amplification Figure 2 is a single box body. Another display interface of the rotation, design 1 interface change state amplification Figure 3 is another display interface of a single box rotation. In the design 1 main view, the green area is the rotation point, and the green area of ​​the black spot is the rotation center.
 Press the left mouse button in the rotating point area, then drag the mouse, the box follows the mouse movement to rotate, and the rotation point is moved with the mouse when dragging the mouse. The amplification Figure 2 shows that the left mouse button is loosened and spin the rod to restore the initial length. Design 1 interface change state amplification Figure 5 is the display interface of multiple box rotation. In the design 1 interface change state amplification Figure 4, after selecting multiple boxes, all the rotating rods of the box can be visible; the left mouse button is rotating in the rotation. Press the point area, then drag the mouse, the box follows the movement of the mouse to rotate, rotate the point follow the mouse when dragging the mouse, you can rotate any box of the selected box, or all the selected ones are rotated together, such as design 1 The interface changes are amplified in Figure 5; design 1 interface change state amplification Figure 6 is the display interface of the box combination. Design 1 interface change state amplification. 7 is the display interface of the box combination rotation. After that, overall operations can be performed.
 After multiple box combinations, the rotation center of all boxes in the combination is the same as the position of the combination rotation center.
 Leave the mouse button and click any box in the combination. Select the combination. After the combination is selected, the rotating rod will be displayed. The rotating rods of the box of the box will not be displayed. , The box follows the mouse movement to rotate. When dragging the mouse, the rotation point follows the mouse and rotates the group. All the boxes in the combination are rotated from the rotating center and rotation angle of the combination.</v>
      </c>
      <c r="D3046" s="6" t="s">
        <v>8575</v>
      </c>
      <c r="E3046" s="4" t="str">
        <f ca="1">IFERROR(__xludf.DUMMYFUNCTION("GOOGLETRANSLATE(D3046,""auto"",""en"")"),"Computer with a graphical user interface")</f>
        <v>Computer with a graphical user interface</v>
      </c>
    </row>
    <row r="3047" spans="1:5" ht="15" x14ac:dyDescent="0.25">
      <c r="A3047" s="5" t="s">
        <v>8576</v>
      </c>
      <c r="B3047" s="6" t="s">
        <v>518</v>
      </c>
      <c r="C3047" s="3" t="str">
        <f ca="1">IFERROR(__xludf.DUMMYFUNCTION("GOOGLETRANSLATE(B3047,""auto"",""en"")"),"-")</f>
        <v>-</v>
      </c>
      <c r="D3047" s="6" t="s">
        <v>8577</v>
      </c>
      <c r="E3047" s="4" t="str">
        <f ca="1">IFERROR(__xludf.DUMMYFUNCTION("GOOGLETRANSLATE(D3047,""auto"",""en"")"),"A method that uses a virtual reality platform connected to the artificial intelligence platform, which is used for the application of exoskeleton. It is built with three -dimensional printing institutions as a human support.")</f>
        <v>A method that uses a virtual reality platform connected to the artificial intelligence platform, which is used for the application of exoskeleton. It is built with three -dimensional printing institutions as a human support.</v>
      </c>
    </row>
    <row r="3048" spans="1:5" ht="15" x14ac:dyDescent="0.25">
      <c r="A3048" s="5" t="s">
        <v>8578</v>
      </c>
      <c r="B3048" s="6" t="s">
        <v>8579</v>
      </c>
      <c r="C3048" s="3" t="str">
        <f ca="1">IFERROR(__xludf.DUMMYFUNCTION("GOOGLETRANSLATE(B3048,""auto"",""en"")"),"1. Design product name: The display interface of the blood pressure measurement device.
 2. The purpose of designing products in this exterior: The design of the product in this exterior involves a display interface of a blood pressure measurement devic"&amp;"e, which is a medical device for measuring the user's blood pressure.
 3. Design of the design of the product here: lies in the pattern of the interface.
 4. Photos or photos that can most indicate the point of design: The map of the graphic user inte"&amp;"rface is magnified.
 5. The purpose of the graphic user interface: The design of the product graphics interface is the display interface when the blood pressure measurement device works; it is used to user viewing data, display measurement progress, and"&amp;" setting systems.
 6. The area of ​​the graphic user interface in the product: the display interface during the work of blood pressure measurement device.
 7. Human -computer interaction method of graphical user interface: The display interface of the"&amp;" main view and the state change state diagram of each interface can be selected by the physical button on the blood pressure measurement device in the main view of the operation. However, it is not limited to clicking different keys to enter and using dif"&amp;"ferent clicks to enter; you can also select the display on the display of the blood pressure measurement device in the main view in the main view. Different touch areas in the main interface are selected to enter and touched a specified touch area in each"&amp;" interface diagram to choose to enter.
 8. Change status of graphical user interface explanation: The display interface of the main view view is the measurement page, which is mainly used to display the pressure value in the blood pressure measurement d"&amp;"evice's armbar (the middle large character area), the completion of the blood pressure measurement (picture and the lower right picture and the lower part of the picture and the lower right picture and the picture and the picture of Digital areas), and th"&amp;"e process of blood pressure measurement (small map area in the lower left); interface change state Figure 1 is the page to start measurement of blood pressure, to display the pressure value in the blood pressure measurement device arm bunis (central part "&amp;"of the middle part (central part Large characters); interface change state Figure 2 shows the results display page at the end of the measurement, mainly used to display the results of the blood pressure measurement (the two lines in the middle of the midd"&amp;"le) and the heart rate measurement result (lower small character area); It is mainly used to show historical blood pressure measurement results (large characters in the middle) and historical heart rate measurement results (lower part of the lower part).
"&amp;" 
 9. The blood pressure measurement device of the product is used as a carrier, and it is not used as the main points of the design of the case; the ""text"" and ""numbers"" on each view are only used to specify the setting area of ​​text content and dig"&amp;"ital content. And digital information is not the design point of this case.")</f>
        <v>1. Design product name: The display interface of the blood pressure measurement device.
 2. The purpose of designing products in this exterior: The design of the product in this exterior involves a display interface of a blood pressure measurement device, which is a medical device for measuring the user's blood pressure.
 3. Design of the design of the product here: lies in the pattern of the interface.
 4. Photos or photos that can most indicate the point of design: The map of the graphic user interface is magnified.
 5. The purpose of the graphic user interface: The design of the product graphics interface is the display interface when the blood pressure measurement device works; it is used to user viewing data, display measurement progress, and setting systems.
 6. The area of ​​the graphic user interface in the product: the display interface during the work of blood pressure measurement device.
 7. Human -computer interaction method of graphical user interface: The display interface of the main view and the state change state diagram of each interface can be selected by the physical button on the blood pressure measurement device in the main view of the operation. However, it is not limited to clicking different keys to enter and using different clicks to enter; you can also select the display on the display of the blood pressure measurement device in the main view in the main view. Different touch areas in the main interface are selected to enter and touched a specified touch area in each interface diagram to choose to enter.
 8. Change status of graphical user interface explanation: The display interface of the main view view is the measurement page, which is mainly used to display the pressure value in the blood pressure measurement device's armbar (the middle large character area), the completion of the blood pressure measurement (picture and the lower right picture and the lower part of the picture and the lower right picture and the picture and the picture of Digital areas), and the process of blood pressure measurement (small map area in the lower left); interface change state Figure 1 is the page to start measurement of blood pressure, to display the pressure value in the blood pressure measurement device arm bunis (central part of the middle part (central part Large characters); interface change state Figure 2 shows the results display page at the end of the measurement, mainly used to display the results of the blood pressure measurement (the two lines in the middle of the middle) and the heart rate measurement result (lower small character area); It is mainly used to show historical blood pressure measurement results (large characters in the middle) and historical heart rate measurement results (lower part of the lower part).
 9. The blood pressure measurement device of the product is used as a carrier, and it is not used as the main points of the design of the case; the "text" and "numbers" on each view are only used to specify the setting area of ​​text content and digital content. And digital information is not the design point of this case.</v>
      </c>
      <c r="D3048" s="6" t="s">
        <v>8580</v>
      </c>
      <c r="E3048" s="4" t="str">
        <f ca="1">IFERROR(__xludf.DUMMYFUNCTION("GOOGLETRANSLATE(D3048,""auto"",""en"")"),"The display interface of the blood pressure measurement device")</f>
        <v>The display interface of the blood pressure measurement device</v>
      </c>
    </row>
    <row r="3049" spans="1:5" ht="15" x14ac:dyDescent="0.25">
      <c r="A3049" s="5" t="s">
        <v>8581</v>
      </c>
      <c r="B3049" s="6" t="s">
        <v>8582</v>
      </c>
      <c r="C3049" s="3" t="str">
        <f ca="1">IFERROR(__xludf.DUMMYFUNCTION("GOOGLETRANSLATE(B3049,""auto"",""en"")"),"The present invention proposes an IoT intelligent game racing control system and method. By setting up the ZigBee and sending unit, NB‑LOT receiving unit, Bluetooth transceiver unit, WIFI receiving unit, and 2.4G transceiver unit, the mobile platform can "&amp;"connect a variety of communication methods Communication terminals to increase the compatibility of the system; by setting up the central controller, acceleration meter, and gyroscope on the car, the running parameters of the car can be controlled accordi"&amp;"ng to the running status of the car. During the racing game, the player's participation; the entire system can communicate with the car through ZigBee, NB‑lot, Bluetooth, WIFI and 2.4G communication methods to increase the compatibility of the system. The"&amp;" participation of players participates in the competition.")</f>
        <v>The present invention proposes an IoT intelligent game racing control system and method. By setting up the ZigBee and sending unit, NB‑LOT receiving unit, Bluetooth transceiver unit, WIFI receiving unit, and 2.4G transceiver unit, the mobile platform can connect a variety of communication methods Communication terminals to increase the compatibility of the system; by setting up the central controller, acceleration meter, and gyroscope on the car, the running parameters of the car can be controlled according to the running status of the car. During the racing game, the player's participation; the entire system can communicate with the car through ZigBee, NB‑lot, Bluetooth, WIFI and 2.4G communication methods to increase the compatibility of the system. The participation of players participates in the competition.</v>
      </c>
      <c r="D3049" s="6" t="s">
        <v>8583</v>
      </c>
      <c r="E3049" s="4" t="str">
        <f ca="1">IFERROR(__xludf.DUMMYFUNCTION("GOOGLETRANSLATE(D3049,""auto"",""en"")"),"An IoT intelligent game racing control system and method and method")</f>
        <v>An IoT intelligent game racing control system and method and method</v>
      </c>
    </row>
    <row r="3050" spans="1:5" ht="15" x14ac:dyDescent="0.25">
      <c r="A3050" s="5" t="s">
        <v>8584</v>
      </c>
      <c r="B3050" s="6" t="s">
        <v>8371</v>
      </c>
      <c r="C3050" s="3" t="str">
        <f ca="1">IFERROR(__xludf.DUMMYFUNCTION("GOOGLETRANSLATE(B3050,""auto"",""en"")"),"It provides systems and methods for remote monitoring, optimization and control to provide network connections and swimming pool/spa. Provide the ""Internet of Things"" (IoT) functions for swimming pools and spa in a flexible and economical way. The netwo"&amp;"rk connection and remote monitoring/control of the swimming pool and spa equipment are provided by various components, such as network communication and local control subsystems installed in the swimming pool/spa equipment, as well as other components. Va"&amp;"rious control processes (""Pond Logic"") are also disclosed, which can be reflected in the software code of any of the various embodiments installed in this public.")</f>
        <v>It provides systems and methods for remote monitoring, optimization and control to provide network connections and swimming pool/spa.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050" s="6" t="s">
        <v>8485</v>
      </c>
      <c r="E3050" s="4" t="str">
        <f ca="1">IFERROR(__xludf.DUMMYFUNCTION("GOOGLETRANSLATE(D3050,""auto"",""en"")"),"Used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051" spans="1:5" ht="15" x14ac:dyDescent="0.25">
      <c r="A3051" s="5" t="s">
        <v>8585</v>
      </c>
      <c r="B3051" s="6" t="s">
        <v>8586</v>
      </c>
      <c r="C3051" s="3" t="str">
        <f ca="1">IFERROR(__xludf.DUMMYFUNCTION("GOOGLETRANSLATE(B3051,""auto"",""en"")"),"1. The name of the product in appearance: for the graphical user interface for smart watches.
 2. Design product use: Smart watch can be used for communication and/or running programs.
 3. Design of the design of the product in this exterior: The grap"&amp;"hic user interface shown in the figure is.
 4. Pictures or photos that can most indicate design points: Design 1 interface zoom in the picture.
 5. Specify design 1 is the basic design.
 6. The purpose of graphical user interface: Graphic user inter"&amp;"face can be used to display sports information, such as sports levels, competition points, etc.
 7. Human -computer interaction method of graphical user interface: Graphic user interface can be in contact with the display screen with smart watches or in"&amp;"teracts with the manipulation of smart watches.
 8. Design of the appearance design 1 contains color.
 9. Smart watches are conventional design, omitting the other side of the smart watch; the semi -transparent mask covering the medal area is used to "&amp;"display the content screen, which does not constitute part of the design of request protection.")</f>
        <v>1. The name of the product in appearance: for the graphical user interface for smart watches.
 2. Design product use: Smart watch can be used for communication and/or running programs.
 3. Design of the design of the product in this exterior: The graphic user interface shown in the figure is.
 4. Pictures or photos that can most indicate design points: Design 1 interface zoom in the picture.
 5. Specify design 1 is the basic design.
 6. The purpose of graphical user interface: Graphic user interface can be used to display sports information, such as sports levels, competition points, etc.
 7. Human -computer interaction method of graphical user interface: Graphic user interface can be in contact with the display screen with smart watches or interacts with the manipulation of smart watches.
 8. Design of the appearance design 1 contains color.
 9. Smart watches are conventional design, omitting the other side of the smart watch; the semi -transparent mask covering the medal area is used to display the content screen, which does not constitute part of the design of request protection.</v>
      </c>
      <c r="D3051" s="6" t="s">
        <v>8313</v>
      </c>
      <c r="E3051" s="4" t="str">
        <f ca="1">IFERROR(__xludf.DUMMYFUNCTION("GOOGLETRANSLATE(D3051,""auto"",""en"")"),"Graphical user interface for smart watches")</f>
        <v>Graphical user interface for smart watches</v>
      </c>
    </row>
    <row r="3052" spans="1:5" ht="15" x14ac:dyDescent="0.25">
      <c r="A3052" s="5" t="s">
        <v>8587</v>
      </c>
      <c r="B3052" s="6" t="s">
        <v>8588</v>
      </c>
      <c r="C3052" s="3" t="str">
        <f ca="1">IFERROR(__xludf.DUMMYFUNCTION("GOOGLETRANSLATE(B3052,""auto"",""en"")"),"The present invention discloses a athlete athlete auxiliary training data acquisition method, device and electronic equipment. The three -dimensional human model obtains the standard human sports data corresponding to the three -dimensional human model fr"&amp;"om the pre -established database. According to the three -dimensional human model and standard human sports data, the athlete's auxiliary training data is obtained. It solves the technical problems of the sports information of the athletes that cannot be "&amp;"obtained, accurate, and effective in existing technologies, and achieves the technical effects of sports information that can be obtained, accurate, and effective athletes.")</f>
        <v>The present invention discloses a athlete athlete auxiliary training data acquisition method, device and electronic equipment. The three -dimensional human model obtains the standard human sports data corresponding to the three -dimensional human model from the pre -established database. According to the three -dimensional human model and standard human sports data, the athlete's auxiliary training data is obtained. It solves the technical problems of the sports information of the athletes that cannot be obtained, accurate, and effective in existing technologies, and achieves the technical effects of sports information that can be obtained, accurate, and effective athletes.</v>
      </c>
      <c r="D3052" s="6" t="s">
        <v>8572</v>
      </c>
      <c r="E3052" s="4" t="str">
        <f ca="1">IFERROR(__xludf.DUMMYFUNCTION("GOOGLETRANSLATE(D3052,""auto"",""en"")"),"An athlete athlete auxiliary training data acquisition method, device and electronic equipment")</f>
        <v>An athlete athlete auxiliary training data acquisition method, device and electronic equipment</v>
      </c>
    </row>
    <row r="3053" spans="1:5" ht="15" x14ac:dyDescent="0.25">
      <c r="A3053" s="5" t="s">
        <v>8589</v>
      </c>
      <c r="B3053" s="6" t="s">
        <v>8590</v>
      </c>
      <c r="C3053" s="3" t="str">
        <f ca="1">IFERROR(__xludf.DUMMYFUNCTION("GOOGLETRANSLATE(B3053,""auto"",""en"")"),"The present invention proposes a method, device, storage medium, and terminal equipment for gymnastics auxiliary learning. Among them, the method includes: the type and exercise intensity of gymnastics selected by gymnastics; Images; and according to the "&amp;"types and exercise intensity of the gymnastics and exercise intensity selected by the sports images and the gymnastics athletes, the gymnastics campaign performed gymnastics. Adopting the present invention can guide gymnastics to conduct gymnastics moveme"&amp;"nt through image recognition. There is no need to teach on -site teaching, which is convenient and applicable.")</f>
        <v>The present invention proposes a method, device, storage medium, and terminal equipment for gymnastics auxiliary learning. Among them, the method includes: the type and exercise intensity of gymnastics selected by gymnastics; Images; and according to the types and exercise intensity of the gymnastics and exercise intensity selected by the sports images and the gymnastics athletes, the gymnastics campaign performed gymnastics. Adopting the present invention can guide gymnastics to conduct gymnastics movement through image recognition. There is no need to teach on -site teaching, which is convenient and applicable.</v>
      </c>
      <c r="D3053" s="6" t="s">
        <v>8591</v>
      </c>
      <c r="E3053" s="4" t="str">
        <f ca="1">IFERROR(__xludf.DUMMYFUNCTION("GOOGLETRANSLATE(D3053,""auto"",""en"")"),"Gymnastics auxiliary learning methods, devices, storage media and terminal equipment")</f>
        <v>Gymnastics auxiliary learning methods, devices, storage media and terminal equipment</v>
      </c>
    </row>
    <row r="3054" spans="1:5" ht="15" x14ac:dyDescent="0.25">
      <c r="A3054" s="5" t="s">
        <v>8592</v>
      </c>
      <c r="B3054" s="6" t="s">
        <v>518</v>
      </c>
      <c r="C3054" s="3" t="str">
        <f ca="1">IFERROR(__xludf.DUMMYFUNCTION("GOOGLETRANSLATE(B3054,""auto"",""en"")"),"-")</f>
        <v>-</v>
      </c>
      <c r="D3054" s="6" t="s">
        <v>8593</v>
      </c>
      <c r="E3054" s="4" t="str">
        <f ca="1">IFERROR(__xludf.DUMMYFUNCTION("GOOGLETRANSLATE(D3054,""auto"",""en"")"),"Artificial Intelligence Life Coach Chat Robot")</f>
        <v>Artificial Intelligence Life Coach Chat Robot</v>
      </c>
    </row>
    <row r="3055" spans="1:5" ht="15" x14ac:dyDescent="0.25">
      <c r="A3055" s="5" t="s">
        <v>8594</v>
      </c>
      <c r="B3055" s="6" t="s">
        <v>8595</v>
      </c>
      <c r="C3055" s="3" t="str">
        <f ca="1">IFERROR(__xludf.DUMMYFUNCTION("GOOGLETRANSLATE(B3055,""auto"",""en"")"),"The present invention involves a intermittent training security remote control system and method based on the Internet of Things, including cloud servers, smart speakers, wearable devices and control terminals; of which, the heart rate data and body table"&amp;" of the wearing device collection trainers and body tables The body temperature, and the wearing device communicates with the smart speaker, which verify the identity of the control terminal, and allows the successful control terminal to verify remote con"&amp;"trol of smart speakers. By adopting the present invention, the coach can establish a connection with the smart speaker and to guide the intermittent training of the trainer by sending control instructions to the smart speaker. The smart speaker will pass "&amp;"the voice broadcast training instructions. The training of multiple trainers can obtain the detection indicators of the trainer in real time to facilitate the reference and arrangement of training items.")</f>
        <v>The present invention involves a intermittent training security remote control system and method based on the Internet of Things, including cloud servers, smart speakers, wearable devices and control terminals; of which, the heart rate data and body table of the wearing device collection trainers and body tables The body temperature, and the wearing device communicates with the smart speaker, which verify the identity of the control terminal, and allows the successful control terminal to verify remote control of smart speakers. By adopting the present invention, the coach can establish a connection with the smart speaker and to guide the intermittent training of the trainer by sending control instructions to the smart speaker. The smart speaker will pass the voice broadcast training instructions. The training of multiple trainers can obtain the detection indicators of the trainer in real time to facilitate the reference and arrangement of training items.</v>
      </c>
      <c r="D3055" s="6" t="s">
        <v>8596</v>
      </c>
      <c r="E3055" s="4" t="str">
        <f ca="1">IFERROR(__xludf.DUMMYFUNCTION("GOOGLETRANSLATE(D3055,""auto"",""en"")"),"An intermittent training security remote control system and method based on the Internet of Things")</f>
        <v>An intermittent training security remote control system and method based on the Internet of Things</v>
      </c>
    </row>
    <row r="3056" spans="1:5" ht="15" x14ac:dyDescent="0.25">
      <c r="A3056" s="5" t="s">
        <v>8597</v>
      </c>
      <c r="B3056" s="6" t="s">
        <v>8598</v>
      </c>
      <c r="C3056" s="3" t="str">
        <f ca="1">IFERROR(__xludf.DUMMYFUNCTION("GOOGLETRANSLATE(B3056,""auto"",""en"")"),"The present invention involves a slimming cloud data encryption storage system and method of a smart terminal, including the image acquisition module to obtain the video from the camera; the image recognition module; the slimming data collection module; t"&amp;"he fitness status judgment module; the fitness video judgment module module ; The key generation module is used to generate public and private keys for every preset cycle, send the public key to the cloud server, and judge that there are new fitness video"&amp;"s, generate random keys, storage random key and video IDs of the ID, and the ID of the video and video. ; The first encrypted module is used to encrypt the fitness video with random keys to obtain the encrypted fitness video; the second encrypted module; "&amp;"the data sending module. The present invention associates fitness data and video. The video recording recorded by time and user identity is a fitness video to realize the management of fitness video classification management and the management of fitness "&amp;"data.")</f>
        <v>The present invention involves a slimming cloud data encryption storage system and method of a smart terminal, including the image acquisition module to obtain the video from the camera; the image recognition module; the slimming data collection module; the fitness status judgment module; the fitness video judgment module module ; The key generation module is used to generate public and private keys for every preset cycle, send the public key to the cloud server, and judge that there are new fitness videos, generate random keys, storage random key and video IDs of the ID, and the ID of the video and video. ; The first encrypted module is used to encrypt the fitness video with random keys to obtain the encrypted fitness video; the second encrypted module; the data sending module. The present invention associates fitness data and video. The video recording recorded by time and user identity is a fitness video to realize the management of fitness video classification management and the management of fitness data.</v>
      </c>
      <c r="D3056" s="6" t="s">
        <v>8599</v>
      </c>
      <c r="E3056" s="4" t="str">
        <f ca="1">IFERROR(__xludf.DUMMYFUNCTION("GOOGLETRANSLATE(D3056,""auto"",""en"")"),"A slimming cloud data encryption storage system and method of smart terminal")</f>
        <v>A slimming cloud data encryption storage system and method of smart terminal</v>
      </c>
    </row>
    <row r="3057" spans="1:5" ht="15" x14ac:dyDescent="0.25">
      <c r="A3057" s="5" t="s">
        <v>8600</v>
      </c>
      <c r="B3057" s="6" t="s">
        <v>8601</v>
      </c>
      <c r="C3057" s="3" t="str">
        <f ca="1">IFERROR(__xludf.DUMMYFUNCTION("GOOGLETRANSLATE(B3057,""auto"",""en"")"),"1. The name of the product in this exterior: a treadmill display drive with a graphical user interface.
 2. The purpose of designing products in this exterior: The design of the product is used for the running program of the treadmill.
 3. The design "&amp;"points of the design of this appearance: lies in the content interface content in the screen.
 4. The picture or photo that can mostly show the design of the design: use the status diagram.
 5. This operating system graphical interface interface metho"&amp;"d and interface dynamic change state: This product is the user's running program display interface of the user's display disk of the treadmill display disk.
 The interface is mainly divided into two parts: one is the text display interface, and the othe"&amp;"r is the graphic display interface.
 Among them, the text display interface is distributed in the upper and lower parties of the display drive, specifically: the top of the top left and the picture as the time display interface; The right cal and the pi"&amp;"cture at the bottom left are the display interface of the calorie; the left side of the left at the bottom right is the step display interface; the Pulse and the picture are the display interface of the pulse.
 The graphic display interface is distribut"&amp;"ed in the center of the display drive, which can be divided into three parts: the display interface of the left slope rising system, the display interface of the right speed system, and the speed and slope display interface in the middle.
 Among them, t"&amp;"he middle speed and slope display interface consists of several block patterns. The above -long strip block is the speed graph display interface, and the below length block is the slope graph display interface.
 By operating the operation keys on the tr"&amp;"eadmill instrument panel, you can set different speed and slope information to complete the transformation on the interface of the display disk.
 Change status 1: [Interface Change State Figure 1] is that this graphic interface is not powered on.
 Cha"&amp;"nge status 2: After power -on, enter the operating system graphics interface of the treadmill display drive.
 Press the start button on the display disk. Based on all data 0, the graphic interface begins to power on the [interface change state Figure 3,"&amp;" 4, 5].
 Change status three: Speed ​​at the speed of the runner display drive.
 First of all, when the setting speed is set on the display disk to 1, when the raising slope is divided into 0, 1, 7, 12, and 15, the main interface display status of the"&amp;" graphic interface [interface change status Figure 6 ~ 10]; second, in the display disk When the setting speed is 10, when the raising slope is divided into 0, 1, 7, 12, and 15, the main interface display status of the graphic interface [interface change "&amp;"status diagram 11-15]; again, set the speed on the display disk to be the speed to the display disk to 22. When the degree of raising slope is divided into 0, 1, 7, 12, and 15, the main interface display status of the graphic interface [interface change s"&amp;"tate Figure 16 ~ 20]; change status 4: set the raising slope settings in the runner display drive Essence
 First of all, set the raising slope to 0 on the display disk, and the speed is divided into 1, 10, and 22, and the main interface display status o"&amp;"f the graphic interface [interface change state figure 21-23]; second At the degree of ascending the slope, the speed is divided into 1, 10, and 22, the main interface display status of the graphic interface [interface change status Figure 24 ~ 26]; again"&amp;", set the raising slope on the display disk to 7, and the speed is divided into 1 to 1 , 10 and 22, the main interface display status of the graphic interface [Interface change status Figure 27 ~ 29]; the fourth step, set the raising slope on the display "&amp;"disk to 12, the speed is divided into 1, 10, and 22, the graphic graphics, the graphic The main interface display status of the interface [Interface change state Figure 30 ~ 32]; the fifth step, set up a raising slope on the display plate to 15, the speed"&amp;" is divided into 1, 10, and 22, the main interface display status of the graphic interface [ Interface change state Figure 33 ~ 35]; Change State 5: At the end, the operating system graphical interface display status of the operating system of the treadmi"&amp;"ll display disk [Interface change state Figure 36 ~ 39], where [interface change status Figure 39] is the shutdown state.")</f>
        <v>1. The name of the product in this exterior: a treadmill display drive with a graphical user interface.
 2. The purpose of designing products in this exterior: The design of the product is used for the running program of the treadmill.
 3. The design points of the design of this appearance: lies in the content interface content in the screen.
 4. The picture or photo that can mostly show the design of the design: use the status diagram.
 5. This operating system graphical interface interface method and interface dynamic change state: This product is the user's running program display interface of the user's display disk of the treadmill display disk.
 The interface is mainly divided into two parts: one is the text display interface, and the other is the graphic display interface.
 Among them, the text display interface is distributed in the upper and lower parties of the display drive, specifically: the top of the top left and the picture as the time display interface; The right cal and the picture at the bottom left are the display interface of the calorie; the left side of the left at the bottom right is the step display interface; the Pulse and the picture are the display interface of the pulse.
 The graphic display interface is distributed in the center of the display drive, which can be divided into three parts: the display interface of the left slope rising system, the display interface of the right speed system, and the speed and slope display interface in the middle.
 Among them, the middle speed and slope display interface consists of several block patterns. The above -long strip block is the speed graph display interface, and the below length block is the slope graph display interface.
 By operating the operation keys on the treadmill instrument panel, you can set different speed and slope information to complete the transformation on the interface of the display disk.
 Change status 1: [Interface Change State Figure 1] is that this graphic interface is not powered on.
 Change status 2: After power -on, enter the operating system graphics interface of the treadmill display drive.
 Press the start button on the display disk. Based on all data 0, the graphic interface begins to power on the [interface change state Figure 3, 4, 5].
 Change status three: Speed ​​at the speed of the runner display drive.
 First of all, when the setting speed is set on the display disk to 1, when the raising slope is divided into 0, 1, 7, 12, and 15, the main interface display status of the graphic interface [interface change status Figure 6 ~ 10]; second, in the display disk When the setting speed is 10, when the raising slope is divided into 0, 1, 7, 12, and 15, the main interface display status of the graphic interface [interface change status diagram 11-15]; again, set the speed on the display disk to be the speed to the display disk to 22. When the degree of raising slope is divided into 0, 1, 7, 12, and 15, the main interface display status of the graphic interface [interface change state Figure 16 ~ 20]; change status 4: set the raising slope settings in the runner display drive Essence
 First of all, set the raising slope to 0 on the display disk, and the speed is divided into 1, 10, and 22, and the main interface display status of the graphic interface [interface change state figure 21-23]; second At the degree of ascending the slope, the speed is divided into 1, 10, and 22, the main interface display status of the graphic interface [interface change status Figure 24 ~ 26]; again, set the raising slope on the display disk to 7, and the speed is divided into 1 to 1 , 10 and 22, the main interface display status of the graphic interface [Interface change status Figure 27 ~ 29]; the fourth step, set the raising slope on the display disk to 12, the speed is divided into 1, 10, and 22, the graphic graphics, the graphic The main interface display status of the interface [Interface change state Figure 30 ~ 32]; the fifth step, set up a raising slope on the display plate to 15, the speed is divided into 1, 10, and 22, the main interface display status of the graphic interface [ Interface change state Figure 33 ~ 35]; Change State 5: At the end, the operating system graphical interface display status of the operating system of the treadmill display disk [Interface change state Figure 36 ~ 39], where [interface change status Figure 39] is the shutdown state.</v>
      </c>
      <c r="D3057" s="6" t="s">
        <v>8602</v>
      </c>
      <c r="E3057" s="4" t="str">
        <f ca="1">IFERROR(__xludf.DUMMYFUNCTION("GOOGLETRANSLATE(D3057,""auto"",""en"")"),"Treadmill display drive with graphical user interface")</f>
        <v>Treadmill display drive with graphical user interface</v>
      </c>
    </row>
    <row r="3058" spans="1:5" ht="15" x14ac:dyDescent="0.25">
      <c r="A3058" s="5" t="s">
        <v>8603</v>
      </c>
      <c r="B3058" s="6" t="s">
        <v>8604</v>
      </c>
      <c r="C3058" s="3" t="str">
        <f ca="1">IFERROR(__xludf.DUMMYFUNCTION("GOOGLETRANSLATE(B3058,""auto"",""en"")"),"The present invention proposes a method of generating the trajectory of sports architecture evacuation groups based on video images and WiFi, which belongs to the field of construction safety and evacuation technology. The method first sets multiple video"&amp;" shooting equipment and WIFI positioning AP access points in sports buildings, and forms a corresponding database by collecting video data and WIFI positioning data; secondly, obtains video -based evacuation trajectory data and WiFi -based evacuation traj"&amp;"ectory data; Then match the two evacuation trajectory data through the SIFT algorithm, use WIFI -based evacuation trajectory data to calibrate the evacuation trajectory data based on video, and then use the neural network algorithm to integrate data to ob"&amp;"tain optimized evacuation trajectory data data ; Finally, the three -dimensional model of the evacuation area will be established to import the optimized evacuation trajectory data into the three -dimensional model of the evacuation area, and the evacuati"&amp;"on performance evaluation is combined with visual programming tools.")</f>
        <v>The present invention proposes a method of generating the trajectory of sports architecture evacuation groups based on video images and WiFi, which belongs to the field of construction safety and evacuation technology. The method first sets multiple video shooting equipment and WIFI positioning AP access points in sports buildings, and forms a corresponding database by collecting video data and WIFI positioning data; secondly, obtains video -based evacuation trajectory data and WiFi -based evacuation trajectory data; Then match the two evacuation trajectory data through the SIFT algorithm, use WIFI -based evacuation trajectory data to calibrate the evacuation trajectory data based on video, and then use the neural network algorithm to integrate data to obtain optimized evacuation trajectory data data ; Finally, the three -dimensional model of the evacuation area will be established to import the optimized evacuation trajectory data into the three -dimensional model of the evacuation area, and the evacuation performance evaluation is combined with visual programming tools.</v>
      </c>
      <c r="D3058" s="6" t="s">
        <v>8605</v>
      </c>
      <c r="E3058" s="4" t="str">
        <f ca="1">IFERROR(__xludf.DUMMYFUNCTION("GOOGLETRANSLATE(D3058,""auto"",""en"")"),"A method of generating the trajectory of sports architecture evacuation groups based on video images and WiFi positioning")</f>
        <v>A method of generating the trajectory of sports architecture evacuation groups based on video images and WiFi positioning</v>
      </c>
    </row>
    <row r="3059" spans="1:5" ht="15" x14ac:dyDescent="0.25">
      <c r="A3059" s="5" t="s">
        <v>8606</v>
      </c>
      <c r="B3059" s="6" t="s">
        <v>8607</v>
      </c>
      <c r="C3059" s="3" t="str">
        <f ca="1">IFERROR(__xludf.DUMMYFUNCTION("GOOGLETRANSLATE(B3059,""auto"",""en"")"),"The present invention involves a method that is associated with a part of the associated with sports items, including the following steps: (a.) Determine multiple structural characteristics in this part; (b.) Determine the characteristics of each structur"&amp;"al characteristics. Value; (C.) Map each feature value to the physical attribute. This mapping is based on a machine learning algorithm based on multiple samples, and each sample associates the feature value with the physical attribute value; (d.) Use the"&amp;" image to use the image Estimated the physical characteristics of the area.")</f>
        <v>The present invention involves a method that is associated with a part of the associated with sports items, including the following steps: (a.) Determine multiple structural characteristics in this part; (b.) Determine the characteristics of each structural characteristics. Value; (C.) Map each feature value to the physical attribute. This mapping is based on a machine learning algorithm based on multiple samples, and each sample associates the feature value with the physical attribute value; (d.) Use the image to use the image Estimated the physical characteristics of the area.</v>
      </c>
      <c r="D3059" s="6" t="s">
        <v>8608</v>
      </c>
      <c r="E3059" s="4" t="str">
        <f ca="1">IFERROR(__xludf.DUMMYFUNCTION("GOOGLETRANSLATE(D3059,""auto"",""en"")"),"Predictive physical characteristics of sports products based on volume")</f>
        <v>Predictive physical characteristics of sports products based on volume</v>
      </c>
    </row>
    <row r="3060" spans="1:5" ht="15" x14ac:dyDescent="0.25">
      <c r="A3060" s="5" t="s">
        <v>8609</v>
      </c>
      <c r="B3060" s="6" t="s">
        <v>8610</v>
      </c>
      <c r="C3060" s="3" t="str">
        <f ca="1">IFERROR(__xludf.DUMMYFUNCTION("GOOGLETRANSLATE(B3060,""auto"",""en"")"),"The teaching control box of this practical new public simulation elevator, including the shell, the control display panel that can be opened towards the top of the shell, is set inside the control display panel and is available for the teacher to set the "&amp;"test questions, set it on the shell to the shell The integrated control cabinet of the lower end, the operating platform between the control display panel and the integrated control cabinet, the competition control light located on the top of the shell, a"&amp;"nd the convenient moving wheels located at the bottom of the shell; the control display panel includes several computer rooms The control button, the outside call buttons, the display board of the display floor, the adjustable parameters to achieve the be"&amp;"st operating remote control panel, set the hand switch of the control panel of the control display panel, and open the control panel. Therefore, a tablet of the Internet of Things is formed; there are several fault knob switches on the fault table; severa"&amp;"l integrated circuit boards are provided inside the integrated control cabinet. The integrated circuit board includes a microcomputer circuit board with controlling teaching control box.")</f>
        <v>The teaching control box of this practical new public simulation elevator, including the shell, the control display panel that can be opened towards the top of the shell, is set inside the control display panel and is available for the teacher to set the test questions, set it on the shell to the shell The integrated control cabinet of the lower end, the operating platform between the control display panel and the integrated control cabinet, the competition control light located on the top of the shell, and the convenient moving wheels located at the bottom of the shell; the control display panel includes several computer rooms The control button, the outside call buttons, the display board of the display floor, the adjustable parameters to achieve the best operating remote control panel, set the hand switch of the control panel of the control display panel, and open the control panel. Therefore, a tablet of the Internet of Things is formed; there are several fault knob switches on the fault table; several integrated circuit boards are provided inside the integrated control cabinet. The integrated circuit board includes a microcomputer circuit board with controlling teaching control box.</v>
      </c>
      <c r="D3060" s="6" t="s">
        <v>8611</v>
      </c>
      <c r="E3060" s="4" t="str">
        <f ca="1">IFERROR(__xludf.DUMMYFUNCTION("GOOGLETRANSLATE(D3060,""auto"",""en"")"),"Teaching control box of simulation elevator")</f>
        <v>Teaching control box of simulation elevator</v>
      </c>
    </row>
    <row r="3061" spans="1:5" ht="15" x14ac:dyDescent="0.25">
      <c r="A3061" s="5" t="s">
        <v>8612</v>
      </c>
      <c r="B3061" s="6" t="s">
        <v>8613</v>
      </c>
      <c r="C3061" s="3" t="str">
        <f ca="1">IFERROR(__xludf.DUMMYFUNCTION("GOOGLETRANSLATE(B3061,""auto"",""en"")"),"The teaching control box of the present invention publicly simulates the elevator, including the shell, the control display panel that can be opened towards the top of the shell, the fault table that is located inside the control display panel and is avai"&amp;"lable for the teacher to set the test, set it on the shell The integrated control cabinet at the lower end, the operating platform between the control display panel and the integrated control cabinet, the competition control light located on the top of th"&amp;"e shell, and the convenient moving wheels set at the bottom of the shell; the control display panel includes several computer room control Buttons, exterior keys, display boards with number of floors, debug parameters to achieve the best operating remote "&amp;"control panel, set the handle switch of the control display panel at the lower end of the control display panel, and open the control panel. Facial computers formed the Internet of Things; there are several fault knob switches on the fault table; a number"&amp;" of integrated circuit boards are provided inside the integrated control cabinet. The integrated circuit board includes a microcomputer circuit board with controlling teaching control box.")</f>
        <v>The teaching control box of the present invention publicly simulates the elevator, including the shell, the control display panel that can be opened towards the top of the shell, the fault table that is located inside the control display panel and is available for the teacher to set the test, set it on the shell The integrated control cabinet at the lower end, the operating platform between the control display panel and the integrated control cabinet, the competition control light located on the top of the shell, and the convenient moving wheels set at the bottom of the shell; the control display panel includes several computer room control Buttons, exterior keys, display boards with number of floors, debug parameters to achieve the best operating remote control panel, set the handle switch of the control display panel at the lower end of the control display panel, and open the control panel. Facial computers formed the Internet of Things; there are several fault knob switches on the fault table; a number of integrated circuit boards are provided inside the integrated control cabinet. The integrated circuit board includes a microcomputer circuit board with controlling teaching control box.</v>
      </c>
      <c r="D3061" s="6" t="s">
        <v>8611</v>
      </c>
      <c r="E3061" s="4" t="str">
        <f ca="1">IFERROR(__xludf.DUMMYFUNCTION("GOOGLETRANSLATE(D3061,""auto"",""en"")"),"Teaching control box of simulation elevator")</f>
        <v>Teaching control box of simulation elevator</v>
      </c>
    </row>
    <row r="3062" spans="1:5" ht="15" x14ac:dyDescent="0.25">
      <c r="A3062" s="5" t="s">
        <v>8614</v>
      </c>
      <c r="B3062" s="6" t="s">
        <v>8615</v>
      </c>
      <c r="C3062" s="3" t="str">
        <f ca="1">IFERROR(__xludf.DUMMYFUNCTION("GOOGLETRANSLATE(B3062,""auto"",""en"")"),"The present invention discloses a fitness action monitoring and analysis system based on personnel image recognition, including body detection terminal, feature extraction module, image positioning division module, fitness database, management analysis se"&amp;"rver, display terminal, several pressure detection modules and several image acquisition modules The management analysis server is connected to the body detection terminal, image positioning division module, feature extraction module, display terminal, se"&amp;"veral pressure detection modules, and several image acquisition modules, and the image acquisition module and feature extraction module connection. The present invention can monitor and analyze the actions of the fitness personnel during the fitness of th"&amp;"e fitness personnel through pressure detection modules, image obtaining modules, feature acquisition modules, and combining management analysis. Improve safety during fitness, and facilitate fitness personnel to work hard and effectively.")</f>
        <v>The present invention discloses a fitness action monitoring and analysis system based on personnel image recognition, including body detection terminal, feature extraction module, image positioning division module, fitness database, management analysis server, display terminal, several pressure detection modules and several image acquisition modules The management analysis server is connected to the body detection terminal, image positioning division module, feature extraction module, display terminal, several pressure detection modules, and several image acquisition modules, and the image acquisition module and feature extraction module connection. The present invention can monitor and analyze the actions of the fitness personnel during the fitness of the fitness personnel through pressure detection modules, image obtaining modules, feature acquisition modules, and combining management analysis. Improve safety during fitness, and facilitate fitness personnel to work hard and effectively.</v>
      </c>
      <c r="D3062" s="6" t="s">
        <v>8616</v>
      </c>
      <c r="E3062" s="4" t="str">
        <f ca="1">IFERROR(__xludf.DUMMYFUNCTION("GOOGLETRANSLATE(D3062,""auto"",""en"")"),"A fitness action monitoring and analysis system based on personnel image recognition")</f>
        <v>A fitness action monitoring and analysis system based on personnel image recognition</v>
      </c>
    </row>
    <row r="3063" spans="1:5" ht="15" x14ac:dyDescent="0.25">
      <c r="A3063" s="5" t="s">
        <v>8617</v>
      </c>
      <c r="B3063" s="6" t="s">
        <v>8618</v>
      </c>
      <c r="C3063" s="3" t="str">
        <f ca="1">IFERROR(__xludf.DUMMYFUNCTION("GOOGLETRANSLATE(B3063,""auto"",""en"")"),"The present invention involves a treadmill, including the treadmill body, electromagnetic device and permanent magnet device. The electromagnetic device and permanent magnet device can produce mutual attractive magnetic fields. The permanent magnet device"&amp;" is fixed in the user's foot, and the electromagnetic device is fixed in the treadmill body. , The electromagnetic device is connected to the treadmill. After wearing the permanent magnet device, the user can control the turning on the electromagnetic dev"&amp;"ice through the human -computer interaction device on the treadmill body. The magnet device can generate downward pulling down on the user's legs, which replace the original sandbag and lead block, and realizes the function of the treadmill with negative "&amp;"running.")</f>
        <v>The present invention involves a treadmill, including the treadmill body, electromagnetic device and permanent magnet device. The electromagnetic device and permanent magnet device can produce mutual attractive magnetic fields. The permanent magnet device is fixed in the user's foot, and the electromagnetic device is fixed in the treadmill body. , The electromagnetic device is connected to the treadmill. After wearing the permanent magnet device, the user can control the turning on the electromagnetic device through the human -computer interaction device on the treadmill body. The magnet device can generate downward pulling down on the user's legs, which replace the original sandbag and lead block, and realizes the function of the treadmill with negative running.</v>
      </c>
      <c r="D3063" s="6" t="s">
        <v>6484</v>
      </c>
      <c r="E3063" s="4" t="str">
        <f ca="1">IFERROR(__xludf.DUMMYFUNCTION("GOOGLETRANSLATE(D3063,""auto"",""en"")"),"A treadmill")</f>
        <v>A treadmill</v>
      </c>
    </row>
    <row r="3064" spans="1:5" ht="15" x14ac:dyDescent="0.25">
      <c r="A3064" s="5" t="s">
        <v>8619</v>
      </c>
      <c r="B3064" s="6" t="s">
        <v>8620</v>
      </c>
      <c r="C3064" s="3" t="str">
        <f ca="1">IFERROR(__xludf.DUMMYFUNCTION("GOOGLETRANSLATE(B3064,""auto"",""en"")"),"The present invention disclosed a shared sports fitness equipment based on the Internet of Things with advertising video functions, including frames, displays and subjects. The top of the frame with a U -shaped handle, the middle part of the U -shaped han"&amp;"dle has a QR code in the middle part of the U -shaped handle. The post is posted, and there is a display on one side of the U -shaped handle. The top of the monitor is equipped with a display screen. The interior of the monitor is equipped with a processo"&amp;"r. The side of the processor is provided with a signal transceiver. One end of the monitor is equipped with a storage card. There is a power switch on one side of the card. The invention is a shared sports and fitness equipment based on the Internet of Th"&amp;"ings with advertising video functions. The use of sports fitness equipment has improved the efficiency of sports fitness equipment, facilitated people to promote and promote, and at the same time has the function of advertising and promotion, and has the "&amp;"effect of improving the company's competitiveness and economic benefits.")</f>
        <v>The present invention disclosed a shared sports fitness equipment based on the Internet of Things with advertising video functions, including frames, displays and subjects. The top of the frame with a U -shaped handle, the middle part of the U -shaped handle has a QR code in the middle part of the U -shaped handle. The post is posted, and there is a display on one side of the U -shaped handle. The top of the monitor is equipped with a display screen. The interior of the monitor is equipped with a processor. The side of the processor is provided with a signal transceiver. One end of the monitor is equipped with a storage card. There is a power switch on one side of the card. The invention is a shared sports and fitness equipment based on the Internet of Things with advertising video functions. The use of sports fitness equipment has improved the efficiency of sports fitness equipment, facilitated people to promote and promote, and at the same time has the function of advertising and promotion, and has the effect of improving the company's competitiveness and economic benefits.</v>
      </c>
      <c r="D3064" s="6" t="s">
        <v>8621</v>
      </c>
      <c r="E3064" s="4" t="str">
        <f ca="1">IFERROR(__xludf.DUMMYFUNCTION("GOOGLETRANSLATE(D3064,""auto"",""en"")"),"A shared sports and fitness equipment based on the Internet of Things with advertising video functions")</f>
        <v>A shared sports and fitness equipment based on the Internet of Things with advertising video functions</v>
      </c>
    </row>
    <row r="3065" spans="1:5" ht="15" x14ac:dyDescent="0.25">
      <c r="A3065" s="5" t="s">
        <v>8622</v>
      </c>
      <c r="B3065" s="6" t="s">
        <v>8623</v>
      </c>
      <c r="C3065" s="3" t="str">
        <f ca="1">IFERROR(__xludf.DUMMYFUNCTION("GOOGLETRANSLATE(B3065,""auto"",""en"")"),"The invention of the IoT -based traditional Chinese medicine prescription intelligent electronic scale, which includes a prescription recognition unit, a prompt interactive unit, a weighing unit, a communication unit, and a control unit. During the actual"&amp;" use of the staff, you only need to complete the correct medicine and the weight of the drug according to the prompt information to complete the weight preparation work of the traditional Chinese medicine prescriptions, and the operation is simple, clear,"&amp;" easy to execute. Because the weight of each medicine is prompting and measured separately, if the requirements cannot be met, the next step can not be performed, so that the entire prescription drug information is handed over to the machine to store the "&amp;"staff. The missed and unprotected situation occurred. Because the deployment order and the identification information of the specific staff are bound and uploaded through the communication unit, the real -time supervision of the specific operations of the"&amp;" specific staff in the workflow can be achieved.")</f>
        <v>The invention of the IoT -based traditional Chinese medicine prescription intelligent electronic scale, which includes a prescription recognition unit, a prompt interactive unit, a weighing unit, a communication unit, and a control unit. During the actual use of the staff, you only need to complete the correct medicine and the weight of the drug according to the prompt information to complete the weight preparation work of the traditional Chinese medicine prescriptions, and the operation is simple, clear, easy to execute. Because the weight of each medicine is prompting and measured separately, if the requirements cannot be met, the next step can not be performed, so that the entire prescription drug information is handed over to the machine to store the staff. The missed and unprotected situation occurred. Because the deployment order and the identification information of the specific staff are bound and uploaded through the communication unit, the real -time supervision of the specific operations of the specific staff in the workflow can be achieved.</v>
      </c>
      <c r="D3065" s="6" t="s">
        <v>8624</v>
      </c>
      <c r="E3065" s="4" t="str">
        <f ca="1">IFERROR(__xludf.DUMMYFUNCTION("GOOGLETRANSLATE(D3065,""auto"",""en"")"),"A intelligent electronic scale based on the Internet of Things prescriptions")</f>
        <v>A intelligent electronic scale based on the Internet of Things prescriptions</v>
      </c>
    </row>
    <row r="3066" spans="1:5" ht="15" x14ac:dyDescent="0.25">
      <c r="A3066" s="5" t="s">
        <v>8625</v>
      </c>
      <c r="B3066" s="6" t="s">
        <v>8626</v>
      </c>
      <c r="C3066" s="3" t="str">
        <f ca="1">IFERROR(__xludf.DUMMYFUNCTION("GOOGLETRANSLATE(B3066,""auto"",""en"")"),"This utility model discloses a shared sports fitness equipment based on the Internet of Things with advertising video functions, including frames, monitors and subjects. The top of the frame with a U -shaped handle is provided. The code is displayed, and "&amp;"the side of the U -shaped handle is equipped with a display. The top of the monitor is equipped with a display screen. The interior of the display is equipped with a processor. The side of the processor is provided with a signal transceiver. One end of th"&amp;"e monitor is equipped with a storage card. There is a power switch on one side of the storage card. A practical new model of the Internet of Things -based shared sports and fitness equipment based on the Internet of Things. The use of sports fitness equip"&amp;"ment is connected to the Internet of Things. People share sports and fitness equipment to make people even more It is convenient and fast to use sports fitness equipment, which improves the efficiency of sports fitness equipment, facilitates people to use"&amp;" and promote it. At the same time, it has the function of advertising and promotion, and has the functions of improving the company's competitiveness and economic benefits.")</f>
        <v>This utility model discloses a shared sports fitness equipment based on the Internet of Things with advertising video functions, including frames, monitors and subjects. The top of the frame with a U -shaped handle is provided. The code is displayed, and the side of the U -shaped handle is equipped with a display. The top of the monitor is equipped with a display screen. The interior of the display is equipped with a processor. The side of the processor is provided with a signal transceiver. One end of the monitor is equipped with a storage card. There is a power switch on one side of the storage card. A practical new model of the Internet of Things -based shared sports and fitness equipment based on the Internet of Things. The use of sports fitness equipment is connected to the Internet of Things. People share sports and fitness equipment to make people even more It is convenient and fast to use sports fitness equipment, which improves the efficiency of sports fitness equipment, facilitates people to use and promote it. At the same time, it has the function of advertising and promotion, and has the functions of improving the company's competitiveness and economic benefits.</v>
      </c>
      <c r="D3066" s="6" t="s">
        <v>8621</v>
      </c>
      <c r="E3066" s="4" t="str">
        <f ca="1">IFERROR(__xludf.DUMMYFUNCTION("GOOGLETRANSLATE(D3066,""auto"",""en"")"),"A shared sports and fitness equipment based on the Internet of Things with advertising video functions")</f>
        <v>A shared sports and fitness equipment based on the Internet of Things with advertising video functions</v>
      </c>
    </row>
    <row r="3067" spans="1:5" ht="15" x14ac:dyDescent="0.25">
      <c r="A3067" s="5" t="s">
        <v>8627</v>
      </c>
      <c r="B3067" s="6" t="s">
        <v>8628</v>
      </c>
      <c r="C3067" s="3" t="str">
        <f ca="1">IFERROR(__xludf.DUMMYFUNCTION("GOOGLETRANSLATE(B3067,""auto"",""en"")"),"The present invention includes one device that can shoot two sets of videos or pictures from another set of different angles, and use software to manipulate these two media into a three -dimensional image that can be shared with others. One embodiment of "&amp;"the present invention requires a tray with a handle. The tray can accommodate two mobile phones and adjust them to about the pupil spacing. The objection to the device in the three -dimensional view. The software also has image recognition capabilities. I"&amp;"t can build a three -dimensional environment through a single -sided grasp grasp, and then pull the data from the image recognition database to complete the three -dimensional representation of the object. Developed and successfully tested the double Blue"&amp;"tooth used for shutter control.")</f>
        <v>The present invention includes one device that can shoot two sets of videos or pictures from another set of different angles, and use software to manipulate these two media into a three -dimensional image that can be shared with others. One embodiment of the present invention requires a tray with a handle. The tray can accommodate two mobile phones and adjust them to about the pupil spacing. The objection to the device in the three -dimensional view. The software also has image recognition capabilities. It can build a three -dimensional environment through a single -sided grasp grasp, and then pull the data from the image recognition database to complete the three -dimensional representation of the object. Developed and successfully tested the double Bluetooth used for shutter control.</v>
      </c>
      <c r="D3067" s="6" t="s">
        <v>8629</v>
      </c>
      <c r="E3067" s="4" t="str">
        <f ca="1">IFERROR(__xludf.DUMMYFUNCTION("GOOGLETRANSLATE(D3067,""auto"",""en"")"),"Multi -camera airport scene said, including stereo videos for VR display")</f>
        <v>Multi -camera airport scene said, including stereo videos for VR display</v>
      </c>
    </row>
    <row r="3068" spans="1:5" ht="15" x14ac:dyDescent="0.25">
      <c r="A3068" s="5" t="s">
        <v>8630</v>
      </c>
      <c r="B3068" s="6" t="s">
        <v>8631</v>
      </c>
      <c r="C3068" s="3" t="str">
        <f ca="1">IFERROR(__xludf.DUMMYFUNCTION("GOOGLETRANSLATE(B3068,""auto"",""en"")"),"The present invention involves an artificial intelligence -based environmental adaptive competition strategy execution method and an artificial intelligence -based competition analysis system. A) provides a virtual environment for each movement. Each move"&amp;"ment in the environment, and then generate an incomplete model for each uncertain environmental factors; b) When the game is played against each type of movement in the virtual environment, incomplete models will produce environmental changes. The timing "&amp;"and environmental adaptation characteristics obtained by the changes in time changes are obtained, and the characteristics of the adaptation of the timing environment can be used to extract the current status characteristics; Perform the established targe"&amp;"t strategies in the real environment; D) The performance errors in the implementation of environmental adaptation strategies through order, and perform an error design error function and weight for the detected order. Strengthen learning. e) Collect the g"&amp;"ame process information in the real environment. By reflect the collected game process information in the adaptive framework of the environment, predict the current environmental information, so that the environment can adaptively respond to the current e"&amp;"nvironmental information of the forecast. Real -time policy.")</f>
        <v>The present invention involves an artificial intelligence -based environmental adaptive competition strategy execution method and an artificial intelligence -based competition analysis system. A) provides a virtual environment for each movement. Each movement in the environment, and then generate an incomplete model for each uncertain environmental factors; b) When the game is played against each type of movement in the virtual environment, incomplete models will produce environmental changes. The timing and environmental adaptation characteristics obtained by the changes in time changes are obtained, and the characteristics of the adaptation of the timing environment can be used to extract the current status characteristics; Perform the established target strategies in the real environment; D) The performance errors in the implementation of environmental adaptation strategies through order, and perform an error design error function and weight for the detected order. Strengthen learning. e) Collect the game process information in the real environment. By reflect the collected game process information in the adaptive framework of the environment, predict the current environmental information, so that the environment can adaptively respond to the current environmental information of the forecast. Real -time policy.</v>
      </c>
      <c r="D3068" s="6" t="s">
        <v>8632</v>
      </c>
      <c r="E3068" s="4" t="str">
        <f ca="1">IFERROR(__xludf.DUMMYFUNCTION("GOOGLETRANSLATE(D3068,""auto"",""en"")"),"An artificial intelligence -based adaptive matching strategy execution method and artificial intelligence -based matching analysis system")</f>
        <v>An artificial intelligence -based adaptive matching strategy execution method and artificial intelligence -based matching analysis system</v>
      </c>
    </row>
    <row r="3069" spans="1:5" ht="15" x14ac:dyDescent="0.25">
      <c r="A3069" s="5" t="s">
        <v>8633</v>
      </c>
      <c r="B3069" s="6" t="s">
        <v>8634</v>
      </c>
      <c r="C3069" s="3" t="str">
        <f ca="1">IFERROR(__xludf.DUMMYFUNCTION("GOOGLETRANSLATE(B3069,""auto"",""en"")"),"A badminton quality sorting machine, including the air cylinder and the wind system setting below the air cylinder, and the image recognition system. The image recognition system includes the camera and the computing host. The wind system includes the air"&amp;" duct and fan, and there is a rectifier component inside the air duct. The air duct includes the romantic channel of the fan and the rectifier component. The fan is a shaft flow fan. The rectifier components are hive plates, and a filter is provided above"&amp;" the upper end of the honeycomb board. This utility model of the badminton quality sorting machine adopts the characteristics of the badminton in the wind tunnel, set the vertical set of air cylinders, and set the structure of the fan at the lower end of "&amp;"the air tube. Badminton blows up and rotates it, grabs the images of multiple badminton through the camera, and judges the stability of the badminton rotation by the image analysis system. The quality of the badminton is highly automated. Essence")</f>
        <v>A badminton quality sorting machine, including the air cylinder and the wind system setting below the air cylinder, and the image recognition system. The image recognition system includes the camera and the computing host. The wind system includes the air duct and fan, and there is a rectifier component inside the air duct. The air duct includes the romantic channel of the fan and the rectifier component. The fan is a shaft flow fan. The rectifier components are hive plates, and a filter is provided above the upper end of the honeycomb board. This utility model of the badminton quality sorting machine adopts the characteristics of the badminton in the wind tunnel, set the vertical set of air cylinders, and set the structure of the fan at the lower end of the air tube. Badminton blows up and rotates it, grabs the images of multiple badminton through the camera, and judges the stability of the badminton rotation by the image analysis system. The quality of the badminton is highly automated. Essence</v>
      </c>
      <c r="D3069" s="6" t="s">
        <v>8635</v>
      </c>
      <c r="E3069" s="4" t="str">
        <f ca="1">IFERROR(__xludf.DUMMYFUNCTION("GOOGLETRANSLATE(D3069,""auto"",""en"")"),"A badminton quality sorter")</f>
        <v>A badminton quality sorter</v>
      </c>
    </row>
    <row r="3070" spans="1:5" ht="15" x14ac:dyDescent="0.25">
      <c r="A3070" s="5" t="s">
        <v>8636</v>
      </c>
      <c r="B3070" s="6" t="s">
        <v>8637</v>
      </c>
      <c r="C3070" s="3" t="str">
        <f ca="1">IFERROR(__xludf.DUMMYFUNCTION("GOOGLETRANSLATE(B3070,""auto"",""en"")"),"1. The name of the product designed this product: mobile phone with graphic user interface.
 2. The purpose of designing products in this exterior: The design of the product in this exterior is used for the management control and operating procedures of"&amp;" a smart electric tractor.
 3. Design of the design of the product: The interface content of the graphical user interface in the screen is designed for the existing mobile phone.
 4. Pictures or photos that can best show design points: Figure 6 of the"&amp;" interface change state.
 5. The purpose of graphic user interface: Autonomous driving: Users can use location search methods, intelligently generate routes, and can plan the work content of the specific location to turn on the autonomous driving mode; "&amp;"remote control: The remote control function of this APP can be freely switched freely. Observe from the perspective of a third person to facilitate viewing the situation around the vehicle; check and manage the status: users can switch the map mode and re"&amp;"al -view mode to view the status information of the tractor. The map mode helps understand the current position of the tractor. Essence
 In addition, the tractor can be managed in time when the alarm information is issued.
 6. Human -computer interact"&amp;"ion method of graphical user interface: The specific operation is divided into four parts: 1. Load pages: open the app, automatically load, enter ""interface change state figure 1"".
 2. Status viewing and management: Enter information in ""Interface Ch"&amp;"ange Status Figure 1"", match ""Connect to FISON"" .APP to match the product.
 In the ""Interface Change Status Figure 2"", long press the middle circular button in the middle, after the dynamic changes of the ""interface change state Figure 3, 4"", ent"&amp;"er the ""interface change state Figure 5"", this page shows the data information of the tractor's various data information information Essence
 When the tractor starts, the information in the ""interface change state Figure 5"" changes, and the effect r"&amp;"efers to the ""interface change state Figure 6"".
 In ""Figure 6 of the Interface Change Status 6"", slide the real image to the left and enter the ""interface change state Figure 7"".
 Click the ""FISON"" icon on the left side of the bottom column of"&amp;" the ""Interface Change State Figure 7"" to enter the ""Interface Change State Figure 8"". This page can view the tractor data and perform relevant management operations.
 Click the ""Service"" icon on the right side of the bottom column of ""Interface "&amp;"Change Status 8"" to enter the ""interface change status Figure 9"". This page can perform related operations of ""housekeeper service"" and ""online consultation"".
 Click the icon on the left side of the ""Interface Change Status Figure 9"" to enter t"&amp;"he account information setting page of the ""Interface Change State Figure 10"".
 Click the icon on the right side of the ""Interface Change Status Figure 9"" to enter the message center of ""Interface Change State Figure 11"".
 3. Autonomous driving:"&amp;" Click the ""Auto"" button in ""Interface Change State Figure 6"" to enter the ""Interface Change Status Figure 12"" and perform the proofing page of autonomous driving.
 Click the ""Agriculture 1"" button in the ""Interface Change Status Figure 12"" to"&amp;" enter the ""interface change status Figure 13"" for agricultural settings.
 Click the ""Return"" button in ""Interface Change State Figure 13"" to enter the ""Interface Change State Figure 14"" and perform the relevant settings of the return journey.
 "&amp;"
 Click the ""Total Land"" button in ""Interface Change Status Figure 14"" to enter the ""Interface Change Status Figure 15"" to set up related settings for the entire route.
 Click the ""Auto"" button in ""Interface Change Status Figure 15"", the tract"&amp;"or starts to drive, the app jumps to the ""interface change state Figure 16"", and the work process of the tractor is displayed in real time.
 Fourth, remote control: Click the remote control icon of ""Interface Change State Figure 6"" to enter the ""In"&amp;"terface Change Status Figure 17"" remote control page. The defaults to the steering control method and safety speed mode of the slider (0‑15km/h).
 Slide the ""Security"" button in the ""Interface Change Status Figure 17"" and enter the standard speed m"&amp;"ode (0‑35km/h) of the ""interface change state Figure 18"".
 Slide the ""Standard"" button in the ""Interface Change State Figure 18"" to enter the right to the right and enter the reversing mode of ""Interface Change State Figure 19"".
 Click the ""L"&amp;"ight"" icon in the middle of the left side of ""Interface Change State Figure 17"", pop up the ""Interface Change State Figure 20"" light setting page, you can set LED headlights, indicators, and double light lights.
 Click the setting button next to th"&amp;"e ""Interface Change State Figure 17"" map to enter the ""interface change state Figure 21"" for steering wheel settings.
 Click ""Interface Change Status Figure 21"" and ""Steering Plate Mode"" icon to enter the steering mode of the ""interface change "&amp;"state Figure 22"" steering wheel.
 23: Click ""Interface Change Status Figure 22"" Page Frame to close the setting page box and enter the complete ""steering wheel"" mode effect of ""Interface Change State Figure 23"".
 24: Click the ""Eyes"" icon abo"&amp;"ve ""Interface Change Status Figure 23"" to enter the ""interface change state Figure 24"" viewing window. You can switch the perspective of first -person, third person (near), and third person (far), including the corresponding perspective angle) The bac"&amp;"k, back, left, left and right and downward perspective.
 25: Click the ""Small Map"" of ""Interface Change State Figure 23"" to enter the map navigation setting page of ""Interface Change State Figure 25"" to view the map information and set the navigat"&amp;"ion.")</f>
        <v>1. The name of the product designed this product: mobile phone with graphic user interface.
 2. The purpose of designing products in this exterior: The design of the product in this exterior is used for the management control and operating procedures of a smart electric tractor.
 3. Design of the design of the product: The interface content of the graphical user interface in the screen is designed for the existing mobile phone.
 4. Pictures or photos that can best show design points: Figure 6 of the interface change state.
 5. The purpose of graphic user interface: Autonomous driving: Users can use location search methods, intelligently generate routes, and can plan the work content of the specific location to turn on the autonomous driving mode; remote control: The remote control function of this APP can be freely switched freely. Observe from the perspective of a third person to facilitate viewing the situation around the vehicle; check and manage the status: users can switch the map mode and real -view mode to view the status information of the tractor. The map mode helps understand the current position of the tractor. Essence
 In addition, the tractor can be managed in time when the alarm information is issued.
 6. Human -computer interaction method of graphical user interface: The specific operation is divided into four parts: 1. Load pages: open the app, automatically load, enter "interface change state figure 1".
 2. Status viewing and management: Enter information in "Interface Change Status Figure 1", match "Connect to FISON" .APP to match the product.
 In the "Interface Change Status Figure 2", long press the middle circular button in the middle, after the dynamic changes of the "interface change state Figure 3, 4", enter the "interface change state Figure 5", this page shows the data information of the tractor's various data information information Essence
 When the tractor starts, the information in the "interface change state Figure 5" changes, and the effect refers to the "interface change state Figure 6".
 In "Figure 6 of the Interface Change Status 6", slide the real image to the left and enter the "interface change state Figure 7".
 Click the "FISON" icon on the left side of the bottom column of the "Interface Change State Figure 7" to enter the "Interface Change State Figure 8". This page can view the tractor data and perform relevant management operations.
 Click the "Service" icon on the right side of the bottom column of "Interface Change Status 8" to enter the "interface change status Figure 9". This page can perform related operations of "housekeeper service" and "online consultation".
 Click the icon on the left side of the "Interface Change Status Figure 9" to enter the account information setting page of the "Interface Change State Figure 10".
 Click the icon on the right side of the "Interface Change Status Figure 9" to enter the message center of "Interface Change State Figure 11".
 3. Autonomous driving: Click the "Auto" button in "Interface Change State Figure 6" to enter the "Interface Change Status Figure 12" and perform the proofing page of autonomous driving.
 Click the "Agriculture 1" button in the "Interface Change Status Figure 12" to enter the "interface change status Figure 13" for agricultural settings.
 Click the "Return" button in "Interface Change State Figure 13" to enter the "Interface Change State Figure 14" and perform the relevant settings of the return journey.
 Click the "Total Land" button in "Interface Change Status Figure 14" to enter the "Interface Change Status Figure 15" to set up related settings for the entire route.
 Click the "Auto" button in "Interface Change Status Figure 15", the tractor starts to drive, the app jumps to the "interface change state Figure 16", and the work process of the tractor is displayed in real time.
 Fourth, remote control: Click the remote control icon of "Interface Change State Figure 6" to enter the "Interface Change Status Figure 17" remote control page. The defaults to the steering control method and safety speed mode of the slider (0‑15km/h).
 Slide the "Security" button in the "Interface Change Status Figure 17" and enter the standard speed mode (0‑35km/h) of the "interface change state Figure 18".
 Slide the "Standard" button in the "Interface Change State Figure 18" to enter the right to the right and enter the reversing mode of "Interface Change State Figure 19".
 Click the "Light" icon in the middle of the left side of "Interface Change State Figure 17", pop up the "Interface Change State Figure 20" light setting page, you can set LED headlights, indicators, and double light lights.
 Click the setting button next to the "Interface Change State Figure 17" map to enter the "interface change state Figure 21" for steering wheel settings.
 Click "Interface Change Status Figure 21" and "Steering Plate Mode" icon to enter the steering mode of the "interface change state Figure 22" steering wheel.
 23: Click "Interface Change Status Figure 22" Page Frame to close the setting page box and enter the complete "steering wheel" mode effect of "Interface Change State Figure 23".
 24: Click the "Eyes" icon above "Interface Change Status Figure 23" to enter the "interface change state Figure 24" viewing window. You can switch the perspective of first -person, third person (near), and third person (far), including the corresponding perspective angle) The back, back, left, left and right and downward perspective.
 25: Click the "Small Map" of "Interface Change State Figure 23" to enter the map navigation setting page of "Interface Change State Figure 25" to view the map information and set the navigation.</v>
      </c>
      <c r="D3070" s="6" t="s">
        <v>8638</v>
      </c>
      <c r="E3070" s="4" t="str">
        <f ca="1">IFERROR(__xludf.DUMMYFUNCTION("GOOGLETRANSLATE(D3070,""auto"",""en"")"),"Mobile phones with graphical user interface")</f>
        <v>Mobile phones with graphical user interface</v>
      </c>
    </row>
    <row r="3071" spans="1:5" ht="15" x14ac:dyDescent="0.25">
      <c r="A3071" s="5" t="s">
        <v>8639</v>
      </c>
      <c r="B3071" s="6" t="s">
        <v>8640</v>
      </c>
      <c r="C3071" s="3" t="str">
        <f ca="1">IFERROR(__xludf.DUMMYFUNCTION("GOOGLETRANSLATE(B3071,""auto"",""en"")"),"An automatic sorting machine, including wind components, rotating plates, and multiple fans set on the rotating disk, and image recognition system; The component corresponds to one below one of the air cylinders. The image recognition system includes a co"&amp;"mputing host and camera. The camera is set up above the axis in the wind component. The fans, the rotating plate is connected to a rotary mechanism, and the rotating mechanism drives the rotor turntable intermittently. The present invention adopts a multi"&amp;" -site structure in the form of a turntable. The characteristics of the badminton will rotate and suspend the floating in the DC fan. The air tube structure is used, and the wind component that can generate DC wind is set under the air tube. The ball groo"&amp;"ve is automatically sent into the air cylinder one by one, and the level of badminton is judged, and continuous rotation is continuously tested. At the same time, the ball of the previous step is sent through a specific outlet. It has high degree of autom"&amp;"ation and improves the advantages of production quality.")</f>
        <v>An automatic sorting machine, including wind components, rotating plates, and multiple fans set on the rotating disk, and image recognition system; The component corresponds to one below one of the air cylinders. The image recognition system includes a computing host and camera. The camera is set up above the axis in the wind component. The fans, the rotating plate is connected to a rotary mechanism, and the rotating mechanism drives the rotor turntable intermittently. The present invention adopts a multi -site structure in the form of a turntable. The characteristics of the badminton will rotate and suspend the floating in the DC fan. The air tube structure is used, and the wind component that can generate DC wind is set under the air tube. The ball groove is automatically sent into the air cylinder one by one, and the level of badminton is judged, and continuous rotation is continuously tested. At the same time, the ball of the previous step is sent through a specific outlet. It has high degree of automation and improves the advantages of production quality.</v>
      </c>
      <c r="D3071" s="6" t="s">
        <v>8641</v>
      </c>
      <c r="E3071" s="4" t="str">
        <f ca="1">IFERROR(__xludf.DUMMYFUNCTION("GOOGLETRANSLATE(D3071,""auto"",""en"")"),"A badminton quality automatic sorter")</f>
        <v>A badminton quality automatic sorter</v>
      </c>
    </row>
    <row r="3072" spans="1:5" ht="15" x14ac:dyDescent="0.25">
      <c r="A3072" s="5" t="s">
        <v>8642</v>
      </c>
      <c r="B3072" s="6" t="s">
        <v>8643</v>
      </c>
      <c r="C3072" s="3" t="str">
        <f ca="1">IFERROR(__xludf.DUMMYFUNCTION("GOOGLETRANSLATE(B3072,""auto"",""en"")"),"Lawyer's case number: 09945-0362au1; DP118AU1 Abstract A mobile cleaning robot includes a clean head on the floor surface configured in the cleaning environment, and a camera with at least a field of vision extended on the surface of the floor. At least o"&amp;"ne camera is configured to capture images including the environment part of the floor surface. The robot includes the identification module, which is configured to identify objects in the environment based on images captured by at least one camera. At lea"&amp;"st part of the image captured by at least one camera is used to train the identification module. Robots include storage equipment for storage environment maps. The robot includes the control module. The control module is configured to control the mobile c"&amp;"leaning robot to use a map to navigate in the environment, and take into account the cleansing head of the object -operated by the identified module to perform the cleaning task. 12274136.docx")</f>
        <v>Lawyer's case number: 09945-0362au1; DP118AU1 Abstract A mobile cleaning robot includes a clean head on the floor surface configured in the cleaning environment, and a camera with at least a field of vision extended on the surface of the floor. At least one camera is configured to capture images including the environment part of the floor surface. The robot includes the identification module, which is configured to identify objects in the environment based on images captured by at least one camera. At least part of the image captured by at least one camera is used to train the identification module. Robots include storage equipment for storage environment maps. The robot includes the control module. The control module is configured to control the mobile cleaning robot to use a map to navigate in the environment, and take into account the cleansing head of the object -operated by the identified module to perform the cleaning task. 12274136.docx</v>
      </c>
      <c r="D3072" s="6" t="s">
        <v>5391</v>
      </c>
      <c r="E3072" s="4" t="str">
        <f ca="1">IFERROR(__xludf.DUMMYFUNCTION("GOOGLETRANSLATE(D3072,""auto"",""en"")"),"Mobile cleaning robot artificial intelligence used for the situation")</f>
        <v>Mobile cleaning robot artificial intelligence used for the situation</v>
      </c>
    </row>
    <row r="3073" spans="1:5" ht="15" x14ac:dyDescent="0.25">
      <c r="A3073" s="5" t="s">
        <v>8644</v>
      </c>
      <c r="B3073" s="6" t="s">
        <v>5390</v>
      </c>
      <c r="C3073" s="3" t="str">
        <f ca="1">IFERROR(__xludf.DUMMYFUNCTION("GOOGLETRANSLATE(B3073,""auto"",""en"")"),"A mobile cleaning robot, including the cleaning head on the surface of the floor in the clean environment, and at least one camera with a field of vision extended above the floor surface. At least one camera is configured to capture images including the e"&amp;"nvironment part of the floor surface. The robot includes the identification module, which is configured to identify objects in the environment based on images captured by at least one camera. At least part of the image captured by at least one camera is u"&amp;"sed to train the identification module. Robots include storage equipment for storage environment maps. The robot includes the control module. The control module is configured to control the mobile cleaning robot to use a map to navigate in the environment"&amp;", and take into account the cleansing head of the object -operated by the identified module to perform the cleaning task.")</f>
        <v>A mobile cleaning robot, including the cleaning head on the surface of the floor in the clean environment, and at least one camera with a field of vision extended above the floor surface. At least one camera is configured to capture images including the environment part of the floor surface. The robot includes the identification module, which is configured to identify objects in the environment based on images captured by at least one camera. At least part of the image captured by at least one camera is used to train the identification module. Robots include storage equipment for storage environment maps. The robot includes the control module. The control module is configured to control the mobile cleaning robot to use a map to navigate in the environment, and take into account the cleansing head of the object -operated by the identified module to perform the cleaning task.</v>
      </c>
      <c r="D3073" s="6" t="s">
        <v>5391</v>
      </c>
      <c r="E3073" s="4" t="str">
        <f ca="1">IFERROR(__xludf.DUMMYFUNCTION("GOOGLETRANSLATE(D3073,""auto"",""en"")"),"Mobile cleaning robot artificial intelligence used for the situation")</f>
        <v>Mobile cleaning robot artificial intelligence used for the situation</v>
      </c>
    </row>
    <row r="3074" spans="1:5" ht="15" x14ac:dyDescent="0.25">
      <c r="A3074" s="5" t="s">
        <v>8645</v>
      </c>
      <c r="B3074" s="6" t="s">
        <v>8646</v>
      </c>
      <c r="C3074" s="3" t="str">
        <f ca="1">IFERROR(__xludf.DUMMYFUNCTION("GOOGLETRANSLATE(B3074,""auto"",""en"")"),"The present invention is composed of a visual observation device, which integrates a camera designed to place one or more places where the swimming pool is placed. These cameras are connected to computer devices, especially including image recognition alg"&amp;"orithms, which can detect people's approach. The detection device can distinguish the user type (adult, child) and analyze whether he is equipped with a security device (armband, belt, etc.). The detection device can detect the approaching of the swimming"&amp;" pool and start alarm when the danger is in danger. Detailed introduced three technical solutions that can be combined according to the type of swimming pool: -Che observation device located on the pillars near the swimming pool -observation device integr"&amp;"ated on the edge of the swimming pool. -A observation device is integrated in components used to seal the edge of the swimming pool, immersed or exposed.")</f>
        <v>The present invention is composed of a visual observation device, which integrates a camera designed to place one or more places where the swimming pool is placed. These cameras are connected to computer devices, especially including image recognition algorithms, which can detect people's approach. The detection device can distinguish the user type (adult, child) and analyze whether he is equipped with a security device (armband, belt, etc.). The detection device can detect the approaching of the swimming pool and start alarm when the danger is in danger. Detailed introduced three technical solutions that can be combined according to the type of swimming pool: -Che observation device located on the pillars near the swimming pool -observation device integrated on the edge of the swimming pool. -A observation device is integrated in components used to seal the edge of the swimming pool, immersed or exposed.</v>
      </c>
      <c r="D3074" s="6" t="s">
        <v>8647</v>
      </c>
      <c r="E3074" s="4" t="str">
        <f ca="1">IFERROR(__xludf.DUMMYFUNCTION("GOOGLETRANSLATE(D3074,""auto"",""en"")"),"Swimming pool alarm system, integrated visual sensor system, integrated in the swimming pool or edge")</f>
        <v>Swimming pool alarm system, integrated visual sensor system, integrated in the swimming pool or edge</v>
      </c>
    </row>
    <row r="3075" spans="1:5" ht="15" x14ac:dyDescent="0.25">
      <c r="A3075" s="5" t="s">
        <v>8648</v>
      </c>
      <c r="B3075" s="6" t="s">
        <v>8649</v>
      </c>
      <c r="C3075" s="3" t="str">
        <f ca="1">IFERROR(__xludf.DUMMYFUNCTION("GOOGLETRANSLATE(B3075,""auto"",""en"")"),"In response to the problem of serving in the badminton stadium and judging the subjectivity of overlap violations of the waist, the present invention provides a method of using computer open source visual library (OpenCV) as a method of identifying means "&amp;"to judge the violation of the badminton service. Involving image processing, artificial intelligence and other fields. This method includes: collecting the video image frame sequence when serving athletes, and the pre -processing of motion detection to ac"&amp;"hieve the purpose of improving system efficiency; by establishing badminton image data sets and extracting LBP digital image features for classifier training, determining the badminton of the badminton when starting the goal Location; use OpenCV to calcul"&amp;"ate the positive and negative angle of the racket when the starting goal is used to determine whether to serve; establish the relationship between the top image point and the dying foot image point, and calculate the departure height of the starting point"&amp;" to determine whether to serve whether to serve. Pass the waist. The invention mainly applies image processing technology to the badminton arena, which has the characteristics of simple and practical detection.")</f>
        <v>In response to the problem of serving in the badminton stadium and judging the subjectivity of overlap violations of the waist, the present invention provides a method of using computer open source visual library (OpenCV) as a method of identifying means to judge the violation of the badminton service. Involving image processing, artificial intelligence and other fields. This method includes: collecting the video image frame sequence when serving athletes, and the pre -processing of motion detection to achieve the purpose of improving system efficiency; by establishing badminton image data sets and extracting LBP digital image features for classifier training, determining the badminton of the badminton when starting the goal Location; use OpenCV to calculate the positive and negative angle of the racket when the starting goal is used to determine whether to serve; establish the relationship between the top image point and the dying foot image point, and calculate the departure height of the starting point to determine whether to serve whether to serve. Pass the waist. The invention mainly applies image processing technology to the badminton arena, which has the characteristics of simple and practical detection.</v>
      </c>
      <c r="D3075" s="6" t="s">
        <v>8650</v>
      </c>
      <c r="E3075" s="4" t="str">
        <f ca="1">IFERROR(__xludf.DUMMYFUNCTION("GOOGLETRANSLATE(D3075,""auto"",""en"")"),"A method of making violations of badminton -based badminton -based badminton -based badminton")</f>
        <v>A method of making violations of badminton -based badminton -based badminton -based badminton</v>
      </c>
    </row>
    <row r="3076" spans="1:5" ht="15" x14ac:dyDescent="0.25">
      <c r="A3076" s="5" t="s">
        <v>8651</v>
      </c>
      <c r="B3076" s="6" t="s">
        <v>8652</v>
      </c>
      <c r="C3076" s="3" t="str">
        <f ca="1">IFERROR(__xludf.DUMMYFUNCTION("GOOGLETRANSLATE(B3076,""auto"",""en"")"),"[0001] The invention involves an action accuracy judgment system based on an artificial intelligence gesture analysis technology based on a single camera. More specifically, it involves an action accuracy determination system that involves a single -camer"&amp;"a -based artificial intelligence posture analysis technology. Users who exercise activities. A single camera for taking pictures and providing the image data of the mobilized movement; bone data extractor, which is used to extract the bone data of the use"&amp;"r in the image data taken from a single camera and provided exercise. The bone data of the data extractor is compared with the bone data with the preset exercise data of the presets to measure the exercise accuracy; determine the sports accuracy measured "&amp;"by the motion accuracy measured by measured the control unit to measure the exercise accuracy of the sports competition and provide a certain result. The action accuracy determination system of artificial intelligence gesture analysis technology proposed "&amp;"by the present invention can automatically determine the action accuracy of the action posture by measuring the movement of sports projects such as fitness, weightlifting, and taekwondo. The configuration can prevent the damage that may occur due to incor"&amp;"rect exercise postures during exercise, and for weightlifting competitions or taekwondo products promotion. In addition, the exertion of artificial intelligence gesture analysis technology proposed by the present invention based on a single -camera -based"&amp;" artificial intelligence posture analysis technology, automatically determine the accuracy of the sports posture, but the accuracy of the exercise accuracy is expressed, so as to provide weightlifting or taekwondo and other competitions or promotion. The "&amp;"judgment, such as the sports meeting, minimize the occurrence of unnecessary disputes.")</f>
        <v>[0001] The invention involves an action accuracy judgment system based on an artificial intelligence gesture analysis technology based on a single camera. More specifically, it involves an action accuracy determination system that involves a single -camera -based artificial intelligence posture analysis technology. Users who exercise activities. A single camera for taking pictures and providing the image data of the mobilized movement; bone data extractor, which is used to extract the bone data of the user in the image data taken from a single camera and provided exercise. The bone data of the data extractor is compared with the bone data with the preset exercise data of the presets to measure the exercise accuracy; determine the sports accuracy measured by the motion accuracy measured by measured the control unit to measure the exercise accuracy of the sports competition and provide a certain result. The action accuracy determination system of artificial intelligence gesture analysis technology proposed by the present invention can automatically determine the action accuracy of the action posture by measuring the movement of sports projects such as fitness, weightlifting, and taekwondo. The configuration can prevent the damage that may occur due to incorrect exercise postures during exercise, and for weightlifting competitions or taekwondo products promotion. In addition, the exertion of artificial intelligence gesture analysis technology proposed by the present invention based on a single -camera -based artificial intelligence posture analysis technology, automatically determine the accuracy of the sports posture, but the accuracy of the exercise accuracy is expressed, so as to provide weightlifting or taekwondo and other competitions or promotion. The judgment, such as the sports meeting, minimize the occurrence of unnecessary disputes.</v>
      </c>
      <c r="D3076" s="6" t="s">
        <v>8653</v>
      </c>
      <c r="E3076" s="4" t="str">
        <f ca="1">IFERROR(__xludf.DUMMYFUNCTION("GOOGLETRANSLATE(D3076,""auto"",""en"")"),"Movement accuracy judgment system based on single -camera artificial intelligence gesture analysis technology")</f>
        <v>Movement accuracy judgment system based on single -camera artificial intelligence gesture analysis technology</v>
      </c>
    </row>
    <row r="3077" spans="1:5" ht="15" x14ac:dyDescent="0.25">
      <c r="A3077" s="5" t="s">
        <v>8654</v>
      </c>
      <c r="B3077" s="6" t="s">
        <v>8655</v>
      </c>
      <c r="C3077" s="3" t="str">
        <f ca="1">IFERROR(__xludf.DUMMYFUNCTION("GOOGLETRANSLATE(B3077,""auto"",""en"")"),"In order to provide users with working space, a box is set on the lower side of the box. The boxes include the side walls of the front and rear, left and right sides, and the upper wall of the upper side of the seal so that the user can take walking or ru"&amp;"nning movements walking. Auxiliary device, which is used to perform walking auxiliary devices for walking, is used to display one or more monitors to display virtual reality images. The invention of the environment of the environment opens up a user exper"&amp;"ience device. The user experience device includes internal environment control devices used to adjust the environment in the box.")</f>
        <v>In order to provide users with working space, a box is set on the lower side of the box. The boxes include the side walls of the front and rear, left and right sides, and the upper wall of the upper side of the seal so that the user can take walking or running movements walking. Auxiliary device, which is used to perform walking auxiliary devices for walking, is used to display one or more monitors to display virtual reality images. The invention of the environment of the environment opens up a user experience device. The user experience device includes internal environment control devices used to adjust the environment in the box.</v>
      </c>
      <c r="D3077" s="6" t="s">
        <v>8656</v>
      </c>
      <c r="E3077" s="4" t="str">
        <f ca="1">IFERROR(__xludf.DUMMYFUNCTION("GOOGLETRANSLATE(D3077,""auto"",""en"")"),"Use artificial intelligence user experience equipment")</f>
        <v>Use artificial intelligence user experience equipment</v>
      </c>
    </row>
    <row r="3078" spans="1:5" ht="15" x14ac:dyDescent="0.25">
      <c r="A3078" s="5" t="s">
        <v>8657</v>
      </c>
      <c r="B3078" s="6" t="s">
        <v>8658</v>
      </c>
      <c r="C3078" s="3" t="str">
        <f ca="1">IFERROR(__xludf.DUMMYFUNCTION("GOOGLETRANSLATE(B3078,""auto"",""en"")"),"The present invention has disclosed the intelligent tennis training robot and training methods based on visual recognition and omnidirectional movement. It belongs to the field of optical and electrical integrated equipment and intelligent robot technolog"&amp;"y. It consists of four parts: full -directional mobile chassis, launching agency gimbal, visual recognition system, and pilling mechanism. The main control chip outputs the command status corresponding to the training mode, and the corresponding execution"&amp;" element emits corresponding actions. The measured component feeds the measured data to the main control chip and makes the corresponding adjustment action. The training mode is divided into four types: fixed -point muscle memory mode, physical training m"&amp;"ode, advanced skills mode, and random ball mode. Full -directional movement can quickly and accurately move to the specified location. The 6 -shaped bomb -supply mechanism can be used to achieve high -frequency serving and frequency frequency. Realize the"&amp;" purpose of intelligent training.")</f>
        <v>The present invention has disclosed the intelligent tennis training robot and training methods based on visual recognition and omnidirectional movement. It belongs to the field of optical and electrical integrated equipment and intelligent robot technology. It consists of four parts: full -directional mobile chassis, launching agency gimbal, visual recognition system, and pilling mechanism. The main control chip outputs the command status corresponding to the training mode, and the corresponding execution element emits corresponding actions. The measured component feeds the measured data to the main control chip and makes the corresponding adjustment action. The training mode is divided into four types: fixed -point muscle memory mode, physical training mode, advanced skills mode, and random ball mode. Full -directional movement can quickly and accurately move to the specified location. The 6 -shaped bomb -supply mechanism can be used to achieve high -frequency serving and frequency frequency. Realize the purpose of intelligent training.</v>
      </c>
      <c r="D3078" s="6" t="s">
        <v>8659</v>
      </c>
      <c r="E3078" s="4" t="str">
        <f ca="1">IFERROR(__xludf.DUMMYFUNCTION("GOOGLETRANSLATE(D3078,""auto"",""en"")"),"Smart tennis training robots and training methods based on visual recognition and omnidirectional mobile")</f>
        <v>Smart tennis training robots and training methods based on visual recognition and omnidirectional mobile</v>
      </c>
    </row>
    <row r="3079" spans="1:5" ht="15" x14ac:dyDescent="0.25">
      <c r="A3079" s="5" t="s">
        <v>8660</v>
      </c>
      <c r="B3079" s="6" t="s">
        <v>8661</v>
      </c>
      <c r="C3079" s="3" t="str">
        <f ca="1">IFERROR(__xludf.DUMMYFUNCTION("GOOGLETRANSLATE(B3079,""auto"",""en"")"),"The present invention discloses a treadmill running parameter measurement method and the running parameter measurement device. Among them, the parameter measurement method includes: step S1, control the light sources of light sources to emit the bottom su"&amp;"rface of the belt of the tanker, forming light spots on the bottom surface of the belt; Step S2, control the camera device to shoot light spots to obtain multi -frame continuous light spot images; step S3, image recognition and processing of multi -frame "&amp;"continuous light spots, and obtain the running parameter information of the treadmill. The invention is based on image recognition to obtain running parameter information. Therefore, no transformation of the treadmill is required, which not only makes the"&amp;" measurement method universal, but also saves the cost of transformation. In addition, the multi -frame continuous light spot image records the different states of the treadmill belt at different times, thereby using the multi -frame continuous optical sp"&amp;"ots image to identify and process it.")</f>
        <v>The present invention discloses a treadmill running parameter measurement method and the running parameter measurement device. Among them, the parameter measurement method includes: step S1, control the light sources of light sources to emit the bottom surface of the belt of the tanker, forming light spots on the bottom surface of the belt; Step S2, control the camera device to shoot light spots to obtain multi -frame continuous light spot images; step S3, image recognition and processing of multi -frame continuous light spots, and obtain the running parameter information of the treadmill. The invention is based on image recognition to obtain running parameter information. Therefore, no transformation of the treadmill is required, which not only makes the measurement method universal, but also saves the cost of transformation. In addition, the multi -frame continuous light spot image records the different states of the treadmill belt at different times, thereby using the multi -frame continuous optical spots image to identify and process it.</v>
      </c>
      <c r="D3079" s="6" t="s">
        <v>8662</v>
      </c>
      <c r="E3079" s="4" t="str">
        <f ca="1">IFERROR(__xludf.DUMMYFUNCTION("GOOGLETRANSLATE(D3079,""auto"",""en"")"),"The running parameter measurement method and the running parameter measurement device of the treadmill")</f>
        <v>The running parameter measurement method and the running parameter measurement device of the treadmill</v>
      </c>
    </row>
    <row r="3080" spans="1:5" ht="15" x14ac:dyDescent="0.25">
      <c r="A3080" s="5" t="s">
        <v>8663</v>
      </c>
      <c r="B3080" s="6" t="s">
        <v>518</v>
      </c>
      <c r="C3080" s="3" t="str">
        <f ca="1">IFERROR(__xludf.DUMMYFUNCTION("GOOGLETRANSLATE(B3080,""auto"",""en"")"),"-")</f>
        <v>-</v>
      </c>
      <c r="D3080" s="6" t="s">
        <v>8664</v>
      </c>
      <c r="E3080" s="4" t="str">
        <f ca="1">IFERROR(__xludf.DUMMYFUNCTION("GOOGLETRANSLATE(D3080,""auto"",""en"")"),"The application of computer vision and artificial intelligence in the field of basketball")</f>
        <v>The application of computer vision and artificial intelligence in the field of basketball</v>
      </c>
    </row>
    <row r="3081" spans="1:5" ht="15" x14ac:dyDescent="0.25">
      <c r="A3081" s="5" t="s">
        <v>8665</v>
      </c>
      <c r="B3081" s="6" t="s">
        <v>7496</v>
      </c>
      <c r="C3081" s="3" t="str">
        <f ca="1">IFERROR(__xludf.DUMMYFUNCTION("GOOGLETRANSLATE(B3081,""auto"",""en"")"),"The present invention involves a device and method that improves image recognition. The device that improves the image recognition rate of the present invention includes: image pre -processing unit, executing image pre -processing to remove the noise cont"&amp;"ained in the image; license plate detection unit for pre -pre -pre -pre -pre -pre -pre -pre -pre -pre -pre -pre -pre -pre -pre -pre -pre -pre -pre -pre -image Detecting the license plate in the processing image; the license plate image extraction unit, on"&amp;"ly the detected license plate image is extracted; the image recovery unit is used to recover the extracted license plate image to the resolution of the resolution of the resolution; Unit, at least one area used in the number, symbols and text areas that a"&amp;"re returned to the license plate image that resumes more than the set resolution; The device detects at least one in the number, symbols, and character areas; and the control unit for controlling the overall operation.")</f>
        <v>The present invention involves a device and method that improves image recognition. The device that improves the image recognition rate of the present invention includes: image pre -processing unit, executing image pre -processing to remove the noise contained in the image; license plate detection unit for pre -pre -pre -pre -pre -pre -pre -pre -pre -pre -pre -pre -pre -pre -pre -pre -pre -pre -pre -pre -image Detecting the license plate in the processing image; the license plate image extraction unit, only the detected license plate image is extracted; the image recovery unit is used to recover the extracted license plate image to the resolution of the resolution of the resolution; Unit, at least one area used in the number, symbols and text areas that are returned to the license plate image that resumes more than the set resolution; The device detects at least one in the number, symbols, and character areas; and the control unit for controlling the overall operation.</v>
      </c>
      <c r="D3081" s="6" t="s">
        <v>8666</v>
      </c>
      <c r="E3081" s="4" t="str">
        <f ca="1">IFERROR(__xludf.DUMMYFUNCTION("GOOGLETRANSLATE(D3081,""auto"",""en"")"),"Idential image recognition device that can recognize the pollution license plate")</f>
        <v>Idential image recognition device that can recognize the pollution license plate</v>
      </c>
    </row>
    <row r="3082" spans="1:5" ht="15" x14ac:dyDescent="0.25">
      <c r="A3082" s="5" t="s">
        <v>8667</v>
      </c>
      <c r="B3082" s="6" t="s">
        <v>8668</v>
      </c>
      <c r="C3082" s="3" t="str">
        <f ca="1">IFERROR(__xludf.DUMMYFUNCTION("GOOGLETRANSLATE(B3082,""auto"",""en"")"),"The method described in this article can provide real -time IoT (IoT) feedback to optimize the performance of public speech. More specifically, a set of data that represents user spoken language is captured and analyzed to generate the user's spoken perfo"&amp;"rmance overview. Compare the simplified file with the reference speaking performance, and based on comparison, generate a set of performance improvement strategies for users. Based on the usability of a set of IoT devices, select a performance improvement"&amp;" strategy from a set of performance improvement strategies to deliver at least one strategy. Then, in response to the arbitrarily spoken performance associated with the user, the instructions were transmitted to the available IoT devices, so as to pass th"&amp;"e selected performance improvement strategy to the user through the output user interface of the available IoT device during the speaking performance.")</f>
        <v>The method described in this article can provide real -time IoT (IoT) feedback to optimize the performance of public speech. More specifically, a set of data that represents user spoken language is captured and analyzed to generate the user's spoken performance overview. Compare the simplified file with the reference speaking performance, and based on comparison, generate a set of performance improvement strategies for users. Based on the usability of a set of IoT devices, select a performance improvement strategy from a set of performance improvement strategies to deliver at least one strategy. Then, in response to the arbitrarily spoken performance associated with the user, the instructions were transmitted to the available IoT devices, so as to pass the selected performance improvement strategy to the user through the output user interface of the available IoT device during the speaking performance.</v>
      </c>
      <c r="D3082" s="6" t="s">
        <v>8669</v>
      </c>
      <c r="E3082" s="4" t="str">
        <f ca="1">IFERROR(__xludf.DUMMYFUNCTION("GOOGLETRANSLATE(D3082,""auto"",""en"")"),"IoT lecture coach")</f>
        <v>IoT lecture coach</v>
      </c>
    </row>
    <row r="3083" spans="1:5" ht="15" x14ac:dyDescent="0.25">
      <c r="A3083" s="5" t="s">
        <v>8670</v>
      </c>
      <c r="B3083" s="6" t="s">
        <v>8671</v>
      </c>
      <c r="C3083" s="3" t="str">
        <f ca="1">IFERROR(__xludf.DUMMYFUNCTION("GOOGLETRANSLATE(B3083,""auto"",""en"")"),"The present invention disclosed an automatic camera recommendation system based on pedestrian testing and the Internet, including the user's picture management cloud server, communication connection camera terminal and user terminal. The present invention"&amp;" also disclosed a method of automatic camera recommended by athletes based on pedestrian testing and the Internet, including steps: 1) User terminal obtain account information, number plate pictures and numbers and send it to the picture management cloud "&amp;"server; Picture data of account user; 3) Image management cloud server receives the account information of the user terminal and the picture data of the camera terminal is automatically recommended to the user terminal of the corresponding account. The pr"&amp;"esent invention automatically shoots pictures of marathon athletes through intelligent image processing technology, binds the picture with the marathon athlete number plate, and intelligently recommends the picture to the marathon athlete to avoid tedious"&amp;" and expensive artificial shooting methods. The entire system is easy to use, practical, practical, practical Strong sex, saving time and effort.")</f>
        <v>The present invention disclosed an automatic camera recommendation system based on pedestrian testing and the Internet, including the user's picture management cloud server, communication connection camera terminal and user terminal. The present invention also disclosed a method of automatic camera recommended by athletes based on pedestrian testing and the Internet, including steps: 1) User terminal obtain account information, number plate pictures and numbers and send it to the picture management cloud server; Picture data of account user; 3) Image management cloud server receives the account information of the user terminal and the picture data of the camera terminal is automatically recommended to the user terminal of the corresponding account. The present invention automatically shoots pictures of marathon athletes through intelligent image processing technology, binds the picture with the marathon athlete number plate, and intelligently recommends the picture to the marathon athlete to avoid tedious and expensive artificial shooting methods. The entire system is easy to use, practical, practical, practical Strong sex, saving time and effort.</v>
      </c>
      <c r="D3083" s="6" t="s">
        <v>8672</v>
      </c>
      <c r="E3083" s="4" t="str">
        <f ca="1">IFERROR(__xludf.DUMMYFUNCTION("GOOGLETRANSLATE(D3083,""auto"",""en"")"),"Athletes based on pedestrian testing and Internet automatic camera recommendation systems and methods")</f>
        <v>Athletes based on pedestrian testing and Internet automatic camera recommendation systems and methods</v>
      </c>
    </row>
    <row r="3084" spans="1:5" ht="15" x14ac:dyDescent="0.25">
      <c r="A3084" s="5" t="s">
        <v>8673</v>
      </c>
      <c r="B3084" s="6" t="s">
        <v>8674</v>
      </c>
      <c r="C3084" s="3" t="str">
        <f ca="1">IFERROR(__xludf.DUMMYFUNCTION("GOOGLETRANSLATE(B3084,""auto"",""en"")"),"The present invention provides a smart sports education management method and system based on the big data cloud platform. It can use the intelligent IoT hardware terminals such as wearable devices to cooperate with the big data cloud platform to comprehe"&amp;"nsively collect students' various information, and dynamically dynamically correctly right -in -laws Data are deeply excavated and analyzed, and relevant analysis results are provided to physical education teachers.")</f>
        <v>The present invention provides a smart sports education management method and system based on the big data cloud platform. It can use the intelligent IoT hardware terminals such as wearable devices to cooperate with the big data cloud platform to comprehensively collect students' various information, and dynamically dynamically correctly right -in -laws Data are deeply excavated and analyzed, and relevant analysis results are provided to physical education teachers.</v>
      </c>
      <c r="D3084" s="6" t="s">
        <v>8675</v>
      </c>
      <c r="E3084" s="4" t="str">
        <f ca="1">IFERROR(__xludf.DUMMYFUNCTION("GOOGLETRANSLATE(D3084,""auto"",""en"")"),"A smart sports education management method and system based on the big data cloud platform")</f>
        <v>A smart sports education management method and system based on the big data cloud platform</v>
      </c>
    </row>
    <row r="3085" spans="1:5" ht="15" x14ac:dyDescent="0.25">
      <c r="A3085" s="5" t="s">
        <v>8676</v>
      </c>
      <c r="B3085" s="6" t="s">
        <v>8677</v>
      </c>
      <c r="C3085" s="3" t="str">
        <f ca="1">IFERROR(__xludf.DUMMYFUNCTION("GOOGLETRANSLATE(B3085,""auto"",""en"")"),"The present invention disclosed the classification method and system of stopping events based on object motion trajectory. The methods include: using neural networks to detect training videos to detect the prediction box for players and football, respecti"&amp;"vely; The number of frames, players' coordinates, and football coordinates, and minus the frame number of the front and rear two frame images. When the difference is greater than the preset threshold, the ball stops is determined; Video; label the success"&amp;"ful stop of the ball; the differential processing of different stop events is processed to obtain directional data and put it into the classifier. Through cross -verification And output the accuracy of classification. The invention divides the incident th"&amp;"rough the results of the test. By setting the attributes of the specific classifier, it can accurately classify the location information of the loaded ball. It has good stability and robustness.")</f>
        <v>The present invention disclosed the classification method and system of stopping events based on object motion trajectory. The methods include: using neural networks to detect training videos to detect the prediction box for players and football, respectively; The number of frames, players' coordinates, and football coordinates, and minus the frame number of the front and rear two frame images. When the difference is greater than the preset threshold, the ball stops is determined; Video; label the successful stop of the ball; the differential processing of different stop events is processed to obtain directional data and put it into the classifier. Through cross -verification And output the accuracy of classification. The invention divides the incident through the results of the test. By setting the attributes of the specific classifier, it can accurately classify the location information of the loaded ball. It has good stability and robustness.</v>
      </c>
      <c r="D3085" s="6" t="s">
        <v>8678</v>
      </c>
      <c r="E3085" s="4" t="str">
        <f ca="1">IFERROR(__xludf.DUMMYFUNCTION("GOOGLETRANSLATE(D3085,""auto"",""en"")"),"Classification methods and systems of stopping events based on object motion trajectory")</f>
        <v>Classification methods and systems of stopping events based on object motion trajectory</v>
      </c>
    </row>
    <row r="3086" spans="1:5" ht="15" x14ac:dyDescent="0.25">
      <c r="A3086" s="5" t="s">
        <v>8679</v>
      </c>
      <c r="B3086" s="6" t="s">
        <v>8680</v>
      </c>
      <c r="C3086" s="3" t="str">
        <f ca="1">IFERROR(__xludf.DUMMYFUNCTION("GOOGLETRANSLATE(B3086,""auto"",""en"")"),"The present invention disclosed the separation method and system of stopping the ball based on object detection. The method includes: the use of image labeling tools to mark the players and football in the original training set image. The position in the "&amp;"image and enter the corresponding label to get the labeled training set image; according to the training concentrated image training neural network and output the border and target category of the target detection box in the image; The training video is u"&amp;"sed to detect the number of frames of the image and output the coordinates of the player and football; the number of frames of the front and back images of football and players will be detected at the same time. Based on the results of neural network dete"&amp;"ction, the present invention continues to analyze the detection data, and finds the characteristics of stopping the ball to separate the stop event. It has good stability and robustness.")</f>
        <v>The present invention disclosed the separation method and system of stopping the ball based on object detection. The method includes: the use of image labeling tools to mark the players and football in the original training set image. The position in the image and enter the corresponding label to get the labeled training set image; according to the training concentrated image training neural network and output the border and target category of the target detection box in the image; The training video is used to detect the number of frames of the image and output the coordinates of the player and football; the number of frames of the front and back images of football and players will be detected at the same time. Based on the results of neural network detection, the present invention continues to analyze the detection data, and finds the characteristics of stopping the ball to separate the stop event. It has good stability and robustness.</v>
      </c>
      <c r="D3086" s="6" t="s">
        <v>8681</v>
      </c>
      <c r="E3086" s="4" t="str">
        <f ca="1">IFERROR(__xludf.DUMMYFUNCTION("GOOGLETRANSLATE(D3086,""auto"",""en"")"),"Separation method and system of stopping events based on object detection")</f>
        <v>Separation method and system of stopping events based on object detection</v>
      </c>
    </row>
    <row r="3087" spans="1:5" ht="15" x14ac:dyDescent="0.25">
      <c r="A3087" s="5" t="s">
        <v>8682</v>
      </c>
      <c r="B3087" s="6" t="s">
        <v>8683</v>
      </c>
      <c r="C3087" s="3" t="str">
        <f ca="1">IFERROR(__xludf.DUMMYFUNCTION("GOOGLETRANSLATE(B3087,""auto"",""en"")"),"The present invention involves a virtual experience safety education system that can experience survival swimming education in virtual reality or hybrid reality. Through a real sense of presence and immersion, it can ensure the safety of the experiencer a"&amp;"nd increase the educational effect. The present invention involves a survival swimming simulation system. The present invention is a survival swimming simulation system. It is equipped with an environmental sensor, including water pads, cameras and image "&amp;"recognition modules. The design is designed to let the experiencer lie down and feel the body movement. Dynamic detection equipment, wearing experience output equipment on the head of the experiencer and output virtual reality content, receiving data valu"&amp;"e water pads and experience devices from environmental detection sensors and body motion detection, including being able to control output virtual output virtual to output device output device Administrator terminal with real content. According to the pre"&amp;"sent invention, you can use the life -saving swimming simulation system that can provide life -saving swimming education safely and truly.")</f>
        <v>The present invention involves a virtual experience safety education system that can experience survival swimming education in virtual reality or hybrid reality. Through a real sense of presence and immersion, it can ensure the safety of the experiencer and increase the educational effect. The present invention involves a survival swimming simulation system. The present invention is a survival swimming simulation system. It is equipped with an environmental sensor, including water pads, cameras and image recognition modules. The design is designed to let the experiencer lie down and feel the body movement. Dynamic detection equipment, wearing experience output equipment on the head of the experiencer and output virtual reality content, receiving data value water pads and experience devices from environmental detection sensors and body motion detection, including being able to control output virtual output virtual to output device output device Administrator terminal with real content. According to the present invention, you can use the life -saving swimming simulation system that can provide life -saving swimming education safely and truly.</v>
      </c>
      <c r="D3087" s="6" t="s">
        <v>8684</v>
      </c>
      <c r="E3087" s="4" t="str">
        <f ca="1">IFERROR(__xludf.DUMMYFUNCTION("GOOGLETRANSLATE(D3087,""auto"",""en"")"),"Survival Swimming Simulation System")</f>
        <v>Survival Swimming Simulation System</v>
      </c>
    </row>
    <row r="3088" spans="1:5" ht="15" x14ac:dyDescent="0.25">
      <c r="A3088" s="5" t="s">
        <v>8685</v>
      </c>
      <c r="B3088" s="6" t="s">
        <v>8686</v>
      </c>
      <c r="C3088" s="3" t="str">
        <f ca="1">IFERROR(__xludf.DUMMYFUNCTION("GOOGLETRANSLATE(B3088,""auto"",""en"")"),"A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 image of the athletes to start the image to identify the athletes and enter them into the incident without the need to register a specific event in advance. Enhanced recognition technology combined with "&amp;"mode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 image of the athletes to start the image to identify the athletes and enter them into the incident without the need to register a specific event in advance. Enhanced recognition technology combined with mode recognition can be used to improve identity accuracy.</v>
      </c>
      <c r="D3088" s="6" t="s">
        <v>8687</v>
      </c>
      <c r="E3088" s="4" t="str">
        <f ca="1">IFERROR(__xludf.DUMMYFUNCTION("GOOGLETRANSLATE(D3088,""auto"",""en"")"),"Systems and methods for athlete image recognition registration in sports events")</f>
        <v>Systems and methods for athlete image recognition registration in sports events</v>
      </c>
    </row>
    <row r="3089" spans="1:5" ht="15" x14ac:dyDescent="0.25">
      <c r="A3089" s="5" t="s">
        <v>8688</v>
      </c>
      <c r="B3089" s="6" t="s">
        <v>8689</v>
      </c>
      <c r="C3089" s="3" t="str">
        <f ca="1">IFERROR(__xludf.DUMMYFUNCTION("GOOGLETRANSLATE(B3089,""auto"",""en"")"),"The system and method of image recognition registration are used to perform image recognition registration in sports events. Athletes use image recognition technology to register for sports events. When the athlete crosses the starting line, the camera (1"&amp;"06) captures the athlete's number starting image. Compare the numbers to the athlete image of the athletes that start the image to identify the athletes and join them to the game without the need for athletes to register a specific competition in advance."&amp;" Improvement and recognition technology involved in mode recognition can be used to improve identity accuracy.")</f>
        <v>The system and method of image recognition registration are used to perform image recognition registration in sports events. Athletes use image recognition technology to register for sports events. When the athlete crosses the starting line, the camera (106) captures the athlete's number starting image. Compare the numbers to the athlete image of the athletes that start the image to identify the athletes and join them to the game without the need for athletes to register a specific competition in advance. Improvement and recognition technology involved in mode recognition can be used to improve identity accuracy.</v>
      </c>
      <c r="D3089" s="6" t="s">
        <v>8690</v>
      </c>
      <c r="E3089" s="4" t="str">
        <f ca="1">IFERROR(__xludf.DUMMYFUNCTION("GOOGLETRANSLATE(D3089,""auto"",""en"")"),"Athlete's image recognition registration system and program in sports events")</f>
        <v>Athlete's image recognition registration system and program in sports events</v>
      </c>
    </row>
    <row r="3090" spans="1:5" ht="15" x14ac:dyDescent="0.25">
      <c r="A3090" s="5" t="s">
        <v>8691</v>
      </c>
      <c r="B3090" s="6" t="s">
        <v>8686</v>
      </c>
      <c r="C3090" s="3" t="str">
        <f ca="1">IFERROR(__xludf.DUMMYFUNCTION("GOOGLETRANSLATE(B3090,""auto"",""en"")"),"A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 image of the athletes to start the image to identify the athletes and enter them into the incident without the need to register a specific event in advance. Enhanced recognition technology combined with "&amp;"mode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 image of the athletes to start the image to identify the athletes and enter them into the incident without the need to register a specific event in advance. Enhanced recognition technology combined with mode recognition can be used to improve identity accuracy.</v>
      </c>
      <c r="D3090" s="6" t="s">
        <v>8687</v>
      </c>
      <c r="E3090" s="4" t="str">
        <f ca="1">IFERROR(__xludf.DUMMYFUNCTION("GOOGLETRANSLATE(D3090,""auto"",""en"")"),"Systems and methods for athlete image recognition registration in sports events")</f>
        <v>Systems and methods for athlete image recognition registration in sports events</v>
      </c>
    </row>
    <row r="3091" spans="1:5" ht="15" x14ac:dyDescent="0.25">
      <c r="A3091" s="5" t="s">
        <v>8692</v>
      </c>
      <c r="B3091" s="6" t="s">
        <v>8686</v>
      </c>
      <c r="C3091" s="3" t="str">
        <f ca="1">IFERROR(__xludf.DUMMYFUNCTION("GOOGLETRANSLATE(B3091,""auto"",""en"")"),"A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 image of the athletes to start the image to identify the athletes and enter them into the incident without the need to register a specific event in advance. Enhanced recognition technology combined with "&amp;"mode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 image of the athletes to start the image to identify the athletes and enter them into the incident without the need to register a specific event in advance. Enhanced recognition technology combined with mode recognition can be used to improve identity accuracy.</v>
      </c>
      <c r="D3091" s="6" t="s">
        <v>8687</v>
      </c>
      <c r="E3091" s="4" t="str">
        <f ca="1">IFERROR(__xludf.DUMMYFUNCTION("GOOGLETRANSLATE(D3091,""auto"",""en"")"),"Systems and methods for athlete image recognition registration in sports events")</f>
        <v>Systems and methods for athlete image recognition registration in sports events</v>
      </c>
    </row>
    <row r="3092" spans="1:5" ht="15" x14ac:dyDescent="0.25">
      <c r="A3092" s="5" t="s">
        <v>8693</v>
      </c>
      <c r="B3092" s="6" t="s">
        <v>8694</v>
      </c>
      <c r="C3092" s="3" t="str">
        <f ca="1">IFERROR(__xludf.DUMMYFUNCTION("GOOGLETRANSLATE(B3092,""auto"",""en"")"),"A system and method for registering athletes to register athletes in sports events. Athletes are registered in sports events using image recognition technology. The number of athletes shot by camera starts the image (106) When the athlete crosses the star"&amp;"ting line. Compare the numbers to the athlete image of the athletes to start the image to identify the athletes and enter them into the incident without the need to register a specific event in advance. Enhanced recognition technology combined with mode r"&amp;"ecognition can be used to improve identity accuracy.")</f>
        <v>A system and method for registering athletes to register athletes in sports events. Athletes are registered in sports events using image recognition technology. The number of athletes shot by camera starts the image (106) When the athlete crosses the starting line. Compare the numbers to the athlete image of the athletes to start the image to identify the athletes and enter them into the incident without the need to register a specific event in advance. Enhanced recognition technology combined with mode recognition can be used to improve identity accuracy.</v>
      </c>
      <c r="D3092" s="6" t="s">
        <v>8687</v>
      </c>
      <c r="E3092" s="4" t="str">
        <f ca="1">IFERROR(__xludf.DUMMYFUNCTION("GOOGLETRANSLATE(D3092,""auto"",""en"")"),"Systems and methods for athlete image recognition registration in sports events")</f>
        <v>Systems and methods for athlete image recognition registration in sports events</v>
      </c>
    </row>
    <row r="3093" spans="1:5" ht="15" x14ac:dyDescent="0.25">
      <c r="A3093" s="5" t="s">
        <v>8695</v>
      </c>
      <c r="B3093" s="6" t="s">
        <v>8686</v>
      </c>
      <c r="C3093" s="3" t="str">
        <f ca="1">IFERROR(__xludf.DUMMYFUNCTION("GOOGLETRANSLATE(B3093,""auto"",""en"")"),"A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 image of the athletes to start the image to identify the athletes and enter them into the incident without the need to register a specific event in advance. Enhanced recognition technology combined with "&amp;"mode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 image of the athletes to start the image to identify the athletes and enter them into the incident without the need to register a specific event in advance. Enhanced recognition technology combined with mode recognition can be used to improve identity accuracy.</v>
      </c>
      <c r="D3093" s="6" t="s">
        <v>8687</v>
      </c>
      <c r="E3093" s="4" t="str">
        <f ca="1">IFERROR(__xludf.DUMMYFUNCTION("GOOGLETRANSLATE(D3093,""auto"",""en"")"),"Systems and methods for athlete image recognition registration in sports events")</f>
        <v>Systems and methods for athlete image recognition registration in sports events</v>
      </c>
    </row>
    <row r="3094" spans="1:5" ht="15" x14ac:dyDescent="0.25">
      <c r="A3094" s="5" t="s">
        <v>8696</v>
      </c>
      <c r="B3094" s="6" t="s">
        <v>6660</v>
      </c>
      <c r="C3094" s="3" t="str">
        <f ca="1">IFERROR(__xludf.DUMMYFUNCTION("GOOGLETRANSLATE(B3094,""auto"",""en"")"),"A system and method for registering athletes to register athletes in sports events. Athletes are registered in sports events using image recognition technology. When the athlete crosses the starting line, the number of athletes taken by the camera (106) s"&amp;"tarts the image. Compare the numbers to the athletes who start the image with the athletes of the athletes to identify the athletes and enter them into the incident without the need for athletes to register a specific event in advance. Enhanced recognitio"&amp;"n technology combined with mode recognition can be used to improve identity accuracy.")</f>
        <v>A system and method for registering athletes to register athletes in sports events. Athletes are registered in sports events using image recognition technology. When the athlete crosses the starting line, the number of athletes taken by the camera (106) starts the image. Compare the numbers to the athletes who start the image with the athletes of the athletes to identify the athletes and enter them into the incident without the need for athletes to register a specific event in advance. Enhanced recognition technology combined with mode recognition can be used to improve identity accuracy.</v>
      </c>
      <c r="D3094" s="6" t="s">
        <v>8697</v>
      </c>
      <c r="E3094" s="4" t="str">
        <f ca="1">IFERROR(__xludf.DUMMYFUNCTION("GOOGLETRANSLATE(D3094,""auto"",""en"")"),"A sports event registration system and method")</f>
        <v>A sports event registration system and method</v>
      </c>
    </row>
    <row r="3095" spans="1:5" ht="15" x14ac:dyDescent="0.25">
      <c r="A3095" s="5" t="s">
        <v>8698</v>
      </c>
      <c r="B3095" s="6" t="s">
        <v>8699</v>
      </c>
      <c r="C3095" s="3" t="str">
        <f ca="1">IFERROR(__xludf.DUMMYFUNCTION("GOOGLETRANSLATE(B3095,""auto"",""en"")"),"The fitness training system discloses a process or method that can provide interactive physical exercise using one or more smart fitness devices (""SFE""). On the one hand, the process can receive SFE certification requests from the user through the authe"&amp;"ntication device. After the simplified files related to the user -related information related to the user in accordance with the certification request, a set of predetermined data sets generated by a simple file and a set of predetermined data from one or"&amp;" more fitness machine learning It is planned to use big data modules. When a set of sensors that can monitor users based on the interactive fitness plan, the sensor detection and/or sensing various movements associated with the user associated with the us"&amp;"er. This process is configured to provide users with interactive feedback to users that respond to detected during the exercise.")</f>
        <v>The fitness training system discloses a process or method that can provide interactive physical exercise using one or more smart fitness devices ("SFE"). On the one hand, the process can receive SFE certification requests from the user through the authentication device. After the simplified files related to the user -related information related to the user in accordance with the certification request, a set of predetermined data sets generated by a simple file and a set of predetermined data from one or more fitness machine learning It is planned to use big data modules. When a set of sensors that can monitor users based on the interactive fitness plan, the sensor detection and/or sensing various movements associated with the user associated with the user. This process is configured to provide users with interactive feedback to users that respond to detected during the exercise.</v>
      </c>
      <c r="D3095" s="6" t="s">
        <v>8700</v>
      </c>
      <c r="E3095" s="4" t="str">
        <f ca="1">IFERROR(__xludf.DUMMYFUNCTION("GOOGLETRANSLATE(D3095,""auto"",""en"")"),"Methods and devices used to provide interactive fitness equipment through cloud -based networks")</f>
        <v>Methods and devices used to provide interactive fitness equipment through cloud -based networks</v>
      </c>
    </row>
    <row r="3096" spans="1:5" ht="15" x14ac:dyDescent="0.25">
      <c r="A3096" s="5" t="s">
        <v>8701</v>
      </c>
      <c r="B3096" s="6" t="s">
        <v>8702</v>
      </c>
      <c r="C3096" s="3" t="str">
        <f ca="1">IFERROR(__xludf.DUMMYFUNCTION("GOOGLETRANSLATE(B3096,""auto"",""en"")"),"The fitness training system discloses a process or method that can provide interactive physical exercise using one or more smart fitness devices (SFE). On the one hand, the process can receive SFE certification requests from the user through the authentic"&amp;"ation device. After the simplified files related to the user -related information related to the user in accordance with the certification request, a set of predetermined data sets generated by a simple file and a set of predetermined data from one or mor"&amp;"e fitness machine learning It is planned to use big data modules. When a set of sensors that can monitor users based on the interactive fitness plan, the sensor detection and/or sensing various movements associated with the user associated with the user. "&amp;"This process is configured to provide users with interactive feedback to users that respond to detected during the exercise.")</f>
        <v>The fitness training system discloses a process or method that can provide interactive physical exercise using one or more smart fitness devices (SFE). On the one hand, the process can receive SFE certification requests from the user through the authentication device. After the simplified files related to the user -related information related to the user in accordance with the certification request, a set of predetermined data sets generated by a simple file and a set of predetermined data from one or more fitness machine learning It is planned to use big data modules. When a set of sensors that can monitor users based on the interactive fitness plan, the sensor detection and/or sensing various movements associated with the user associated with the user. This process is configured to provide users with interactive feedback to users that respond to detected during the exercise.</v>
      </c>
      <c r="D3096" s="6" t="s">
        <v>8700</v>
      </c>
      <c r="E3096" s="4" t="str">
        <f ca="1">IFERROR(__xludf.DUMMYFUNCTION("GOOGLETRANSLATE(D3096,""auto"",""en"")"),"Methods and devices used to provide interactive fitness equipment through cloud -based networks")</f>
        <v>Methods and devices used to provide interactive fitness equipment through cloud -based networks</v>
      </c>
    </row>
    <row r="3097" spans="1:5" ht="15" x14ac:dyDescent="0.25">
      <c r="A3097" s="5" t="s">
        <v>8703</v>
      </c>
      <c r="B3097" s="6" t="s">
        <v>8704</v>
      </c>
      <c r="C3097" s="3" t="str">
        <f ca="1">IFERROR(__xludf.DUMMYFUNCTION("GOOGLETRANSLATE(B3097,""auto"",""en"")"),"Use two or more cameras to track the path and/or direction of the athlete's objects. Use at least two sets of images with at least two different cameras with different positions. Identify the motion area in the image and identify the candidate position in"&amp;" the two -dimensional space of the object in the motion area. Based on this, the possible position of the recognition part in the 3D space is recognized and used for each of the multiple moments in the nearby period. At least the segmented 3D trajectory o"&amp;"f the object of the object can be similar in the possible position from multiple instantaneous 3D spaces from the object to the athletes. The graphic of the 3D trajectory of the object is merged into at least one set of images.")</f>
        <v>Use two or more cameras to track the path and/or direction of the athlete's objects. Use at least two sets of images with at least two different cameras with different positions. Identify the motion area in the image and identify the candidate position in the two -dimensional space of the object in the motion area. Based on this, the possible position of the recognition part in the 3D space is recognized and used for each of the multiple moments in the nearby period. At least the segmented 3D trajectory of the object of the object can be similar in the possible position from multiple instantaneous 3D spaces from the object to the athletes. The graphic of the 3D trajectory of the object is merged into at least one set of images.</v>
      </c>
      <c r="D3097" s="6" t="s">
        <v>2320</v>
      </c>
      <c r="E3097" s="4" t="str">
        <f ca="1">IFERROR(__xludf.DUMMYFUNCTION("GOOGLETRANSLATE(D3097,""auto"",""en"")"),"Use a computer visual tracking handheld sports appliance")</f>
        <v>Use a computer visual tracking handheld sports appliance</v>
      </c>
    </row>
    <row r="3098" spans="1:5" ht="15" x14ac:dyDescent="0.25">
      <c r="A3098" s="5" t="s">
        <v>8705</v>
      </c>
      <c r="B3098" s="6" t="s">
        <v>8706</v>
      </c>
      <c r="C3098" s="3" t="str">
        <f ca="1">IFERROR(__xludf.DUMMYFUNCTION("GOOGLETRANSLATE(B3098,""auto"",""en"")"),"The items designed according to this application are attachments used by the tip of the robot arm. For example, in the arm part of the automatic cooking device (the reference figure of the automatic cooking device example is displayed in red), it is used "&amp;"to control the overall operation and automatically cook with AI (artificial intelligence). Reference: There is a joint shown in the red circle shown in the red circle in the C-C line section, and as shown in the C-C line section diagram 1 and 2, it means "&amp;"that the movement of the arm is operated to perform the operation and select an object.")</f>
        <v>The items designed according to this application are attachments used by the tip of the robot arm. For example, in the arm part of the automatic cooking device (the reference figure of the automatic cooking device example is displayed in red), it is used to control the overall operation and automatically cook with AI (artificial intelligence). Reference: There is a joint shown in the red circle shown in the red circle in the C-C line section, and as shown in the C-C line section diagram 1 and 2, it means that the movement of the arm is operated to perform the operation and select an object.</v>
      </c>
      <c r="D3098" s="6" t="s">
        <v>8707</v>
      </c>
      <c r="E3098" s="4" t="str">
        <f ca="1">IFERROR(__xludf.DUMMYFUNCTION("GOOGLETRANSLATE(D3098,""auto"",""en"")"),"Robotic arms attachment")</f>
        <v>Robotic arms attachment</v>
      </c>
    </row>
    <row r="3099" spans="1:5" ht="15" x14ac:dyDescent="0.25">
      <c r="A3099" s="5" t="s">
        <v>8708</v>
      </c>
      <c r="B3099" s="6" t="s">
        <v>8709</v>
      </c>
      <c r="C3099" s="3" t="str">
        <f ca="1">IFERROR(__xludf.DUMMYFUNCTION("GOOGLETRANSLATE(B3099,""auto"",""en"")"),"Provide a technology that provides a technology based on the physical condition collected from athletes to derive the correlation between the physical condition and the potential damage of the athletes. Solution: In the damage prevention system 1, 100 -ba"&amp;"sed damage prevention model generator 100 includes: information collection unit, the first state information for collecting players before practicing And the injury information of the player's injury information. The parameter calculation unit is used to "&amp;"calculate the parameters that reflect the physical condition of the player based on the first state information and the second state information; the model generates the unit to generate the damage prevention of the correlation between the parameter and t"&amp;"he player's injury information based on the machine learning algorithm Model. Select Figure: Figure 1")</f>
        <v>Provide a technology that provides a technology based on the physical condition collected from athletes to derive the correlation between the physical condition and the potential damage of the athletes. Solution: In the damage prevention system 1, 100 -based damage prevention model generator 100 includes: information collection unit, the first state information for collecting players before practicing And the injury information of the player's injury information. The parameter calculation unit is used to calculate the parameters that reflect the physical condition of the player based on the first state information and the second state information; the model generates the unit to generate the damage prevention of the correlation between the parameter and the player's injury information based on the machine learning algorithm Model. Select Figure: Figure 1</v>
      </c>
      <c r="D3099" s="6" t="s">
        <v>8710</v>
      </c>
      <c r="E3099" s="4" t="str">
        <f ca="1">IFERROR(__xludf.DUMMYFUNCTION("GOOGLETRANSLATE(D3099,""auto"",""en"")"),"Machine learning damage prevention model generation device, damage prevention device and methods")</f>
        <v>Machine learning damage prevention model generation device, damage prevention device and methods</v>
      </c>
    </row>
    <row r="3100" spans="1:5" ht="15" x14ac:dyDescent="0.25">
      <c r="A3100" s="5" t="s">
        <v>8711</v>
      </c>
      <c r="B3100" s="6" t="s">
        <v>6455</v>
      </c>
      <c r="C3100" s="3" t="str">
        <f ca="1">IFERROR(__xludf.DUMMYFUNCTION("GOOGLETRANSLATE(B3100,""auto"",""en"")"),"The invention is based on a single factor that can determine the health status of the user based on a single factors such as oxygen capacity (PMVO2). After the user executes the body test specified by the system's fitness application, the user is measured"&amp;" for the user. Heart rate measurement value is converted to PMVO2 value and compares with other people's PMVO2 values. The system allocates fitness levels based on comparison results. The system also includes helping users move from a level to a higher -l"&amp;"evel artificial intelligence system.")</f>
        <v>The invention is based on a single factor that can determine the health status of the user based on a single factors such as oxygen capacity (PMVO2). After the user executes the body test specified by the system's fitness application, the user is measured for the user. Heart rate measurement value is converted to PMVO2 value and compares with other people's PMVO2 values. The system allocates fitness levels based on comparison results. The system also includes helping users move from a level to a higher -level artificial intelligence system.</v>
      </c>
      <c r="D3100" s="6" t="s">
        <v>6456</v>
      </c>
      <c r="E3100" s="4" t="str">
        <f ca="1">IFERROR(__xludf.DUMMYFUNCTION("GOOGLETRANSLATE(D3100,""auto"",""en"")"),"Fitness system and method")</f>
        <v>Fitness system and method</v>
      </c>
    </row>
    <row r="3101" spans="1:5" ht="15" x14ac:dyDescent="0.25">
      <c r="A3101" s="5" t="s">
        <v>8712</v>
      </c>
      <c r="B3101" s="6" t="s">
        <v>8713</v>
      </c>
      <c r="C3101" s="3" t="str">
        <f ca="1">IFERROR(__xludf.DUMMYFUNCTION("GOOGLETRANSLATE(B3101,""auto"",""en"")"),"Articles related to the design of this application are robots. It can carry the glass on the top board such as a glass full of drinks, plates equipped with finished plates, tableware, tableware used, etc., and AI (artificial intelligence). To control the "&amp;"overall operation. The height can be adjusted through the telescopic of the rod. If the perspective and positive view of the plane direction of the folding plane are shown, the rod is folded to become a flat cylindrical shape.")</f>
        <v>Articles related to the design of this application are robots. It can carry the glass on the top board such as a glass full of drinks, plates equipped with finished plates, tableware, tableware used, etc., and AI (artificial intelligence). To control the overall operation. The height can be adjusted through the telescopic of the rod. If the perspective and positive view of the plane direction of the folding plane are shown, the rod is folded to become a flat cylindrical shape.</v>
      </c>
      <c r="D3101" s="6" t="s">
        <v>8714</v>
      </c>
      <c r="E3101" s="4" t="str">
        <f ca="1">IFERROR(__xludf.DUMMYFUNCTION("GOOGLETRANSLATE(D3101,""auto"",""en"")"),"Transport robot")</f>
        <v>Transport robot</v>
      </c>
    </row>
    <row r="3102" spans="1:5" ht="15" x14ac:dyDescent="0.25">
      <c r="A3102" s="5" t="s">
        <v>8715</v>
      </c>
      <c r="B3102" s="6" t="s">
        <v>8716</v>
      </c>
      <c r="C3102" s="3" t="str">
        <f ca="1">IFERROR(__xludf.DUMMYFUNCTION("GOOGLETRANSLATE(B3102,""auto"",""en"")"),"The items involved in this design are a plan to be installed in commercial facilities such as restaurants, airport lounges, and hotel gatherings. The purpose is to automatically prepare food for customers and control overall operations for service custome"&amp;"rs. AI (artificial intelligence). As shown in the figure, refer to the red arm in the perspective view and slide through the direction of the arrow and change the shape of its shape. Various attachments prepared in advance, such as attachments with mechan"&amp;"ical hand function (hand function), and attachments with knife function for cutting ingredients, can be installed on the cutting end of the arm, and this product will be automatically installed and replaced. When you go, the shape of the sweet tomato shap"&amp;"ed registered for this application is used as a table that mainly for customers to dine, and it also works as a cooking table when cooking in the so -called robotic arm. As shown in the perspective view, by showing the surrounding customers, sitting on th"&amp;"e chairs around them, how the arms move freely along the inner edge of the same part, they can cook. Arms, create entertainment space.")</f>
        <v>The items involved in this design are a plan to be installed in commercial facilities such as restaurants, airport lounges, and hotel gatherings. The purpose is to automatically prepare food for customers and control overall operations for service customers. AI (artificial intelligence). As shown in the figure, refer to the red arm in the perspective view and slide through the direction of the arrow and change the shape of its shape. Various attachments prepared in advance, such as attachments with mechanical hand function (hand function), and attachments with knife function for cutting ingredients, can be installed on the cutting end of the arm, and this product will be automatically installed and replaced. When you go, the shape of the sweet tomato shaped registered for this application is used as a table that mainly for customers to dine, and it also works as a cooking table when cooking in the so -called robotic arm. As shown in the perspective view, by showing the surrounding customers, sitting on the chairs around them, how the arms move freely along the inner edge of the same part, they can cook. Arms, create entertainment space.</v>
      </c>
      <c r="D3102" s="6" t="s">
        <v>8717</v>
      </c>
      <c r="E3102" s="4" t="str">
        <f ca="1">IFERROR(__xludf.DUMMYFUNCTION("GOOGLETRANSLATE(D3102,""auto"",""en"")"),"Automatic cooking device")</f>
        <v>Automatic cooking device</v>
      </c>
    </row>
    <row r="3103" spans="1:5" ht="15" x14ac:dyDescent="0.25">
      <c r="A3103" s="5" t="s">
        <v>8718</v>
      </c>
      <c r="B3103" s="6" t="s">
        <v>8719</v>
      </c>
      <c r="C3103" s="3" t="str">
        <f ca="1">IFERROR(__xludf.DUMMYFUNCTION("GOOGLETRANSLATE(B3103,""auto"",""en"")"),"The invention provides a system and method for automatic marking cricket metadata. The system and method use the trained artificial intelligence machines/algorithms to identify the different aspects of the cricket lens and feed the content of the contents"&amp;" of the recognition. The input cricket video/stream is divided into frames. Extract the scoring card from the frame and analyze the score to provide key data, such as the hitter, non -striker, pitch, scoring and three -pillar goals, temporary actors and o"&amp;"ther events, re -broadcast start and end, logical ball boundary (start and and and Once the logical ball boundary is created, the frames in the logical ball boundary will perform visual recognition, scene marking, sound analysis, etc. The scene is marked "&amp;"and stored to help create the highlights of board balls and other custom packages. [Picture. 1]")</f>
        <v>The invention provides a system and method for automatic marking cricket metadata. The system and method use the trained artificial intelligence machines/algorithms to identify the different aspects of the cricket lens and feed the content of the contents of the recognition. The input cricket video/stream is divided into frames. Extract the scoring card from the frame and analyze the score to provide key data, such as the hitter, non -striker, pitch, scoring and three -pillar goals, temporary actors and other events, re -broadcast start and end, logical ball boundary (start and and and Once the logical ball boundary is created, the frames in the logical ball boundary will perform visual recognition, scene marking, sound analysis, etc. The scene is marked and stored to help create the highlights of board balls and other custom packages. [Picture. 1]</v>
      </c>
      <c r="D3103" s="6" t="s">
        <v>8720</v>
      </c>
      <c r="E3103" s="4" t="str">
        <f ca="1">IFERROR(__xludf.DUMMYFUNCTION("GOOGLETRANSLATE(D3103,""auto"",""en"")"),"A system and method of automatic labeling of 自动 自动 data")</f>
        <v>A system and method of automatic labeling of 自动 自动 data</v>
      </c>
    </row>
    <row r="3104" spans="1:5" ht="15" x14ac:dyDescent="0.25">
      <c r="A3104" s="5" t="s">
        <v>8721</v>
      </c>
      <c r="B3104" s="6" t="s">
        <v>8722</v>
      </c>
      <c r="C3104" s="3" t="str">
        <f ca="1">IFERROR(__xludf.DUMMYFUNCTION("GOOGLETRANSLATE(B3104,""auto"",""en"")"),"The invention involves a system of football content based on AI strength assessment. The invention is an artificial intelligence, including big data analysis terminal collection (100A), network (200), artificial intelligence technology evaluation server ("&amp;"300), and football based on power evaluation based on multiple big data analysis terminals (100), football In the content provision system 1, the AI ​​-based technical evaluation server 300 is configured to perform a football game based on the timeline of"&amp;" each big data analysis terminal 100 based on each big data analysis terminal 100A based on each big data. After receiving the player's technical data through the Internet 200, the FBC (Football Big-Data Code) For the input player technical data, one of t"&amp;"he preset attack categories of the football of the player A football 321, convert it and store it in football big data. In the code DB 330A; after the FBC extraction technical result value that has been converted to attack data and stored in the FBC extra"&amp;"ction technology in football big data code DB (330A), analyze whether it is an effective attack, and whether the extracted FBC technical result value is an effective attack. For the preset code information that match the data matching, compare it. If the "&amp;"analysis results are not an effective attack, the timeline of the next player will receive the technical data of the next player according to the timeline of the technical data of the player. 321, also the attack data analysis module 322, analyzes whether"&amp;" it is an effective offense. On the contrary, the tactical analysis module requests to analyze whether the tactic corresponds to one of the preset tactical categories. 323 If the analysis result is an effective attack. ); When the FBC does not correspond "&amp;"to a tactical tactical category of tactical big data DB (330B) that is pre -storage in DB (330), sets TAP (Total Attack Points) for FBC. After that, in the football big data code DB (330A), set the player's team ID to the first metadata in the two teams t"&amp;"o analyze the player ID, and use the player's player ID as the second element data on the timeline. The tactical analysis module 323 analyzes the technical data of the player, specifies the corresponding unit and stores it in the DB 330 tactical big data "&amp;"DB 330B for evaluation; through it, it can provide system and objective analysis for at least one football game. data.")</f>
        <v>The invention involves a system of football content based on AI strength assessment. The invention is an artificial intelligence, including big data analysis terminal collection (100A), network (200), artificial intelligence technology evaluation server (300), and football based on power evaluation based on multiple big data analysis terminals (100), football In the content provision system 1, the AI ​​-based technical evaluation server 300 is configured to perform a football game based on the timeline of each big data analysis terminal 100 based on each big data analysis terminal 100A based on each big data. After receiving the player's technical data through the Internet 200, the FBC (Football Big-Data Code) For the input player technical data, one of the preset attack categories of the football of the player A football 321, convert it and store it in football big data. In the code DB 330A; after the FBC extraction technical result value that has been converted to attack data and stored in the FBC extraction technology in football big data code DB (330A), analyze whether it is an effective attack, and whether the extracted FBC technical result value is an effective attack. For the preset code information that match the data matching, compare it. If the analysis results are not an effective attack, the timeline of the next player will receive the technical data of the next player according to the timeline of the technical data of the player. 321, also the attack data analysis module 322, analyzes whether it is an effective offense. On the contrary, the tactical analysis module requests to analyze whether the tactic corresponds to one of the preset tactical categories. 323 If the analysis result is an effective attack. ); When the FBC does not correspond to a tactical tactical category of tactical big data DB (330B) that is pre -storage in DB (330), sets TAP (Total Attack Points) for FBC. After that, in the football big data code DB (330A), set the player's team ID to the first metadata in the two teams to analyze the player ID, and use the player's player ID as the second element data on the timeline. The tactical analysis module 323 analyzes the technical data of the player, specifies the corresponding unit and stores it in the DB 330 tactical big data DB 330B for evaluation; through it, it can provide system and objective analysis for at least one football game. data.</v>
      </c>
      <c r="D3104" s="6" t="s">
        <v>8723</v>
      </c>
      <c r="E3104" s="4" t="str">
        <f ca="1">IFERROR(__xludf.DUMMYFUNCTION("GOOGLETRANSLATE(D3104,""auto"",""en"")"),"Football content based on artificial intelligence assessment provides a system, artificial intelligence -based technical evaluation server and football digital content providing servers.")</f>
        <v>Football content based on artificial intelligence assessment provides a system, artificial intelligence -based technical evaluation server and football digital content providing servers.</v>
      </c>
    </row>
    <row r="3105" spans="1:5" ht="15" x14ac:dyDescent="0.25">
      <c r="A3105" s="5" t="s">
        <v>8724</v>
      </c>
      <c r="B3105" s="6" t="s">
        <v>8725</v>
      </c>
      <c r="C3105" s="3" t="str">
        <f ca="1">IFERROR(__xludf.DUMMYFUNCTION("GOOGLETRANSLATE(B3105,""auto"",""en"")"),"The present invention involves an entertainment device, especially a smart mahjong machine, which is characterized by: including: Mahjong table; Mahjong card, mahjong card with a sensor label card with records of face information; shuffle device, set at t"&amp;"he Mahjong table at the Mahjong table Inside, it is used to make a shuffle on the Mahjong card and form a card; read and write itrs to identify the inductive label card to read the corresponding card information of the corresponding mahjong card; Identify"&amp;" the face information of Mahjong cards on the mahjong table, as well as the location sequential information used to identify the heap mahjong card; Identify the information transmitted by the device. The intelligent mahjong machine of the present inventio"&amp;"n can quickly and efficiently identify the Mahjong card information made by the player, and there will be no problem of identification errors. At the same time, it also enhances the accuracy of the game records and statistical scores. Phenomenon occurs.")</f>
        <v>The present invention involves an entertainment device, especially a smart mahjong machine, which is characterized by: including: Mahjong table; Mahjong card, mahjong card with a sensor label card with records of face information; shuffle device, set at the Mahjong table at the Mahjong table Inside, it is used to make a shuffle on the Mahjong card and form a card; read and write itrs to identify the inductive label card to read the corresponding card information of the corresponding mahjong card; Identify the face information of Mahjong cards on the mahjong table, as well as the location sequential information used to identify the heap mahjong card; Identify the information transmitted by the device. The intelligent mahjong machine of the present invention can quickly and efficiently identify the Mahjong card information made by the player, and there will be no problem of identification errors. At the same time, it also enhances the accuracy of the game records and statistical scores. Phenomenon occurs.</v>
      </c>
      <c r="D3105" s="6" t="s">
        <v>7599</v>
      </c>
      <c r="E3105" s="4" t="str">
        <f ca="1">IFERROR(__xludf.DUMMYFUNCTION("GOOGLETRANSLATE(D3105,""auto"",""en"")"),"A smart mahjong machine")</f>
        <v>A smart mahjong machine</v>
      </c>
    </row>
    <row r="3106" spans="1:5" ht="15" x14ac:dyDescent="0.25">
      <c r="A3106" s="5" t="s">
        <v>8726</v>
      </c>
      <c r="B3106" s="6" t="s">
        <v>6372</v>
      </c>
      <c r="C3106" s="3" t="str">
        <f ca="1">IFERROR(__xludf.DUMMYFUNCTION("GOOGLETRANSLATE(B3106,""auto"",""en"")"),"The present invention disclosed a system and method to provide alarm when transmitting digital content. For example, when interesting digital content is imminent, for example, when the start of the football game, the attention of one or more audiences is "&amp;"attracted to Digital content. The present invention is also configured to embed business information in combination with warnings to guide audiences. The system is suitable for manual or automatic activation alarm. In addition, the system is available to "&amp;"use the artificial intelligence (AI) system to implement it. The system uses deep learning to train to identify the appropriate time to automatically trigger the alarm/business message sequence. You can train artificial intelligence systems by monitoring "&amp;"manual control activated alerts.")</f>
        <v>The present invention disclosed a system and method to provide alarm when transmitting digital content. For example, when interesting digital content is imminent, for example, when the start of the football game, the attention of one or more audiences is attracted to Digital content. The present invention is also configured to embed business information in combination with warnings to guide audiences. The system is suitable for manual or automatic activation alarm. In addition, the system is available to use the artificial intelligence (AI) system to implement it. The system uses deep learning to train to identify the appropriate time to automatically trigger the alarm/business message sequence. You can train artificial intelligence systems by monitoring manual control activated alerts.</v>
      </c>
      <c r="D3106" s="6" t="s">
        <v>8727</v>
      </c>
      <c r="E3106" s="4" t="str">
        <f ca="1">IFERROR(__xludf.DUMMYFUNCTION("GOOGLETRANSLATE(D3106,""auto"",""en"")"),"Used to provide a system and method for providing alerts on transmitting digital content")</f>
        <v>Used to provide a system and method for providing alerts on transmitting digital content</v>
      </c>
    </row>
    <row r="3107" spans="1:5" ht="15" x14ac:dyDescent="0.25">
      <c r="A3107" s="5" t="s">
        <v>8728</v>
      </c>
      <c r="B3107" s="6" t="s">
        <v>8729</v>
      </c>
      <c r="C3107" s="3" t="str">
        <f ca="1">IFERROR(__xludf.DUMMYFUNCTION("GOOGLETRANSLATE(B3107,""auto"",""en"")"),"The present invention disclosed a number of digital contents that are used when the number of numbers that are interested (e.g., at the beginning of the offense during the rugby game) to provide alarm to lead to one or more viewers' attention to Systems a"&amp;"nd methods of this number content. The invention is further configured to embed commercial advertising messages with the alert when guiding the viewer's attention. The system is suitable for manual or automatic activation of the alarm. Furthermore, the sy"&amp;"stem is available to implement the artificial intelligence (AI) system. The AI ​​system uses deep learning to train to identify the appropriate time to trigger alarm/commercial advertising message sequence. You can train the AI ​​system by monitoring manu"&amp;"al control of alert activation.")</f>
        <v>The present invention disclosed a number of digital contents that are used when the number of numbers that are interested (e.g., at the beginning of the offense during the rugby game) to provide alarm to lead to one or more viewers' attention to Systems and methods of this number content. The invention is further configured to embed commercial advertising messages with the alert when guiding the viewer's attention. The system is suitable for manual or automatic activation of the alarm. Furthermore, the system is available to implement the artificial intelligence (AI) system. The AI ​​system uses deep learning to train to identify the appropriate time to trigger alarm/commercial advertising message sequence. You can train the AI ​​system by monitoring manual control of alert activation.</v>
      </c>
      <c r="D3107" s="6" t="s">
        <v>6690</v>
      </c>
      <c r="E3107" s="4" t="str">
        <f ca="1">IFERROR(__xludf.DUMMYFUNCTION("GOOGLETRANSLATE(D3107,""auto"",""en"")"),"Systems and methods for providing alerts when transmitting digital content")</f>
        <v>Systems and methods for providing alerts when transmitting digital content</v>
      </c>
    </row>
    <row r="3108" spans="1:5" ht="15" x14ac:dyDescent="0.25">
      <c r="A3108" s="5" t="s">
        <v>8730</v>
      </c>
      <c r="B3108" s="6" t="s">
        <v>8731</v>
      </c>
      <c r="C3108" s="3" t="str">
        <f ca="1">IFERROR(__xludf.DUMMYFUNCTION("GOOGLETRANSLATE(B3108,""auto"",""en"")"),"The present invention discloses a system and method that provides alerts when delivering digital content. For example, when interesting digital content is imminent, for example, start playing during the football game to guide the attention of one or more "&amp;"audiences to watch the viewing to watch the viewing to watch the viewing to watch the viewing to watch the viewing to watch the viewing to watch the viewing to watch the viewing to watch Digital content. The present invention is also configured to combine"&amp;" business information with alarm to guide the audience's attention. The system is suitable for manual or automatic activation alarm. In addition, the system can be implemented with the artificial intelligence (AI) system. The system uses deep learning to "&amp;"train to identify the appropriate time to automatically trigger the commercial alarm/message sequence. The artificial intelligence system can be trained manually by monitoring alarm activation.")</f>
        <v>The present invention discloses a system and method that provides alerts when delivering digital content. For example, when interesting digital content is imminent, for example, start playing during the football game to guide the attention of one or more audiences to watch the viewing to watch the viewing to watch the viewing to watch the viewing to watch the viewing to watch the viewing to watch the viewing to watch the viewing to watch Digital content. The present invention is also configured to combine business information with alarm to guide the audience's attention. The system is suitable for manual or automatic activation alarm. In addition, the system can be implemented with the artificial intelligence (AI) system. The system uses deep learning to train to identify the appropriate time to automatically trigger the commercial alarm/message sequence. The artificial intelligence system can be trained manually by monitoring alarm activation.</v>
      </c>
      <c r="D3108" s="6" t="s">
        <v>8732</v>
      </c>
      <c r="E3108" s="4" t="str">
        <f ca="1">IFERROR(__xludf.DUMMYFUNCTION("GOOGLETRANSLATE(D3108,""auto"",""en"")"),"The method of providing alarm that provides alarm when delivering digital content and a method for providing alerts when delivering a digital content in the delivery system")</f>
        <v>The method of providing alarm that provides alarm when delivering digital content and a method for providing alerts when delivering a digital content in the delivery system</v>
      </c>
    </row>
    <row r="3109" spans="1:5" ht="15" x14ac:dyDescent="0.25">
      <c r="A3109" s="5" t="s">
        <v>8733</v>
      </c>
      <c r="B3109" s="6" t="s">
        <v>6372</v>
      </c>
      <c r="C3109" s="3" t="str">
        <f ca="1">IFERROR(__xludf.DUMMYFUNCTION("GOOGLETRANSLATE(B3109,""auto"",""en"")"),"The present invention disclosed a system and method to provide alarm when transmitting digital content. For example, when interesting digital content is imminent, for example, when the start of the football game, the attention of one or more audiences is "&amp;"attracted to Digital content. The present invention is also configured to embed business information in combination with warnings to guide audiences. The system is suitable for manual or automatic activation alarm. In addition, the system is available to "&amp;"use the artificial intelligence (AI) system to implement it. The system uses deep learning to train to identify the appropriate time to automatically trigger the alarm/business message sequence. You can train artificial intelligence systems by monitoring "&amp;"manual control activated alerts.")</f>
        <v>The present invention disclosed a system and method to provide alarm when transmitting digital content. For example, when interesting digital content is imminent, for example, when the start of the football game, the attention of one or more audiences is attracted to Digital content. The present invention is also configured to embed business information in combination with warnings to guide audiences. The system is suitable for manual or automatic activation alarm. In addition, the system is available to use the artificial intelligence (AI) system to implement it. The system uses deep learning to train to identify the appropriate time to automatically trigger the alarm/business message sequence. You can train artificial intelligence systems by monitoring manual control activated alerts.</v>
      </c>
      <c r="D3109" s="6" t="s">
        <v>8727</v>
      </c>
      <c r="E3109" s="4" t="str">
        <f ca="1">IFERROR(__xludf.DUMMYFUNCTION("GOOGLETRANSLATE(D3109,""auto"",""en"")"),"Used to provide a system and method for providing alerts on transmitting digital content")</f>
        <v>Used to provide a system and method for providing alerts on transmitting digital content</v>
      </c>
    </row>
    <row r="3110" spans="1:5" ht="15" x14ac:dyDescent="0.25">
      <c r="A3110" s="5" t="s">
        <v>8734</v>
      </c>
      <c r="B3110" s="6" t="s">
        <v>8735</v>
      </c>
      <c r="C3110" s="3" t="str">
        <f ca="1">IFERROR(__xludf.DUMMYFUNCTION("GOOGLETRANSLATE(B3110,""auto"",""en"")"),"The present invention provides a power training system and its feedback control method, including the control system, driving device, and transmission mechanism. The control system is connected to the cloud storage system. Set the detection device in the "&amp;"force transmission path, connect the detection device to the control system, and send the detected data to the control system, which connects the control system to the drive device, and then regulates the output data of the driver device, the feedback of "&amp;"the feedback Control methods include resistance feedback control, acceleration or angle acceleration feedback control methods, and PID feedback control methods based on neural networks. The power training system provided by the present invention and its f"&amp;"eedback control methods are not only suitable for a variety of fitness equipment, realizing precise control, adapting to environmental changes, but also strong stability and strong versatility, thereby ensuring the precise control of the entire control sy"&amp;"stem.")</f>
        <v>The present invention provides a power training system and its feedback control method, including the control system, driving device, and transmission mechanism. The control system is connected to the cloud storage system. Set the detection device in the force transmission path, connect the detection device to the control system, and send the detected data to the control system, which connects the control system to the drive device, and then regulates the output data of the driver device, the feedback of the feedback Control methods include resistance feedback control, acceleration or angle acceleration feedback control methods, and PID feedback control methods based on neural networks. The power training system provided by the present invention and its feedback control methods are not only suitable for a variety of fitness equipment, realizing precise control, adapting to environmental changes, but also strong stability and strong versatility, thereby ensuring the precise control of the entire control system.</v>
      </c>
      <c r="D3110" s="6" t="s">
        <v>8736</v>
      </c>
      <c r="E3110" s="4" t="str">
        <f ca="1">IFERROR(__xludf.DUMMYFUNCTION("GOOGLETRANSLATE(D3110,""auto"",""en"")"),"A power training system and its feedback control method")</f>
        <v>A power training system and its feedback control method</v>
      </c>
    </row>
    <row r="3111" spans="1:5" ht="15" x14ac:dyDescent="0.25">
      <c r="A3111" s="5" t="s">
        <v>8737</v>
      </c>
      <c r="B3111" s="6" t="s">
        <v>6689</v>
      </c>
      <c r="C3111" s="3" t="str">
        <f ca="1">IFERROR(__xludf.DUMMYFUNCTION("GOOGLETRANSLATE(B3111,""auto"",""en"")"),"The present invention discloses a system and method that provides alerts when transmitting digital content. For example, when the interesting digital content is coming, such as the start of the football game, to guide the attention of one or more audience"&amp;"s to the attention of the audience. To digital content. The present invention is also configured as an embedded business news and alert on the focus of the audience. The system is suitable for manual or automatic activation alarm. In addition, the system "&amp;"can be implemented by an artificial intelligence (AI) system. The system uses deep learning to train to identify the appropriate time to automatically trigger the alarm/business message sequence. You can train the AI ​​system by monitoring manual control "&amp;"activated alert.")</f>
        <v>The present invention discloses a system and method that provides alerts when transmitting digital content. For example, when the interesting digital content is coming, such as the start of the football game, to guide the attention of one or more audiences to the attention of the audience. To digital content. The present invention is also configured as an embedded business news and alert on the focus of the audience. The system is suitable for manual or automatic activation alarm. In addition, the system can be implemented by an artificial intelligence (AI) system. The system uses deep learning to train to identify the appropriate time to automatically trigger the alarm/business message sequence. You can train the AI ​​system by monitoring manual control activated alert.</v>
      </c>
      <c r="D3111" s="6" t="s">
        <v>6690</v>
      </c>
      <c r="E3111" s="4" t="str">
        <f ca="1">IFERROR(__xludf.DUMMYFUNCTION("GOOGLETRANSLATE(D3111,""auto"",""en"")"),"Systems and methods for providing alerts when transmitting digital content")</f>
        <v>Systems and methods for providing alerts when transmitting digital content</v>
      </c>
    </row>
    <row r="3112" spans="1:5" ht="15" x14ac:dyDescent="0.25">
      <c r="A3112" s="5" t="s">
        <v>8738</v>
      </c>
      <c r="B3112" s="6" t="s">
        <v>8739</v>
      </c>
      <c r="C3112" s="3" t="str">
        <f ca="1">IFERROR(__xludf.DUMMYFUNCTION("GOOGLETRANSLATE(B3112,""auto"",""en"")"),"[0001] The present invention involves an artificial intelligence coaching system and method. More specifically, based on video analysis in the process of billiards, it can automatically conduct billiards in the competition participants to facilitate impro"&amp;"vement of their billiard game skills. The artificial intelligence coaching system and methods that can be used can be used.
  To this end, the present invention includes a camera device used to shoot the billiards on the table ball table; the game setti"&amp;"ng refers to pre -defined in order to choose the rules of the game on the billiard desk; Set the rules of the competition, analyze the pose images of the billiards and competitors of the competitors; it is characterized by it: the image display device is "&amp;"used to visually express the image analysis by the image analysis device.")</f>
        <v>[0001] The present invention involves an artificial intelligence coaching system and method. More specifically, based on video analysis in the process of billiards, it can automatically conduct billiards in the competition participants to facilitate improvement of their billiard game skills. The artificial intelligence coaching system and methods that can be used can be used.
  To this end, the present invention includes a camera device used to shoot the billiards on the table ball table; the game setting refers to pre -defined in order to choose the rules of the game on the billiard desk; Set the rules of the competition, analyze the pose images of the billiards and competitors of the competitors; it is characterized by it: the image display device is used to visually express the image analysis by the image analysis device.</v>
      </c>
      <c r="D3112" s="6" t="s">
        <v>8740</v>
      </c>
      <c r="E3112" s="4" t="str">
        <f ca="1">IFERROR(__xludf.DUMMYFUNCTION("GOOGLETRANSLATE(D3112,""auto"",""en"")"),"Billiards game AI counseling system and method")</f>
        <v>Billiards game AI counseling system and method</v>
      </c>
    </row>
    <row r="3113" spans="1:5" ht="15" x14ac:dyDescent="0.25">
      <c r="A3113" s="5" t="s">
        <v>8741</v>
      </c>
      <c r="B3113" s="6" t="s">
        <v>8742</v>
      </c>
      <c r="C3113" s="3" t="str">
        <f ca="1">IFERROR(__xludf.DUMMYFUNCTION("GOOGLETRANSLATE(B3113,""auto"",""en"")"),"Mobile technology digital systems used to manage, collect money and pay properties and real estate projects, fixed or move through payment forms and other receipt methods, such as credit card or debit card machine-POS, totem, mobile phone, and other mobil"&amp;"e through the PI system through the PI system Document devices that send and receive fixed and variable information are of three media: printing paper, Internet and mobile phones, with electronic storage and tracking information, and constantly updated Re"&amp;"lations, because civil construction companies provide greater convenience, whether it is a building dealer and/or developer (developer), to build all categories and uses, residential, commercial, etc., individuals may buy them (buyers) For private or publ"&amp;"ic legal entities, the parties to the S will pay any currency (including cryptocurrencies (virtual currencies, such as Bitcoin, Ethereum). Data, documents, bills, value transactions, etc. ) In the PI's special software, through multi -channel communicatio"&amp;"n (full channel), automatic control to complete and monitor all events, and information that the buyer pays to developers with any type of currency. Comprehensive tracking, errors, and real-time financial operations are as if it is the ""Digital Financial"&amp;" Virtual Administration Zone (AF-D)"" 7 days a week and 24 hours a day.")</f>
        <v>Mobile technology digital systems used to manage, collect money and pay properties and real estate projects, fixed or move through payment forms and other receipt methods, such as credit card or debit card machine-POS, totem, mobile phone, and other mobile through the PI system through the PI system Document devices that send and receive fixed and variable information are of three media: printing paper, Internet and mobile phones, with electronic storage and tracking information, and constantly updated Relations, because civil construction companies provide greater convenience, whether it is a building dealer and/or developer (developer), to build all categories and uses, residential, commercial, etc., individuals may buy them (buyers) For private or public legal entities, the parties to the S will pay any currency (including cryptocurrencies (virtual currencies, such as Bitcoin, Ethereum). Data, documents, bills, value transactions, etc. ) In the PI's special software, through multi -channel communication (full channel), automatic control to complete and monitor all events, and information that the buyer pays to developers with any type of currency. Comprehensive tracking, errors, and real-time financial operations are as if it is the "Digital Financial Virtual Administration Zone (AF-D)" 7 days a week and 24 hours a day.</v>
      </c>
      <c r="D3113" s="6" t="s">
        <v>8743</v>
      </c>
      <c r="E3113" s="4" t="str">
        <f ca="1">IFERROR(__xludf.DUMMYFUNCTION("GOOGLETRANSLATE(D3113,""auto"",""en"")"),"Digital mobile technology systems used to manage, collect and pay property and real estate companies, through bills and other fitness or mobile collection methods, such as credit cards or debit card machines -POS, Totens, mobile phones and other mobile co"&amp;"mmunication devices")</f>
        <v>Digital mobile technology systems used to manage, collect and pay property and real estate companies, through bills and other fitness or mobile collection methods, such as credit cards or debit card machines -POS, Totens, mobile phones and other mobile communication devices</v>
      </c>
    </row>
    <row r="3114" spans="1:5" ht="15" x14ac:dyDescent="0.25">
      <c r="A3114" s="5" t="s">
        <v>8744</v>
      </c>
      <c r="B3114" s="6" t="s">
        <v>8745</v>
      </c>
      <c r="C3114" s="3" t="s">
        <v>12414</v>
      </c>
      <c r="D3114" s="6" t="s">
        <v>8746</v>
      </c>
      <c r="E3114" s="4" t="str">
        <f ca="1">IFERROR(__xludf.DUMMYFUNCTION("GOOGLETRANSLATE(D3114,""auto"",""en"")"),"Kosa Streamline")</f>
        <v>Kosa Streamline</v>
      </c>
    </row>
    <row r="3115" spans="1:5" ht="15" x14ac:dyDescent="0.25">
      <c r="A3115" s="5" t="s">
        <v>8747</v>
      </c>
      <c r="B3115" s="6" t="s">
        <v>8748</v>
      </c>
      <c r="C3115" s="3" t="str">
        <f ca="1">IFERROR(__xludf.DUMMYFUNCTION("GOOGLETRANSLATE(B3115,""auto"",""en"")"),"1. The name of the product in this exterior: the graphic user interface for mobile communication devices.
 2. The purpose of designing products in this exterior: The mobile communication device can be used for running programs and/or communication.
 T"&amp;"his graphic user interface is used to quiz with the game results when watching live broadcasts. It can realize human -machine interaction by contacting the display screen of the mobile communication device or operating the mobile communication device.
 "&amp;"Click on the results of any quiz on the main view interface (such as ""1: 1.63"" and ""1: 2.00"") to enter the interface change state Figure 1.
 Click ""More Quiz"" on the main view interface to enter the interface change state Figure 2.
 3. Design po"&amp;"int design: The graphical user interface displayed on the mobile communication device.
 4. The most important pictures or photos that can show the main point: The main interface is placed in the big picture.")</f>
        <v>1. The name of the product in this exterior: the graphic user interface for mobile communication devices.
 2. The purpose of designing products in this exterior: The mobile communication device can be used for running programs and/or communication.
 This graphic user interface is used to quiz with the game results when watching live broadcasts. It can realize human -machine interaction by contacting the display screen of the mobile communication device or operating the mobile communication device.
 Click on the results of any quiz on the main view interface (such as "1: 1.63" and "1: 2.00") to enter the interface change state Figure 1.
 Click "More Quiz" on the main view interface to enter the interface change state Figure 2.
 3. Design point design: The graphical user interface displayed on the mobile communication device.
 4. The most important pictures or photos that can show the main point: The main interface is placed in the big picture.</v>
      </c>
      <c r="D3115" s="6" t="s">
        <v>8749</v>
      </c>
      <c r="E3115" s="4" t="str">
        <f ca="1">IFERROR(__xludf.DUMMYFUNCTION("GOOGLETRANSLATE(D3115,""auto"",""en"")"),"Graphic user interface for mobile communication equipment")</f>
        <v>Graphic user interface for mobile communication equipment</v>
      </c>
    </row>
    <row r="3116" spans="1:5" ht="15" x14ac:dyDescent="0.25">
      <c r="A3116" s="5" t="s">
        <v>8750</v>
      </c>
      <c r="B3116" s="6" t="s">
        <v>8751</v>
      </c>
      <c r="C3116" s="3" t="str">
        <f ca="1">IFERROR(__xludf.DUMMYFUNCTION("GOOGLETRANSLATE(B3116,""auto"",""en"")"),"1. The name of the product in this exterior: the graphic user interface for mobile communication devices.
 2. The purpose of designing products in this exterior: The mobile communication device can be used for running programs and/or communication.
 T"&amp;"his graphic user interface is used to show the schedule and the results of the game. It can realize human -machine interaction by contacting the display screen of the mobile communication device or operating the mobile communication device.
 Click ""Mor"&amp;"e schedules"" in the main view interface to enter the interface change status diagram.
 3. Design point design: The graphical user interface displayed on the mobile communication device.
 4. The most important picture or photo of the design of the des"&amp;"ign: The main picture is placed on the big picture.")</f>
        <v>1. The name of the product in this exterior: the graphic user interface for mobile communication devices.
 2. The purpose of designing products in this exterior: The mobile communication device can be used for running programs and/or communication.
 This graphic user interface is used to show the schedule and the results of the game. It can realize human -machine interaction by contacting the display screen of the mobile communication device or operating the mobile communication device.
 Click "More schedules" in the main view interface to enter the interface change status diagram.
 3. Design point design: The graphical user interface displayed on the mobile communication device.
 4. The most important picture or photo of the design of the design: The main picture is placed on the big picture.</v>
      </c>
      <c r="D3116" s="6" t="s">
        <v>8749</v>
      </c>
      <c r="E3116" s="4" t="str">
        <f ca="1">IFERROR(__xludf.DUMMYFUNCTION("GOOGLETRANSLATE(D3116,""auto"",""en"")"),"Graphic user interface for mobile communication equipment")</f>
        <v>Graphic user interface for mobile communication equipment</v>
      </c>
    </row>
    <row r="3117" spans="1:5" ht="15" x14ac:dyDescent="0.25">
      <c r="A3117" s="5" t="s">
        <v>8752</v>
      </c>
      <c r="B3117" s="6" t="s">
        <v>8753</v>
      </c>
      <c r="C3117" s="3" t="str">
        <f ca="1">IFERROR(__xludf.DUMMYFUNCTION("GOOGLETRANSLATE(B3117,""auto"",""en"")"),"1. The name of the product in this exterior: for the graphic user interface for the computer.
 2. The purpose of designing products in this exterior: The computer can be used to run programs and/or communication.
 This graphic user interface is used t"&amp;"o quiz with the game results when watching live broadcast. You can realize human -machine interaction by contacting the display screen or operation of the computer.
 3. The design points of this design: The graphical user interface displayed on the comp"&amp;"uter.
 4. The most important pictures or photos that can show the main point: The main interface is placed in the big picture.")</f>
        <v>1. The name of the product in this exterior: for the graphic user interface for the computer.
 2. The purpose of designing products in this exterior: The computer can be used to run programs and/or communication.
 This graphic user interface is used to quiz with the game results when watching live broadcast. You can realize human -machine interaction by contacting the display screen or operation of the computer.
 3. The design points of this design: The graphical user interface displayed on the computer.
 4. The most important pictures or photos that can show the main point: The main interface is placed in the big picture.</v>
      </c>
      <c r="D3117" s="6" t="s">
        <v>7566</v>
      </c>
      <c r="E3117" s="4" t="str">
        <f ca="1">IFERROR(__xludf.DUMMYFUNCTION("GOOGLETRANSLATE(D3117,""auto"",""en"")"),"The graphical user interface used for a computer")</f>
        <v>The graphical user interface used for a computer</v>
      </c>
    </row>
    <row r="3118" spans="1:5" ht="15" x14ac:dyDescent="0.25">
      <c r="A3118" s="5" t="s">
        <v>8754</v>
      </c>
      <c r="B3118" s="6" t="s">
        <v>8755</v>
      </c>
      <c r="C3118" s="3" t="str">
        <f ca="1">IFERROR(__xludf.DUMMYFUNCTION("GOOGLETRANSLATE(B3118,""auto"",""en"")"),"The invention provides an artificial intelligence basketball training system based on Python/Java, which mainly includes wearable sports sensors and physiological sensors, as well as terminals such as mobile phones and computers, deep learning software of"&amp;" the system itself, system training guidance software and clouds. center. Train this system by supervising learning, identify basketball actions and give evaluations. By analyzing basketball actions and giving evaluation by unsupervised learning, building"&amp;" a system by designing Python/Java programming to achieve the purpose of artificial intelligence basketball training.")</f>
        <v>The invention provides an artificial intelligence basketball training system based on Python/Java, which mainly includes wearable sports sensors and physiological sensors, as well as terminals such as mobile phones and computers, deep learning software of the system itself, system training guidance software and clouds. center. Train this system by supervising learning, identify basketball actions and give evaluations. By analyzing basketball actions and giving evaluation by unsupervised learning, building a system by designing Python/Java programming to achieve the purpose of artificial intelligence basketball training.</v>
      </c>
      <c r="D3118" s="6" t="s">
        <v>8756</v>
      </c>
      <c r="E3118" s="4" t="str">
        <f ca="1">IFERROR(__xludf.DUMMYFUNCTION("GOOGLETRANSLATE(D3118,""auto"",""en"")"),"Artificial intelligence basketball training system based on Python/Java")</f>
        <v>Artificial intelligence basketball training system based on Python/Java</v>
      </c>
    </row>
    <row r="3119" spans="1:5" ht="15" x14ac:dyDescent="0.25">
      <c r="A3119" s="5" t="s">
        <v>8757</v>
      </c>
      <c r="B3119" s="6" t="s">
        <v>8758</v>
      </c>
      <c r="C3119" s="3" t="str">
        <f ca="1">IFERROR(__xludf.DUMMYFUNCTION("GOOGLETRANSLATE(B3119,""auto"",""en"")"),"The present invention involves a multi -layer test -based network attack type recognition method, which is the field of information security technology. The specific operation steps are: Step 1. Get the original training data and do pre -processing. Step "&amp;"2: Construct a collection of classification models. Step 3: Training set into a classification model. Step 4. Prepare test data. Step 5: Classify the test data. A multi -layer test -based network attack type recognition method proposed by this patent is c"&amp;"ompared with existing technologies. It is as follows: ① Use the SMOTE algorithm to sample a few samples, sampling most sample samples, solving data set sample unbalanced problems Essence ② Adopting integrated models improve the accuracy and recall rate of"&amp;" detection. ③ Combine the fruit flies optimization algorithm FOA with the SVM support vector machine SVM to achieve the optimal and adaptive options of parameter C and Gamma in SVM.")</f>
        <v>The present invention involves a multi -layer test -based network attack type recognition method, which is the field of information security technology. The specific operation steps are: Step 1. Get the original training data and do pre -processing. Step 2: Construct a collection of classification models. Step 3: Training set into a classification model. Step 4. Prepare test data. Step 5: Classify the test data. A multi -layer test -based network attack type recognition method proposed by this patent is compared with existing technologies. It is as follows: ① Use the SMOTE algorithm to sample a few samples, sampling most sample samples, solving data set sample unbalanced problems Essence ② Adopting integrated models improve the accuracy and recall rate of detection. ③ Combine the fruit flies optimization algorithm FOA with the SVM support vector machine SVM to achieve the optimal and adaptive options of parameter C and Gamma in SVM.</v>
      </c>
      <c r="D3119" s="6" t="s">
        <v>8759</v>
      </c>
      <c r="E3119" s="4" t="str">
        <f ca="1">IFERROR(__xludf.DUMMYFUNCTION("GOOGLETRANSLATE(D3119,""auto"",""en"")"),"A method of network attack type identification based on multi -layer detection")</f>
        <v>A method of network attack type identification based on multi -layer detection</v>
      </c>
    </row>
    <row r="3120" spans="1:5" ht="15" x14ac:dyDescent="0.25">
      <c r="A3120" s="5" t="s">
        <v>8760</v>
      </c>
      <c r="B3120" s="6" t="s">
        <v>8761</v>
      </c>
      <c r="C3120" s="3" t="str">
        <f ca="1">IFERROR(__xludf.DUMMYFUNCTION("GOOGLETRANSLATE(B3120,""auto"",""en"")"),"The present invention disclosed a intelligent management method based on the IoT -based badminton venue, including: according to the target user's appointment information to allocate the feathers on the target user; when the target user reaches the feathe"&amp;"rs, distributes to the target user and allocates to the target users. Badminton venues are associated with smart wearable devices; when determining that the badminton venue is used, the user who detects the badminton venue is the target user; when the use"&amp;"r who detects the badminton venue is not a target user, reminds the target users of the badminton venue to be stunned field.")</f>
        <v>The present invention disclosed a intelligent management method based on the IoT -based badminton venue, including: according to the target user's appointment information to allocate the feathers on the target user; when the target user reaches the feathers, distributes to the target user and allocates to the target users. Badminton venues are associated with smart wearable devices; when determining that the badminton venue is used, the user who detects the badminton venue is the target user; when the user who detects the badminton venue is not a target user, reminds the target users of the badminton venue to be stunned field.</v>
      </c>
      <c r="D3120" s="6" t="s">
        <v>8762</v>
      </c>
      <c r="E3120" s="4" t="str">
        <f ca="1">IFERROR(__xludf.DUMMYFUNCTION("GOOGLETRANSLATE(D3120,""auto"",""en"")"),"A intelligent management method based on the Internet of Things feather stadium")</f>
        <v>A intelligent management method based on the Internet of Things feather stadium</v>
      </c>
    </row>
    <row r="3121" spans="1:5" ht="15" x14ac:dyDescent="0.25">
      <c r="A3121" s="5" t="s">
        <v>8763</v>
      </c>
      <c r="B3121" s="6" t="s">
        <v>8764</v>
      </c>
      <c r="C3121" s="3" t="str">
        <f ca="1">IFERROR(__xludf.DUMMYFUNCTION("GOOGLETRANSLATE(B3121,""auto"",""en"")"),"The present invention provides an intelligent fitness equipment, including ontology and intelligent systems. The intelligent system is set in the ontology. The intelligent system includes controlling chips, sensor modules, and output modules. The sensor m"&amp;"odules and output modules are connected to the control chip. The intelligent system detect user fitness action parameters through the sensor module and control the output module by the control chip to give users feedback to users Whether fitness action is"&amp;" standardized and output standards for fitness action guidance information. The intelligent fitness equipment has a complete man -machine interactive function system. The advantages of collecting information collection and guiding fitness can better condu"&amp;"ct scientific detection and guidance of fitness, and automatically statistics on user fitness. Therefore Provide scientific reference for the next fitness and designate private scientific fitness plans. In addition, the intelligent fitness equipment is a "&amp;"guide -type fitness equipment that does not need to connect to the phone. The information sensitivity is high, more humane, convenient, and intelligent.")</f>
        <v>The present invention provides an intelligent fitness equipment, including ontology and intelligent systems. The intelligent system is set in the ontology. The intelligent system includes controlling chips, sensor modules, and output modules. The sensor modules and output modules are connected to the control chip. The intelligent system detect user fitness action parameters through the sensor module and control the output module by the control chip to give users feedback to users Whether fitness action is standardized and output standards for fitness action guidance information. The intelligent fitness equipment has a complete man -machine interactive function system. The advantages of collecting information collection and guiding fitness can better conduct scientific detection and guidance of fitness, and automatically statistics on user fitness. Therefore Provide scientific reference for the next fitness and designate private scientific fitness plans. In addition, the intelligent fitness equipment is a guide -type fitness equipment that does not need to connect to the phone. The information sensitivity is high, more humane, convenient, and intelligent.</v>
      </c>
      <c r="D3121" s="6" t="s">
        <v>8765</v>
      </c>
      <c r="E3121" s="4" t="str">
        <f ca="1">IFERROR(__xludf.DUMMYFUNCTION("GOOGLETRANSLATE(D3121,""auto"",""en"")"),"Smart fitness equipment")</f>
        <v>Smart fitness equipment</v>
      </c>
    </row>
    <row r="3122" spans="1:5" ht="15" x14ac:dyDescent="0.25">
      <c r="A3122" s="5" t="s">
        <v>8766</v>
      </c>
      <c r="B3122" s="6" t="s">
        <v>8767</v>
      </c>
      <c r="C3122" s="3" t="str">
        <f ca="1">IFERROR(__xludf.DUMMYFUNCTION("GOOGLETRANSLATE(B3122,""auto"",""en"")"),"The present invention is a container that is open on the surface; the separate vertical vertical is set inside the container to separate the space; You can see the transparent window outside. The front and rear are set in the space separated by the partit"&amp;"ion wall. The machine room is used to purify and circulate the swimming water in the water tank, including the computer room set in another space separated by the tank.")</f>
        <v>The present invention is a container that is open on the surface; the separate vertical vertical is set inside the container to separate the space; You can see the transparent window outside. The front and rear are set in the space separated by the partition wall. The machine room is used to purify and circulate the swimming water in the water tank, including the computer room set in another space separated by the tank.</v>
      </c>
      <c r="D3122" s="6" t="s">
        <v>8768</v>
      </c>
      <c r="E3122" s="4" t="str">
        <f ca="1">IFERROR(__xludf.DUMMYFUNCTION("GOOGLETRANSLATE(D3122,""auto"",""en"")"),"Using the IoT underwater modular smart screen mobile container -type swimming pool")</f>
        <v>Using the IoT underwater modular smart screen mobile container -type swimming pool</v>
      </c>
    </row>
    <row r="3123" spans="1:5" ht="15" x14ac:dyDescent="0.25">
      <c r="A3123" s="5" t="s">
        <v>8769</v>
      </c>
      <c r="B3123" s="6" t="s">
        <v>8770</v>
      </c>
      <c r="C3123" s="3" t="str">
        <f ca="1">IFERROR(__xludf.DUMMYFUNCTION("GOOGLETRANSLATE(B3123,""auto"",""en"")"),"1. A method to connect two devices, including: first device, including: NFC label and Bluetooth pairing ID. The first device includes: open its wireless communication channel and start its Bluetooth communication pairing process; the second device include"&amp;"s: Connect to the remote server; read the NFC label of the first device within the predetermined time; match the NFC tag with the Bluetooth pairing ID and password; initiate the Bluetooth connection to connect the second device to the first device; send B"&amp;"luetooth to the first device to shake handshake handhane Signal; determine whether to implement handshake within the scheduled time. If so, the first device continues to confirm the handhand of the handshake and terminate the communication process of the "&amp;"Bluetooth and the second device. 2- The first device based on claim 1 is a group from the Internet of Things equipment, smart desktop controllers, and work areas of fitness equipment. 3. The second device according to claim 1 is one of the groups of smart"&amp;"phones, tablets or smart watches. 4. According to the method of claim 1, the NFC label is one of the following labels: an unsecured NFC tags that are attached to the first device and connected to the first device. Or the source NFC tags connected to the f"&amp;"irst device 5 5. The method of the NFC tag is embedded in the first device in the method of the first device. 5. According to the method of claim 1, the initiative of the Bluetooth connection is performed by the first device or the second device. 7. Accor"&amp;"ding to the method of claim 1, the matching of the NFC tag with the Bluetooth pairing ID and password also includes: connect the second device to the cloud service database; search for specific NFC tags in the database; From the cloud service database to "&amp;"receive at least one of the multiple: Bluetooth pairing ID and the password of the first device. 8. The matching of the NFC label and the Bluetooth pairing ID and password based on claim 1, including: decoding the NFC tag at the second device and extract "&amp;"the Bluetooth pairing ID data. Essence 9. According to the method of claim 1, the second device also includes: storage data vouchers from the Wi-Fi network, wherein the data voucher includes the network ID and the network password Wi-Fi connection; transm"&amp;"itting data vouchers from Wi-Fi connection to the current activity to the first device. 10. According to the method of claim 9, the first device also includes: data vouchers with the second device receiving the Wi-Fi network ID and network password; try t"&amp;"o connect to the wireless network Send a message to the second device through the Bluetooth connection to notify whether the connection with the Wi-Fi network is successful. 11. According to the method of claim 10, the connection to the Wi-Fi network is u"&amp;"nsuccessful: at the second device: the setting of the connection access to the first device to the first device to manually modify the first device to manually modify the first device. Set the second device as the input mechanism of the first device. 12. "&amp;"According to the method of claim 10, it also includes: when the second device is a sitting desk, use the touch screen on the smartphone as the input of the first device, manually modify the first one described in the first device. Communication parameters"&amp;" and protocols between equipment and second devices. 13-A non-temporary computer readable medium that includes instructions, which executes the method when the processor executes, includes: first device, including: NFC tags or sensors, and Bluetooth pairi"&amp;"ng ID, wherein the place, where the place is The first device includes: open its wireless communication channel on the first device and start its Bluetooth communication pairing process; connect the second device to the remote server; Tags; match the NFC "&amp;"label with Bluetooth pairing ID and password; initiate Bluetooth connection to connect the second device to the first device; send a Bluetooth handshake signal to the first device; The first device continues to confirm handshake and terminate the communic"&amp;"ation process of Bluetooth and the second device. 14. The non -temporary computer readable medium according to claim 13, wherein the first device is one of the following devices: IoT device, smart desktop controllers, work space fitness equipment, and the"&amp;" number one mentioned, and the first level The second device is multiple devices of the following devices: smartphones, tablets, or smart watches. 16. The non -temporary computer readable medium according to claim 13. Among them, the NFC label is one of t"&amp;"he following tags: attached to the first device and unmotned to the first device that the first device. The passive NFC label, or the active NFC tags of the electrical connection 17. The non -temporary computer readable medium according to the claim 13, w"&amp;"herein the initiative of the Bluetooth connection is implement. 18. The non -temporary computer readable medium according to claim 13. Among them, the matching of the NFC label with the Bluetooth ID and password also includes: connecting the second device"&amp;" to the cloud service database; in the database; in the database Search for specific NFC tags; receive at least one of the multiple of the cloud service database: Bluetooth pairing ID and login the first device password. 19. The non -temporary computer re"&amp;"adable medium described according to claim 13, where the NFC tags match the Bluetooth pairing ID and password matching further: the NFC tag at the decoding of the second device and extract the Bluetooth Bluetooth With pairing ID data, and if you exist, lo"&amp;"g in to the password of the first device. 20. The non-temporary computer readable medium according to claim 13, wherein the second device also includes: storage data vouchers from the Wi-Fi network, wherein the data voucher includes the network ID and the"&amp;" network of networks and the network Password; identify the Wi-Fi connection of the current activity; transmit the data voucher from the Wi-Fi connection of the current activity to the first device. 21. The non-temporary computer readable medium as descri"&amp;"bed as claim 20, also includes: the first device place: from the second device to receive data vouchers with the Wi-Fi network ID and network password; Try to connect to the wireless network; in general, in one aspect, the invention involves a non -tempor"&amp;"ary computer readable medium that includes instructions, which executes a method when the processor executes. IoT device reads motion frequency tags. This method includes the start and termination of the communication pairing process, and does not require"&amp;" the keyboard, mouse, touch input or display on the IoT device.")</f>
        <v>1. A method to connect two devices, including: first device, including: NFC label and Bluetooth pairing ID. The first device includes: open its wireless communication channel and start its Bluetooth communication pairing process; the second device includes: Connect to the remote server; read the NFC label of the first device within the predetermined time; match the NFC tag with the Bluetooth pairing ID and password; initiate the Bluetooth connection to connect the second device to the first device; send Bluetooth to the first device to shake handshake handhane Signal; determine whether to implement handshake within the scheduled time. If so, the first device continues to confirm the handhand of the handshake and terminate the communication process of the Bluetooth and the second device. 2- The first device based on claim 1 is a group from the Internet of Things equipment, smart desktop controllers, and work areas of fitness equipment. 3. The second device according to claim 1 is one of the groups of smartphones, tablets or smart watches. 4. According to the method of claim 1, the NFC label is one of the following labels: an unsecured NFC tags that are attached to the first device and connected to the first device. Or the source NFC tags connected to the first device 5 5. The method of the NFC tag is embedded in the first device in the method of the first device. 5. According to the method of claim 1, the initiative of the Bluetooth connection is performed by the first device or the second device. 7. According to the method of claim 1, the matching of the NFC tag with the Bluetooth pairing ID and password also includes: connect the second device to the cloud service database; search for specific NFC tags in the database; From the cloud service database to receive at least one of the multiple: Bluetooth pairing ID and the password of the first device. 8. The matching of the NFC label and the Bluetooth pairing ID and password based on claim 1, including: decoding the NFC tag at the second device and extract the Bluetooth pairing ID data. Essence 9. According to the method of claim 1, the second device also includes: storage data vouchers from the Wi-Fi network, wherein the data voucher includes the network ID and the network password Wi-Fi connection; transmitting data vouchers from Wi-Fi connection to the current activity to the first device. 10. According to the method of claim 9, the first device also includes: data vouchers with the second device receiving the Wi-Fi network ID and network password; try to connect to the wireless network Send a message to the second device through the Bluetooth connection to notify whether the connection with the Wi-Fi network is successful. 11. According to the method of claim 10, the connection to the Wi-Fi network is unsuccessful: at the second device: the setting of the connection access to the first device to the first device to manually modify the first device to manually modify the first device. Set the second device as the input mechanism of the first device. 12. According to the method of claim 10, it also includes: when the second device is a sitting desk, use the touch screen on the smartphone as the input of the first device, manually modify the first one described in the first device. Communication parameters and protocols between equipment and second devices. 13-A non-temporary computer readable medium that includes instructions, which executes the method when the processor executes, includes: first device, including: NFC tags or sensors, and Bluetooth pairing ID, wherein the place, where the place is The first device includes: open its wireless communication channel on the first device and start its Bluetooth communication pairing process; connect the second device to the remote server; Tags; match the NFC label with Bluetooth pairing ID and password; initiate Bluetooth connection to connect the second device to the first device; send a Bluetooth handshake signal to the first device; The first device continues to confirm handshake and terminate the communication process of Bluetooth and the second device. 14. The non -temporary computer readable medium according to claim 13, wherein the first device is one of the following devices: IoT device, smart desktop controllers, work space fitness equipment, and the number one mentioned, and the first level The second device is multiple devices of the following devices: smartphones, tablets, or smart watches. 16. The non -temporary computer readable medium according to claim 13. Among them, the NFC label is one of the following tags: attached to the first device and unmotned to the first device that the first device. The passive NFC label, or the active NFC tags of the electrical connection 17. The non -temporary computer readable medium according to the claim 13, wherein the initiative of the Bluetooth connection is implement. 18. The non -temporary computer readable medium according to claim 13. Among them, the matching of the NFC label with the Bluetooth ID and password also includes: connecting the second device to the cloud service database; in the database; in the database Search for specific NFC tags; receive at least one of the multiple of the cloud service database: Bluetooth pairing ID and login the first device password. 19. The non -temporary computer readable medium described according to claim 13, where the NFC tags match the Bluetooth pairing ID and password matching further: the NFC tag at the decoding of the second device and extract the Bluetooth Bluetooth With pairing ID data, and if you exist, log in to the password of the first device. 20. The non-temporary computer readable medium according to claim 13, wherein the second device also includes: storage data vouchers from the Wi-Fi network, wherein the data voucher includes the network ID and the network of networks and the network Password; identify the Wi-Fi connection of the current activity; transmit the data voucher from the Wi-Fi connection of the current activity to the first device. 21. The non-temporary computer readable medium as described as claim 20, also includes: the first device place: from the second device to receive data vouchers with the Wi-Fi network ID and network password; Try to connect to the wireless network; in general, in one aspect, the invention involves a non -temporary computer readable medium that includes instructions, which executes a method when the processor executes. IoT device reads motion frequency tags. This method includes the start and termination of the communication pairing process, and does not require the keyboard, mouse, touch input or display on the IoT device.</v>
      </c>
      <c r="D3123" s="6" t="s">
        <v>8771</v>
      </c>
      <c r="E3123" s="4" t="str">
        <f ca="1">IFERROR(__xludf.DUMMYFUNCTION("GOOGLETRANSLATE(D3123,""auto"",""en"")"),"Method to connect the wireless wireless connection to the Internet of Things device that lacks the input or output mechanism")</f>
        <v>Method to connect the wireless wireless connection to the Internet of Things device that lacks the input or output mechanism</v>
      </c>
    </row>
    <row r="3124" spans="1:5" ht="15" x14ac:dyDescent="0.25">
      <c r="A3124" s="5" t="s">
        <v>8772</v>
      </c>
      <c r="B3124" s="6" t="s">
        <v>8773</v>
      </c>
      <c r="C3124" s="3" t="str">
        <f ca="1">IFERROR(__xludf.DUMMYFUNCTION("GOOGLETRANSLATE(B3124,""auto"",""en"")"),"This application proposes a method and device of the feedback information, where the method includes: obtaining users' feedback information on the application of the application. Among them, the problem feedback information includes abnormal information i"&amp;"mages; Classified and obtained the problem category of abnormal information images. Among them, the problem classification model is trained by the initial deep learning model that has been marked with the sample set. The specific operation path of the inf"&amp;"ormation image, of which the specific operation path is used to indicate the operation path from the homepage of the application to the abnormal information page; according to the problem category and specific operation path of the problem of abnormal inf"&amp;"ormation images, the feedback information is processed. This method can classify and process automatic information images automatically.")</f>
        <v>This application proposes a method and device of the feedback information, where the method includes: obtaining users' feedback information on the application of the application. Among them, the problem feedback information includes abnormal information images; Classified and obtained the problem category of abnormal information images. Among them, the problem classification model is trained by the initial deep learning model that has been marked with the sample set. The specific operation path of the information image, of which the specific operation path is used to indicate the operation path from the homepage of the application to the abnormal information page; according to the problem category and specific operation path of the problem of abnormal information images, the feedback information is processed. This method can classify and process automatic information images automatically.</v>
      </c>
      <c r="D3124" s="6" t="s">
        <v>8774</v>
      </c>
      <c r="E3124" s="4" t="str">
        <f ca="1">IFERROR(__xludf.DUMMYFUNCTION("GOOGLETRANSLATE(D3124,""auto"",""en"")"),"Question feedback information processing method and device")</f>
        <v>Question feedback information processing method and device</v>
      </c>
    </row>
    <row r="3125" spans="1:5" ht="15" x14ac:dyDescent="0.25">
      <c r="A3125" s="5" t="s">
        <v>8775</v>
      </c>
      <c r="B3125" s="6" t="s">
        <v>8776</v>
      </c>
      <c r="C3125" s="3" t="str">
        <f ca="1">IFERROR(__xludf.DUMMYFUNCTION("GOOGLETRANSLATE(B3125,""auto"",""en"")"),"The present invention disclosed a smart mirror design method based on automatic image recognition and action model comparison, which belongs to the field of image recognition technology. The design method collects human images through the Kinect sensor; o"&amp;"btains human bone images according to human images; performed human bone identification according to human bone images; calculates the angle of the bone according to the bone point, establish the actual action model; the standard model and initialization "&amp;"standard for initialization Action comparison, obtain a motion fitting percentage; display the actual movements and standard actions through the display screen, and prompt in the form of voice, text, or image. The present invention can be applied to the g"&amp;"ym to help the fitness people correct fitness movements and play a role in standardizing action. The intelligent mirror provided by the present invention has the advantages of timely and accurate feedback, and provides a variety of prompt information such"&amp;" as voice and images.")</f>
        <v>The present invention disclosed a smart mirror design method based on automatic image recognition and action model comparison, which belongs to the field of image recognition technology. The design method collects human images through the Kinect sensor; obtains human bone images according to human images; performed human bone identification according to human bone images; calculates the angle of the bone according to the bone point, establish the actual action model; the standard model and initialization standard for initialization Action comparison, obtain a motion fitting percentage; display the actual movements and standard actions through the display screen, and prompt in the form of voice, text, or image. The present invention can be applied to the gym to help the fitness people correct fitness movements and play a role in standardizing action. The intelligent mirror provided by the present invention has the advantages of timely and accurate feedback, and provides a variety of prompt information such as voice and images.</v>
      </c>
      <c r="D3125" s="6" t="s">
        <v>8777</v>
      </c>
      <c r="E3125" s="4" t="str">
        <f ca="1">IFERROR(__xludf.DUMMYFUNCTION("GOOGLETRANSLATE(D3125,""auto"",""en"")"),"Smart mirror design method based on automatic image recognition and action model comparison")</f>
        <v>Smart mirror design method based on automatic image recognition and action model comparison</v>
      </c>
    </row>
    <row r="3126" spans="1:5" ht="15" x14ac:dyDescent="0.25">
      <c r="A3126" s="5" t="s">
        <v>8778</v>
      </c>
      <c r="B3126" s="6" t="s">
        <v>8779</v>
      </c>
      <c r="C3126" s="3" t="str">
        <f ca="1">IFERROR(__xludf.DUMMYFUNCTION("GOOGLETRANSLATE(B3126,""auto"",""en"")"),"[Question] Provide a technology that can further improve user convenience in the cooking system that enters the voice input/output device through voice input/output device.
  Solution: A heating cooking system includes a heating cooker, a voice input/ou"&amp;"tput device and a voice recognition part. When the first voice is input, the voice input/output device sends the first voice data of the first voice to the voice recognition part. The voice recognition unit receives the first voice data from the voice inp"&amp;"ut/output device, converts the first voice data into the first text data, and extract two or more reference keywords from the first text data. Two or more operation conditions The above -mentioned reference keywords are transmitted to the heating control "&amp;"unit of the heating pot. The heating control unit of the cooking utensils receives specific operating conditions from the voice recognition unit and controls the operation of the heating unit according to specific operating conditions.
  【Selection Figu"&amp;"re】 Figure 5")</f>
        <v>[Question] Provide a technology that can further improve user convenience in the cooking system that enters the voice input/output device through voice input/output device.
  Solution: A heating cooking system includes a heating cooker, a voice input/output device and a voice recognition part. When the first voice is input, the voice input/output device sends the first voice data of the first voice to the voice recognition part. The voice recognition unit receives the first voice data from the voice input/output device, converts the first voice data into the first text data, and extract two or more reference keywords from the first text data. Two or more operation conditions The above -mentioned reference keywords are transmitted to the heating control unit of the heating pot. The heating control unit of the cooking utensils receives specific operating conditions from the voice recognition unit and controls the operation of the heating unit according to specific operating conditions.
  【Selection Figure】 Figure 5</v>
      </c>
      <c r="D3126" s="6" t="s">
        <v>8780</v>
      </c>
      <c r="E3126" s="4" t="str">
        <f ca="1">IFERROR(__xludf.DUMMYFUNCTION("GOOGLETRANSLATE(D3126,""auto"",""en"")"),"Heating cooking system")</f>
        <v>Heating cooking system</v>
      </c>
    </row>
    <row r="3127" spans="1:5" ht="15" x14ac:dyDescent="0.25">
      <c r="A3127" s="5" t="s">
        <v>8781</v>
      </c>
      <c r="B3127" s="6" t="s">
        <v>8782</v>
      </c>
      <c r="C3127" s="3" t="str">
        <f ca="1">IFERROR(__xludf.DUMMYFUNCTION("GOOGLETRANSLATE(B3127,""auto"",""en"")"),"The present invention disclosed a method and system for the intelligent implementation method and system based on computer visual algorithms. The system includes: at least one processor, at least four gun types and at least two hemisphere cameras. Connect"&amp;" at least two hemisphere cameras to connect to at least one processor, and the method includes: calibration of the camera by identifying the sports field logo line; controlling the video images of the entire sports field synchronously; Track tracking to o"&amp;"btain the two -dimensional trajectory of the sphere; the three -dimensional trajectory of the sphere target is extracted through three -dimensional reconstruction. The invention system can achieve sports positioning and trajectory tracking, accurately obt"&amp;"ain structural sports data, and achieve referee and data statistics. At the same time, it can be used as data analysis in the training of large and small conventional competitions and daily modes. The characteristics of wide range, high efficiency and low"&amp;" cost.")</f>
        <v>The present invention disclosed a method and system for the intelligent implementation method and system based on computer visual algorithms. The system includes: at least one processor, at least four gun types and at least two hemisphere cameras. Connect at least two hemisphere cameras to connect to at least one processor, and the method includes: calibration of the camera by identifying the sports field logo line; controlling the video images of the entire sports field synchronously; Track tracking to obtain the two -dimensional trajectory of the sphere; the three -dimensional trajectory of the sphere target is extracted through three -dimensional reconstruction. The invention system can achieve sports positioning and trajectory tracking, accurately obtain structural sports data, and achieve referee and data statistics. At the same time, it can be used as data analysis in the training of large and small conventional competitions and daily modes. The characteristics of wide range, high efficiency and low cost.</v>
      </c>
      <c r="D3127" s="6" t="s">
        <v>8783</v>
      </c>
      <c r="E3127" s="4" t="str">
        <f ca="1">IFERROR(__xludf.DUMMYFUNCTION("GOOGLETRANSLATE(D3127,""auto"",""en"")"),"Sport intelligent implementation method and system based on computer visual algorithm")</f>
        <v>Sport intelligent implementation method and system based on computer visual algorithm</v>
      </c>
    </row>
    <row r="3128" spans="1:5" ht="15" x14ac:dyDescent="0.25">
      <c r="A3128" s="5" t="s">
        <v>8784</v>
      </c>
      <c r="B3128" s="6" t="s">
        <v>8785</v>
      </c>
      <c r="C3128" s="3" t="str">
        <f ca="1">IFERROR(__xludf.DUMMYFUNCTION("GOOGLETRANSLATE(B3128,""auto"",""en"")"),"The present invention disclosed a kind of unmanned smart courtyard management system, method and stadium. The system includes: server, camera and lighting on the side of the stadium and/or around the surroundings, and the smart door locks set by or enteri"&amp;"ng around the court. The camera, lighting, and smart door locks are connected to the server communication, and the server control is controlled to achieve intelligent management of the stadium. The server has a stadium settings coaching system, smart acce"&amp;"ss control system, lighting system, security monitoring system, stadium data analysis system, video playback system and artificial intelligence algorithm system. The present invention improves the comprehensive utilization rate of the court, which is cond"&amp;"ucive to optimizing the duct usage rate, and it is conducive to improving the consumption and sports experience of users.")</f>
        <v>The present invention disclosed a kind of unmanned smart courtyard management system, method and stadium. The system includes: server, camera and lighting on the side of the stadium and/or around the surroundings, and the smart door locks set by or entering around the court. The camera, lighting, and smart door locks are connected to the server communication, and the server control is controlled to achieve intelligent management of the stadium. The server has a stadium settings coaching system, smart access control system, lighting system, security monitoring system, stadium data analysis system, video playback system and artificial intelligence algorithm system. The present invention improves the comprehensive utilization rate of the court, which is conducive to optimizing the duct usage rate, and it is conducive to improving the consumption and sports experience of users.</v>
      </c>
      <c r="D3128" s="6" t="s">
        <v>8786</v>
      </c>
      <c r="E3128" s="4" t="str">
        <f ca="1">IFERROR(__xludf.DUMMYFUNCTION("GOOGLETRANSLATE(D3128,""auto"",""en"")"),"Unmanned Smart Stadium Management System, Methods and Stadium")</f>
        <v>Unmanned Smart Stadium Management System, Methods and Stadium</v>
      </c>
    </row>
    <row r="3129" spans="1:5" ht="15" x14ac:dyDescent="0.25">
      <c r="A3129" s="5" t="s">
        <v>8787</v>
      </c>
      <c r="B3129" s="6" t="s">
        <v>8788</v>
      </c>
      <c r="C3129" s="3" t="str">
        <f ca="1">IFERROR(__xludf.DUMMYFUNCTION("GOOGLETRANSLATE(B3129,""auto"",""en"")"),"The invention disclose a physical health monitoring method and system in physical exercise. The system receives the first group of physiological data and the second group of physiological data of the user during training. Calculate multiple physiological "&amp;"parameters based on the first and second group of physiological data. The system uses neural network models and multiple training -related data entered through user devices to estimate the user's health status based on multiple physiological parameters. T"&amp;"he neural network model is trained by processing the first group of physiological data collected within the scheduled time and the relevant mental state of the user. The present invention provides users with real -time physical health feedback, and guides"&amp;" users to perform more conducive to physical exercise. figure 1")</f>
        <v>The invention disclose a physical health monitoring method and system in physical exercise. The system receives the first group of physiological data and the second group of physiological data of the user during training. Calculate multiple physiological parameters based on the first and second group of physiological data. The system uses neural network models and multiple training -related data entered through user devices to estimate the user's health status based on multiple physiological parameters. The neural network model is trained by processing the first group of physiological data collected within the scheduled time and the relevant mental state of the user. The present invention provides users with real -time physical health feedback, and guides users to perform more conducive to physical exercise. figure 1</v>
      </c>
      <c r="D3129" s="6" t="s">
        <v>8789</v>
      </c>
      <c r="E3129" s="4" t="str">
        <f ca="1">IFERROR(__xludf.DUMMYFUNCTION("GOOGLETRANSLATE(D3129,""auto"",""en"")"),"Real -time estimate method and system of user exercise comfort")</f>
        <v>Real -time estimate method and system of user exercise comfort</v>
      </c>
    </row>
    <row r="3130" spans="1:5" ht="15" x14ac:dyDescent="0.25">
      <c r="A3130" s="5" t="s">
        <v>8790</v>
      </c>
      <c r="B3130" s="6" t="s">
        <v>8791</v>
      </c>
      <c r="C3130" s="3" t="str">
        <f ca="1">IFERROR(__xludf.DUMMYFUNCTION("GOOGLETRANSLATE(B3130,""auto"",""en"")"),"The invention involves fitness equipment and man -machine interaction systems and methods. The human -machine interaction system also includes holographic projection devices and motion posture collection devices; ; The collection of motion after the colle"&amp;"ction is displayed by a holographic projection device. In the human -machine interaction method, fitness equipment verification of the identity information of the athletes, obtain the physiological data of the athlete, set the sports scene according to th"&amp;"e obtained physiological data, and collect the sports attitude of the athletes on the holographic projection device. Do not match the parts to remind the athletes to correct the attitude. The present invention sets different sports scenarios based on the "&amp;"input physiological data and presented through the holographic projection device to help the athletes enter the exercise state quickly and improve the fitness effect of the athlete. Can effectively help sports people enter the best movement status in orde"&amp;"r to improve the exercise experience.")</f>
        <v>The invention involves fitness equipment and man -machine interaction systems and methods. The human -machine interaction system also includes holographic projection devices and motion posture collection devices; ; The collection of motion after the collection is displayed by a holographic projection device. In the human -machine interaction method, fitness equipment verification of the identity information of the athletes, obtain the physiological data of the athlete, set the sports scene according to the obtained physiological data, and collect the sports attitude of the athletes on the holographic projection device. Do not match the parts to remind the athletes to correct the attitude. The present invention sets different sports scenarios based on the input physiological data and presented through the holographic projection device to help the athletes enter the exercise state quickly and improve the fitness effect of the athlete. Can effectively help sports people enter the best movement status in order to improve the exercise experience.</v>
      </c>
      <c r="D3130" s="6" t="s">
        <v>8792</v>
      </c>
      <c r="E3130" s="4" t="str">
        <f ca="1">IFERROR(__xludf.DUMMYFUNCTION("GOOGLETRANSLATE(D3130,""auto"",""en"")"),"A human -computer interaction system and interaction method applied to fitness equipment")</f>
        <v>A human -computer interaction system and interaction method applied to fitness equipment</v>
      </c>
    </row>
    <row r="3131" spans="1:5" ht="15" x14ac:dyDescent="0.25">
      <c r="A3131" s="5" t="s">
        <v>8793</v>
      </c>
      <c r="B3131" s="6" t="s">
        <v>8794</v>
      </c>
      <c r="C3131" s="3" t="str">
        <f ca="1">IFERROR(__xludf.DUMMYFUNCTION("GOOGLETRANSLATE(B3131,""auto"",""en"")"),"The present invention has disclosed a fitness method for advanced fitness Trojan and fitness Trojan, including arc frames, Trojan heads, handheld rods, and activity foot mechanisms. There is a gyroscope sensor and an acceleration sensor on the head of the"&amp;" Maga Horse, which is equipped with a bracelet support frame on the hand holder, which is equipped with a heart rate sensor and a blood pressure sensor on the hand ring support rack. The power supply and PCB board, the gyroscope sensor and the acceleratio"&amp;"n sensor are connected to the power supply and PCB board, the heart rate sensor, the blood pressure sensor is connected to the PCB board electrical connection with the PCB board. The present invention fitness Trojan collects human health data and motion d"&amp;"ata of Trojan through each sensor. It uses IoT technology with advanced fitness Trojan to achieve the role of intelligent fitness. interest.")</f>
        <v>The present invention has disclosed a fitness method for advanced fitness Trojan and fitness Trojan, including arc frames, Trojan heads, handheld rods, and activity foot mechanisms. There is a gyroscope sensor and an acceleration sensor on the head of the Maga Horse, which is equipped with a bracelet support frame on the hand holder, which is equipped with a heart rate sensor and a blood pressure sensor on the hand ring support rack. The power supply and PCB board, the gyroscope sensor and the acceleration sensor are connected to the power supply and PCB board, the heart rate sensor, the blood pressure sensor is connected to the PCB board electrical connection with the PCB board. The present invention fitness Trojan collects human health data and motion data of Trojan through each sensor. It uses IoT technology with advanced fitness Trojan to achieve the role of intelligent fitness. interest.</v>
      </c>
      <c r="D3131" s="6" t="s">
        <v>8795</v>
      </c>
      <c r="E3131" s="4" t="str">
        <f ca="1">IFERROR(__xludf.DUMMYFUNCTION("GOOGLETRANSLATE(D3131,""auto"",""en"")"),"A method of moving forward and fitness Trojan and fitness Trojan horses")</f>
        <v>A method of moving forward and fitness Trojan and fitness Trojan horses</v>
      </c>
    </row>
    <row r="3132" spans="1:5" ht="15" x14ac:dyDescent="0.25">
      <c r="A3132" s="5" t="s">
        <v>8796</v>
      </c>
      <c r="B3132" s="6" t="s">
        <v>8797</v>
      </c>
      <c r="C3132" s="3" t="str">
        <f ca="1">IFERROR(__xludf.DUMMYFUNCTION("GOOGLETRANSLATE(B3132,""auto"",""en"")"),"A method for operating the computing device, including: to obtain log data including multiple users of the action information of the first game; the action information of multiple users extracted from the log data, by distinguishing the action of multiple"&amp;" users into the first, the movement of multiple users into No. 1 The movement of the remaining users of a game and the movement of separation to learn the action users of multiple users through machine learning; obtain the reason for the user who exit the"&amp;" first game to withdraw from the first game according to the learning results; Information about the game.")</f>
        <v>A method for operating the computing device, including: to obtain log data including multiple users of the action information of the first game; the action information of multiple users extracted from the log data, by distinguishing the action of multiple users into the first, the movement of multiple users into No. 1 The movement of the remaining users of a game and the movement of separation to learn the action users of multiple users through machine learning; obtain the reason for the user who exit the first game to withdraw from the first game according to the learning results; Information about the game.</v>
      </c>
      <c r="D3132" s="6" t="s">
        <v>8798</v>
      </c>
      <c r="E3132" s="4" t="str">
        <f ca="1">IFERROR(__xludf.DUMMYFUNCTION("GOOGLETRANSLATE(D3132,""auto"",""en"")"),"A method for processing user data for the game processing device, and the computing device")</f>
        <v>A method for processing user data for the game processing device, and the computing device</v>
      </c>
    </row>
    <row r="3133" spans="1:5" ht="15" x14ac:dyDescent="0.25">
      <c r="A3133" s="5" t="s">
        <v>8799</v>
      </c>
      <c r="B3133" s="6" t="s">
        <v>8800</v>
      </c>
      <c r="C3133" s="3" t="str">
        <f ca="1">IFERROR(__xludf.DUMMYFUNCTION("GOOGLETRANSLATE(B3133,""auto"",""en"")"),"Examples of the semiconductor packaging device may include embedded one or more trigger operations into one or more messages related to the collective operation of neural networks, and publish one or more messages related to collective operations to a har"&amp;"dware -based message -based message. The technology of the scheduler is in the order of execution. Public and request to protect other embodiments.")</f>
        <v>Examples of the semiconductor packaging device may include embedded one or more trigger operations into one or more messages related to the collective operation of neural networks, and publish one or more messages related to collective operations to a hardware -based message -based message. The technology of the scheduler is in the order of execution. Public and request to protect other embodiments.</v>
      </c>
      <c r="D3133" s="6" t="s">
        <v>8801</v>
      </c>
      <c r="E3133" s="4" t="str">
        <f ca="1">IFERROR(__xludf.DUMMYFUNCTION("GOOGLETRANSLATE(D3133,""auto"",""en"")"),"Triggering operation to improve allReduce overlap")</f>
        <v>Triggering operation to improve allReduce overlap</v>
      </c>
    </row>
    <row r="3134" spans="1:5" ht="15" x14ac:dyDescent="0.25">
      <c r="A3134" s="5" t="s">
        <v>8802</v>
      </c>
      <c r="B3134" s="6" t="s">
        <v>8803</v>
      </c>
      <c r="C3134" s="3" t="str">
        <f ca="1">IFERROR(__xludf.DUMMYFUNCTION("GOOGLETRANSLATE(B3134,""auto"",""en"")"),"A intelligent tutoring method based on artificial intelligence is disclosed. A method of sports guidance implemented by a computer, including: establish a communication session with a motion module with a close -range communication module; a sports inform"&amp;"ation perceived in real time; receiving a sports information for the establishment of a communication session; receiving the received sports information. Sports information can include classified storage according to the pre -designated items. According t"&amp;"o the received amount of sports information and pre -registered user characteristics information, users customized sports information.")</f>
        <v>A intelligent tutoring method based on artificial intelligence is disclosed. A method of sports guidance implemented by a computer, including: establish a communication session with a motion module with a close -range communication module; a sports information perceived in real time; receiving a sports information for the establishment of a communication session; receiving the received sports information. Sports information can include classified storage according to the pre -designated items. According to the received amount of sports information and pre -registered user characteristics information, users customized sports information.</v>
      </c>
      <c r="D3134" s="6" t="s">
        <v>8804</v>
      </c>
      <c r="E3134" s="4" t="str">
        <f ca="1">IFERROR(__xludf.DUMMYFUNCTION("GOOGLETRANSLATE(D3134,""auto"",""en"")"),"Smart coach method based on artificial intelligence")</f>
        <v>Smart coach method based on artificial intelligence</v>
      </c>
    </row>
    <row r="3135" spans="1:5" ht="15" x14ac:dyDescent="0.25">
      <c r="A3135" s="5" t="s">
        <v>8805</v>
      </c>
      <c r="B3135" s="6" t="s">
        <v>8806</v>
      </c>
      <c r="C3135" s="3" t="str">
        <f ca="1">IFERROR(__xludf.DUMMYFUNCTION("GOOGLETRANSLATE(B3135,""auto"",""en"")"),"This utility model opens up a running tester, including the main control department, the launch department, the key department, the power status indicator light, and the display. The power supply circuit, infrared receiving tube and charging circuit conne"&amp;"cted by the main control chip, the charging circuit includes charging management chips. When the power supply circuit voltage is turned off, the charging management chip automatically enters the low -power sleep mode and sends the power status signal to t"&amp;"he main control of the main control. Chip, the main control chip drives power status indicator light to prompt charging; the launch department includes infrared transmission tubes and infrared launch tube drive circuits; this practical new model also open"&amp;"s the Internet of Things for running test system. It is more accurate, and it can be prompted to charge the running tester in a timely manner and quickly upload the test data to the Internet of Things cloud platform.")</f>
        <v>This utility model opens up a running tester, including the main control department, the launch department, the key department, the power status indicator light, and the display. The power supply circuit, infrared receiving tube and charging circuit connected by the main control chip, the charging circuit includes charging management chips. When the power supply circuit voltage is turned off, the charging management chip automatically enters the low -power sleep mode and sends the power status signal to the main control of the main control. Chip, the main control chip drives power status indicator light to prompt charging; the launch department includes infrared transmission tubes and infrared launch tube drive circuits; this practical new model also opens the Internet of Things for running test system. It is more accurate, and it can be prompted to charge the running tester in a timely manner and quickly upload the test data to the Internet of Things cloud platform.</v>
      </c>
      <c r="D3135" s="6" t="s">
        <v>8807</v>
      </c>
      <c r="E3135" s="4" t="str">
        <f ca="1">IFERROR(__xludf.DUMMYFUNCTION("GOOGLETRANSLATE(D3135,""auto"",""en"")"),"A running tester and a IoT -based running test system")</f>
        <v>A running tester and a IoT -based running test system</v>
      </c>
    </row>
    <row r="3136" spans="1:5" ht="15" x14ac:dyDescent="0.25">
      <c r="A3136" s="5" t="s">
        <v>8808</v>
      </c>
      <c r="B3136" s="6" t="s">
        <v>6645</v>
      </c>
      <c r="C3136" s="3" t="str">
        <f ca="1">IFERROR(__xludf.DUMMYFUNCTION("GOOGLETRANSLATE(B3136,""auto"",""en"")"),"This article describes the methods and systems for refereeing or auxiliary referees used to make baseball or softball games. The position of the hit area is determined according to the video image of the hitter standing next to the home base. The position"&amp;" of the ball moved to the hitter and the position of the strike stick held by the hitter is automatically tracked by a computer vision based on the video image captured by at least two cameras with different positions. In addition, whether the position of"&amp;" the ball is intersecting with the hit area, and whether the hitter really tries to wave the ball into the ball, there is an autonomous judgment, and at least one in these judgments, there is an autonomous judgment whether the ""strike"" or ""ball"". In a"&amp;"ddition, whether to automatically output the instructions of ""hitting"" or ""ball"".")</f>
        <v>This article describes the methods and systems for refereeing or auxiliary referees used to make baseball or softball games. The position of the hit area is determined according to the video image of the hitter standing next to the home base. The position of the ball moved to the hitter and the position of the strike stick held by the hitter is automatically tracked by a computer vision based on the video image captured by at least two cameras with different positions. In addition, whether the position of the ball is intersecting with the hit area, and whether the hitter really tries to wave the ball into the ball, there is an autonomous judgment, and at least one in these judgments, there is an autonomous judgment whether the "strike" or "ball". In addition, whether to automatically output the instructions of "hitting" or "ball".</v>
      </c>
      <c r="D3136" s="6" t="s">
        <v>2652</v>
      </c>
      <c r="E3136" s="4" t="str">
        <f ca="1">IFERROR(__xludf.DUMMYFUNCTION("GOOGLETRANSLATE(D3136,""auto"",""en"")"),"Use a computer vision to automatically or assist the referee on baseball games")</f>
        <v>Use a computer vision to automatically or assist the referee on baseball games</v>
      </c>
    </row>
    <row r="3137" spans="1:5" ht="15" x14ac:dyDescent="0.25">
      <c r="A3137" s="5" t="s">
        <v>8809</v>
      </c>
      <c r="B3137" s="6" t="s">
        <v>8810</v>
      </c>
      <c r="C3137" s="3" t="str">
        <f ca="1">IFERROR(__xludf.DUMMYFUNCTION("GOOGLETRANSLATE(B3137,""auto"",""en"")"),"The trained machine learning model is used to determine the scores (such as trust scores) of the user account registered in video game services, and these scores are used to match the player together in multiplayer video game settings. During the example,"&amp;" the calculation system can access the data associated with the registered user account, provides the data as the input to the trained machine learning model, and the trained machine learning model rays as output. These scores and in the multiplayer mode "&amp;"When playing video games, players performed according to specific behavior performance or non -performance. Since then, the subset of the login user account of the video game can be allocated to different games based on the scores determined for those log"&amp;"in user accounts, and perform video games for each login user account in the allocation competition. In the user account.")</f>
        <v>The trained machine learning model is used to determine the scores (such as trust scores) of the user account registered in video game services, and these scores are used to match the player together in multiplayer video game settings. During the example, the calculation system can access the data associated with the registered user account, provides the data as the input to the trained machine learning model, and the trained machine learning model rays as output. These scores and in the multiplayer mode When playing video games, players performed according to specific behavior performance or non -performance. Since then, the subset of the login user account of the video game can be allocated to different games based on the scores determined for those login user accounts, and perform video games for each login user account in the allocation competition. In the user account.</v>
      </c>
      <c r="D3137" s="6" t="s">
        <v>5200</v>
      </c>
      <c r="E3137" s="4" t="str">
        <f ca="1">IFERROR(__xludf.DUMMYFUNCTION("GOOGLETRANSLATE(D3137,""auto"",""en"")"),"Machine learning trust score for players paired")</f>
        <v>Machine learning trust score for players paired</v>
      </c>
    </row>
    <row r="3138" spans="1:5" ht="15" x14ac:dyDescent="0.25">
      <c r="A3138" s="5" t="s">
        <v>8811</v>
      </c>
      <c r="B3138" s="6" t="s">
        <v>8812</v>
      </c>
      <c r="C3138" s="3" t="str">
        <f ca="1">IFERROR(__xludf.DUMMYFUNCTION("GOOGLETRANSLATE(B3138,""auto"",""en"")"),"The present invention involves a position -based service -based service -based golf coach matching service system. It provides golf coach matching service applications, and golf coaches and golf archive information for golf coach matching services through"&amp;" golf coaches matching services Service application. A kind of golf coach matching service server (100), which receives the golf player information and provides it to the golf coach terminal, provides golf coach information to the golf terminal, and provi"&amp;"des golf coach matching service to the close -range golf coach terminal. And golfer terminal. ); If a golf coach matching service application is loaded and the golf coach information information is uploaded through the golf coach matching service applicat"&amp;"ion, and the golf player information that matches the golf coach information when running the golf coach matching service application, then The student terminal (300) sends a golf coach matching service request message to the Golf Coach Terminal 200; and "&amp;"the golf coach matching service application. There is a golf coach with a golf player file information at runtime, then golf coach terminal (200) golf player terminal 300 sends golf coach matching service request message. Therefore, it has the effect of i"&amp;"dentifying the distance between the coach of Golf and the golf player, and it is easy to meet for discussion.")</f>
        <v>The present invention involves a position -based service -based service -based golf coach matching service system. It provides golf coach matching service applications, and golf coaches and golf archive information for golf coach matching services through golf coaches matching services Service application. A kind of golf coach matching service server (100), which receives the golf player information and provides it to the golf coach terminal, provides golf coach information to the golf terminal, and provides golf coach matching service to the close -range golf coach terminal. And golfer terminal. ); If a golf coach matching service application is loaded and the golf coach information information is uploaded through the golf coach matching service application, and the golf player information that matches the golf coach information when running the golf coach matching service application, then The student terminal (300) sends a golf coach matching service request message to the Golf Coach Terminal 200; and the golf coach matching service application. There is a golf coach with a golf player file information at runtime, then golf coach terminal (200) golf player terminal 300 sends golf coach matching service request message. Therefore, it has the effect of identifying the distance between the coach of Golf and the golf player, and it is easy to meet for discussion.</v>
      </c>
      <c r="D3138" s="6" t="s">
        <v>8813</v>
      </c>
      <c r="E3138" s="4" t="str">
        <f ca="1">IFERROR(__xludf.DUMMYFUNCTION("GOOGLETRANSLATE(D3138,""auto"",""en"")"),"Use positioning service at home and abroad golf coach consultation matching system")</f>
        <v>Use positioning service at home and abroad golf coach consultation matching system</v>
      </c>
    </row>
    <row r="3139" spans="1:5" ht="15" x14ac:dyDescent="0.25">
      <c r="A3139" s="5" t="s">
        <v>8814</v>
      </c>
      <c r="B3139" s="6" t="s">
        <v>8815</v>
      </c>
      <c r="C3139" s="3" t="str">
        <f ca="1">IFERROR(__xludf.DUMMYFUNCTION("GOOGLETRANSLATE(B3139,""auto"",""en"")"),"A football training method involves the technical field of football training system. The invention obtains the positioning position and sports information of the players and football through the IoT precision positioning system, and transmits it to the cl"&amp;"oud server processing platform. Set up intelligent pass guidance software. Players receive small maps through the players by wearing tactical watches, or receive comprehensive information through wearing smart glasses and choose a live video mode accordin"&amp;"g to their own needs. The invention starts with the player's position judgment, the awareness of the running position control bureau, and the real -time training technology of the stadium. Training systems, enhance the level of players' position and dista"&amp;"nce macro immersion, overall control level control level control level.")</f>
        <v>A football training method involves the technical field of football training system. The invention obtains the positioning position and sports information of the players and football through the IoT precision positioning system, and transmits it to the cloud server processing platform. Set up intelligent pass guidance software. Players receive small maps through the players by wearing tactical watches, or receive comprehensive information through wearing smart glasses and choose a live video mode according to their own needs. The invention starts with the player's position judgment, the awareness of the running position control bureau, and the real -time training technology of the stadium. Training systems, enhance the level of players' position and distance macro immersion, overall control level control level control level.</v>
      </c>
      <c r="D3139" s="6" t="s">
        <v>8816</v>
      </c>
      <c r="E3139" s="4" t="str">
        <f ca="1">IFERROR(__xludf.DUMMYFUNCTION("GOOGLETRANSLATE(D3139,""auto"",""en"")"),"A football training method")</f>
        <v>A football training method</v>
      </c>
    </row>
    <row r="3140" spans="1:5" ht="15" x14ac:dyDescent="0.25">
      <c r="A3140" s="5" t="s">
        <v>8817</v>
      </c>
      <c r="B3140" s="6" t="s">
        <v>8818</v>
      </c>
      <c r="C3140" s="3" t="str">
        <f ca="1">IFERROR(__xludf.DUMMYFUNCTION("GOOGLETRANSLATE(B3140,""auto"",""en"")"),"A motion resistance control system, when the damping unit receives the athlete's motion resistance to form a resistance value, the signal of the sensing unit is passed back to the microcontroller, so that the microcontroller will return the resistance val"&amp;"ue to the data chain unit The control center, combines each other, combines cloud servers, portable electronic devices, and biometric devices to identify the biological characteristics of the athletes with biometric devices. The identity of the athlete, t"&amp;"hat is, the physiological state of the athletes corresponds to the types of sports equipment, actively evaluate the calories of the athletes, the best exercise time, and the muscles of that part of the part. The cloud server and portable electronic device"&amp;"s are transmitted and received and received evaluation information, providing athletes inquiring and setting, forming a fitness center with artificial intelligence, allowing sportsmen to achieve the optimal fitness training effect and retaining complete t"&amp;"raining information.")</f>
        <v>A motion resistance control system, when the damping unit receives the athlete's motion resistance to form a resistance value, the signal of the sensing unit is passed back to the microcontroller, so that the microcontroller will return the resistance value to the data chain unit The control center, combines each other, combines cloud servers, portable electronic devices, and biometric devices to identify the biological characteristics of the athletes with biometric devices. The identity of the athlete, that is, the physiological state of the athletes corresponds to the types of sports equipment, actively evaluate the calories of the athletes, the best exercise time, and the muscles of that part of the part. The cloud server and portable electronic devices are transmitted and received and received evaluation information, providing athletes inquiring and setting, forming a fitness center with artificial intelligence, allowing sportsmen to achieve the optimal fitness training effect and retaining complete training information.</v>
      </c>
      <c r="D3140" s="6" t="s">
        <v>8819</v>
      </c>
      <c r="E3140" s="4" t="str">
        <f ca="1">IFERROR(__xludf.DUMMYFUNCTION("GOOGLETRANSLATE(D3140,""auto"",""en"")"),"Sport resistance control system")</f>
        <v>Sport resistance control system</v>
      </c>
    </row>
    <row r="3141" spans="1:5" ht="15" x14ac:dyDescent="0.25">
      <c r="A3141" s="5" t="s">
        <v>8820</v>
      </c>
      <c r="B3141" s="6" t="s">
        <v>8821</v>
      </c>
      <c r="C3141" s="3" t="str">
        <f ca="1">IFERROR(__xludf.DUMMYFUNCTION("GOOGLETRANSLATE(B3141,""auto"",""en"")"),"The present invention provides a device and method and method of creating damage prevention models based on machine learning, as well as damage prevention devices and methods. Injury Prevention Modler consists of an information collector to collect the fi"&amp;"rst state information of the physical condition before the athletes, the second state information of the athlete physical condition, the physical condition of the athlete training, the athlete injury information, including the parameter calculator configu"&amp;"red to the configuration of the parameter calculator to the configure Calculate the parameters of the athlete's physical condition based on the first state information and the second state information, and include a modeling device. Damage prevention mode"&amp;"l.")</f>
        <v>The present invention provides a device and method and method of creating damage prevention models based on machine learning, as well as damage prevention devices and methods. Injury Prevention Modler consists of an information collector to collect the first state information of the physical condition before the athletes, the second state information of the athlete physical condition, the physical condition of the athlete training, the athlete injury information, including the parameter calculator configured to the configuration of the parameter calculator to the configure Calculate the parameters of the athlete's physical condition based on the first state information and the second state information, and include a modeling device. Damage prevention model.</v>
      </c>
      <c r="D3141" s="6" t="s">
        <v>8822</v>
      </c>
      <c r="E3141" s="4" t="str">
        <f ca="1">IFERROR(__xludf.DUMMYFUNCTION("GOOGLETRANSLATE(D3141,""auto"",""en"")"),"Machine learning -based image prevention modeling equipment and methods, as well as equipment and methods of damage prevention")</f>
        <v>Machine learning -based image prevention modeling equipment and methods, as well as equipment and methods of damage prevention</v>
      </c>
    </row>
    <row r="3142" spans="1:5" ht="15" x14ac:dyDescent="0.25">
      <c r="A3142" s="5" t="s">
        <v>8823</v>
      </c>
      <c r="B3142" s="6" t="s">
        <v>8824</v>
      </c>
      <c r="C3142" s="3" t="str">
        <f ca="1">IFERROR(__xludf.DUMMYFUNCTION("GOOGLETRANSLATE(B3142,""auto"",""en"")"),"The present invention provides a sports fitness exercise system, including treadmills and stretching machines; transparent cabins are covered on a runner or stretch; the sports fitness exercise system also includes the controller unit The oxygen concentra"&amp;"tion regulation module, data management module, exercise plan management module, human -computer interaction module can easily simulate the conditions of hypoxia on plateau hypoxia, improve the oxygen transmission ability of the blood, and help break thro"&amp;"ugh the physical limit of endurance projects; Individual differences, provide appropriate healthy exercise suggestions, combine physical fitness, reasonably arrange exercise type, exercise strength, and exercise time to improve the pertinence of healthy e"&amp;"xercise; can simultaneously monitor the movement of users, evaluate the exercise effect, reduce exercise costs, improve Users' interest, improve the fun of sports and fitness.")</f>
        <v>The present invention provides a sports fitness exercise system, including treadmills and stretching machines; transparent cabins are covered on a runner or stretch; the sports fitness exercise system also includes the controller unit The oxygen concentration regulation module, data management module, exercise plan management module, human -computer interaction module can easily simulate the conditions of hypoxia on plateau hypoxia, improve the oxygen transmission ability of the blood, and help break through the physical limit of endurance projects; Individual differences, provide appropriate healthy exercise suggestions, combine physical fitness, reasonably arrange exercise type, exercise strength, and exercise time to improve the pertinence of healthy exercise; can simultaneously monitor the movement of users, evaluate the exercise effect, reduce exercise costs, improve Users' interest, improve the fun of sports and fitness.</v>
      </c>
      <c r="D3142" s="6" t="s">
        <v>8825</v>
      </c>
      <c r="E3142" s="4" t="str">
        <f ca="1">IFERROR(__xludf.DUMMYFUNCTION("GOOGLETRANSLATE(D3142,""auto"",""en"")"),"A sports fitness exercise system and control method")</f>
        <v>A sports fitness exercise system and control method</v>
      </c>
    </row>
    <row r="3143" spans="1:5" ht="15" x14ac:dyDescent="0.25">
      <c r="A3143" s="5" t="s">
        <v>8826</v>
      </c>
      <c r="B3143" s="6" t="s">
        <v>8827</v>
      </c>
      <c r="C3143" s="3" t="str">
        <f ca="1">IFERROR(__xludf.DUMMYFUNCTION("GOOGLETRANSLATE(B3143,""auto"",""en"")"),"The present invention disclosed a solid ball -throwing posture correction method based on intelligent data collection, including the following steps: S1: Collect a batch of middle school entrance examination sports throwing solid ball projects to achieve "&amp;"full scores of physical model parameters and corresponding throwing posture data, and upload upload To the cloud server as a standard throwing posture data, the body model parameters and throwing posture data constitute the influencing factor matrix X. Am"&amp;"ong them, the body model parameters are environmental variables, and the throwing posture data is decision variable; S2: The data sample of the user corresponding to the throw posture constitutes the indicator indicator Matrix Y, use Elman's neural networ"&amp;"k to learn, train, and test the index matrix Y, and establish a throwing Elman neural network model for the user's body model parameters; S3: use the Elman neural network model established in S2 to conduct the throw posture data for the throwing posture d"&amp;"ata Forecast, get recommended decision variable x*, and send the recommended decision variable x*to the user terminal. Users correct their throwing posture according to the recommended decision variable x*.")</f>
        <v>The present invention disclosed a solid ball -throwing posture correction method based on intelligent data collection, including the following steps: S1: Collect a batch of middle school entrance examination sports throwing solid ball projects to achieve full scores of physical model parameters and corresponding throwing posture data, and upload upload To the cloud server as a standard throwing posture data, the body model parameters and throwing posture data constitute the influencing factor matrix X. Among them, the body model parameters are environmental variables, and the throwing posture data is decision variable; S2: The data sample of the user corresponding to the throw posture constitutes the indicator indicator Matrix Y, use Elman's neural network to learn, train, and test the index matrix Y, and establish a throwing Elman neural network model for the user's body model parameters; S3: use the Elman neural network model established in S2 to conduct the throw posture data for the throwing posture data Forecast, get recommended decision variable x*, and send the recommended decision variable x*to the user terminal. Users correct their throwing posture according to the recommended decision variable x*.</v>
      </c>
      <c r="D3143" s="6" t="s">
        <v>8828</v>
      </c>
      <c r="E3143" s="4" t="str">
        <f ca="1">IFERROR(__xludf.DUMMYFUNCTION("GOOGLETRANSLATE(D3143,""auto"",""en"")"),"A method of throwing posture based on smart data collection")</f>
        <v>A method of throwing posture based on smart data collection</v>
      </c>
    </row>
    <row r="3144" spans="1:5" ht="15" x14ac:dyDescent="0.25">
      <c r="A3144" s="5" t="s">
        <v>8829</v>
      </c>
      <c r="B3144" s="6" t="s">
        <v>8830</v>
      </c>
      <c r="C3144" s="3" t="str">
        <f ca="1">IFERROR(__xludf.DUMMYFUNCTION("GOOGLETRANSLATE(B3144,""auto"",""en"")"),"The present invention disclosed a solid ball -throwing posture correction method based on data mining, including the following steps: S1: Collect a batch of middle school entrance examination sports throwing solid ball projects to reach the full score of "&amp;"the physical model parameters and the corresponding throwing posture data, and upload it to upload to it The cloud server as the standard throwing posture data, the body model parameter, the throwing posture data constitutes the influencing factor matrix "&amp;"X, the body model parameter is an environment variable, the throwing posture data is decision variable; S2: the data sample of the user throwing posture constitutes the indicator matrix Y, utilize the use BP neural networks learn, train, and test the indi"&amp;"cator matrix Y, and establish a throwing BP neural network model for the user's physical model parameters; S3: Use the BP neural network model to predict the data, obtain a recommended decision variable X*, and and and and and and. Send the recommended de"&amp;"cision variable x*to the user terminal, and the user corrects its own throwing posture according to the recommended decision variable x*.")</f>
        <v>The present invention disclosed a solid ball -throwing posture correction method based on data mining, including the following steps: S1: Collect a batch of middle school entrance examination sports throwing solid ball projects to reach the full score of the physical model parameters and the corresponding throwing posture data, and upload it to upload to it The cloud server as the standard throwing posture data, the body model parameter, the throwing posture data constitutes the influencing factor matrix X, the body model parameter is an environment variable, the throwing posture data is decision variable; S2: the data sample of the user throwing posture constitutes the indicator matrix Y, utilize the use BP neural networks learn, train, and test the indicator matrix Y, and establish a throwing BP neural network model for the user's physical model parameters; S3: Use the BP neural network model to predict the data, obtain a recommended decision variable X*, and and and and and and. Send the recommended decision variable x*to the user terminal, and the user corrects its own throwing posture according to the recommended decision variable x*.</v>
      </c>
      <c r="D3144" s="6" t="s">
        <v>8831</v>
      </c>
      <c r="E3144" s="4" t="str">
        <f ca="1">IFERROR(__xludf.DUMMYFUNCTION("GOOGLETRANSLATE(D3144,""auto"",""en"")"),"A method of throwing posture based on a solid -based solid -based mining")</f>
        <v>A method of throwing posture based on a solid -based solid -based mining</v>
      </c>
    </row>
    <row r="3145" spans="1:5" ht="15" x14ac:dyDescent="0.25">
      <c r="A3145" s="5" t="s">
        <v>8832</v>
      </c>
      <c r="B3145" s="6" t="s">
        <v>8833</v>
      </c>
      <c r="C3145" s="3" t="str">
        <f ca="1">IFERROR(__xludf.DUMMYFUNCTION("GOOGLETRANSLATE(B3145,""auto"",""en"")"),"The present invention involves a regional fitness interconnection system, which includes the monitoring side of fitness equipment, fitness personnel monitoring side, public facilities monitoring side, health monitoring equipment, and connecting these equi"&amp;"pment to the network access end of the regional network. The interconnection of the network access end forms the area network, and then manages the equipment on the network and the fitness activities of the fitness personnel through the management platfor"&amp;"m. This system can interconnect various fitness facilities in the fitness venue, the information terminal of the fitness personnel, and the public facilities of the fitness personnel. It can monitor and record the fitness activities of the fitness personn"&amp;"el, but also provide a detailed fitness plan for fitness personnel. For fitness personnel in real -time inquiry, execution, and revision in fitness activities. Therefore, this system has the characteristics of fitness big data and artificial intelligence,"&amp;" which can improve the scientific, safety, safety and utilization rate of fitness equipment in today's era.")</f>
        <v>The present invention involves a regional fitness interconnection system, which includes the monitoring side of fitness equipment, fitness personnel monitoring side, public facilities monitoring side, health monitoring equipment, and connecting these equipment to the network access end of the regional network. The interconnection of the network access end forms the area network, and then manages the equipment on the network and the fitness activities of the fitness personnel through the management platform. This system can interconnect various fitness facilities in the fitness venue, the information terminal of the fitness personnel, and the public facilities of the fitness personnel. It can monitor and record the fitness activities of the fitness personnel, but also provide a detailed fitness plan for fitness personnel. For fitness personnel in real -time inquiry, execution, and revision in fitness activities. Therefore, this system has the characteristics of fitness big data and artificial intelligence, which can improve the scientific, safety, safety and utilization rate of fitness equipment in today's era.</v>
      </c>
      <c r="D3145" s="6" t="s">
        <v>8834</v>
      </c>
      <c r="E3145" s="4" t="str">
        <f ca="1">IFERROR(__xludf.DUMMYFUNCTION("GOOGLETRANSLATE(D3145,""auto"",""en"")"),"A regional fitness interconnection system")</f>
        <v>A regional fitness interconnection system</v>
      </c>
    </row>
    <row r="3146" spans="1:5" ht="15" x14ac:dyDescent="0.25">
      <c r="A3146" s="5" t="s">
        <v>8835</v>
      </c>
      <c r="B3146" s="6" t="s">
        <v>8836</v>
      </c>
      <c r="C3146" s="3" t="str">
        <f ca="1">IFERROR(__xludf.DUMMYFUNCTION("GOOGLETRANSLATE(B3146,""auto"",""en"")"),"This application discloses a method, device, system, storage medium, and processor for physical measurement data. This method includes: obtaining the first body test data corresponding to the target user in physical health test; analyzing the first body m"&amp;"easurement data with the first model to determine the fitness behavior of the first body measurement data. Among them, the first model For the use of multiple sets of data through machine learning, each set of data in multiple sets of data includes: users"&amp;"' physical test data at the first time, the user's physical test data at the second point, and the user at first Fitness behavior between time points and second time; according to the fitness behavior of the first body measurement data, send fitness train"&amp;"ing plans to target users. Through this application, the problem of incomplete coverage of body testing in related technologies, and technical problems that the fitness effect of the fitness course recommended to users based on the test results is poor, a"&amp;"nd cannot achieve the fitness effect of the user's expected fitness.")</f>
        <v>This application discloses a method, device, system, storage medium, and processor for physical measurement data. This method includes: obtaining the first body test data corresponding to the target user in physical health test; analyzing the first body measurement data with the first model to determine the fitness behavior of the first body measurement data. Among them, the first model For the use of multiple sets of data through machine learning, each set of data in multiple sets of data includes: users' physical test data at the first time, the user's physical test data at the second point, and the user at first Fitness behavior between time points and second time; according to the fitness behavior of the first body measurement data, send fitness training plans to target users. Through this application, the problem of incomplete coverage of body testing in related technologies, and technical problems that the fitness effect of the fitness course recommended to users based on the test results is poor, and cannot achieve the fitness effect of the user's expected fitness.</v>
      </c>
      <c r="D3146" s="6" t="s">
        <v>8837</v>
      </c>
      <c r="E3146" s="4" t="str">
        <f ca="1">IFERROR(__xludf.DUMMYFUNCTION("GOOGLETRANSLATE(D3146,""auto"",""en"")"),"The processing method, device, system, storage medium, processor")</f>
        <v>The processing method, device, system, storage medium, processor</v>
      </c>
    </row>
    <row r="3147" spans="1:5" ht="15" x14ac:dyDescent="0.25">
      <c r="A3147" s="5" t="s">
        <v>8838</v>
      </c>
      <c r="B3147" s="6" t="s">
        <v>8839</v>
      </c>
      <c r="C3147" s="3" t="str">
        <f ca="1">IFERROR(__xludf.DUMMYFUNCTION("GOOGLETRANSLATE(B3147,""auto"",""en"")"),"1. The name of the product in appearance: the display device with a graphical user interface.
 2. The purpose of designing products in this exterior: The design of the product is used in the gym to display the position status, motion status, and movemen"&amp;"t guidance of the user's body in the gym.
 3. Design of the design of the product in this appearance: lies in the screens displayed on the display of the machine.
 4. Pictures or photos that can best show design: Design 1 main view.
 5. No design po"&amp;"ints, omitting design 1 view; design 1 left view and design 1 right view symmetry, omitting design 1 left view; design 1 view view and design 1 push -view symmetry, omitting design 1 view view; no design point, omittind Design 2 view; design 2 left view a"&amp;"nd design 2 right view symmetrical, omitting design 2 left view; design 2 viewing view and design 2 push -view symmetry, omitting design 2 view view; no design point, omittind design 3 post view; design 3 3; design 3 3; design 3 Left view and design 3 rig"&amp;"ht view are symmetrical, omitting design 3 left view; Design 3 view view and design 3 push -view symmetry, omitting design 3 view view; no design points, omittind design 4 post -view view; design 4 left view and design 4 right view view Symmetric, omittin"&amp;"g design 4 left view; design 4 viewing view and design 4 push -view symmetry, omittinding design 4 view view; no design points, omitting design 5 post -view view; design 5 left view and design 5 right view symmetry, omitting design 5 left view view ; Desi"&amp;"gn 5 viewing view and design 5 push -looking symmetry, omitting design 5 retry view; no design points, omitting design 6 post -6 view view; design 6 left view and design 6 right view symmetry, omitting design 6 left view; design 6 view view and design and"&amp;" design 6 Symmetric view, omitting design 6 retry view.
 6. Specify design 1 is the basic design.
 7. The purpose of the graphical user interface: The graph shown in the main views of each design shows the position status, motion status, and action gu"&amp;"idance of the user's body.
 8. The area of ​​the graphic user interface in the product: The front of this product is equipped with a mirror display, and also has a posture sensor for detecting the user's posture.
 If the status reference diagram is sh"&amp;"own, the display displays the image according to the image of the user's body reflected by the mirror.
 9. Human -computer interaction method of graphical user interface: The image is changed according to the movement of the user's body, and the action "&amp;"that guides the user to perform the action based on the exercise program.
 Users can visually grasp the position and movement status of each part of their bodies, and perform appropriate and effective training based on the guidance display.")</f>
        <v>1. The name of the product in appearance: the display device with a graphical user interface.
 2. The purpose of designing products in this exterior: The design of the product is used in the gym to display the position status, motion status, and movement guidance of the user's body in the gym.
 3. Design of the design of the product in this appearance: lies in the screens displayed on the display of the machine.
 4. Pictures or photos that can best show design: Design 1 main view.
 5. No design points, omitting design 1 view; design 1 left view and design 1 right view symmetry, omitting design 1 left view; design 1 view view and design 1 push -view symmetry, omitting design 1 view view; no design point, omittind Design 2 view; design 2 left view and design 2 right view symmetrical, omitting design 2 left view; design 2 viewing view and design 2 push -view symmetry, omitting design 2 view view; no design point, omittind design 3 post view; design 3 3; design 3 3; design 3 Left view and design 3 right view are symmetrical, omitting design 3 left view; Design 3 view view and design 3 push -view symmetry, omitting design 3 view view; no design points, omittind design 4 post -view view; design 4 left view and design 4 right view view Symmetric, omitting design 4 left view; design 4 viewing view and design 4 push -view symmetry, omittinding design 4 view view; no design points, omitting design 5 post -view view; design 5 left view and design 5 right view symmetry, omitting design 5 left view view ; Design 5 viewing view and design 5 push -looking symmetry, omitting design 5 retry view; no design points, omitting design 6 post -6 view view; design 6 left view and design 6 right view symmetry, omitting design 6 left view; design 6 view view and design and design 6 Symmetric view, omitting design 6 retry view.
 6. Specify design 1 is the basic design.
 7. The purpose of the graphical user interface: The graph shown in the main views of each design shows the position status, motion status, and action guidance of the user's body.
 8. The area of ​​the graphic user interface in the product: The front of this product is equipped with a mirror display, and also has a posture sensor for detecting the user's posture.
 If the status reference diagram is shown, the display displays the image according to the image of the user's body reflected by the mirror.
 9. Human -computer interaction method of graphical user interface: The image is changed according to the movement of the user's body, and the action that guides the user to perform the action based on the exercise program.
 Users can visually grasp the position and movement status of each part of their bodies, and perform appropriate and effective training based on the guidance display.</v>
      </c>
      <c r="D3147" s="6" t="s">
        <v>8840</v>
      </c>
      <c r="E3147" s="4" t="str">
        <f ca="1">IFERROR(__xludf.DUMMYFUNCTION("GOOGLETRANSLATE(D3147,""auto"",""en"")"),"The display device with a graphical user interface")</f>
        <v>The display device with a graphical user interface</v>
      </c>
    </row>
    <row r="3148" spans="1:5" ht="15" x14ac:dyDescent="0.25">
      <c r="A3148" s="5" t="s">
        <v>8841</v>
      </c>
      <c r="B3148" s="6" t="s">
        <v>8842</v>
      </c>
      <c r="C3148" s="3" t="str">
        <f ca="1">IFERROR(__xludf.DUMMYFUNCTION("GOOGLETRANSLATE(B3148,""auto"",""en"")"),"The invention provides a sports teaching method, device, storage medium and electronic equipment. The sports teaching methods provided by the present invention include: real videos of the first limb movement of the user first, and extract the actual video"&amp;" characteristics of the real video through the preset neural network model to obtain the action characteristics corresponding to the first limb movement, and then according to the characteristics of the first limb movement. The characteristics of the acti"&amp;"on and the preset standard action model library determine the first standard limb movement that matches the first limb movement, and generates the first virtual video according to the first standard limb movement, and finally the first virtual video is su"&amp;"perimposed in the real video. The exercise teaching methods provided by the present invention can intuitively display the user's own physical movements and the corresponding standard limb movements through augmented reality, so that users can adjust their"&amp;" own action according to the differences between the two. In addition, users can also meet users at any time at any time. The need for action exercises does not need to be subject to the differences in the time and horizontal differences of coach.")</f>
        <v>The invention provides a sports teaching method, device, storage medium and electronic equipment. The sports teaching methods provided by the present invention include: real videos of the first limb movement of the user first, and extract the actual video characteristics of the real video through the preset neural network model to obtain the action characteristics corresponding to the first limb movement, and then according to the characteristics of the first limb movement. The characteristics of the action and the preset standard action model library determine the first standard limb movement that matches the first limb movement, and generates the first virtual video according to the first standard limb movement, and finally the first virtual video is superimposed in the real video. The exercise teaching methods provided by the present invention can intuitively display the user's own physical movements and the corresponding standard limb movements through augmented reality, so that users can adjust their own action according to the differences between the two. In addition, users can also meet users at any time at any time. The need for action exercises does not need to be subject to the differences in the time and horizontal differences of coach.</v>
      </c>
      <c r="D3148" s="6" t="s">
        <v>8843</v>
      </c>
      <c r="E3148" s="4" t="str">
        <f ca="1">IFERROR(__xludf.DUMMYFUNCTION("GOOGLETRANSLATE(D3148,""auto"",""en"")"),"Sports teaching methods, devices, storage media and electronic equipment")</f>
        <v>Sports teaching methods, devices, storage media and electronic equipment</v>
      </c>
    </row>
    <row r="3149" spans="1:5" ht="15" x14ac:dyDescent="0.25">
      <c r="A3149" s="5" t="s">
        <v>8844</v>
      </c>
      <c r="B3149" s="6" t="s">
        <v>8845</v>
      </c>
      <c r="C3149" s="3" t="str">
        <f ca="1">IFERROR(__xludf.DUMMYFUNCTION("GOOGLETRANSLATE(B3149,""auto"",""en"")"),"The present invention disclosed a badminton strike robot, including walking device, lifting device, serving device, hitting device, image recognition device, and control system. The walking device includes the bottom plate and the chain, and the chain is "&amp;"fixed on the bottom plate. There are two lift devices. Symmetrical settings are set on both sides of the chain. The lifting device includes a fixed frame and a lifting frame. The lifting frame and the fixed rack sliding are combined. The lower end of the "&amp;"lifting frame has a driver mechanism. The serving device is located on the top of one of the lifting frames, and the hitting device is located on the top of another lifting frame. The serve and the hitting device include the crank rocker mechanism and the"&amp;" racket fixed clip, and the racket is fixed on the crank rocker mechanism. The serving device also includes the settlement mechanism. The image recognition device and the control system are set on the chain, which is located between the two lifting device"&amp;"s. The design of the invention is clever and highly automated, which can achieve the action of serving and receiving, saving training costs, and improving the effect of badminton training.")</f>
        <v>The present invention disclosed a badminton strike robot, including walking device, lifting device, serving device, hitting device, image recognition device, and control system. The walking device includes the bottom plate and the chain, and the chain is fixed on the bottom plate. There are two lift devices. Symmetrical settings are set on both sides of the chain. The lifting device includes a fixed frame and a lifting frame. The lifting frame and the fixed rack sliding are combined. The lower end of the lifting frame has a driver mechanism. The serving device is located on the top of one of the lifting frames, and the hitting device is located on the top of another lifting frame. The serve and the hitting device include the crank rocker mechanism and the racket fixed clip, and the racket is fixed on the crank rocker mechanism. The serving device also includes the settlement mechanism. The image recognition device and the control system are set on the chain, which is located between the two lifting devices. The design of the invention is clever and highly automated, which can achieve the action of serving and receiving, saving training costs, and improving the effect of badminton training.</v>
      </c>
      <c r="D3149" s="6" t="s">
        <v>8846</v>
      </c>
      <c r="E3149" s="4" t="str">
        <f ca="1">IFERROR(__xludf.DUMMYFUNCTION("GOOGLETRANSLATE(D3149,""auto"",""en"")"),"A badminton strike robot")</f>
        <v>A badminton strike robot</v>
      </c>
    </row>
    <row r="3150" spans="1:5" ht="15" x14ac:dyDescent="0.25">
      <c r="A3150" s="5" t="s">
        <v>8847</v>
      </c>
      <c r="B3150" s="6" t="s">
        <v>8848</v>
      </c>
      <c r="C3150" s="3" t="str">
        <f ca="1">IFERROR(__xludf.DUMMYFUNCTION("GOOGLETRANSLATE(B3150,""auto"",""en"")"),"The present invention provides a method, device and system that builds a player with a ball through machine learning, involving the field of data analysis technology. Obtain the position coordinates of football and players through the ultra -broadband pos"&amp;"itioning system, and establish a mathematical model corresponding to the player, and then use a machine learning algorithm to deal with the related mathematical models, so that the ball relationship between each player can be classified by the model, and "&amp;"it can be more more. Accurately and authenticity reflect the relationship between players and football on the court, and provide more valuable data reference for the statistics of players. The positioning accuracy of the ultra -broadband positioning syste"&amp;"m is high, and the data collection efficiency is higher. In addition, in the process of machine learning, as the amount of data continues to increase, the accuracy of the output of mathematical models can also be continuously improved.")</f>
        <v>The present invention provides a method, device and system that builds a player with a ball through machine learning, involving the field of data analysis technology. Obtain the position coordinates of football and players through the ultra -broadband positioning system, and establish a mathematical model corresponding to the player, and then use a machine learning algorithm to deal with the related mathematical models, so that the ball relationship between each player can be classified by the model, and it can be more more. Accurately and authenticity reflect the relationship between players and football on the court, and provide more valuable data reference for the statistics of players. The positioning accuracy of the ultra -broadband positioning system is high, and the data collection efficiency is higher. In addition, in the process of machine learning, as the amount of data continues to increase, the accuracy of the output of mathematical models can also be continuously improved.</v>
      </c>
      <c r="D3150" s="6" t="s">
        <v>8849</v>
      </c>
      <c r="E3150" s="4" t="str">
        <f ca="1">IFERROR(__xludf.DUMMYFUNCTION("GOOGLETRANSLATE(D3150,""auto"",""en"")"),"Construct a player's ball relationship with the method, installation and system through machine learning")</f>
        <v>Construct a player's ball relationship with the method, installation and system through machine learning</v>
      </c>
    </row>
    <row r="3151" spans="1:5" ht="15" x14ac:dyDescent="0.25">
      <c r="A3151" s="5" t="s">
        <v>8850</v>
      </c>
      <c r="B3151" s="6" t="s">
        <v>8851</v>
      </c>
      <c r="C3151" s="3" t="str">
        <f ca="1">IFERROR(__xludf.DUMMYFUNCTION("GOOGLETRANSLATE(B3151,""auto"",""en"")"),"It describes a method of image frame sequence based on displaying people to monitor physical exercise. This method includes the following steps: based on the sequence of image frames, using a neural network to extract a set of key points for each image fr"&amp;"ame. At least one feature parameter of the physical point of the body indicates the progress of human movement. This method also includes the time process of evaluating the at least one time process in the feature parameters to detect the start of the cyc"&amp;"le, which starts the transition from the beginning of the person to the human movement during physical exercise.")</f>
        <v>It describes a method of image frame sequence based on displaying people to monitor physical exercise. This method includes the following steps: based on the sequence of image frames, using a neural network to extract a set of key points for each image frame. At least one feature parameter of the physical point of the body indicates the progress of human movement. This method also includes the time process of evaluating the at least one time process in the feature parameters to detect the start of the cycle, which starts the transition from the beginning of the person to the human movement during physical exercise.</v>
      </c>
      <c r="D3151" s="6" t="s">
        <v>3881</v>
      </c>
      <c r="E3151" s="4" t="str">
        <f ca="1">IFERROR(__xludf.DUMMYFUNCTION("GOOGLETRANSLATE(D3151,""auto"",""en"")"),"Monitor the expression of physical exercise")</f>
        <v>Monitor the expression of physical exercise</v>
      </c>
    </row>
    <row r="3152" spans="1:5" ht="15" x14ac:dyDescent="0.25">
      <c r="A3152" s="5" t="s">
        <v>8852</v>
      </c>
      <c r="B3152" s="6" t="s">
        <v>8853</v>
      </c>
      <c r="C3152" s="3" t="str">
        <f ca="1">IFERROR(__xludf.DUMMYFUNCTION("GOOGLETRANSLATE(B3152,""auto"",""en"")"),"The methods and systems generated by the game and the analysis of the game are disclosed. This method and system execution steps to receive the input video of the ball game, where the input video is captured using a fixed camera, and the frame of the inpu"&amp;"t video includes the target; Area (ROI); detect the ball in ROI during the shooting attempt, and determine the trajectory of the ball by performing a second computer visual algorithm on the input video; and try to try related players based on the ball's t"&amp;"rajectory recognition. In some embodiments, computer vision algorithms include convolutional neural networks (CNN). The invention uses computer vision technology to enable mobile devices with limited resources such as smartphones to effectively perform ne"&amp;"w processes.")</f>
        <v>The methods and systems generated by the game and the analysis of the game are disclosed. This method and system execution steps to receive the input video of the ball game, where the input video is captured using a fixed camera, and the frame of the input video includes the target; Area (ROI); detect the ball in ROI during the shooting attempt, and determine the trajectory of the ball by performing a second computer visual algorithm on the input video; and try to try related players based on the ball's trajectory recognition. In some embodiments, computer vision algorithms include convolutional neural networks (CNN). The invention uses computer vision technology to enable mobile devices with limited resources such as smartphones to effectively perform new processes.</v>
      </c>
      <c r="D3152" s="6" t="s">
        <v>8854</v>
      </c>
      <c r="E3152" s="4" t="str">
        <f ca="1">IFERROR(__xludf.DUMMYFUNCTION("GOOGLETRANSLATE(D3152,""auto"",""en"")"),"Methods and systems of using mobile devices to analyze the game")</f>
        <v>Methods and systems of using mobile devices to analyze the game</v>
      </c>
    </row>
    <row r="3153" spans="1:5" ht="15" x14ac:dyDescent="0.25">
      <c r="A3153" s="5" t="s">
        <v>8855</v>
      </c>
      <c r="B3153" s="6" t="s">
        <v>8856</v>
      </c>
      <c r="C3153" s="3" t="str">
        <f ca="1">IFERROR(__xludf.DUMMYFUNCTION("GOOGLETRANSLATE(B3153,""auto"",""en"")"),"The present invention involves a building block, which has a building block support board to allow children to play blocks.
  To put it in detail in detail, it involves a vesive block vehicle installed on children's cars such as bicycles, electric bicyc"&amp;"les, electric vehicles, and allegro.
  In addition, in some cases, it may involve building block gaming vehicles that combine VR equipment, artificial intelligence or treadmills with children's vehicles equipped with building blocks.")</f>
        <v>The present invention involves a building block, which has a building block support board to allow children to play blocks.
  To put it in detail in detail, it involves a vesive block vehicle installed on children's cars such as bicycles, electric bicycles, electric vehicles, and allegro.
  In addition, in some cases, it may involve building block gaming vehicles that combine VR equipment, artificial intelligence or treadmills with children's vehicles equipped with building blocks.</v>
      </c>
      <c r="D3153" s="6" t="s">
        <v>8857</v>
      </c>
      <c r="E3153" s="4" t="str">
        <f ca="1">IFERROR(__xludf.DUMMYFUNCTION("GOOGLETRANSLATE(D3153,""auto"",""en"")"),"A blocking of blocks with a blocking block platform")</f>
        <v>A blocking of blocks with a blocking block platform</v>
      </c>
    </row>
    <row r="3154" spans="1:5" ht="15" x14ac:dyDescent="0.25">
      <c r="A3154" s="5" t="s">
        <v>8858</v>
      </c>
      <c r="B3154" s="6" t="s">
        <v>8859</v>
      </c>
      <c r="C3154" s="3" t="str">
        <f ca="1">IFERROR(__xludf.DUMMYFUNCTION("GOOGLETRANSLATE(B3154,""auto"",""en"")"),"1. The name of the product design of the product: a user terminal with a fitness device with a graphical user interface.
 2. The purpose of designing products in this exterior: The operation and display of the user terminals used for fitness equipment f"&amp;"or fitness equipment are designed.
 3. The design points of the design of the product: The main point of the design lies in the content of the graphical user interface displayed on the device.
 4. The most important picture or photo of the design desi"&amp;"gn of this appearance: main view.
 5. The dynamic change of the human machine interaction and interface dynamic changes in this graphic user interface: (1) In the interface change state Figure 1, click the ""Select Program"" button by touching it, and t"&amp;"hen click the ""Fixed Head Training"" button by touching Figure 2 of the interface change state; (2) In the interface change state Figure 2, click the ""Pyramid Training"" button by touching the interface change state figure 3; In the middle, by touching "&amp;"the ""Pyramid Pyramid Training"" button, jump to the interface change state Figure 4; (4) In the interface change state figure 2 or interface change state figure 3 or interface changes. ""Key, jump to the interface change state Figure 5; (5) In the interf"&amp;"ace change state Figure 5, click the""+""button by touching, jump to the interface change state Figure 6; (6) , Through touching the ""Correct Strip"" button, jump to the interface change state Figure 7; (7) In the interface change state Figure 5, click t"&amp;"he ""Correct Weight"" button by touching it to the interface change state. 8; (8 ) In Figure 1 of the interface change state, by touching the ""Private Education Plan"" button, jump to the interface change state figure 9 or interface change status figure "&amp;"10 or interface changes. , Touch the WiFi logo button, jump to the interface change state Figure 12; (10) In the interface change state Figure 1, the click settings of the setting settings, jump to the interface change state Figure 13; (11) in the interfa"&amp;"ce change state In Figure 13, by touching the ""Single and Dual Ilter Switch"" button, jump to the interface change state Figure 14 or the interface change state Figure 15; (12) In the interface change state Figure 14, click the ""Report"" button by touch"&amp;"ing it, the ""Report"" button, and Jump to the interface change state Figure 16; (13) In the interface change state Figure 15, by touching the ""Report"" button, jump to the interface change state Figure 17; (14) In the interface change state Figure 13, t"&amp;"hrough touch through touch Click the ""sensor calibration"" button to jump to the interface change state Figure 18.")</f>
        <v>1. The name of the product design of the product: a user terminal with a fitness device with a graphical user interface.
 2. The purpose of designing products in this exterior: The operation and display of the user terminals used for fitness equipment for fitness equipment are designed.
 3. The design points of the design of the product: The main point of the design lies in the content of the graphical user interface displayed on the device.
 4. The most important picture or photo of the design design of this appearance: main view.
 5. The dynamic change of the human machine interaction and interface dynamic changes in this graphic user interface: (1) In the interface change state Figure 1, click the "Select Program" button by touching it, and then click the "Fixed Head Training" button by touching Figure 2 of the interface change state; (2) In the interface change state Figure 2, click the "Pyramid Training" button by touching the interface change state figure 3; In the middle, by touching the "Pyramid Pyramid Training" button, jump to the interface change state Figure 4; (4) In the interface change state figure 2 or interface change state figure 3 or interface changes. "Key, jump to the interface change state Figure 5; (5) In the interface change state Figure 5, click the"+"button by touching, jump to the interface change state Figure 6; (6) , Through touching the "Correct Strip" button, jump to the interface change state Figure 7; (7) In the interface change state Figure 5, click the "Correct Weight" button by touching it to the interface change state. 8; (8 ) In Figure 1 of the interface change state, by touching the "Private Education Plan" button, jump to the interface change state figure 9 or interface change status figure 10 or interface changes. , Touch the WiFi logo button, jump to the interface change state Figure 12; (10) In the interface change state Figure 1, the click settings of the setting settings, jump to the interface change state Figure 13; (11) in the interface change state In Figure 13, by touching the "Single and Dual Ilter Switch" button, jump to the interface change state Figure 14 or the interface change state Figure 15; (12) In the interface change state Figure 14, click the "Report" button by touching it, the "Report" button, and Jump to the interface change state Figure 16; (13) In the interface change state Figure 15, by touching the "Report" button, jump to the interface change state Figure 17; (14) In the interface change state Figure 13, through touch through touch Click the "sensor calibration" button to jump to the interface change state Figure 18.</v>
      </c>
      <c r="D3154" s="6" t="s">
        <v>8860</v>
      </c>
      <c r="E3154" s="4" t="str">
        <f ca="1">IFERROR(__xludf.DUMMYFUNCTION("GOOGLETRANSLATE(D3154,""auto"",""en"")"),"User terminal with fitness equipment with graphical user interface")</f>
        <v>User terminal with fitness equipment with graphical user interface</v>
      </c>
    </row>
    <row r="3155" spans="1:5" ht="15" x14ac:dyDescent="0.25">
      <c r="A3155" s="5" t="s">
        <v>8861</v>
      </c>
      <c r="B3155" s="6" t="s">
        <v>8862</v>
      </c>
      <c r="C3155" s="3" t="str">
        <f ca="1">IFERROR(__xludf.DUMMYFUNCTION("GOOGLETRANSLATE(B3155,""auto"",""en"")"),"A disclosure of an online fitness system and personal training method based on artificial intelligence. The invention enters the basic body shape information and target body form information including 3D modeling data, body composition, body height, weigh"&amp;"t, muscle volume, and body volume through human body scanning. This, members' exercise progress can be more systematically trained through management and diet, so as to maximize the effect of personal training. In addition, the amount of food and exercise"&amp;" consumed by the fitness center through the member terminal and reflect it in the body management program, which can more systematically perform the health and physical management of members. In addition, when members do not participate in the fitness cen"&amp;"ter, by providing alternative exercise information, they constantly inform members of the physical condition information that members change due to exercise, motivate members to stabilize exercise, and conduct physical management and health management thr"&amp;"ough personal training.")</f>
        <v>A disclosure of an online fitness system and personal training method based on artificial intelligence. The invention enters the basic body shape information and target body form information including 3D modeling data, body composition, body height, weight, muscle volume, and body volume through human body scanning. This, members' exercise progress can be more systematically trained through management and diet, so as to maximize the effect of personal training. In addition, the amount of food and exercise consumed by the fitness center through the member terminal and reflect it in the body management program, which can more systematically perform the health and physical management of members. In addition, when members do not participate in the fitness center, by providing alternative exercise information, they constantly inform members of the physical condition information that members change due to exercise, motivate members to stabilize exercise, and conduct physical management and health management through personal training.</v>
      </c>
      <c r="D3155" s="6" t="s">
        <v>8863</v>
      </c>
      <c r="E3155" s="4" t="str">
        <f ca="1">IFERROR(__xludf.DUMMYFUNCTION("GOOGLETRANSLATE(D3155,""auto"",""en"")"),"AI -based online fitness system and private teaching method")</f>
        <v>AI -based online fitness system and private teaching method</v>
      </c>
    </row>
    <row r="3156" spans="1:5" ht="15" x14ac:dyDescent="0.25">
      <c r="A3156" s="5" t="s">
        <v>8864</v>
      </c>
      <c r="B3156" s="6" t="s">
        <v>8865</v>
      </c>
      <c r="C3156" s="3" t="str">
        <f ca="1">IFERROR(__xludf.DUMMYFUNCTION("GOOGLETRANSLATE(B3156,""auto"",""en"")"),"A sports palace product, intelligent method and intelligent system, including: sports palace top, sports palace top pillar support, sports palace runway and venue, sports palace guardrail, Internet of Things intelligent system, connecting corridor and tie"&amp;"red, combined equipment and facilities In particular, a kind of sports palace products, intelligent methods, and intelligent systems that can be used to shade rain and snow on sports tracks and various cultural and sports activities on sports runways and "&amp;"venues.")</f>
        <v>A sports palace product, intelligent method and intelligent system, including: sports palace top, sports palace top pillar support, sports palace runway and venue, sports palace guardrail, Internet of Things intelligent system, connecting corridor and tiered, combined equipment and facilities In particular, a kind of sports palace products, intelligent methods, and intelligent systems that can be used to shade rain and snow on sports tracks and various cultural and sports activities on sports runways and venues.</v>
      </c>
      <c r="D3156" s="6" t="s">
        <v>8866</v>
      </c>
      <c r="E3156" s="4" t="str">
        <f ca="1">IFERROR(__xludf.DUMMYFUNCTION("GOOGLETRANSLATE(D3156,""auto"",""en"")"),"Sports palace products, intelligent methods and intelligent systems")</f>
        <v>Sports palace products, intelligent methods and intelligent systems</v>
      </c>
    </row>
    <row r="3157" spans="1:5" ht="15" x14ac:dyDescent="0.25">
      <c r="A3157" s="5" t="s">
        <v>8867</v>
      </c>
      <c r="B3157" s="6" t="s">
        <v>8868</v>
      </c>
      <c r="C3157" s="3" t="str">
        <f ca="1">IFERROR(__xludf.DUMMYFUNCTION("GOOGLETRANSLATE(B3157,""auto"",""en"")"),"The invention involves the field of data mining technology in sports competitions, including the field of machine learning, computer vision and data visualization, especially a method and device involving a basketball tactical assistance. It is convenient"&amp;" for the team to plan and predict the team, or arrange lineups and cloth defense at the critical moment in the game, so that coaches can manage, analyze and evaluate players and teams, and formulate targeted training plans to improve the success rate of t"&amp;"he game's success rate ; Including the following steps: data mining of the player game information and analyzing statistics of data over the years; analyzing and predicting the data and videos of the team years; using data visualization technology to repr"&amp;"esent the players and the team's recent and recent season data; right Players and teams have conducted statistics and arrangements for training programs for each time.")</f>
        <v>The invention involves the field of data mining technology in sports competitions, including the field of machine learning, computer vision and data visualization, especially a method and device involving a basketball tactical assistance. It is convenient for the team to plan and predict the team, or arrange lineups and cloth defense at the critical moment in the game, so that coaches can manage, analyze and evaluate players and teams, and formulate targeted training plans to improve the success rate of the game's success rate ; Including the following steps: data mining of the player game information and analyzing statistics of data over the years; analyzing and predicting the data and videos of the team years; using data visualization technology to represent the players and the team's recent and recent season data; right Players and teams have conducted statistics and arrangements for training programs for each time.</v>
      </c>
      <c r="D3157" s="6" t="s">
        <v>8869</v>
      </c>
      <c r="E3157" s="4" t="str">
        <f ca="1">IFERROR(__xludf.DUMMYFUNCTION("GOOGLETRANSLATE(D3157,""auto"",""en"")"),"A method and device of a basketball tactical assistance")</f>
        <v>A method and device of a basketball tactical assistance</v>
      </c>
    </row>
    <row r="3158" spans="1:5" ht="15" x14ac:dyDescent="0.25">
      <c r="A3158" s="5" t="s">
        <v>8870</v>
      </c>
      <c r="B3158" s="6" t="s">
        <v>8871</v>
      </c>
      <c r="C3158" s="3" t="str">
        <f ca="1">IFERROR(__xludf.DUMMYFUNCTION("GOOGLETRANSLATE(B3158,""auto"",""en"")"),"The invention has established big data from common series of products such as real estate, stock products, funds, bonds, lotto, and sports, and uses artificial intelligence algorithms to recommend products with high investment value among many products. T"&amp;"he system used to evaluate the hit rate, the factors evaluation unit, calculate the evaluation value of the element data of each product, apply weight on each elemental data of each product, and then find the data of each elemental data Including: the exp"&amp;"ected ranking unit is used to set the expected profit ranking of the product in the order of increasing the order; the hit rate calculate the unit, use the actual profit ranking of each product to calculate the expected profit ranking rate; the expected p"&amp;"rofit ranking.")</f>
        <v>The invention has established big data from common series of products such as real estate, stock products, funds, bonds, lotto, and sports, and uses artificial intelligence algorithms to recommend products with high investment value among many products. The system used to evaluate the hit rate, the factors evaluation unit, calculate the evaluation value of the element data of each product, apply weight on each elemental data of each product, and then find the data of each elemental data Including: the expected ranking unit is used to set the expected profit ranking of the product in the order of increasing the order; the hit rate calculate the unit, use the actual profit ranking of each product to calculate the expected profit ranking rate; the expected profit ranking.</v>
      </c>
      <c r="D3158" s="6" t="s">
        <v>8872</v>
      </c>
      <c r="E3158" s="4" t="str">
        <f ca="1">IFERROR(__xludf.DUMMYFUNCTION("GOOGLETRANSLATE(D3158,""auto"",""en"")"),"Use artificial intelligence assessment systems and methods based on big data product investment recommendation algorithms")</f>
        <v>Use artificial intelligence assessment systems and methods based on big data product investment recommendation algorithms</v>
      </c>
    </row>
    <row r="3159" spans="1:5" ht="15" x14ac:dyDescent="0.25">
      <c r="A3159" s="5" t="s">
        <v>8873</v>
      </c>
      <c r="B3159" s="6" t="s">
        <v>8874</v>
      </c>
      <c r="C3159" s="3" t="str">
        <f ca="1">IFERROR(__xludf.DUMMYFUNCTION("GOOGLETRANSLATE(B3159,""auto"",""en"")"),"The present invention builds big data through common products such as real estate, stock products, funds, bonds, lotto, and sports. System -related technologies of high -value products, calculate the evaluation unit evaluation unit of each element data of"&amp;" each product, and the total score of each product and the data of each product after the evaluation value of each element is applied. The calculation unit calculates the expected profit ranking rate. The calculation unit sets the expected profit ranking "&amp;"of the product according to the highest combination score, and the actual profit ranking and expected profit ranking of each product, and calculate the optimal hit rate Units are used to export a group of weights.")</f>
        <v>The present invention builds big data through common products such as real estate, stock products, funds, bonds, lotto, and sports. System -related technologies of high -value products, calculate the evaluation unit evaluation unit of each element data of each product, and the total score of each product and the data of each product after the evaluation value of each element is applied. The calculation unit calculates the expected profit ranking rate. The calculation unit sets the expected profit ranking of the product according to the highest combination score, and the actual profit ranking and expected profit ranking of each product, and calculate the optimal hit rate Units are used to export a group of weights.</v>
      </c>
      <c r="D3159" s="6" t="s">
        <v>8875</v>
      </c>
      <c r="E3159" s="4" t="str">
        <f ca="1">IFERROR(__xludf.DUMMYFUNCTION("GOOGLETRANSLATE(D3159,""auto"",""en"")"),"A system and method that uses artificial intelligence to explore the best weight of big data -based investment recommendations algorithms")</f>
        <v>A system and method that uses artificial intelligence to explore the best weight of big data -based investment recommendations algorithms</v>
      </c>
    </row>
    <row r="3160" spans="1:5" ht="15" x14ac:dyDescent="0.25">
      <c r="A3160" s="5" t="s">
        <v>8876</v>
      </c>
      <c r="B3160" s="6" t="s">
        <v>8877</v>
      </c>
      <c r="C3160" s="3" t="str">
        <f ca="1">IFERROR(__xludf.DUMMYFUNCTION("GOOGLETRANSLATE(B3160,""auto"",""en"")"),"1. The name of the product in this exterior: a mobile phone with a graphical user interface.
 2. The purpose of designing products in this exterior: It is used to make a quick appointment to play sports competitions. After entering the program login, th"&amp;"ere will be a list to browse the game information. Slip will have navigation links and other modules to dock.
 3. Design of design products in this exterior: graphic user interface and interactive dynamic graphic user interface content in the screen.
"&amp;" 4. The most important picture or photo of the design design of this appearance: main view.
 5. The dynamic change of the human -machine interaction and interface of this graphic user interface: (1) Graphic user interface amplification diagram is the in"&amp;"terface login homepage; In the interface change state Figure 1 click ""distance"" to enter the interface change state Figure 2; (4) click ""the hottest"" into the interface change state in the interface change state. , 2 or 3, click the ""bonus"" to enter"&amp;" the interface change state Figure 4; (6) In the interface change state Figure 1 ‑ 4, click the menu key in the upper left corner to enter the interface change state. 5, interface changes State Figure 5 is an online monitoring analysis diagram; (7) Select"&amp;" the ""Activity List"" in the interface change state. 5 Enter the interface change state Figure 6.")</f>
        <v>1. The name of the product in this exterior: a mobile phone with a graphical user interface.
 2. The purpose of designing products in this exterior: It is used to make a quick appointment to play sports competitions. After entering the program login, there will be a list to browse the game information. Slip will have navigation links and other modules to dock.
 3. Design of design products in this exterior: graphic user interface and interactive dynamic graphic user interface content in the screen.
 4. The most important picture or photo of the design design of this appearance: main view.
 5. The dynamic change of the human -machine interaction and interface of this graphic user interface: (1) Graphic user interface amplification diagram is the interface login homepage; In the interface change state Figure 1 click "distance" to enter the interface change state Figure 2; (4) click "the hottest" into the interface change state in the interface change state. , 2 or 3, click the "bonus" to enter the interface change state Figure 4; (6) In the interface change state Figure 1 ‑ 4, click the menu key in the upper left corner to enter the interface change state. 5, interface changes State Figure 5 is an online monitoring analysis diagram; (7) Select the "Activity List" in the interface change state. 5 Enter the interface change state Figure 6.</v>
      </c>
      <c r="D3160" s="6" t="s">
        <v>8878</v>
      </c>
      <c r="E3160" s="4" t="str">
        <f ca="1">IFERROR(__xludf.DUMMYFUNCTION("GOOGLETRANSLATE(D3160,""auto"",""en"")"),"Mobile phones with graphical user interface")</f>
        <v>Mobile phones with graphical user interface</v>
      </c>
    </row>
    <row r="3161" spans="1:5" ht="15" x14ac:dyDescent="0.25">
      <c r="A3161" s="5" t="s">
        <v>8879</v>
      </c>
      <c r="B3161" s="6" t="s">
        <v>8880</v>
      </c>
      <c r="C3161" s="3" t="str">
        <f ca="1">IFERROR(__xludf.DUMMYFUNCTION("GOOGLETRANSLATE(B3161,""auto"",""en"")"),"The present invention disclosed a fitness recommendation system for smart families, including the body fat metering instrument used for body fat collection and the central system module for fitness recommended. The instrument is connected to the LCD displ"&amp;"ay through the wire and transmits the data to the central system module, which is connected to the background terminal through the wireless network to the background terminal connection. Connecting the user login module, the voice broadcast module is conn"&amp;"ected to the LCD display, which is connected to a speaker on the LCD display. The fitness recommendation system of this smart family has a reasonable structure, high user experience, convenient use and other characteristics, which can be widely used.")</f>
        <v>The present invention disclosed a fitness recommendation system for smart families, including the body fat metering instrument used for body fat collection and the central system module for fitness recommended. The instrument is connected to the LCD display through the wire and transmits the data to the central system module, which is connected to the background terminal through the wireless network to the background terminal connection. Connecting the user login module, the voice broadcast module is connected to the LCD display, which is connected to a speaker on the LCD display. The fitness recommendation system of this smart family has a reasonable structure, high user experience, convenient use and other characteristics, which can be widely used.</v>
      </c>
      <c r="D3161" s="6" t="s">
        <v>8881</v>
      </c>
      <c r="E3161" s="4" t="str">
        <f ca="1">IFERROR(__xludf.DUMMYFUNCTION("GOOGLETRANSLATE(D3161,""auto"",""en"")"),"A smart family fitness recommendation system and method")</f>
        <v>A smart family fitness recommendation system and method</v>
      </c>
    </row>
    <row r="3162" spans="1:5" ht="15" x14ac:dyDescent="0.25">
      <c r="A3162" s="5" t="s">
        <v>8882</v>
      </c>
      <c r="B3162" s="6" t="s">
        <v>8883</v>
      </c>
      <c r="C3162" s="3" t="str">
        <f ca="1">IFERROR(__xludf.DUMMYFUNCTION("GOOGLETRANSLATE(B3162,""auto"",""en"")"),"A method and device based on voice recognition with screen golf services are disclosed. According to the screen golf service provision method of the screen of the present invention, receiving the player's voice command during the screen golf competition, "&amp;"according to the screen golf voice recognition function to generate priority generation to the voice recognition results corresponding to the voice command, and perform the voice recognition A provides provided by the result corresponding to the results c"&amp;"orresponding to the results corresponding to the results corresponding to the result. Voice recognition service.")</f>
        <v>A method and device based on voice recognition with screen golf services are disclosed. According to the screen golf service provision method of the screen of the present invention, receiving the player's voice command during the screen golf competition, according to the screen golf voice recognition function to generate priority generation to the voice recognition results corresponding to the voice command, and perform the voice recognition A provides provided by the result corresponding to the results corresponding to the results corresponding to the results corresponding to the result. Voice recognition service.</v>
      </c>
      <c r="D3162" s="6" t="s">
        <v>8884</v>
      </c>
      <c r="E3162" s="4" t="str">
        <f ca="1">IFERROR(__xludf.DUMMYFUNCTION("GOOGLETRANSLATE(D3162,""auto"",""en"")"),"A method and device of a screen golf service based on voice recognition")</f>
        <v>A method and device of a screen golf service based on voice recognition</v>
      </c>
    </row>
    <row r="3163" spans="1:5" ht="15" x14ac:dyDescent="0.25">
      <c r="A3163" s="5" t="s">
        <v>8885</v>
      </c>
      <c r="B3163" s="6" t="s">
        <v>8886</v>
      </c>
      <c r="C3163" s="3" t="str">
        <f ca="1">IFERROR(__xludf.DUMMYFUNCTION("GOOGLETRANSLATE(B3163,""auto"",""en"")"),"The invention provides an interactive virtual roaming fitness vehicle involving computer interaction applications. The present invention includes the front wheel rotation floating support platform, the rear wheel resistance support platform, and the motio"&amp;"n control hardware circuit. The data collection location of the turning floating support platform and the rear -wheel rotation resistance support platform. When the bicycle simulation is riding, the front wheels turn the floating support platform and the "&amp;"rear wheel rotation resistance support platform to collect data, and the virtual simulation is finally achieved. The invention allows the roaming display effect of virtual scenes to optimize. The innovative design of the hardware control circuit and the b"&amp;"icycle sports platform reduces the complexity of the device. Hardware also has good scalability, suitable for large -scale production and processing.")</f>
        <v>The invention provides an interactive virtual roaming fitness vehicle involving computer interaction applications. The present invention includes the front wheel rotation floating support platform, the rear wheel resistance support platform, and the motion control hardware circuit. The data collection location of the turning floating support platform and the rear -wheel rotation resistance support platform. When the bicycle simulation is riding, the front wheels turn the floating support platform and the rear wheel rotation resistance support platform to collect data, and the virtual simulation is finally achieved. The invention allows the roaming display effect of virtual scenes to optimize. The innovative design of the hardware control circuit and the bicycle sports platform reduces the complexity of the device. Hardware also has good scalability, suitable for large -scale production and processing.</v>
      </c>
      <c r="D3163" s="6" t="s">
        <v>8887</v>
      </c>
      <c r="E3163" s="4" t="str">
        <f ca="1">IFERROR(__xludf.DUMMYFUNCTION("GOOGLETRANSLATE(D3163,""auto"",""en"")"),"Interactive virtual roaming fitness car")</f>
        <v>Interactive virtual roaming fitness car</v>
      </c>
    </row>
    <row r="3164" spans="1:5" ht="15" x14ac:dyDescent="0.25">
      <c r="A3164" s="5" t="s">
        <v>8888</v>
      </c>
      <c r="B3164" s="6" t="s">
        <v>8889</v>
      </c>
      <c r="C3164" s="3" t="str">
        <f ca="1">IFERROR(__xludf.DUMMYFUNCTION("GOOGLETRANSLATE(B3164,""auto"",""en"")"),"The present invention has disclosed a speed -adjustable treadmill, including the treadmill body and resistance system. The human -machine interaction equipment is located in the handle, which includes the electromagnetic damper and the resistance amplifie"&amp;"r system. Its advantages are: the resistance system can reduce the torque demand of the magnetic damper, reduce the volume of the damper, reduce the power consumption of the whole machine, improve the stability of the whole machine, and reduce the cost; O"&amp;"n the basis of adjustment of machine speed, it can improve stability and reliability, and reduce the noise effect of treadmill noise; configure human -machine interaction equipment, so that the fitness person can independently adjust the scene displayed b"&amp;"y the device, integrate the running process into the scene, fitness Integration with entertainment improves the fun of running.")</f>
        <v>The present invention has disclosed a speed -adjustable treadmill, including the treadmill body and resistance system. The human -machine interaction equipment is located in the handle, which includes the electromagnetic damper and the resistance amplifier system. Its advantages are: the resistance system can reduce the torque demand of the magnetic damper, reduce the volume of the damper, reduce the power consumption of the whole machine, improve the stability of the whole machine, and reduce the cost; On the basis of adjustment of machine speed, it can improve stability and reliability, and reduce the noise effect of treadmill noise; configure human -machine interaction equipment, so that the fitness person can independently adjust the scene displayed by the device, integrate the running process into the scene, fitness Integration with entertainment improves the fun of running.</v>
      </c>
      <c r="D3164" s="6" t="s">
        <v>8890</v>
      </c>
      <c r="E3164" s="4" t="str">
        <f ca="1">IFERROR(__xludf.DUMMYFUNCTION("GOOGLETRANSLATE(D3164,""auto"",""en"")"),"A adjustable speedless treadmill and its speed control system")</f>
        <v>A adjustable speedless treadmill and its speed control system</v>
      </c>
    </row>
    <row r="3165" spans="1:5" ht="15" x14ac:dyDescent="0.25">
      <c r="A3165" s="5" t="s">
        <v>8891</v>
      </c>
      <c r="B3165" s="6" t="s">
        <v>8892</v>
      </c>
      <c r="C3165" s="3" t="str">
        <f ca="1">IFERROR(__xludf.DUMMYFUNCTION("GOOGLETRANSLATE(B3165,""auto"",""en"")"),"This utility model opens up a speed -adjustable treadmill, including the treadmill body and resistance system, which includes the runner's body, human -machine interaction equipment and handles. The human -machine interaction equipment is located on the h"&amp;"andle, which includes the electromagnetic damper and the resistance amplifier system. Its advantages are: the resistance system can reduce the torque demand of the magnetic damper, reduce the volume of the damper, reduce the power consumption of the whole"&amp;" machine, improve the stability of the whole machine, and reduce the cost; On the basis of adjustment of machine speed, it can improve stability and reliability, and reduce the noise effect of treadmill noise; configure human -machine interaction equipmen"&amp;"t, so that the fitness person can independently adjust the scene displayed by the device, integrate the running process into the scene, fitness Integration with entertainment improves the fun of running.")</f>
        <v>This utility model opens up a speed -adjustable treadmill, including the treadmill body and resistance system, which includes the runner's body, human -machine interaction equipment and handles. The human -machine interaction equipment is located on the handle, which includes the electromagnetic damper and the resistance amplifier system. Its advantages are: the resistance system can reduce the torque demand of the magnetic damper, reduce the volume of the damper, reduce the power consumption of the whole machine, improve the stability of the whole machine, and reduce the cost; On the basis of adjustment of machine speed, it can improve stability and reliability, and reduce the noise effect of treadmill noise; configure human -machine interaction equipment, so that the fitness person can independently adjust the scene displayed by the device, integrate the running process into the scene, fitness Integration with entertainment improves the fun of running.</v>
      </c>
      <c r="D3165" s="6" t="s">
        <v>8893</v>
      </c>
      <c r="E3165" s="4" t="str">
        <f ca="1">IFERROR(__xludf.DUMMYFUNCTION("GOOGLETRANSLATE(D3165,""auto"",""en"")"),"A adjustable speedless treadmill")</f>
        <v>A adjustable speedless treadmill</v>
      </c>
    </row>
    <row r="3166" spans="1:5" ht="15" x14ac:dyDescent="0.25">
      <c r="A3166" s="5" t="s">
        <v>8894</v>
      </c>
      <c r="B3166" s="6" t="s">
        <v>8895</v>
      </c>
      <c r="C3166" s="3" t="str">
        <f ca="1">IFERROR(__xludf.DUMMYFUNCTION("GOOGLETRANSLATE(B3166,""auto"",""en"")"),"The present invention disclosed a real -time calculation method based on machine learning and low -pass filtering. This method provides a simple and effective way for running enthusiasts to know the real -time steps of running. The decision and real -time"&amp;" calculation of the four stages of accurate calculation steps. The present invention has greatly improved the current step calculation of the steps that is not real -time and easy to calculate the steps, so that the step calculation has reached real -time"&amp;" reliability. Because the machine learning method is adopted, the wrong statistical steps are reduced. At the same time, the invention is displayed in real time to facilitate the runner to control their running speed, and the step calculation is more accu"&amp;"rate.")</f>
        <v>The present invention disclosed a real -time calculation method based on machine learning and low -pass filtering. This method provides a simple and effective way for running enthusiasts to know the real -time steps of running. The decision and real -time calculation of the four stages of accurate calculation steps. The present invention has greatly improved the current step calculation of the steps that is not real -time and easy to calculate the steps, so that the step calculation has reached real -time reliability. Because the machine learning method is adopted, the wrong statistical steps are reduced. At the same time, the invention is displayed in real time to facilitate the runner to control their running speed, and the step calculation is more accurate.</v>
      </c>
      <c r="D3166" s="6" t="s">
        <v>8896</v>
      </c>
      <c r="E3166" s="4" t="str">
        <f ca="1">IFERROR(__xludf.DUMMYFUNCTION("GOOGLETRANSLATE(D3166,""auto"",""en"")"),"A step -by -time calculation method based on machine learning and low -pass filtering")</f>
        <v>A step -by -time calculation method based on machine learning and low -pass filtering</v>
      </c>
    </row>
    <row r="3167" spans="1:5" ht="15" x14ac:dyDescent="0.25">
      <c r="A3167" s="5" t="s">
        <v>8897</v>
      </c>
      <c r="B3167" s="6" t="s">
        <v>8898</v>
      </c>
      <c r="C3167" s="3" t="str">
        <f ca="1">IFERROR(__xludf.DUMMYFUNCTION("GOOGLETRANSLATE(B3167,""auto"",""en"")"),"It may collect a large amount of human sports data from one or more sensors worn by the current data. Data can be analyzed with other classification data in order to generate feedback for users or other interested people (such as trainers, coaches, team m"&amp;"embers, health professionals, etc.). This analysis can use one or more machine learning (ML) algorithms. These algorithms use training data to create one or more ML models. When evaluating the user after receiving the feedback, you can evaluate the accura"&amp;"cy of the feedback and feedback it to the ML model to continue training the ML model.")</f>
        <v>It may collect a large amount of human sports data from one or more sensors worn by the current data. Data can be analyzed with other classification data in order to generate feedback for users or other interested people (such as trainers, coaches, team members, health professionals, etc.). This analysis can use one or more machine learning (ML) algorithms. These algorithms use training data to create one or more ML models. When evaluating the user after receiving the feedback, you can evaluate the accuracy of the feedback and feedback it to the ML model to continue training the ML model.</v>
      </c>
      <c r="D3167" s="6" t="s">
        <v>8899</v>
      </c>
      <c r="E3167" s="4" t="str">
        <f ca="1">IFERROR(__xludf.DUMMYFUNCTION("GOOGLETRANSLATE(D3167,""auto"",""en"")"),"Streaming analysis of human sports data")</f>
        <v>Streaming analysis of human sports data</v>
      </c>
    </row>
    <row r="3168" spans="1:5" ht="15" x14ac:dyDescent="0.25">
      <c r="A3168" s="5" t="s">
        <v>8900</v>
      </c>
      <c r="B3168" s="6" t="s">
        <v>8901</v>
      </c>
      <c r="C3168" s="3" t="str">
        <f ca="1">IFERROR(__xludf.DUMMYFUNCTION("GOOGLETRANSLATE(B3168,""auto"",""en"")"),"The invention discloses a deep learning application optimization framework based on hierarchical heterogeneous distributed systems, involving deep learning fields involving scientific directions. Deep learning application optimization framework based on h"&amp;"ierarchical heterogeneous distributed systems includes the operation preparation phase and operating stage. The running preparation phase is used to conduct deep neural network training. During the operation phase, various types of devices in the distribu"&amp;"ted system are allocated, and privacy protection of user sensitive data is used using a data encryption module. Due to the heterogeneous characteristics of the task of the system of the present invention, on the premise of ensuring the overall performance"&amp;", the system response time is reduced, and the user experience is guaranteed. The data encryption module based on neural networks can perform privacy protection. The user -sensitive data is low in computing costs and storage. Cost to ensure user data secu"&amp;"rity.")</f>
        <v>The invention discloses a deep learning application optimization framework based on hierarchical heterogeneous distributed systems, involving deep learning fields involving scientific directions. Deep learning application optimization framework based on hierarchical heterogeneous distributed systems includes the operation preparation phase and operating stage. The running preparation phase is used to conduct deep neural network training. During the operation phase, various types of devices in the distributed system are allocated, and privacy protection of user sensitive data is used using a data encryption module. Due to the heterogeneous characteristics of the task of the system of the present invention, on the premise of ensuring the overall performance, the system response time is reduced, and the user experience is guaranteed. The data encryption module based on neural networks can perform privacy protection. The user -sensitive data is low in computing costs and storage. Cost to ensure user data security.</v>
      </c>
      <c r="D3168" s="6" t="s">
        <v>8902</v>
      </c>
      <c r="E3168" s="4" t="str">
        <f ca="1">IFERROR(__xludf.DUMMYFUNCTION("GOOGLETRANSLATE(D3168,""auto"",""en"")"),"Optimization framework for deep learning applications based on layered heterogeneous distribution systems")</f>
        <v>Optimization framework for deep learning applications based on layered heterogeneous distribution systems</v>
      </c>
    </row>
    <row r="3169" spans="1:5" ht="15" x14ac:dyDescent="0.25">
      <c r="A3169" s="5" t="s">
        <v>8903</v>
      </c>
      <c r="B3169" s="6" t="s">
        <v>8904</v>
      </c>
      <c r="C3169" s="3" t="str">
        <f ca="1">IFERROR(__xludf.DUMMYFUNCTION("GOOGLETRANSLATE(B3169,""auto"",""en"")"),"The present invention disclosed a laser shooting confrontation against the robot system. It consists of the robot's main control system, multiple sensor modules, motion control modules, laser gun control systems and target target control systems. The robo"&amp;"t control system of the system and the target target control system is connected. The robot main control system is parsed, and the instructions are issued to send the signal to the motion control module. The laser gun control system emits a laser beam to "&amp;"another target target control system, and feeds the remaining bullets to the main control system of the robot; the target target control system will transfer the remaining blood volume and the signal of the attack direction to the robot's main control sys"&amp;"tem. The invention structure is reasonable, solve the shortcomings of the existing intelligent robotics competition projects, poor gameplay and other shortcomings, and the viewing and entertainment experience are better.")</f>
        <v>The present invention disclosed a laser shooting confrontation against the robot system. It consists of the robot's main control system, multiple sensor modules, motion control modules, laser gun control systems and target target control systems. The robot control system of the system and the target target control system is connected. The robot main control system is parsed, and the instructions are issued to send the signal to the motion control module. The laser gun control system emits a laser beam to another target target control system, and feeds the remaining bullets to the main control system of the robot; the target target control system will transfer the remaining blood volume and the signal of the attack direction to the robot's main control system. The invention structure is reasonable, solve the shortcomings of the existing intelligent robotics competition projects, poor gameplay and other shortcomings, and the viewing and entertainment experience are better.</v>
      </c>
      <c r="D3169" s="6" t="s">
        <v>8905</v>
      </c>
      <c r="E3169" s="4" t="str">
        <f ca="1">IFERROR(__xludf.DUMMYFUNCTION("GOOGLETRANSLATE(D3169,""auto"",""en"")"),"A laser shooting confrontation robot system")</f>
        <v>A laser shooting confrontation robot system</v>
      </c>
    </row>
    <row r="3170" spans="1:5" ht="15" x14ac:dyDescent="0.25">
      <c r="A3170" s="5" t="s">
        <v>8906</v>
      </c>
      <c r="B3170" s="6" t="s">
        <v>8907</v>
      </c>
      <c r="C3170" s="3" t="str">
        <f ca="1">IFERROR(__xludf.DUMMYFUNCTION("GOOGLETRANSLATE(B3170,""auto"",""en"")"),"This utility model opens a laser shooting against robots for laser guns, motherboards, laser launchers, reset keys, and luminous diode are set inside the shell. On the other side of the wire A, the electricity is connected to one end of the motherboard. T"&amp;"here are several light -emitting diode. The bottom end of the glow diode is connected to the motherboard. On the side of the shell, one end of the wire B is connected to the motherboard, the other end of the wire B is set on the outside of the shell, and "&amp;"the connection rod is set at the bottom of the shell. For the disadvantages, seat weapons are used for laser shooting against robots, adding poor resistance, gaming and ornamental of the intelligent robot competition.")</f>
        <v>This utility model opens a laser shooting against robots for laser guns, motherboards, laser launchers, reset keys, and luminous diode are set inside the shell. On the other side of the wire A, the electricity is connected to one end of the motherboard. There are several light -emitting diode. The bottom end of the glow diode is connected to the motherboard. On the side of the shell, one end of the wire B is connected to the motherboard, the other end of the wire B is set on the outside of the shell, and the connection rod is set at the bottom of the shell. For the disadvantages, seat weapons are used for laser shooting against robots, adding poor resistance, gaming and ornamental of the intelligent robot competition.</v>
      </c>
      <c r="D3170" s="6" t="s">
        <v>8908</v>
      </c>
      <c r="E3170" s="4" t="str">
        <f ca="1">IFERROR(__xludf.DUMMYFUNCTION("GOOGLETRANSLATE(D3170,""auto"",""en"")"),"Laser shooting fighting robot for laser gun")</f>
        <v>Laser shooting fighting robot for laser gun</v>
      </c>
    </row>
    <row r="3171" spans="1:5" ht="15" x14ac:dyDescent="0.25">
      <c r="A3171" s="5" t="s">
        <v>8909</v>
      </c>
      <c r="B3171" s="6" t="s">
        <v>8910</v>
      </c>
      <c r="C3171" s="3" t="str">
        <f ca="1">IFERROR(__xludf.DUMMYFUNCTION("GOOGLETRANSLATE(B3171,""auto"",""en"")"),"This utility model opens a target target for laser shooting against robotics. The surface of the shell is connected to the upper cover. The motherboard is installed in the shell, and a number of laser beams are installed inside the shell. The wires are co"&amp;"nnected to the surface of the motherboard. The surface of the motherboard is evenly set with a number of display signal transmitters. The surface of the motherboard is fixed with a reset button, the upper surface is opened with a round hole. There is a co"&amp;"nnection rod in the center of the surface. There is also a small hole on the surface of the under the shell. One end of the data transmission line is connected to the surface of the motherboard. Receive laser beams can judge the direction of being attacke"&amp;"d and shows ""blood volume"". It is used on laser shooting confrontation robots, which greatly increases confrontation, gaming and ornamental in smart robotics competitions.")</f>
        <v>This utility model opens a target target for laser shooting against robotics. The surface of the shell is connected to the upper cover. The motherboard is installed in the shell, and a number of laser beams are installed inside the shell. The wires are connected to the surface of the motherboard. The surface of the motherboard is evenly set with a number of display signal transmitters. The surface of the motherboard is fixed with a reset button, the upper surface is opened with a round hole. There is a connection rod in the center of the surface. There is also a small hole on the surface of the under the shell. One end of the data transmission line is connected to the surface of the motherboard. Receive laser beams can judge the direction of being attacked and shows "blood volume". It is used on laser shooting confrontation robots, which greatly increases confrontation, gaming and ornamental in smart robotics competitions.</v>
      </c>
      <c r="D3171" s="6" t="s">
        <v>8911</v>
      </c>
      <c r="E3171" s="4" t="str">
        <f ca="1">IFERROR(__xludf.DUMMYFUNCTION("GOOGLETRANSLATE(D3171,""auto"",""en"")"),"A target target for laser shooting against robotics")</f>
        <v>A target target for laser shooting against robotics</v>
      </c>
    </row>
    <row r="3172" spans="1:5" ht="15" x14ac:dyDescent="0.25">
      <c r="A3172" s="5" t="s">
        <v>8912</v>
      </c>
      <c r="B3172" s="6" t="s">
        <v>8913</v>
      </c>
      <c r="C3172" s="3" t="str">
        <f ca="1">IFERROR(__xludf.DUMMYFUNCTION("GOOGLETRANSLATE(B3172,""auto"",""en"")"),"The present invention disclosed a intelligent coaching system and method, consisting of training teaching modules, action judgment analysis modules and motion collection modules. Motion collection modules are used to collect user motion posture informatio"&amp;"n and life indicators in user movement. Analyze the module; the action judgment analysis module is used to establish a motion model. According to the motion model, the user's motion posture information and the user's life index data are analyzed, and the "&amp;"analysis results are sent to the training teaching module; the training teaching module is used to display training and teaching content And the analysis results of the action judgment analysis module are displayed in real time to users. Further movement "&amp;"judgment The analysis module generates training evaluation, suggestions and overall movement reports based on the analysis results. Action judgment analysis module. Based on artificial intelligence technology, you can interact with cloud server or deploy "&amp;"on cloud servers. According to the user posture information collected by the motion collection module, you can identify the attitude information collected by the motion collection module. Analysis, combined with the data of life indicators in user movemen"&amp;"t, obtain the analysis results. Due to the collection of user movement posture information on the embodiment of the present invention and the data of the life characteristics index in the user movement, you can establish a motion model and compare the ana"&amp;"lysis in real time, and conduct training and evaluation and suggestions for user movement. Real -time training and guidance of exercise.")</f>
        <v>The present invention disclosed a intelligent coaching system and method, consisting of training teaching modules, action judgment analysis modules and motion collection modules. Motion collection modules are used to collect user motion posture information and life indicators in user movement. Analyze the module; the action judgment analysis module is used to establish a motion model. According to the motion model, the user's motion posture information and the user's life index data are analyzed, and the analysis results are sent to the training teaching module; the training teaching module is used to display training and teaching content And the analysis results of the action judgment analysis module are displayed in real time to users. Further movement judgment The analysis module generates training evaluation, suggestions and overall movement reports based on the analysis results. Action judgment analysis module. Based on artificial intelligence technology, you can interact with cloud server or deploy on cloud servers. According to the user posture information collected by the motion collection module, you can identify the attitude information collected by the motion collection module. Analysis, combined with the data of life indicators in user movement, obtain the analysis results. Due to the collection of user movement posture information on the embodiment of the present invention and the data of the life characteristics index in the user movement, you can establish a motion model and compare the analysis in real time, and conduct training and evaluation and suggestions for user movement. Real -time training and guidance of exercise.</v>
      </c>
      <c r="D3172" s="6" t="s">
        <v>8914</v>
      </c>
      <c r="E3172" s="4" t="str">
        <f ca="1">IFERROR(__xludf.DUMMYFUNCTION("GOOGLETRANSLATE(D3172,""auto"",""en"")"),"A smart coaching system and method")</f>
        <v>A smart coaching system and method</v>
      </c>
    </row>
    <row r="3173" spans="1:5" ht="15" x14ac:dyDescent="0.25">
      <c r="A3173" s="5" t="s">
        <v>8915</v>
      </c>
      <c r="B3173" s="6" t="s">
        <v>8916</v>
      </c>
      <c r="C3173" s="3" t="str">
        <f ca="1">IFERROR(__xludf.DUMMYFUNCTION("GOOGLETRANSLATE(B3173,""auto"",""en"")"),"In order to provide users with work space, a box is set on the lower side of the box, including the side wall of the front and back, left and right sides, and the upper wall on the upper side of the upper side, so that the user can adopt a walking or runn"&amp;"ing walking auxiliary device for execution to perform the execution of the execution The walking auxiliary device is used to display one or more monitors that display virtual reality images. It is used to determine the controller corresponding to the envi"&amp;"ronment corresponding to the virtual reality image by analyzing the virtual reality images displayed on one or more monitors. The display, corresponding to the environment determined by the controller, a user experience device is disclosed, including the "&amp;"internal environment control device for adjusting the environment in the box.")</f>
        <v>In order to provide users with work space, a box is set on the lower side of the box, including the side wall of the front and back, left and right sides, and the upper wall on the upper side of the upper side, so that the user can adopt a walking or running walking auxiliary device for execution to perform the execution of the execution The walking auxiliary device is used to display one or more monitors that display virtual reality images. It is used to determine the controller corresponding to the environment corresponding to the virtual reality image by analyzing the virtual reality images displayed on one or more monitors. The display, corresponding to the environment determined by the controller, a user experience device is disclosed, including the internal environment control device for adjusting the environment in the box.</v>
      </c>
      <c r="D3173" s="6" t="s">
        <v>8656</v>
      </c>
      <c r="E3173" s="4" t="str">
        <f ca="1">IFERROR(__xludf.DUMMYFUNCTION("GOOGLETRANSLATE(D3173,""auto"",""en"")"),"Use artificial intelligence user experience equipment")</f>
        <v>Use artificial intelligence user experience equipment</v>
      </c>
    </row>
    <row r="3174" spans="1:5" ht="15" x14ac:dyDescent="0.25">
      <c r="A3174" s="5" t="s">
        <v>8917</v>
      </c>
      <c r="B3174" s="6" t="s">
        <v>8918</v>
      </c>
      <c r="C3174" s="3" t="str">
        <f ca="1">IFERROR(__xludf.DUMMYFUNCTION("GOOGLETRANSLATE(B3174,""auto"",""en"")"),"In order to provide users with space for activities, the boxes include the side walls of the front, back, left and right sides, and the upper wall of the upper side of the seal, and set it on the lower side of the box, so that users can walk or run walkin"&amp;"g auxiliary devices, one or more more One display display virtual reality image, a controller analysis shows the virtual reality image on one or more monitors and determines the environment corresponding to the virtual reality image, and responds to the e"&amp;"nvironment determined by the controller Used to adjust the internal environment control device of the environment in the box.")</f>
        <v>In order to provide users with space for activities, the boxes include the side walls of the front, back, left and right sides, and the upper wall of the upper side of the seal, and set it on the lower side of the box, so that users can walk or run walking auxiliary devices, one or more more One display display virtual reality image, a controller analysis shows the virtual reality image on one or more monitors and determines the environment corresponding to the virtual reality image, and responds to the environment determined by the controller Used to adjust the internal environment control device of the environment in the box.</v>
      </c>
      <c r="D3174" s="6" t="s">
        <v>8656</v>
      </c>
      <c r="E3174" s="4" t="str">
        <f ca="1">IFERROR(__xludf.DUMMYFUNCTION("GOOGLETRANSLATE(D3174,""auto"",""en"")"),"Use artificial intelligence user experience equipment")</f>
        <v>Use artificial intelligence user experience equipment</v>
      </c>
    </row>
    <row r="3175" spans="1:5" ht="12.75" x14ac:dyDescent="0.2">
      <c r="A3175" s="7" t="s">
        <v>8919</v>
      </c>
      <c r="B3175" s="6" t="s">
        <v>518</v>
      </c>
      <c r="C3175" s="3" t="str">
        <f ca="1">IFERROR(__xludf.DUMMYFUNCTION("GOOGLETRANSLATE(B3175,""auto"",""en"")"),"-")</f>
        <v>-</v>
      </c>
      <c r="D3175" s="6" t="s">
        <v>518</v>
      </c>
      <c r="E3175" s="4" t="str">
        <f ca="1">IFERROR(__xludf.DUMMYFUNCTION("GOOGLETRANSLATE(D3175,""auto"",""en"")"),"-")</f>
        <v>-</v>
      </c>
    </row>
    <row r="3176" spans="1:5" ht="15" x14ac:dyDescent="0.25">
      <c r="A3176" s="5" t="s">
        <v>8920</v>
      </c>
      <c r="B3176" s="6" t="s">
        <v>8921</v>
      </c>
      <c r="C3176" s="3" t="str">
        <f ca="1">IFERROR(__xludf.DUMMYFUNCTION("GOOGLETRANSLATE(B3176,""auto"",""en"")"),"A system and method of the most meaningful multimedia content predicting the user, including in response to the user's request for multimedia operation to enable the sensing equipment on the user's device, in response to the multimedia operation of multim"&amp;"edia operation and implementation of multimedia content, identify and basically perform multimedia in multimedia The interactive clues of the user and the sensing device during operation, update the recommendation from a set of multimedia content includin"&amp;"g multimedia content")</f>
        <v>A system and method of the most meaningful multimedia content predicting the user, including in response to the user's request for multimedia operation to enable the sensing equipment on the user's device, in response to the multimedia operation of multimedia operation and implementation of multimedia content, identify and basically perform multimedia in multimedia The interactive clues of the user and the sensing device during operation, update the recommendation from a set of multimedia content including multimedia content</v>
      </c>
      <c r="D3176" s="6" t="s">
        <v>6583</v>
      </c>
      <c r="E3176" s="4" t="str">
        <f ca="1">IFERROR(__xludf.DUMMYFUNCTION("GOOGLETRANSLATE(D3176,""auto"",""en"")"),"Content recommendation system and method based on user behavior")</f>
        <v>Content recommendation system and method based on user behavior</v>
      </c>
    </row>
    <row r="3177" spans="1:5" ht="15" x14ac:dyDescent="0.25">
      <c r="A3177" s="5" t="s">
        <v>8922</v>
      </c>
      <c r="B3177" s="6" t="s">
        <v>8923</v>
      </c>
      <c r="C3177" s="3" t="str">
        <f ca="1">IFERROR(__xludf.DUMMYFUNCTION("GOOGLETRANSLATE(B3177,""auto"",""en"")"),"This utility model discloses a virtual real driving teaching system based on the Internet of Things, including the base, operation box, and seats. There are seats on the base. There are two seats. There are T -shaped grooves, which is equipped with an ele"&amp;"ctric push rod in the T -shaped groove, which is fixed to the output end of the electric push rod to the T -shaped limit board. There are two electric push rods and T -type limited boards. The bottom of the seat is equipped with a vibration structure. Sup"&amp;"port plates, spring nets, motors, ellipse rollers, rolling rods, fixed boards and support platforms. This virtual real driving teaching system based on the Internet of Things can not only choose different road conditions, feel the bumps of different road "&amp;"conditions, but also observe the coach directly to observe the coach Operations to improve learning efficiency.")</f>
        <v>This utility model discloses a virtual real driving teaching system based on the Internet of Things, including the base, operation box, and seats. There are seats on the base. There are two seats. There are T -shaped grooves, which is equipped with an electric push rod in the T -shaped groove, which is fixed to the output end of the electric push rod to the T -shaped limit board. There are two electric push rods and T -type limited boards. The bottom of the seat is equipped with a vibration structure. Support plates, spring nets, motors, ellipse rollers, rolling rods, fixed boards and support platforms. This virtual real driving teaching system based on the Internet of Things can not only choose different road conditions, feel the bumps of different road conditions, but also observe the coach directly to observe the coach Operations to improve learning efficiency.</v>
      </c>
      <c r="D3177" s="6" t="s">
        <v>8924</v>
      </c>
      <c r="E3177" s="4" t="str">
        <f ca="1">IFERROR(__xludf.DUMMYFUNCTION("GOOGLETRANSLATE(D3177,""auto"",""en"")"),"A virtual real driving teaching system based on the Internet of Things")</f>
        <v>A virtual real driving teaching system based on the Internet of Things</v>
      </c>
    </row>
    <row r="3178" spans="1:5" ht="15" x14ac:dyDescent="0.25">
      <c r="A3178" s="5" t="s">
        <v>8925</v>
      </c>
      <c r="B3178" s="6" t="s">
        <v>8926</v>
      </c>
      <c r="C3178" s="3" t="str">
        <f ca="1">IFERROR(__xludf.DUMMYFUNCTION("GOOGLETRANSLATE(B3178,""auto"",""en"")"),"A diving manta toy for youth artificial intelligence education, including fish, head, head, lips, left eyes, right eyes, left gills, right gills, left wings, right wings, left tail wings, tail rudder wings, tail rudder wings, tail rudder wings, tail rudde"&amp;"r wings, tail rudder wings, tail rudder wings, tail rudder wings, tail rudder wings, tail rudder wings, tail rudder wings, tail rudder wings, tail rudder wings, tail rudder wings, tail rudder wings, tail rudder wings, tail rudder wings, tail rudder wings,"&amp;" Its excellent characteristic is that: by playing the micro -motor driver, electronic chip and LED lights, broadcasters and electronic voice chips, and lithium batteries that set up specific inside in diving batt, vividly show the diving manta toys in the"&amp;" water to imitate the mantan free parade house in the water The bionic science, mechanical dynamics, electronic induction, electronic chip and LED light technology involved in it. The present invention is made of environmentally friendly software silicone"&amp;", which protects the tender skin of children when playing with children. Knowing that battles are not only swimming and sportsmen, but also endangered wildlife -endangered species protected by international conventions. Cultivating children's consciousnes"&amp;"s of protecting manta rectae and refusing to eat manta rays is of far -reaching significance for promoting the development of science education for young children.")</f>
        <v>A diving manta toy for youth artificial intelligence education, including fish, head, head, lips, left eyes, right eyes, left gills, right gills, left wings, right wings, left tail wings, tail rudder wings, tail rudder wings, tail rudder wings, tail rudder wings, tail rudder wings, tail rudder wings, tail rudder wings, tail rudder wings, tail rudder wings, tail rudder wings, tail rudder wings, tail rudder wings, tail rudder wings, tail rudder wings, tail rudder wings, tail rudder wings, tail rudder wings, Its excellent characteristic is that: by playing the micro -motor driver, electronic chip and LED lights, broadcasters and electronic voice chips, and lithium batteries that set up specific inside in diving batt, vividly show the diving manta toys in the water to imitate the mantan free parade house in the water The bionic science, mechanical dynamics, electronic induction, electronic chip and LED light technology involved in it. The present invention is made of environmentally friendly software silicone, which protects the tender skin of children when playing with children. Knowing that battles are not only swimming and sportsmen, but also endangered wildlife -endangered species protected by international conventions. Cultivating children's consciousness of protecting manta rectae and refusing to eat manta rays is of far -reaching significance for promoting the development of science education for young children.</v>
      </c>
      <c r="D3178" s="6" t="s">
        <v>8927</v>
      </c>
      <c r="E3178" s="4" t="str">
        <f ca="1">IFERROR(__xludf.DUMMYFUNCTION("GOOGLETRANSLATE(D3178,""auto"",""en"")"),"A diving batty toy for youth artificial intelligence education")</f>
        <v>A diving batty toy for youth artificial intelligence education</v>
      </c>
    </row>
    <row r="3179" spans="1:5" ht="15" x14ac:dyDescent="0.25">
      <c r="A3179" s="5" t="s">
        <v>8928</v>
      </c>
      <c r="B3179" s="6" t="s">
        <v>518</v>
      </c>
      <c r="C3179" s="3" t="str">
        <f ca="1">IFERROR(__xludf.DUMMYFUNCTION("GOOGLETRANSLATE(B3179,""auto"",""en"")"),"-")</f>
        <v>-</v>
      </c>
      <c r="D3179" s="6" t="s">
        <v>7833</v>
      </c>
      <c r="E3179" s="4" t="str">
        <f ca="1">IFERROR(__xludf.DUMMYFUNCTION("GOOGLETRANSLATE(D3179,""auto"",""en"")"),"Driver behavior with artificial intelligence learning and driving coach strategy")</f>
        <v>Driver behavior with artificial intelligence learning and driving coach strategy</v>
      </c>
    </row>
    <row r="3180" spans="1:5" ht="15" x14ac:dyDescent="0.25">
      <c r="A3180" s="5" t="s">
        <v>8929</v>
      </c>
      <c r="B3180" s="6" t="s">
        <v>8930</v>
      </c>
      <c r="C3180" s="3" t="str">
        <f ca="1">IFERROR(__xludf.DUMMYFUNCTION("GOOGLETRANSLATE(B3180,""auto"",""en"")"),"The present invention disclosed a method of seamless combination navigation positioning based on inertial/zero -speed/GPS. First, analyze the output characteristics of the inertia sensor in pedestrians and solve it. The detection model improves the stabil"&amp;"ity and reliability of zero -speed detection in pedestrian running conditions. At the same time, a GPS available signal filtering method based on BP neural network is proposed to effectively eliminate GPS interference signals with large errors and improve"&amp;" the reliability of GPS information. Sexuality and precision; on the basis of the above technology, the Karman filter based on variable measurement measures has achieved the effective integration of inertial/zero -speed information/GPS information, which "&amp;"significantly improves the navigation positioning accuracy in pedestrian running state; The invention can well solve the problem of divergent positions under the speed of pure inertia, and improve the accuracy and reliability of seamless combination navig"&amp;"ation positioning in pedestrians.")</f>
        <v>The present invention disclosed a method of seamless combination navigation positioning based on inertial/zero -speed/GPS. First, analyze the output characteristics of the inertia sensor in pedestrians and solve it. The detection model improves the stability and reliability of zero -speed detection in pedestrian running conditions. At the same time, a GPS available signal filtering method based on BP neural network is proposed to effectively eliminate GPS interference signals with large errors and improve the reliability of GPS information. Sexuality and precision; on the basis of the above technology, the Karman filter based on variable measurement measures has achieved the effective integration of inertial/zero -speed information/GPS information, which significantly improves the navigation positioning accuracy in pedestrian running state; The invention can well solve the problem of divergent positions under the speed of pure inertia, and improve the accuracy and reliability of seamless combination navigation positioning in pedestrians.</v>
      </c>
      <c r="D3180" s="6" t="s">
        <v>8931</v>
      </c>
      <c r="E3180" s="4" t="str">
        <f ca="1">IFERROR(__xludf.DUMMYFUNCTION("GOOGLETRANSLATE(D3180,""auto"",""en"")"),"Pedestrians based on inertial/zero -speed/GPS seamless combination navigation positioning method")</f>
        <v>Pedestrians based on inertial/zero -speed/GPS seamless combination navigation positioning method</v>
      </c>
    </row>
    <row r="3181" spans="1:5" ht="15" x14ac:dyDescent="0.25">
      <c r="A3181" s="5" t="s">
        <v>8932</v>
      </c>
      <c r="B3181" s="6" t="s">
        <v>8933</v>
      </c>
      <c r="C3181" s="3" t="str">
        <f ca="1">IFERROR(__xludf.DUMMYFUNCTION("GOOGLETRANSLATE(B3181,""auto"",""en"")"),"The present invention reveals an intelligent advertising replacement method and system based on deep neural networks. The method includes: S1, live video guidance; S2, using an instance -based identification network to identify the advertising area in the"&amp;" video. The example segmentation model includes the Mask‑rcnn architecture; S3 covers the pre -prepared advertising content in the advertising area identified in S2; S4, export video files edited by S3 and send them to users. The invention will apply deep"&amp;" neural network algorithms to video advertising recognition, and fully realize the precise identification and replacement of sports competition advertising positions.")</f>
        <v>The present invention reveals an intelligent advertising replacement method and system based on deep neural networks. The method includes: S1, live video guidance; S2, using an instance -based identification network to identify the advertising area in the video. The example segmentation model includes the Mask‑rcnn architecture; S3 covers the pre -prepared advertising content in the advertising area identified in S2; S4, export video files edited by S3 and send them to users. The invention will apply deep neural network algorithms to video advertising recognition, and fully realize the precise identification and replacement of sports competition advertising positions.</v>
      </c>
      <c r="D3181" s="6" t="s">
        <v>8934</v>
      </c>
      <c r="E3181" s="4" t="str">
        <f ca="1">IFERROR(__xludf.DUMMYFUNCTION("GOOGLETRANSLATE(D3181,""auto"",""en"")"),"An intelligent advertising replacement method and system based on deep neural networks")</f>
        <v>An intelligent advertising replacement method and system based on deep neural networks</v>
      </c>
    </row>
    <row r="3182" spans="1:5" ht="15" x14ac:dyDescent="0.25">
      <c r="A3182" s="5" t="s">
        <v>8935</v>
      </c>
      <c r="B3182" s="6" t="s">
        <v>8936</v>
      </c>
      <c r="C3182" s="3" t="str">
        <f ca="1">IFERROR(__xludf.DUMMYFUNCTION("GOOGLETRANSLATE(B3182,""auto"",""en"")"),"The present invention provides a method of analysis of vehicle driving behavior based on T 提供box and real -time road conditions map data. The function of this method is mainly to analyze the various sensing data passed back to the various sensing data pas"&amp;"sed back to the artificial intelligence algorithm to achieve the functions of accurate restores of vehicle driving trajectory and classification of driver driving habits to extract a variety of useful information. (Car insurance based on use), high value "&amp;"-added applications such as vehicle accident treatment, driver driving habits guidance provide information sources. The driver's driving behavior mainly includes: the driver's specific operations in the car, such as lighting, steering wheel control, throt"&amp;"tle and brake control, and vehicle driving trajectory.")</f>
        <v>The present invention provides a method of analysis of vehicle driving behavior based on T 提供box and real -time road conditions map data. The function of this method is mainly to analyze the various sensing data passed back to the various sensing data passed back to the artificial intelligence algorithm to achieve the functions of accurate restores of vehicle driving trajectory and classification of driver driving habits to extract a variety of useful information. (Car insurance based on use), high value -added applications such as vehicle accident treatment, driver driving habits guidance provide information sources. The driver's driving behavior mainly includes: the driver's specific operations in the car, such as lighting, steering wheel control, throttle and brake control, and vehicle driving trajectory.</v>
      </c>
      <c r="D3182" s="6" t="s">
        <v>8937</v>
      </c>
      <c r="E3182" s="4" t="str">
        <f ca="1">IFERROR(__xludf.DUMMYFUNCTION("GOOGLETRANSLATE(D3182,""auto"",""en"")"),"An analysis of vehicle driving behavior analysis based on T-BOX and real-time road conditions map data")</f>
        <v>An analysis of vehicle driving behavior analysis based on T-BOX and real-time road conditions map data</v>
      </c>
    </row>
    <row r="3183" spans="1:5" ht="15" x14ac:dyDescent="0.25">
      <c r="A3183" s="5" t="s">
        <v>8938</v>
      </c>
      <c r="B3183" s="6" t="s">
        <v>8939</v>
      </c>
      <c r="C3183" s="3" t="str">
        <f ca="1">IFERROR(__xludf.DUMMYFUNCTION("GOOGLETRANSLATE(B3183,""auto"",""en"")"),"The present invention discloses the artificial intelligence explanation method and system of basketball games. It is characterized by the basic data of the data of the database: pre -processing the data in the database to get the players, referees, basket"&amp;"ball trajectories and other competitions; steps; steps Two: Lock each player and referee of the court and authenticate identity; Step 3: Identify the athlete of the offensive athletes, activate the player and the player players. Defensor athletes perform "&amp;"action recognition; step 5: identify basketball trajectory, identify and lock basketball, track basketball trajectory; step 6: identify referee whistle and gestures; step 7: real -time text and voice synthesis commentary. This method and system can intell"&amp;"igently complete the explanation task of basketball games in real time. Whether it is popular civilian sports or professional competitive sports, professional competitions can be performed, which greatly enhances the entertainment of national sports.")</f>
        <v>The present invention discloses the artificial intelligence explanation method and system of basketball games. It is characterized by the basic data of the data of the database: pre -processing the data in the database to get the players, referees, basketball trajectories and other competitions; steps; steps Two: Lock each player and referee of the court and authenticate identity; Step 3: Identify the athlete of the offensive athletes, activate the player and the player players. Defensor athletes perform action recognition; step 5: identify basketball trajectory, identify and lock basketball, track basketball trajectory; step 6: identify referee whistle and gestures; step 7: real -time text and voice synthesis commentary. This method and system can intelligently complete the explanation task of basketball games in real time. Whether it is popular civilian sports or professional competitive sports, professional competitions can be performed, which greatly enhances the entertainment of national sports.</v>
      </c>
      <c r="D3183" s="6" t="s">
        <v>8940</v>
      </c>
      <c r="E3183" s="4" t="str">
        <f ca="1">IFERROR(__xludf.DUMMYFUNCTION("GOOGLETRANSLATE(D3183,""auto"",""en"")"),"An artificial intelligence commentary method and system of a basketball game")</f>
        <v>An artificial intelligence commentary method and system of a basketball game</v>
      </c>
    </row>
    <row r="3184" spans="1:5" ht="15" x14ac:dyDescent="0.25">
      <c r="A3184" s="5" t="s">
        <v>8941</v>
      </c>
      <c r="B3184" s="6" t="s">
        <v>8942</v>
      </c>
      <c r="C3184" s="3" t="str">
        <f ca="1">IFERROR(__xludf.DUMMYFUNCTION("GOOGLETRANSLATE(B3184,""auto"",""en"")"),"In the present invention, the first team's first team information, the competition results information of the competition played by multiple first teams, and multiple information based on the first team's information and game results information are store"&amp;"d in memory. The ranking information for storing the ranking between the first team; the communication circuit includes the second team information for multiple teams to participate in the sports competition; The ranking system of the game results of the "&amp;"game and the ranking system of the first team of the game and the first team information. The electronic equipment circuit used to control communication is estimated to be ranked in the second team.")</f>
        <v>In the present invention, the first team's first team information, the competition results information of the competition played by multiple first teams, and multiple information based on the first team's information and game results information are stored in memory. The ranking information for storing the ranking between the first team; the communication circuit includes the second team information for multiple teams to participate in the sports competition; The ranking system of the game results of the game and the ranking system of the first team of the game and the first team information. The electronic equipment circuit used to control communication is estimated to be ranked in the second team.</v>
      </c>
      <c r="D3184" s="6" t="s">
        <v>8943</v>
      </c>
      <c r="E3184" s="4" t="str">
        <f ca="1">IFERROR(__xludf.DUMMYFUNCTION("GOOGLETRANSLATE(D3184,""auto"",""en"")"),"A method of generating sports competition rankings, electronic equipment and computer readable record media")</f>
        <v>A method of generating sports competition rankings, electronic equipment and computer readable record media</v>
      </c>
    </row>
    <row r="3185" spans="1:5" ht="15" x14ac:dyDescent="0.25">
      <c r="A3185" s="5" t="s">
        <v>8944</v>
      </c>
      <c r="B3185" s="6" t="s">
        <v>8945</v>
      </c>
      <c r="C3185" s="3" t="str">
        <f ca="1">IFERROR(__xludf.DUMMYFUNCTION("GOOGLETRANSLATE(B3185,""auto"",""en"")"),"According to an embodiment of the present invention, an artificial intelligence real -time sports article automatic writing system based on big data analysis, including: data input unit, receiving the results of baseball games, combined with baseball game"&amp;" information record medium; article writing unit, from baseball game, from baseball game As a result, select a contest keyword keyword, and write articles about the results of the competition according to the keyword of the context of the game; Words are "&amp;"combined with editing articles; the article sends the editor's article to the pre -registered network.")</f>
        <v>According to an embodiment of the present invention, an artificial intelligence real -time sports article automatic writing system based on big data analysis, including: data input unit, receiving the results of baseball games, combined with baseball game information record medium; article writing unit, from baseball game, from baseball game As a result, select a contest keyword keyword, and write articles about the results of the competition according to the keyword of the context of the game; Words are combined with editing articles; the article sends the editor's article to the pre -registered network.</v>
      </c>
      <c r="D3185" s="6" t="s">
        <v>8946</v>
      </c>
      <c r="E3185" s="4" t="str">
        <f ca="1">IFERROR(__xludf.DUMMYFUNCTION("GOOGLETRANSLATE(D3185,""auto"",""en"")"),"Automatic writing system and method of real -time sports articles based on big data analysis")</f>
        <v>Automatic writing system and method of real -time sports articles based on big data analysis</v>
      </c>
    </row>
    <row r="3186" spans="1:5" ht="15" x14ac:dyDescent="0.25">
      <c r="A3186" s="5" t="s">
        <v>8947</v>
      </c>
      <c r="B3186" s="6" t="s">
        <v>8948</v>
      </c>
      <c r="C3186" s="3" t="str">
        <f ca="1">IFERROR(__xludf.DUMMYFUNCTION("GOOGLETRANSLATE(B3186,""auto"",""en"")"),"[0001] The present invention involves a intelligent health system and its control methods that use the intelligent CRM system to perform real -time comprehensive management of real -time management. More specifically, it involves a member card, membership"&amp;" card reader recognition, and managing membership membership for input user information. In -entry and exit meetings, use the smart CRM (customer management) server, transmit the user status to the central server, and analyze the transmitted data. Interac"&amp;"tive, real -time management, use households perform system exercise, detect access and access through user recognition methods, controlled by the central server, transmitted to information centers and coach terminals in real time by the central server, an"&amp;"d exercise members with efficient exercise. It involves a real -time and complex management intelligent health system. It adopts the intelligent CRM system to effectively operate the fitness club through management and reduction of labor costs. And a cont"&amp;"rol method of a intelligent health system. The invention and door frame; the gate installed on the door frame; it consists of an unmanned sanitary door system installed on both sides of the gate. The unmanned sanitary door system includes the door reader "&amp;"to identify the entry; The entry and closing of the gate is controlled by the opening and closing of the gate. Therefore, the real -time complex management of the intelligent health system of the present invention and the intelligent health system control"&amp;" method using the intelligent CRM system provides individuals who cannot optimize the exercise system through artificial intelligence and the Internet of Things and nearby fitness clubs. You can exercise with coaches through integration and easy connectio"&amp;"n, exercise information to store and manage in the central server, and transmit them to each coach and fitness club, which greatly reduces labor costs. At the same time, you can choose non -person to enter the fitness club. By controlling unauthorized int"&amp;"erviews, you can manage fitness club well. In addition, the present invention shared the information between the fitness club and the coach in real time for personalized exercise, that is, the time and amount of exercise, which part of the exercise, and w"&amp;"hich part of the exercise is provided to provide systematic personal exercise management management management management Essence Because it can manage sports, it has the effect of providing a very effective sports system, and has the effect of maximizing"&amp;" the effects of sports data to the trainer to maximize the effects of personalized exercise.")</f>
        <v>[0001] The present invention involves a intelligent health system and its control methods that use the intelligent CRM system to perform real -time comprehensive management of real -time management. More specifically, it involves a member card, membership card reader recognition, and managing membership membership for input user information. In -entry and exit meetings, use the smart CRM (customer management) server, transmit the user status to the central server, and analyze the transmitted data. Interactive, real -time management, use households perform system exercise, detect access and access through user recognition methods, controlled by the central server, transmitted to information centers and coach terminals in real time by the central server, and exercise members with efficient exercise. It involves a real -time and complex management intelligent health system. It adopts the intelligent CRM system to effectively operate the fitness club through management and reduction of labor costs. And a control method of a intelligent health system. The invention and door frame; the gate installed on the door frame; it consists of an unmanned sanitary door system installed on both sides of the gate. The unmanned sanitary door system includes the door reader to identify the entry; The entry and closing of the gate is controlled by the opening and closing of the gate. Therefore, the real -time complex management of the intelligent health system of the present invention and the intelligent health system control method using the intelligent CRM system provides individuals who cannot optimize the exercise system through artificial intelligence and the Internet of Things and nearby fitness clubs. You can exercise with coaches through integration and easy connection, exercise information to store and manage in the central server, and transmit them to each coach and fitness club, which greatly reduces labor costs. At the same time, you can choose non -person to enter the fitness club. By controlling unauthorized interviews, you can manage fitness club well. In addition, the present invention shared the information between the fitness club and the coach in real time for personalized exercise, that is, the time and amount of exercise, which part of the exercise, and which part of the exercise is provided to provide systematic personal exercise management management management management Essence Because it can manage sports, it has the effect of providing a very effective sports system, and has the effect of maximizing the effects of sports data to the trainer to maximize the effects of personalized exercise.</v>
      </c>
      <c r="D3186" s="6" t="s">
        <v>8949</v>
      </c>
      <c r="E3186" s="4" t="str">
        <f ca="1">IFERROR(__xludf.DUMMYFUNCTION("GOOGLETRANSLATE(D3186,""auto"",""en"")"),"Real -time complex management of intelligent CRM systems and control methods of intelligent health systems and their intelligent health system control methods")</f>
        <v>Real -time complex management of intelligent CRM systems and control methods of intelligent health systems and their intelligent health system control methods</v>
      </c>
    </row>
    <row r="3187" spans="1:5" ht="15" x14ac:dyDescent="0.25">
      <c r="A3187" s="5" t="s">
        <v>8950</v>
      </c>
      <c r="B3187" s="6" t="s">
        <v>8951</v>
      </c>
      <c r="C3187" s="3" t="str">
        <f ca="1">IFERROR(__xludf.DUMMYFUNCTION("GOOGLETRANSLATE(B3187,""auto"",""en"")"),"The present invention provides a method of Internet -based terminal data processing method based on the hierarchical of the projection mobile phone, which includes (1) to establish a projection mobile phone to connect with the sports system of the sports "&amp;"mobile phone; Data processing; (3) presented by a projection mobile phone. The present invention proposes a layered ""Sports Sports+Projective Mobile Phone"" IoT terminal data processing method. By collecting sports physical data, the presence of projecti"&amp;"on mobile phones, and through the method of layered data processing Demand for fitness everywhere.")</f>
        <v>The present invention provides a method of Internet -based terminal data processing method based on the hierarchical of the projection mobile phone, which includes (1) to establish a projection mobile phone to connect with the sports system of the sports mobile phone; Data processing; (3) presented by a projection mobile phone. The present invention proposes a layered "Sports Sports+Projective Mobile Phone" IoT terminal data processing method. By collecting sports physical data, the presence of projection mobile phones, and through the method of layered data processing Demand for fitness everywhere.</v>
      </c>
      <c r="D3187" s="6" t="s">
        <v>8952</v>
      </c>
      <c r="E3187" s="4" t="str">
        <f ca="1">IFERROR(__xludf.DUMMYFUNCTION("GOOGLETRANSLATE(D3187,""auto"",""en"")"),"An IoT terminal data processing method based on projection mobile phones")</f>
        <v>An IoT terminal data processing method based on projection mobile phones</v>
      </c>
    </row>
    <row r="3188" spans="1:5" ht="15" x14ac:dyDescent="0.25">
      <c r="A3188" s="5" t="s">
        <v>8953</v>
      </c>
      <c r="B3188" s="6" t="s">
        <v>8954</v>
      </c>
      <c r="C3188" s="3" t="str">
        <f ca="1">IFERROR(__xludf.DUMMYFUNCTION("GOOGLETRANSLATE(B3188,""auto"",""en"")"),"本实用新型属于智能机器人创新设计技术领域，提供一种新型收集分类捡球机器人，新型收集分类捡球机器人包括动力总成、变幅总成、回转总成、拾取机构总成、支撑总成、 Sorting assembly, the sorting assembly is the core of the classification and recycling function of different balls. The robot independently identifies the table tennis, tennis, "&amp;"badminton and judgment position through the camera sensor, and picked up the ball and sorted recycling through multiple institutions. This utility model adopts automated identification and sorting mechanism, and the size of the mouth is assisted to distin"&amp;"guish different balls. This robot has increased the types of routine single -picking robot recognition balls, improved efficiency, and small torque and power. The robotic action is flexible, the configuration is reasonable, and can automatically identify "&amp;"and pick up badminton, tennis and table tennis in the court, and classify the three to improve the commonability of the robot, which can greatly save costs.")</f>
        <v>本实用新型属于智能机器人创新设计技术领域，提供一种新型收集分类捡球机器人，新型收集分类捡球机器人包括动力总成、变幅总成、回转总成、拾取机构总成、支撑总成、 Sorting assembly, the sorting assembly is the core of the classification and recycling function of different balls. The robot independently identifies the table tennis, tennis, badminton and judgment position through the camera sensor, and picked up the ball and sorted recycling through multiple institutions. This utility model adopts automated identification and sorting mechanism, and the size of the mouth is assisted to distinguish different balls. This robot has increased the types of routine single -picking robot recognition balls, improved efficiency, and small torque and power. The robotic action is flexible, the configuration is reasonable, and can automatically identify and pick up badminton, tennis and table tennis in the court, and classify the three to improve the commonability of the robot, which can greatly save costs.</v>
      </c>
      <c r="D3188" s="6" t="s">
        <v>8955</v>
      </c>
      <c r="E3188" s="4" t="str">
        <f ca="1">IFERROR(__xludf.DUMMYFUNCTION("GOOGLETRANSLATE(D3188,""auto"",""en"")"),"A new type of collection and classification of ball picking robots")</f>
        <v>A new type of collection and classification of ball picking robots</v>
      </c>
    </row>
    <row r="3189" spans="1:5" ht="15" x14ac:dyDescent="0.25">
      <c r="A3189" s="5" t="s">
        <v>8956</v>
      </c>
      <c r="B3189" s="6" t="s">
        <v>8957</v>
      </c>
      <c r="C3189" s="3" t="str">
        <f ca="1">IFERROR(__xludf.DUMMYFUNCTION("GOOGLETRANSLATE(B3189,""auto"",""en"")"),"The present invention belongs to the field of intelligent robots innovative design technology. It provides a new type of collection and classification of ball pick -up robots and its usage. Total and sorting assemblies, the sorting assembly is the core of"&amp;" the different ball classification recycling function. The robot independently identifies the table tennis, tennis, badminton and judgment position through the camera sensor, and picked up the ball and sorted recycling through multiple institutions. The i"&amp;"nvention uses automated identification and sorting mechanisms, and the size of the mouth is assisted to distinguish different balls. This robot has increased the types of ball -identifying balls in a routine single pick -up robot recognition ball, which h"&amp;"as improved efficiency. The torque and power are small. Flexible action, reasonable configuration, can automatically identify and pick up badminton, tennis and table tennis in the stadium, and classify the three to improve the generality of the robot, whi"&amp;"ch can greatly save costs.")</f>
        <v>The present invention belongs to the field of intelligent robots innovative design technology. It provides a new type of collection and classification of ball pick -up robots and its usage. Total and sorting assemblies, the sorting assembly is the core of the different ball classification recycling function. The robot independently identifies the table tennis, tennis, badminton and judgment position through the camera sensor, and picked up the ball and sorted recycling through multiple institutions. The invention uses automated identification and sorting mechanisms, and the size of the mouth is assisted to distinguish different balls. This robot has increased the types of ball -identifying balls in a routine single pick -up robot recognition ball, which has improved efficiency. The torque and power are small. Flexible action, reasonable configuration, can automatically identify and pick up badminton, tennis and table tennis in the stadium, and classify the three to improve the generality of the robot, which can greatly save costs.</v>
      </c>
      <c r="D3189" s="6" t="s">
        <v>8958</v>
      </c>
      <c r="E3189" s="4" t="str">
        <f ca="1">IFERROR(__xludf.DUMMYFUNCTION("GOOGLETRANSLATE(D3189,""auto"",""en"")"),"A new type of collection and classification of ball pick -up robots and its usage how to use")</f>
        <v>A new type of collection and classification of ball pick -up robots and its usage how to use</v>
      </c>
    </row>
    <row r="3190" spans="1:5" ht="15" x14ac:dyDescent="0.25">
      <c r="A3190" s="5" t="s">
        <v>8959</v>
      </c>
      <c r="B3190" s="6" t="s">
        <v>8960</v>
      </c>
      <c r="C3190" s="3" t="str">
        <f ca="1">IFERROR(__xludf.DUMMYFUNCTION("GOOGLETRANSLATE(B3190,""auto"",""en"")"),"The invention discloses a system of intelligent shared fitness system and related mobile phone sports APPs. It is characterized by: a shared fitness system and a mobile phone sports APP system based on the Internet of Things transfer information. The shar"&amp;"ed fitness system includes merchant clients, products Department management and sports equipment, the mobile phone sports APP system includes account management, function panels, personal details, setting management. The present invention can overcome the"&amp;" boring nature of personal fitness, encourage national fitness, improve the practicality of fitness equipment, expand the use of groups, reduce consumption, improve the intelligence of use, and bring a better experience.")</f>
        <v>The invention discloses a system of intelligent shared fitness system and related mobile phone sports APPs. It is characterized by: a shared fitness system and a mobile phone sports APP system based on the Internet of Things transfer information. The shared fitness system includes merchant clients, products Department management and sports equipment, the mobile phone sports APP system includes account management, function panels, personal details, setting management. The present invention can overcome the boring nature of personal fitness, encourage national fitness, improve the practicality of fitness equipment, expand the use of groups, reduce consumption, improve the intelligence of use, and bring a better experience.</v>
      </c>
      <c r="D3190" s="6" t="s">
        <v>8961</v>
      </c>
      <c r="E3190" s="4" t="str">
        <f ca="1">IFERROR(__xludf.DUMMYFUNCTION("GOOGLETRANSLATE(D3190,""auto"",""en"")"),"A system of intelligent shared fitness system and related mobile phone sports apps")</f>
        <v>A system of intelligent shared fitness system and related mobile phone sports apps</v>
      </c>
    </row>
    <row r="3191" spans="1:5" ht="15" x14ac:dyDescent="0.25">
      <c r="A3191" s="5" t="s">
        <v>8962</v>
      </c>
      <c r="B3191" s="6" t="s">
        <v>8963</v>
      </c>
      <c r="C3191" s="3" t="str">
        <f ca="1">IFERROR(__xludf.DUMMYFUNCTION("GOOGLETRANSLATE(B3191,""auto"",""en"")"),"Provide a system for dynamic entity data control. In some examples, the system can receive a request request for the second or regional region for generating the entity operation and/or the request for receiving the second entity in the second region or r"&amp;"egion during operation. This system can generate and transmit requests for additional data. Requests on additional data can include requests about data data, as well as requests about multiple other entities, other areas or regions. The system can receive"&amp;" response data and can use machine learning to analyze. Once a recommendation is generated, one or more instructions can be generated and it is transmitted to the physical computing system, a calculation system of the second or temporary entities, etc. Yo"&amp;"u can then execute the generated instructions to modify data, display additional or new data, etc.")</f>
        <v>Provide a system for dynamic entity data control. In some examples, the system can receive a request request for the second or regional region for generating the entity operation and/or the request for receiving the second entity in the second region or region during operation. This system can generate and transmit requests for additional data. Requests on additional data can include requests about data data, as well as requests about multiple other entities, other areas or regions. The system can receive response data and can use machine learning to analyze. Once a recommendation is generated, one or more instructions can be generated and it is transmitted to the physical computing system, a calculation system of the second or temporary entities, etc. You can then execute the generated instructions to modify data, display additional or new data, etc.</v>
      </c>
      <c r="D3191" s="6" t="s">
        <v>8964</v>
      </c>
      <c r="E3191" s="4" t="str">
        <f ca="1">IFERROR(__xludf.DUMMYFUNCTION("GOOGLETRANSLATE(D3191,""auto"",""en"")"),"Intelligent dynamic physical data control system")</f>
        <v>Intelligent dynamic physical data control system</v>
      </c>
    </row>
    <row r="3192" spans="1:5" ht="15" x14ac:dyDescent="0.25">
      <c r="A3192" s="5" t="s">
        <v>8965</v>
      </c>
      <c r="B3192" s="6" t="s">
        <v>8966</v>
      </c>
      <c r="C3192" s="3" t="str">
        <f ca="1">IFERROR(__xludf.DUMMYFUNCTION("GOOGLETRANSLATE(B3192,""auto"",""en"")"),"A wearable device that can identify the sleeping stage, including the processor, electrocardiogram sensor, acceleration sensor and angle plus speed sensor. Trail training neural network module. ECG sensor generates an ECG signal. The processor analyzes th"&amp;"e ECG signal to generate multiple first feature values. Acceleration sensor generates acceleration signals. The processor analysis acceleration signal is generated to generate multiple second features. Angle acceleration sensor generates angular accelerat"&amp;"ion signal. The processor analysis angle acceleration signal is generated to generate multiple third feature values. The processor uses the trained neural network module to identify the sleep phase according to the first feature value, the second feature "&amp;"value, and the third feature value to obtain the results of the sleep phase.")</f>
        <v>A wearable device that can identify the sleeping stage, including the processor, electrocardiogram sensor, acceleration sensor and angle plus speed sensor. Trail training neural network module. ECG sensor generates an ECG signal. The processor analyzes the ECG signal to generate multiple first feature values. Acceleration sensor generates acceleration signals. The processor analysis acceleration signal is generated to generate multiple second features. Angle acceleration sensor generates angular acceleration signal. The processor analysis angle acceleration signal is generated to generate multiple third feature values. The processor uses the trained neural network module to identify the sleep phase according to the first feature value, the second feature value, and the third feature value to obtain the results of the sleep phase.</v>
      </c>
      <c r="D3192" s="6" t="s">
        <v>8967</v>
      </c>
      <c r="E3192" s="4" t="str">
        <f ca="1">IFERROR(__xludf.DUMMYFUNCTION("GOOGLETRANSLATE(D3192,""auto"",""en"")"),"Detection of the test results of wearable stadium detection and testing")</f>
        <v>Detection of the test results of wearable stadium detection and testing</v>
      </c>
    </row>
    <row r="3193" spans="1:5" ht="15" x14ac:dyDescent="0.25">
      <c r="A3193" s="5" t="s">
        <v>8968</v>
      </c>
      <c r="B3193" s="6" t="s">
        <v>8969</v>
      </c>
      <c r="C3193" s="3" t="str">
        <f ca="1">IFERROR(__xludf.DUMMYFUNCTION("GOOGLETRANSLATE(B3193,""auto"",""en"")"),"A smart ball rack based on the Internet of Things, including control panels, active leg base, fixed leg base, fixed legs, and ball nets. The control panel includes stop buttons, QR code, and GPRS wireless data modules Circuit board; it is characterized by"&amp;": also includes a shaft, motion -leg cantilever beam, sales, U -shaped card, screw, internal thread cylinder, external thread drive component, extended rod, step motor, motor stand, steps, steps, steps, steps, steps, steps, steps, steps, steps, steps, ste"&amp;"ps, steps, steps, steps, steps, steps, steps, steps, steps, steps, steps, steps, steps, steps, steps, steps, steps, steps, steps, steps, steps, steps, steps, steps, steps, steps, steps, steps, steps, steps, steps, steps, steps, steps, steps, steps, steps,"&amp;" steps, steps, steps, steps, steps, steps, steps, steps, steps. Enter the motor to install beams, move leg brackets, move legs, flat pads, and open sales. There are hoods preferably, with openings and hood installation holes on the cover. The use of the p"&amp;"resent invention can monitor the use of balls such as badminton, tennis, table tennis, etc. in real time, charges in time, accurate charges, solve the problem of inconvenient management of ball venues, save labor costs, realize automated management of bal"&amp;"l venues, no, no, no, no Management.")</f>
        <v>A smart ball rack based on the Internet of Things, including control panels, active leg base, fixed leg base, fixed legs, and ball nets. The control panel includes stop buttons, QR code, and GPRS wireless data modules Circuit board; it is characterized by: also includes a shaft, motion -leg cantilever beam, sales, U -shaped card, screw, internal thread cylinder, external thread drive component, extended rod, step motor, motor stand,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Enter the motor to install beams, move leg brackets, move legs, flat pads, and open sales. There are hoods preferably, with openings and hood installation holes on the cover. The use of the present invention can monitor the use of balls such as badminton, tennis, table tennis, etc. in real time, charges in time, accurate charges, solve the problem of inconvenient management of ball venues, save labor costs, realize automated management of ball venues, no, no, no, no Management.</v>
      </c>
      <c r="D3193" s="6" t="s">
        <v>8970</v>
      </c>
      <c r="E3193" s="4" t="str">
        <f ca="1">IFERROR(__xludf.DUMMYFUNCTION("GOOGLETRANSLATE(D3193,""auto"",""en"")"),"A smart ball rack based on the Internet of Things")</f>
        <v>A smart ball rack based on the Internet of Things</v>
      </c>
    </row>
    <row r="3194" spans="1:5" ht="15" x14ac:dyDescent="0.25">
      <c r="A3194" s="5" t="s">
        <v>8971</v>
      </c>
      <c r="B3194" s="6" t="s">
        <v>8972</v>
      </c>
      <c r="C3194" s="3" t="str">
        <f ca="1">IFERROR(__xludf.DUMMYFUNCTION("GOOGLETRANSLATE(B3194,""auto"",""en"")"),"A smart ball rack based on the Internet of Things, including control panels, active leg base, fixed leg base, fixed legs, and ball nets. The control panel includes stop buttons, QR code, and GPRS wireless data modules Circuit board; it is characterized by"&amp;": also includes a shaft, motion -leg cantilever beam, sales, U -shaped card, screw, internal thread cylinder, external thread drive component, extended rod, step motor, motor stand, steps, steps, steps, steps, steps, steps, steps, steps, steps, steps, ste"&amp;"ps, steps, steps, steps, steps, steps, steps, steps, steps, steps, steps, steps, steps, steps, steps, steps, steps, steps, steps, steps, steps, steps, steps, steps, steps, steps, steps, steps, steps, steps, steps, steps, steps, steps, steps, steps, steps,"&amp;" steps, steps, steps, steps, steps, steps, steps, steps, steps. Enter the motor to install beams, move leg brackets, move legs, flat pads, and open sales. There are hoods preferably, with openings and hood installation holes on the cover. The use of this "&amp;"utility model can comprehensively and real time monitor the use of badminton, tennis, table tennis and other ball sites, timely charges, accurate charges, solve the problem of inconvenient management of ball venues, save labor costs, realize the automatio"&amp;"n management of ball venues, and the automation management of ball venues. No one manages.")</f>
        <v>A smart ball rack based on the Internet of Things, including control panels, active leg base, fixed leg base, fixed legs, and ball nets. The control panel includes stop buttons, QR code, and GPRS wireless data modules Circuit board; it is characterized by: also includes a shaft, motion -leg cantilever beam, sales, U -shaped card, screw, internal thread cylinder, external thread drive component, extended rod, step motor, motor stand,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steps. Enter the motor to install beams, move leg brackets, move legs, flat pads, and open sales. There are hoods preferably, with openings and hood installation holes on the cover. The use of this utility model can comprehensively and real time monitor the use of badminton, tennis, table tennis and other ball sites, timely charges, accurate charges, solve the problem of inconvenient management of ball venues, save labor costs, realize the automation management of ball venues, and the automation management of ball venues. No one manages.</v>
      </c>
      <c r="D3194" s="6" t="s">
        <v>8970</v>
      </c>
      <c r="E3194" s="4" t="str">
        <f ca="1">IFERROR(__xludf.DUMMYFUNCTION("GOOGLETRANSLATE(D3194,""auto"",""en"")"),"A smart ball rack based on the Internet of Things")</f>
        <v>A smart ball rack based on the Internet of Things</v>
      </c>
    </row>
    <row r="3195" spans="1:5" ht="15" x14ac:dyDescent="0.25">
      <c r="A3195" s="5" t="s">
        <v>8973</v>
      </c>
      <c r="B3195" s="6" t="s">
        <v>8974</v>
      </c>
      <c r="C3195" s="3" t="str">
        <f ca="1">IFERROR(__xludf.DUMMYFUNCTION("GOOGLETRANSLATE(B3195,""auto"",""en"")"),"The present invention provides a fire simulation training method based on virtual reality technology, including: build a virtual scene model library on the fire scene; combines geographical information and model three -dimensional space location informati"&amp;"on to load the virtual scenario model library built into the three -dimensional scenario through the three -dimensional model. ; Through the display screen and human -computer interaction, load the exercise simulation scene and retrieve the pre -stored di"&amp;"saster relief plan library; the drill staff wearing a VR device to display the exercise simulation scenario and track the scene trajectory of the drill personnel to display the corresponding angle; start to start Collect the specific operational informati"&amp;"on information, real -time status information, location information, and the surrounding environmental information of the exercise staff, and display the collection information after the collection information is processed. The fire simulation training me"&amp;"thod provided by the invention based on virtual reality technology is conducive to improving the targeted and effectiveness of fire training and a strong sense of experience.")</f>
        <v>The present invention provides a fire simulation training method based on virtual reality technology, including: build a virtual scene model library on the fire scene; combines geographical information and model three -dimensional space location information to load the virtual scenario model library built into the three -dimensional scenario through the three -dimensional model. ; Through the display screen and human -computer interaction, load the exercise simulation scene and retrieve the pre -stored disaster relief plan library; the drill staff wearing a VR device to display the exercise simulation scenario and track the scene trajectory of the drill personnel to display the corresponding angle; start to start Collect the specific operational information information, real -time status information, location information, and the surrounding environmental information of the exercise staff, and display the collection information after the collection information is processed. The fire simulation training method provided by the invention based on virtual reality technology is conducive to improving the targeted and effectiveness of fire training and a strong sense of experience.</v>
      </c>
      <c r="D3195" s="6" t="s">
        <v>8975</v>
      </c>
      <c r="E3195" s="4" t="str">
        <f ca="1">IFERROR(__xludf.DUMMYFUNCTION("GOOGLETRANSLATE(D3195,""auto"",""en"")"),"A fire simulation training method based on virtual reality technology")</f>
        <v>A fire simulation training method based on virtual reality technology</v>
      </c>
    </row>
    <row r="3196" spans="1:5" ht="15" x14ac:dyDescent="0.25">
      <c r="A3196" s="5" t="s">
        <v>8976</v>
      </c>
      <c r="B3196" s="6" t="s">
        <v>8977</v>
      </c>
      <c r="C3196" s="3" t="str">
        <f ca="1">IFERROR(__xludf.DUMMYFUNCTION("GOOGLETRANSLATE(B3196,""auto"",""en"")"),"The present invention disclosed a referee equipment based on image recognition and augmented reality technology drone competition. The collection system captures the live video of the drone through deep camera and uses the live broadcast screen as a featu"&amp;"re information to be recognized; And compare the information of the pre -established feature information library special information; when the feature information in the feature information library is the same as the obtained feature information, the rect"&amp;"ification method is used to render to draw the participating drone flight trajectory and superimposed to the superimposed to the drone flight trajectory to the contestant to the game. Live screen; at the same time, through the deep camera test, analyze th"&amp;"e position of the participating drone and the participating environment; when the participating drones drive out of the participating environment, the system will immediately alert and send information for on -site referees to decide. The present inventio"&amp;"n can clearly clearly The unrecognizable drone's high -speed running status that cannot be recognized by the naked eye and scoring reduction have reduced the controversy of the results of the game results, and increased the viewing experience of the audie"&amp;"nce to watch the drone flight competition.")</f>
        <v>The present invention disclosed a referee equipment based on image recognition and augmented reality technology drone competition. The collection system captures the live video of the drone through deep camera and uses the live broadcast screen as a feature information to be recognized; And compare the information of the pre -established feature information library special information; when the feature information in the feature information library is the same as the obtained feature information, the rectification method is used to render to draw the participating drone flight trajectory and superimposed to the superimposed to the drone flight trajectory to the contestant to the game. Live screen; at the same time, through the deep camera test, analyze the position of the participating drone and the participating environment; when the participating drones drive out of the participating environment, the system will immediately alert and send information for on -site referees to decide. The present invention can clearly clearly The unrecognizable drone's high -speed running status that cannot be recognized by the naked eye and scoring reduction have reduced the controversy of the results of the game results, and increased the viewing experience of the audience to watch the drone flight competition.</v>
      </c>
      <c r="D3196" s="6" t="s">
        <v>8978</v>
      </c>
      <c r="E3196" s="4" t="str">
        <f ca="1">IFERROR(__xludf.DUMMYFUNCTION("GOOGLETRANSLATE(D3196,""auto"",""en"")"),"A referee equipment based on image recognition and augmented reality technology drone competition")</f>
        <v>A referee equipment based on image recognition and augmented reality technology drone competition</v>
      </c>
    </row>
    <row r="3197" spans="1:5" ht="15" x14ac:dyDescent="0.25">
      <c r="A3197" s="5" t="s">
        <v>8979</v>
      </c>
      <c r="B3197" s="6" t="s">
        <v>8980</v>
      </c>
      <c r="C3197" s="3" t="str">
        <f ca="1">IFERROR(__xludf.DUMMYFUNCTION("GOOGLETRANSLATE(B3197,""auto"",""en"")"),"The present invention disclosed a house price prediction method based on deep learning and feature combinations, including the following steps: understanding data, analyzing data, feature engineering, deep learning, predictive results. The method of this "&amp;"invention proposes a new idea of ​​a characteristic combination, and is trained layer by layered training network structure based on deep learning model structures. Compared with traditional hand -extracting features and common machine learning methods, i"&amp;"t can effectively extract the inner non -linear characteristics of the data. To better solve the problem of house prices. The invention method has achieved fourth place in the U.S. King County house price prediction competition on the DataCastle platform,"&amp;" with an error accuracy of 0.14, which fully proves the effectiveness of this method.")</f>
        <v>The present invention disclosed a house price prediction method based on deep learning and feature combinations, including the following steps: understanding data, analyzing data, feature engineering, deep learning, predictive results. The method of this invention proposes a new idea of ​​a characteristic combination, and is trained layer by layered training network structure based on deep learning model structures. Compared with traditional hand -extracting features and common machine learning methods, it can effectively extract the inner non -linear characteristics of the data. To better solve the problem of house prices. The invention method has achieved fourth place in the U.S. King County house price prediction competition on the DataCastle platform, with an error accuracy of 0.14, which fully proves the effectiveness of this method.</v>
      </c>
      <c r="D3197" s="6" t="s">
        <v>8981</v>
      </c>
      <c r="E3197" s="4" t="str">
        <f ca="1">IFERROR(__xludf.DUMMYFUNCTION("GOOGLETRANSLATE(D3197,""auto"",""en"")"),"A house price prediction method based on deep learning and feature combination")</f>
        <v>A house price prediction method based on deep learning and feature combination</v>
      </c>
    </row>
    <row r="3198" spans="1:5" ht="15" x14ac:dyDescent="0.25">
      <c r="A3198" s="5" t="s">
        <v>8982</v>
      </c>
      <c r="B3198" s="6" t="s">
        <v>8983</v>
      </c>
      <c r="C3198" s="3" t="str">
        <f ca="1">IFERROR(__xludf.DUMMYFUNCTION("GOOGLETRANSLATE(B3198,""auto"",""en"")"),"This utility model opens a type of interactive target capture training equipment, including rubber pads and consoles, which is provided with a pressure sensor membrane in the rubber pads There is an action capture camera at the top of the pillar. The acti"&amp;"on of the action of the action of the camera is set with an inclination -angle adjustment hydraulic rod. The side of the rubber pad is set. There is an action display screen on the top of the stage. On one side of the action display, a state indicator lig"&amp;"ht is set. The state indicator is set with a voice bogrers, a wrist sensor of the athlete wrist and ankle Wear headset. The beneficial effect is that through human -computer interaction control, you can detect the physical movement situation in real time "&amp;"and perform real -time feedback, quickly correct the exercise posture of athletes, shorten the useless exercise time, and improve the exercise effect.")</f>
        <v>This utility model opens a type of interactive target capture training equipment, including rubber pads and consoles, which is provided with a pressure sensor membrane in the rubber pads There is an action capture camera at the top of the pillar. The action of the action of the action of the camera is set with an inclination -angle adjustment hydraulic rod. The side of the rubber pad is set. There is an action display screen on the top of the stage. On one side of the action display, a state indicator light is set. The state indicator is set with a voice bogrers, a wrist sensor of the athlete wrist and ankle Wear headset. The beneficial effect is that through human -computer interaction control, you can detect the physical movement situation in real time and perform real -time feedback, quickly correct the exercise posture of athletes, shorten the useless exercise time, and improve the exercise effect.</v>
      </c>
      <c r="D3198" s="6" t="s">
        <v>8984</v>
      </c>
      <c r="E3198" s="4" t="str">
        <f ca="1">IFERROR(__xludf.DUMMYFUNCTION("GOOGLETRANSLATE(D3198,""auto"",""en"")"),"An interactive target capture training equipment")</f>
        <v>An interactive target capture training equipment</v>
      </c>
    </row>
    <row r="3199" spans="1:5" ht="15" x14ac:dyDescent="0.25">
      <c r="A3199" s="5" t="s">
        <v>8985</v>
      </c>
      <c r="B3199" s="6" t="s">
        <v>8986</v>
      </c>
      <c r="C3199" s="3" t="str">
        <f ca="1">IFERROR(__xludf.DUMMYFUNCTION("GOOGLETRANSLATE(B3199,""auto"",""en"")"),"This utility model discloses a referee equipment based on image recognition and augmented reality technology drone competition. The collection system captures the live video of the drone through the deep camera and uses the live broadcast screen as the im"&amp;"age to be recognized. ; And compare with the pre -established feature information library special information; when the characteristic information in the feature information library is the same as the obtained feature information, the rectification method"&amp;" is used to render to draw By the live broadcast; at the same time, through the deep camera test, analyze the location of the participating drones and the participating environment; when the participating drones drive out of the participating environment,"&amp;" the system will immediately alert and send information for on -site referees to decide. It clearly identifies the high -speed running status of the drone that cannot be recognized with the naked eye, and scores, reducing the controversy of the punishment"&amp;" of the results of the game, and increasing the viewing experience of the audience to watch the drone flight competition.")</f>
        <v>This utility model discloses a referee equipment based on image recognition and augmented reality technology drone competition. The collection system captures the live video of the drone through the deep camera and uses the live broadcast screen as the image to be recognized. ; And compare with the pre -established feature information library special information; when the characteristic information in the feature information library is the same as the obtained feature information, the rectification method is used to render to draw By the live broadcast; at the same time, through the deep camera test, analyze the location of the participating drones and the participating environment; when the participating drones drive out of the participating environment, the system will immediately alert and send information for on -site referees to decide. It clearly identifies the high -speed running status of the drone that cannot be recognized with the naked eye, and scores, reducing the controversy of the punishment of the results of the game, and increasing the viewing experience of the audience to watch the drone flight competition.</v>
      </c>
      <c r="D3199" s="6" t="s">
        <v>8978</v>
      </c>
      <c r="E3199" s="4" t="str">
        <f ca="1">IFERROR(__xludf.DUMMYFUNCTION("GOOGLETRANSLATE(D3199,""auto"",""en"")"),"A referee equipment based on image recognition and augmented reality technology drone competition")</f>
        <v>A referee equipment based on image recognition and augmented reality technology drone competition</v>
      </c>
    </row>
    <row r="3200" spans="1:5" ht="15" x14ac:dyDescent="0.25">
      <c r="A3200" s="5" t="s">
        <v>8987</v>
      </c>
      <c r="B3200" s="6" t="s">
        <v>8988</v>
      </c>
      <c r="C3200" s="3" t="str">
        <f ca="1">IFERROR(__xludf.DUMMYFUNCTION("GOOGLETRANSLATE(B3200,""auto"",""en"")"),"[Question] In the traditional running data measurement system, there are only general results showing, such as the user's running speed, the speed of running (the distance of the user's movement per hour), and the steps of displaying a width of the user. "&amp;"have. Provide a sports support system, in addition to the display results, it also shows how to connect the result to improve the running skills.
  [Solution] Motor data, self -assessment data, and GPS data are used as input data, and machine learning i"&amp;"s performed in the learning unit to form a numerical model to predict the evaluation. The prediction and calculation of factors contribute, predict self -evaluation and predictive prediction Factor contribution is displayed on the display unit.
  【Selec"&amp;"tion Figure】 Figure 2")</f>
        <v>[Question] In the traditional running data measurement system, there are only general results showing, such as the user's running speed, the speed of running (the distance of the user's movement per hour), and the steps of displaying a width of the user. have. Provide a sports support system, in addition to the display results, it also shows how to connect the result to improve the running skills.
  [Solution] Motor data, self -assessment data, and GPS data are used as input data, and machine learning is performed in the learning unit to form a numerical model to predict the evaluation. The prediction and calculation of factors contribute, predict self -evaluation and predictive prediction Factor contribution is displayed on the display unit.
  【Selection Figure】 Figure 2</v>
      </c>
      <c r="D3200" s="6" t="s">
        <v>8989</v>
      </c>
      <c r="E3200" s="4" t="str">
        <f ca="1">IFERROR(__xludf.DUMMYFUNCTION("GOOGLETRANSLATE(D3200,""auto"",""en"")"),"Running support system")</f>
        <v>Running support system</v>
      </c>
    </row>
    <row r="3201" spans="1:5" ht="15" x14ac:dyDescent="0.25">
      <c r="A3201" s="5" t="s">
        <v>8990</v>
      </c>
      <c r="B3201" s="6" t="s">
        <v>8991</v>
      </c>
      <c r="C3201" s="3" t="s">
        <v>12415</v>
      </c>
      <c r="D3201" s="6" t="s">
        <v>8992</v>
      </c>
      <c r="E3201" s="4" t="str">
        <f ca="1">IFERROR(__xludf.DUMMYFUNCTION("GOOGLETRANSLATE(D3201,""auto"",""en"")"),"It is especially suitable for the equipment of the workplace")</f>
        <v>It is especially suitable for the equipment of the workplace</v>
      </c>
    </row>
    <row r="3202" spans="1:5" ht="15" x14ac:dyDescent="0.25">
      <c r="A3202" s="5" t="s">
        <v>8993</v>
      </c>
      <c r="B3202" s="6" t="s">
        <v>8994</v>
      </c>
      <c r="C3202" s="3" t="str">
        <f ca="1">IFERROR(__xludf.DUMMYFUNCTION("GOOGLETRANSLATE(B3202,""auto"",""en"")"),"The identification server includes event data storage 204; scene data storage 206; scene processing engine 202 connects to event data storage and scenario data storage; and predictive event generator module 208 connected to event data storage and scene da"&amp;"ta storage 208. Scene process engine 202 is configured to receive sensor data 200 and determine one or more objects and scenarios based on the sensor data and data stored in events and scene data storage. The predicted event generator determines the possi"&amp;"ble results based on one or more objects and scenes determined, and responds to the confirmation to the user. Location data, historical data, and/or environmental condition data with different data with different details to evaluate the event data. The se"&amp;"nsor may include IoT devices, image sensors, sound sensors, brightness sensors, odor sensors, temperature sensors, humidity sensors and close to sensors, fitness trackers, PIR motion detectors and mobile (mobile phone) phone.")</f>
        <v>The identification server includes event data storage 204; scene data storage 206; scene processing engine 202 connects to event data storage and scenario data storage; and predictive event generator module 208 connected to event data storage and scene data storage 208. Scene process engine 202 is configured to receive sensor data 200 and determine one or more objects and scenarios based on the sensor data and data stored in events and scene data storage. The predicted event generator determines the possible results based on one or more objects and scenes determined, and responds to the confirmation to the user. Location data, historical data, and/or environmental condition data with different data with different details to evaluate the event data. The sensor may include IoT devices, image sensors, sound sensors, brightness sensors, odor sensors, temperature sensors, humidity sensors and close to sensors, fitness trackers, PIR motion detectors and mobile (mobile phone) phone.</v>
      </c>
      <c r="D3202" s="6" t="s">
        <v>8995</v>
      </c>
      <c r="E3202" s="4" t="str">
        <f ca="1">IFERROR(__xludf.DUMMYFUNCTION("GOOGLETRANSLATE(D3202,""auto"",""en"")"),"Event physical monitoring network and method")</f>
        <v>Event physical monitoring network and method</v>
      </c>
    </row>
    <row r="3203" spans="1:5" ht="15" x14ac:dyDescent="0.25">
      <c r="A3203" s="5" t="s">
        <v>8996</v>
      </c>
      <c r="B3203" s="6" t="s">
        <v>8997</v>
      </c>
      <c r="C3203" s="3" t="str">
        <f ca="1">IFERROR(__xludf.DUMMYFUNCTION("GOOGLETRANSLATE(B3203,""auto"",""en"")"),"This utility model opens a voice recognition system for coaching car teaching, including coaching car body, round board and installation board. The connection with a spring rod, and the end of the spring rod is fixed to the ring plate, which is opened wit"&amp;"h a fixed groove on the inner surface of the ring plate. The board is a squeezing rod on one side of the buffer board, which involves the technical field of driving training equipment. The voice recognition system for coaching ride teaching can automatica"&amp;"lly clean up the dust of the monitoring camera. At the same time, it can also be easily disassembled and cleaned by the wiping cloth, which greatly improves the clarity of the monitoring of the monitoring camera. Normal use creates good conditions and red"&amp;"uces the intensity of work.")</f>
        <v>This utility model opens a voice recognition system for coaching car teaching, including coaching car body, round board and installation board. The connection with a spring rod, and the end of the spring rod is fixed to the ring plate, which is opened with a fixed groove on the inner surface of the ring plate. The board is a squeezing rod on one side of the buffer board, which involves the technical field of driving training equipment. The voice recognition system for coaching ride teaching can automatically clean up the dust of the monitoring camera. At the same time, it can also be easily disassembled and cleaned by the wiping cloth, which greatly improves the clarity of the monitoring of the monitoring camera. Normal use creates good conditions and reduces the intensity of work.</v>
      </c>
      <c r="D3203" s="6" t="s">
        <v>8998</v>
      </c>
      <c r="E3203" s="4" t="str">
        <f ca="1">IFERROR(__xludf.DUMMYFUNCTION("GOOGLETRANSLATE(D3203,""auto"",""en"")"),"A voice recognition system for coaching ride teaching")</f>
        <v>A voice recognition system for coaching ride teaching</v>
      </c>
    </row>
    <row r="3204" spans="1:5" ht="15" x14ac:dyDescent="0.25">
      <c r="A3204" s="5" t="s">
        <v>8999</v>
      </c>
      <c r="B3204" s="6" t="s">
        <v>9000</v>
      </c>
      <c r="C3204" s="3" t="str">
        <f ca="1">IFERROR(__xludf.DUMMYFUNCTION("GOOGLETRANSLATE(B3204,""auto"",""en"")"),"In the present invention, the first team's first team information, the competition results information of the competition played by multiple first teams, and multiple information calculated based on the first team's information and game results informatio"&amp;"n are stored in memory. The ranking information for storing the ranking between the first team, including the communication circuit for multiple teams to participate in the sports competition, and the processor connected to the memory and communication ci"&amp;"rcuit to control communication The circuit uses the game results information of the game through the first team of the machine learning and the ranking system calculated by the first team information to estimate the ranking of the second team, which invol"&amp;"ves electronic equipment.")</f>
        <v>In the present invention, the first team's first team information, the competition results information of the competition played by multiple first teams, and multiple information calculated based on the first team's information and game results information are stored in memory. The ranking information for storing the ranking between the first team, including the communication circuit for multiple teams to participate in the sports competition, and the processor connected to the memory and communication circuit to control communication The circuit uses the game results information of the game through the first team of the machine learning and the ranking system calculated by the first team information to estimate the ranking of the second team, which involves electronic equipment.</v>
      </c>
      <c r="D3204" s="6" t="s">
        <v>8943</v>
      </c>
      <c r="E3204" s="4" t="str">
        <f ca="1">IFERROR(__xludf.DUMMYFUNCTION("GOOGLETRANSLATE(D3204,""auto"",""en"")"),"A method of generating sports competition rankings, electronic equipment and computer readable record media")</f>
        <v>A method of generating sports competition rankings, electronic equipment and computer readable record media</v>
      </c>
    </row>
    <row r="3205" spans="1:5" ht="15" x14ac:dyDescent="0.25">
      <c r="A3205" s="5" t="s">
        <v>9001</v>
      </c>
      <c r="B3205" s="6" t="s">
        <v>9002</v>
      </c>
      <c r="C3205" s="3" t="str">
        <f ca="1">IFERROR(__xludf.DUMMYFUNCTION("GOOGLETRANSLATE(B3205,""auto"",""en"")"),"Invention involves a training method. Methods include users who wear swimsuits to start swimming; data collection device collecting swimming posture data, swimming sports data and physiological data measured during the survey of the user's swimming proces"&amp;"s; The distribution table, data distribution table includes swimming speed and physiological data distribution, swimming speed and swimming posture data distribution, paddling frequency and swimming posture data distribution and paddling frequency and phy"&amp;"siological data distribution; Establish an identification model. Based on the data distribution table to obtain distribution characteristics, the clustering is based on distributed features, and the total contribution of the total amount of contribution e"&amp;"xceeds the preset threshold as the target data to form a target data set; the training unit continues to train in the recognition model to obtain the most. Jia's swimming posture data.")</f>
        <v>Invention involves a training method. Methods include users who wear swimsuits to start swimming; data collection device collecting swimming posture data, swimming sports data and physiological data measured during the survey of the user's swimming process; The distribution table, data distribution table includes swimming speed and physiological data distribution, swimming speed and swimming posture data distribution, paddling frequency and swimming posture data distribution and paddling frequency and physiological data distribution; Establish an identification model. Based on the data distribution table to obtain distribution characteristics, the clustering is based on distributed features, and the total contribution of the total amount of contribution exceeds the preset threshold as the target data to form a target data set; the training unit continues to train in the recognition model to obtain the most. Jia's swimming posture data.</v>
      </c>
      <c r="D3205" s="6" t="s">
        <v>9003</v>
      </c>
      <c r="E3205" s="4" t="str">
        <f ca="1">IFERROR(__xludf.DUMMYFUNCTION("GOOGLETRANSLATE(D3205,""auto"",""en"")"),"Training method")</f>
        <v>Training method</v>
      </c>
    </row>
    <row r="3206" spans="1:5" ht="15" x14ac:dyDescent="0.25">
      <c r="A3206" s="5" t="s">
        <v>9004</v>
      </c>
      <c r="B3206" s="6" t="s">
        <v>9005</v>
      </c>
      <c r="C3206" s="3" t="str">
        <f ca="1">IFERROR(__xludf.DUMMYFUNCTION("GOOGLETRANSLATE(B3206,""auto"",""en"")"),"Examples of the present invention disclose a method, device and storage medium for treadmills and their steps. Continuous images, the image information is entered into the training first convolutional neural network model in turn in accordance with the pr"&amp;"eset packets, obtaining the first recognition parameter, and calculating the second recognition parameter corresponding to the piezoelectric curve. The identification parameter determines whether each group of effective running action occurs, and finally "&amp;"accumulates the number of steps in the effective running action. In the statistical process of the number of steps, on the one hand, using the neural network model to extract the time of the user's running action and the characteristics of the space on th"&amp;"e space, the characteristics of the space on the space. , Accurately identify the user's running action, on the other hand, considering the role of the voltage curve in the statistics of the number of running, making the final running steps more accurate.")</f>
        <v>Examples of the present invention disclose a method, device and storage medium for treadmills and their steps. Continuous images, the image information is entered into the training first convolutional neural network model in turn in accordance with the preset packets, obtaining the first recognition parameter, and calculating the second recognition parameter corresponding to the piezoelectric curve. The identification parameter determines whether each group of effective running action occurs, and finally accumulates the number of steps in the effective running action. In the statistical process of the number of steps, on the one hand, using the neural network model to extract the time of the user's running action and the characteristics of the space on the space, the characteristics of the space on the space. , Accurately identify the user's running action, on the other hand, considering the role of the voltage curve in the statistics of the number of running, making the final running steps more accurate.</v>
      </c>
      <c r="D3206" s="6" t="s">
        <v>9006</v>
      </c>
      <c r="E3206" s="4" t="str">
        <f ca="1">IFERROR(__xludf.DUMMYFUNCTION("GOOGLETRANSLATE(D3206,""auto"",""en"")"),"A method, device and storage medium of a treadmill and its step statistics")</f>
        <v>A method, device and storage medium of a treadmill and its step statistics</v>
      </c>
    </row>
    <row r="3207" spans="1:5" ht="15" x14ac:dyDescent="0.25">
      <c r="A3207" s="5" t="s">
        <v>9007</v>
      </c>
      <c r="B3207" s="6" t="s">
        <v>9008</v>
      </c>
      <c r="C3207" s="3" t="str">
        <f ca="1">IFERROR(__xludf.DUMMYFUNCTION("GOOGLETRANSLATE(B3207,""auto"",""en"")"),"This utility model discloses a human -machine interaction system based on virtual reality, including central processors, universal treadmills connected to the central processor communication, somatosensory controller, and virtual headset equipment. Genera"&amp;"te a virtual environment and show the user through the virtual head display device. In the virtual environment, the central processor is generated by the user gesture of the user's gesture in the real environment according to the user's motion status and "&amp;"somatosensory controller collected in the real environment. Users' sports information and gesture information in the virtual environment, where the virtual head display device follows the user to move within the range of the Wanxiang treadmill. The practi"&amp;"cal new model improves the immersion of users in the experience process, and improves the user's experience in experience. The sense of dizziness that may appear in the process enhances the real sense of interactive experience with the user and the virtua"&amp;"l environment.")</f>
        <v>This utility model discloses a human -machine interaction system based on virtual reality, including central processors, universal treadmills connected to the central processor communication, somatosensory controller, and virtual headset equipment. Generate a virtual environment and show the user through the virtual head display device. In the virtual environment, the central processor is generated by the user gesture of the user's gesture in the real environment according to the user's motion status and somatosensory controller collected in the real environment. Users' sports information and gesture information in the virtual environment, where the virtual head display device follows the user to move within the range of the Wanxiang treadmill. The practical new model improves the immersion of users in the experience process, and improves the user's experience in experience. The sense of dizziness that may appear in the process enhances the real sense of interactive experience with the user and the virtual environment.</v>
      </c>
      <c r="D3207" s="6" t="s">
        <v>9009</v>
      </c>
      <c r="E3207" s="4" t="str">
        <f ca="1">IFERROR(__xludf.DUMMYFUNCTION("GOOGLETRANSLATE(D3207,""auto"",""en"")"),"A human -computer interaction system based on virtual reality")</f>
        <v>A human -computer interaction system based on virtual reality</v>
      </c>
    </row>
    <row r="3208" spans="1:5" ht="15" x14ac:dyDescent="0.25">
      <c r="A3208" s="5" t="s">
        <v>9010</v>
      </c>
      <c r="B3208" s="6" t="s">
        <v>9011</v>
      </c>
      <c r="C3208" s="3" t="str">
        <f ca="1">IFERROR(__xludf.DUMMYFUNCTION("GOOGLETRANSLATE(B3208,""auto"",""en"")"),"The invention involves the warehousing field and involves an artificial intelligence -based warehousing method and system. In the embodiments of the present invention, the intelligent warehousing model is to first build a deep neural network machine learn"&amp;"ing model, and then upload the current storage status data, the storage operation and maintenance equipment of the storage and operation and maintenance equipment through cyclical The expert operation data was established as a training dataset for trainin"&amp;"g. By collecting storage status data and equipment status data, and entering the intelligent warehousing model; and according to the intelligent warehousing model, calculate the specific operating instructions of the required storage operation and mainten"&amp;"ance equipment and storage operation and maintenance equipment, according to the calculation results, according to the calculation results, Control the corresponding warehousing operation and maintenance equipment to complete its corresponding operation i"&amp;"nstructions. In this way, the existing storage operation and maintenance methods have a poor efficiency and high storage cost.")</f>
        <v>The invention involves the warehousing field and involves an artificial intelligence -based warehousing method and system. In the embodiments of the present invention, the intelligent warehousing model is to first build a deep neural network machine learning model, and then upload the current storage status data, the storage operation and maintenance equipment of the storage and operation and maintenance equipment through cyclical The expert operation data was established as a training dataset for training. By collecting storage status data and equipment status data, and entering the intelligent warehousing model; and according to the intelligent warehousing model, calculate the specific operating instructions of the required storage operation and maintenance equipment and storage operation and maintenance equipment, according to the calculation results, according to the calculation results, Control the corresponding warehousing operation and maintenance equipment to complete its corresponding operation instructions. In this way, the existing storage operation and maintenance methods have a poor efficiency and high storage cost.</v>
      </c>
      <c r="D3208" s="6" t="s">
        <v>9012</v>
      </c>
      <c r="E3208" s="4" t="str">
        <f ca="1">IFERROR(__xludf.DUMMYFUNCTION("GOOGLETRANSLATE(D3208,""auto"",""en"")"),"An artificial intelligence -based storage method and system")</f>
        <v>An artificial intelligence -based storage method and system</v>
      </c>
    </row>
    <row r="3209" spans="1:5" ht="15" x14ac:dyDescent="0.25">
      <c r="A3209" s="5" t="s">
        <v>9013</v>
      </c>
      <c r="B3209" s="6" t="s">
        <v>9014</v>
      </c>
      <c r="C3209" s="3" t="str">
        <f ca="1">IFERROR(__xludf.DUMMYFUNCTION("GOOGLETRANSLATE(B3209,""auto"",""en"")"),"The purpose of the present invention is to provide a physical education teaching system and its usage. The technical solution of the present invention is composed of the campus, multiple monitoring bracelets, multiple signal receiving conversion devices, "&amp;"servers, multiple first terminals and multiple second terminals. This overall system is a function that uses intelligent wearable devices to enhance the function of signal transmission and data transmission. It uses advanced IoT technology, artificial int"&amp;"elligence and big data technology to calculate and analyze massive data in real time. A physical education class teaching system for the safety of students, the effect assessment of the physical education class, and the scientific guidance service of the "&amp;"physical education class. The system has a wide coverage. Based on the collection and analysis of big data, based on the actual signs of physical education, it is established to establish a sample library for efficient sports; enhances the sending and rec"&amp;"eiving of wireless signal The timely warning has greatly improved the control of students' health in campus physical education classes.")</f>
        <v>The purpose of the present invention is to provide a physical education teaching system and its usage. The technical solution of the present invention is composed of the campus, multiple monitoring bracelets, multiple signal receiving conversion devices, servers, multiple first terminals and multiple second terminals. This overall system is a function that uses intelligent wearable devices to enhance the function of signal transmission and data transmission. It uses advanced IoT technology, artificial intelligence and big data technology to calculate and analyze massive data in real time. A physical education class teaching system for the safety of students, the effect assessment of the physical education class, and the scientific guidance service of the physical education class. The system has a wide coverage. Based on the collection and analysis of big data, based on the actual signs of physical education, it is established to establish a sample library for efficient sports; enhances the sending and receiving of wireless signal The timely warning has greatly improved the control of students' health in campus physical education classes.</v>
      </c>
      <c r="D3209" s="6" t="s">
        <v>9015</v>
      </c>
      <c r="E3209" s="4" t="str">
        <f ca="1">IFERROR(__xludf.DUMMYFUNCTION("GOOGLETRANSLATE(D3209,""auto"",""en"")"),"A physical education class teaching system and how to use it")</f>
        <v>A physical education class teaching system and how to use it</v>
      </c>
    </row>
    <row r="3210" spans="1:5" ht="15" x14ac:dyDescent="0.25">
      <c r="A3210" s="5" t="s">
        <v>9016</v>
      </c>
      <c r="B3210" s="6" t="s">
        <v>9017</v>
      </c>
      <c r="C3210" s="3" t="str">
        <f ca="1">IFERROR(__xludf.DUMMYFUNCTION("GOOGLETRANSLATE(B3210,""auto"",""en"")"),"The present invention disclosed a basis of a billiard collision relationship and a billiard competition system. The method includes the following steps: the ball is introduced according to the competition image recognition. The billiards include the mothe"&amp;"r ball and several target balls; Difference between frames, identify the forecasting of billiards in the sports, determine the overlapping or close information of the predictive movement area of ​​the billiards; according to the rules of the billiard game"&amp;", and determine the information of the collision target ball based on the overlap or close information. The method of the present invention recognizes the collision of billiards more accurate, making the scoring system more reliable.")</f>
        <v>The present invention disclosed a basis of a billiard collision relationship and a billiard competition system. The method includes the following steps: the ball is introduced according to the competition image recognition. The billiards include the mother ball and several target balls; Difference between frames, identify the forecasting of billiards in the sports, determine the overlapping or close information of the predictive movement area of ​​the billiards; according to the rules of the billiard game, and determine the information of the collision target ball based on the overlap or close information. The method of the present invention recognizes the collision of billiards more accurate, making the scoring system more reliable.</v>
      </c>
      <c r="D3210" s="6" t="s">
        <v>9018</v>
      </c>
      <c r="E3210" s="4" t="str">
        <f ca="1">IFERROR(__xludf.DUMMYFUNCTION("GOOGLETRANSLATE(D3210,""auto"",""en"")"),"One type of billiard collision relationship recognition method and billiard competition scoring system")</f>
        <v>One type of billiard collision relationship recognition method and billiard competition scoring system</v>
      </c>
    </row>
    <row r="3211" spans="1:5" ht="15" x14ac:dyDescent="0.25">
      <c r="A3211" s="5" t="s">
        <v>9019</v>
      </c>
      <c r="B3211" s="6" t="s">
        <v>9020</v>
      </c>
      <c r="C3211" s="3" t="str">
        <f ca="1">IFERROR(__xludf.DUMMYFUNCTION("GOOGLETRANSLATE(B3211,""auto"",""en"")"),"The present invention involves the field of lawn maintenance technology and provides a lawn intelligent maintenance method, including: the soil temperature and humidity detector, soil nutrient detector, and lawn height detector of the soil are used to use"&amp;" the communication connection connected to the control system. The nutrients and the height of the lawn are detected; soil temperature and humidity detector, soil nutrient detector, and lawn height detector sends the measured information to the Internet o"&amp;"f Things control system. In the information analysis processing, it was found that the soil temperature was higher than the preset value or the soil humidity was lower than the preset value. The maintenance method is easy to use and the cost of labor is l"&amp;"ow. The present invention also provides a method of intelligent maintenance method of the Football Stadium, including the above -mentioned lawn intelligent maintenance methods. Therefore, the intelligent maintenance method of the lawn of the football fiel"&amp;"d is intelligent, convenient, and low in labor costs.")</f>
        <v>The present invention involves the field of lawn maintenance technology and provides a lawn intelligent maintenance method, including: the soil temperature and humidity detector, soil nutrient detector, and lawn height detector of the soil are used to use the communication connection connected to the control system. The nutrients and the height of the lawn are detected; soil temperature and humidity detector, soil nutrient detector, and lawn height detector sends the measured information to the Internet of Things control system. In the information analysis processing, it was found that the soil temperature was higher than the preset value or the soil humidity was lower than the preset value. The maintenance method is easy to use and the cost of labor is low. The present invention also provides a method of intelligent maintenance method of the Football Stadium, including the above -mentioned lawn intelligent maintenance methods. Therefore, the intelligent maintenance method of the lawn of the football field is intelligent, convenient, and low in labor costs.</v>
      </c>
      <c r="D3211" s="6" t="s">
        <v>9021</v>
      </c>
      <c r="E3211" s="4" t="str">
        <f ca="1">IFERROR(__xludf.DUMMYFUNCTION("GOOGLETRANSLATE(D3211,""auto"",""en"")"),"A lawn intelligent maintenance method and football field lawn intelligent maintenance method")</f>
        <v>A lawn intelligent maintenance method and football field lawn intelligent maintenance method</v>
      </c>
    </row>
    <row r="3212" spans="1:5" ht="15" x14ac:dyDescent="0.25">
      <c r="A3212" s="5" t="s">
        <v>9022</v>
      </c>
      <c r="B3212" s="6" t="s">
        <v>9023</v>
      </c>
      <c r="C3212" s="3" t="str">
        <f ca="1">IFERROR(__xludf.DUMMYFUNCTION("GOOGLETRANSLATE(B3212,""auto"",""en"")"),"The invention provides a community fitness center facility management system based on the Internet of Things. The invention includes fitness station ontology, management service terminal, smart platform, terminal platform, and member card; The card is use"&amp;"d to store members' information; the present invention enables users to work in the community to ensure that users can freely choose to perform fitness according to their own time. The Internet of Internet of Things technology does not need to be manually"&amp;" managed by using the Internet of Things technology, which reduces labor costs. It can enter the gym for fitness exercise 24 hours a day.")</f>
        <v>The invention provides a community fitness center facility management system based on the Internet of Things. The invention includes fitness station ontology, management service terminal, smart platform, terminal platform, and member card; The card is used to store members' information; the present invention enables users to work in the community to ensure that users can freely choose to perform fitness according to their own time. The Internet of Internet of Things technology does not need to be manually managed by using the Internet of Things technology, which reduces labor costs. It can enter the gym for fitness exercise 24 hours a day.</v>
      </c>
      <c r="D3212" s="6" t="s">
        <v>9024</v>
      </c>
      <c r="E3212" s="4" t="str">
        <f ca="1">IFERROR(__xludf.DUMMYFUNCTION("GOOGLETRANSLATE(D3212,""auto"",""en"")"),"A community fitness center facility management system based on the Internet of Things")</f>
        <v>A community fitness center facility management system based on the Internet of Things</v>
      </c>
    </row>
    <row r="3213" spans="1:5" ht="15" x14ac:dyDescent="0.25">
      <c r="A3213" s="5" t="s">
        <v>9025</v>
      </c>
      <c r="B3213" s="6" t="s">
        <v>9026</v>
      </c>
      <c r="C3213" s="3" t="str">
        <f ca="1">IFERROR(__xludf.DUMMYFUNCTION("GOOGLETRANSLATE(B3213,""auto"",""en"")"),"The invention discloses an Energy management method and system based on the Internet of Things. The energy management method includes: the operating parameters of the device, the operating parameters of the equipment include: power, water consumption, gas"&amp;" volume, concentrated supply of cold consumption, concentrated hot water supply; The types of architecture include: office buildings, libraries, stadiums, concert halls, teaching buildings, experimental buildings, hotels, hospitals, dining rooms, apartmen"&amp;"ts; Yes, trigger alarm to remind the managers of the equipment; if no, get the operating parameters of the equipment again. The energy management method or system of the present invention can reduce the operating cost of building equipment, avoid energy w"&amp;"aste, and achieve the purpose of energy conservation and emission reduction.")</f>
        <v>The invention discloses an Energy management method and system based on the Internet of Things. The energy management method includes: the operating parameters of the device, the operating parameters of the equipment include: power, water consumption, gas volume, concentrated supply of cold consumption, concentrated hot water supply; The types of architecture include: office buildings, libraries, stadiums, concert halls, teaching buildings, experimental buildings, hotels, hospitals, dining rooms, apartments; Yes, trigger alarm to remind the managers of the equipment; if no, get the operating parameters of the equipment again. The energy management method or system of the present invention can reduce the operating cost of building equipment, avoid energy waste, and achieve the purpose of energy conservation and emission reduction.</v>
      </c>
      <c r="D3213" s="6" t="s">
        <v>9027</v>
      </c>
      <c r="E3213" s="4" t="str">
        <f ca="1">IFERROR(__xludf.DUMMYFUNCTION("GOOGLETRANSLATE(D3213,""auto"",""en"")"),"An IoT -based energy management method and system")</f>
        <v>An IoT -based energy management method and system</v>
      </c>
    </row>
    <row r="3214" spans="1:5" ht="15" x14ac:dyDescent="0.25">
      <c r="A3214" s="5" t="s">
        <v>9028</v>
      </c>
      <c r="B3214" s="6" t="s">
        <v>9029</v>
      </c>
      <c r="C3214" s="3" t="str">
        <f ca="1">IFERROR(__xludf.DUMMYFUNCTION("GOOGLETRANSLATE(B3214,""auto"",""en"")"),"Computer learning, assessment and recommendation systems, by collecting, evaluating and processing a large amount of visual and geographical data, generate new information on the quality and degree of pedestrian lanes and walking routes, scoring systems, "&amp;"rules -based calculation methods and providing selected data representations. The micro and macro data, methods and system generating routes used for sidewalk evaluation are used to create general, locations, and navigation functions that are determined t"&amp;"o be the important attributes and categories that are determined to be pedestrian or walking experience. The calculation scores and suggestions displayed in the map and other visual tools and applications can be used for multiple customers and departmenta"&amp;"l groups, including navigation, real estate, fitness, tourism, and urban and rural development plans. This abstract meets the rules of submitting summary, but does not limit the scope, interpretation or complete meaning of claims.")</f>
        <v>Computer learning, assessment and recommendation systems, by collecting, evaluating and processing a large amount of visual and geographical data, generate new information on the quality and degree of pedestrian lanes and walking routes, scoring systems, rules -based calculation methods and providing selected data representations. The micro and macro data, methods and system generating routes used for sidewalk evaluation are used to create general, locations, and navigation functions that are determined to be the important attributes and categories that are determined to be pedestrian or walking experience. The calculation scores and suggestions displayed in the map and other visual tools and applications can be used for multiple customers and departmental groups, including navigation, real estate, fitness, tourism, and urban and rural development plans. This abstract meets the rules of submitting summary, but does not limit the scope, interpretation or complete meaning of claims.</v>
      </c>
      <c r="D3214" s="6" t="s">
        <v>9030</v>
      </c>
      <c r="E3214" s="4" t="str">
        <f ca="1">IFERROR(__xludf.DUMMYFUNCTION("GOOGLETRANSLATE(D3214,""auto"",""en"")"),"Evaluate the recommendation system and method of the quality of the sidewalk and other pedestrians, as a means of implementing the ability of walking.")</f>
        <v>Evaluate the recommendation system and method of the quality of the sidewalk and other pedestrians, as a means of implementing the ability of walking.</v>
      </c>
    </row>
    <row r="3215" spans="1:5" ht="15" x14ac:dyDescent="0.25">
      <c r="A3215" s="5" t="s">
        <v>9031</v>
      </c>
      <c r="B3215" s="6" t="s">
        <v>9032</v>
      </c>
      <c r="C3215" s="3" t="str">
        <f ca="1">IFERROR(__xludf.DUMMYFUNCTION("GOOGLETRANSLATE(B3215,""auto"",""en"")"),"A method and device for receiving and controlling the life of swimmers in the water body, aiming to support rescue services, allow detecting alarm signals issued by collaborators worn on swimmers to monitor their physical parameters. It is characterized b"&amp;"y the alarm signal from an ultrasonic signal (ODU1), (ODU2) ... (ODUN) receiver to receive, and then convert to a electrical signal, convert to the digital value in the converter (A / C1), (A / C2), (A / C2) , ... (A / CN) are connected to the computer si"&amp;"gnal analysis system (KAS), one of which is the graphical display circuit connected to the personal buoyal device (UP1) (W), (UOP2), ... (UOPM), No. 1 The two outputs connected to the computer (K) message analysis circuit (KAK) input through the decoder ("&amp;"ZDK), and the computer (K) is also connected to the artificial intelligence module. Personal devices (UOP1), (UOP2), ... (UOPM) message analysis system (KAK) output with a system of sound alarm signal and receipt information that generates sound alarm sig"&amp;"nal (W) is connected to the mobile display with mobile display Coastal lifeguard connection.")</f>
        <v>A method and device for receiving and controlling the life of swimmers in the water body, aiming to support rescue services, allow detecting alarm signals issued by collaborators worn on swimmers to monitor their physical parameters. It is characterized by the alarm signal from an ultrasonic signal (ODU1), (ODU2) ... (ODUN) receiver to receive, and then convert to a electrical signal, convert to the digital value in the converter (A / C1), (A / C2), (A / C2) , ... (A / CN) are connected to the computer signal analysis system (KAS), one of which is the graphical display circuit connected to the personal buoyal device (UP1) (W), (UOP2), ... (UOPM), No. 1 The two outputs connected to the computer (K) message analysis circuit (KAK) input through the decoder (ZDK), and the computer (K) is also connected to the artificial intelligence module. Personal devices (UOP1), (UOP2), ... (UOPM) message analysis system (KAK) output with a system of sound alarm signal and receipt information that generates sound alarm signal (W) is connected to the mobile display with mobile display Coastal lifeguard connection.</v>
      </c>
      <c r="D3215" s="6" t="s">
        <v>9033</v>
      </c>
      <c r="E3215" s="4" t="str">
        <f ca="1">IFERROR(__xludf.DUMMYFUNCTION("GOOGLETRANSLATE(D3215,""auto"",""en"")"),"Methods and devices used to receive and control the danger signal of the life in the water body")</f>
        <v>Methods and devices used to receive and control the danger signal of the life in the water body</v>
      </c>
    </row>
    <row r="3216" spans="1:5" ht="15" x14ac:dyDescent="0.25">
      <c r="A3216" s="5" t="s">
        <v>9034</v>
      </c>
      <c r="B3216" s="6" t="s">
        <v>9035</v>
      </c>
      <c r="C3216" s="3" t="str">
        <f ca="1">IFERROR(__xludf.DUMMYFUNCTION("GOOGLETRANSLATE(B3216,""auto"",""en"")"),"1. The name of the product in appearance: for the graphic user interface for the mobile phone.
 2. The purpose of designing products in this exterior: for human -computer interaction and display.
 3. Design of the design of the product in this exterio"&amp;"r: lies in the interface content of the graphic user interface in the screen.
 4. Pictures or photos that can most indicate the design of this design design: main view.
 5. Small view: rear views, left view, right view, downward view, and viewing maps"&amp;" without design points, so omitted.
 6. Interface use: The main view is used to show the homepage of the List of List. By clicking the ""One -click Applause"" button to switch to the changing status diagram, in the changing state diagram School, and cli"&amp;"ck the ""One -click Applause"" button to cheer the school you like, show the results of the previous game at the bottom of the page.
 Reference diagram of the use status is a reference diagram in the state diagram in the state.")</f>
        <v>1. The name of the product in appearance: for the graphic user interface for the mobile phone.
 2. The purpose of designing products in this exterior: for human -computer interaction and display.
 3. Design of the design of the product in this exterior: lies in the interface content of the graphic user interface in the screen.
 4. Pictures or photos that can most indicate the design of this design design: main view.
 5. Small view: rear views, left view, right view, downward view, and viewing maps without design points, so omitted.
 6. Interface use: The main view is used to show the homepage of the List of List. By clicking the "One -click Applause" button to switch to the changing status diagram, in the changing state diagram School, and click the "One -click Applause" button to cheer the school you like, show the results of the previous game at the bottom of the page.
 Reference diagram of the use status is a reference diagram in the state diagram in the state.</v>
      </c>
      <c r="D3216" s="6" t="s">
        <v>7563</v>
      </c>
      <c r="E3216" s="4" t="str">
        <f ca="1">IFERROR(__xludf.DUMMYFUNCTION("GOOGLETRANSLATE(D3216,""auto"",""en"")"),"The graphic user interface used for mobile phones")</f>
        <v>The graphic user interface used for mobile phones</v>
      </c>
    </row>
    <row r="3217" spans="1:5" ht="15" x14ac:dyDescent="0.25">
      <c r="A3217" s="5" t="s">
        <v>9036</v>
      </c>
      <c r="B3217" s="6" t="s">
        <v>9037</v>
      </c>
      <c r="C3217" s="3" t="str">
        <f ca="1">IFERROR(__xludf.DUMMYFUNCTION("GOOGLETRANSLATE(B3217,""auto"",""en"")"),"The present invention involves a method (MTH) that is used to calculate the position of athletes called on the sports field, including: -Capings based on radio -based positioning system estimates (EST_APPOS) targets (APPOS). Several athletes on the sports"&amp;" field tracking sensors and antennas installed around the sports field. Searching space based on optical positioning system, the system includes a camera and image recognition device installed above and/or surrounded by/or surrounded by/or surrounding the"&amp;" surrounding. ) To the accurate position of the target (ACPOS).")</f>
        <v>The present invention involves a method (MTH) that is used to calculate the position of athletes called on the sports field, including: -Capings based on radio -based positioning system estimates (EST_APPOS) targets (APPOS). Several athletes on the sports field tracking sensors and antennas installed around the sports field. Searching space based on optical positioning system, the system includes a camera and image recognition device installed above and/or surrounded by/or surrounded by/or surrounding the surrounding. ) To the accurate position of the target (ACPOS).</v>
      </c>
      <c r="D3217" s="6" t="s">
        <v>8200</v>
      </c>
      <c r="E3217" s="4" t="str">
        <f ca="1">IFERROR(__xludf.DUMMYFUNCTION("GOOGLETRANSLATE(D3217,""auto"",""en"")"),"Calculation method of the athlete location on the sports field")</f>
        <v>Calculation method of the athlete location on the sports field</v>
      </c>
    </row>
    <row r="3218" spans="1:5" ht="15" x14ac:dyDescent="0.25">
      <c r="A3218" s="5" t="s">
        <v>9038</v>
      </c>
      <c r="B3218" s="6" t="s">
        <v>9039</v>
      </c>
      <c r="C3218" s="3" t="str">
        <f ca="1">IFERROR(__xludf.DUMMYFUNCTION("GOOGLETRANSLATE(B3218,""auto"",""en"")"),"An artificial intelligence (""AI"") engine with AI engine modules and multiple learning agents. The AI ​​engine module includes lecturers, learners, and predictor modules. The learning device module is configured in parallel training multiple AI models, a"&amp;"nd the instructor module is configured to coordinate with multiple simulators to train the AI ​​model separately. The learning agent is configured to process the training request of data from the coach on data from the simulator to train artificial intell"&amp;"igence models. The learning device module is also configured to train the first batch of similar data to train the AI ​​model on the first batch of similar data in the memory module's memory. The learning device module is also configured to train the AI ​"&amp;"​model on the second different batch of similar data in the second different batches of similar data in the memory module memory.")</f>
        <v>An artificial intelligence ("AI") engine with AI engine modules and multiple learning agents. The AI ​​engine module includes lecturers, learners, and predictor modules. The learning device module is configured in parallel training multiple AI models, and the instructor module is configured to coordinate with multiple simulators to train the AI ​​model separately. The learning agent is configured to process the training request of data from the coach on data from the simulator to train artificial intelligence models. The learning device module is also configured to train the first batch of similar data to train the AI ​​model on the first batch of similar data in the memory module's memory. The learning device module is also configured to train the AI ​​model on the second different batch of similar data in the second different batches of similar data in the memory module memory.</v>
      </c>
      <c r="D3218" s="6" t="s">
        <v>9040</v>
      </c>
      <c r="E3218" s="4" t="str">
        <f ca="1">IFERROR(__xludf.DUMMYFUNCTION("GOOGLETRANSLATE(D3218,""auto"",""en"")"),"Artificial intelligence engine with enhanced calculation hardware throughput")</f>
        <v>Artificial intelligence engine with enhanced calculation hardware throughput</v>
      </c>
    </row>
    <row r="3219" spans="1:5" ht="15" x14ac:dyDescent="0.25">
      <c r="A3219" s="5" t="s">
        <v>9041</v>
      </c>
      <c r="B3219" s="6" t="s">
        <v>9042</v>
      </c>
      <c r="C3219" s="3" t="str">
        <f ca="1">IFERROR(__xludf.DUMMYFUNCTION("GOOGLETRANSLATE(B3219,""auto"",""en"")"),"This practical new type of ice knife arc is a ice -snow sports equipment processing equipment. It involves a kind of ice knife processing equipment, including the base table, sliding rail i, screw i, servo motor I, sports mechanism, institutional machine,"&amp;" institutional machine Rail, slide rail II, screw II, servo motor II, arc -hitting mechanism, mechanism shell, sliding rail III, screw III, servo motor III, grinding head, grinding head, motor, holding device, control device, PLC The processor and human -"&amp;"machine interactive panel; the new model provides an ice knife arc -to -hit device, which can process different arcs to process the ice knife more quickly and accurately, and process it according to the needs of different athletes to improve the training "&amp;"performance and competition results of the athletes.")</f>
        <v>This practical new type of ice knife arc is a ice -snow sports equipment processing equipment. It involves a kind of ice knife processing equipment, including the base table, sliding rail i, screw i, servo motor I, sports mechanism, institutional machine, institutional machine Rail, slide rail II, screw II, servo motor II, arc -hitting mechanism, mechanism shell, sliding rail III, screw III, servo motor III, grinding head, grinding head, motor, holding device, control device, PLC The processor and human -machine interactive panel; the new model provides an ice knife arc -to -hit device, which can process different arcs to process the ice knife more quickly and accurately, and process it according to the needs of different athletes to improve the training performance and competition results of the athletes.</v>
      </c>
      <c r="D3219" s="6" t="s">
        <v>9043</v>
      </c>
      <c r="E3219" s="4" t="str">
        <f ca="1">IFERROR(__xludf.DUMMYFUNCTION("GOOGLETRANSLATE(D3219,""auto"",""en"")"),"A ice knife arc")</f>
        <v>A ice knife arc</v>
      </c>
    </row>
    <row r="3220" spans="1:5" ht="15" x14ac:dyDescent="0.25">
      <c r="A3220" s="5" t="s">
        <v>9044</v>
      </c>
      <c r="B3220" s="6" t="s">
        <v>9045</v>
      </c>
      <c r="C3220" s="3" t="str">
        <f ca="1">IFERROR(__xludf.DUMMYFUNCTION("GOOGLETRANSLATE(B3220,""auto"",""en"")"),"Gym bodybuilding training monitoring system The present invention refers to a gym fitness training monitoring system, which aims to improve the user's experience in the gym. Real -time collection of more accurate behaviors of users in the training process"&amp;" and optimize training. The use of time and gym resources. The system includes a multi -functional device (1), which can accommodate smartphones, radio frequency and image recognition mechanisms, and supports connecting to hand, exercise machines and devi"&amp;"ces; software applications running on smartphones or other similar devices (2) , With a touch screen and Internet access rights for performing the pairing between machines and fitness equipment and equipment (1); software applications running on students'"&amp;" smartphones (3), for recording and displaying training tables and exercises. And enable student monitoring; it is a software system (4), which can be accessed from any device connected to the Internet, used to receive, store and process information from "&amp;"colleges and students, and according to the personal training, machines and exercise equipment of each student The vacancies are instructed, and the practice order that must be followed during training aims to optimize the use of students and the use of g"&amp;"ym resources.")</f>
        <v>Gym bodybuilding training monitoring system The present invention refers to a gym fitness training monitoring system, which aims to improve the user's experience in the gym. Real -time collection of more accurate behaviors of users in the training process and optimize training. The use of time and gym resources. The system includes a multi -functional device (1), which can accommodate smartphones, radio frequency and image recognition mechanisms, and supports connecting to hand, exercise machines and devices; software applications running on smartphones or other similar devices (2) , With a touch screen and Internet access rights for performing the pairing between machines and fitness equipment and equipment (1); software applications running on students' smartphones (3), for recording and displaying training tables and exercises. And enable student monitoring; it is a software system (4), which can be accessed from any device connected to the Internet, used to receive, store and process information from colleges and students, and according to the personal training, machines and exercise equipment of each student The vacancies are instructed, and the practice order that must be followed during training aims to optimize the use of students and the use of gym resources.</v>
      </c>
      <c r="D3220" s="6" t="s">
        <v>9046</v>
      </c>
      <c r="E3220" s="4" t="str">
        <f ca="1">IFERROR(__xludf.DUMMYFUNCTION("GOOGLETRANSLATE(D3220,""auto"",""en"")"),"The training and monitoring system of the gym and fitness college")</f>
        <v>The training and monitoring system of the gym and fitness college</v>
      </c>
    </row>
    <row r="3221" spans="1:5" ht="15" x14ac:dyDescent="0.25">
      <c r="A3221" s="5" t="s">
        <v>9047</v>
      </c>
      <c r="B3221" s="6" t="s">
        <v>518</v>
      </c>
      <c r="C3221" s="3" t="str">
        <f ca="1">IFERROR(__xludf.DUMMYFUNCTION("GOOGLETRANSLATE(B3221,""auto"",""en"")"),"-")</f>
        <v>-</v>
      </c>
      <c r="D3221" s="6" t="s">
        <v>9048</v>
      </c>
      <c r="E3221" s="4" t="str">
        <f ca="1">IFERROR(__xludf.DUMMYFUNCTION("GOOGLETRANSLATE(D3221,""auto"",""en"")"),"A method for checking multiple objects to be evaluated in the exhibition area, including digital objects, using robotics and artificial intelligence methods, and management of financial, economic, cultural, sports, and exchange activities, as well as emot"&amp;"ional, plane or three -dimensional maps")</f>
        <v>A method for checking multiple objects to be evaluated in the exhibition area, including digital objects, using robotics and artificial intelligence methods, and management of financial, economic, cultural, sports, and exchange activities, as well as emotional, plane or three -dimensional maps</v>
      </c>
    </row>
    <row r="3222" spans="1:5" ht="15" x14ac:dyDescent="0.25">
      <c r="A3222" s="5" t="s">
        <v>9049</v>
      </c>
      <c r="B3222" s="6" t="s">
        <v>9050</v>
      </c>
      <c r="C3222" s="3" t="str">
        <f ca="1">IFERROR(__xludf.DUMMYFUNCTION("GOOGLETRANSLATE(B3222,""auto"",""en"")"),"This utility model opens up an artificial intelligence perception management system, including support base and monitoring bracelet. The support of the support base is uniformly fixed and connected with a supporting rod. The utility type is set up in the "&amp;"display in the display, and the displayer connects the high -precision heart rate sensor on the bracelet through the Bluetooth connection. When the fitness person enters the fitness hall, pulls out the skateboard behind the support base, put the bracelet "&amp;"to place the bracelet, and place the bracelet. The inside monitoring hand ring is taken out of his wrist. When the fitness person is fitness, the high -precision heart rate sensor in the body's wrist monitoring on the wrist of the fitness will display the"&amp;" heart rate of the fit When the coach sees that the heart rate of a fitness person is at a high range for a long time, he can remind the fitness to remind the fitness to rest proper rest, reasonable fitness to avoid physical damage.")</f>
        <v>This utility model opens up an artificial intelligence perception management system, including support base and monitoring bracelet. The support of the support base is uniformly fixed and connected with a supporting rod. The utility type is set up in the display in the display, and the displayer connects the high -precision heart rate sensor on the bracelet through the Bluetooth connection. When the fitness person enters the fitness hall, pulls out the skateboard behind the support base, put the bracelet to place the bracelet, and place the bracelet. The inside monitoring hand ring is taken out of his wrist. When the fitness person is fitness, the high -precision heart rate sensor in the body's wrist monitoring on the wrist of the fitness will display the heart rate of the fit When the coach sees that the heart rate of a fitness person is at a high range for a long time, he can remind the fitness to remind the fitness to rest proper rest, reasonable fitness to avoid physical damage.</v>
      </c>
      <c r="D3222" s="6" t="s">
        <v>9051</v>
      </c>
      <c r="E3222" s="4" t="str">
        <f ca="1">IFERROR(__xludf.DUMMYFUNCTION("GOOGLETRANSLATE(D3222,""auto"",""en"")"),"An artificial intelligence perception management system")</f>
        <v>An artificial intelligence perception management system</v>
      </c>
    </row>
    <row r="3223" spans="1:5" ht="15" x14ac:dyDescent="0.25">
      <c r="A3223" s="5" t="s">
        <v>9052</v>
      </c>
      <c r="B3223" s="6" t="s">
        <v>9053</v>
      </c>
      <c r="C3223" s="3" t="str">
        <f ca="1">IFERROR(__xludf.DUMMYFUNCTION("GOOGLETRANSLATE(B3223,""auto"",""en"")"),"The present invention has disclosed the phonetic recognition system of fitness equipment, including voice pickup units, voice recognition units, serial port transmission control units, microcontroller controllers and voice playback units. To the voice rec"&amp;"ognition unit; control the work of fitness equipment through the serial port transmission control unit; the voice recognition unit will convert the voice instruction information received from the voice pickup unit from the time domain to Can identify the "&amp;"voice of different people and use different people to use it in Chinese and English; this system does not depend on the network, based on embedded offline identification algorithms, zero traffic response to achieve rapid and stable localized voice service"&amp;"s; effective control through voice control; The work of fitness equipment is humanized, intelligent, convenient and fast, and does not affect the normal use of users.")</f>
        <v>The present invention has disclosed the phonetic recognition system of fitness equipment, including voice pickup units, voice recognition units, serial port transmission control units, microcontroller controllers and voice playback units. To the voice recognition unit; control the work of fitness equipment through the serial port transmission control unit; the voice recognition unit will convert the voice instruction information received from the voice pickup unit from the time domain to Can identify the voice of different people and use different people to use it in Chinese and English; this system does not depend on the network, based on embedded offline identification algorithms, zero traffic response to achieve rapid and stable localized voice services; effective control through voice control; The work of fitness equipment is humanized, intelligent, convenient and fast, and does not affect the normal use of users.</v>
      </c>
      <c r="D3223" s="6" t="s">
        <v>9054</v>
      </c>
      <c r="E3223" s="4" t="str">
        <f ca="1">IFERROR(__xludf.DUMMYFUNCTION("GOOGLETRANSLATE(D3223,""auto"",""en"")"),"Fitness Equipment Voice Recognition System")</f>
        <v>Fitness Equipment Voice Recognition System</v>
      </c>
    </row>
    <row r="3224" spans="1:5" ht="15" x14ac:dyDescent="0.25">
      <c r="A3224" s="5" t="s">
        <v>9055</v>
      </c>
      <c r="B3224" s="6" t="s">
        <v>9056</v>
      </c>
      <c r="C3224" s="3" t="str">
        <f ca="1">IFERROR(__xludf.DUMMYFUNCTION("GOOGLETRANSLATE(B3224,""auto"",""en"")"),"The present invention disclosed a single light control method based on the narrow belt Internet of Things. The specific operation steps are as follows: S1: Divide the control area, and numbers all the single lights in the control area; S2: Collect the wor"&amp;"king conditions of each single light Parameters, and correspond to the number of operating parameters to the number of single lights, at the same time send the operating parameters to the control center through the narrow belt Internet of Things; S3: The "&amp;"control center generates the corresponding control instructions or set the corresponding control instructions according to the operating conditions parameters. The comparison results are sent to a single light controller through the narrow belt Internet o"&amp;"f Things to perform corresponding operations. The invention divides the single light in the area, which is conducive to uniform management of single lights. Through the narrow belt Internet of Things, managers can clearly understand the status information"&amp;" of each single light in the setting area; , Can accurately control the switch status and illumination of each single lamp to truly realize the on -demand lighting and high energy saving efficiency.")</f>
        <v>The present invention disclosed a single light control method based on the narrow belt Internet of Things. The specific operation steps are as follows: S1: Divide the control area, and numbers all the single lights in the control area; S2: Collect the working conditions of each single light Parameters, and correspond to the number of operating parameters to the number of single lights, at the same time send the operating parameters to the control center through the narrow belt Internet of Things; S3: The control center generates the corresponding control instructions or set the corresponding control instructions according to the operating conditions parameters. The comparison results are sent to a single light controller through the narrow belt Internet of Things to perform corresponding operations. The invention divides the single light in the area, which is conducive to uniform management of single lights. Through the narrow belt Internet of Things, managers can clearly understand the status information of each single light in the setting area; , Can accurately control the switch status and illumination of each single lamp to truly realize the on -demand lighting and high energy saving efficiency.</v>
      </c>
      <c r="D3224" s="6" t="s">
        <v>9057</v>
      </c>
      <c r="E3224" s="4" t="str">
        <f ca="1">IFERROR(__xludf.DUMMYFUNCTION("GOOGLETRANSLATE(D3224,""auto"",""en"")"),"A single -light control method based on narrow belt Internet of Things")</f>
        <v>A single -light control method based on narrow belt Internet of Things</v>
      </c>
    </row>
    <row r="3225" spans="1:5" ht="15" x14ac:dyDescent="0.25">
      <c r="A3225" s="5" t="s">
        <v>9058</v>
      </c>
      <c r="B3225" s="6" t="s">
        <v>9059</v>
      </c>
      <c r="C3225" s="3" t="str">
        <f ca="1">IFERROR(__xludf.DUMMYFUNCTION("GOOGLETRANSLATE(B3225,""auto"",""en"")"),"The invention involves a stadium service robot, which is the field of intelligent robots. Including pitching devices, motorcycle travel devices, scratching mechanisms, machine body, pitching devices are set in the back end of the machine body, the locomot"&amp;"ive running device is set in the middle of the machine body, and the ball catching mechanism is set in the front of the machine body. The stadium service robot automatically walks, obstacles, collects, and projected. The overall structure of this robot is"&amp;" simple, the institution is simple, the operation is reliable, the manufacturing cost is low, and the operation and maintenance costs are low. It can achieve the collection and projection of large balls such as basketball. It can be used for various ball "&amp;"court sports training.")</f>
        <v>The invention involves a stadium service robot, which is the field of intelligent robots. Including pitching devices, motorcycle travel devices, scratching mechanisms, machine body, pitching devices are set in the back end of the machine body, the locomotive running device is set in the middle of the machine body, and the ball catching mechanism is set in the front of the machine body. The stadium service robot automatically walks, obstacles, collects, and projected. The overall structure of this robot is simple, the institution is simple, the operation is reliable, the manufacturing cost is low, and the operation and maintenance costs are low. It can achieve the collection and projection of large balls such as basketball. It can be used for various ball court sports training.</v>
      </c>
      <c r="D3225" s="6" t="s">
        <v>9060</v>
      </c>
      <c r="E3225" s="4" t="str">
        <f ca="1">IFERROR(__xludf.DUMMYFUNCTION("GOOGLETRANSLATE(D3225,""auto"",""en"")"),"A stadium service robot")</f>
        <v>A stadium service robot</v>
      </c>
    </row>
    <row r="3226" spans="1:5" ht="15" x14ac:dyDescent="0.25">
      <c r="A3226" s="5" t="s">
        <v>9061</v>
      </c>
      <c r="B3226" s="6" t="s">
        <v>9062</v>
      </c>
      <c r="C3226" s="3" t="str">
        <f ca="1">IFERROR(__xludf.DUMMYFUNCTION("GOOGLETRANSLATE(B3226,""auto"",""en"")"),"1. The name of the product in this exterior: the graphic user interface for the mobile phone.
 2. The purpose of designing products in this exterior: The design of this product is used for running programs, display information and communication.
 3. T"&amp;"he design of the design of the product in this exterior: lies in the graphic user interface in the screen.
 4. The picture or photo of the main point of design design in this appearance: Design 1 main view.
 5. Specifying basic design: This appearance"&amp;" design is a similar appearance design, including 4 design, design 1 is the basic design.
 6. The interface purpose of designing products in this exterior: The interface of this design is the social software client interface.
 The user enters the spec"&amp;"ified interface according to the dynamic guidance of the interface and enters the designated interface.
 In the design 1 to design 4, football appears in the upper left corner of the main interface of the main view, and the football rolls to the ""+"" b"&amp;"utton and coincides with the ""+"" button to guide the user to click the button to present the dynamic view of the main view to the interface changes. Effect; when the user clicks the button, the football falls to the specified menu field and stays, showi"&amp;"ng the dynamic effect of the interface change state Figure 2 to the interface change state Figure 4.
 When the user clicks the button to enter the next interface, the football falls to the button that appears below the interface.
 Show the dynamic eff"&amp;"ect of the interface change state Figure 4 to the interface change state. 7.")</f>
        <v>1. The name of the product in this exterior: the graphic user interface for the mobile phone.
 2. The purpose of designing products in this exterior: The design of this product is used for running programs, display information and communication.
 3. The design of the design of the product in this exterior: lies in the graphic user interface in the screen.
 4. The picture or photo of the main point of design design in this appearance: Design 1 main view.
 5. Specifying basic design: This appearance design is a similar appearance design, including 4 design, design 1 is the basic design.
 6. The interface purpose of designing products in this exterior: The interface of this design is the social software client interface.
 The user enters the specified interface according to the dynamic guidance of the interface and enters the designated interface.
 In the design 1 to design 4, football appears in the upper left corner of the main interface of the main view, and the football rolls to the "+" button and coincides with the "+" button to guide the user to click the button to present the dynamic view of the main view to the interface changes. Effect; when the user clicks the button, the football falls to the specified menu field and stays, showing the dynamic effect of the interface change state Figure 2 to the interface change state Figure 4.
 When the user clicks the button to enter the next interface, the football falls to the button that appears below the interface.
 Show the dynamic effect of the interface change state Figure 4 to the interface change state. 7.</v>
      </c>
      <c r="D3226" s="6" t="s">
        <v>7563</v>
      </c>
      <c r="E3226" s="4" t="str">
        <f ca="1">IFERROR(__xludf.DUMMYFUNCTION("GOOGLETRANSLATE(D3226,""auto"",""en"")"),"The graphic user interface used for mobile phones")</f>
        <v>The graphic user interface used for mobile phones</v>
      </c>
    </row>
    <row r="3227" spans="1:5" ht="15" x14ac:dyDescent="0.25">
      <c r="A3227" s="5" t="s">
        <v>9063</v>
      </c>
      <c r="B3227" s="6" t="s">
        <v>9064</v>
      </c>
      <c r="C3227" s="3" t="str">
        <f ca="1">IFERROR(__xludf.DUMMYFUNCTION("GOOGLETRANSLATE(B3227,""auto"",""en"")"),"The new model involves a stadium service robot, which is the field of intelligent robots. Including pitching devices, motorcycle travel devices, scratching mechanisms, machine body, pitching devices are set in the back end of the machine body, the locomot"&amp;"ive running device is set in the middle of the machine body, and the ball catching mechanism is set in the front of the machine body. The stadium service robot automatically walks, obstacles, collects, and projected. The overall structure of this robot is"&amp;" simple, the institution is simple, the operation is reliable, the manufacturing cost is low, and the operation and maintenance costs are low. It can achieve the collection and projection of large balls such as basketball. It can be used for various ball "&amp;"court sports training.")</f>
        <v>The new model involves a stadium service robot, which is the field of intelligent robots. Including pitching devices, motorcycle travel devices, scratching mechanisms, machine body, pitching devices are set in the back end of the machine body, the locomotive running device is set in the middle of the machine body, and the ball catching mechanism is set in the front of the machine body. The stadium service robot automatically walks, obstacles, collects, and projected. The overall structure of this robot is simple, the institution is simple, the operation is reliable, the manufacturing cost is low, and the operation and maintenance costs are low. It can achieve the collection and projection of large balls such as basketball. It can be used for various ball court sports training.</v>
      </c>
      <c r="D3227" s="6" t="s">
        <v>9060</v>
      </c>
      <c r="E3227" s="4" t="str">
        <f ca="1">IFERROR(__xludf.DUMMYFUNCTION("GOOGLETRANSLATE(D3227,""auto"",""en"")"),"A stadium service robot")</f>
        <v>A stadium service robot</v>
      </c>
    </row>
    <row r="3228" spans="1:5" ht="15" x14ac:dyDescent="0.25">
      <c r="A3228" s="5" t="s">
        <v>9065</v>
      </c>
      <c r="B3228" s="6" t="s">
        <v>9066</v>
      </c>
      <c r="C3228" s="3" t="str">
        <f ca="1">IFERROR(__xludf.DUMMYFUNCTION("GOOGLETRANSLATE(B3228,""auto"",""en"")"),"Provides an artificial intelligence -based commentary, device and storage media. This method includes: obtaining the text explanation of the commentator and the structured data of historical events; generating a comment model based on the information obta"&amp;"ined; during the live broadcast of the game, the corresponding explanatory words are determined according to the structured data of each acquisition.")</f>
        <v>Provides an artificial intelligence -based commentary, device and storage media. This method includes: obtaining the text explanation of the commentator and the structured data of historical events; generating a comment model based on the information obtained; during the live broadcast of the game, the corresponding explanatory words are determined according to the structured data of each acquisition.</v>
      </c>
      <c r="D3228" s="6" t="s">
        <v>9067</v>
      </c>
      <c r="E3228" s="4" t="str">
        <f ca="1">IFERROR(__xludf.DUMMYFUNCTION("GOOGLETRANSLATE(D3228,""auto"",""en"")"),"Artificial intelligence -based commentary generation method, device and storage medium")</f>
        <v>Artificial intelligence -based commentary generation method, device and storage medium</v>
      </c>
    </row>
    <row r="3229" spans="1:5" ht="15" x14ac:dyDescent="0.25">
      <c r="A3229" s="5" t="s">
        <v>9068</v>
      </c>
      <c r="B3229" s="6" t="s">
        <v>9069</v>
      </c>
      <c r="C3229" s="3" t="str">
        <f ca="1">IFERROR(__xludf.DUMMYFUNCTION("GOOGLETRANSLATE(B3229,""auto"",""en"")"),"This utility model discloses a fitness equipment based on the Internet of Things, including the base, horizontal pillar, cushion columns, columns, and handles. There is a described pillar above the horizontal pillar, which is welded with the column and th"&amp;"e horizontal pillar welding, and the side of the column is set with a active wheel support pillar. One flywheel support column and the horizontal pillar welding, with a supporting rod above the column. The beneficial effect is that: This utility model ado"&amp;"pts multiple sets of columns, which can make the device stronger and more stable. The use of the scripting nuts to adjust the position of the cushion and the height of the handle. Usually, the position of the smart adjustment cushion and the height of the"&amp;" handle.")</f>
        <v>This utility model discloses a fitness equipment based on the Internet of Things, including the base, horizontal pillar, cushion columns, columns, and handles. There is a described pillar above the horizontal pillar, which is welded with the column and the horizontal pillar welding, and the side of the column is set with a active wheel support pillar. One flywheel support column and the horizontal pillar welding, with a supporting rod above the column. The beneficial effect is that: This utility model adopts multiple sets of columns, which can make the device stronger and more stable. The use of the scripting nuts to adjust the position of the cushion and the height of the handle. Usually, the position of the smart adjustment cushion and the height of the handle.</v>
      </c>
      <c r="D3229" s="6" t="s">
        <v>9070</v>
      </c>
      <c r="E3229" s="4" t="str">
        <f ca="1">IFERROR(__xludf.DUMMYFUNCTION("GOOGLETRANSLATE(D3229,""auto"",""en"")"),"A fitness equipment based on the Internet of Things")</f>
        <v>A fitness equipment based on the Internet of Things</v>
      </c>
    </row>
    <row r="3230" spans="1:5" ht="15" x14ac:dyDescent="0.25">
      <c r="A3230" s="5" t="s">
        <v>9071</v>
      </c>
      <c r="B3230" s="6" t="s">
        <v>9072</v>
      </c>
      <c r="C3230" s="3" t="str">
        <f ca="1">IFERROR(__xludf.DUMMYFUNCTION("GOOGLETRANSLATE(B3230,""auto"",""en"")"),"Training equipment (100) uses neural networks for training. The training equipment (110) training equipment (100) for training conditions obtained training conditions for the training prerequisite for training. Model selector (150) Learning models as a ne"&amp;"ural network structure based on training conditions. A learning model scale determination (160) determines the neural network size of the selected learning model according to the training conditions. Coaches (170) perform training by entering the neural n"&amp;"etwork of training data into neural networks, and the selected learning model is configured as a certain scale.")</f>
        <v>Training equipment (100) uses neural networks for training. The training equipment (110) training equipment (100) for training conditions obtained training conditions for the training prerequisite for training. Model selector (150) Learning models as a neural network structure based on training conditions. A learning model scale determination (160) determines the neural network size of the selected learning model according to the training conditions. Coaches (170) perform training by entering the neural network of training data into neural networks, and the selected learning model is configured as a certain scale.</v>
      </c>
      <c r="D3230" s="6" t="s">
        <v>9073</v>
      </c>
      <c r="E3230" s="4" t="str">
        <f ca="1">IFERROR(__xludf.DUMMYFUNCTION("GOOGLETRANSLATE(D3230,""auto"",""en"")"),"Learn equipment, reasoning equipment, methods and procedures")</f>
        <v>Learn equipment, reasoning equipment, methods and procedures</v>
      </c>
    </row>
    <row r="3231" spans="1:5" ht="15" x14ac:dyDescent="0.25">
      <c r="A3231" s="5" t="s">
        <v>9074</v>
      </c>
      <c r="B3231" s="6" t="s">
        <v>9075</v>
      </c>
      <c r="C3231" s="3" t="str">
        <f ca="1">IFERROR(__xludf.DUMMYFUNCTION("GOOGLETRANSLATE(B3231,""auto"",""en"")"),"The present invention involves a Sympathetic system based on the Internet of Things, including sports tool cleaning mechanisms, transmission institutions, sporting tool placement mechanisms, cloud information management systems, and input systems for spor"&amp;"ts tools. The lifting system and robotic hand, the lifting system is used to lift the automatic cleaning device of the lifting, which is equipped with a timer inside the automatic cleaning device, which is equipped with a first processor inside The surfac"&amp;"e of the sporting tools has a barcode on the surface; the transmission mechanism includes the first transmission belt and the second transmission belt. The secondary processor and sensor are located inside the baffle. There is also an automatic sports too"&amp;"l device below the sports tool placement box; the sporting tool placement mechanism also has a control processing system.")</f>
        <v>The present invention involves a Sympathetic system based on the Internet of Things, including sports tool cleaning mechanisms, transmission institutions, sporting tool placement mechanisms, cloud information management systems, and input systems for sports tools. The lifting system and robotic hand, the lifting system is used to lift the automatic cleaning device of the lifting, which is equipped with a timer inside the automatic cleaning device, which is equipped with a first processor inside The surface of the sporting tools has a barcode on the surface; the transmission mechanism includes the first transmission belt and the second transmission belt. The secondary processor and sensor are located inside the baffle. There is also an automatic sports tool device below the sports tool placement box; the sporting tool placement mechanism also has a control processing system.</v>
      </c>
      <c r="D3231" s="6" t="s">
        <v>9076</v>
      </c>
      <c r="E3231" s="4" t="str">
        <f ca="1">IFERROR(__xludf.DUMMYFUNCTION("GOOGLETRANSLATE(D3231,""auto"",""en"")"),"A sporting tool management system based on the Internet of Things")</f>
        <v>A sporting tool management system based on the Internet of Things</v>
      </c>
    </row>
    <row r="3232" spans="1:5" ht="15" x14ac:dyDescent="0.25">
      <c r="A3232" s="5" t="s">
        <v>9077</v>
      </c>
      <c r="B3232" s="6" t="s">
        <v>9078</v>
      </c>
      <c r="C3232" s="3" t="str">
        <f ca="1">IFERROR(__xludf.DUMMYFUNCTION("GOOGLETRANSLATE(B3232,""auto"",""en"")"),"The present invention disclosed a new method of video semantic extraction based on deep learning models, including the following steps: Based on video physical structure, through the combination and segmentation of video frame sequences, semantic structur"&amp;"ed video data is obtained; Structural video data processing into the input data of the three -dimensional convolutional neural network; create a three -dimensional convolutional neural network model, and use the output data of the sliding window as the tr"&amp;"aining data; The training of the three -dimensional convolutional neural network parameters is completed by reverse communication algorithms; the trained three -dimensional convolutional neural network ‑ continuous timing classification algorithm is used "&amp;"as a sports video semantic extraction model to extract video semantics. The invention can better capture the connection between the actions by combining the three -dimensional convolutional neural network and the sequential timing classification algorithm"&amp;" proposed by the proposal, and improve the accuracy of the semantic extraction of sports video.")</f>
        <v>The present invention disclosed a new method of video semantic extraction based on deep learning models, including the following steps: Based on video physical structure, through the combination and segmentation of video frame sequences, semantic structured video data is obtained; Structural video data processing into the input data of the three -dimensional convolutional neural network; create a three -dimensional convolutional neural network model, and use the output data of the sliding window as the training data; The training of the three -dimensional convolutional neural network parameters is completed by reverse communication algorithms; the trained three -dimensional convolutional neural network ‑ continuous timing classification algorithm is used as a sports video semantic extraction model to extract video semantics. The invention can better capture the connection between the actions by combining the three -dimensional convolutional neural network and the sequential timing classification algorithm proposed by the proposal, and improve the accuracy of the semantic extraction of sports video.</v>
      </c>
      <c r="D3232" s="6" t="s">
        <v>9079</v>
      </c>
      <c r="E3232" s="4" t="str">
        <f ca="1">IFERROR(__xludf.DUMMYFUNCTION("GOOGLETRANSLATE(D3232,""auto"",""en"")"),"A new method of video semantic extraction based on deep learning models")</f>
        <v>A new method of video semantic extraction based on deep learning models</v>
      </c>
    </row>
    <row r="3233" spans="1:5" ht="15" x14ac:dyDescent="0.25">
      <c r="A3233" s="5" t="s">
        <v>9080</v>
      </c>
      <c r="B3233" s="6" t="s">
        <v>9081</v>
      </c>
      <c r="C3233" s="3" t="str">
        <f ca="1">IFERROR(__xludf.DUMMYFUNCTION("GOOGLETRANSLATE(B3233,""auto"",""en"")"),"The present invention disclosed a large scene monitoring image of a large scenarios based on convolutional neural network -level joint. The specific operation steps of this method are as follows: (1) Collect and organize large scenarios monitoring image d"&amp;"ata and make detailed marks; (2) 2. Integrate human face area and its semantic information, that is, the design of the conjunctivation neural network structure of the face and its surrounding shoulder areas; (3), the grade co -venical network model traini"&amp;"ng of the human face area and its semantic information. The present invention effectively solves the problem of poor face detection effects caused by the small face scale, large changes in the scale, and vague face details in the large scene monitoring im"&amp;"ages. Great improvement.")</f>
        <v>The present invention disclosed a large scene monitoring image of a large scenarios based on convolutional neural network -level joint. The specific operation steps of this method are as follows: (1) Collect and organize large scenarios monitoring image data and make detailed marks; (2) 2. Integrate human face area and its semantic information, that is, the design of the conjunctivation neural network structure of the face and its surrounding shoulder areas; (3), the grade co -venical network model training of the human face area and its semantic information. The present invention effectively solves the problem of poor face detection effects caused by the small face scale, large changes in the scale, and vague face details in the large scene monitoring images. Great improvement.</v>
      </c>
      <c r="D3233" s="6" t="s">
        <v>9082</v>
      </c>
      <c r="E3233" s="4" t="str">
        <f ca="1">IFERROR(__xludf.DUMMYFUNCTION("GOOGLETRANSLATE(D3233,""auto"",""en"")"),"A large scenario monitoring image person face detection method based on convolutional neural network -grade")</f>
        <v>A large scenario monitoring image person face detection method based on convolutional neural network -grade</v>
      </c>
    </row>
    <row r="3234" spans="1:5" ht="15" x14ac:dyDescent="0.25">
      <c r="A3234" s="5" t="s">
        <v>9083</v>
      </c>
      <c r="B3234" s="6" t="s">
        <v>9084</v>
      </c>
      <c r="C3234" s="3" t="str">
        <f ca="1">IFERROR(__xludf.DUMMYFUNCTION("GOOGLETRANSLATE(B3234,""auto"",""en"")"),"A smart bionic tadpole specialty for young children's popular science education, including tadpoles, positive -level lines, tails, motors, motors shafts, mouth, buttons, imitation eye electric lights, paid -level lines, 1st chips, two seconds, two seconds"&amp;", two The size of the chopsticks, the second size, and No. 1 on the top of the number. The present invention combines the story of ""Xiao Tao Finding Mom"" ​​in the elementary school textbook to develop an intelligent bionic tadpole. And the enlightenment"&amp;" of bionic mechanics, expanding students' technological thinking, and the characteristics of crawling, jumping, and swimming from intelligent bionic tadpoles, design and manufacture smart robots with different characteristics and application scope, such a"&amp;"s smart walkingrs, smart machine fish fans , Smart potential, smart climbers, smart aircraft, etc., so that it can be used in some special environments on the earth, and can be used for detecting and research on other stars such as the moon and Mars. Prac"&amp;"tical intelligent science science teachings.")</f>
        <v>A smart bionic tadpole specialty for young children's popular science education, including tadpoles, positive -level lines, tails, motors, motors shafts, mouth, buttons, imitation eye electric lights, paid -level lines, 1st chips, two seconds, two seconds, two The size of the chopsticks, the second size, and No. 1 on the top of the number. The present invention combines the story of "Xiao Tao Finding Mom" ​​in the elementary school textbook to develop an intelligent bionic tadpole. And the enlightenment of bionic mechanics, expanding students' technological thinking, and the characteristics of crawling, jumping, and swimming from intelligent bionic tadpoles, design and manufacture smart robots with different characteristics and application scope, such as smart walkingrs, smart machine fish fans , Smart potential, smart climbers, smart aircraft, etc., so that it can be used in some special environments on the earth, and can be used for detecting and research on other stars such as the moon and Mars. Practical intelligent science science teachings.</v>
      </c>
      <c r="D3234" s="6" t="s">
        <v>9085</v>
      </c>
      <c r="E3234" s="4" t="str">
        <f ca="1">IFERROR(__xludf.DUMMYFUNCTION("GOOGLETRANSLATE(D3234,""auto"",""en"")"),"A smart bionic tadpole dedicated to young children's popular science education")</f>
        <v>A smart bionic tadpole dedicated to young children's popular science education</v>
      </c>
    </row>
    <row r="3235" spans="1:5" ht="15" x14ac:dyDescent="0.25">
      <c r="A3235" s="5" t="s">
        <v>9086</v>
      </c>
      <c r="B3235" s="6" t="s">
        <v>2896</v>
      </c>
      <c r="C3235" s="3" t="str">
        <f ca="1">IFERROR(__xludf.DUMMYFUNCTION("GOOGLETRANSLATE(B3235,""auto"",""en"")"),"Methods and computer systems by changing the basic deep neural network in the structure to create updated deep neural networks to improve the basic deep neural network of training, so that the updated deep neural network has no performance reduction in th"&amp;"e training data compared to the basic deep neural network. Update update. Deep neural networks are subsequently trained. In addition, the asynchronous agent used in the machine learning system includes the second machine learning system ML2, which will be"&amp;" trained to perform some machine learning tasks. The asynchronous agent also includes learning coach LC and optional data selectioner machine learning system DS. The purpose of the data selection machine learning system DS is to make the second -stage mac"&amp;"hine learning system ML2 more effective in their learning (by selecting a set of smaller but sufficient training data) and/or more effective Training data for important tasks). Learning coach LC is a machine learning system that assists DS and ML2. Multip"&amp;"le asynchronous agents can also communicate with each other. Each agent is asynchronous training and growth under the guidance of their respective learning coaches to perform different tasks.")</f>
        <v>Methods and computer systems by changing the basic deep neural network in the structure to create updated deep neural networks to improve the basic deep neural network of training, so that the updated deep neural network has no performance reduction in the training data compared to the basic deep neural network. Update update. Deep neural networks are subsequently trained. In addition, the asynchronous agent used in the machine learning system includes the second machine learning system ML2, which will be trained to perform some machine learning tasks. The asynchronous agent also includes learning coach LC and optional data selectioner machine learning system DS. The purpose of the data selection machine learning system DS is to make the second -stage machine learning system ML2 more effective in their learning (by selecting a set of smaller but sufficient training data) and/or more effective Training data for important tasks). Learning coach LC is a machine learning system that assists DS and ML2. Multiple asynchronous agents can also communicate with each other. Each agent is asynchronous training and growth under the guidance of their respective learning coaches to perform different tasks.</v>
      </c>
      <c r="D3235" s="6" t="s">
        <v>2897</v>
      </c>
      <c r="E3235" s="4" t="str">
        <f ca="1">IFERROR(__xludf.DUMMYFUNCTION("GOOGLETRANSLATE(D3235,""auto"",""en"")"),"With asynchronous agents who have learned coach and structural modification deep neural network, it will not reduce performance")</f>
        <v>With asynchronous agents who have learned coach and structural modification deep neural network, it will not reduce performance</v>
      </c>
    </row>
    <row r="3236" spans="1:5" ht="15" x14ac:dyDescent="0.25">
      <c r="A3236" s="5" t="s">
        <v>9087</v>
      </c>
      <c r="B3236" s="6" t="s">
        <v>9088</v>
      </c>
      <c r="C3236" s="3" t="str">
        <f ca="1">IFERROR(__xludf.DUMMYFUNCTION("GOOGLETRANSLATE(B3236,""auto"",""en"")"),"The present invention involves the prediction method of the positioning point of the badminton landing point based on computer vision. According to the video frame picture obtained by the badminton game video, the venue center is used as the origin to cal"&amp;"culate the perspective transformation relationship between the badminton venue and the model venue in the video frame picture, and determine the badminton. The venue model; then use the time difference method to distinguish the motion area and the backgro"&amp;"und part by the time differential method of the motion area; perform dual -value treatment of differential images, the image segmentation, the contour tracking and then extract the characteristic information of the badminton; the trajectory tracking algor"&amp;"ithm determines the badminton. Flight trajectory; use the Karman filtering algorithm to predict the position of the badminton trajectory. According to the position of the trajectory, the perspective transformation method is used to transform to the coordi"&amp;"nates of the actual badminton venue, thereby achieving predictions on the position of the badminton landing point. This method can be applied to the predictions of the position position of badminton landing point in complex scenes when light gradient, win"&amp;"d speed impact, airflow effect, or the fast scene of badminton.")</f>
        <v>The present invention involves the prediction method of the positioning point of the badminton landing point based on computer vision. According to the video frame picture obtained by the badminton game video, the venue center is used as the origin to calculate the perspective transformation relationship between the badminton venue and the model venue in the video frame picture, and determine the badminton. The venue model; then use the time difference method to distinguish the motion area and the background part by the time differential method of the motion area; perform dual -value treatment of differential images, the image segmentation, the contour tracking and then extract the characteristic information of the badminton; the trajectory tracking algorithm determines the badminton. Flight trajectory; use the Karman filtering algorithm to predict the position of the badminton trajectory. According to the position of the trajectory, the perspective transformation method is used to transform to the coordinates of the actual badminton venue, thereby achieving predictions on the position of the badminton landing point. This method can be applied to the predictions of the position position of badminton landing point in complex scenes when light gradient, wind speed impact, airflow effect, or the fast scene of badminton.</v>
      </c>
      <c r="D3236" s="6" t="s">
        <v>9089</v>
      </c>
      <c r="E3236" s="4" t="str">
        <f ca="1">IFERROR(__xludf.DUMMYFUNCTION("GOOGLETRANSLATE(D3236,""auto"",""en"")"),"Method of the position prediction method of badminton landing point based on computer vision")</f>
        <v>Method of the position prediction method of badminton landing point based on computer vision</v>
      </c>
    </row>
    <row r="3237" spans="1:5" ht="15" x14ac:dyDescent="0.25">
      <c r="A3237" s="5" t="s">
        <v>9090</v>
      </c>
      <c r="B3237" s="6" t="s">
        <v>9091</v>
      </c>
      <c r="C3237" s="3" t="str">
        <f ca="1">IFERROR(__xludf.DUMMYFUNCTION("GOOGLETRANSLATE(B3237,""auto"",""en"")"),"Methods and computer systems to improve the basic deep neural network of training through the following methods, that is, by changing the foundation deep neural network in structure to create an updated deep neural network, compared to the basic deep neur"&amp;"al network, the update is updated. Deep neural networks have not produced performance decline in training data. The updated deep neural network was subsequently trained. At the same time, the asynchronous agent used in the machine learning system includes"&amp;" the second machine learning system ML2, which will be trained to perform certain machine learning tasks. The asynchronous proxy further includes learning coach LC and optional data selection machine learning system DS. The purpose of the data selection m"&amp;"achine learning system DS is to make the second -level machine learning system ML2 more efficient in its learning process (by selecting a set of small but sufficient training data) and/or more effective (by selecting by selecting by selecting A set of tra"&amp;"ining data concentrated in an important task). The learning coach LC is a machine learning system that assists DS and ML2 learning. Many asynchronous agents can also communicate with each other. Each asynchronous agent conducts asynchronous training and g"&amp;"rowth under the guidance of their respective learning coaches to perform different tasks.")</f>
        <v>Methods and computer systems to improve the basic deep neural network of training through the following methods, that is, by changing the foundation deep neural network in structure to create an updated deep neural network, compared to the basic deep neural network, the update is updated. Deep neural networks have not produced performance decline in training data. The updated deep neural network was subsequently trained. At the same time, the asynchronous agent used in the machine learning system includes the second machine learning system ML2, which will be trained to perform certain machine learning tasks. The asynchronous proxy further includes learning coach LC and optional data selection machine learning system DS. The purpose of the data selection machine learning system DS is to make the second -level machine learning system ML2 more efficient in its learning process (by selecting a set of small but sufficient training data) and/or more effective (by selecting by selecting by selecting A set of training data concentrated in an important task). The learning coach LC is a machine learning system that assists DS and ML2 learning. Many asynchronous agents can also communicate with each other. Each asynchronous agent conducts asynchronous training and growth under the guidance of their respective learning coaches to perform different tasks.</v>
      </c>
      <c r="D3237" s="6" t="s">
        <v>9092</v>
      </c>
      <c r="E3237" s="4" t="str">
        <f ca="1">IFERROR(__xludf.DUMMYFUNCTION("GOOGLETRANSLATE(D3237,""auto"",""en"")"),"The asynchronous agent of learning coaches and modifying deep neural networks in the structure without lowering performance")</f>
        <v>The asynchronous agent of learning coaches and modifying deep neural networks in the structure without lowering performance</v>
      </c>
    </row>
    <row r="3238" spans="1:5" ht="15" x14ac:dyDescent="0.25">
      <c r="A3238" s="5" t="s">
        <v>9093</v>
      </c>
      <c r="B3238" s="6" t="s">
        <v>2896</v>
      </c>
      <c r="C3238" s="3" t="str">
        <f ca="1">IFERROR(__xludf.DUMMYFUNCTION("GOOGLETRANSLATE(B3238,""auto"",""en"")"),"Methods and computer systems by changing the basic deep neural network in the structure to create updated deep neural networks to improve the basic deep neural network of training, so that the updated deep neural network has no performance reduction in th"&amp;"e training data compared to the basic deep neural network. Update update. Deep neural networks are subsequently trained. In addition, the asynchronous agent used in the machine learning system includes the second machine learning system ML2, which will be"&amp;" trained to perform some machine learning tasks. The asynchronous agent also includes learning coach LC and optional data selectioner machine learning system DS. The purpose of the data selection machine learning system DS is to make the second -stage mac"&amp;"hine learning system ML2 more effective in their learning (by selecting a set of smaller but sufficient training data) and/or more effective Training data for important tasks). Learning coach LC is a machine learning system that assists DS and ML2. Multip"&amp;"le asynchronous agents can also communicate with each other. Each agent is asynchronous training and growth under the guidance of their respective learning coaches to perform different tasks.")</f>
        <v>Methods and computer systems by changing the basic deep neural network in the structure to create updated deep neural networks to improve the basic deep neural network of training, so that the updated deep neural network has no performance reduction in the training data compared to the basic deep neural network. Update update. Deep neural networks are subsequently trained. In addition, the asynchronous agent used in the machine learning system includes the second machine learning system ML2, which will be trained to perform some machine learning tasks. The asynchronous agent also includes learning coach LC and optional data selectioner machine learning system DS. The purpose of the data selection machine learning system DS is to make the second -stage machine learning system ML2 more effective in their learning (by selecting a set of smaller but sufficient training data) and/or more effective Training data for important tasks). Learning coach LC is a machine learning system that assists DS and ML2. Multiple asynchronous agents can also communicate with each other. Each agent is asynchronous training and growth under the guidance of their respective learning coaches to perform different tasks.</v>
      </c>
      <c r="D3238" s="6" t="s">
        <v>2378</v>
      </c>
      <c r="E3238" s="4" t="str">
        <f ca="1">IFERROR(__xludf.DUMMYFUNCTION("GOOGLETRANSLATE(D3238,""auto"",""en"")"),"The asynchronous agent of learning coaches and the structural modification of the deep neural network without lowering performance")</f>
        <v>The asynchronous agent of learning coaches and the structural modification of the deep neural network without lowering performance</v>
      </c>
    </row>
    <row r="3239" spans="1:5" ht="15" x14ac:dyDescent="0.25">
      <c r="A3239" s="5" t="s">
        <v>9094</v>
      </c>
      <c r="B3239" s="6" t="s">
        <v>9095</v>
      </c>
      <c r="C3239" s="3" t="str">
        <f ca="1">IFERROR(__xludf.DUMMYFUNCTION("GOOGLETRANSLATE(B3239,""auto"",""en"")"),"Methods and computer systems by changing the basic deep neural network in the structure to create updated deep neural networks to improve the basic deep neural network of training, so that the updated deep neural network has no performance reduction in tr"&amp;"aining data relative to the basic deep neural network. Update. Update. The subsequent deep neural network was subsequently trained. In addition, asynchronous agents for machine learning systems include the second machine learning system ML2, which will be"&amp;" trained to perform some machine learning tasks. The asynchronous agent also includes learning coach LC and optional data selectioner machine learning system DS. The purpose of the data selection machine learning system DS is to make the learning efficien"&amp;"cy of the second stage machine learning system ML2 (by selecting a set of small but sufficient training data) and/or more effective Training data for tasks). Learning coach LC is a machine learning system that assisted DS and ML2. Multiple asynchronous in"&amp;"telligence can also communicate with each other. Each intelligence is not asynchronous training and growth under the guidance of their respective coaches to perform different tasks.")</f>
        <v>Methods and computer systems by changing the basic deep neural network in the structure to create updated deep neural networks to improve the basic deep neural network of training, so that the updated deep neural network has no performance reduction in training data relative to the basic deep neural network. Update. Update. The subsequent deep neural network was subsequently trained. In addition, asynchronous agents for machine learning systems include the second machine learning system ML2, which will be trained to perform some machine learning tasks. The asynchronous agent also includes learning coach LC and optional data selectioner machine learning system DS. The purpose of the data selection machine learning system DS is to make the learning efficiency of the second stage machine learning system ML2 (by selecting a set of small but sufficient training data) and/or more effective Training data for tasks). Learning coach LC is a machine learning system that assisted DS and ML2. Multiple asynchronous intelligence can also communicate with each other. Each intelligence is not asynchronous training and growth under the guidance of their respective coaches to perform different tasks.</v>
      </c>
      <c r="D3239" s="6" t="s">
        <v>2378</v>
      </c>
      <c r="E3239" s="4" t="str">
        <f ca="1">IFERROR(__xludf.DUMMYFUNCTION("GOOGLETRANSLATE(D3239,""auto"",""en"")"),"The asynchronous agent of learning coaches and the structural modification of the deep neural network without lowering performance")</f>
        <v>The asynchronous agent of learning coaches and the structural modification of the deep neural network without lowering performance</v>
      </c>
    </row>
    <row r="3240" spans="1:5" ht="15" x14ac:dyDescent="0.25">
      <c r="A3240" s="5" t="s">
        <v>9096</v>
      </c>
      <c r="B3240" s="6" t="s">
        <v>9097</v>
      </c>
      <c r="C3240" s="3" t="str">
        <f ca="1">IFERROR(__xludf.DUMMYFUNCTION("GOOGLETRANSLATE(B3240,""auto"",""en"")"),"The invention disclosed a campus sports training/competition sports field/museum information -based Internet of Things system, including perceptual layers, network layers, platform layers, and application layers. Through cutting -edge technologies such as"&amp;" artificial intelligence, cloud computing, big data, and the Internet of Things to empower campus sports. The invention is the combination of traditional sports training/competition through intelligent hardware (recording, pickup, medical examination, wea"&amp;"rable, wearable, etc.) equipment with emerging artificial intelligence, big data, cloud computing and other cutting -edge technologies. Campus sports sports field/museum linked to the new generation of information technology integrated application with at"&amp;"hletes, thereby forming the collection of data collection, data analysis and sharing, teaching management, auxiliary teaching, venue security, sports programs production, Internet sports social, electronics, electronics, electronics, electronics, electron"&amp;"ics, electronics, electronics A variety of functions such as competition and user experience, a comprehensive campus sports training/competition sports field/museum information -based Internet of Things system.")</f>
        <v>The invention disclosed a campus sports training/competition sports field/museum information -based Internet of Things system, including perceptual layers, network layers, platform layers, and application layers. Through cutting -edge technologies such as artificial intelligence, cloud computing, big data, and the Internet of Things to empower campus sports. The invention is the combination of traditional sports training/competition through intelligent hardware (recording, pickup, medical examination, wearable, wearable, etc.) equipment with emerging artificial intelligence, big data, cloud computing and other cutting -edge technologies. Campus sports sports field/museum linked to the new generation of information technology integrated application with athletes, thereby forming the collection of data collection, data analysis and sharing, teaching management, auxiliary teaching, venue security, sports programs production, Internet sports social, electronics, electronics, electronics, electronics, electronics, electronics, electronics A variety of functions such as competition and user experience, a comprehensive campus sports training/competition sports field/museum information -based Internet of Things system.</v>
      </c>
      <c r="D3240" s="6" t="s">
        <v>9098</v>
      </c>
      <c r="E3240" s="4" t="str">
        <f ca="1">IFERROR(__xludf.DUMMYFUNCTION("GOOGLETRANSLATE(D3240,""auto"",""en"")"),"A campus sports training/competition sports field/museum information -based Internet of Things system")</f>
        <v>A campus sports training/competition sports field/museum information -based Internet of Things system</v>
      </c>
    </row>
    <row r="3241" spans="1:5" ht="15" x14ac:dyDescent="0.25">
      <c r="A3241" s="5" t="s">
        <v>9099</v>
      </c>
      <c r="B3241" s="6" t="s">
        <v>9100</v>
      </c>
      <c r="C3241" s="3" t="str">
        <f ca="1">IFERROR(__xludf.DUMMYFUNCTION("GOOGLETRANSLATE(B3241,""auto"",""en"")"),"The present invention disclosed a driving teaching and scoring method, equipment and computer readable storage medium, driving teaching and scoring method: obtain the driving information of the vehicle as the input of the neural network, and obtain the co"&amp;"ntrol information of the vehicle as the output Input and output the neural network to obtain the target neural network; obtain the real -time driving information of the vehicle, use the real -time driving information as the input of the target neural netw"&amp;"ork, the target neural network output the corresponding control information, and conduct driving teaching or score according to the control information. Based on the training target neural network, the current driving conditions and road conditions inform"&amp;"ation are input, and the corresponding optimal operation is output. The driver's operation is realized in real time according to the current driving information, and the driving operation score is performed. There is no need to guide the coach specially t"&amp;"o save the cost of manpower training. Furthermore, the consistency and automaticness of driving teaching and scores are guaranteed.")</f>
        <v>The present invention disclosed a driving teaching and scoring method, equipment and computer readable storage medium, driving teaching and scoring method: obtain the driving information of the vehicle as the input of the neural network, and obtain the control information of the vehicle as the output Input and output the neural network to obtain the target neural network; obtain the real -time driving information of the vehicle, use the real -time driving information as the input of the target neural network, the target neural network output the corresponding control information, and conduct driving teaching or score according to the control information. Based on the training target neural network, the current driving conditions and road conditions information are input, and the corresponding optimal operation is output. The driver's operation is realized in real time according to the current driving information, and the driving operation score is performed. There is no need to guide the coach specially to save the cost of manpower training. Furthermore, the consistency and automaticness of driving teaching and scores are guaranteed.</v>
      </c>
      <c r="D3241" s="6" t="s">
        <v>9101</v>
      </c>
      <c r="E3241" s="4" t="str">
        <f ca="1">IFERROR(__xludf.DUMMYFUNCTION("GOOGLETRANSLATE(D3241,""auto"",""en"")"),"Driving teaching and scoring methods, equipment and computer readable storage media")</f>
        <v>Driving teaching and scoring methods, equipment and computer readable storage media</v>
      </c>
    </row>
    <row r="3242" spans="1:5" ht="15" x14ac:dyDescent="0.25">
      <c r="A3242" s="5" t="s">
        <v>9102</v>
      </c>
      <c r="B3242" s="6" t="s">
        <v>8039</v>
      </c>
      <c r="C3242" s="3" t="str">
        <f ca="1">IFERROR(__xludf.DUMMYFUNCTION("GOOGLETRANSLATE(B3242,""auto"",""en"")"),"It describes a method of monitoring physical exercise based on the image frame sequences for the exercise of people to monitor people. This method includes the following steps: Based on the image frame serial, using a neural network to extract a set of ke"&amp;"y points for each image frame. At least one feature parameter of the physical point of the body indicates the progress of human movement. This method also includes the start of the cycle by evaluating at least one time progress in the evaluation feature p"&amp;"arameters. The start of the cycle conditions instructions from the beginning of the person's starting posture to the transformation of human movement during physical exercise.")</f>
        <v>It describes a method of monitoring physical exercise based on the image frame sequences for the exercise of people to monitor people. This method includes the following steps: Based on the image frame serial, using a neural network to extract a set of key points for each image frame. At least one feature parameter of the physical point of the body indicates the progress of human movement. This method also includes the start of the cycle by evaluating at least one time progress in the evaluation feature parameters. The start of the cycle conditions instructions from the beginning of the person's starting posture to the transformation of human movement during physical exercise.</v>
      </c>
      <c r="D3242" s="6" t="s">
        <v>3881</v>
      </c>
      <c r="E3242" s="4" t="str">
        <f ca="1">IFERROR(__xludf.DUMMYFUNCTION("GOOGLETRANSLATE(D3242,""auto"",""en"")"),"Monitor the expression of physical exercise")</f>
        <v>Monitor the expression of physical exercise</v>
      </c>
    </row>
    <row r="3243" spans="1:5" ht="15" x14ac:dyDescent="0.25">
      <c r="A3243" s="5" t="s">
        <v>9103</v>
      </c>
      <c r="B3243" s="6" t="s">
        <v>9104</v>
      </c>
      <c r="C3243" s="3" t="str">
        <f ca="1">IFERROR(__xludf.DUMMYFUNCTION("GOOGLETRANSLATE(B3243,""auto"",""en"")"),"The present invention involves a sports goods recovery management system based on the Internet of Things, including borrowing cabinets, robot subjects, and cloud information sharing systems. Identification device, GPS navigation system, air pressure detec"&amp;"tion device, cleaning device, two -dimensional code scanning device, information processor, recycling placement window, which include the first pressure board, second pressure board, pressure control system, robotic arm , The main body of the robot also h"&amp;"as a sporting supplies placement area, which includes the sporting supplies placement area includes to be cleaned and placed, no cleaning and placing area, and recycling placement area. There is no need to clean the place where the second liter door is pr"&amp;"ovided in the placement area, and the third liter door is provided in the recycling placement area.")</f>
        <v>The present invention involves a sports goods recovery management system based on the Internet of Things, including borrowing cabinets, robot subjects, and cloud information sharing systems. Identification device, GPS navigation system, air pressure detection device, cleaning device, two -dimensional code scanning device, information processor, recycling placement window, which include the first pressure board, second pressure board, pressure control system, robotic arm , The main body of the robot also has a sporting supplies placement area, which includes the sporting supplies placement area includes to be cleaned and placed, no cleaning and placing area, and recycling placement area. There is no need to clean the place where the second liter door is provided in the placement area, and the third liter door is provided in the recycling placement area.</v>
      </c>
      <c r="D3243" s="6" t="s">
        <v>9105</v>
      </c>
      <c r="E3243" s="4" t="str">
        <f ca="1">IFERROR(__xludf.DUMMYFUNCTION("GOOGLETRANSLATE(D3243,""auto"",""en"")"),"A system based on the Internet of Things -based sporting goods recycling management system")</f>
        <v>A system based on the Internet of Things -based sporting goods recycling management system</v>
      </c>
    </row>
    <row r="3244" spans="1:5" ht="15" x14ac:dyDescent="0.25">
      <c r="A3244" s="5" t="s">
        <v>9106</v>
      </c>
      <c r="B3244" s="6" t="s">
        <v>8851</v>
      </c>
      <c r="C3244" s="3" t="str">
        <f ca="1">IFERROR(__xludf.DUMMYFUNCTION("GOOGLETRANSLATE(B3244,""auto"",""en"")"),"It describes a method of image frame sequence based on displaying people to monitor physical exercise. This method includes the following steps: based on the sequence of image frames, using a neural network to extract a set of key points for each image fr"&amp;"ame. At least one feature parameter of the physical point of the body indicates the progress of human movement. This method also includes the time process of evaluating the at least one time process in the feature parameters to detect the start of the cyc"&amp;"le, which starts the transition from the beginning of the person to the human movement during physical exercise.")</f>
        <v>It describes a method of image frame sequence based on displaying people to monitor physical exercise. This method includes the following steps: based on the sequence of image frames, using a neural network to extract a set of key points for each image frame. At least one feature parameter of the physical point of the body indicates the progress of human movement. This method also includes the time process of evaluating the at least one time process in the feature parameters to detect the start of the cycle, which starts the transition from the beginning of the person to the human movement during physical exercise.</v>
      </c>
      <c r="D3244" s="6" t="s">
        <v>3881</v>
      </c>
      <c r="E3244" s="4" t="str">
        <f ca="1">IFERROR(__xludf.DUMMYFUNCTION("GOOGLETRANSLATE(D3244,""auto"",""en"")"),"Monitor the expression of physical exercise")</f>
        <v>Monitor the expression of physical exercise</v>
      </c>
    </row>
    <row r="3245" spans="1:5" ht="15" x14ac:dyDescent="0.25">
      <c r="A3245" s="5" t="s">
        <v>9107</v>
      </c>
      <c r="B3245" s="6" t="s">
        <v>8039</v>
      </c>
      <c r="C3245" s="3" t="str">
        <f ca="1">IFERROR(__xludf.DUMMYFUNCTION("GOOGLETRANSLATE(B3245,""auto"",""en"")"),"It describes a method of monitoring physical exercise based on the image frame sequences for the exercise of people to monitor people. This method includes the following steps: Based on the image frame serial, using a neural network to extract a set of ke"&amp;"y points for each image frame. At least one feature parameter of the physical point of the body indicates the progress of human movement. This method also includes the start of the cycle by evaluating at least one time progress in the evaluation feature p"&amp;"arameters. The start of the cycle conditions instructions from the beginning of the person's starting posture to the transformation of human movement during physical exercise.")</f>
        <v>It describes a method of monitoring physical exercise based on the image frame sequences for the exercise of people to monitor people. This method includes the following steps: Based on the image frame serial, using a neural network to extract a set of key points for each image frame. At least one feature parameter of the physical point of the body indicates the progress of human movement. This method also includes the start of the cycle by evaluating at least one time progress in the evaluation feature parameters. The start of the cycle conditions instructions from the beginning of the person's starting posture to the transformation of human movement during physical exercise.</v>
      </c>
      <c r="D3245" s="6" t="s">
        <v>3881</v>
      </c>
      <c r="E3245" s="4" t="str">
        <f ca="1">IFERROR(__xludf.DUMMYFUNCTION("GOOGLETRANSLATE(D3245,""auto"",""en"")"),"Monitor the expression of physical exercise")</f>
        <v>Monitor the expression of physical exercise</v>
      </c>
    </row>
    <row r="3246" spans="1:5" ht="15" x14ac:dyDescent="0.25">
      <c r="A3246" s="5" t="s">
        <v>9108</v>
      </c>
      <c r="B3246" s="6" t="s">
        <v>8851</v>
      </c>
      <c r="C3246" s="3" t="str">
        <f ca="1">IFERROR(__xludf.DUMMYFUNCTION("GOOGLETRANSLATE(B3246,""auto"",""en"")"),"It describes a method of image frame sequence based on displaying people to monitor physical exercise. This method includes the following steps: based on the sequence of image frames, using a neural network to extract a set of key points for each image fr"&amp;"ame. At least one feature parameter of the physical point of the body indicates the progress of human movement. This method also includes the time process of evaluating the at least one time process in the feature parameters to detect the start of the cyc"&amp;"le, which starts the transition from the beginning of the person to the human movement during physical exercise.")</f>
        <v>It describes a method of image frame sequence based on displaying people to monitor physical exercise. This method includes the following steps: based on the sequence of image frames, using a neural network to extract a set of key points for each image frame. At least one feature parameter of the physical point of the body indicates the progress of human movement. This method also includes the time process of evaluating the at least one time process in the feature parameters to detect the start of the cycle, which starts the transition from the beginning of the person to the human movement during physical exercise.</v>
      </c>
      <c r="D3246" s="6" t="s">
        <v>9109</v>
      </c>
      <c r="E3246" s="4" t="str">
        <f ca="1">IFERROR(__xludf.DUMMYFUNCTION("GOOGLETRANSLATE(D3246,""auto"",""en"")"),"Over -use control")</f>
        <v>Over -use control</v>
      </c>
    </row>
    <row r="3247" spans="1:5" ht="15" x14ac:dyDescent="0.25">
      <c r="A3247" s="5" t="s">
        <v>9110</v>
      </c>
      <c r="B3247" s="6" t="s">
        <v>8039</v>
      </c>
      <c r="C3247" s="3" t="str">
        <f ca="1">IFERROR(__xludf.DUMMYFUNCTION("GOOGLETRANSLATE(B3247,""auto"",""en"")"),"It describes a method of monitoring physical exercise based on the image frame sequences for the exercise of people to monitor people. This method includes the following steps: Based on the image frame serial, using a neural network to extract a set of ke"&amp;"y points for each image frame. At least one feature parameter of the physical point of the body indicates the progress of human movement. This method also includes the start of the cycle by evaluating at least one time progress in the evaluation feature p"&amp;"arameters. The start of the cycle conditions instructions from the beginning of the person's starting posture to the transformation of human movement during physical exercise.")</f>
        <v>It describes a method of monitoring physical exercise based on the image frame sequences for the exercise of people to monitor people. This method includes the following steps: Based on the image frame serial, using a neural network to extract a set of key points for each image frame. At least one feature parameter of the physical point of the body indicates the progress of human movement. This method also includes the start of the cycle by evaluating at least one time progress in the evaluation feature parameters. The start of the cycle conditions instructions from the beginning of the person's starting posture to the transformation of human movement during physical exercise.</v>
      </c>
      <c r="D3247" s="6" t="s">
        <v>9111</v>
      </c>
      <c r="E3247" s="4" t="str">
        <f ca="1">IFERROR(__xludf.DUMMYFUNCTION("GOOGLETRANSLATE(D3247,""auto"",""en"")"),"Over -use restriction")</f>
        <v>Over -use restriction</v>
      </c>
    </row>
    <row r="3248" spans="1:5" ht="15" x14ac:dyDescent="0.25">
      <c r="A3248" s="5" t="s">
        <v>9112</v>
      </c>
      <c r="B3248" s="6" t="s">
        <v>9113</v>
      </c>
      <c r="C3248" s="3" t="str">
        <f ca="1">IFERROR(__xludf.DUMMYFUNCTION("GOOGLETRANSLATE(B3248,""auto"",""en"")"),"A method for being recommended by searching the user data of the selected user and using the user data and content information about the content available content to provide one or more content items recommendation. User data indicates at least one user m"&amp;"ovement or preference related to the first type of content in multiple different types; and it is recommended to be at least one of the second types of the second type of multiple types. Multiple types can include at least some: video content, audio conte"&amp;"nt, computer games, printing content or on -site performances, such as movies, television programs, music, podcasts, audiobooks, computer games, books, magazines, concerts, dramas, dramas, dramas, dramas Comedy performance or sports events. It is recommen"&amp;"ded to be provided to the device associated with the selected users. Another invention concept includes the recording action message that responds to the content item that responds to the sources of information (such as PVR), and sort out the content info"&amp;"rmation from the information source (such as EPG or VOD). Another invention concept includes another method for providing one or more content items recommended by content information related to content items related to users.")</f>
        <v>A method for being recommended by searching the user data of the selected user and using the user data and content information about the content available content to provide one or more content items recommendation. User data indicates at least one user movement or preference related to the first type of content in multiple different types; and it is recommended to be at least one of the second types of the second type of multiple types. Multiple types can include at least some: video content, audio content, computer games, printing content or on -site performances, such as movies, television programs, music, podcasts, audiobooks, computer games, books, magazines, concerts, dramas, dramas, dramas, dramas Comedy performance or sports events. It is recommended to be provided to the device associated with the selected users. Another invention concept includes the recording action message that responds to the content item that responds to the sources of information (such as PVR), and sort out the content information from the information source (such as EPG or VOD). Another invention concept includes another method for providing one or more content items recommended by content information related to content items related to users.</v>
      </c>
      <c r="D3248" s="6" t="s">
        <v>9114</v>
      </c>
      <c r="E3248" s="4" t="str">
        <f ca="1">IFERROR(__xludf.DUMMYFUNCTION("GOOGLETRANSLATE(D3248,""auto"",""en"")"),"Content recommendation system")</f>
        <v>Content recommendation system</v>
      </c>
    </row>
    <row r="3249" spans="1:5" ht="15" x14ac:dyDescent="0.25">
      <c r="A3249" s="5" t="s">
        <v>9115</v>
      </c>
      <c r="B3249" s="6" t="s">
        <v>9116</v>
      </c>
      <c r="C3249" s="3" t="str">
        <f ca="1">IFERROR(__xludf.DUMMYFUNCTION("GOOGLETRANSLATE(B3249,""auto"",""en"")"),"The swimming pool control system based on IoT technology belongs to the field of IoT control technology. It is mainly composed of touch screens, AD converters, fuzzy processing modules, PID controllers, DA converters, drug pumps and pH detection modules. "&amp;": The touch screen is connected to the AD converter, the fuzzy processing module and the PID controller are connected to the AD converter, the DA converter is connected to the addition of the drug pump, and the drug pump and the pH detection module are co"&amp;"nnected. Water temperature control is stable and can also reduce the drug consumption.")</f>
        <v>The swimming pool control system based on IoT technology belongs to the field of IoT control technology. It is mainly composed of touch screens, AD converters, fuzzy processing modules, PID controllers, DA converters, drug pumps and pH detection modules. : The touch screen is connected to the AD converter, the fuzzy processing module and the PID controller are connected to the AD converter, the DA converter is connected to the addition of the drug pump, and the drug pump and the pH detection module are connected. Water temperature control is stable and can also reduce the drug consumption.</v>
      </c>
      <c r="D3249" s="6" t="s">
        <v>9117</v>
      </c>
      <c r="E3249" s="4" t="str">
        <f ca="1">IFERROR(__xludf.DUMMYFUNCTION("GOOGLETRANSLATE(D3249,""auto"",""en"")"),"Swimming pool control system based on IoT technology")</f>
        <v>Swimming pool control system based on IoT technology</v>
      </c>
    </row>
    <row r="3250" spans="1:5" ht="15" x14ac:dyDescent="0.25">
      <c r="A3250" s="5" t="s">
        <v>9118</v>
      </c>
      <c r="B3250" s="6" t="s">
        <v>9119</v>
      </c>
      <c r="C3250" s="3" t="str">
        <f ca="1">IFERROR(__xludf.DUMMYFUNCTION("GOOGLETRANSLATE(B3250,""auto"",""en"")"),"This practical new model has disclosed a car language recognition system, including server, remote terminal, vehicle device, and wireless connection between the server and the remote terminal, which is wirelessly connected to the vehicle equipment; The vo"&amp;"ice recognition module, recording module, and communication positioning module connected to the control module, the voice input module, voice recognition module, and voice output module are connected in turn, and the voice input module is connected to the"&amp;" recording module. This utility model is specifically aimed at the defects of the manual management of the driving training industry. Information technology such as GPS technology, GPRS wireless transmission technology, and Internet platform service reali"&amp;"zed the intelligence, scientific and informatization of the management of the driving training industry, and better solved the driving driving. The issue of industry and coach supervision to ensure the training quality of driving enterprises, which is con"&amp;"ducive to safeguarding the interests of regular driving enterprises and students.")</f>
        <v>This practical new model has disclosed a car language recognition system, including server, remote terminal, vehicle device, and wireless connection between the server and the remote terminal, which is wirelessly connected to the vehicle equipment; The voice recognition module, recording module, and communication positioning module connected to the control module, the voice input module, voice recognition module, and voice output module are connected in turn, and the voice input module is connected to the recording module. This utility model is specifically aimed at the defects of the manual management of the driving training industry. Information technology such as GPS technology, GPRS wireless transmission technology, and Internet platform service realized the intelligence, scientific and informatization of the management of the driving training industry, and better solved the driving driving. The issue of industry and coach supervision to ensure the training quality of driving enterprises, which is conducive to safeguarding the interests of regular driving enterprises and students.</v>
      </c>
      <c r="D3250" s="6" t="s">
        <v>9120</v>
      </c>
      <c r="E3250" s="4" t="str">
        <f ca="1">IFERROR(__xludf.DUMMYFUNCTION("GOOGLETRANSLATE(D3250,""auto"",""en"")"),"A teaching car language recognition system for teaching")</f>
        <v>A teaching car language recognition system for teaching</v>
      </c>
    </row>
    <row r="3251" spans="1:5" ht="15" x14ac:dyDescent="0.25">
      <c r="A3251" s="5" t="s">
        <v>9121</v>
      </c>
      <c r="B3251" s="6" t="s">
        <v>9122</v>
      </c>
      <c r="C3251" s="3" t="str">
        <f ca="1">IFERROR(__xludf.DUMMYFUNCTION("GOOGLETRANSLATE(B3251,""auto"",""en"")"),"The present invention provides the characteristic recognition method of football robotic court, including: obtain characteristic images to be tested in the stadium; builds an image space pyramid corresponding to the characteristics of the characteristic i"&amp;"mage to be tested. The calibration box, treat the HOG feature extraction processing, the first PCA dimension reduction processing, and the classification detection processing and obtain preliminary detection feature images; the preliminary detection featu"&amp;"re images perform SIFT feature extraction and processing of preliminary detection feature images, secondary time, secondary time Screening processing and removing redundant image processing and obtaining the final image of the final testing characteristic"&amp;" position, the image recognition result of the final characteristic location image is recognized. The feature recognition method provided by the invention provided by the present invention, by using different feature extraction methods to restrict the aut"&amp;"omatic recognition of the application scenario, also reduces the leakage and error recognition rate.")</f>
        <v>The present invention provides the characteristic recognition method of football robotic court, including: obtain characteristic images to be tested in the stadium; builds an image space pyramid corresponding to the characteristics of the characteristic image to be tested. The calibration box, treat the HOG feature extraction processing, the first PCA dimension reduction processing, and the classification detection processing and obtain preliminary detection feature images; the preliminary detection feature images perform SIFT feature extraction and processing of preliminary detection feature images, secondary time, secondary time Screening processing and removing redundant image processing and obtaining the final image of the final testing characteristic position, the image recognition result of the final characteristic location image is recognized. The feature recognition method provided by the invention provided by the present invention, by using different feature extraction methods to restrict the automatic recognition of the application scenario, also reduces the leakage and error recognition rate.</v>
      </c>
      <c r="D3251" s="6" t="s">
        <v>9123</v>
      </c>
      <c r="E3251" s="4" t="str">
        <f ca="1">IFERROR(__xludf.DUMMYFUNCTION("GOOGLETRANSLATE(D3251,""auto"",""en"")"),"Football Robot Stadium Featured recognition method, electronic equipment, storage medium")</f>
        <v>Football Robot Stadium Featured recognition method, electronic equipment, storage medium</v>
      </c>
    </row>
    <row r="3252" spans="1:5" ht="15" x14ac:dyDescent="0.25">
      <c r="A3252" s="5" t="s">
        <v>9124</v>
      </c>
      <c r="B3252" s="6" t="s">
        <v>9125</v>
      </c>
      <c r="C3252" s="3" t="str">
        <f ca="1">IFERROR(__xludf.DUMMYFUNCTION("GOOGLETRANSLATE(B3252,""auto"",""en"")"),"The extraction method of Mouse videos disclosed in the present invention, the specific operation is: First, choose the first mouse original video in the experimental group and the control group, extract video frame images, and select the blank scene of th"&amp;"e videos of mouse video at the beginning Then mark the blank scene image as a mask image, read a set of mouse videos, extract video frames containing mouse scenes, and save mouse videos every two frames into pictures. The image of the blank scene is proce"&amp;"ssed to calculate the quality of the mice, and the position of the extracted mice withdrawn on the blank scene image. Finally, determine the characteristic information of the mouse according to the position of the mouse's heart. The invention also publici"&amp;"zed the method of classify the above video, and used convolutional neural network training to classify the video, with an accuracy of 96.17 %. The data reliability of the extraction method of the present invention is more than 95 %, which is much higher t"&amp;"han artificial statistics.")</f>
        <v>The extraction method of Mouse videos disclosed in the present invention, the specific operation is: First, choose the first mouse original video in the experimental group and the control group, extract video frame images, and select the blank scene of the videos of mouse video at the beginning Then mark the blank scene image as a mask image, read a set of mouse videos, extract video frames containing mouse scenes, and save mouse videos every two frames into pictures. The image of the blank scene is processed to calculate the quality of the mice, and the position of the extracted mice withdrawn on the blank scene image. Finally, determine the characteristic information of the mouse according to the position of the mouse's heart. The invention also publicized the method of classify the above video, and used convolutional neural network training to classify the video, with an accuracy of 96.17 %. The data reliability of the extraction method of the present invention is more than 95 %, which is much higher than artificial statistics.</v>
      </c>
      <c r="D3252" s="6" t="s">
        <v>9126</v>
      </c>
      <c r="E3252" s="4" t="str">
        <f ca="1">IFERROR(__xludf.DUMMYFUNCTION("GOOGLETRANSLATE(D3252,""auto"",""en"")"),"Mouse video extraction method and video classification method")</f>
        <v>Mouse video extraction method and video classification method</v>
      </c>
    </row>
    <row r="3253" spans="1:5" ht="15" x14ac:dyDescent="0.25">
      <c r="A3253" s="5" t="s">
        <v>9127</v>
      </c>
      <c r="B3253" s="6" t="s">
        <v>9128</v>
      </c>
      <c r="C3253" s="3" t="str">
        <f ca="1">IFERROR(__xludf.DUMMYFUNCTION("GOOGLETRANSLATE(B3253,""auto"",""en"")"),"A semantic event identification method based on the integration field knowledge and deep multi -order characteristics to realize the automatic recognition of semantic events in basketball games. With the continuous development of computer visual theory an"&amp;"d deep neural networks, content -based video semantic events analysis technology has continued to improve. The plan is first divided into the event preparation stage based on the preview knowledge of the basketball field. Then extract the global and group"&amp;" movement mode of the video sequence, and then integrate the characteristics of multi -stage network extraction through layered networks. Finally, the time domain information integration is achieved through long -term memory networks to realize the identi"&amp;"fication of basketball semantic events. This invention lays the foundation for the intelligent storage and retrieval of large -scale basketball video data and the analysis of professional automation tactical analysis of basketball video.")</f>
        <v>A semantic event identification method based on the integration field knowledge and deep multi -order characteristics to realize the automatic recognition of semantic events in basketball games. With the continuous development of computer visual theory and deep neural networks, content -based video semantic events analysis technology has continued to improve. The plan is first divided into the event preparation stage based on the preview knowledge of the basketball field. Then extract the global and group movement mode of the video sequence, and then integrate the characteristics of multi -stage network extraction through layered networks. Finally, the time domain information integration is achieved through long -term memory networks to realize the identification of basketball semantic events. This invention lays the foundation for the intelligent storage and retrieval of large -scale basketball video data and the analysis of professional automation tactical analysis of basketball video.</v>
      </c>
      <c r="D3253" s="6" t="s">
        <v>9129</v>
      </c>
      <c r="E3253" s="4" t="str">
        <f ca="1">IFERROR(__xludf.DUMMYFUNCTION("GOOGLETRANSLATE(D3253,""auto"",""en"")"),"A semantic event identification method of basketball competition with knowledge and multi -order depth characteristics in the field of integration")</f>
        <v>A semantic event identification method of basketball competition with knowledge and multi -order depth characteristics in the field of integration</v>
      </c>
    </row>
    <row r="3254" spans="1:5" ht="15" x14ac:dyDescent="0.25">
      <c r="A3254" s="5" t="s">
        <v>9130</v>
      </c>
      <c r="B3254" s="6" t="s">
        <v>9131</v>
      </c>
      <c r="C3254" s="3" t="str">
        <f ca="1">IFERROR(__xludf.DUMMYFUNCTION("GOOGLETRANSLATE(B3254,""auto"",""en"")"),"The present invention proposes a multi -functional miniature camera. The components of the camera mainly include image acquisition devices, multiple activation devices, infrared radiation devices, microphones, multiple Bluetooth connection devices, identi"&amp;"fication chip devices, wireless charging devices, wireless data transmission devices, image processing devices and location determination devices. The camera provides functions such as wireless power supply and data transmission, image recognition, one -c"&amp;"lick -on (PTT) function, and multiple Bluetooth communication. This multi -functional camera is installed in different application areas, such as police helmets, sports athletes, firefighters, etc. The design of the camera body makes it easy to install on"&amp;" the helmet.")</f>
        <v>The present invention proposes a multi -functional miniature camera. The components of the camera mainly include image acquisition devices, multiple activation devices, infrared radiation devices, microphones, multiple Bluetooth connection devices, identification chip devices, wireless charging devices, wireless data transmission devices, image processing devices and location determination devices. The camera provides functions such as wireless power supply and data transmission, image recognition, one -click -on (PTT) function, and multiple Bluetooth communication. This multi -functional camera is installed in different application areas, such as police helmets, sports athletes, firefighters, etc. The design of the camera body makes it easy to install on the helmet.</v>
      </c>
      <c r="D3254" s="6" t="s">
        <v>9132</v>
      </c>
      <c r="E3254" s="4" t="str">
        <f ca="1">IFERROR(__xludf.DUMMYFUNCTION("GOOGLETRANSLATE(D3254,""auto"",""en"")"),"Multifunctional micro camera")</f>
        <v>Multifunctional micro camera</v>
      </c>
    </row>
    <row r="3255" spans="1:5" ht="15" x14ac:dyDescent="0.25">
      <c r="A3255" s="5" t="s">
        <v>9133</v>
      </c>
      <c r="B3255" s="6" t="s">
        <v>9134</v>
      </c>
      <c r="C3255" s="3" t="str">
        <f ca="1">IFERROR(__xludf.DUMMYFUNCTION("GOOGLETRANSLATE(B3255,""auto"",""en"")"),"The present invention involves a railway vehicle -adjusting operation simulation training system, including the main control equipment, communication teaching aids, driver consoles, flat -adjusting systems and projectors. In the transfer operation, the dr"&amp;"iver console transmits the transfer operation screen to the main control device in real time through a communication teaching aid. The main control equipment projected the screen through the projector, and the coach conducts on -site assistance to the car"&amp;" adjustment operation operation. It also provides provided After using the system of the system, the system combines IoT technology to build a virtual vehicle -regulating environment through computers to achieve the study and assessment of participants' s"&amp;"tandards for car adjustment operations. It has multiple job interactions, multiple visual presentations, and real -time warnings of illegal operations. Features. Make railway vehicle adjustment operations standardized, improve the technique of operators, "&amp;"and improve the efficiency of car adjustment operations.")</f>
        <v>The present invention involves a railway vehicle -adjusting operation simulation training system, including the main control equipment, communication teaching aids, driver consoles, flat -adjusting systems and projectors. In the transfer operation, the driver console transmits the transfer operation screen to the main control device in real time through a communication teaching aid. The main control equipment projected the screen through the projector, and the coach conducts on -site assistance to the car adjustment operation operation. It also provides provided After using the system of the system, the system combines IoT technology to build a virtual vehicle -regulating environment through computers to achieve the study and assessment of participants' standards for car adjustment operations. It has multiple job interactions, multiple visual presentations, and real -time warnings of illegal operations. Features. Make railway vehicle adjustment operations standardized, improve the technique of operators, and improve the efficiency of car adjustment operations.</v>
      </c>
      <c r="D3255" s="6" t="s">
        <v>9135</v>
      </c>
      <c r="E3255" s="4" t="str">
        <f ca="1">IFERROR(__xludf.DUMMYFUNCTION("GOOGLETRANSLATE(D3255,""auto"",""en"")"),"A simulation training system for railway car adjustment operation and how to use it")</f>
        <v>A simulation training system for railway car adjustment operation and how to use it</v>
      </c>
    </row>
    <row r="3256" spans="1:5" ht="15" x14ac:dyDescent="0.25">
      <c r="A3256" s="5" t="s">
        <v>9136</v>
      </c>
      <c r="B3256" s="6" t="s">
        <v>9137</v>
      </c>
      <c r="C3256" s="3" t="str">
        <f ca="1">IFERROR(__xludf.DUMMYFUNCTION("GOOGLETRANSLATE(B3256,""auto"",""en"")"),"This practical new model provides a smart watch, which is connected to the electrical of the processor through geographical location positioning circuit, heart rate detection circuit, and wireless communication circuit, connecting the touch screen with th"&amp;"e processor, the heart rate detection circuit combination lens unit, and the strap There is a breathable hole to enable the useful new model to improve the comfort when wearing after sweating, and the accuracy of heart rate measurement, which enhances the"&amp;" function of wireless communication and human -computer interaction. Information is more convenient for managers in public places such as schools, sports events, etc. to monitor the health status and positioning information of students, athletes, and part"&amp;"icipants in a timely manner. It can avoid accidents such as excessive exercise or sudden death or damage caused by inappropriate exercise arrangements. Very high promotion value.")</f>
        <v>This practical new model provides a smart watch, which is connected to the electrical of the processor through geographical location positioning circuit, heart rate detection circuit, and wireless communication circuit, connecting the touch screen with the processor, the heart rate detection circuit combination lens unit, and the strap There is a breathable hole to enable the useful new model to improve the comfort when wearing after sweating, and the accuracy of heart rate measurement, which enhances the function of wireless communication and human -computer interaction. Information is more convenient for managers in public places such as schools, sports events, etc. to monitor the health status and positioning information of students, athletes, and participants in a timely manner. It can avoid accidents such as excessive exercise or sudden death or damage caused by inappropriate exercise arrangements. Very high promotion value.</v>
      </c>
      <c r="D3256" s="6" t="s">
        <v>9138</v>
      </c>
      <c r="E3256" s="4" t="str">
        <f ca="1">IFERROR(__xludf.DUMMYFUNCTION("GOOGLETRANSLATE(D3256,""auto"",""en"")"),"smart watch")</f>
        <v>smart watch</v>
      </c>
    </row>
    <row r="3257" spans="1:5" ht="15" x14ac:dyDescent="0.25">
      <c r="A3257" s="5" t="s">
        <v>9139</v>
      </c>
      <c r="B3257" s="6" t="s">
        <v>9140</v>
      </c>
      <c r="C3257" s="3" t="str">
        <f ca="1">IFERROR(__xludf.DUMMYFUNCTION("GOOGLETRANSLATE(B3257,""auto"",""en"")"),"The automatic method of related work in a generated academic papers in the present invention belongs to the field of computer natural language processing technology. Specific operation steps include: ① The relevant work based on English academic papers an"&amp;"d the abstracts of references cited in related work to build a large -scale corpus set; The neural network of the decoder structure, and based on the loss value of the reference number quoted in the sentence and the loss value of the word in the sentence,"&amp;" the multiple tasks are learned; Corresponding to the emergence of the sentence; the automatic method of the related work in a generated academic papers proposed by the present invention is not only compared with the traditional method of extract, but not"&amp;" only can it accurately generate every word in related work, but also Can give several reference numbers to each sentence in the related work.")</f>
        <v>The automatic method of related work in a generated academic papers in the present invention belongs to the field of computer natural language processing technology. Specific operation steps include: ① The relevant work based on English academic papers and the abstracts of references cited in related work to build a large -scale corpus set; The neural network of the decoder structure, and based on the loss value of the reference number quoted in the sentence and the loss value of the word in the sentence, the multiple tasks are learned; Corresponding to the emergence of the sentence; the automatic method of the related work in a generated academic papers proposed by the present invention is not only compared with the traditional method of extract, but not only can it accurately generate every word in related work, but also Can give several reference numbers to each sentence in the related work.</v>
      </c>
      <c r="D3257" s="6" t="s">
        <v>9141</v>
      </c>
      <c r="E3257" s="4" t="str">
        <f ca="1">IFERROR(__xludf.DUMMYFUNCTION("GOOGLETRANSLATE(D3257,""auto"",""en"")"),"An automatic way to generate related work in the genetic papers")</f>
        <v>An automatic way to generate related work in the genetic papers</v>
      </c>
    </row>
    <row r="3258" spans="1:5" ht="15" x14ac:dyDescent="0.25">
      <c r="A3258" s="5" t="s">
        <v>9142</v>
      </c>
      <c r="B3258" s="6" t="s">
        <v>9143</v>
      </c>
      <c r="C3258" s="3" t="str">
        <f ca="1">IFERROR(__xludf.DUMMYFUNCTION("GOOGLETRANSLATE(B3258,""auto"",""en"")"),"This technology involves the combination of virtual reality (VR) technology, combining with deep learning algorithms and greedy algorithms (optimal algorithms), supervision learning and other algorithms. It is a practical application of cross -disciplinar"&amp;"y and cutting -edge research fields. This training method uses VR virtual training methods to achieve simulation training and simulate the pair. Among them, the opponents and operation training in training are established according to actual celebrities o"&amp;"r opponents. In terms of characteristic data learning, it continues to learn and improve the characteristic value of learning, and conduct virtual combat in virtual training. This training method is generally applicable to various training.")</f>
        <v>This technology involves the combination of virtual reality (VR) technology, combining with deep learning algorithms and greedy algorithms (optimal algorithms), supervision learning and other algorithms. It is a practical application of cross -disciplinary and cutting -edge research fields. This training method uses VR virtual training methods to achieve simulation training and simulate the pair. Among them, the opponents and operation training in training are established according to actual celebrities or opponents. In terms of characteristic data learning, it continues to learn and improve the characteristic value of learning, and conduct virtual combat in virtual training. This training method is generally applicable to various training.</v>
      </c>
      <c r="D3258" s="6" t="s">
        <v>9144</v>
      </c>
      <c r="E3258" s="4" t="str">
        <f ca="1">IFERROR(__xludf.DUMMYFUNCTION("GOOGLETRANSLATE(D3258,""auto"",""en"")"),"Training methods based on virtual reality and deep learning")</f>
        <v>Training methods based on virtual reality and deep learning</v>
      </c>
    </row>
    <row r="3259" spans="1:5" ht="15" x14ac:dyDescent="0.25">
      <c r="A3259" s="5" t="s">
        <v>9145</v>
      </c>
      <c r="B3259" s="6" t="s">
        <v>9146</v>
      </c>
      <c r="C3259" s="3" t="str">
        <f ca="1">IFERROR(__xludf.DUMMYFUNCTION("GOOGLETRANSLATE(B3259,""auto"",""en"")"),"The present invention disclosed a method of taking pictures based on artificial intelligence and automatic selection of photos, including the following specific operation steps: S1: Items that need to be recorded in advance when setting equipment paramete"&amp;"rs and shooting; S2: training shooting; s3: training selection photos ; S4: Automatic photo equipment for Gongzhi camera equipment; S5: Copy data and algorithms to other devices. The present invention can take pictures according to the set best parameters"&amp;" when taking pictures. You can directly get photos with good shooting effects. After taking the photo, artificial intelligence taking equipment helps users choose better photos to solve the time and effort of artificial photos. Can't take the pain points "&amp;"of excellent photos and improve the user experience.")</f>
        <v>The present invention disclosed a method of taking pictures based on artificial intelligence and automatic selection of photos, including the following specific operation steps: S1: Items that need to be recorded in advance when setting equipment parameters and shooting; S2: training shooting; s3: training selection photos ; S4: Automatic photo equipment for Gongzhi camera equipment; S5: Copy data and algorithms to other devices. The present invention can take pictures according to the set best parameters when taking pictures. You can directly get photos with good shooting effects. After taking the photo, artificial intelligence taking equipment helps users choose better photos to solve the time and effort of artificial photos. Can't take the pain points of excellent photos and improve the user experience.</v>
      </c>
      <c r="D3259" s="6" t="s">
        <v>9147</v>
      </c>
      <c r="E3259" s="4" t="str">
        <f ca="1">IFERROR(__xludf.DUMMYFUNCTION("GOOGLETRANSLATE(D3259,""auto"",""en"")"),"A method based on artificial intelligence and automatic selection of photos")</f>
        <v>A method based on artificial intelligence and automatic selection of photos</v>
      </c>
    </row>
    <row r="3260" spans="1:5" ht="15" x14ac:dyDescent="0.25">
      <c r="A3260" s="5" t="s">
        <v>9148</v>
      </c>
      <c r="B3260" s="6" t="s">
        <v>9149</v>
      </c>
      <c r="C3260" s="3" t="str">
        <f ca="1">IFERROR(__xludf.DUMMYFUNCTION("GOOGLETRANSLATE(B3260,""auto"",""en"")"),"This article describes the system and methods that allow users to interact with artificial intelligence chat robots to automatically identify gene spectrum tests they are interested in, as well as at least the user -based genes based on the user's persona"&amp;"lized health and fitness products and/or the plan. The test results (for example, stored in his/her/their genetic spectrum). Such suggestions may include, for example, extra diagnosis tests (for example, additional gene map tests, for example, tests for s"&amp;"pecific characteristics, traits, diseases, and/or conditions), suggestions for purchasing nutritional supplements, suggestions on specific plans for specific plans (For example, diet plans for users, fitness plans, etc.), etc.), etc.), etc.), etc.).")</f>
        <v>This article describes the system and methods that allow users to interact with artificial intelligence chat robots to automatically identify gene spectrum tests they are interested in, as well as at least the user -based genes based on the user's personalized health and fitness products and/or the plan. The test results (for example, stored in his/her/their genetic spectrum). Such suggestions may include, for example, extra diagnosis tests (for example, additional gene map tests, for example, tests for specific characteristics, traits, diseases, and/or conditions), suggestions for purchasing nutritional supplements, suggestions on specific plans for specific plans (For example, diet plans for users, fitness plans, etc.), etc.), etc.), etc.), etc.).</v>
      </c>
      <c r="D3260" s="6" t="s">
        <v>9150</v>
      </c>
      <c r="E3260" s="4" t="str">
        <f ca="1">IFERROR(__xludf.DUMMYFUNCTION("GOOGLETRANSLATE(D3260,""auto"",""en"")"),"Perform genetic map testing and related purchase suggestions through artificial intelligence enhanced chat robots")</f>
        <v>Perform genetic map testing and related purchase suggestions through artificial intelligence enhanced chat robots</v>
      </c>
    </row>
    <row r="3261" spans="1:5" ht="15" x14ac:dyDescent="0.25">
      <c r="A3261" s="5" t="s">
        <v>9151</v>
      </c>
      <c r="B3261" s="6" t="s">
        <v>4102</v>
      </c>
      <c r="C3261" s="3" t="str">
        <f ca="1">IFERROR(__xludf.DUMMYFUNCTION("GOOGLETRANSLATE(B3261,""auto"",""en"")"),"The fish monitoring system deployed in specific areas to obtain fish images is described. Neural networks and machine learning technology can be implemented to regularly train fish monitoring systems and generate monitoring mode to capture high -quality i"&amp;"mages of fish according to the conditions of the determined area. When the conditions that match the monitoring mode are detected, the camera system can be configured according to the settings (such as position, perspective) specified by the monitoring mo"&amp;"de. Each monitoring mode can be associated with one or more fish activities, such as sleeping, eating, swimming alone, and one or more parameters, such as time, location and fish types.")</f>
        <v>The fish monitoring system deployed in specific areas to obtain fish images is described. Neural networks and machine learning technology can be implemented to regularly train fish monitoring systems and generate monitoring mode to capture high -quality images of fish according to the conditions of the determined area. When the conditions that match the monitoring mode are detected, the camera system can be configured according to the settings (such as position, perspective) specified by the monitoring mode. Each monitoring mode can be associated with one or more fish activities, such as sleeping, eating, swimming alone, and one or more parameters, such as time, location and fish types.</v>
      </c>
      <c r="D3261" s="6" t="s">
        <v>4103</v>
      </c>
      <c r="E3261" s="4" t="str">
        <f ca="1">IFERROR(__xludf.DUMMYFUNCTION("GOOGLETRANSLATE(D3261,""auto"",""en"")"),"Keep fish measurement station")</f>
        <v>Keep fish measurement station</v>
      </c>
    </row>
    <row r="3262" spans="1:5" ht="15" x14ac:dyDescent="0.25">
      <c r="A3262" s="5" t="s">
        <v>9152</v>
      </c>
      <c r="B3262" s="6" t="s">
        <v>9153</v>
      </c>
      <c r="C3262" s="3" t="str">
        <f ca="1">IFERROR(__xludf.DUMMYFUNCTION("GOOGLETRANSLATE(B3262,""auto"",""en"")"),"In the method of providing an artificial intelligence engine with an artificial intelligence engine based on the implementation of the present invention embodiment, (A) provides a list of current and future baseball games and the problem information that "&amp;"has not ended the game; The selected baseball game target information and problem information; (b) at least one in the past game data and real -time game data of the team or players corresponding to the target information of the game. The result value cor"&amp;"responding to the information; (c) provides the result value to the user terminal; including, but the game target information is team information or player information, the problem information is the performance of the players who predict or scheduled to "&amp;"participate. The end is the problem of information and predicting information about the performance of the team. The step (b) is the method of derived the results of the result value of the player's results and estimated the result value corresponding to "&amp;"the problem information.")</f>
        <v>In the method of providing an artificial intelligence engine with an artificial intelligence engine based on the implementation of the present invention embodiment, (A) provides a list of current and future baseball games and the problem information that has not ended the game; The selected baseball game target information and problem information; (b) at least one in the past game data and real -time game data of the team or players corresponding to the target information of the game. The result value corresponding to the information; (c) provides the result value to the user terminal; including, but the game target information is team information or player information, the problem information is the performance of the players who predict or scheduled to participate. The end is the problem of information and predicting information about the performance of the team. The step (b) is the method of derived the results of the result value of the player's results and estimated the result value corresponding to the problem information.</v>
      </c>
      <c r="D3262" s="6" t="s">
        <v>9154</v>
      </c>
      <c r="E3262" s="4" t="str">
        <f ca="1">IFERROR(__xludf.DUMMYFUNCTION("GOOGLETRANSLATE(D3262,""auto"",""en"")"),"Real -time prediction methods and devices based on baseball games based on artificial neural networks")</f>
        <v>Real -time prediction methods and devices based on baseball games based on artificial neural networks</v>
      </c>
    </row>
    <row r="3263" spans="1:5" ht="15" x14ac:dyDescent="0.25">
      <c r="A3263" s="5" t="s">
        <v>9155</v>
      </c>
      <c r="B3263" s="6" t="s">
        <v>9156</v>
      </c>
      <c r="C3263" s="3" t="str">
        <f ca="1">IFERROR(__xludf.DUMMYFUNCTION("GOOGLETRANSLATE(B3263,""auto"",""en"")"),"The invention disclosed a gym -entered system based on image recognition and RFID, including image acquisition modules, RFID bracelets, access control devices, radio frequency modules, management terminals, and control modules. The control module is conne"&amp;"cted to the management terminal, respectively, connected to the control module with the control module, and the RFID bracelet implements information exchange with the management terminal through the RF module.")</f>
        <v>The invention disclosed a gym -entered system based on image recognition and RFID, including image acquisition modules, RFID bracelets, access control devices, radio frequency modules, management terminals, and control modules. The control module is connected to the management terminal, respectively, connected to the control module with the control module, and the RFID bracelet implements information exchange with the management terminal through the RF module.</v>
      </c>
      <c r="D3263" s="6" t="s">
        <v>9157</v>
      </c>
      <c r="E3263" s="4" t="str">
        <f ca="1">IFERROR(__xludf.DUMMYFUNCTION("GOOGLETRANSLATE(D3263,""auto"",""en"")"),"A gym -based gym -entered system based on image recognition and RFID")</f>
        <v>A gym -based gym -entered system based on image recognition and RFID</v>
      </c>
    </row>
    <row r="3264" spans="1:5" ht="15" x14ac:dyDescent="0.25">
      <c r="A3264" s="5" t="s">
        <v>9158</v>
      </c>
      <c r="B3264" s="6" t="s">
        <v>9159</v>
      </c>
      <c r="C3264" s="3" t="str">
        <f ca="1">IFERROR(__xludf.DUMMYFUNCTION("GOOGLETRANSLATE(B3264,""auto"",""en"")"),"This utility model opens up a smart holographic interactive system, including intelligent and convenient devices, hosting workstations, smart processors, timing power controllers, wall screens, floor screens, audio systems and lighting systems; Connect to"&amp;" the host workstation and smart processor, the host workstation is connected to the wall screen, floor screen, audio system, and lighting system through physical hardware data transmission interfaces, and the intelligent processor and timing power control"&amp;"ler are connected. The physical interface is connected to the host workstation, wall screen, floor screen, and audio system. This utility model belongs to the digital technology field of gym and sports. It adopts IoT technology and intelligent technology "&amp;"to realize the walls of existing fitness venues and the smart holographic interactive system of ground screens. The interaction between fitness coaches and fitness trainees is always good Permanently throughout the system.")</f>
        <v>This utility model opens up a smart holographic interactive system, including intelligent and convenient devices, hosting workstations, smart processors, timing power controllers, wall screens, floor screens, audio systems and lighting systems; Connect to the host workstation and smart processor, the host workstation is connected to the wall screen, floor screen, audio system, and lighting system through physical hardware data transmission interfaces, and the intelligent processor and timing power controller are connected. The physical interface is connected to the host workstation, wall screen, floor screen, and audio system. This utility model belongs to the digital technology field of gym and sports. It adopts IoT technology and intelligent technology to realize the walls of existing fitness venues and the smart holographic interactive system of ground screens. The interaction between fitness coaches and fitness trainees is always good Permanently throughout the system.</v>
      </c>
      <c r="D3264" s="6" t="s">
        <v>9160</v>
      </c>
      <c r="E3264" s="4" t="str">
        <f ca="1">IFERROR(__xludf.DUMMYFUNCTION("GOOGLETRANSLATE(D3264,""auto"",""en"")"),"A smart holographic interactive system")</f>
        <v>A smart holographic interactive system</v>
      </c>
    </row>
    <row r="3265" spans="1:5" ht="15" x14ac:dyDescent="0.25">
      <c r="A3265" s="5" t="s">
        <v>9161</v>
      </c>
      <c r="B3265" s="6" t="s">
        <v>9162</v>
      </c>
      <c r="C3265" s="3" t="str">
        <f ca="1">IFERROR(__xludf.DUMMYFUNCTION("GOOGLETRANSLATE(B3265,""auto"",""en"")"),"A TensorFlow artificial intelligence multi -way electronic acupuncture therapy instrument based on Android. Its target market is diagnosis and treatment. It is a combination of artificial intelligence, traditional Chinese medicine meridian theory, and ele"&amp;"ctronic acupuncture technology. This type of multi -way electronic acupuncture treatment instrument combines deep learning technology with electronic acupuncture technology to provide pulse output 3/5 of the treatment, and all operations of the instrument"&amp;" are achieved through the touch screen. The timing of each way is independent and built -in 3/5 road timer. While the output is based on deep learning, optimization, and accurate treatment pulse, it also has data communication functions. Through the Inter"&amp;"net of Things communication, the measurement data of smart bracelets can be obtained, and data can also be sent to the data center. This type of multi -way electronic acupuncture treatment instrument uses TensorFlow's artificial intelligence machine learn"&amp;"ing algorithm. By measurement and treatment, it forms closely related treatment plans to achieve precision medical services specifically for individuals.")</f>
        <v>A TensorFlow artificial intelligence multi -way electronic acupuncture therapy instrument based on Android. Its target market is diagnosis and treatment. It is a combination of artificial intelligence, traditional Chinese medicine meridian theory, and electronic acupuncture technology. This type of multi -way electronic acupuncture treatment instrument combines deep learning technology with electronic acupuncture technology to provide pulse output 3/5 of the treatment, and all operations of the instrument are achieved through the touch screen. The timing of each way is independent and built -in 3/5 road timer. While the output is based on deep learning, optimization, and accurate treatment pulse, it also has data communication functions. Through the Internet of Things communication, the measurement data of smart bracelets can be obtained, and data can also be sent to the data center. This type of multi -way electronic acupuncture treatment instrument uses TensorFlow's artificial intelligence machine learning algorithm. By measurement and treatment, it forms closely related treatment plans to achieve precision medical services specifically for individuals.</v>
      </c>
      <c r="D3265" s="6" t="s">
        <v>9163</v>
      </c>
      <c r="E3265" s="4" t="str">
        <f ca="1">IFERROR(__xludf.DUMMYFUNCTION("GOOGLETRANSLATE(D3265,""auto"",""en"")"),"A TensorFlow artificial intelligence multi -way electronic acupuncture therapy instrument based on Android")</f>
        <v>A TensorFlow artificial intelligence multi -way electronic acupuncture therapy instrument based on Android</v>
      </c>
    </row>
    <row r="3266" spans="1:5" ht="15" x14ac:dyDescent="0.25">
      <c r="A3266" s="5" t="s">
        <v>9164</v>
      </c>
      <c r="B3266" s="6" t="s">
        <v>9165</v>
      </c>
      <c r="C3266" s="3" t="str">
        <f ca="1">IFERROR(__xludf.DUMMYFUNCTION("GOOGLETRANSLATE(B3266,""auto"",""en"")"),"A method, mobile application, and business solution for creating a drone event report (DIR) on mobile devices. This method allows users to use the user's mobile devices to capture the evidence of illegal drones or drones to create and send an online drone"&amp;" event report when the event occurs. people. Event reports can be used to help the authorities conduct investigations or take emergency actions. DIR contains detailed information such as images and videos, location, time, event date, drone logo, distance "&amp;"and height. The application includes maps using machine learning technology. These maps show the banned area, such as airports, public facilities, prisons, stadiums, etc.")</f>
        <v>A method, mobile application, and business solution for creating a drone event report (DIR) on mobile devices. This method allows users to use the user's mobile devices to capture the evidence of illegal drones or drones to create and send an online drone event report when the event occurs. people. Event reports can be used to help the authorities conduct investigations or take emergency actions. DIR contains detailed information such as images and videos, location, time, event date, drone logo, distance and height. The application includes maps using machine learning technology. These maps show the banned area, such as airports, public facilities, prisons, stadiums, etc.</v>
      </c>
      <c r="D3266" s="6" t="s">
        <v>9166</v>
      </c>
      <c r="E3266" s="4" t="str">
        <f ca="1">IFERROR(__xludf.DUMMYFUNCTION("GOOGLETRANSLATE(D3266,""auto"",""en"")"),"Title: drone alert. Description: The world's first global fast drone report online application, just use mobile devices to complete through 4 simple steps. It encourages ""drone detectives"" (anyone!) Only use photos, videos and geographical location to r"&amp;"eport poor or dangerous drone activities. The system then converts the collected information into valuable reports, which can be provided to the authorities to help them investigate the drone incident. Dronealert is likely to self -supervise the drone ind"&amp;"ustry while helping improve drones, aviation and public safety and education.")</f>
        <v>Title: drone alert. Description: The world's first global fast drone report online application, just use mobile devices to complete through 4 simple steps. It encourages "drone detectives" (anyone!) Only use photos, videos and geographical location to report poor or dangerous drone activities. The system then converts the collected information into valuable reports, which can be provided to the authorities to help them investigate the drone incident. Dronealert is likely to self -supervise the drone industry while helping improve drones, aviation and public safety and education.</v>
      </c>
    </row>
    <row r="3267" spans="1:5" ht="15" x14ac:dyDescent="0.25">
      <c r="A3267" s="5" t="s">
        <v>9167</v>
      </c>
      <c r="B3267" s="6" t="s">
        <v>9168</v>
      </c>
      <c r="C3267" s="3" t="str">
        <f ca="1">IFERROR(__xludf.DUMMYFUNCTION("GOOGLETRANSLATE(B3267,""auto"",""en"")"),"The invention disclosed an automatic referee platform based on the IoT badminton competition, including a ball network installed on the upper end of the game, a referee chair on the side of the ball, tracking on the ground on the ground, and mobile device"&amp;"s installed on the upper end of the rail. There is a camera device installed on the upper end of the mobile device, the bottom plate is installed on the side of the game, and the bottom plate is connected to the liquid crystal display by supporting a fixe"&amp;"d device. Whether the location is out of bounds or falls on the ground, etc., and the IoT pre -processing of the situation, identify the geographical location of the identified badminton, and obtain evidence through video information. The overall order is"&amp;" carried out in an orderly manner. It only needs to be carried out by the supervision and observation of the referee through the Internet of Things technology, and it is troublesome to save people who do not need it.")</f>
        <v>The invention disclosed an automatic referee platform based on the IoT badminton competition, including a ball network installed on the upper end of the game, a referee chair on the side of the ball, tracking on the ground on the ground, and mobile devices installed on the upper end of the rail. There is a camera device installed on the upper end of the mobile device, the bottom plate is installed on the side of the game, and the bottom plate is connected to the liquid crystal display by supporting a fixed device. Whether the location is out of bounds or falls on the ground, etc., and the IoT pre -processing of the situation, identify the geographical location of the identified badminton, and obtain evidence through video information. The overall order is carried out in an orderly manner. It only needs to be carried out by the supervision and observation of the referee through the Internet of Things technology, and it is troublesome to save people who do not need it.</v>
      </c>
      <c r="D3267" s="6" t="s">
        <v>9169</v>
      </c>
      <c r="E3267" s="4" t="str">
        <f ca="1">IFERROR(__xludf.DUMMYFUNCTION("GOOGLETRANSLATE(D3267,""auto"",""en"")"),"An automatic referee platform and how to use a badminton game based on the Internet of Things")</f>
        <v>An automatic referee platform and how to use a badminton game based on the Internet of Things</v>
      </c>
    </row>
    <row r="3268" spans="1:5" ht="15" x14ac:dyDescent="0.25">
      <c r="A3268" s="5" t="s">
        <v>9170</v>
      </c>
      <c r="B3268" s="6" t="s">
        <v>9171</v>
      </c>
      <c r="C3268" s="3" t="str">
        <f ca="1">IFERROR(__xludf.DUMMYFUNCTION("GOOGLETRANSLATE(B3268,""auto"",""en"")"),"The ""Running Rap -down"" method includes calculating the operating estimation of the useful range of the useful characteristic value range of voice activity detection (VAD), and nitens the features by mapping the features to the required range. The range"&amp;" of running scope includes the operational estimation of the minimum value and maximum value of the VAD feature, and the characteristic value of the original range is mapped to the required range by mapping the original range. Optional selection of at lea"&amp;"st one changes in the running of the smooth coefficient with the maximum and maximum value of the orientation bias. The normalized VAD feature parameters are used to train machine learning algorithms to detect voice activities, and use the trained machine"&amp;" learning algorithm to isolate or enhance the audio data voice component.")</f>
        <v>The "Running Rap -down" method includes calculating the operating estimation of the useful range of the useful characteristic value range of voice activity detection (VAD), and nitens the features by mapping the features to the required range. The range of running scope includes the operational estimation of the minimum value and maximum value of the VAD feature, and the characteristic value of the original range is mapped to the required range by mapping the original range. Optional selection of at least one changes in the running of the smooth coefficient with the maximum and maximum value of the orientation bias. The normalized VAD feature parameters are used to train machine learning algorithms to detect voice activities, and use the trained machine learning algorithm to isolate or enhance the audio data voice component.</v>
      </c>
      <c r="D3268" s="6" t="s">
        <v>9172</v>
      </c>
      <c r="E3268" s="4" t="str">
        <f ca="1">IFERROR(__xludf.DUMMYFUNCTION("GOOGLETRANSLATE(D3268,""auto"",""en"")"),"Use the standardized voice activity detection of running scope of running")</f>
        <v>Use the standardized voice activity detection of running scope of running</v>
      </c>
    </row>
    <row r="3269" spans="1:5" ht="15" x14ac:dyDescent="0.25">
      <c r="A3269" s="5" t="s">
        <v>9173</v>
      </c>
      <c r="B3269" s="6" t="s">
        <v>9174</v>
      </c>
      <c r="C3269" s="3" t="str">
        <f ca="1">IFERROR(__xludf.DUMMYFUNCTION("GOOGLETRANSLATE(B3269,""auto"",""en"")"),"The present invention involves a column completeness detection platform, including: manual control switch, which is used to determine whether to launch the column integrity detection under the operation of the staff of the competition. The group includes "&amp;"a detection state light and a result feedback light that is connected to the manual control switch with the manual control switch. It is displayed in red light when receiving the detection startup signal, and it is also used to receive it. When the detect"&amp;"ion is closed, the green light is displayed. The feedback light of the results is used to display it with green light when receiving the full signal of the column. Essence Through the present invention, on -site testing of the completeness of each column "&amp;"recognized by the image.")</f>
        <v>The present invention involves a column completeness detection platform, including: manual control switch, which is used to determine whether to launch the column integrity detection under the operation of the staff of the competition. The group includes a detection state light and a result feedback light that is connected to the manual control switch with the manual control switch. It is displayed in red light when receiving the detection startup signal, and it is also used to receive it. When the detection is closed, the green light is displayed. The feedback light of the results is used to display it with green light when receiving the full signal of the column. Essence Through the present invention, on -site testing of the completeness of each column recognized by the image.</v>
      </c>
      <c r="D3269" s="6" t="s">
        <v>9175</v>
      </c>
      <c r="E3269" s="4" t="str">
        <f ca="1">IFERROR(__xludf.DUMMYFUNCTION("GOOGLETRANSLATE(D3269,""auto"",""en"")"),"Cross -column completeness detection platform")</f>
        <v>Cross -column completeness detection platform</v>
      </c>
    </row>
    <row r="3270" spans="1:5" ht="15" x14ac:dyDescent="0.25">
      <c r="A3270" s="5" t="s">
        <v>9176</v>
      </c>
      <c r="B3270" s="6" t="s">
        <v>9177</v>
      </c>
      <c r="C3270" s="3" t="str">
        <f ca="1">IFERROR(__xludf.DUMMYFUNCTION("GOOGLETRANSLATE(B3270,""auto"",""en"")"),"This utility model opens a self -lock tray based on the production of outdoor fitness paths based on the production of outdoor fitness paths, including near -ground chassis, assembly components, raising components, pads and suspended chassis. Among them, "&amp;"the assembly components include the assembly tube, the stacking corner iron, and the blocking, and through the limit of the corner iron part, the stacking part of the upper stacking part of the tray is stable; Corner iron and the second supported corner i"&amp;"ron are supported by the tray to the near -ground chassis, and the suspended chassis is fixed above through the stacking corner iron of the assembly component. The locking part is between the self -locking rod and the assembly tube, which is fixed due to "&amp;"the lock lock. This utility model has the characteristics of simple structure, wide range of applications, and high spatial utilization rate, which can meet the basic needs of semi -finished products transfer and warehousing in the production of outdoor f"&amp;"itness paths.")</f>
        <v>This utility model opens a self -lock tray based on the production of outdoor fitness paths based on the production of outdoor fitness paths, including near -ground chassis, assembly components, raising components, pads and suspended chassis. Among them, the assembly components include the assembly tube, the stacking corner iron, and the blocking, and through the limit of the corner iron part, the stacking part of the upper stacking part of the tray is stable; Corner iron and the second supported corner iron are supported by the tray to the near -ground chassis, and the suspended chassis is fixed above through the stacking corner iron of the assembly component. The locking part is between the self -locking rod and the assembly tube, which is fixed due to the lock lock. This utility model has the characteristics of simple structure, wide range of applications, and high spatial utilization rate, which can meet the basic needs of semi -finished products transfer and warehousing in the production of outdoor fitness paths.</v>
      </c>
      <c r="D3270" s="6" t="s">
        <v>9178</v>
      </c>
      <c r="E3270" s="4" t="str">
        <f ca="1">IFERROR(__xludf.DUMMYFUNCTION("GOOGLETRANSLATE(D3270,""auto"",""en"")"),"A self -lock tray based on IoT technology to carry outdoor fitness paths")</f>
        <v>A self -lock tray based on IoT technology to carry outdoor fitness paths</v>
      </c>
    </row>
    <row r="3271" spans="1:5" ht="15" x14ac:dyDescent="0.25">
      <c r="A3271" s="5" t="s">
        <v>9179</v>
      </c>
      <c r="B3271" s="6" t="s">
        <v>9180</v>
      </c>
      <c r="C3271" s="3" t="str">
        <f ca="1">IFERROR(__xludf.DUMMYFUNCTION("GOOGLETRANSLATE(B3271,""auto"",""en"")"),"This utility model provides an outdoor one -hearted fitness training equipment based on the Internet of Things technology, including welded facilities, panel components, handle components, signs, and pressure strips in the middle group. The intermediate p"&amp;"art of the welded packages, welding borders, top bending pipes, ear pieces, horizontal welded pipes; Sliding orbit. The middle part of the group welded and panel components are connected by anti -theft bolt components. The two handle components are embedd"&amp;"ed in the sliding track of the panel component, respectively. The two handle components can glide at the same time through different orbits on the panel. This equipment can move people's left and right hands to move out of sync, exercise the range of shou"&amp;"lder, elbow, and wrists, and at the same time coordinate the left and right brains. This utility model is simple, novel and beautiful in shape, good anti -theft performance, high safety, strong anti -corrosion performance, suitable for outdoor use and goo"&amp;"d economy.")</f>
        <v>This utility model provides an outdoor one -hearted fitness training equipment based on the Internet of Things technology, including welded facilities, panel components, handle components, signs, and pressure strips in the middle group. The intermediate part of the welded packages, welding borders, top bending pipes, ear pieces, horizontal welded pipes; Sliding orbit. The middle part of the group welded and panel components are connected by anti -theft bolt components. The two handle components are embedded in the sliding track of the panel component, respectively. The two handle components can glide at the same time through different orbits on the panel. This equipment can move people's left and right hands to move out of sync, exercise the range of shoulder, elbow, and wrists, and at the same time coordinate the left and right brains. This utility model is simple, novel and beautiful in shape, good anti -theft performance, high safety, strong anti -corrosion performance, suitable for outdoor use and good economy.</v>
      </c>
      <c r="D3271" s="6" t="s">
        <v>9181</v>
      </c>
      <c r="E3271" s="4" t="str">
        <f ca="1">IFERROR(__xludf.DUMMYFUNCTION("GOOGLETRANSLATE(D3271,""auto"",""en"")"),"An outdoor one -hearted fitness training device based on IoT technology")</f>
        <v>An outdoor one -hearted fitness training device based on IoT technology</v>
      </c>
    </row>
    <row r="3272" spans="1:5" ht="15" x14ac:dyDescent="0.25">
      <c r="A3272" s="5" t="s">
        <v>9182</v>
      </c>
      <c r="B3272" s="6" t="s">
        <v>9183</v>
      </c>
      <c r="C3272" s="3" t="str">
        <f ca="1">IFERROR(__xludf.DUMMYFUNCTION("GOOGLETRANSLATE(B3272,""auto"",""en"")"),"This utility model discloses an agricultural seedling artificial intelligence plus device. The top of the main body of the water adder is installed with oxygen pumps connected by bolt. The bottom of the oxygen pump is installed with a venture pipe connect"&amp;"ed by flange. Oxygen loose filter, fix the oxygen loose filter, fix the aerobic concentration sensor, and the the subject of the water heater is extremely convenient. The turbidity detector detects that the water pump on the side will control the water pu"&amp;"mp to transport the water through the water guide pipe to transport the water pipe to the guide pipe to transport the water tube to transport the water tube through the guide pipe. The water has been changed to the water in the pool. Two inverse channels "&amp;"can prevent the fry from being discharged from the water from the drainage. The main body of the device does not need to be manpower, and it is very convenient to use, which brings great convenience to people's production.")</f>
        <v>This utility model discloses an agricultural seedling artificial intelligence plus device. The top of the main body of the water adder is installed with oxygen pumps connected by bolt. The bottom of the oxygen pump is installed with a venture pipe connected by flange. Oxygen loose filter, fix the oxygen loose filter, fix the aerobic concentration sensor, and the the subject of the water heater is extremely convenient. The turbidity detector detects that the water pump on the side will control the water pump to transport the water through the water guide pipe to transport the water pipe to the guide pipe to transport the water tube to transport the water tube through the guide pipe. The water has been changed to the water in the pool. Two inverse channels can prevent the fry from being discharged from the water from the drainage. The main body of the device does not need to be manpower, and it is very convenient to use, which brings great convenience to people's production.</v>
      </c>
      <c r="D3272" s="6" t="s">
        <v>9184</v>
      </c>
      <c r="E3272" s="4" t="str">
        <f ca="1">IFERROR(__xludf.DUMMYFUNCTION("GOOGLETRANSLATE(D3272,""auto"",""en"")"),"A kind of agricultural seedling artificial intelligence plus device")</f>
        <v>A kind of agricultural seedling artificial intelligence plus device</v>
      </c>
    </row>
    <row r="3273" spans="1:5" ht="15" x14ac:dyDescent="0.25">
      <c r="A3273" s="5" t="s">
        <v>9185</v>
      </c>
      <c r="B3273" s="6" t="s">
        <v>9186</v>
      </c>
      <c r="C3273" s="3" t="str">
        <f ca="1">IFERROR(__xludf.DUMMYFUNCTION("GOOGLETRANSLATE(B3273,""auto"",""en"")"),"This utility model discloses an agricultural artificial intelligence breeding electronic device. The top of the main body of this breeding tank is fixed with a driver motor and water tank. There is a feed inlet on one side of the main body of the breeding"&amp;" tank. The stirring shaft, the bottom of the water tank is installed with a pump, the bottom of the pump is installed with a water pipe connected by flange. The main gymnastics control of the breeding slot is more convenient. The temperature and humidity "&amp;"sensor is embedded in the bottom of the feed tank. Control, when the internal temperature and humidity of the internal temperature are not timely controlled the heater at the bottom, the feed is heated. At the same time, the internal feed of the water gui"&amp;"de pipe valve is controlled to humidify the internal feed. The box is sent to the bottom feed tank through multiple independent feeding buckets. The main gymnastics control of this breeding slot is convenient, and no personnel need to view can be automati"&amp;"cally controlled, which brings great convenience to the staff.")</f>
        <v>This utility model discloses an agricultural artificial intelligence breeding electronic device. The top of the main body of this breeding tank is fixed with a driver motor and water tank. There is a feed inlet on one side of the main body of the breeding tank. The stirring shaft, the bottom of the water tank is installed with a pump, the bottom of the pump is installed with a water pipe connected by flange. The main gymnastics control of the breeding slot is more convenient. The temperature and humidity sensor is embedded in the bottom of the feed tank. Control, when the internal temperature and humidity of the internal temperature are not timely controlled the heater at the bottom, the feed is heated. At the same time, the internal feed of the water guide pipe valve is controlled to humidify the internal feed. The box is sent to the bottom feed tank through multiple independent feeding buckets. The main gymnastics control of this breeding slot is convenient, and no personnel need to view can be automatically controlled, which brings great convenience to the staff.</v>
      </c>
      <c r="D3273" s="6" t="s">
        <v>9187</v>
      </c>
      <c r="E3273" s="4" t="str">
        <f ca="1">IFERROR(__xludf.DUMMYFUNCTION("GOOGLETRANSLATE(D3273,""auto"",""en"")"),"A kind of agricultural artificial intelligence breeding electronic device")</f>
        <v>A kind of agricultural artificial intelligence breeding electronic device</v>
      </c>
    </row>
    <row r="3274" spans="1:5" ht="15" x14ac:dyDescent="0.25">
      <c r="A3274" s="5" t="s">
        <v>9188</v>
      </c>
      <c r="B3274" s="6" t="s">
        <v>9189</v>
      </c>
      <c r="C3274" s="3" t="str">
        <f ca="1">IFERROR(__xludf.DUMMYFUNCTION("GOOGLETRANSLATE(B3274,""auto"",""en"")"),"The present invention discloses a fitness movement method based on deep learning image recognition, including the following steps: receiving each frame of fitness images intercepted from fitness videos, recording the time corresponding to each frame of fi"&amp;"tness images, and performing fitness images per frame of fitness images Pre -processing; input the pre -processing fitness image into the human joint recognition model, calculate the human joint recognition model, the output fitness image contains each hu"&amp;"man joint and position coordinates; Link to obtain the human skeleton map; compare the analysis of the human skeleton map according to standard fitness action, and the output does not standard fitness images to achieve errors in fitness action. The invent"&amp;"ion also disclosed a fitness movement error correction system based on deep learning image recognition. The system and method can handle the difficult and comparative problems between the fitness rhythm of the music rhythm.")</f>
        <v>The present invention discloses a fitness movement method based on deep learning image recognition, including the following steps: receiving each frame of fitness images intercepted from fitness videos, recording the time corresponding to each frame of fitness images, and performing fitness images per frame of fitness images Pre -processing; input the pre -processing fitness image into the human joint recognition model, calculate the human joint recognition model, the output fitness image contains each human joint and position coordinates; Link to obtain the human skeleton map; compare the analysis of the human skeleton map according to standard fitness action, and the output does not standard fitness images to achieve errors in fitness action. The invention also disclosed a fitness movement error correction system based on deep learning image recognition. The system and method can handle the difficult and comparative problems between the fitness rhythm of the music rhythm.</v>
      </c>
      <c r="D3274" s="6" t="s">
        <v>9190</v>
      </c>
      <c r="E3274" s="4" t="str">
        <f ca="1">IFERROR(__xludf.DUMMYFUNCTION("GOOGLETRANSLATE(D3274,""auto"",""en"")"),"Fitness action error correction method and system based on deep learning image recognition")</f>
        <v>Fitness action error correction method and system based on deep learning image recognition</v>
      </c>
    </row>
    <row r="3275" spans="1:5" ht="15" x14ac:dyDescent="0.25">
      <c r="A3275" s="5" t="s">
        <v>9191</v>
      </c>
      <c r="B3275" s="6" t="s">
        <v>8374</v>
      </c>
      <c r="C3275" s="3" t="str">
        <f ca="1">IFERROR(__xludf.DUMMYFUNCTION("GOOGLETRANSLATE(B3275,""auto"",""en"")"),"Provides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275" s="6" t="s">
        <v>8372</v>
      </c>
      <c r="E3275" s="4" t="str">
        <f ca="1">IFERROR(__xludf.DUMMYFUNCTION("GOOGLETRANSLATE(D3275,""auto"",""en"")"),"It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276" spans="1:5" ht="15" x14ac:dyDescent="0.25">
      <c r="A3276" s="5" t="s">
        <v>9192</v>
      </c>
      <c r="B3276" s="6" t="s">
        <v>9193</v>
      </c>
      <c r="C3276" s="3" t="str">
        <f ca="1">IFERROR(__xludf.DUMMYFUNCTION("GOOGLETRANSLATE(B3276,""auto"",""en"")"),"A lidar -based swimming pool drowning monitoring device and method and method, including multiple multi -line laser radar, upper and lower pitch mechanisms, computer systems, communication and control modules, drowning alarm devices, including computer sy"&amp;"stems including data processing units, data storage units, drowning drowning Identify the module and alarm unit. Multi -line laser radar is installed in the upper and lower pitch mechanisms. The working steps of this device are: the data processing unit e"&amp;"xtracts the swimmer's point cloud data; the data storage unit stores the dot of the extracted swimmer's drowning gesture into the drowning posture database, and transfers the dot cluster of the swimmer's posture to the dot of the stance of the stance of t"&amp;"he swimming attitude to Gesture recognition unit; drowning identification module input the cluster data to be identified to the trained neural network to complete the recognition of the swimmer's attitude; when recognizing the drowning gesture, the alarm "&amp;"unit is used to display the coordinate position of the drowning person and towards the communication of the communication. And the control module issued alarm instructions; the communication and control module control the drowning alarm device issued alar"&amp;"m sound.")</f>
        <v>A lidar -based swimming pool drowning monitoring device and method and method, including multiple multi -line laser radar, upper and lower pitch mechanisms, computer systems, communication and control modules, drowning alarm devices, including computer systems including data processing units, data storage units, drowning drowning Identify the module and alarm unit. Multi -line laser radar is installed in the upper and lower pitch mechanisms. The working steps of this device are: the data processing unit extracts the swimmer's point cloud data; the data storage unit stores the dot of the extracted swimmer's drowning gesture into the drowning posture database, and transfers the dot cluster of the swimmer's posture to the dot of the stance of the stance of the swimming attitude to Gesture recognition unit; drowning identification module input the cluster data to be identified to the trained neural network to complete the recognition of the swimmer's attitude; when recognizing the drowning gesture, the alarm unit is used to display the coordinate position of the drowning person and towards the communication of the communication. And the control module issued alarm instructions; the communication and control module control the drowning alarm device issued alarm sound.</v>
      </c>
      <c r="D3276" s="6" t="s">
        <v>9194</v>
      </c>
      <c r="E3276" s="4" t="str">
        <f ca="1">IFERROR(__xludf.DUMMYFUNCTION("GOOGLETRANSLATE(D3276,""auto"",""en"")"),"A lidar -based swimming pool drowning monitoring device and method")</f>
        <v>A lidar -based swimming pool drowning monitoring device and method</v>
      </c>
    </row>
    <row r="3277" spans="1:5" ht="15" x14ac:dyDescent="0.25">
      <c r="A3277" s="5" t="s">
        <v>9195</v>
      </c>
      <c r="B3277" s="6" t="s">
        <v>9196</v>
      </c>
      <c r="C3277" s="3" t="str">
        <f ca="1">IFERROR(__xludf.DUMMYFUNCTION("GOOGLETRANSLATE(B3277,""auto"",""en"")"),"The present invention discloses a lens -based TV advertising recognition method. Firstly, continuous video data is decomposed into a lens, and then the characteristics of each lens are extracted using the convolutional neural network, and the feature vect"&amp;"or is used to reduce the dimension. The classification model classified the lens into advertisements and non -advertising. After classification of advertising lenses, use the image and audio characteristics in the lens to identify the content of the adver"&amp;"tising lens, that is, to identify the advertisement of which company or product the lens is. The purpose of the present invention is to monitor commercial advertisements played in TV broadcasts. It can identify advertisements in various programs such as f"&amp;"ilm and television, variety shows, news, sports, and different programs, and can reduce calculation costs and improve efficiency.")</f>
        <v>The present invention discloses a lens -based TV advertising recognition method. Firstly, continuous video data is decomposed into a lens, and then the characteristics of each lens are extracted using the convolutional neural network, and the feature vector is used to reduce the dimension. The classification model classified the lens into advertisements and non -advertising. After classification of advertising lenses, use the image and audio characteristics in the lens to identify the content of the advertising lens, that is, to identify the advertisement of which company or product the lens is. The purpose of the present invention is to monitor commercial advertisements played in TV broadcasts. It can identify advertisements in various programs such as film and television, variety shows, news, sports, and different programs, and can reduce calculation costs and improve efficiency.</v>
      </c>
      <c r="D3277" s="6" t="s">
        <v>9197</v>
      </c>
      <c r="E3277" s="4" t="str">
        <f ca="1">IFERROR(__xludf.DUMMYFUNCTION("GOOGLETRANSLATE(D3277,""auto"",""en"")"),"A lens -based TV advertising recognition method")</f>
        <v>A lens -based TV advertising recognition method</v>
      </c>
    </row>
    <row r="3278" spans="1:5" ht="15" x14ac:dyDescent="0.25">
      <c r="A3278" s="5" t="s">
        <v>9198</v>
      </c>
      <c r="B3278" s="6" t="s">
        <v>9199</v>
      </c>
      <c r="C3278" s="3" t="str">
        <f ca="1">IFERROR(__xludf.DUMMYFUNCTION("GOOGLETRANSLATE(B3278,""auto"",""en"")"),"Multi -stage machine learning and identification systems include multiple individual machine learning systems. These systems are arranged in multiple stages. Among them, data transmitted from a stage of machine learning system to one or more machine learn"&amp;"ing systems of one or more machine learning systems of the structure. Logic of machine learning system. Multi -stage machine learning systems can be arranged in the final stage and one or more non -final stages. One or more non -final stages usually guide"&amp;" the data to one or more machine learning systems selected in the final stage, but less than the end All machine learning systems at the stage. Multi -stage machine learning systems can also include a separate machine learning system, specified as learnin"&amp;"g coaches and data management systems. The system is configured to control the internal state of the machine learning system to control the data in the multi -stage structure of the machine learning system. distributed. structure. Learning coaches and dat"&amp;"a management systems can optimize the performance of the entire system by controlling one or more super -reasser, multi -phase structure or other functions of any machine learning system in the entire system.")</f>
        <v>Multi -stage machine learning and identification systems include multiple individual machine learning systems. These systems are arranged in multiple stages. Among them, data transmitted from a stage of machine learning system to one or more machine learning systems of one or more machine learning systems of the structure. Logic of machine learning system. Multi -stage machine learning systems can be arranged in the final stage and one or more non -final stages. One or more non -final stages usually guide the data to one or more machine learning systems selected in the final stage, but less than the end All machine learning systems at the stage. Multi -stage machine learning systems can also include a separate machine learning system, specified as learning coaches and data management systems. The system is configured to control the internal state of the machine learning system to control the data in the multi -stage structure of the machine learning system. distributed. structure. Learning coaches and data management systems can optimize the performance of the entire system by controlling one or more super -reasser, multi -phase structure or other functions of any machine learning system in the entire system.</v>
      </c>
      <c r="D3278" s="6" t="s">
        <v>9200</v>
      </c>
      <c r="E3278" s="4" t="str">
        <f ca="1">IFERROR(__xludf.DUMMYFUNCTION("GOOGLETRANSLATE(D3278,""auto"",""en"")"),"Multi -stage machine learning and recognition")</f>
        <v>Multi -stage machine learning and recognition</v>
      </c>
    </row>
    <row r="3279" spans="1:5" ht="15" x14ac:dyDescent="0.25">
      <c r="A3279" s="5" t="s">
        <v>9201</v>
      </c>
      <c r="B3279" s="6" t="s">
        <v>9199</v>
      </c>
      <c r="C3279" s="3" t="str">
        <f ca="1">IFERROR(__xludf.DUMMYFUNCTION("GOOGLETRANSLATE(B3279,""auto"",""en"")"),"Multi -stage machine learning and identification systems include multiple individual machine learning systems. These systems are arranged in multiple stages. Among them, data transmitted from a stage of machine learning system to one or more machine learn"&amp;"ing systems of one or more machine learning systems of the structure. Logic of machine learning system. Multi -stage machine learning systems can be arranged in the final stage and one or more non -final stages. One or more non -final stages usually guide"&amp;" the data to one or more machine learning systems selected in the final stage, but less than the end All machine learning systems at the stage. Multi -stage machine learning systems can also include a separate machine learning system, specified as learnin"&amp;"g coaches and data management systems. The system is configured to control the internal state of the machine learning system to control the data in the multi -stage structure of the machine learning system. distributed. structure. Learning coaches and dat"&amp;"a management systems can optimize the performance of the entire system by controlling one or more super -reasser, multi -phase structure or other functions of any machine learning system in the entire system.")</f>
        <v>Multi -stage machine learning and identification systems include multiple individual machine learning systems. These systems are arranged in multiple stages. Among them, data transmitted from a stage of machine learning system to one or more machine learning systems of one or more machine learning systems of the structure. Logic of machine learning system. Multi -stage machine learning systems can be arranged in the final stage and one or more non -final stages. One or more non -final stages usually guide the data to one or more machine learning systems selected in the final stage, but less than the end All machine learning systems at the stage. Multi -stage machine learning systems can also include a separate machine learning system, specified as learning coaches and data management systems. The system is configured to control the internal state of the machine learning system to control the data in the multi -stage structure of the machine learning system. distributed. structure. Learning coaches and data management systems can optimize the performance of the entire system by controlling one or more super -reasser, multi -phase structure or other functions of any machine learning system in the entire system.</v>
      </c>
      <c r="D3279" s="6" t="s">
        <v>9202</v>
      </c>
      <c r="E3279" s="4" t="str">
        <f ca="1">IFERROR(__xludf.DUMMYFUNCTION("GOOGLETRANSLATE(D3279,""auto"",""en"")"),"Multi -stage machine learning and recognition")</f>
        <v>Multi -stage machine learning and recognition</v>
      </c>
    </row>
    <row r="3280" spans="1:5" ht="15" x14ac:dyDescent="0.25">
      <c r="A3280" s="5" t="s">
        <v>9203</v>
      </c>
      <c r="B3280" s="6" t="s">
        <v>9204</v>
      </c>
      <c r="C3280" s="3" t="str">
        <f ca="1">IFERROR(__xludf.DUMMYFUNCTION("GOOGLETRANSLATE(B3280,""auto"",""en"")"),"Multi -stage machine learning and recognition systems include multiple individual machine learning systems arranged in multiple stages. Among them, data transmitted from a stage of machine learning system to one or more or more machine learning systems in"&amp;" the structure. System logic. Multi -stage machine learning systems can be arranged in the final stage and one or more non -final stages. One or more non -final stages usually guide one or more machine learning systems selected in the final stage of the d"&amp;"ata, but less than the end All machine learning systems at the stage. Multi -stage machine learning systems can also include learning coaches and data management systems, which are configured to control the distribution of data in the multi -stage structu"&amp;"re of the machine learning system by observing the internal state of the structure.")</f>
        <v>Multi -stage machine learning and recognition systems include multiple individual machine learning systems arranged in multiple stages. Among them, data transmitted from a stage of machine learning system to one or more or more machine learning systems in the structure. System logic. Multi -stage machine learning systems can be arranged in the final stage and one or more non -final stages. One or more non -final stages usually guide one or more machine learning systems selected in the final stage of the data, but less than the end All machine learning systems at the stage. Multi -stage machine learning systems can also include learning coaches and data management systems, which are configured to control the distribution of data in the multi -stage structure of the machine learning system by observing the internal state of the structure.</v>
      </c>
      <c r="D3280" s="6" t="s">
        <v>9202</v>
      </c>
      <c r="E3280" s="4" t="str">
        <f ca="1">IFERROR(__xludf.DUMMYFUNCTION("GOOGLETRANSLATE(D3280,""auto"",""en"")"),"Multi -stage machine learning and recognition")</f>
        <v>Multi -stage machine learning and recognition</v>
      </c>
    </row>
    <row r="3281" spans="1:5" ht="15" x14ac:dyDescent="0.25">
      <c r="A3281" s="5" t="s">
        <v>9205</v>
      </c>
      <c r="B3281" s="6" t="s">
        <v>9206</v>
      </c>
      <c r="C3281" s="3" t="str">
        <f ca="1">IFERROR(__xludf.DUMMYFUNCTION("GOOGLETRANSLATE(B3281,""auto"",""en"")"),"The present invention involves a treadmill, especially a treadmill for VR devices, including the base, camera, extended rod, driver device, connecting rod and safety ring; The safety ring is set up directly above the base; the base is square, a hollow str"&amp;"ucture, and there are multiple rolling shafts in the base. There are bearing at both ends of the rolling shaft, the bearings and the base are connected, so that the rolling shaft can along the rolling shaft along along Bearing rotation; the extension rod "&amp;"is installed on the upper end of the connector, and a photography head is set on the upper end of the extended rod; the camera has a built -in small computer, a small computer has image recognition and action recognition technology; the camera and the dri"&amp;"ver are connected; Drive the drive device and the connection rod connection, and the drive device rotates the connection rod through the built -in motor drive gear rotation; the camera and the drive device are connected to the power supply.")</f>
        <v>The present invention involves a treadmill, especially a treadmill for VR devices, including the base, camera, extended rod, driver device, connecting rod and safety ring; The safety ring is set up directly above the base; the base is square, a hollow structure, and there are multiple rolling shafts in the base. There are bearing at both ends of the rolling shaft, the bearings and the base are connected, so that the rolling shaft can along the rolling shaft along along Bearing rotation; the extension rod is installed on the upper end of the connector, and a photography head is set on the upper end of the extended rod; the camera has a built -in small computer, a small computer has image recognition and action recognition technology; the camera and the driver are connected; Drive the drive device and the connection rod connection, and the drive device rotates the connection rod through the built -in motor drive gear rotation; the camera and the drive device are connected to the power supply.</v>
      </c>
      <c r="D3281" s="6" t="s">
        <v>9207</v>
      </c>
      <c r="E3281" s="4" t="str">
        <f ca="1">IFERROR(__xludf.DUMMYFUNCTION("GOOGLETRANSLATE(D3281,""auto"",""en"")"),"A treadmill for VR devices")</f>
        <v>A treadmill for VR devices</v>
      </c>
    </row>
    <row r="3282" spans="1:5" ht="15" x14ac:dyDescent="0.25">
      <c r="A3282" s="5" t="s">
        <v>9208</v>
      </c>
      <c r="B3282" s="6" t="s">
        <v>9209</v>
      </c>
      <c r="C3282" s="3" t="str">
        <f ca="1">IFERROR(__xludf.DUMMYFUNCTION("GOOGLETRANSLATE(B3282,""auto"",""en"")"),"A method of combining the three -yuan knowledge base of the three -yuan group of knowledge bases belongs to the field of computer natural language processing. Specific operation steps include: ① Construct a data set for model training; ② Express the vecto"&amp;"r of the entity, relationship, and sentence templates; Compared with existing technologies proposed by the convergence of the integrated ternary group knowledge base proposed by the present invention, the relationship between the physical word and other p"&amp;"hysical words in the sentence in the sentence of the physical word in the sentence. It effectively solves the problem that the physical word is difficult to make up in the conventional sentence complement method. Experiments show that the methods proposed"&amp;" by the present invention have significantly improved the evaluation indicators of the average sorting (MR) and the top 10 hit rate (H@10).")</f>
        <v>A method of combining the three -yuan knowledge base of the three -yuan group of knowledge bases belongs to the field of computer natural language processing. Specific operation steps include: ① Construct a data set for model training; ② Express the vector of the entity, relationship, and sentence templates; Compared with existing technologies proposed by the convergence of the integrated ternary group knowledge base proposed by the present invention, the relationship between the physical word and other physical words in the sentence in the sentence of the physical word in the sentence. It effectively solves the problem that the physical word is difficult to make up in the conventional sentence complement method. Experiments show that the methods proposed by the present invention have significantly improved the evaluation indicators of the average sorting (MR) and the top 10 hit rate (H@10).</v>
      </c>
      <c r="D3282" s="6" t="s">
        <v>9210</v>
      </c>
      <c r="E3282" s="4" t="str">
        <f ca="1">IFERROR(__xludf.DUMMYFUNCTION("GOOGLETRANSLATE(D3282,""auto"",""en"")"),"A method of combining the three -yuan knowledge base of the three yuan group knowledge base")</f>
        <v>A method of combining the three -yuan knowledge base of the three yuan group knowledge base</v>
      </c>
    </row>
    <row r="3283" spans="1:5" ht="15" x14ac:dyDescent="0.25">
      <c r="A3283" s="5" t="s">
        <v>9211</v>
      </c>
      <c r="B3283" s="6" t="s">
        <v>9212</v>
      </c>
      <c r="C3283" s="3" t="str">
        <f ca="1">IFERROR(__xludf.DUMMYFUNCTION("GOOGLETRANSLATE(B3283,""auto"",""en"")"),"This utility model discloses a sporting volleyball serving device. The structure includes the club, the turntable, the intelligent voice switch device, the volleyball frame, the chassis, the roller, the rotary rod, the ballboard, the rotor protective case"&amp;", the club club club The lower end is connected to the upper end of the rotor protective case, and the rotor is embedded in the inside of the turntable protective case. The intelligent voice switch device is connected to the upper end of the rotor rod, we"&amp;"lded with the volleyball frame and the chain, connected to the roller, and the rotor rod is connected. The volleyball frame is located in the same axis, and a practical new type of sporting volleyball kick device is set with a smart voice switch device. W"&amp;"hen athletes or users want to stop the serve machine to continue serving, they only need to perform sound control on the device. The internal voice recognition of the device transmits the signal to the processor. The processor uses the electromagnet to po"&amp;"wer the iron block to stop the connection.")</f>
        <v>This utility model discloses a sporting volleyball serving device. The structure includes the club, the turntable, the intelligent voice switch device, the volleyball frame, the chassis, the roller, the rotary rod, the ballboard, the rotor protective case, the club club club The lower end is connected to the upper end of the rotor protective case, and the rotor is embedded in the inside of the turntable protective case. The intelligent voice switch device is connected to the upper end of the rotor rod, welded with the volleyball frame and the chain, connected to the roller, and the rotor rod is connected. The volleyball frame is located in the same axis, and a practical new type of sporting volleyball kick device is set with a smart voice switch device. When athletes or users want to stop the serve machine to continue serving, they only need to perform sound control on the device. The internal voice recognition of the device transmits the signal to the processor. The processor uses the electromagnet to power the iron block to stop the connection.</v>
      </c>
      <c r="D3283" s="6" t="s">
        <v>9213</v>
      </c>
      <c r="E3283" s="4" t="str">
        <f ca="1">IFERROR(__xludf.DUMMYFUNCTION("GOOGLETRANSLATE(D3283,""auto"",""en"")"),"A sporting volleyball serving device")</f>
        <v>A sporting volleyball serving device</v>
      </c>
    </row>
    <row r="3284" spans="1:5" ht="15" x14ac:dyDescent="0.25">
      <c r="A3284" s="5" t="s">
        <v>9214</v>
      </c>
      <c r="B3284" s="6" t="s">
        <v>9215</v>
      </c>
      <c r="C3284" s="3" t="str">
        <f ca="1">IFERROR(__xludf.DUMMYFUNCTION("GOOGLETRANSLATE(B3284,""auto"",""en"")"),"The invention provides a drowning warning method based on optical visual analysis. First, the images are processed, enhanced, and removed by uneven lighting through methods such as medium -value filtering, histogram balanced, and homomorphic filtering. Wi"&amp;"th the sports trajectory information, finally use the LSTM network to extract the behavioral characteristics of timing information, and analyze the feature through the SoftMax layer to obtain the probability of drowning of the swimmer and give a judgment "&amp;"of whether it is drowning. The method of using the present invention can realize the intelligent visual perception of the swimmers in the pool. By understanding and analyzing its movement behavior, warning the drowning state, and quickly and accurately gi"&amp;"ve the drowning location information to assist the rescue of lifeguards.")</f>
        <v>The invention provides a drowning warning method based on optical visual analysis. First, the images are processed, enhanced, and removed by uneven lighting through methods such as medium -value filtering, histogram balanced, and homomorphic filtering. With the sports trajectory information, finally use the LSTM network to extract the behavioral characteristics of timing information, and analyze the feature through the SoftMax layer to obtain the probability of drowning of the swimmer and give a judgment of whether it is drowning. The method of using the present invention can realize the intelligent visual perception of the swimmers in the pool. By understanding and analyzing its movement behavior, warning the drowning state, and quickly and accurately give the drowning location information to assist the rescue of lifeguards.</v>
      </c>
      <c r="D3284" s="6" t="s">
        <v>9216</v>
      </c>
      <c r="E3284" s="4" t="str">
        <f ca="1">IFERROR(__xludf.DUMMYFUNCTION("GOOGLETRANSLATE(D3284,""auto"",""en"")"),"Drowning warning method based on optical visual analysis")</f>
        <v>Drowning warning method based on optical visual analysis</v>
      </c>
    </row>
    <row r="3285" spans="1:5" ht="15" x14ac:dyDescent="0.25">
      <c r="A3285" s="5" t="s">
        <v>9217</v>
      </c>
      <c r="B3285" s="6" t="s">
        <v>9218</v>
      </c>
      <c r="C3285" s="3" t="str">
        <f ca="1">IFERROR(__xludf.DUMMYFUNCTION("GOOGLETRANSLATE(B3285,""auto"",""en"")"),"This utility model opens up a fitness equipment based on the Internet of Things, including the base, with a supporting pillar on the base, a lying on the support pillar with a tilt -setting board, a fixed board on the lying board, and a fixed board with a"&amp;" fixed board. The two fixed rods, the outer sleeve of the fixed rod is equipped with a buffer cover, and a pressure sensor between the buffer sleeve and the fixed rod; the center control component is provided on the base. , Speakers are connected to a voi"&amp;"ce module, the voice module includes voice circuits. In the IoT -based fitness equipment, through PLC and other components inside the shell, it can be measured by the movement of the fitness. At the same time, the voice circuit can be used. Reliable voice"&amp;" outputs have improved the practicality of the equipment. The practical new design is reasonable and suitable for promotion and use.")</f>
        <v>This utility model opens up a fitness equipment based on the Internet of Things, including the base, with a supporting pillar on the base, a lying on the support pillar with a tilt -setting board, a fixed board on the lying board, and a fixed board with a fixed board. The two fixed rods, the outer sleeve of the fixed rod is equipped with a buffer cover, and a pressure sensor between the buffer sleeve and the fixed rod; the center control component is provided on the base. , Speakers are connected to a voice module, the voice module includes voice circuits. In the IoT -based fitness equipment, through PLC and other components inside the shell, it can be measured by the movement of the fitness. At the same time, the voice circuit can be used. Reliable voice outputs have improved the practicality of the equipment. The practical new design is reasonable and suitable for promotion and use.</v>
      </c>
      <c r="D3285" s="6" t="s">
        <v>9070</v>
      </c>
      <c r="E3285" s="4" t="str">
        <f ca="1">IFERROR(__xludf.DUMMYFUNCTION("GOOGLETRANSLATE(D3285,""auto"",""en"")"),"A fitness equipment based on the Internet of Things")</f>
        <v>A fitness equipment based on the Internet of Things</v>
      </c>
    </row>
    <row r="3286" spans="1:5" ht="15" x14ac:dyDescent="0.25">
      <c r="A3286" s="5" t="s">
        <v>9219</v>
      </c>
      <c r="B3286" s="6" t="s">
        <v>9220</v>
      </c>
      <c r="C3286" s="3" t="str">
        <f ca="1">IFERROR(__xludf.DUMMYFUNCTION("GOOGLETRANSLATE(B3286,""auto"",""en"")"),"A method for controlling a part of a robot camera (106) that controls the capture of the game venue (100). Determine the image area of ​​interest in the reference image of the competition field. Interested image area is determined by artificial intelligen"&amp;"ce (111). Interested image areas are associated with interested areas on the competition venue. Drive the control parameters of the robot camera (106) from the physical area of ​​interest, so that the robot camera captures the physical area of ​​interest "&amp;"on the field. Therefore, robots can automatically capture the most interesting scenes on the field. In addition, a camera system that implements this method is proposed.")</f>
        <v>A method for controlling a part of a robot camera (106) that controls the capture of the game venue (100). Determine the image area of ​​interest in the reference image of the competition field. Interested image area is determined by artificial intelligence (111). Interested image areas are associated with interested areas on the competition venue. Drive the control parameters of the robot camera (106) from the physical area of ​​interest, so that the robot camera captures the physical area of ​​interest on the field. Therefore, robots can automatically capture the most interesting scenes on the field. In addition, a camera system that implements this method is proposed.</v>
      </c>
      <c r="D3286" s="6" t="s">
        <v>9221</v>
      </c>
      <c r="E3286" s="4" t="str">
        <f ca="1">IFERROR(__xludf.DUMMYFUNCTION("GOOGLETRANSLATE(D3286,""auto"",""en"")"),"Automatic control of robotic cameras used to capture a part of the sports field")</f>
        <v>Automatic control of robotic cameras used to capture a part of the sports field</v>
      </c>
    </row>
    <row r="3287" spans="1:5" ht="15" x14ac:dyDescent="0.25">
      <c r="A3287" s="5" t="s">
        <v>9222</v>
      </c>
      <c r="B3287" s="6" t="s">
        <v>9223</v>
      </c>
      <c r="C3287" s="3" t="str">
        <f ca="1">IFERROR(__xludf.DUMMYFUNCTION("GOOGLETRANSLATE(B3287,""auto"",""en"")"),"The present invention disclosed a low -power communication device and method for the Internet of Things terminal. That is, the hash code of the preset hash field contained in the signal is compared with the hash code generated by the RTC and hash generato"&amp;"r that is synchronized with the sender. When the two hash code match, the corresponding The signal is normal. Signal. Signal In the implementation of the LORA single receiving operation mode, it is processed by the data contained in the preset data field "&amp;"contained in Signal in the MCU. After confirmation Operating efficiency receiving time, stable and maintaining power consumption, and deciding whether to receive data in advance at the hardware level.")</f>
        <v>The present invention disclosed a low -power communication device and method for the Internet of Things terminal. That is, the hash code of the preset hash field contained in the signal is compared with the hash code generated by the RTC and hash generator that is synchronized with the sender. When the two hash code match, the corresponding The signal is normal. Signal. Signal In the implementation of the LORA single receiving operation mode, it is processed by the data contained in the preset data field contained in Signal in the MCU. After confirmation Operating efficiency receiving time, stable and maintaining power consumption, and deciding whether to receive data in advance at the hardware level.</v>
      </c>
      <c r="D3287" s="6" t="s">
        <v>9224</v>
      </c>
      <c r="E3287" s="4" t="str">
        <f ca="1">IFERROR(__xludf.DUMMYFUNCTION("GOOGLETRANSLATE(D3287,""auto"",""en"")"),"Low -power communication devices and methods of IoT terminals")</f>
        <v>Low -power communication devices and methods of IoT terminals</v>
      </c>
    </row>
    <row r="3288" spans="1:5" ht="15" x14ac:dyDescent="0.25">
      <c r="A3288" s="5" t="s">
        <v>9225</v>
      </c>
      <c r="B3288" s="6" t="s">
        <v>9226</v>
      </c>
      <c r="C3288" s="3" t="str">
        <f ca="1">IFERROR(__xludf.DUMMYFUNCTION("GOOGLETRANSLATE(B3288,""auto"",""en"")"),"An interactive device that is convenient for communication, including induction switch, shell, rack, curved base and cover; the induction switch is set on the side of the shell; The cover plate is set above the shell; the rack is set with electronic displ"&amp;"ay modules, audio amplifier modules, audio output modules, input modules; The upper side is set with a remote communication module, which is set to be under the cover plate; the cover and the shell are fastened by screws; , Central processor; the inside o"&amp;"f the arc -shaped base is equipped with running tables, conveyor belts, gears, clutch devices, generators, brushes; The motor is connected to the battery through the brush.")</f>
        <v>An interactive device that is convenient for communication, including induction switch, shell, rack, curved base and cover; the induction switch is set on the side of the shell; The cover plate is set above the shell; the rack is set with electronic display modules, audio amplifier modules, audio output modules, input modules; The upper side is set with a remote communication module, which is set to be under the cover plate; the cover and the shell are fastened by screws; , Central processor; the inside of the arc -shaped base is equipped with running tables, conveyor belts, gears, clutch devices, generators, brushes; The motor is connected to the battery through the brush.</v>
      </c>
      <c r="D3288" s="6" t="s">
        <v>9227</v>
      </c>
      <c r="E3288" s="4" t="str">
        <f ca="1">IFERROR(__xludf.DUMMYFUNCTION("GOOGLETRANSLATE(D3288,""auto"",""en"")"),"An interactive device that facilitates communication")</f>
        <v>An interactive device that facilitates communication</v>
      </c>
    </row>
    <row r="3289" spans="1:5" ht="15" x14ac:dyDescent="0.25">
      <c r="A3289" s="5" t="s">
        <v>9228</v>
      </c>
      <c r="B3289" s="6" t="s">
        <v>9226</v>
      </c>
      <c r="C3289" s="3" t="str">
        <f ca="1">IFERROR(__xludf.DUMMYFUNCTION("GOOGLETRANSLATE(B3289,""auto"",""en"")"),"An interactive device that is convenient for communication, including induction switch, shell, rack, curved base and cover; the induction switch is set on the side of the shell; The cover plate is set above the shell; the rack is set with electronic displ"&amp;"ay modules, audio amplifier modules, audio output modules, input modules; The upper side is set with a remote communication module, which is set to be under the cover plate; the cover and the shell are fastened by screws; , Central processor; the inside o"&amp;"f the arc -shaped base is equipped with running tables, conveyor belts, gears, clutch devices, generators, brushes; The motor is connected to the battery through the brush.")</f>
        <v>An interactive device that is convenient for communication, including induction switch, shell, rack, curved base and cover; the induction switch is set on the side of the shell; The cover plate is set above the shell; the rack is set with electronic display modules, audio amplifier modules, audio output modules, input modules; The upper side is set with a remote communication module, which is set to be under the cover plate; the cover and the shell are fastened by screws; , Central processor; the inside of the arc -shaped base is equipped with running tables, conveyor belts, gears, clutch devices, generators, brushes; The motor is connected to the battery through the brush.</v>
      </c>
      <c r="D3289" s="6" t="s">
        <v>9227</v>
      </c>
      <c r="E3289" s="4" t="str">
        <f ca="1">IFERROR(__xludf.DUMMYFUNCTION("GOOGLETRANSLATE(D3289,""auto"",""en"")"),"An interactive device that facilitates communication")</f>
        <v>An interactive device that facilitates communication</v>
      </c>
    </row>
    <row r="3290" spans="1:5" ht="15" x14ac:dyDescent="0.25">
      <c r="A3290" s="5" t="s">
        <v>9229</v>
      </c>
      <c r="B3290" s="6" t="s">
        <v>4579</v>
      </c>
      <c r="C3290" s="3" t="str">
        <f ca="1">IFERROR(__xludf.DUMMYFUNCTION("GOOGLETRANSLATE(B3290,""auto"",""en"")"),"You can determine the risk of people's fall based on machine learning algorithms. You can use the fall risk information to inform the person and/or third -party monitoring personnel (such as doctors, physiotherapists, private coaches, etc.). This informat"&amp;"ion can be used to monitor and track changes that may be affected by changes in health, lifestyle or medical care. In addition, the risk of falling risk can help individuals be more careful in their risks when they fall. You can use machine learning algor"&amp;"ithms to estimate the risk of falling. The machine learning algorithm can process data from the load sensor by calculating the basic and high -end intermittent balance model (PEM) stability measurement.")</f>
        <v>You can determine the risk of people's fall based on machine learning algorithms. You can use the fall risk information to inform the person and/or third -party monitoring personnel (such as doctors, physiotherapists, private coaches, etc.). This information can be used to monitor and track changes that may be affected by changes in health, lifestyle or medical care. In addition, the risk of falling risk can help individuals be more careful in their risks when they fall. You can use machine learning algorithms to estimate the risk of falling. The machine learning algorithm can process data from the load sensor by calculating the basic and high -end intermittent balance model (PEM) stability measurement.</v>
      </c>
      <c r="D3290" s="6" t="s">
        <v>4580</v>
      </c>
      <c r="E3290" s="4" t="str">
        <f ca="1">IFERROR(__xludf.DUMMYFUNCTION("GOOGLETRANSLATE(D3290,""auto"",""en"")"),"Use machine learning algorithm to identify the risk of falling down")</f>
        <v>Use machine learning algorithm to identify the risk of falling down</v>
      </c>
    </row>
    <row r="3291" spans="1:5" ht="15" x14ac:dyDescent="0.25">
      <c r="A3291" s="5" t="s">
        <v>9230</v>
      </c>
      <c r="B3291" s="6" t="s">
        <v>9231</v>
      </c>
      <c r="C3291" s="3" t="str">
        <f ca="1">IFERROR(__xludf.DUMMYFUNCTION("GOOGLETRANSLATE(B3291,""auto"",""en"")"),"The present invention involves a fitness equipment management system and method based on the Internet of Things, which includes the application of a central controller and a smart robot for fitness places. There is a camera above the upper set of smart ro"&amp;"bots. The controller, the external setting of the intelligent robot has a robotic arm. There are multiple fitness areas in fitness places. Each fitness area includes one equipment placement area, and the equipment placement areas are placed in various typ"&amp;"es of fitness equipment. The UWB positioning labels are set on each fitness equipment, and at least one camera is set up in each fitness area. The invention automatically manages the fitness equipment in fitness places, and automatically counts the types "&amp;"and quantities of fitness equipment at each location. According to the number of types of fitness equipment, the number of fitness robots is automatically adjusted according to the traffic of the traffic. Adjustment is more time -effective.")</f>
        <v>The present invention involves a fitness equipment management system and method based on the Internet of Things, which includes the application of a central controller and a smart robot for fitness places. There is a camera above the upper set of smart robots. The controller, the external setting of the intelligent robot has a robotic arm. There are multiple fitness areas in fitness places. Each fitness area includes one equipment placement area, and the equipment placement areas are placed in various types of fitness equipment. The UWB positioning labels are set on each fitness equipment, and at least one camera is set up in each fitness area. The invention automatically manages the fitness equipment in fitness places, and automatically counts the types and quantities of fitness equipment at each location. According to the number of types of fitness equipment, the number of fitness robots is automatically adjusted according to the traffic of the traffic. Adjustment is more time -effective.</v>
      </c>
      <c r="D3291" s="6" t="s">
        <v>9232</v>
      </c>
      <c r="E3291" s="4" t="str">
        <f ca="1">IFERROR(__xludf.DUMMYFUNCTION("GOOGLETRANSLATE(D3291,""auto"",""en"")"),"A fitness equipment management system and method based on the Internet of Things")</f>
        <v>A fitness equipment management system and method based on the Internet of Things</v>
      </c>
    </row>
    <row r="3292" spans="1:5" ht="15" x14ac:dyDescent="0.25">
      <c r="A3292" s="5" t="s">
        <v>9233</v>
      </c>
      <c r="B3292" s="6" t="s">
        <v>9234</v>
      </c>
      <c r="C3292" s="3" t="str">
        <f ca="1">IFERROR(__xludf.DUMMYFUNCTION("GOOGLETRANSLATE(B3292,""auto"",""en"")"),"A embodiment provides a machine learning hardware accelerator, including the calculation unit, which has the addition of an adder and multiplication device that shared between the integer data path and the floating -point data path. Tongtong surgery was s"&amp;"elected during the floating point.")</f>
        <v>A embodiment provides a machine learning hardware accelerator, including the calculation unit, which has the addition of an adder and multiplication device that shared between the integer data path and the floating -point data path. Tongtong surgery was selected during the floating point.</v>
      </c>
      <c r="D3292" s="6" t="s">
        <v>9235</v>
      </c>
      <c r="E3292" s="4" t="str">
        <f ca="1">IFERROR(__xludf.DUMMYFUNCTION("GOOGLETRANSLATE(D3292,""auto"",""en"")"),"For the overall operation and logic of mobile comma operations for automatic learning.")</f>
        <v>For the overall operation and logic of mobile comma operations for automatic learning.</v>
      </c>
    </row>
    <row r="3293" spans="1:5" ht="15" x14ac:dyDescent="0.25">
      <c r="A3293" s="5" t="s">
        <v>9236</v>
      </c>
      <c r="B3293" s="6" t="s">
        <v>9234</v>
      </c>
      <c r="C3293" s="3" t="str">
        <f ca="1">IFERROR(__xludf.DUMMYFUNCTION("GOOGLETRANSLATE(B3293,""auto"",""en"")"),"A embodiment provides a machine learning hardware accelerator, including the calculation unit, which has the addition of an adder and multiplication device that shared between the integer data path and the floating -point data path. Tongtong surgery was s"&amp;"elected during the floating point.")</f>
        <v>A embodiment provides a machine learning hardware accelerator, including the calculation unit, which has the addition of an adder and multiplication device that shared between the integer data path and the floating -point data path. Tongtong surgery was selected during the floating point.</v>
      </c>
      <c r="D3293" s="6" t="s">
        <v>9235</v>
      </c>
      <c r="E3293" s="4" t="str">
        <f ca="1">IFERROR(__xludf.DUMMYFUNCTION("GOOGLETRANSLATE(D3293,""auto"",""en"")"),"For the overall operation and logic of mobile comma operations for automatic learning.")</f>
        <v>For the overall operation and logic of mobile comma operations for automatic learning.</v>
      </c>
    </row>
    <row r="3294" spans="1:5" ht="15" x14ac:dyDescent="0.25">
      <c r="A3294" s="5" t="s">
        <v>9237</v>
      </c>
      <c r="B3294" s="6" t="s">
        <v>9238</v>
      </c>
      <c r="C3294" s="3" t="str">
        <f ca="1">IFERROR(__xludf.DUMMYFUNCTION("GOOGLETRANSLATE(B3294,""auto"",""en"")"),"A management method and system of abnormal situations in the reconciliation process
  Trading, which causes abnormalities due to the existing might not match
  Between comparison data sets. Coordination includes execution first
  Based on the predef"&amp;"ined rules and coordination of the presets to match the two sets
  Type 10, the first match caused abnormalities. In addition, exceptions, such as
  Batch processing files, processing the second match on the abnormality-
  Data based on the mode mat"&amp;"ching mechanism with vague logic. Pattern
  Provide a matching mechanism for the graphic file corresponding to each batch
  Elements of the files. In addition, only the possible matching matching
  15 Based on a predefined confidence score threshold"&amp;". Unbalanced competition
  You can provide users with corresponding confidence scores on the user interface
  (UI) further investigate abnormal situations.")</f>
        <v>A management method and system of abnormal situations in the reconciliation process
  Trading, which causes abnormalities due to the existing might not match
  Between comparison data sets. Coordination includes execution first
  Based on the predefined rules and coordination of the presets to match the two sets
  Type 10, the first match caused abnormalities. In addition, exceptions, such as
  Batch processing files, processing the second match on the abnormality-
  Data based on the mode matching mechanism with vague logic. Pattern
  Provide a matching mechanism for the graphic file corresponding to each batch
  Elements of the files. In addition, only the possible matching matching
  15 Based on a predefined confidence score threshold. Unbalanced competition
  You can provide users with corresponding confidence scores on the user interface
  (UI) further investigate abnormal situations.</v>
      </c>
      <c r="D3294" s="6" t="s">
        <v>9239</v>
      </c>
      <c r="E3294" s="4" t="str">
        <f ca="1">IFERROR(__xludf.DUMMYFUNCTION("GOOGLETRANSLATE(D3294,""auto"",""en"")"),"Methods and systems for abnormal management during the reconciliation period")</f>
        <v>Methods and systems for abnormal management during the reconciliation period</v>
      </c>
    </row>
    <row r="3295" spans="1:5" ht="15" x14ac:dyDescent="0.25">
      <c r="A3295" s="5" t="s">
        <v>9240</v>
      </c>
      <c r="B3295" s="6" t="s">
        <v>9241</v>
      </c>
      <c r="C3295" s="3" t="str">
        <f ca="1">IFERROR(__xludf.DUMMYFUNCTION("GOOGLETRANSLATE(B3295,""auto"",""en"")"),"Examples of the present invention provide a method of controlling robotic arm operating objects and training methods for deep neural network models. The method of controlling robotic arm operating objects includes: obtaining the target image collected at "&amp;"the current time of the image sensor;的深度神经网络模型进行检测，得到目标图像对应的标签；判断目标图像对应的标签是否与预设的操作标签相同；如果否，控制末端工具按照目标标签对应的目标运动方向移动预设距离，并Returns the steps of the target image collected at the current time of the image sensor; if so, control the end tool for the target ope"&amp;"ration to the operating object. Since the deep neural network model is trained based on image samples collected by different image sensors at different angles, it can eliminate the error caused by the estimation of the internal and external parameters of "&amp;"the camera, which greatly improves the accuracy of the robotic arm to the physical operation.")</f>
        <v>Examples of the present invention provide a method of controlling robotic arm operating objects and training methods for deep neural network models. The method of controlling robotic arm operating objects includes: obtaining the target image collected at the current time of the image sensor;的深度神经网络模型进行检测，得到目标图像对应的标签；判断目标图像对应的标签是否与预设的操作标签相同；如果否，控制末端工具按照目标标签对应的目标运动方向移动预设距离，并Returns the steps of the target image collected at the current time of the image sensor; if so, control the end tool for the target operation to the operating object. Since the deep neural network model is trained based on image samples collected by different image sensors at different angles, it can eliminate the error caused by the estimation of the internal and external parameters of the camera, which greatly improves the accuracy of the robotic arm to the physical operation.</v>
      </c>
      <c r="D3295" s="6" t="s">
        <v>9242</v>
      </c>
      <c r="E3295" s="4" t="str">
        <f ca="1">IFERROR(__xludf.DUMMYFUNCTION("GOOGLETRANSLATE(D3295,""auto"",""en"")"),"Methods, devices and model training methods, devices of controlling robotic arm operation objects")</f>
        <v>Methods, devices and model training methods, devices of controlling robotic arm operation objects</v>
      </c>
    </row>
    <row r="3296" spans="1:5" ht="15" x14ac:dyDescent="0.25">
      <c r="A3296" s="5" t="s">
        <v>9243</v>
      </c>
      <c r="B3296" s="6" t="s">
        <v>9244</v>
      </c>
      <c r="C3296" s="3" t="str">
        <f ca="1">IFERROR(__xludf.DUMMYFUNCTION("GOOGLETRANSLATE(B3296,""auto"",""en"")"),"The mobile device is programmed by the application. The application uses the camera, acceleration meter and microphone of the mobile device, enabling parents, coaches or players to use it as a tool for diagnosis of cerebral vibration. This tool can diagno"&amp;"se cerebral vibration based on one or more scoring factors, such as player's balance, eyeball movement, the voice response of the problem, button pressing the response time, and other information about the impact position. Mobile devices can be equipped w"&amp;"ith voice recognition and voice prompts to enable another player or coach to check the players' brain shocks on the injured players without the significant efforts of injured players or assistants. Each test can be scored separately, or a score of one or "&amp;"more baselines of the injured player can be scored to obtain the possibility of overall scores and brain shock. When the coach thinks that there is a brain shock, he/she can use the application to help find a doctor. When the coach uncertain the test resu"&amp;"lts, he/she could send the machine learning annotation data to the online doctor for review.")</f>
        <v>The mobile device is programmed by the application. The application uses the camera, acceleration meter and microphone of the mobile device, enabling parents, coaches or players to use it as a tool for diagnosis of cerebral vibration. This tool can diagnose cerebral vibration based on one or more scoring factors, such as player's balance, eyeball movement, the voice response of the problem, button pressing the response time, and other information about the impact position. Mobile devices can be equipped with voice recognition and voice prompts to enable another player or coach to check the players' brain shocks on the injured players without the significant efforts of injured players or assistants. Each test can be scored separately, or a score of one or more baselines of the injured player can be scored to obtain the possibility of overall scores and brain shock. When the coach thinks that there is a brain shock, he/she can use the application to help find a doctor. When the coach uncertain the test results, he/she could send the machine learning annotation data to the online doctor for review.</v>
      </c>
      <c r="D3296" s="6" t="s">
        <v>9245</v>
      </c>
      <c r="E3296" s="4" t="str">
        <f ca="1">IFERROR(__xludf.DUMMYFUNCTION("GOOGLETRANSLATE(D3296,""auto"",""en"")"),"Systems and methods used to diagnose and analyze cerebral vibration")</f>
        <v>Systems and methods used to diagnose and analyze cerebral vibration</v>
      </c>
    </row>
    <row r="3297" spans="1:5" ht="15" x14ac:dyDescent="0.25">
      <c r="A3297" s="5" t="s">
        <v>9246</v>
      </c>
      <c r="B3297" s="6" t="s">
        <v>9247</v>
      </c>
      <c r="C3297" s="3" t="str">
        <f ca="1">IFERROR(__xludf.DUMMYFUNCTION("GOOGLETRANSLATE(B3297,""auto"",""en"")"),"The invention based on the Internet of Things smart teaching fitness yoga mat is composed of smart yoga pads, smart phone APPs and TV screens with built -in teaching systems, and TV screens. Composition, communicate with smartphone apps and TV projection "&amp;"screens through wireless signals; smart devices are built in the middle of the front end of the smart yoga cushion, which is used to process and convey the data collected in the smart yoga mats and send it to the smartphone APP; Infrared sensing device an"&amp;"d pressure sensing device are located in the intelligent yoga mat, monitor and collect the status data of the athletes, transmit these data to the smart device, and transmit it to the smartphone APP through the wireless signal. The image is displayed simu"&amp;"ltaneously on the TV screen; the battery in the smart device provides electrical energy, and the battery is charged through the wireless charger and solar panel.")</f>
        <v>The invention based on the Internet of Things smart teaching fitness yoga mat is composed of smart yoga pads, smart phone APPs and TV screens with built -in teaching systems, and TV screens. Composition, communicate with smartphone apps and TV projection screens through wireless signals; smart devices are built in the middle of the front end of the smart yoga cushion, which is used to process and convey the data collected in the smart yoga mats and send it to the smartphone APP; Infrared sensing device and pressure sensing device are located in the intelligent yoga mat, monitor and collect the status data of the athletes, transmit these data to the smart device, and transmit it to the smartphone APP through the wireless signal. The image is displayed simultaneously on the TV screen; the battery in the smart device provides electrical energy, and the battery is charged through the wireless charger and solar panel.</v>
      </c>
      <c r="D3297" s="6" t="s">
        <v>9248</v>
      </c>
      <c r="E3297" s="4" t="str">
        <f ca="1">IFERROR(__xludf.DUMMYFUNCTION("GOOGLETRANSLATE(D3297,""auto"",""en"")"),"Intelligent teaching, physical fitness yoga mats based on the Internet of Things")</f>
        <v>Intelligent teaching, physical fitness yoga mats based on the Internet of Things</v>
      </c>
    </row>
    <row r="3298" spans="1:5" ht="15" x14ac:dyDescent="0.25">
      <c r="A3298" s="5" t="s">
        <v>9249</v>
      </c>
      <c r="B3298" s="6" t="s">
        <v>9250</v>
      </c>
      <c r="C3298" s="3" t="str">
        <f ca="1">IFERROR(__xludf.DUMMYFUNCTION("GOOGLETRANSLATE(B3298,""auto"",""en"")"),"The present invention disclosed a method of collecting sports health data to generate a sports prescription, including using intelligent devices with built -in artificial intelligence models and algorithms to collect personal body test data; automatic ana"&amp;"lysis of the collected body measurement data, automatic classification, and automatic personalized exercise are generated. Prescription; Personalized sports prescription output front -end is displayed to the body test in time, and the body measured is exe"&amp;"rcised on a shared runner based on the sports prescription; the intelligent device is connected to the Internet of Things, the transmission testing and motion data to the cloud; the cloud uses big data storage to store data; Automatically perform the moti"&amp;"on prescription mark generated by the device. The background administrator can check the motion prescription mark to check whether the prescription for the device generates is correct. If it is not correct, you can manually adjust the motion prescription "&amp;"mark to correct the equipment errors. The method of this invention can analyze quantitatively according to the fine difference between the physical fitness of different physical testing personnel, and generate a slightly different personalized scientific "&amp;"sports prescription.")</f>
        <v>The present invention disclosed a method of collecting sports health data to generate a sports prescription, including using intelligent devices with built -in artificial intelligence models and algorithms to collect personal body test data; automatic analysis of the collected body measurement data, automatic classification, and automatic personalized exercise are generated. Prescription; Personalized sports prescription output front -end is displayed to the body test in time, and the body measured is exercised on a shared runner based on the sports prescription; the intelligent device is connected to the Internet of Things, the transmission testing and motion data to the cloud; the cloud uses big data storage to store data; Automatically perform the motion prescription mark generated by the device. The background administrator can check the motion prescription mark to check whether the prescription for the device generates is correct. If it is not correct, you can manually adjust the motion prescription mark to correct the equipment errors. The method of this invention can analyze quantitatively according to the fine difference between the physical fitness of different physical testing personnel, and generate a slightly different personalized scientific sports prescription.</v>
      </c>
      <c r="D3298" s="6" t="s">
        <v>9251</v>
      </c>
      <c r="E3298" s="4" t="str">
        <f ca="1">IFERROR(__xludf.DUMMYFUNCTION("GOOGLETRANSLATE(D3298,""auto"",""en"")"),"A method of collecting sports health data to generate a sports prescription")</f>
        <v>A method of collecting sports health data to generate a sports prescription</v>
      </c>
    </row>
    <row r="3299" spans="1:5" ht="15" x14ac:dyDescent="0.25">
      <c r="A3299" s="5" t="s">
        <v>9252</v>
      </c>
      <c r="B3299" s="6" t="s">
        <v>9253</v>
      </c>
      <c r="C3299" s="3" t="str">
        <f ca="1">IFERROR(__xludf.DUMMYFUNCTION("GOOGLETRANSLATE(B3299,""auto"",""en"")"),"The present invention disclosed a sports talent innovation and entrepreneurial sharing economy platform based on the Health Internet of Things, including sports health and entrepreneurial ecological sharing platforms. Sports health and entrepreneurial eco"&amp;"logical sharing platforms include the core technology of the shared platform and the ecological resources of the shared platform. Among them, the core technologies of the shared platform include human testing, evaluation, sports prescription generation, p"&amp;"rescription execution, effect monitoring, and sports prescription reconstruction health Internet of Things , Big data and artificial intelligence closed -loop technology.")</f>
        <v>The present invention disclosed a sports talent innovation and entrepreneurial sharing economy platform based on the Health Internet of Things, including sports health and entrepreneurial ecological sharing platforms. Sports health and entrepreneurial ecological sharing platforms include the core technology of the shared platform and the ecological resources of the shared platform. Among them, the core technologies of the shared platform include human testing, evaluation, sports prescription generation, prescription execution, effect monitoring, and sports prescription reconstruction health Internet of Things , Big data and artificial intelligence closed -loop technology.</v>
      </c>
      <c r="D3299" s="6" t="s">
        <v>9254</v>
      </c>
      <c r="E3299" s="4" t="str">
        <f ca="1">IFERROR(__xludf.DUMMYFUNCTION("GOOGLETRANSLATE(D3299,""auto"",""en"")"),"A sports talent innovation and entrepreneurial sharing economy platform based on the health Internet of Things")</f>
        <v>A sports talent innovation and entrepreneurial sharing economy platform based on the health Internet of Things</v>
      </c>
    </row>
    <row r="3300" spans="1:5" ht="15" x14ac:dyDescent="0.25">
      <c r="A3300" s="5" t="s">
        <v>9255</v>
      </c>
      <c r="B3300" s="6" t="s">
        <v>9256</v>
      </c>
      <c r="C3300" s="3" t="str">
        <f ca="1">IFERROR(__xludf.DUMMYFUNCTION("GOOGLETRANSLATE(B3300,""auto"",""en"")"),"The proxy device has an artificial intelligence unit that is configured to obtain physical data and training instruction data to provide artificial coaches by analyzing physical data and training instruction data.")</f>
        <v>The proxy device has an artificial intelligence unit that is configured to obtain physical data and training instruction data to provide artificial coaches by analyzing physical data and training instruction data.</v>
      </c>
      <c r="D3300" s="6" t="s">
        <v>9257</v>
      </c>
      <c r="E3300" s="4" t="str">
        <f ca="1">IFERROR(__xludf.DUMMYFUNCTION("GOOGLETRANSLATE(D3300,""auto"",""en"")"),"Proxy device and proxy method")</f>
        <v>Proxy device and proxy method</v>
      </c>
    </row>
    <row r="3301" spans="1:5" ht="15" x14ac:dyDescent="0.25">
      <c r="A3301" s="5" t="s">
        <v>9258</v>
      </c>
      <c r="B3301" s="6" t="s">
        <v>9259</v>
      </c>
      <c r="C3301" s="3" t="str">
        <f ca="1">IFERROR(__xludf.DUMMYFUNCTION("GOOGLETRANSLATE(B3301,""auto"",""en"")"),"This utility model based on the Internet of Things -based smart teaching, physical fitness yoga pad is composed of intelligent yoga cushions, smart phone APPs and TV screens with built -in teaching systems, and TV screens simultaneously display teaching s"&amp;"creens and user sports images; smart yoga mats consist of four layers of structure and intelligent intelligence Composition of the device, communicate with the smartphone app and TV screen through the wireless signal; the smart device is built in the midd"&amp;"le of the front end of the intelligent yoga cushion, which is used to handle and convey the data collected in the smart yoga mats and send it to the smartphone APP; Infrared sensing device and pressure sensing device are located in the intelligent yoga ma"&amp;"t, monitor and collect the status data of the athletes, transmit these data to the smart device, and transmit it to the smartphone APP through the wireless signal. The image is displayed simultaneously on the TV screen; the battery in the smart device pro"&amp;"vides electrical energy, and the battery is charged through the wireless charger and solar panel.")</f>
        <v>This utility model based on the Internet of Things -based smart teaching, physical fitness yoga pad is composed of intelligent yoga cushions, smart phone APPs and TV screens with built -in teaching systems, and TV screens simultaneously display teaching screens and user sports images; smart yoga mats consist of four layers of structure and intelligent intelligence Composition of the device, communicate with the smartphone app and TV screen through the wireless signal; the smart device is built in the middle of the front end of the intelligent yoga cushion, which is used to handle and convey the data collected in the smart yoga mats and send it to the smartphone APP; Infrared sensing device and pressure sensing device are located in the intelligent yoga mat, monitor and collect the status data of the athletes, transmit these data to the smart device, and transmit it to the smartphone APP through the wireless signal. The image is displayed simultaneously on the TV screen; the battery in the smart device provides electrical energy, and the battery is charged through the wireless charger and solar panel.</v>
      </c>
      <c r="D3301" s="6" t="s">
        <v>9248</v>
      </c>
      <c r="E3301" s="4" t="str">
        <f ca="1">IFERROR(__xludf.DUMMYFUNCTION("GOOGLETRANSLATE(D3301,""auto"",""en"")"),"Intelligent teaching, physical fitness yoga mats based on the Internet of Things")</f>
        <v>Intelligent teaching, physical fitness yoga mats based on the Internet of Things</v>
      </c>
    </row>
    <row r="3302" spans="1:5" ht="15" x14ac:dyDescent="0.25">
      <c r="A3302" s="5" t="s">
        <v>9260</v>
      </c>
      <c r="B3302" s="6" t="s">
        <v>9261</v>
      </c>
      <c r="C3302" s="3" t="str">
        <f ca="1">IFERROR(__xludf.DUMMYFUNCTION("GOOGLETRANSLATE(B3302,""auto"",""en"")"),"The invention disclosed a method of human movement counting based on deep convolutional neural networks. By defining 5 basic human movement types and three key action posture sequences of each type of movement type, different people perform 5 movements an"&amp;"d record these 5 Video sequences of species movement and other types of sports are used as a classifier of 16 categories to perform action recognition training processes based on deep convolutional neural networks. Frames, enter the trained classification"&amp;" model for classification operations, determine the movement posture of the athlete, the type of movement performed by the classification operation results, and the type of movement that belongs to. Exercise recognition and counting allows the exercise to"&amp;" carry out fitness movements without any effort, as well as the problem of standardized school -bearing and eliminating the irregular action count on the recognition process of action videos.")</f>
        <v>The invention disclosed a method of human movement counting based on deep convolutional neural networks. By defining 5 basic human movement types and three key action posture sequences of each type of movement type, different people perform 5 movements and record these 5 Video sequences of species movement and other types of sports are used as a classifier of 16 categories to perform action recognition training processes based on deep convolutional neural networks. Frames, enter the trained classification model for classification operations, determine the movement posture of the athlete, the type of movement performed by the classification operation results, and the type of movement that belongs to. Exercise recognition and counting allows the exercise to carry out fitness movements without any effort, as well as the problem of standardized school -bearing and eliminating the irregular action count on the recognition process of action videos.</v>
      </c>
      <c r="D3302" s="6" t="s">
        <v>9262</v>
      </c>
      <c r="E3302" s="4" t="str">
        <f ca="1">IFERROR(__xludf.DUMMYFUNCTION("GOOGLETRANSLATE(D3302,""auto"",""en"")"),"A method of human movement counting based on deep convolutional neural networks")</f>
        <v>A method of human movement counting based on deep convolutional neural networks</v>
      </c>
    </row>
    <row r="3303" spans="1:5" ht="15" x14ac:dyDescent="0.25">
      <c r="A3303" s="5" t="s">
        <v>9263</v>
      </c>
      <c r="B3303" s="6" t="s">
        <v>9264</v>
      </c>
      <c r="C3303" s="3" t="str">
        <f ca="1">IFERROR(__xludf.DUMMYFUNCTION("GOOGLETRANSLATE(B3303,""auto"",""en"")"),"The embodiment of this article provides a system, method and computer readable medium for providing customized exercise related recommendations. Using machine learning algorithms, you can use a group of users' fitness related information to train the clas"&amp;"sification model. The classification model can be configured to classify the output input data (for example, the fitness related information of specific users). It can identify the recommendations corresponding to classification and provide them to specif"&amp;"ic users. You can track the compliance and user progress provided by the user to determine when the recommendations are effectively brought about by the expected results (for example, the user moves towards the goal). The system can determine when the cla"&amp;"ssification is inaccurate and/or the expected progress data does not provide a real path that users can move towards the target. Therefore, the accuracy/validity of classification, recommendation and progress path may continue to improve over time.")</f>
        <v>The embodiment of this article provides a system, method and computer readable medium for providing customized exercise related recommendations. Using machine learning algorithms, you can use a group of users' fitness related information to train the classification model. The classification model can be configured to classify the output input data (for example, the fitness related information of specific users). It can identify the recommendations corresponding to classification and provide them to specific users. You can track the compliance and user progress provided by the user to determine when the recommendations are effectively brought about by the expected results (for example, the user moves towards the goal). The system can determine when the classification is inaccurate and/or the expected progress data does not provide a real path that users can move towards the target. Therefore, the accuracy/validity of classification, recommendation and progress path may continue to improve over time.</v>
      </c>
      <c r="D3303" s="6" t="s">
        <v>9265</v>
      </c>
      <c r="E3303" s="4" t="str">
        <f ca="1">IFERROR(__xludf.DUMMYFUNCTION("GOOGLETRANSLATE(D3303,""auto"",""en"")"),"Provide customized exercise related suggestions technology")</f>
        <v>Provide customized exercise related suggestions technology</v>
      </c>
    </row>
    <row r="3304" spans="1:5" ht="15" x14ac:dyDescent="0.25">
      <c r="A3304" s="5" t="s">
        <v>9266</v>
      </c>
      <c r="B3304" s="6" t="s">
        <v>9267</v>
      </c>
      <c r="C3304" s="3" t="str">
        <f ca="1">IFERROR(__xludf.DUMMYFUNCTION("GOOGLETRANSLATE(B3304,""auto"",""en"")"),"In the present invention, when the player plays tennis in the virtual tennis simulation method (such as the screen tennis system), even if the virtual opponent players in the video hit the virtual ball under various conditions and conditions of artificial"&amp;" intelligence and others, through the video By corresponding to the ball machine installed on the back of the screen, the sports of the ball correspond to the launch of the ball, and the virtual tennis game combined with the situation in the video with th"&amp;"e real situation will be realized to provide a virtual tennis simulation system and its control method. Improve the attention and interest of players in virtual tennis games.")</f>
        <v>In the present invention, when the player plays tennis in the virtual tennis simulation method (such as the screen tennis system), even if the virtual opponent players in the video hit the virtual ball under various conditions and conditions of artificial intelligence and others, through the video By corresponding to the ball machine installed on the back of the screen, the sports of the ball correspond to the launch of the ball, and the virtual tennis game combined with the situation in the video with the real situation will be realized to provide a virtual tennis simulation system and its control method. Improve the attention and interest of players in virtual tennis games.</v>
      </c>
      <c r="D3304" s="6" t="s">
        <v>8298</v>
      </c>
      <c r="E3304" s="4" t="str">
        <f ca="1">IFERROR(__xludf.DUMMYFUNCTION("GOOGLETRANSLATE(D3304,""auto"",""en"")"),"Virtual tennis simulation system and its control method")</f>
        <v>Virtual tennis simulation system and its control method</v>
      </c>
    </row>
    <row r="3305" spans="1:5" ht="15" x14ac:dyDescent="0.25">
      <c r="A3305" s="5" t="s">
        <v>9268</v>
      </c>
      <c r="B3305" s="6" t="s">
        <v>8300</v>
      </c>
      <c r="C3305" s="3" t="str">
        <f ca="1">IFERROR(__xludf.DUMMYFUNCTION("GOOGLETRANSLATE(B3305,""auto"",""en"")"),"The present invention is to practice tennis or play tennis in various ways, and realize the artificial intelligence of senior virtual opponents that are difficult to achieve by the traditional screen tennis system mentioned above, as well as realistic ral"&amp;"ly. The purpose of the present invention is to provide a method of implementing a virtual tennis simulation tennis artificial intelligence implementation method, and the virtual tennis simulation system and method using this method.")</f>
        <v>The present invention is to practice tennis or play tennis in various ways, and realize the artificial intelligence of senior virtual opponents that are difficult to achieve by the traditional screen tennis system mentioned above, as well as realistic rally. The purpose of the present invention is to provide a method of implementing a virtual tennis simulation tennis artificial intelligence implementation method, and the virtual tennis simulation system and method using this method.</v>
      </c>
      <c r="D3305" s="6" t="s">
        <v>8301</v>
      </c>
      <c r="E3305" s="4" t="str">
        <f ca="1">IFERROR(__xludf.DUMMYFUNCTION("GOOGLETRANSLATE(D3305,""auto"",""en"")"),"An artificial intelligence implementation method for virtual tennis simulation, the virtual tennis simulation system and method of using this method, and the recording medium that can be read by the computing device that records the method")</f>
        <v>An artificial intelligence implementation method for virtual tennis simulation, the virtual tennis simulation system and method of using this method, and the recording medium that can be read by the computing device that records the method</v>
      </c>
    </row>
    <row r="3306" spans="1:5" ht="15" x14ac:dyDescent="0.25">
      <c r="A3306" s="5" t="s">
        <v>9269</v>
      </c>
      <c r="B3306" s="6" t="s">
        <v>9270</v>
      </c>
      <c r="C3306" s="3" t="str">
        <f ca="1">IFERROR(__xludf.DUMMYFUNCTION("GOOGLETRANSLATE(B3306,""auto"",""en"")"),"The implementation plan of this article provides a system, method, and computer readable media that provides customized recommendations. Using machine learning algorithms, you can train the classification model with a group of users' fitness related infor"&amp;"mation. The classification model can be configured to the classification of the output for input data (for example, the fitness related information of specific users). The recommendations corresponding to classification can be identified and provided to s"&amp;"pecific users. The compliance and user progress provided by the user to the user can determine when the recommendation will effectively bring the expected results (for example, the user moves towards the goal). The system can determine when the classifica"&amp;"tion has been inaccurate and/or when the expected progress data has not been provided that the user can be used to move towards the target. Therefore, the accuracy/validity of classification, recommendation and progress path can be continuously improved o"&amp;"ver time.")</f>
        <v>The implementation plan of this article provides a system, method, and computer readable media that provides customized recommendations. Using machine learning algorithms, you can train the classification model with a group of users' fitness related information. The classification model can be configured to the classification of the output for input data (for example, the fitness related information of specific users). The recommendations corresponding to classification can be identified and provided to specific users. The compliance and user progress provided by the user to the user can determine when the recommendation will effectively bring the expected results (for example, the user moves towards the goal). The system can determine when the classification has been inaccurate and/or when the expected progress data has not been provided that the user can be used to move towards the target. Therefore, the accuracy/validity of classification, recommendation and progress path can be continuously improved over time.</v>
      </c>
      <c r="D3306" s="6" t="s">
        <v>9271</v>
      </c>
      <c r="E3306" s="4" t="str">
        <f ca="1">IFERROR(__xludf.DUMMYFUNCTION("GOOGLETRANSLATE(D3306,""auto"",""en"")"),"Used to provide customized technologies related to exercise related recommendations")</f>
        <v>Used to provide customized technologies related to exercise related recommendations</v>
      </c>
    </row>
    <row r="3307" spans="1:5" ht="15" x14ac:dyDescent="0.25">
      <c r="A3307" s="5" t="s">
        <v>9272</v>
      </c>
      <c r="B3307" s="6" t="s">
        <v>9273</v>
      </c>
      <c r="C3307" s="3" t="str">
        <f ca="1">IFERROR(__xludf.DUMMYFUNCTION("GOOGLETRANSLATE(B3307,""auto"",""en"")"),"In the present invention, when the user captures and identifies specific objects or texts with intelligent devices, it can be treated with distributed deep -learning data to induce products to purchase products by exposing advertising by related advertise"&amp;"rs, and can also induce products to purchase. The marketing of the user's purchase of advertisers involves a marketing promotion system and methods based on deep learning based on financial technology, which can pay the reward amount (points) by performin"&amp;"g tasks/promotion.
  In other words, in the present invention, when the user captures and identifies specific objects or texts with smart devices, a variety of information and advertisers related to the identification objects related to identification o"&amp;"bjects based on data processing based on distributed deep learning can be used to enable users The viewpoints can obtain object search information. Advertisers can induce users to buy products through advertising, so as to meet users' acquisition informat"&amp;"ion and advertising effects of advertisers. It aims to provide a running marketing promotion system and method based on running.")</f>
        <v>In the present invention, when the user captures and identifies specific objects or texts with intelligent devices, it can be treated with distributed deep -learning data to induce products to purchase products by exposing advertising by related advertisers, and can also induce products to purchase. The marketing of the user's purchase of advertisers involves a marketing promotion system and methods based on deep learning based on financial technology, which can pay the reward amount (points) by performing tasks/promotion.
  In other words, in the present invention, when the user captures and identifies specific objects or texts with smart devices, a variety of information and advertisers related to the identification objects related to identification objects based on data processing based on distributed deep learning can be used to enable users The viewpoints can obtain object search information. Advertisers can induce users to buy products through advertising, so as to meet users' acquisition information and advertising effects of advertisers. It aims to provide a running marketing promotion system and method based on running.</v>
      </c>
      <c r="D3307" s="6" t="s">
        <v>9274</v>
      </c>
      <c r="E3307" s="4" t="str">
        <f ca="1">IFERROR(__xludf.DUMMYFUNCTION("GOOGLETRANSLATE(D3307,""auto"",""en"")"),"Marketing promotion system and methods based on deep learning with financial technology")</f>
        <v>Marketing promotion system and methods based on deep learning with financial technology</v>
      </c>
    </row>
    <row r="3308" spans="1:5" ht="15" x14ac:dyDescent="0.25">
      <c r="A3308" s="5" t="s">
        <v>9275</v>
      </c>
      <c r="B3308" s="6" t="s">
        <v>9276</v>
      </c>
      <c r="C3308" s="3" t="str">
        <f ca="1">IFERROR(__xludf.DUMMYFUNCTION("GOOGLETRANSLATE(B3308,""auto"",""en"")"),"The present invention disclosed an Internet -based swimming pool water quality online monitoring and control system, including cloud data center server and water quality monitoring instrument. The water quality monitoring instrument is controlled by the P"&amp;"LC central processor and the PLC central processor is set in the swimming pool. Monitor. At the same time, there is a controller in the swimming pool. The controller includes filters, pumps, and heater set in the swimming pool set on the connecting pipe r"&amp;"oad of the swimming pool. The filter, the pump and the solenoid valve are controlled by the electrical connection control of the PLC central processor, the PLC processor is connected to the cloud data center server, and the cloud data center server is con"&amp;"nected to the trading platform terminal, user monitoring terminal and functional department monitoring terminals. View the water quality data of the swimming pool. The present invention can realize the real -time monitoring of the water quality of users, "&amp;"managers and functional departments of users, managers and functional departments, improve the intelligent management level of the swimming pool, and improve the water quality of the swimming pool.")</f>
        <v>The present invention disclosed an Internet -based swimming pool water quality online monitoring and control system, including cloud data center server and water quality monitoring instrument. The water quality monitoring instrument is controlled by the PLC central processor and the PLC central processor is set in the swimming pool. Monitor. At the same time, there is a controller in the swimming pool. The controller includes filters, pumps, and heater set in the swimming pool set on the connecting pipe road of the swimming pool. The filter, the pump and the solenoid valve are controlled by the electrical connection control of the PLC central processor, the PLC processor is connected to the cloud data center server, and the cloud data center server is connected to the trading platform terminal, user monitoring terminal and functional department monitoring terminals. View the water quality data of the swimming pool. The present invention can realize the real -time monitoring of the water quality of users, managers and functional departments of users, managers and functional departments, improve the intelligent management level of the swimming pool, and improve the water quality of the swimming pool.</v>
      </c>
      <c r="D3308" s="6" t="s">
        <v>4806</v>
      </c>
      <c r="E3308" s="4" t="str">
        <f ca="1">IFERROR(__xludf.DUMMYFUNCTION("GOOGLETRANSLATE(D3308,""auto"",""en"")"),"An online monitoring and control system based on the Internet of Things pool water quality")</f>
        <v>An online monitoring and control system based on the Internet of Things pool water quality</v>
      </c>
    </row>
    <row r="3309" spans="1:5" ht="15" x14ac:dyDescent="0.25">
      <c r="A3309" s="5" t="s">
        <v>9277</v>
      </c>
      <c r="B3309" s="6" t="s">
        <v>9278</v>
      </c>
      <c r="C3309" s="3" t="str">
        <f ca="1">IFERROR(__xludf.DUMMYFUNCTION("GOOGLETRANSLATE(B3309,""auto"",""en"")"),"This utility model discloses an online monitoring system based on the Internet of Things swimming pool, including cloud data center server, PLC central processor, and the urea monitor, water temperature monitor, and more than the PLC central processor and"&amp;" set up in the swimming pool, respectively Chlorine monitor, turbidity monitor and pH monitor. The PLC processor is connected to the cloud data center server. The water quality data of the swimming pool is transmitted to the cloud data center server throu"&amp;"gh the PLC processor, and the cloud data center server is connected to a trading platform terminal, user monitoring terminal and functional departments monitoring terminals and can view the water quality of the swimming pool. data. This utility model moni"&amp;"tors the water quality data of the swimming pool in the cloud data center server through the trading platform terminal, user surveillance terminal, and functional departments. The level of management has improved the water quality of the swimming pool.")</f>
        <v>This utility model discloses an online monitoring system based on the Internet of Things swimming pool, including cloud data center server, PLC central processor, and the urea monitor, water temperature monitor, and more than the PLC central processor and set up in the swimming pool, respectively Chlorine monitor, turbidity monitor and pH monitor. The PLC processor is connected to the cloud data center server. The water quality data of the swimming pool is transmitted to the cloud data center server through the PLC processor, and the cloud data center server is connected to a trading platform terminal, user monitoring terminal and functional departments monitoring terminals and can view the water quality of the swimming pool. data. This utility model monitors the water quality data of the swimming pool in the cloud data center server through the trading platform terminal, user surveillance terminal, and functional departments. The level of management has improved the water quality of the swimming pool.</v>
      </c>
      <c r="D3309" s="6" t="s">
        <v>9279</v>
      </c>
      <c r="E3309" s="4" t="str">
        <f ca="1">IFERROR(__xludf.DUMMYFUNCTION("GOOGLETRANSLATE(D3309,""auto"",""en"")"),"An online monitoring system based on the Internet of Things pool water quality")</f>
        <v>An online monitoring system based on the Internet of Things pool water quality</v>
      </c>
    </row>
    <row r="3310" spans="1:5" ht="15" x14ac:dyDescent="0.25">
      <c r="A3310" s="5" t="s">
        <v>9280</v>
      </c>
      <c r="B3310" s="6" t="s">
        <v>9281</v>
      </c>
      <c r="C3310" s="3" t="str">
        <f ca="1">IFERROR(__xludf.DUMMYFUNCTION("GOOGLETRANSLATE(B3310,""auto"",""en"")"),"This utility model discloses an Internet -based swimming pool water quality online monitoring and control system, including cloud data center server and water quality monitoring instrument. The water quality monitoring instrument is controlled by the PLC "&amp;"central processor, and the PLC central processor is set up in the swimming pool Internal monitor. At the same time, there is a controller in the swimming pool. The controller includes filters, pumps, and heater set in the swimming pool set on the connecti"&amp;"ng pipe road of the swimming pool. The filter, the pump and the solenoid valve are controlled by the electrical connection control of the PLC central processor, the PLC processor is connected to the cloud data center server, and the cloud data center serv"&amp;"er is connected to the trading platform terminal, user monitoring terminal and functional department monitoring terminals. View the water quality data of the swimming pool. This utility model can realize real -time monitoring of the water quality of the s"&amp;"wimming pool by users, managers and functional departments, which improves the intelligent management level of the swimming pool and improves the water quality of the swimming pool.")</f>
        <v>This utility model discloses an Internet -based swimming pool water quality online monitoring and control system, including cloud data center server and water quality monitoring instrument. The water quality monitoring instrument is controlled by the PLC central processor, and the PLC central processor is set up in the swimming pool Internal monitor. At the same time, there is a controller in the swimming pool. The controller includes filters, pumps, and heater set in the swimming pool set on the connecting pipe road of the swimming pool. The filter, the pump and the solenoid valve are controlled by the electrical connection control of the PLC central processor, the PLC processor is connected to the cloud data center server, and the cloud data center server is connected to the trading platform terminal, user monitoring terminal and functional department monitoring terminals. View the water quality data of the swimming pool. This utility model can realize real -time monitoring of the water quality of the swimming pool by users, managers and functional departments, which improves the intelligent management level of the swimming pool and improves the water quality of the swimming pool.</v>
      </c>
      <c r="D3310" s="6" t="s">
        <v>4806</v>
      </c>
      <c r="E3310" s="4" t="str">
        <f ca="1">IFERROR(__xludf.DUMMYFUNCTION("GOOGLETRANSLATE(D3310,""auto"",""en"")"),"An online monitoring and control system based on the Internet of Things pool water quality")</f>
        <v>An online monitoring and control system based on the Internet of Things pool water quality</v>
      </c>
    </row>
    <row r="3311" spans="1:5" ht="15" x14ac:dyDescent="0.25">
      <c r="A3311" s="5" t="s">
        <v>9282</v>
      </c>
      <c r="B3311" s="6" t="s">
        <v>9283</v>
      </c>
      <c r="C3311" s="3" t="str">
        <f ca="1">IFERROR(__xludf.DUMMYFUNCTION("GOOGLETRANSLATE(B3311,""auto"",""en"")"),"The machine learning (ML) system includes a student ML system, a learning coach ML system, and a reference system for generating training data for the student ML system. Learning the coach ML system Trains the ML system based on the training data generate"&amp;"d by the reference system, and enhance the student ML system or their learning process, such as updating the super -reasser or network structure change. The system can also include learning experimental systems, which and the reference system communicatio"&amp;"n to experiment with the learning system of student learning systems. In addition, the learning experiment system can determine the cost function of learning coach ML system.")</f>
        <v>The machine learning (ML) system includes a student ML system, a learning coach ML system, and a reference system for generating training data for the student ML system. Learning the coach ML system Trains the ML system based on the training data generated by the reference system, and enhance the student ML system or their learning process, such as updating the super -reasser or network structure change. The system can also include learning experimental systems, which and the reference system communication to experiment with the learning system of student learning systems. In addition, the learning experiment system can determine the cost function of learning coach ML system.</v>
      </c>
      <c r="D3311" s="6" t="s">
        <v>3435</v>
      </c>
      <c r="E3311" s="4" t="str">
        <f ca="1">IFERROR(__xludf.DUMMYFUNCTION("GOOGLETRANSLATE(D3311,""auto"",""en"")"),"Learning coach of machine learning system")</f>
        <v>Learning coach of machine learning system</v>
      </c>
    </row>
    <row r="3312" spans="1:5" ht="15" x14ac:dyDescent="0.25">
      <c r="A3312" s="5" t="s">
        <v>9284</v>
      </c>
      <c r="B3312" s="6" t="s">
        <v>9285</v>
      </c>
      <c r="C3312" s="3" t="str">
        <f ca="1">IFERROR(__xludf.DUMMYFUNCTION("GOOGLETRANSLATE(B3312,""auto"",""en"")"),"This utility model opens up a university sports education indoor fitness device, including the box, the bottom plate and the protective shell. The bottom of the bottom plate is installed with a universal wheel. The surface of the bottom plate is installed"&amp;". There is a console on one side of the handrail rod on the side of the handrail, which is installed with a voice recognition module inside the console on one side of the speaker, which is installed with a processor inside the console on the side of the m"&amp;"emory. There is a running belt between the boxes, which is installed with a protective shell on one side of the box, a power distribution box installed inside There is a transmission installed inside the protective shell on the side of the motor. This uti"&amp;"lity model has a series of structures to make this device has the advantages of mobile, high safety, and voice adjustment in the use process, and optimize the use process.")</f>
        <v>This utility model opens up a university sports education indoor fitness device, including the box, the bottom plate and the protective shell. The bottom of the bottom plate is installed with a universal wheel. The surface of the bottom plate is installed. There is a console on one side of the handrail rod on the side of the handrail, which is installed with a voice recognition module inside the console on one side of the speaker, which is installed with a processor inside the console on the side of the memory. There is a running belt between the boxes, which is installed with a protective shell on one side of the box, a power distribution box installed inside There is a transmission installed inside the protective shell on the side of the motor. This utility model has a series of structures to make this device has the advantages of mobile, high safety, and voice adjustment in the use process, and optimize the use process.</v>
      </c>
      <c r="D3312" s="6" t="s">
        <v>9286</v>
      </c>
      <c r="E3312" s="4" t="str">
        <f ca="1">IFERROR(__xludf.DUMMYFUNCTION("GOOGLETRANSLATE(D3312,""auto"",""en"")"),"A kind of university sports education room fitness device")</f>
        <v>A kind of university sports education room fitness device</v>
      </c>
    </row>
    <row r="3313" spans="1:5" ht="15" x14ac:dyDescent="0.25">
      <c r="A3313" s="5" t="s">
        <v>9287</v>
      </c>
      <c r="B3313" s="6" t="s">
        <v>9288</v>
      </c>
      <c r="C3313" s="3" t="str">
        <f ca="1">IFERROR(__xludf.DUMMYFUNCTION("GOOGLETRANSLATE(B3313,""auto"",""en"")"),"Provide a device that provides users in the field of IoT (the Internet of Things) that allows users to go to the stadium to watch baseball games. The playback result predicting system is a system that allows the audience of baseball games to predict the a"&amp;"ctual hitting results of baseball players. The display device shows the player information about the hitter currently standing in the hit area and the pitcher information about the pitcher who is currently standing on the pitcher. Accepting the device to "&amp;"accept the audience's prediction of the hitter's hitter. The judgment device determines whether the prediction is correct based on the actual hitter of the player. Based on the results of the determination, the number of issuers to the expected correct an"&amp;"swer is equal to or the best performance of the best value of the predetermined value.")</f>
        <v>Provide a device that provides users in the field of IoT (the Internet of Things) that allows users to go to the stadium to watch baseball games. The playback result predicting system is a system that allows the audience of baseball games to predict the actual hitting results of baseball players. The display device shows the player information about the hitter currently standing in the hit area and the pitcher information about the pitcher who is currently standing on the pitcher. Accepting the device to accept the audience's prediction of the hitter's hitter. The judgment device determines whether the prediction is correct based on the actual hitter of the player. Based on the results of the determination, the number of issuers to the expected correct answer is equal to or the best performance of the best value of the predetermined value.</v>
      </c>
      <c r="D3313" s="6" t="s">
        <v>9289</v>
      </c>
      <c r="E3313" s="4" t="str">
        <f ca="1">IFERROR(__xludf.DUMMYFUNCTION("GOOGLETRANSLATE(D3313,""auto"",""en"")"),"Fighting results prediction system, playback results prediction method and program")</f>
        <v>Fighting results prediction system, playback results prediction method and program</v>
      </c>
    </row>
    <row r="3314" spans="1:5" ht="15" x14ac:dyDescent="0.25">
      <c r="A3314" s="5" t="s">
        <v>9290</v>
      </c>
      <c r="B3314" s="6" t="s">
        <v>9291</v>
      </c>
      <c r="C3314" s="3" t="str">
        <f ca="1">IFERROR(__xludf.DUMMYFUNCTION("GOOGLETRANSLATE(B3314,""auto"",""en"")"),"The machine learning (ML) system includes a student ML system, a learning coach ML system, and a reference system for generating training data for the student ML system. Learning the training data generated by the coach ML system based on the training dat"&amp;"a generated by the reference system to train the student ML system, and learn to enhance the student ML system or its learning process, such as updated super -reassess or network structure changes. The system can also include a learning experimental syste"&amp;"m for experimenting with the reference system to experiment with the learning system. In addition, the learning experiment system can determine the cost function of learning coach ML system.")</f>
        <v>The machine learning (ML) system includes a student ML system, a learning coach ML system, and a reference system for generating training data for the student ML system. Learning the training data generated by the coach ML system based on the training data generated by the reference system to train the student ML system, and learn to enhance the student ML system or its learning process, such as updated super -reassess or network structure changes. The system can also include a learning experimental system for experimenting with the reference system to experiment with the learning system. In addition, the learning experiment system can determine the cost function of learning coach ML system.</v>
      </c>
      <c r="D3314" s="6" t="s">
        <v>3435</v>
      </c>
      <c r="E3314" s="4" t="str">
        <f ca="1">IFERROR(__xludf.DUMMYFUNCTION("GOOGLETRANSLATE(D3314,""auto"",""en"")"),"Learning coach of machine learning system")</f>
        <v>Learning coach of machine learning system</v>
      </c>
    </row>
    <row r="3315" spans="1:5" ht="15" x14ac:dyDescent="0.25">
      <c r="A3315" s="5" t="s">
        <v>9292</v>
      </c>
      <c r="B3315" s="6" t="s">
        <v>9283</v>
      </c>
      <c r="C3315" s="3" t="str">
        <f ca="1">IFERROR(__xludf.DUMMYFUNCTION("GOOGLETRANSLATE(B3315,""auto"",""en"")"),"The machine learning (ML) system includes a student ML system, a learning coach ML system, and a reference system for generating training data for the student ML system. Learning the coach ML system Trains the ML system based on the training data generate"&amp;"d by the reference system, and enhance the student ML system or their learning process, such as updating the super -reasser or network structure change. The system can also include learning experimental systems, which and the reference system communicatio"&amp;"n to experiment with the learning system of student learning systems. In addition, the learning experiment system can determine the cost function of learning coach ML system.")</f>
        <v>The machine learning (ML) system includes a student ML system, a learning coach ML system, and a reference system for generating training data for the student ML system. Learning the coach ML system Trains the ML system based on the training data generated by the reference system, and enhance the student ML system or their learning process, such as updating the super -reasser or network structure change. The system can also include learning experimental systems, which and the reference system communication to experiment with the learning system of student learning systems. In addition, the learning experiment system can determine the cost function of learning coach ML system.</v>
      </c>
      <c r="D3315" s="6" t="s">
        <v>3435</v>
      </c>
      <c r="E3315" s="4" t="str">
        <f ca="1">IFERROR(__xludf.DUMMYFUNCTION("GOOGLETRANSLATE(D3315,""auto"",""en"")"),"Learning coach of machine learning system")</f>
        <v>Learning coach of machine learning system</v>
      </c>
    </row>
    <row r="3316" spans="1:5" ht="15" x14ac:dyDescent="0.25">
      <c r="A3316" s="5" t="s">
        <v>9293</v>
      </c>
      <c r="B3316" s="6" t="s">
        <v>9294</v>
      </c>
      <c r="C3316" s="3" t="str">
        <f ca="1">IFERROR(__xludf.DUMMYFUNCTION("GOOGLETRANSLATE(B3316,""auto"",""en"")"),"Design a design method of ""E-Heart Fitness Belt"" shown in Figure 1. In Figure 2 below, the rear view of the E-Heart fitness bracelet is designed. The hand ring is composed of 5 different types of sensors, which can record the health parameters of the us"&amp;"er of the user. The health parameters of these 5 sensors are provided to mobile applications. The data collected by these sensors are stored in the cloud and analyzed by applying machine learning algorithms. Users who wear this E-Heart fitness bracelet wi"&amp;"ll receive notifications and reminders when they are abnormal. Doctors and family members associated with fitness bracelet users will also receive notifications. Users can remind doctors and family by pressing the SOS button designed by the bracelet.")</f>
        <v>Design a design method of "E-Heart Fitness Belt" shown in Figure 1. In Figure 2 below, the rear view of the E-Heart fitness bracelet is designed. The hand ring is composed of 5 different types of sensors, which can record the health parameters of the user of the user. The health parameters of these 5 sensors are provided to mobile applications. The data collected by these sensors are stored in the cloud and analyzed by applying machine learning algorithms. Users who wear this E-Heart fitness bracelet will receive notifications and reminders when they are abnormal. Doctors and family members associated with fitness bracelet users will also receive notifications. Users can remind doctors and family by pressing the SOS button designed by the bracelet.</v>
      </c>
      <c r="D3316" s="6" t="s">
        <v>9295</v>
      </c>
      <c r="E3316" s="4" t="str">
        <f ca="1">IFERROR(__xludf.DUMMYFUNCTION("GOOGLETRANSLATE(D3316,""auto"",""en"")"),"e-heart (fitness band)")</f>
        <v>e-heart (fitness band)</v>
      </c>
    </row>
    <row r="3317" spans="1:5" ht="15" x14ac:dyDescent="0.25">
      <c r="A3317" s="5" t="s">
        <v>9296</v>
      </c>
      <c r="B3317" s="6" t="s">
        <v>9297</v>
      </c>
      <c r="C3317" s="3" t="str">
        <f ca="1">IFERROR(__xludf.DUMMYFUNCTION("GOOGLETRANSLATE(B3317,""auto"",""en"")"),"The present invention involves big data and pigeon racing fields, providing a pigeon -pigeon Internet of Things intelligent management system, including cloud management systems running on cloud servers and smart terminal systems running on smart terminal"&amp;"s. Cloud servers and smart terminals are connected through the Internet. Among them, the cloud management system includes user management modules, pigeon file management modules and event management modules; and smart terminal systems include member regis"&amp;"tration modules, pigeons file establishment modules and real -time event modules. The invention uses smartphones or personal computers as the smart terminal of the Internet of Things. The software platform installed in the mobile phone is used to upload t"&amp;"he data to the cloud server through the main board of the pedal of the loft through the network through the network, so as to determine the real -time real -time pigeons returning to the nest. Time and latitude and latitude, avoid the emergence of regulat"&amp;"ory blank areas, and eliminate the public's questioning of the results of pigeon competitions.")</f>
        <v>The present invention involves big data and pigeon racing fields, providing a pigeon -pigeon Internet of Things intelligent management system, including cloud management systems running on cloud servers and smart terminal systems running on smart terminals. Cloud servers and smart terminals are connected through the Internet. Among them, the cloud management system includes user management modules, pigeon file management modules and event management modules; and smart terminal systems include member registration modules, pigeons file establishment modules and real -time event modules. The invention uses smartphones or personal computers as the smart terminal of the Internet of Things. The software platform installed in the mobile phone is used to upload the data to the cloud server through the main board of the pedal of the loft through the network through the network, so as to determine the real -time real -time pigeons returning to the nest. Time and latitude and latitude, avoid the emergence of regulatory blank areas, and eliminate the public's questioning of the results of pigeon competitions.</v>
      </c>
      <c r="D3317" s="6" t="s">
        <v>9298</v>
      </c>
      <c r="E3317" s="4" t="str">
        <f ca="1">IFERROR(__xludf.DUMMYFUNCTION("GOOGLETRANSLATE(D3317,""auto"",""en"")"),"Pigeon Materials IoT Intelligent Management System")</f>
        <v>Pigeon Materials IoT Intelligent Management System</v>
      </c>
    </row>
    <row r="3318" spans="1:5" ht="15" x14ac:dyDescent="0.25">
      <c r="A3318" s="5" t="s">
        <v>9299</v>
      </c>
      <c r="B3318" s="6" t="s">
        <v>9300</v>
      </c>
      <c r="C3318" s="3" t="str">
        <f ca="1">IFERROR(__xludf.DUMMYFUNCTION("GOOGLETRANSLATE(B3318,""auto"",""en"")"),"This application provides an unattended shared gym management system, including: the self -help access control system to control the opening and closure of the gym door -proof gates; the curriculum reservation system is used for online reservation fitness"&amp;" courses, and assisting fitness users' self -service passing Access control gates; IoT equipment control system, which is used to control the Internet of Things equipment in the gym according to the needs of the curriculum; the VR course broadcast system "&amp;"is used to synthesize and output virtual scenes and live signals according to the fitness courses of appointments; the course The interactive system is used to issue control instructions to the Internet of Things equipment control system to regulate the I"&amp;"nternet of Things equipment in the gym; back -end management system, and the self -help access control system, curriculum appointment system, IoT equipment control system, VR courses The broadcast system and the curriculum interaction system are connected"&amp;" to transfer instructions between the above systems and initialize the above system.")</f>
        <v>This application provides an unattended shared gym management system, including: the self -help access control system to control the opening and closure of the gym door -proof gates; the curriculum reservation system is used for online reservation fitness courses, and assisting fitness users' self -service passing Access control gates; IoT equipment control system, which is used to control the Internet of Things equipment in the gym according to the needs of the curriculum; the VR course broadcast system is used to synthesize and output virtual scenes and live signals according to the fitness courses of appointments; the course The interactive system is used to issue control instructions to the Internet of Things equipment control system to regulate the Internet of Things equipment in the gym; back -end management system, and the self -help access control system, curriculum appointment system, IoT equipment control system, VR courses The broadcast system and the curriculum interaction system are connected to transfer instructions between the above systems and initialize the above system.</v>
      </c>
      <c r="D3318" s="6" t="s">
        <v>9301</v>
      </c>
      <c r="E3318" s="4" t="str">
        <f ca="1">IFERROR(__xludf.DUMMYFUNCTION("GOOGLETRANSLATE(D3318,""auto"",""en"")"),"No one is on duty sharing gym management system")</f>
        <v>No one is on duty sharing gym management system</v>
      </c>
    </row>
    <row r="3319" spans="1:5" ht="15" x14ac:dyDescent="0.25">
      <c r="A3319" s="5" t="s">
        <v>9302</v>
      </c>
      <c r="B3319" s="6" t="s">
        <v>9303</v>
      </c>
      <c r="C3319" s="3" t="str">
        <f ca="1">IFERROR(__xludf.DUMMYFUNCTION("GOOGLETRANSLATE(B3319,""auto"",""en"")"),"This openness involves a multi -angle video platform running on the network and mobile devices, which allows users to play multiple videos at the same time with the same experience. Combined with real -time video technology, metadata analysis and machine "&amp;"learning, the technology, systems and methods disclosed in this article can easily synchronize videos of multiple events, such as music festivals, rally, sports or music, so that users have the opportunity not only to watch, but also participate in partic"&amp;"ipating Video experience, switching video angle or audio source, or eventually adding your own video or audio to the multi -angle experience. The systems and methods disclosed in this article can promote synchronous live live and/or non -live broadcast vi"&amp;"deos, as well as videos that directly contribute to mobile or computer hosting applications, and videos published on external APIs. Multi -angle video, whether it is on -site or non -scene, can be played on applications or websites that move or computer h"&amp;"osting.")</f>
        <v>This openness involves a multi -angle video platform running on the network and mobile devices, which allows users to play multiple videos at the same time with the same experience. Combined with real -time video technology, metadata analysis and machine learning, the technology, systems and methods disclosed in this article can easily synchronize videos of multiple events, such as music festivals, rally, sports or music, so that users have the opportunity not only to watch, but also participate in participating Video experience, switching video angle or audio source, or eventually adding your own video or audio to the multi -angle experience. The systems and methods disclosed in this article can promote synchronous live live and/or non -live broadcast videos, as well as videos that directly contribute to mobile or computer hosting applications, and videos published on external APIs. Multi -angle video, whether it is on -site or non -scene, can be played on applications or websites that move or computer hosting.</v>
      </c>
      <c r="D3319" s="6" t="s">
        <v>9304</v>
      </c>
      <c r="E3319" s="4" t="str">
        <f ca="1">IFERROR(__xludf.DUMMYFUNCTION("GOOGLETRANSLATE(D3319,""auto"",""en"")"),"Multi -angle video synchronization and multi -angle video interface")</f>
        <v>Multi -angle video synchronization and multi -angle video interface</v>
      </c>
    </row>
    <row r="3320" spans="1:5" ht="15" x14ac:dyDescent="0.25">
      <c r="A3320" s="5" t="s">
        <v>9305</v>
      </c>
      <c r="B3320" s="6" t="s">
        <v>518</v>
      </c>
      <c r="C3320" s="3" t="str">
        <f ca="1">IFERROR(__xludf.DUMMYFUNCTION("GOOGLETRANSLATE(B3320,""auto"",""en"")"),"-")</f>
        <v>-</v>
      </c>
      <c r="D3320" s="6" t="s">
        <v>9306</v>
      </c>
      <c r="E3320" s="4" t="str">
        <f ca="1">IFERROR(__xludf.DUMMYFUNCTION("GOOGLETRANSLATE(D3320,""auto"",""en"")"),"Artificial intelligence algorithm and process, simulate private coaches to create custom exercise")</f>
        <v>Artificial intelligence algorithm and process, simulate private coaches to create custom exercise</v>
      </c>
    </row>
    <row r="3321" spans="1:5" ht="15" x14ac:dyDescent="0.25">
      <c r="A3321" s="5" t="s">
        <v>9307</v>
      </c>
      <c r="B3321" s="6" t="s">
        <v>9308</v>
      </c>
      <c r="C3321" s="3" t="str">
        <f ca="1">IFERROR(__xludf.DUMMYFUNCTION("GOOGLETRANSLATE(B3321,""auto"",""en"")"),"A voice signal recognition motion scoring system includes on -site equipment that includes audio input. The audio input uses a wireless transmitter to receive voice signals and transmits the voice signal wirelessly to off -site equipment included. Oversea"&amp;"s devices include a mode of automatic voice recognition (ASR) decoder and configuration of an automatic voice recognition (ASR) decoder and configured as a scoring controller based on one or more voice signals from the signal command dictionary. Essence O"&amp;"r more voice signals classified by ASR decoder and game process decision tree. The current node position of the game process decision tree can be used to enhance the classification accuracy of ASR decoder.")</f>
        <v>A voice signal recognition motion scoring system includes on -site equipment that includes audio input. The audio input uses a wireless transmitter to receive voice signals and transmits the voice signal wirelessly to off -site equipment included. Overseas devices include a mode of automatic voice recognition (ASR) decoder and configuration of an automatic voice recognition (ASR) decoder and configured as a scoring controller based on one or more voice signals from the signal command dictionary. Essence Or more voice signals classified by ASR decoder and game process decision tree. The current node position of the game process decision tree can be used to enhance the classification accuracy of ASR decoder.</v>
      </c>
      <c r="D3321" s="6" t="s">
        <v>9309</v>
      </c>
      <c r="E3321" s="4" t="str">
        <f ca="1">IFERROR(__xludf.DUMMYFUNCTION("GOOGLETRANSLATE(D3321,""auto"",""en"")"),"A voice signal recognition sports competition scoring system")</f>
        <v>A voice signal recognition sports competition scoring system</v>
      </c>
    </row>
    <row r="3322" spans="1:5" ht="15" x14ac:dyDescent="0.25">
      <c r="A3322" s="5" t="s">
        <v>9310</v>
      </c>
      <c r="B3322" s="6" t="s">
        <v>9311</v>
      </c>
      <c r="C3322" s="3" t="str">
        <f ca="1">IFERROR(__xludf.DUMMYFUNCTION("GOOGLETRANSLATE(B3322,""auto"",""en"")"),"The method and control device of drone control signals and control device technology are involved in the production method and control device in the field of control device technology. A method that uses user gestures to generate drone control signals, in"&amp;"cluding: obtaining images taken during flying through multiple actions; identifying users' gestures to watch images; Through learning models, when users make gestures they learn, they generate control signals corresponding to the drone motion correspondin"&amp;"g to the gesture. As mentioned above, according to an embodiment of the present invention, unlike the collective operation of the traditional use of drones, users can operate according to the type, physical condition, and preferences of the sensor owned b"&amp;"y the user to actively control the drone of the drone. gesture. In other words, using the embodiment of the present invention, even if the user of the sensor of a specific part of the motion that can detect the body that can detect the body or the user of"&amp;" a part of the physical part of the body You can control your drone.")</f>
        <v>The method and control device of drone control signals and control device technology are involved in the production method and control device in the field of control device technology. A method that uses user gestures to generate drone control signals, including: obtaining images taken during flying through multiple actions; identifying users' gestures to watch images; Through learning models, when users make gestures they learn, they generate control signals corresponding to the drone motion corresponding to the gesture. As mentioned above, according to an embodiment of the present invention, unlike the collective operation of the traditional use of drones, users can operate according to the type, physical condition, and preferences of the sensor owned by the user to actively control the drone of the drone. gesture. In other words, using the embodiment of the present invention, even if the user of the sensor of a specific part of the motion that can detect the body that can detect the body or the user of a part of the physical part of the body You can control your drone.</v>
      </c>
      <c r="D3322" s="6" t="s">
        <v>9312</v>
      </c>
      <c r="E3322" s="4" t="str">
        <f ca="1">IFERROR(__xludf.DUMMYFUNCTION("GOOGLETRANSLATE(D3322,""auto"",""en"")"),"Method and control device of drone control signals")</f>
        <v>Method and control device of drone control signals</v>
      </c>
    </row>
    <row r="3323" spans="1:5" ht="15" x14ac:dyDescent="0.25">
      <c r="A3323" s="5" t="s">
        <v>9313</v>
      </c>
      <c r="B3323" s="6" t="s">
        <v>9314</v>
      </c>
      <c r="C3323" s="3" t="str">
        <f ca="1">IFERROR(__xludf.DUMMYFUNCTION("GOOGLETRANSLATE(B3323,""auto"",""en"")"),"The present invention discloses a method of sports video collection based on deep learning. The method includes: split the video source to be treated as a series of video blocks and mark the serial number of each video block in order; for each video Block"&amp;", based on training deep learning VGG16 networks to score, this score is 0‑1, of which the score score is proportional to the exciting degree of the video; after the scoring The video block score is to establish the coordinate system for the vertical axis"&amp;", and the series of video blocks are bid in the coordinate system and connect to form a curve. In the coordinate system, obtain all the waves in the curve of all the waves in the curve and obtain the corresponding video block serial number to form a compo"&amp;"sition Video block serial number group; based on the obtained video block serial group, the video block corresponding to the serial number group in the video block group forms a continuous video to generate a wonderful video of the video; the technical ef"&amp;"fect of automatically editing the video and high editing efficiency is achieved.")</f>
        <v>The present invention discloses a method of sports video collection based on deep learning. The method includes: split the video source to be treated as a series of video blocks and mark the serial number of each video block in order; for each video Block, based on training deep learning VGG16 networks to score, this score is 0‑1, of which the score score is proportional to the exciting degree of the video; after the scoring The video block score is to establish the coordinate system for the vertical axis, and the series of video blocks are bid in the coordinate system and connect to form a curve. In the coordinate system, obtain all the waves in the curve of all the waves in the curve and obtain the corresponding video block serial number to form a composition Video block serial number group; based on the obtained video block serial group, the video block corresponding to the serial number group in the video block group forms a continuous video to generate a wonderful video of the video; the technical effect of automatically editing the video and high editing efficiency is achieved.</v>
      </c>
      <c r="D3323" s="6" t="s">
        <v>9315</v>
      </c>
      <c r="E3323" s="4" t="str">
        <f ca="1">IFERROR(__xludf.DUMMYFUNCTION("GOOGLETRANSLATE(D3323,""auto"",""en"")"),"A method of sports video collection based on deep learning")</f>
        <v>A method of sports video collection based on deep learning</v>
      </c>
    </row>
    <row r="3324" spans="1:5" ht="15" x14ac:dyDescent="0.25">
      <c r="A3324" s="5" t="s">
        <v>9316</v>
      </c>
      <c r="B3324" s="6" t="s">
        <v>9317</v>
      </c>
      <c r="C3324" s="3" t="str">
        <f ca="1">IFERROR(__xludf.DUMMYFUNCTION("GOOGLETRANSLATE(B3324,""auto"",""en"")"),"This utility model discloses a automatic badminton recycling device based on machine vision, which belongs to the field of intelligent robotics. This device includes a frame, a pair of winged baffle, a bristles cycle module, a semi -closed funnel and coll"&amp;"ecting module; the framework has three wheels on the frame, and the wings are on both sides of the front of the two front wheels, respectively. The module is automatically circulated inside the frame, and the badminton collected by the wings baffle is swe"&amp;"pt to the brush circulation module. After the circulation to the highest point, use the brush to the semi -closed funnel. The position connected to the brush circulation module is left with a opening; the semi -closed funnel is just below the collection d"&amp;"evice. The badminton landed vertically by the semi -closed funnel to the collection device. This utility model is highly intelligent, simple operation, which not only improves the efficiency of picking up the ball, but also protects the badminton that wil"&amp;"l not be pressed by the wheel to cause damage, which can effectively reduce the cost of labor.")</f>
        <v>This utility model discloses a automatic badminton recycling device based on machine vision, which belongs to the field of intelligent robotics. This device includes a frame, a pair of winged baffle, a bristles cycle module, a semi -closed funnel and collecting module; the framework has three wheels on the frame, and the wings are on both sides of the front of the two front wheels, respectively. The module is automatically circulated inside the frame, and the badminton collected by the wings baffle is swept to the brush circulation module. After the circulation to the highest point, use the brush to the semi -closed funnel. The position connected to the brush circulation module is left with a opening; the semi -closed funnel is just below the collection device. The badminton landed vertically by the semi -closed funnel to the collection device. This utility model is highly intelligent, simple operation, which not only improves the efficiency of picking up the ball, but also protects the badminton that will not be pressed by the wheel to cause damage, which can effectively reduce the cost of labor.</v>
      </c>
      <c r="D3324" s="6" t="s">
        <v>9318</v>
      </c>
      <c r="E3324" s="4" t="str">
        <f ca="1">IFERROR(__xludf.DUMMYFUNCTION("GOOGLETRANSLATE(D3324,""auto"",""en"")"),"An automatic recycling device based on machine vision")</f>
        <v>An automatic recycling device based on machine vision</v>
      </c>
    </row>
    <row r="3325" spans="1:5" ht="15" x14ac:dyDescent="0.25">
      <c r="A3325" s="5" t="s">
        <v>9319</v>
      </c>
      <c r="B3325" s="6" t="s">
        <v>9320</v>
      </c>
      <c r="C3325" s="3" t="str">
        <f ca="1">IFERROR(__xludf.DUMMYFUNCTION("GOOGLETRANSLATE(B3325,""auto"",""en"")"),"A method based on image recognition remote distance measurement method is a sporting product technology field. It is characterized by: including the jump blanket (3) and the spacing mechanism (1), set up a controller and a shooting module controlled by th"&amp;"e controller in the ranging mechanism (1), as well as the following steps: step 1001, shoot the original picture ; Step 1002, blackened the original picture; step 1003, see perspective transformation and pixelization of the original picture; step 1004, te"&amp;"st start; step 1005, take secondary images; step 1006, blackened secondary pictures Treatment; step 1007, see the perspective and pixelization of the secondary picture; step 1008, perform pixel comparison; step 1009, get a long -distance jump. This is bas"&amp;"ed on image recognition. The long -distance jumping measurement method, through image recognition to confirm the long -term jumping results, measures accuracy and avoids waste of personnel and has a low cost.")</f>
        <v>A method based on image recognition remote distance measurement method is a sporting product technology field. It is characterized by: including the jump blanket (3) and the spacing mechanism (1), set up a controller and a shooting module controlled by the controller in the ranging mechanism (1), as well as the following steps: step 1001, shoot the original picture ; Step 1002, blackened the original picture; step 1003, see perspective transformation and pixelization of the original picture; step 1004, test start; step 1005, take secondary images; step 1006, blackened secondary pictures Treatment; step 1007, see the perspective and pixelization of the secondary picture; step 1008, perform pixel comparison; step 1009, get a long -distance jump. This is based on image recognition. The long -distance jumping measurement method, through image recognition to confirm the long -term jumping results, measures accuracy and avoids waste of personnel and has a low cost.</v>
      </c>
      <c r="D3325" s="6" t="s">
        <v>9321</v>
      </c>
      <c r="E3325" s="4" t="str">
        <f ca="1">IFERROR(__xludf.DUMMYFUNCTION("GOOGLETRANSLATE(D3325,""auto"",""en"")"),"A method of standing long distance measurement based on image recognition")</f>
        <v>A method of standing long distance measurement based on image recognition</v>
      </c>
    </row>
    <row r="3326" spans="1:5" ht="15" x14ac:dyDescent="0.25">
      <c r="A3326" s="5" t="s">
        <v>9322</v>
      </c>
      <c r="B3326" s="6" t="s">
        <v>9323</v>
      </c>
      <c r="C3326" s="3" t="str">
        <f ca="1">IFERROR(__xludf.DUMMYFUNCTION("GOOGLETRANSLATE(B3326,""auto"",""en"")"),"This utility model belongs to the field of fitness equipment technology, which involves a fitness long -distance running assistant. The technical problem to be solved by this practical new model is to propose a fitness long -distance runner to solve the p"&amp;"roblem of no speed reference objects. In order to solve the above technical problems, this practical new type proposes such a fitness long -distance running assistant, including the body and human -computer interaction equipment, which include control mod"&amp;"ules, diameter search modules, wireless communication modules, sports mechanisms, body and wheels, control, control, control, control, control, control, control, control, control Both the module and the wireless communication module are installed inside t"&amp;"he body, respectively, and the diameter find module is installed in front of the body; the control module is connected to the diameter find module and the motion mechanism, and communicates with human -machine interaction equipment through the wireless co"&amp;"mmunication module. This utility model has the effect of helping users to control the amount and time of exercise and time.")</f>
        <v>This utility model belongs to the field of fitness equipment technology, which involves a fitness long -distance running assistant. The technical problem to be solved by this practical new model is to propose a fitness long -distance runner to solve the problem of no speed reference objects. In order to solve the above technical problems, this practical new type proposes such a fitness long -distance running assistant, including the body and human -computer interaction equipment, which include control modules, diameter search modules, wireless communication modules, sports mechanisms, body and wheels, control, control, control, control, control, control, control, control, control Both the module and the wireless communication module are installed inside the body, respectively, and the diameter find module is installed in front of the body; the control module is connected to the diameter find module and the motion mechanism, and communicates with human -machine interaction equipment through the wireless communication module. This utility model has the effect of helping users to control the amount and time of exercise and time.</v>
      </c>
      <c r="D3326" s="6" t="s">
        <v>9324</v>
      </c>
      <c r="E3326" s="4" t="str">
        <f ca="1">IFERROR(__xludf.DUMMYFUNCTION("GOOGLETRANSLATE(D3326,""auto"",""en"")"),"A fitness long -distance running assistant")</f>
        <v>A fitness long -distance running assistant</v>
      </c>
    </row>
    <row r="3327" spans="1:5" ht="15" x14ac:dyDescent="0.25">
      <c r="A3327" s="5" t="s">
        <v>9325</v>
      </c>
      <c r="B3327" s="6" t="s">
        <v>9326</v>
      </c>
      <c r="C3327" s="3" t="str">
        <f ca="1">IFERROR(__xludf.DUMMYFUNCTION("GOOGLETRANSLATE(B3327,""auto"",""en"")"),"A multi -angle live broadcast system and switching method based on scene switching based on scene switching are the field of computer vision and processing; this device includes image collection end, base station side and user end; ; This method includes "&amp;"multiple perspective adjustment data for multiple image acquisition devices corresponding to multiple targets; retrieve the corresponding scenario switching data according to the switching instruction, and the switching instruction includes location switc"&amp;"hing instructions and/or target switching instructions, switching instructions carry video frames Time information, image collection equipment logo and/or target logo; send the image sequence according to the scene switch data; the present invention allow"&amp;"s users to quickly lock the target you want to watch during the live broadcast, without the need to slide the screen or the user's own itself itself Rotate to find the watch target, watch the wonderful moment from different angles, and improve the user's "&amp;"sense of experience.")</f>
        <v>A multi -angle live broadcast system and switching method based on scene switching based on scene switching are the field of computer vision and processing; this device includes image collection end, base station side and user end; ; This method includes multiple perspective adjustment data for multiple image acquisition devices corresponding to multiple targets; retrieve the corresponding scenario switching data according to the switching instruction, and the switching instruction includes location switching instructions and/or target switching instructions, switching instructions carry video frames Time information, image collection equipment logo and/or target logo; send the image sequence according to the scene switch data; the present invention allows users to quickly lock the target you want to watch during the live broadcast, without the need to slide the screen or the user's own itself itself Rotate to find the watch target, watch the wonderful moment from different angles, and improve the user's sense of experience.</v>
      </c>
      <c r="D3327" s="6" t="s">
        <v>9327</v>
      </c>
      <c r="E3327" s="4" t="str">
        <f ca="1">IFERROR(__xludf.DUMMYFUNCTION("GOOGLETRANSLATE(D3327,""auto"",""en"")"),"A multi -angle live broadcast system and switching method based on scene switching")</f>
        <v>A multi -angle live broadcast system and switching method based on scene switching</v>
      </c>
    </row>
    <row r="3328" spans="1:5" ht="15" x14ac:dyDescent="0.25">
      <c r="A3328" s="5" t="s">
        <v>9328</v>
      </c>
      <c r="B3328" s="6" t="s">
        <v>9329</v>
      </c>
      <c r="C3328" s="3" t="str">
        <f ca="1">IFERROR(__xludf.DUMMYFUNCTION("GOOGLETRANSLATE(B3328,""auto"",""en"")"),"The present invention discloses a method of running posture and gait analysis of smart Bluetooth headsets. The method includes the following steps: in the running state, real -time detection status obtain running data; the running data includes: accelerat"&amp;"ion value, place time, land power Better frequency; calculate the ground balance through the running data calculation, and the head shaking strength; the running data and the tactile balance and the head shaking force are composed of the input data, and t"&amp;"he input data is input into the machine learning algorithm to calculate the output to get the output As a result, the running posture and gait information are determined according to the output result; the prompt information is played according to the run"&amp;"ning posture and gait information generation prompt information. The technical solution provided by the present invention has the advantages of high user experience.")</f>
        <v>The present invention discloses a method of running posture and gait analysis of smart Bluetooth headsets. The method includes the following steps: in the running state, real -time detection status obtain running data; the running data includes: acceleration value, place time, land power Better frequency; calculate the ground balance through the running data calculation, and the head shaking strength; the running data and the tactile balance and the head shaking force are composed of the input data, and the input data is input into the machine learning algorithm to calculate the output to get the output As a result, the running posture and gait information are determined according to the output result; the prompt information is played according to the running posture and gait information generation prompt information. The technical solution provided by the present invention has the advantages of high user experience.</v>
      </c>
      <c r="D3328" s="6" t="s">
        <v>9330</v>
      </c>
      <c r="E3328" s="4" t="str">
        <f ca="1">IFERROR(__xludf.DUMMYFUNCTION("GOOGLETRANSLATE(D3328,""auto"",""en"")"),"Bluetooth headset running posture and gait analysis method and equipment")</f>
        <v>Bluetooth headset running posture and gait analysis method and equipment</v>
      </c>
    </row>
    <row r="3329" spans="1:5" ht="15" x14ac:dyDescent="0.25">
      <c r="A3329" s="5" t="s">
        <v>9331</v>
      </c>
      <c r="B3329" s="6" t="s">
        <v>9332</v>
      </c>
      <c r="C3329" s="3" t="str">
        <f ca="1">IFERROR(__xludf.DUMMYFUNCTION("GOOGLETRANSLATE(B3329,""auto"",""en"")"),"The present invention involves a fitness equipment system and usage method for intelligent custom user fitness solutions. The system is set in at least one fitness area. Among them, each fitness area includes central fitness areas, equipment placement are"&amp;"as, and rest preparation areas. There are multiple fitness equipment and one -control device in the equipment placement area. There is a mobile device under each fitness equipment. There is a instruction receiver and timer on the mobile device. The timer "&amp;"communicates with the control device. The present invention identifies the user's identity, matches the fitness plan set pre -set for users, and obtains user facial images in real time during the user movement, uses neural network recognition user emotico"&amp;"ns, and measures the user's fatigue state in combination with other body measurement parameters According to user fatigue status, the motion plan is realized in real time to provide users with more comprehensive and effective fitness guidance services.")</f>
        <v>The present invention involves a fitness equipment system and usage method for intelligent custom user fitness solutions. The system is set in at least one fitness area. Among them, each fitness area includes central fitness areas, equipment placement areas, and rest preparation areas. There are multiple fitness equipment and one -control device in the equipment placement area. There is a mobile device under each fitness equipment. There is a instruction receiver and timer on the mobile device. The timer communicates with the control device. The present invention identifies the user's identity, matches the fitness plan set pre -set for users, and obtains user facial images in real time during the user movement, uses neural network recognition user emoticons, and measures the user's fatigue state in combination with other body measurement parameters According to user fatigue status, the motion plan is realized in real time to provide users with more comprehensive and effective fitness guidance services.</v>
      </c>
      <c r="D3329" s="6" t="s">
        <v>9333</v>
      </c>
      <c r="E3329" s="4" t="str">
        <f ca="1">IFERROR(__xludf.DUMMYFUNCTION("GOOGLETRANSLATE(D3329,""auto"",""en"")"),"A fitness equipment system and usage method of intelligent custom user fitness solution")</f>
        <v>A fitness equipment system and usage method of intelligent custom user fitness solution</v>
      </c>
    </row>
    <row r="3330" spans="1:5" ht="15" x14ac:dyDescent="0.25">
      <c r="A3330" s="5" t="s">
        <v>9334</v>
      </c>
      <c r="B3330" s="6" t="s">
        <v>9335</v>
      </c>
      <c r="C3330" s="3" t="str">
        <f ca="1">IFERROR(__xludf.DUMMYFUNCTION("GOOGLETRANSLATE(B3330,""auto"",""en"")"),"The present invention involves a smart glasses based on the Internet of Things for bicycle cycling, including observation agencies, central control institutions and two reinforcements.块、移动框、轴承座、转动轴、第一摄像头、投影仪和两个第二摄像头，所述加固机构包括第三驱动组件、第三齿轮、连接杆、固定杆、缓冲块、缓冲垫、 Pr"&amp;"essure sensor and two springs, which are based on the smart glasses based on the Internet of Things for bicycle cycling. Through the observation mechanism, the athletes can project the surrounding screens to the lens of the glasses during the cycling proc"&amp;"ess, so that the athletes can be on During the cycling process, you can concentrate your attention to reduce the chance of having a danger during the athletes. By reinforcing the mechanism, you can increase the firmness of glasses to wear, thereby reducin"&amp;"g the chance of falling glasses and improving the practicality of glasses.")</f>
        <v>The present invention involves a smart glasses based on the Internet of Things for bicycle cycling, including observation agencies, central control institutions and two reinforcements.块、移动框、轴承座、转动轴、第一摄像头、投影仪和两个第二摄像头，所述加固机构包括第三驱动组件、第三齿轮、连接杆、固定杆、缓冲块、缓冲垫、 Pressure sensor and two springs, which are based on the smart glasses based on the Internet of Things for bicycle cycling. Through the observation mechanism, the athletes can project the surrounding screens to the lens of the glasses during the cycling process, so that the athletes can be on During the cycling process, you can concentrate your attention to reduce the chance of having a danger during the athletes. By reinforcing the mechanism, you can increase the firmness of glasses to wear, thereby reducing the chance of falling glasses and improving the practicality of glasses.</v>
      </c>
      <c r="D3330" s="6" t="s">
        <v>9336</v>
      </c>
      <c r="E3330" s="4" t="str">
        <f ca="1">IFERROR(__xludf.DUMMYFUNCTION("GOOGLETRANSLATE(D3330,""auto"",""en"")"),"A smart glasses based on the Internet of Things for bicycle cycling")</f>
        <v>A smart glasses based on the Internet of Things for bicycle cycling</v>
      </c>
    </row>
    <row r="3331" spans="1:5" ht="15" x14ac:dyDescent="0.25">
      <c r="A3331" s="5" t="s">
        <v>9337</v>
      </c>
      <c r="B3331" s="6" t="s">
        <v>9338</v>
      </c>
      <c r="C3331" s="3" t="str">
        <f ca="1">IFERROR(__xludf.DUMMYFUNCTION("GOOGLETRANSLATE(B3331,""auto"",""en"")"),"1. The name of the product in this exterior: the graphical user interface (challenge) used for mobile terminals.
 2. The purpose of designing products in this exterior: This design product is used for program operation and human -computer interaction.
 "&amp;"
 3. The design of the design of the product in this exterior: lies in the graphic user interface content in the screen.
 4. The picture or photo of the main point of design design in this appearance: Design 1 main view.
 5. The interface purpose of d"&amp;"esigning products in this exterior: for the interaction and display of small video comparison, competition, and challenge processes.
 6. Small view: rear views, left view, right view, downward view, and retrospective view are commonly designed, so omitt"&amp;"ed.
 7. Specify basic design: Design 1.")</f>
        <v>1. The name of the product in this exterior: the graphical user interface (challenge) used for mobile terminals.
 2. The purpose of designing products in this exterior: This design product is used for program operation and human -computer interaction.
 3. The design of the design of the product in this exterior: lies in the graphic user interface content in the screen.
 4. The picture or photo of the main point of design design in this appearance: Design 1 main view.
 5. The interface purpose of designing products in this exterior: for the interaction and display of small video comparison, competition, and challenge processes.
 6. Small view: rear views, left view, right view, downward view, and retrospective view are commonly designed, so omitted.
 7. Specify basic design: Design 1.</v>
      </c>
      <c r="D3331" s="6" t="s">
        <v>9339</v>
      </c>
      <c r="E3331" s="4" t="str">
        <f ca="1">IFERROR(__xludf.DUMMYFUNCTION("GOOGLETRANSLATE(D3331,""auto"",""en"")"),"Graphic user interface for mobile terminals (challenge progress)")</f>
        <v>Graphic user interface for mobile terminals (challenge progress)</v>
      </c>
    </row>
    <row r="3332" spans="1:5" ht="15" x14ac:dyDescent="0.25">
      <c r="A3332" s="5" t="s">
        <v>9340</v>
      </c>
      <c r="B3332" s="6" t="s">
        <v>9341</v>
      </c>
      <c r="C3332" s="3" t="str">
        <f ca="1">IFERROR(__xludf.DUMMYFUNCTION("GOOGLETRANSLATE(B3332,""auto"",""en"")"),"An automated training system based on real -time feedback based on elastic smart sensor nodes, including: body sensor network, used to collect user body sports data; user mobile phones, receive data, pre -processing; cloud analysis center, receiving user "&amp;"mobile phones transmitted by mobile phones transmitted by mobile phones Pre -processing data, based on artificial intelligence, analyzes data, obtains exercise analysis results and training feedback information, and transmits it to user mobile phones; use"&amp;"r mobile phone receiving motion analysis results and training feedback information, and feedback to users; with existing technology; with existing technology In contrast, the advantages of the present invention are: obtaining accurate physical exercise da"&amp;"ta; sports data (such as fitness) in the field of artificial intelligence processing professional fields; the concept of AI assistants to launch virtual coaches; the entire system is high and there is no requirement for light.")</f>
        <v>An automated training system based on real -time feedback based on elastic smart sensor nodes, including: body sensor network, used to collect user body sports data; user mobile phones, receive data, pre -processing; cloud analysis center, receiving user mobile phones transmitted by mobile phones transmitted by mobile phones Pre -processing data, based on artificial intelligence, analyzes data, obtains exercise analysis results and training feedback information, and transmits it to user mobile phones; user mobile phone receiving motion analysis results and training feedback information, and feedback to users; with existing technology; with existing technology In contrast, the advantages of the present invention are: obtaining accurate physical exercise data; sports data (such as fitness) in the field of artificial intelligence processing professional fields; the concept of AI assistants to launch virtual coaches; the entire system is high and there is no requirement for light.</v>
      </c>
      <c r="D3332" s="6" t="s">
        <v>9342</v>
      </c>
      <c r="E3332" s="4" t="str">
        <f ca="1">IFERROR(__xludf.DUMMYFUNCTION("GOOGLETRANSLATE(D3332,""auto"",""en"")"),"Automatic training system based on real -time feedback based on elastic smart sensor nodes")</f>
        <v>Automatic training system based on real -time feedback based on elastic smart sensor nodes</v>
      </c>
    </row>
    <row r="3333" spans="1:5" ht="15" x14ac:dyDescent="0.25">
      <c r="A3333" s="5" t="s">
        <v>9343</v>
      </c>
      <c r="B3333" s="6" t="s">
        <v>8371</v>
      </c>
      <c r="C3333" s="3" t="str">
        <f ca="1">IFERROR(__xludf.DUMMYFUNCTION("GOOGLETRANSLATE(B3333,""auto"",""en"")"),"It provides systems and methods for remote monitoring, optimization and control to provide network connections and swimming pool/spa. Provide the ""Internet of Things"" (IoT) functions for swimming pools and spa in a flexible and economical way. The netwo"&amp;"rk connection and remote monitoring/control of the swimming pool and spa equipment are provided by various components, such as network communication and local control subsystems installed in the swimming pool/spa equipment, as well as other components. Va"&amp;"rious control processes (""Pond Logic"") are also disclosed, which can be reflected in the software code of any of the various embodiments installed in this public.")</f>
        <v>It provides systems and methods for remote monitoring, optimization and control to provide network connections and swimming pool/spa.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333" s="6" t="s">
        <v>8372</v>
      </c>
      <c r="E3333" s="4" t="str">
        <f ca="1">IFERROR(__xludf.DUMMYFUNCTION("GOOGLETRANSLATE(D3333,""auto"",""en"")"),"It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334" spans="1:5" ht="15" x14ac:dyDescent="0.25">
      <c r="A3334" s="5" t="s">
        <v>9344</v>
      </c>
      <c r="B3334" s="6" t="s">
        <v>8374</v>
      </c>
      <c r="C3334" s="3" t="str">
        <f ca="1">IFERROR(__xludf.DUMMYFUNCTION("GOOGLETRANSLATE(B3334,""auto"",""en"")"),"Provides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334" s="6" t="s">
        <v>8372</v>
      </c>
      <c r="E3334" s="4" t="str">
        <f ca="1">IFERROR(__xludf.DUMMYFUNCTION("GOOGLETRANSLATE(D3334,""auto"",""en"")"),"It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335" spans="1:5" ht="15" x14ac:dyDescent="0.25">
      <c r="A3335" s="5" t="s">
        <v>9345</v>
      </c>
      <c r="B3335" s="6" t="s">
        <v>9346</v>
      </c>
      <c r="C3335" s="3" t="str">
        <f ca="1">IFERROR(__xludf.DUMMYFUNCTION("GOOGLETRANSLATE(B3335,""auto"",""en"")"),"The present invention disclosed a basketball score prediction method and system based on neural networks. Among them, the method includes: obtaining the regular season game data, which includes the technical data of the two basketball teams before the gam"&amp;"e and 2 basketball teams after the game. The actual score; pre -processing technical data, get the input vector, use the input vector to train the neural network to obtain the output vector. When the output vector is the probability of the actual score of"&amp;" the two basketball teams after the game Neural network; enter the two technical data to be predicted to predict the training of neural networks to predict, and get the predictive score of 2 basketball teams. Compared with human predictions, the results o"&amp;"f the present invention are more objective, excluding the impact of human factors on the prediction results.")</f>
        <v>The present invention disclosed a basketball score prediction method and system based on neural networks. Among them, the method includes: obtaining the regular season game data, which includes the technical data of the two basketball teams before the game and 2 basketball teams after the game. The actual score; pre -processing technical data, get the input vector, use the input vector to train the neural network to obtain the output vector. When the output vector is the probability of the actual score of the two basketball teams after the game Neural network; enter the two technical data to be predicted to predict the training of neural networks to predict, and get the predictive score of 2 basketball teams. Compared with human predictions, the results of the present invention are more objective, excluding the impact of human factors on the prediction results.</v>
      </c>
      <c r="D3335" s="6" t="s">
        <v>9347</v>
      </c>
      <c r="E3335" s="4" t="str">
        <f ca="1">IFERROR(__xludf.DUMMYFUNCTION("GOOGLETRANSLATE(D3335,""auto"",""en"")"),"A basketball score prediction method and system based on neural network")</f>
        <v>A basketball score prediction method and system based on neural network</v>
      </c>
    </row>
    <row r="3336" spans="1:5" ht="15" x14ac:dyDescent="0.25">
      <c r="A3336" s="5" t="s">
        <v>9348</v>
      </c>
      <c r="B3336" s="6" t="s">
        <v>9349</v>
      </c>
      <c r="C3336" s="3" t="str">
        <f ca="1">IFERROR(__xludf.DUMMYFUNCTION("GOOGLETRANSLATE(B3336,""auto"",""en"")"),"A system and method that confirms the rules. The machine learning model is trained at multiple levels, which contains data from the basic interpretation of the sensor and the discovery of interesting modes related to the field of rules. The model is downl"&amp;"oaded to the second processor. The processor uses the sensor data collected after downloading to further train the model. Additional sensor data and data from the server or other sources can be used as the input of the model, and the second or other proce"&amp;"ssor uses the input evaluation model to create a determined output of the compliance state. Specific applications include determining whether to comply with clothing specifications and determining the soberness of traffic stop. Other typical applications "&amp;"include compliance with sports regulations, such as checking the specific geometric shapes of the long rumor club head bag after each goal.")</f>
        <v>A system and method that confirms the rules. The machine learning model is trained at multiple levels, which contains data from the basic interpretation of the sensor and the discovery of interesting modes related to the field of rules. The model is downloaded to the second processor. The processor uses the sensor data collected after downloading to further train the model. Additional sensor data and data from the server or other sources can be used as the input of the model, and the second or other processor uses the input evaluation model to create a determined output of the compliance state. Specific applications include determining whether to comply with clothing specifications and determining the soberness of traffic stop. Other typical applications include compliance with sports regulations, such as checking the specific geometric shapes of the long rumor club head bag after each goal.</v>
      </c>
      <c r="D3336" s="6" t="s">
        <v>9350</v>
      </c>
      <c r="E3336" s="4" t="str">
        <f ca="1">IFERROR(__xludf.DUMMYFUNCTION("GOOGLETRANSLATE(D3336,""auto"",""en"")"),"Device and methods of compliance of testing regulations")</f>
        <v>Device and methods of compliance of testing regulations</v>
      </c>
    </row>
    <row r="3337" spans="1:5" ht="15" x14ac:dyDescent="0.25">
      <c r="A3337" s="5" t="s">
        <v>9351</v>
      </c>
      <c r="B3337" s="6" t="s">
        <v>9352</v>
      </c>
      <c r="C3337" s="3" t="str">
        <f ca="1">IFERROR(__xludf.DUMMYFUNCTION("GOOGLETRANSLATE(B3337,""auto"",""en"")"),"Ultra -digital adjustment techniques can be performed through the super -recessing adjustment tool. In this technology, you can receive a readable value of each computer in one or more machine learning super parameters. Different combinations that can be "&amp;"used to define the super -readable value set of multiple computers. The response startup request can be adjusted through the tool through this tool. The overall operations include adjustment operations for each super -added set. The comparison comparison "&amp;"of the computer that can generate the result of the hyperparameted parameter adjustment operation. The comparison indicates the effectiveness of the super parameter set in the adjustment of the operation.")</f>
        <v>Ultra -digital adjustment techniques can be performed through the super -recessing adjustment tool. In this technology, you can receive a readable value of each computer in one or more machine learning super parameters. Different combinations that can be used to define the super -readable value set of multiple computers. The response startup request can be adjusted through the tool through this tool. The overall operations include adjustment operations for each super -added set. The comparison comparison of the computer that can generate the result of the hyperparameted parameter adjustment operation. The comparison indicates the effectiveness of the super parameter set in the adjustment of the operation.</v>
      </c>
      <c r="D3337" s="6" t="s">
        <v>9353</v>
      </c>
      <c r="E3337" s="4" t="str">
        <f ca="1">IFERROR(__xludf.DUMMYFUNCTION("GOOGLETRANSLATE(D3337,""auto"",""en"")"),"Machine learning super parameter tuning tool")</f>
        <v>Machine learning super parameter tuning tool</v>
      </c>
    </row>
    <row r="3338" spans="1:5" ht="15" x14ac:dyDescent="0.25">
      <c r="A3338" s="5" t="s">
        <v>9354</v>
      </c>
      <c r="B3338" s="6" t="s">
        <v>9355</v>
      </c>
      <c r="C3338" s="3" t="str">
        <f ca="1">IFERROR(__xludf.DUMMYFUNCTION("GOOGLETRANSLATE(B3338,""auto"",""en"")"),"For artificial intelligence devices used to learn tennis, use R.A. glasses worn by players, provide tactical information in R.A. for the players, in detail the algorithms in the smartphone")</f>
        <v>For artificial intelligence devices used to learn tennis, use R.A. glasses worn by players, provide tactical information in R.A. for the players, in detail the algorithms in the smartphone</v>
      </c>
      <c r="D3338" s="6" t="s">
        <v>9356</v>
      </c>
      <c r="E3338" s="4" t="str">
        <f ca="1">IFERROR(__xludf.DUMMYFUNCTION("GOOGLETRANSLATE(D3338,""auto"",""en"")"),"Virtual tennis learning module")</f>
        <v>Virtual tennis learning module</v>
      </c>
    </row>
    <row r="3339" spans="1:5" ht="15" x14ac:dyDescent="0.25">
      <c r="A3339" s="5" t="s">
        <v>9357</v>
      </c>
      <c r="B3339" s="6" t="s">
        <v>9358</v>
      </c>
      <c r="C3339" s="3" t="str">
        <f ca="1">IFERROR(__xludf.DUMMYFUNCTION("GOOGLETRANSLATE(B3339,""auto"",""en"")"),"The publicized examples include a calorie optimizing breathing switching fat macro using the metabolic system, including the computer -readable storage medium with computer executable instructions on it; processor for executing computer executable instruc"&amp;"tions, where the computer executes instructions can execute instructions Including instructions used to receive simplified data from users, the user's simplified data includes age, gender, height, weight, diet, fitness information; if so, five specific me"&amp;"tabolic data points from personal respiratory exchange tests; Otherwise, calculate the five specific metabolic points and heart rate; generate personalized metabolic curves for users according to five metabolic points; determine the personalized target sp"&amp;"orts heart rate zone for users, as the maximum percentage of heart rate from the metabolic curve, and according to metabolism according to metabolism The curve determines the nutrition guide, measures the user's compliance to promote the progress of machi"&amp;"ne learning and the modification of the user metabolic curve, and the nutritional guidance policy and target sports heart rate area.")</f>
        <v>The publicized examples include a calorie optimizing breathing switching fat macro using the metabolic system, including the computer -readable storage medium with computer executable instructions on it; processor for executing computer executable instructions, where the computer executes instructions can execute instructions Including instructions used to receive simplified data from users, the user's simplified data includes age, gender, height, weight, diet, fitness information; if so, five specific metabolic data points from personal respiratory exchange tests; Otherwise, calculate the five specific metabolic points and heart rate; generate personalized metabolic curves for users according to five metabolic points; determine the personalized target sports heart rate zone for users, as the maximum percentage of heart rate from the metabolic curve, and according to metabolism according to metabolism The curve determines the nutrition guide, measures the user's compliance to promote the progress of machine learning and the modification of the user metabolic curve, and the nutritional guidance policy and target sports heart rate area.</v>
      </c>
      <c r="D3339" s="6" t="s">
        <v>9359</v>
      </c>
      <c r="E3339" s="4" t="str">
        <f ca="1">IFERROR(__xludf.DUMMYFUNCTION("GOOGLETRANSLATE(D3339,""auto"",""en"")"),"Caliba optimizes respiratory exchange fat macroex use of metabolic curves and methods")</f>
        <v>Caliba optimizes respiratory exchange fat macroex use of metabolic curves and methods</v>
      </c>
    </row>
    <row r="3340" spans="1:5" ht="15" x14ac:dyDescent="0.25">
      <c r="A3340" s="5" t="s">
        <v>9360</v>
      </c>
      <c r="B3340" s="6" t="s">
        <v>9361</v>
      </c>
      <c r="C3340" s="3" t="str">
        <f ca="1">IFERROR(__xludf.DUMMYFUNCTION("GOOGLETRANSLATE(B3340,""auto"",""en"")"),"The present invention provides a sports mode recognition method and system based on sports training data, including steps: obtains the three -dimensional location information of the sports personnel; according to the 3D coordinate information obtained, ca"&amp;"lculate the speed and acceleration information of the sports staff; collect the training sample data; right The speed and acceleration time sequence in the training sample data is pre -processing; the three types of identification algorithms of the binary"&amp;" decision tree support vector machine decision tree algorithm, BP neural network algorithm, and RBF neural network recognition algorithm ; Use the above three types of training identification algorithms to identify the movement mode of the sports personne"&amp;"l, and obtain the final mode recognition results through the weighted fusion method. The invention has a simple and convenient system structure in terms of information collection. It can realize sports mode recognition in complex and varied training and c"&amp;"ompetition scenes, and improves the accuracy and robustness of sports mode recognition.")</f>
        <v>The present invention provides a sports mode recognition method and system based on sports training data, including steps: obtains the three -dimensional location information of the sports personnel; according to the 3D coordinate information obtained, calculate the speed and acceleration information of the sports staff; collect the training sample data; right The speed and acceleration time sequence in the training sample data is pre -processing; the three types of identification algorithms of the binary decision tree support vector machine decision tree algorithm, BP neural network algorithm, and RBF neural network recognition algorithm ; Use the above three types of training identification algorithms to identify the movement mode of the sports personnel, and obtain the final mode recognition results through the weighted fusion method. The invention has a simple and convenient system structure in terms of information collection. It can realize sports mode recognition in complex and varied training and competition scenes, and improves the accuracy and robustness of sports mode recognition.</v>
      </c>
      <c r="D3340" s="6" t="s">
        <v>9362</v>
      </c>
      <c r="E3340" s="4" t="str">
        <f ca="1">IFERROR(__xludf.DUMMYFUNCTION("GOOGLETRANSLATE(D3340,""auto"",""en"")"),"A motion mode recognition method and system based on sports training data")</f>
        <v>A motion mode recognition method and system based on sports training data</v>
      </c>
    </row>
    <row r="3341" spans="1:5" ht="15" x14ac:dyDescent="0.25">
      <c r="A3341" s="5" t="s">
        <v>9363</v>
      </c>
      <c r="B3341" s="6" t="s">
        <v>9364</v>
      </c>
      <c r="C3341" s="3" t="str">
        <f ca="1">IFERROR(__xludf.DUMMYFUNCTION("GOOGLETRANSLATE(B3341,""auto"",""en"")"),"The present invention provides a method of analysis method based on multi -party perception, involving competitions and daily training in competitive movement; The neural network identifies the three -dimensional human surface model collected in real time"&amp;", and then sends the identification results to the statistical module; the analysis of the human body's soles and ground contact status is used to collect the pressure of the human foot. Analyze the analysis, then send the analysis results to the statisti"&amp;"cal module; the statistical module counts all the error movements and records, and inform the results of the bidder; the present invention solves the existing posture estimation method is only suitable for static actions or slow rhythm changes. The lack o"&amp;"f quantitative analysis of the action has caused the problems of post -states to analyze and foul testing at the same time.")</f>
        <v>The present invention provides a method of analysis method based on multi -party perception, involving competitions and daily training in competitive movement; The neural network identifies the three -dimensional human surface model collected in real time, and then sends the identification results to the statistical module; the analysis of the human body's soles and ground contact status is used to collect the pressure of the human foot. Analyze the analysis, then send the analysis results to the statistical module; the statistical module counts all the error movements and records, and inform the results of the bidder; the present invention solves the existing posture estimation method is only suitable for static actions or slow rhythm changes. The lack of quantitative analysis of the action has caused the problems of post -states to analyze and foul testing at the same time.</v>
      </c>
      <c r="D3341" s="6" t="s">
        <v>9365</v>
      </c>
      <c r="E3341" s="4" t="str">
        <f ca="1">IFERROR(__xludf.DUMMYFUNCTION("GOOGLETRANSLATE(D3341,""auto"",""en"")"),"Analysis method of gesture attitude based on multi -party perception")</f>
        <v>Analysis method of gesture attitude based on multi -party perception</v>
      </c>
    </row>
    <row r="3342" spans="1:5" ht="15" x14ac:dyDescent="0.25">
      <c r="A3342" s="5" t="s">
        <v>9366</v>
      </c>
      <c r="B3342" s="6" t="s">
        <v>9367</v>
      </c>
      <c r="C3342" s="3" t="str">
        <f ca="1">IFERROR(__xludf.DUMMYFUNCTION("GOOGLETRANSLATE(B3342,""auto"",""en"")"),"The present invention discloses a method of action recognition for table tennis or badminton motion. This method collects the original data of the athletes through acceleration meters and gyroscopes, uses the periodic of the action to achieve action divis"&amp;"ion, and extract features for the separation of single movements after the division. The characteristic data of the value of the value is generated, so that several types of characteristic data extracted are easy to expand and have good generalization cap"&amp;"abilities. Select the three -layer BP neural network as a recognition model, and its recognition ability meets the requirements of table tennis and badminton action recognition and the structure is simple and easy to implement. Take the extra characterist"&amp;"ics of the input neurons used as a neural network, select the RELU function and the SoftMax function as the input layer to the implication layer, the hidden layer to the output layer activation function, and realize the nonlinear mapping of input informat"&amp;"ion such as action features. Essence After 1,000 training, the identification device model will be obtained, and the characteristic data inputs the trained identification device model to achieve action recognition.")</f>
        <v>The present invention discloses a method of action recognition for table tennis or badminton motion. This method collects the original data of the athletes through acceleration meters and gyroscopes, uses the periodic of the action to achieve action division, and extract features for the separation of single movements after the division. The characteristic data of the value of the value is generated, so that several types of characteristic data extracted are easy to expand and have good generalization capabilities. Select the three -layer BP neural network as a recognition model, and its recognition ability meets the requirements of table tennis and badminton action recognition and the structure is simple and easy to implement. Take the extra characteristics of the input neurons used as a neural network, select the RELU function and the SoftMax function as the input layer to the implication layer, the hidden layer to the output layer activation function, and realize the nonlinear mapping of input information such as action features. Essence After 1,000 training, the identification device model will be obtained, and the characteristic data inputs the trained identification device model to achieve action recognition.</v>
      </c>
      <c r="D3342" s="6" t="s">
        <v>9368</v>
      </c>
      <c r="E3342" s="4" t="str">
        <f ca="1">IFERROR(__xludf.DUMMYFUNCTION("GOOGLETRANSLATE(D3342,""auto"",""en"")"),"A method of action recognition for table tennis or badminton action")</f>
        <v>A method of action recognition for table tennis or badminton action</v>
      </c>
    </row>
    <row r="3343" spans="1:5" ht="15" x14ac:dyDescent="0.25">
      <c r="A3343" s="5" t="s">
        <v>9369</v>
      </c>
      <c r="B3343" s="6" t="s">
        <v>9370</v>
      </c>
      <c r="C3343" s="3" t="str">
        <f ca="1">IFERROR(__xludf.DUMMYFUNCTION("GOOGLETRANSLATE(B3343,""auto"",""en"")"),"The present invention has disclosed the optimization method of simulation smart rescue communication decision -making in the low communication environment. In the environment of poor communication in the urban rescue simulation competition, the communicat"&amp;"ion and decision -making optimization method of the smart body consists of two parts. Dynamic fuzzy decision trees, vague -genetic algorithms analyze and process information through intelligent body perception of information, adjust the proportion of diff"&amp;"erent information to the total information, thereby passing the relatively important information and discrete the above important information data; according to The actual situation is supplemented by missing data; dynamic fuzzy decision -making tree clas"&amp;"sification attribute selection; pruning the decision -making tree, so as to obtain the final decision tree and improve the results of the game.")</f>
        <v>The present invention has disclosed the optimization method of simulation smart rescue communication decision -making in the low communication environment. In the environment of poor communication in the urban rescue simulation competition, the communication and decision -making optimization method of the smart body consists of two parts. Dynamic fuzzy decision trees, vague -genetic algorithms analyze and process information through intelligent body perception of information, adjust the proportion of different information to the total information, thereby passing the relatively important information and discrete the above important information data; according to The actual situation is supplemented by missing data; dynamic fuzzy decision -making tree classification attribute selection; pruning the decision -making tree, so as to obtain the final decision tree and improve the results of the game.</v>
      </c>
      <c r="D3343" s="6" t="s">
        <v>9371</v>
      </c>
      <c r="E3343" s="4" t="str">
        <f ca="1">IFERROR(__xludf.DUMMYFUNCTION("GOOGLETRANSLATE(D3343,""auto"",""en"")"),"Optimization method of simulation intelligent rescue communication decision -making in low communication environment")</f>
        <v>Optimization method of simulation intelligent rescue communication decision -making in low communication environment</v>
      </c>
    </row>
    <row r="3344" spans="1:5" ht="15" x14ac:dyDescent="0.25">
      <c r="A3344" s="5" t="s">
        <v>9372</v>
      </c>
      <c r="B3344" s="6" t="s">
        <v>518</v>
      </c>
      <c r="C3344" s="3" t="str">
        <f ca="1">IFERROR(__xludf.DUMMYFUNCTION("GOOGLETRANSLATE(B3344,""auto"",""en"")"),"-")</f>
        <v>-</v>
      </c>
      <c r="D3344" s="6" t="s">
        <v>9373</v>
      </c>
      <c r="E3344" s="4" t="str">
        <f ca="1">IFERROR(__xludf.DUMMYFUNCTION("GOOGLETRANSLATE(D3344,""auto"",""en"")"),"Interactive, explained and improved players and player performance prediction methods in the embedded team movement using deep neural network architecture")</f>
        <v>Interactive, explained and improved players and player performance prediction methods in the embedded team movement using deep neural network architecture</v>
      </c>
    </row>
    <row r="3345" spans="1:5" ht="15" x14ac:dyDescent="0.25">
      <c r="A3345" s="5" t="s">
        <v>9374</v>
      </c>
      <c r="B3345" s="6" t="s">
        <v>9375</v>
      </c>
      <c r="C3345" s="3" t="str">
        <f ca="1">IFERROR(__xludf.DUMMYFUNCTION("GOOGLETRANSLATE(B3345,""auto"",""en"")"),"This utility model revealed a swimming cap of the Internet of Things, including the swimming cap body. There is an IoT tag on the swimming cap body. There are storage bags on the side of the swimming cap body. The cap body is connected, and the upper end "&amp;"of the storage bag is open structure. The upper end of the storage bag is set with a coordinated cover. The two ends and upper end of the cover pad are also connected to the swimming cap through the sealing strip. This utility model is set to set the Inte"&amp;"rnet of Things tags in the storage bag through a waterproof storage bag and cover. It can be limited to prevent the Internet of Things tags from contacting water directly with water, preventing the information from the Internet of Things from inaccurate R"&amp;"eference value of information.")</f>
        <v>This utility model revealed a swimming cap of the Internet of Things, including the swimming cap body. There is an IoT tag on the swimming cap body. There are storage bags on the side of the swimming cap body. The cap body is connected, and the upper end of the storage bag is open structure. The upper end of the storage bag is set with a coordinated cover. The two ends and upper end of the cover pad are also connected to the swimming cap through the sealing strip. This utility model is set to set the Internet of Things tags in the storage bag through a waterproof storage bag and cover. It can be limited to prevent the Internet of Things tags from contacting water directly with water, preventing the information from the Internet of Things from inaccurate Reference value of information.</v>
      </c>
      <c r="D3345" s="6" t="s">
        <v>9376</v>
      </c>
      <c r="E3345" s="4" t="str">
        <f ca="1">IFERROR(__xludf.DUMMYFUNCTION("GOOGLETRANSLATE(D3345,""auto"",""en"")"),"A swimmer of the Internet of Things application")</f>
        <v>A swimmer of the Internet of Things application</v>
      </c>
    </row>
    <row r="3346" spans="1:5" ht="15" x14ac:dyDescent="0.25">
      <c r="A3346" s="5" t="s">
        <v>9377</v>
      </c>
      <c r="B3346" s="6" t="s">
        <v>9378</v>
      </c>
      <c r="C3346" s="3" t="str">
        <f ca="1">IFERROR(__xludf.DUMMYFUNCTION("GOOGLETRANSLATE(B3346,""auto"",""en"")"),"This utility model involves the field of intelligent robotics technology, which specifically involves a robot competition venue, including: the competition platform, which has a game platform for robots to pass the competition path. Guidance logo. This pr"&amp;"actical new type of robot competition venue has a game path on its competition platform, and has a guidance logo on the game path, so that the competition robot can move on the game path and complete the corresponding actions on the game path according to"&amp;" the guidance logo; it will greatly reduce The production costs of the venue, and the control of the robot in the game will not be affected by the information transmission status, effectively ensure the smoothness and accuracy of the game's movement, whic"&amp;"h greatly improves the viewing of the game.")</f>
        <v>This utility model involves the field of intelligent robotics technology, which specifically involves a robot competition venue, including: the competition platform, which has a game platform for robots to pass the competition path. Guidance logo. This practical new type of robot competition venue has a game path on its competition platform, and has a guidance logo on the game path, so that the competition robot can move on the game path and complete the corresponding actions on the game path according to the guidance logo; it will greatly reduce The production costs of the venue, and the control of the robot in the game will not be affected by the information transmission status, effectively ensure the smoothness and accuracy of the game's movement, which greatly improves the viewing of the game.</v>
      </c>
      <c r="D3346" s="6" t="s">
        <v>9379</v>
      </c>
      <c r="E3346" s="4" t="str">
        <f ca="1">IFERROR(__xludf.DUMMYFUNCTION("GOOGLETRANSLATE(D3346,""auto"",""en"")"),"A robot competition venue")</f>
        <v>A robot competition venue</v>
      </c>
    </row>
    <row r="3347" spans="1:5" ht="15" x14ac:dyDescent="0.25">
      <c r="A3347" s="5" t="s">
        <v>9380</v>
      </c>
      <c r="B3347" s="6" t="s">
        <v>9381</v>
      </c>
      <c r="C3347" s="3" t="str">
        <f ca="1">IFERROR(__xludf.DUMMYFUNCTION("GOOGLETRANSLATE(B3347,""auto"",""en"")"),"The invention disclosed the driver training and test system based on the neural network, involving the field of computer application technology, and adopting the neural network system in machine learning to replace the traditional single training system a"&amp;"nd test system. The data is converted into the useful information such as voice, prompt sound, text information and other drivers after training. It reduces the cost of manpower and reduces the waste of time, thereby improving the learning efficiency of s"&amp;"tudents.")</f>
        <v>The invention disclosed the driver training and test system based on the neural network, involving the field of computer application technology, and adopting the neural network system in machine learning to replace the traditional single training system and test system. The data is converted into the useful information such as voice, prompt sound, text information and other drivers after training. It reduces the cost of manpower and reduces the waste of time, thereby improving the learning efficiency of students.</v>
      </c>
      <c r="D3347" s="6" t="s">
        <v>9382</v>
      </c>
      <c r="E3347" s="4" t="str">
        <f ca="1">IFERROR(__xludf.DUMMYFUNCTION("GOOGLETRANSLATE(D3347,""auto"",""en"")"),"Driver training test system based on neural network")</f>
        <v>Driver training test system based on neural network</v>
      </c>
    </row>
    <row r="3348" spans="1:5" ht="15" x14ac:dyDescent="0.25">
      <c r="A3348" s="5" t="s">
        <v>9383</v>
      </c>
      <c r="B3348" s="6" t="s">
        <v>9384</v>
      </c>
      <c r="C3348" s="3" t="str">
        <f ca="1">IFERROR(__xludf.DUMMYFUNCTION("GOOGLETRANSLATE(B3348,""auto"",""en"")"),"An intelligent robot grabbing hand, including the collection box, opens on both sides of the collecting box, a fixed installation bag on one side of the collecting box, the collection bag is connected to the inside of the collection box, and the lower end"&amp;" of the collection box is fixed to install the shovel. On the upper end of one side, the lid is coordinated with the opening of one side of the collection box. The top surface of the lid is fixed to the first vertical pole. The upper end of the second ver"&amp;"tical rod is fixed to install the handle, and there is a gate under the handle of the hand. This utility model is simple, the design is reasonable, the operation is convenient, can intelligently capture the collection of badminton, and can avoid the large"&amp;" bending of the ball to pick up the ball, which significantly reduces the labor intensity of picking up the ball, reducing the physical consumption of the ball picker. Save time and can collect badminton.")</f>
        <v>An intelligent robot grabbing hand, including the collection box, opens on both sides of the collecting box, a fixed installation bag on one side of the collecting box, the collection bag is connected to the inside of the collection box, and the lower end of the collection box is fixed to install the shovel. On the upper end of one side, the lid is coordinated with the opening of one side of the collection box. The top surface of the lid is fixed to the first vertical pole. The upper end of the second vertical rod is fixed to install the handle, and there is a gate under the handle of the hand. This utility model is simple, the design is reasonable, the operation is convenient, can intelligently capture the collection of badminton, and can avoid the large bending of the ball to pick up the ball, which significantly reduces the labor intensity of picking up the ball, reducing the physical consumption of the ball picker. Save time and can collect badminton.</v>
      </c>
      <c r="D3348" s="6" t="s">
        <v>9385</v>
      </c>
      <c r="E3348" s="4" t="str">
        <f ca="1">IFERROR(__xludf.DUMMYFUNCTION("GOOGLETRANSLATE(D3348,""auto"",""en"")"),"A smart robot grabbed the hand")</f>
        <v>A smart robot grabbed the hand</v>
      </c>
    </row>
    <row r="3349" spans="1:5" ht="15" x14ac:dyDescent="0.25">
      <c r="A3349" s="5" t="s">
        <v>9386</v>
      </c>
      <c r="B3349" s="6" t="s">
        <v>9387</v>
      </c>
      <c r="C3349" s="3" t="str">
        <f ca="1">IFERROR(__xludf.DUMMYFUNCTION("GOOGLETRANSLATE(B3349,""auto"",""en"")"),"This application disclosed an IoT Smart Chicken House, which is characterized by the fully automated operation of the chicken house to achieve the chicken house management system. Managers remotely and monitoring. Module. Chicken houses include drawers wi"&amp;"th bases, chicken houses, chicken houses, sports transmission bands, and fermented beds with fermented beds. Each chicken house is equipped with water injection hoses and pipes, and a drinking pipe and feeding tank near the wall of the chicken house are p"&amp;"rovided with automatic water delivery and automatic feeding by controlling the switch. The sports transmission belt with both the ""running"" function and the dung function can quickly collect or clean the chicken manure, reduce the disease rate of the ch"&amp;"icken, and also give the chicken properly exercise, thereby raising a healthy and firming chicken. The cost of invention is low, liberating labor and high benefits, and has very good prospects and economic benefits. At the same time, if the structure is m"&amp;"iniaturized, it is also suitable for breeding family pet chickens.")</f>
        <v>This application disclosed an IoT Smart Chicken House, which is characterized by the fully automated operation of the chicken house to achieve the chicken house management system. Managers remotely and monitoring. Module. Chicken houses include drawers with bases, chicken houses, chicken houses, sports transmission bands, and fermented beds with fermented beds. Each chicken house is equipped with water injection hoses and pipes, and a drinking pipe and feeding tank near the wall of the chicken house are provided with automatic water delivery and automatic feeding by controlling the switch. The sports transmission belt with both the "running" function and the dung function can quickly collect or clean the chicken manure, reduce the disease rate of the chicken, and also give the chicken properly exercise, thereby raising a healthy and firming chicken. The cost of invention is low, liberating labor and high benefits, and has very good prospects and economic benefits. At the same time, if the structure is miniaturized, it is also suitable for breeding family pet chickens.</v>
      </c>
      <c r="D3349" s="6" t="s">
        <v>9388</v>
      </c>
      <c r="E3349" s="4" t="str">
        <f ca="1">IFERROR(__xludf.DUMMYFUNCTION("GOOGLETRANSLATE(D3349,""auto"",""en"")"),"An IoT Smart Chicken House")</f>
        <v>An IoT Smart Chicken House</v>
      </c>
    </row>
    <row r="3350" spans="1:5" ht="15" x14ac:dyDescent="0.25">
      <c r="A3350" s="5" t="s">
        <v>9389</v>
      </c>
      <c r="B3350" s="6" t="s">
        <v>9390</v>
      </c>
      <c r="C3350" s="3" t="str">
        <f ca="1">IFERROR(__xludf.DUMMYFUNCTION("GOOGLETRANSLATE(B3350,""auto"",""en"")"),"The invention involves a method for generating network attack data, which is the field of information security technology. The specific operation steps are: step 1. Data pre -processing, get training data after pre -processing. Step 2: Construct the gener"&amp;"ating confrontation network. Step 3: Do confrontation training to get trained neural network G. Step 4. Generate network attack data for artificial structure. A method for generating network attack data proposed by the present invention compares with exis"&amp;"ting technologies, and has the following advantages: ① Users do not need to have professional network security knowledge. As long as there are enough basic data, we can construct network attack data. ② Simplify the difficulty of generating complex network"&amp;" attack data.")</f>
        <v>The invention involves a method for generating network attack data, which is the field of information security technology. The specific operation steps are: step 1. Data pre -processing, get training data after pre -processing. Step 2: Construct the generating confrontation network. Step 3: Do confrontation training to get trained neural network G. Step 4. Generate network attack data for artificial structure. A method for generating network attack data proposed by the present invention compares with existing technologies, and has the following advantages: ① Users do not need to have professional network security knowledge. As long as there are enough basic data, we can construct network attack data. ② Simplify the difficulty of generating complex network attack data.</v>
      </c>
      <c r="D3350" s="6" t="s">
        <v>9391</v>
      </c>
      <c r="E3350" s="4" t="str">
        <f ca="1">IFERROR(__xludf.DUMMYFUNCTION("GOOGLETRANSLATE(D3350,""auto"",""en"")"),"A method to generate network attack data")</f>
        <v>A method to generate network attack data</v>
      </c>
    </row>
    <row r="3351" spans="1:5" ht="15" x14ac:dyDescent="0.25">
      <c r="A3351" s="5" t="s">
        <v>9392</v>
      </c>
      <c r="B3351" s="6" t="s">
        <v>9393</v>
      </c>
      <c r="C3351" s="3" t="str">
        <f ca="1">IFERROR(__xludf.DUMMYFUNCTION("GOOGLETRANSLATE(B3351,""auto"",""en"")"),"The present invention disclosed a shared gym system based on the Internet of Things, including control, sharing accessible modules, fitness equipment, device, audio amplifier equipment, lighting equipment, data collection modules, air conditioning and air"&amp;" purification humidifiers; the control end The output end and lighting equipment and the sound amplifier equipment, air purification humidifier and air conditioning connection; fitness equipment, sharing of accessible modules, and device tests for data tr"&amp;"ansmission through wireless transmission methods and control terminals; Enter end connection. All fitness equipment can be transmitted in real time through the Internet of Things, which can be transmitted in real time; there is no need to manually keep ma"&amp;"nagement, reducing the cost of labor, and can enter the gym fitness exercise 24 hours a day; Regulating processing greatly improves the user's sense of experience.")</f>
        <v>The present invention disclosed a shared gym system based on the Internet of Things, including control, sharing accessible modules, fitness equipment, device, audio amplifier equipment, lighting equipment, data collection modules, air conditioning and air purification humidifiers; the control end The output end and lighting equipment and the sound amplifier equipment, air purification humidifier and air conditioning connection; fitness equipment, sharing of accessible modules, and device tests for data transmission through wireless transmission methods and control terminals; Enter end connection. All fitness equipment can be transmitted in real time through the Internet of Things, which can be transmitted in real time; there is no need to manually keep management, reducing the cost of labor, and can enter the gym fitness exercise 24 hours a day; Regulating processing greatly improves the user's sense of experience.</v>
      </c>
      <c r="D3351" s="6" t="s">
        <v>9394</v>
      </c>
      <c r="E3351" s="4" t="str">
        <f ca="1">IFERROR(__xludf.DUMMYFUNCTION("GOOGLETRANSLATE(D3351,""auto"",""en"")"),"A shared gym system based on the Internet of Things")</f>
        <v>A shared gym system based on the Internet of Things</v>
      </c>
    </row>
    <row r="3352" spans="1:5" ht="15" x14ac:dyDescent="0.25">
      <c r="A3352" s="5" t="s">
        <v>9395</v>
      </c>
      <c r="B3352" s="6" t="s">
        <v>9396</v>
      </c>
      <c r="C3352" s="3" t="str">
        <f ca="1">IFERROR(__xludf.DUMMYFUNCTION("GOOGLETRANSLATE(B3352,""auto"",""en"")"),"This utility model discloses a shared gym system based on the Internet of Things. It includes the control end, shared access control module, fitness equipment, device, audio amplifier equipment, lighting equipment, data collection modules, air conditionin"&amp;"g and air purification humidifiers; control The output end and lighting equipment and sound amplifier equipment, air purification humidifiers and air -conditioning connections at the end output terminals and air -conditioning are connected; The input end "&amp;"of the end is connected. All fitness equipment can be transmitted in real time through the Internet of Things, which can be transmitted in real time; there is no need to manually keep management, reducing the cost of labor, and can enter the gym fitness e"&amp;"xercise 24 hours a day; Regulating processing greatly improves the user's sense of experience.")</f>
        <v>This utility model discloses a shared gym system based on the Internet of Things. It includes the control end, shared access control module, fitness equipment, device, audio amplifier equipment, lighting equipment, data collection modules, air conditioning and air purification humidifiers; control The output end and lighting equipment and sound amplifier equipment, air purification humidifiers and air -conditioning connections at the end output terminals and air -conditioning are connected; The input end of the end is connected. All fitness equipment can be transmitted in real time through the Internet of Things, which can be transmitted in real time; there is no need to manually keep management, reducing the cost of labor, and can enter the gym fitness exercise 24 hours a day; Regulating processing greatly improves the user's sense of experience.</v>
      </c>
      <c r="D3352" s="6" t="s">
        <v>9394</v>
      </c>
      <c r="E3352" s="4" t="str">
        <f ca="1">IFERROR(__xludf.DUMMYFUNCTION("GOOGLETRANSLATE(D3352,""auto"",""en"")"),"A shared gym system based on the Internet of Things")</f>
        <v>A shared gym system based on the Internet of Things</v>
      </c>
    </row>
    <row r="3353" spans="1:5" ht="15" x14ac:dyDescent="0.25">
      <c r="A3353" s="5" t="s">
        <v>9397</v>
      </c>
      <c r="B3353" s="6" t="s">
        <v>5390</v>
      </c>
      <c r="C3353" s="3" t="str">
        <f ca="1">IFERROR(__xludf.DUMMYFUNCTION("GOOGLETRANSLATE(B3353,""auto"",""en"")"),"A mobile cleaning robot, including the cleaning head on the surface of the floor in the clean environment, and at least one camera with a field of vision extended above the floor surface. At least one camera is configured to capture images including the e"&amp;"nvironment part of the floor surface. The robot includes the identification module, which is configured to identify objects in the environment based on images captured by at least one camera. At least part of the image captured by at least one camera is u"&amp;"sed to train the identification module. Robots include storage equipment for storage environment maps. The robot includes the control module. The control module is configured to control the mobile cleaning robot to use a map to navigate in the environment"&amp;", and take into account the cleansing head of the object -operated by the identified module to perform the cleaning task.")</f>
        <v>A mobile cleaning robot, including the cleaning head on the surface of the floor in the clean environment, and at least one camera with a field of vision extended above the floor surface. At least one camera is configured to capture images including the environment part of the floor surface. The robot includes the identification module, which is configured to identify objects in the environment based on images captured by at least one camera. At least part of the image captured by at least one camera is used to train the identification module. Robots include storage equipment for storage environment maps. The robot includes the control module. The control module is configured to control the mobile cleaning robot to use a map to navigate in the environment, and take into account the cleansing head of the object -operated by the identified module to perform the cleaning task.</v>
      </c>
      <c r="D3353" s="6" t="s">
        <v>5391</v>
      </c>
      <c r="E3353" s="4" t="str">
        <f ca="1">IFERROR(__xludf.DUMMYFUNCTION("GOOGLETRANSLATE(D3353,""auto"",""en"")"),"Mobile cleaning robot artificial intelligence used for the situation")</f>
        <v>Mobile cleaning robot artificial intelligence used for the situation</v>
      </c>
    </row>
    <row r="3354" spans="1:5" ht="15" x14ac:dyDescent="0.25">
      <c r="A3354" s="5" t="s">
        <v>9398</v>
      </c>
      <c r="B3354" s="6" t="s">
        <v>9399</v>
      </c>
      <c r="C3354" s="3" t="str">
        <f ca="1">IFERROR(__xludf.DUMMYFUNCTION("GOOGLETRANSLATE(B3354,""auto"",""en"")"),"The present invention involves the field of health management technology, and specifically involves a health management service system based on the Internet of Things, including big data cloud management systems, fitness management platforms, coaching ter"&amp;"minals, user terminals, transmission units, storage units and monitoring units, mobile monitoring devices Including the first sensor component, the first sensor component monitor the body's indicator information in real time. The indoor monitoring unit in"&amp;"cludes the second sensor component. The second sensor component monitor the indoor environment information in real time. Information and indoor environmental information, and then stored in big data cloud management. Both users and coaches can query the u"&amp;"ser's health information and the environment information of the user through the fitness management platform, which is convenient for medical staff and users to understand the health of the user in a timely manner. The data in information and big data man"&amp;"agement system can also be used as research data, which has important research value.")</f>
        <v>The present invention involves the field of health management technology, and specifically involves a health management service system based on the Internet of Things, including big data cloud management systems, fitness management platforms, coaching terminals, user terminals, transmission units, storage units and monitoring units, mobile monitoring devices Including the first sensor component, the first sensor component monitor the body's indicator information in real time. The indoor monitoring unit includes the second sensor component. The second sensor component monitor the indoor environment information in real time. Information and indoor environmental information, and then stored in big data cloud management. Both users and coaches can query the user's health information and the environment information of the user through the fitness management platform, which is convenient for medical staff and users to understand the health of the user in a timely manner. The data in information and big data management system can also be used as research data, which has important research value.</v>
      </c>
      <c r="D3354" s="6" t="s">
        <v>9400</v>
      </c>
      <c r="E3354" s="4" t="str">
        <f ca="1">IFERROR(__xludf.DUMMYFUNCTION("GOOGLETRANSLATE(D3354,""auto"",""en"")"),"A health management service system based on the Internet of Things")</f>
        <v>A health management service system based on the Internet of Things</v>
      </c>
    </row>
    <row r="3355" spans="1:5" ht="15" x14ac:dyDescent="0.25">
      <c r="A3355" s="5" t="s">
        <v>9401</v>
      </c>
      <c r="B3355" s="6" t="s">
        <v>9402</v>
      </c>
      <c r="C3355" s="3" t="str">
        <f ca="1">IFERROR(__xludf.DUMMYFUNCTION("GOOGLETRANSLATE(B3355,""auto"",""en"")"),"本发明涉及人工智能技术领域，公开了一种智能交互式竞技锻炼设备，包括云平台大数据处理中心、电源系统、中央处理系统、存储模块、通信模块、组合式壳体、人机交互系统、 Sound light display system and mobile receiving control terminal. The assembly shell and sound light display system of the present invention has multiple specifications accord"&amp;"ing to the different system model configuration. It has a variety of input interaction forms. The equipment structure is simple, easy to implement, high degree of automation, and intelligent. The combination of photovoltaic power generation technology wit"&amp;"h municipal electricity, the power conversion of photovoltaic energy provides the power required for each module, relieves energy pressure, and achieves the effect of energy saving and environmental protection. The use of each module can achieve easy exer"&amp;"cise, scientific fitness, knowledge learning, learning, knowledge learning, and learning. The purpose of artificial intelligence to assist health management.")</f>
        <v>本发明涉及人工智能技术领域，公开了一种智能交互式竞技锻炼设备，包括云平台大数据处理中心、电源系统、中央处理系统、存储模块、通信模块、组合式壳体、人机交互系统、 Sound light display system and mobile receiving control terminal. The assembly shell and sound light display system of the present invention has multiple specifications according to the different system model configuration. It has a variety of input interaction forms. The equipment structure is simple, easy to implement, high degree of automation, and intelligent. The combination of photovoltaic power generation technology with municipal electricity, the power conversion of photovoltaic energy provides the power required for each module, relieves energy pressure, and achieves the effect of energy saving and environmental protection. The use of each module can achieve easy exercise, scientific fitness, knowledge learning, learning, knowledge learning, and learning. The purpose of artificial intelligence to assist health management.</v>
      </c>
      <c r="D3355" s="6" t="s">
        <v>9403</v>
      </c>
      <c r="E3355" s="4" t="str">
        <f ca="1">IFERROR(__xludf.DUMMYFUNCTION("GOOGLETRANSLATE(D3355,""auto"",""en"")"),"A intelligent interactive competitive exercise equipment")</f>
        <v>A intelligent interactive competitive exercise equipment</v>
      </c>
    </row>
    <row r="3356" spans="1:5" ht="15" x14ac:dyDescent="0.25">
      <c r="A3356" s="5" t="s">
        <v>9404</v>
      </c>
      <c r="B3356" s="6" t="s">
        <v>9405</v>
      </c>
      <c r="C3356" s="3" t="str">
        <f ca="1">IFERROR(__xludf.DUMMYFUNCTION("GOOGLETRANSLATE(B3356,""auto"",""en"")"),"This utility model involves the field of artificial intelligence technology, and an intelligent interactive competitive exercise equipment has been disclosed, including cloud platform big data processing centers, power system, central processing system, s"&amp;"torage module, communication module, combined shell, human -computer interaction system , Sound light display system, mobile receiving control terminal. This utility model of assembly shells and sound light display systems have multiple specifications acc"&amp;"ording to different system model configurations. They have a variety of input interaction forms. The equipment structure is simple, easy to implement, high degree of automation, and intelligent. At the same time, its power source sources The combination o"&amp;"f photovoltaic power generation technology with municipal electricity, the power transformed by the transformed energy provides the power required for each module, relieves energy pressure, and achieves the effect of energy saving and environmental protec"&amp;"tion. The use of each module can achieve easy exercise, scientific fitness, and knowledge learning. The purpose of artificial intelligence assisted health management.")</f>
        <v>This utility model involves the field of artificial intelligence technology, and an intelligent interactive competitive exercise equipment has been disclosed, including cloud platform big data processing centers, power system, central processing system, storage module, communication module, combined shell, human -computer interaction system , Sound light display system, mobile receiving control terminal. This utility model of assembly shells and sound light display systems have multiple specifications according to different system model configurations. They have a variety of input interaction forms. The equipment structure is simple, easy to implement, high degree of automation, and intelligent. At the same time, its power source sources The combination of photovoltaic power generation technology with municipal electricity, the power transformed by the transformed energy provides the power required for each module, relieves energy pressure, and achieves the effect of energy saving and environmental protection. The use of each module can achieve easy exercise, scientific fitness, and knowledge learning. The purpose of artificial intelligence assisted health management.</v>
      </c>
      <c r="D3356" s="6" t="s">
        <v>9403</v>
      </c>
      <c r="E3356" s="4" t="str">
        <f ca="1">IFERROR(__xludf.DUMMYFUNCTION("GOOGLETRANSLATE(D3356,""auto"",""en"")"),"A intelligent interactive competitive exercise equipment")</f>
        <v>A intelligent interactive competitive exercise equipment</v>
      </c>
    </row>
    <row r="3357" spans="1:5" ht="15" x14ac:dyDescent="0.25">
      <c r="A3357" s="5" t="s">
        <v>9406</v>
      </c>
      <c r="B3357" s="6" t="s">
        <v>9407</v>
      </c>
      <c r="C3357" s="3" t="str">
        <f ca="1">IFERROR(__xludf.DUMMYFUNCTION("GOOGLETRANSLATE(B3357,""auto"",""en"")"),"The Internet of Things equipment held by the audience who has purchased the entry tickets; and the integration management equipment for the ticket information and identification information for mapping and storage of IoT devices, but the integrated manage"&amp;"ment equipment, when the IoT device receives the search for seats from the finding seat When request, the ticket information that refer to the identified information information is disclosed that a stadium audience service system is based on the example o"&amp;"f the invention. Give the Internet of Things equipment.")</f>
        <v>The Internet of Things equipment held by the audience who has purchased the entry tickets; and the integration management equipment for the ticket information and identification information for mapping and storage of IoT devices, but the integrated management equipment, when the IoT device receives the search for seats from the finding seat When request, the ticket information that refer to the identified information information is disclosed that a stadium audience service system is based on the example of the invention. Give the Internet of Things equipment.</v>
      </c>
      <c r="D3357" s="6" t="s">
        <v>9408</v>
      </c>
      <c r="E3357" s="4" t="str">
        <f ca="1">IFERROR(__xludf.DUMMYFUNCTION("GOOGLETRANSLATE(D3357,""auto"",""en"")"),"Stadium audience service system using IoT devices")</f>
        <v>Stadium audience service system using IoT devices</v>
      </c>
    </row>
    <row r="3358" spans="1:5" ht="15" x14ac:dyDescent="0.25">
      <c r="A3358" s="5" t="s">
        <v>9409</v>
      </c>
      <c r="B3358" s="6" t="s">
        <v>9410</v>
      </c>
      <c r="C3358" s="3" t="str">
        <f ca="1">IFERROR(__xludf.DUMMYFUNCTION("GOOGLETRANSLATE(B3358,""auto"",""en"")"),"1. The name of the product in this exterior: IoT ball camera.
 2. The purpose of designing products in this exterior: The design of the product is used for the Internet of Things ball -type camera.
 3. Design of the design of the product in this exter"&amp;"ior: the overall shape of the product.
 4. The most important picture or photo of the design design of this appearance: main view.")</f>
        <v>1. The name of the product in this exterior: IoT ball camera.
 2. The purpose of designing products in this exterior: The design of the product is used for the Internet of Things ball -type camera.
 3. Design of the design of the product in this exterior: the overall shape of the product.
 4. The most important picture or photo of the design design of this appearance: main view.</v>
      </c>
      <c r="D3358" s="6" t="s">
        <v>9411</v>
      </c>
      <c r="E3358" s="4" t="str">
        <f ca="1">IFERROR(__xludf.DUMMYFUNCTION("GOOGLETRANSLATE(D3358,""auto"",""en"")"),"IoT ball camera")</f>
        <v>IoT ball camera</v>
      </c>
    </row>
    <row r="3359" spans="1:5" ht="15" x14ac:dyDescent="0.25">
      <c r="A3359" s="5" t="s">
        <v>9412</v>
      </c>
      <c r="B3359" s="6" t="s">
        <v>9413</v>
      </c>
      <c r="C3359" s="3" t="str">
        <f ca="1">IFERROR(__xludf.DUMMYFUNCTION("GOOGLETRANSLATE(B3359,""auto"",""en"")"),"A method and/or system for analyzing the conditions and quality of the ownership of the swimming facilities to analyze the conditions of the residential pool to evaluate the swimming facilities. In one embodiment, one method automatically evaluates the de"&amp;"sign of the residential pool through the image recognition algorithm. The design includes a group of most advanced technologies available at the time, pipelines, pipelines, security standards, maintenance parameters and/or mechanical characteristics. This"&amp;" method generates a digital score based on the latest technologies that can be used at the time to inform the relative quality of your ownership.")</f>
        <v>A method and/or system for analyzing the conditions and quality of the ownership of the swimming facilities to analyze the conditions of the residential pool to evaluate the swimming facilities. In one embodiment, one method automatically evaluates the design of the residential pool through the image recognition algorithm. The design includes a group of most advanced technologies available at the time, pipelines, pipelines, security standards, maintenance parameters and/or mechanical characteristics. This method generates a digital score based on the latest technologies that can be used at the time to inform the relative quality of your ownership.</v>
      </c>
      <c r="D3359" s="6" t="s">
        <v>9414</v>
      </c>
      <c r="E3359" s="4" t="str">
        <f ca="1">IFERROR(__xludf.DUMMYFUNCTION("GOOGLETRANSLATE(D3359,""auto"",""en"")"),"It is used to analyze the conditions and systems of the quality of the ownership of the swimming facilities")</f>
        <v>It is used to analyze the conditions and systems of the quality of the ownership of the swimming facilities</v>
      </c>
    </row>
    <row r="3360" spans="1:5" ht="15" x14ac:dyDescent="0.25">
      <c r="A3360" s="5" t="s">
        <v>9415</v>
      </c>
      <c r="B3360" s="6" t="s">
        <v>9416</v>
      </c>
      <c r="C3360" s="3" t="str">
        <f ca="1">IFERROR(__xludf.DUMMYFUNCTION("GOOGLETRANSLATE(B3360,""auto"",""en"")"),"The present invention proposes a fitness evaluation and fitness system. Including user detection, data processing and control end, and human -computer interconnection; user detection end is used to obtain human data; data processing and control end form d"&amp;"ata reports based on human data; human -machine interaction is used for system management; Human data includes human signs data, cardiopulmonary functional data and/or muscle strength data; users check data reports through human -computer interconnection;"&amp;" data reports include human ingredient data, cardiopulmonary functional data, muscle strength data, dietary recommendations, and exercise protection reports One or more of them. The present invention measures the different physical condition information o"&amp;"f the user through different detection equipment, and then integrates the user's data to form a comprehensive and scientific user guidance report, and can control the working mode of fitness equipment according to the exercise scheme to achieve shared int"&amp;"elligence to share intelligence. Fitness.")</f>
        <v>The present invention proposes a fitness evaluation and fitness system. Including user detection, data processing and control end, and human -computer interconnection; user detection end is used to obtain human data; data processing and control end form data reports based on human data; human -machine interaction is used for system management; Human data includes human signs data, cardiopulmonary functional data and/or muscle strength data; users check data reports through human -computer interconnection; data reports include human ingredient data, cardiopulmonary functional data, muscle strength data, dietary recommendations, and exercise protection reports One or more of them. The present invention measures the different physical condition information of the user through different detection equipment, and then integrates the user's data to form a comprehensive and scientific user guidance report, and can control the working mode of fitness equipment according to the exercise scheme to achieve shared intelligence to share intelligence. Fitness.</v>
      </c>
      <c r="D3360" s="6" t="s">
        <v>9417</v>
      </c>
      <c r="E3360" s="4" t="str">
        <f ca="1">IFERROR(__xludf.DUMMYFUNCTION("GOOGLETRANSLATE(D3360,""auto"",""en"")"),"A kind of fit and energy fitness evaluation and fitness system")</f>
        <v>A kind of fit and energy fitness evaluation and fitness system</v>
      </c>
    </row>
    <row r="3361" spans="1:5" ht="15" x14ac:dyDescent="0.25">
      <c r="A3361" s="5" t="s">
        <v>9418</v>
      </c>
      <c r="B3361" s="6" t="s">
        <v>9419</v>
      </c>
      <c r="C3361" s="3" t="str">
        <f ca="1">IFERROR(__xludf.DUMMYFUNCTION("GOOGLETRANSLATE(B3361,""auto"",""en"")"),"The present invention involves a physical exercise equipment. Specifically, it involves a device with a measurement device and an electronic controller, using electromagnetic resistance, and having such motion training functions. Implementation modules (2"&amp;"), power management module (3), mobile application (4), etc. Users can set the training mode through mobile applications (4) or control buttons (12), including three main modes of mobile Zhang, equal Changhe, etc. According to different training modes, el"&amp;"ectronic controller modules (1) take different differently Implementation plan. Under the control of the electronic controller module (1), the present invention uses the resistance of the inspirational motor as the source of the resistance, reuse its powe"&amp;"r generation, and enables it to achieve the IoT and intelligence. Waiting for movement, it provides a safe, efficient, environmentally friendly, intelligent and low -cost device.")</f>
        <v>The present invention involves a physical exercise equipment. Specifically, it involves a device with a measurement device and an electronic controller, using electromagnetic resistance, and having such motion training functions. Implementation modules (2), power management module (3), mobile application (4), etc. Users can set the training mode through mobile applications (4) or control buttons (12), including three main modes of mobile Zhang, equal Changhe, etc. According to different training modes, electronic controller modules (1) take different differently Implementation plan. Under the control of the electronic controller module (1), the present invention uses the resistance of the inspirational motor as the source of the resistance, reuse its power generation, and enables it to achieve the IoT and intelligence. Waiting for movement, it provides a safe, efficient, environmentally friendly, intelligent and low -cost device.</v>
      </c>
      <c r="D3361" s="6" t="s">
        <v>9420</v>
      </c>
      <c r="E3361" s="4" t="str">
        <f ca="1">IFERROR(__xludf.DUMMYFUNCTION("GOOGLETRANSLATE(D3361,""auto"",""en"")"),"A multi -functional intelligent resistance device applied to exercise equipment")</f>
        <v>A multi -functional intelligent resistance device applied to exercise equipment</v>
      </c>
    </row>
    <row r="3362" spans="1:5" ht="15" x14ac:dyDescent="0.25">
      <c r="A3362" s="5" t="s">
        <v>9421</v>
      </c>
      <c r="B3362" s="6" t="s">
        <v>9422</v>
      </c>
      <c r="C3362" s="3" t="str">
        <f ca="1">IFERROR(__xludf.DUMMYFUNCTION("GOOGLETRANSLATE(B3362,""auto"",""en"")"),"The present invention disclosed the game -based robotic pension service management platform, which belongs to the field of human -computer interaction, including the elderly information collection terminal and interactive terminal connected to the elderly"&amp;" connected to the server signal; The information collection terminal is used to collect the game operation information that the elderly perform the game content for the game content and the status signal used to collect the old man in the game when playin"&amp;"g the game; Give interactive terminal; the elderly information collection terminal sends status signals to the server. Through the present invention, the lack of current pension services can be made up, so that the pension service management platform can "&amp;"not only provide daily life services, but also provide spiritual entertainment services, so that the elderly's spiritual needs can be met.")</f>
        <v>The present invention disclosed the game -based robotic pension service management platform, which belongs to the field of human -computer interaction, including the elderly information collection terminal and interactive terminal connected to the elderly connected to the server signal; The information collection terminal is used to collect the game operation information that the elderly perform the game content for the game content and the status signal used to collect the old man in the game when playing the game; Give interactive terminal; the elderly information collection terminal sends status signals to the server. Through the present invention, the lack of current pension services can be made up, so that the pension service management platform can not only provide daily life services, but also provide spiritual entertainment services, so that the elderly's spiritual needs can be met.</v>
      </c>
      <c r="D3362" s="6" t="s">
        <v>9423</v>
      </c>
      <c r="E3362" s="4" t="str">
        <f ca="1">IFERROR(__xludf.DUMMYFUNCTION("GOOGLETRANSLATE(D3362,""auto"",""en"")"),"Game -based robotic pension service management platform")</f>
        <v>Game -based robotic pension service management platform</v>
      </c>
    </row>
    <row r="3363" spans="1:5" ht="15" x14ac:dyDescent="0.25">
      <c r="A3363" s="5" t="s">
        <v>9424</v>
      </c>
      <c r="B3363" s="6" t="s">
        <v>9425</v>
      </c>
      <c r="C3363" s="3" t="str">
        <f ca="1">IFERROR(__xludf.DUMMYFUNCTION("GOOGLETRANSLATE(B3363,""auto"",""en"")"),"The present invention disclosed a target object tracking system for smart robots, including: video collection modules, target character acquisition modules, target characters initialized modules and target characters tracking modules. Tracking shooting, s"&amp;"aving manpower and material resources, has application value in film and television works or during the live broadcast of the game.")</f>
        <v>The present invention disclosed a target object tracking system for smart robots, including: video collection modules, target character acquisition modules, target characters initialized modules and target characters tracking modules. Tracking shooting, saving manpower and material resources, has application value in film and television works or during the live broadcast of the game.</v>
      </c>
      <c r="D3363" s="6" t="s">
        <v>9426</v>
      </c>
      <c r="E3363" s="4" t="str">
        <f ca="1">IFERROR(__xludf.DUMMYFUNCTION("GOOGLETRANSLATE(D3363,""auto"",""en"")"),"A target object tracking system for smart robots")</f>
        <v>A target object tracking system for smart robots</v>
      </c>
    </row>
    <row r="3364" spans="1:5" ht="15" x14ac:dyDescent="0.25">
      <c r="A3364" s="5" t="s">
        <v>9427</v>
      </c>
      <c r="B3364" s="6" t="s">
        <v>9428</v>
      </c>
      <c r="C3364" s="3" t="str">
        <f ca="1">IFERROR(__xludf.DUMMYFUNCTION("GOOGLETRANSLATE(B3364,""auto"",""en"")"),"The present invention provides a method for comprehensive monitoring, analyzing and maintaining water and equipment in the swimming pool. The method is implemented by one or more processors. Equipment, the instruction code module is stored on it. When bei"&amp;"ng executed, one or more processors execute: -Capy and monitor data from at least one of the following components: the sensors, actors and surroundings around the swimming pool and around Circuit disconnection; Data also obtain the best strategy of pool m"&amp;"aintenance by providing suggestions and control parameters, and -The interface of the recommendation/control parameters of at least one of the following online access: the owner of the pool, the pool service personnel, the swimming pool maintenance compan"&amp;"y, the swimming pool supply Merchants retail dealers.")</f>
        <v>The present invention provides a method for comprehensive monitoring, analyzing and maintaining water and equipment in the swimming pool. The method is implemented by one or more processors. Equipment, the instruction code module is stored on it. When being executed, one or more processors execute: -Capy and monitor data from at least one of the following components: the sensors, actors and surroundings around the swimming pool and around Circuit disconnection; Data also obtain the best strategy of pool maintenance by providing suggestions and control parameters, and -The interface of the recommendation/control parameters of at least one of the following online access: the owner of the pool, the pool service personnel, the swimming pool maintenance company, the swimming pool supply Merchants retail dealers.</v>
      </c>
      <c r="D3364" s="6" t="s">
        <v>2954</v>
      </c>
      <c r="E3364" s="4" t="str">
        <f ca="1">IFERROR(__xludf.DUMMYFUNCTION("GOOGLETRANSLATE(D3364,""auto"",""en"")"),"A system and method of comprehensive monitoring, analysis and maintenance of swimming pool water and equipment")</f>
        <v>A system and method of comprehensive monitoring, analysis and maintenance of swimming pool water and equipment</v>
      </c>
    </row>
    <row r="3365" spans="1:5" ht="15" x14ac:dyDescent="0.25">
      <c r="A3365" s="5" t="s">
        <v>9429</v>
      </c>
      <c r="B3365" s="6" t="s">
        <v>9430</v>
      </c>
      <c r="C3365" s="3" t="str">
        <f ca="1">IFERROR(__xludf.DUMMYFUNCTION("GOOGLETRANSLATE(B3365,""auto"",""en"")"),"The present invention provides a method for comprehensive monitoring, analyzing and maintaining water and equipment in the swimming pool. There is a instruction code module on the sex storage device. When the execution is executed, the instruction code mo"&amp;"dule is executed by one or more processing devices: -Colon the continuous data from the acoustic sensor; The data obtained and providing a recommendation and control parameter online remote server apply to apply machine learning algorithms, and-provide on"&amp;"line interface to access at least one of the following recommendations: owner, swimming pool service personnel, swimming pool maintenance company, swimming pool supplier With the retail dealer of the pool, the application of the machine learning algorithm"&amp;" includes the use of trained acoustic models to learn the behavior of the data obtained from the acoustic sensor and identify at least one in the fault of the equipment, the position of the fault, the type of faulty type As well as the interaction between"&amp;" the equipment/instrument that occurs and the other equipment/instruments in the pool system.")</f>
        <v>The present invention provides a method for comprehensive monitoring, analyzing and maintaining water and equipment in the swimming pool. There is a instruction code module on the sex storage device. When the execution is executed, the instruction code module is executed by one or more processing devices: -Colon the continuous data from the acoustic sensor; The data obtained and providing a recommendation and control parameter online remote server apply to apply machine learning algorithms, and-provide online interface to access at least one of the following recommendations: owner, swimming pool service personnel, swimming pool maintenance company, swimming pool supplier With the retail dealer of the pool, the application of the machine learning algorithm includes the use of trained acoustic models to learn the behavior of the data obtained from the acoustic sensor and identify at least one in the fault of the equipment, the position of the fault, the type of faulty type As well as the interaction between the equipment/instrument that occurs and the other equipment/instruments in the pool system.</v>
      </c>
      <c r="D3365" s="6" t="s">
        <v>9431</v>
      </c>
      <c r="E3365" s="4" t="str">
        <f ca="1">IFERROR(__xludf.DUMMYFUNCTION("GOOGLETRANSLATE(D3365,""auto"",""en"")"),"A system and method for acoustic monitoring, analysis and maintenance for swimming pool equipment")</f>
        <v>A system and method for acoustic monitoring, analysis and maintenance for swimming pool equipment</v>
      </c>
    </row>
    <row r="3366" spans="1:5" ht="15" x14ac:dyDescent="0.25">
      <c r="A3366" s="5" t="s">
        <v>9432</v>
      </c>
      <c r="B3366" s="6" t="s">
        <v>9433</v>
      </c>
      <c r="C3366" s="3" t="str">
        <f ca="1">IFERROR(__xludf.DUMMYFUNCTION("GOOGLETRANSLATE(B3366,""auto"",""en"")"),"The present invention discloses a drowning inspection alarm based on cloud server and machine learning algorithms, involving the field of computer application technology, including wearable devices, servers and guardians held by the user's hands or feet. "&amp;"Wearable device collecting users' action posture and heart rate data. The server analyzes these data through various factors to determine whether the swimmers have drowning and truly realize the function of drowning incident monitoring. It can accurately "&amp;"send the alarm information to the guardian or swimming coach in real time, which has the advantages of accurate, efficient, real -time, and large monitoring scope.")</f>
        <v>The present invention discloses a drowning inspection alarm based on cloud server and machine learning algorithms, involving the field of computer application technology, including wearable devices, servers and guardians held by the user's hands or feet. Wearable device collecting users' action posture and heart rate data. The server analyzes these data through various factors to determine whether the swimmers have drowning and truly realize the function of drowning incident monitoring. It can accurately send the alarm information to the guardian or swimming coach in real time, which has the advantages of accurate, efficient, real -time, and large monitoring scope.</v>
      </c>
      <c r="D3366" s="6" t="s">
        <v>9434</v>
      </c>
      <c r="E3366" s="4" t="str">
        <f ca="1">IFERROR(__xludf.DUMMYFUNCTION("GOOGLETRANSLATE(D3366,""auto"",""en"")"),"A drowning inspection alarm based on cloud server and machine learning algorithms")</f>
        <v>A drowning inspection alarm based on cloud server and machine learning algorithms</v>
      </c>
    </row>
    <row r="3367" spans="1:5" ht="15" x14ac:dyDescent="0.25">
      <c r="A3367" s="5" t="s">
        <v>9435</v>
      </c>
      <c r="B3367" s="6" t="s">
        <v>9436</v>
      </c>
      <c r="C3367" s="3" t="str">
        <f ca="1">IFERROR(__xludf.DUMMYFUNCTION("GOOGLETRANSLATE(B3367,""auto"",""en"")"),"The present invention provides a method of comprehensive monitoring, analysis and maintenance of water and equipment in the swimming pool. The method is implemented by one or more processing equipment. , Stall the instruction code module on the non -tempo"&amp;"rary storage device. When the execution is performed, one or more processing device executes: -Colon the continuous data from the acoustic sensor; Application machine learning algorithm, configured to be obtained by merging, provides suggestions and contr"&amp;"ol parameters, and-provide online interface to access at least one of the following suggestions: owners, swimming pool service personnel, swimming pool maintenance companies, swimming pool suppliers and retail pool retail retail Business, the application "&amp;"of the machine learning algorithm includes a trained acoustic model to learn at least one in the behavior of the data obtained from the acoustic sensor and identify at least one in the fault of the device. The interaction between the instrument and other "&amp;"equipment/instruments in the pool system.")</f>
        <v>The present invention provides a method of comprehensive monitoring, analysis and maintenance of water and equipment in the swimming pool. The method is implemented by one or more processing equipment. , Stall the instruction code module on the non -temporary storage device. When the execution is performed, one or more processing device executes: -Colon the continuous data from the acoustic sensor; Application machine learning algorithm, configured to be obtained by merging, provides suggestions and control parameters, and-provide online interface to access at least one of the following suggestions: owners, swimming pool service personnel, swimming pool maintenance companies, swimming pool suppliers and retail pool retail retail Business, the application of the machine learning algorithm includes a trained acoustic model to learn at least one in the behavior of the data obtained from the acoustic sensor and identify at least one in the fault of the device. The interaction between the instrument and other equipment/instruments in the pool system.</v>
      </c>
      <c r="D3367" s="6" t="s">
        <v>9437</v>
      </c>
      <c r="E3367" s="4" t="str">
        <f ca="1">IFERROR(__xludf.DUMMYFUNCTION("GOOGLETRANSLATE(D3367,""auto"",""en"")"),"A system and method of acoustic monitoring, analysis and maintenance of swimming pool equipment")</f>
        <v>A system and method of acoustic monitoring, analysis and maintenance of swimming pool equipment</v>
      </c>
    </row>
    <row r="3368" spans="1:5" ht="15" x14ac:dyDescent="0.25">
      <c r="A3368" s="5" t="s">
        <v>9438</v>
      </c>
      <c r="B3368" s="6" t="s">
        <v>9428</v>
      </c>
      <c r="C3368" s="3" t="str">
        <f ca="1">IFERROR(__xludf.DUMMYFUNCTION("GOOGLETRANSLATE(B3368,""auto"",""en"")"),"The present invention provides a method for comprehensive monitoring, analyzing and maintaining water and equipment in the swimming pool. The method is implemented by one or more processors. Equipment, the instruction code module is stored on it. When bei"&amp;"ng executed, one or more processors execute: -Capy and monitor data from at least one of the following components: the sensors, actors and surroundings around the swimming pool and around Circuit disconnection; Data also obtain the best strategy of pool m"&amp;"aintenance by providing suggestions and control parameters, and -The interface of the recommendation/control parameters of at least one of the following online access: the owner of the pool, the pool service personnel, the swimming pool maintenance compan"&amp;"y, the swimming pool supply Merchants retail dealers.")</f>
        <v>The present invention provides a method for comprehensive monitoring, analyzing and maintaining water and equipment in the swimming pool. The method is implemented by one or more processors. Equipment, the instruction code module is stored on it. When being executed, one or more processors execute: -Capy and monitor data from at least one of the following components: the sensors, actors and surroundings around the swimming pool and around Circuit disconnection; Data also obtain the best strategy of pool maintenance by providing suggestions and control parameters, and -The interface of the recommendation/control parameters of at least one of the following online access: the owner of the pool, the pool service personnel, the swimming pool maintenance company, the swimming pool supply Merchants retail dealers.</v>
      </c>
      <c r="D3368" s="6" t="s">
        <v>9439</v>
      </c>
      <c r="E3368" s="4" t="str">
        <f ca="1">IFERROR(__xludf.DUMMYFUNCTION("GOOGLETRANSLATE(D3368,""auto"",""en"")"),"A system and method of comprehensive monitoring, analysis and maintenance of swimming pool water and equipment")</f>
        <v>A system and method of comprehensive monitoring, analysis and maintenance of swimming pool water and equipment</v>
      </c>
    </row>
    <row r="3369" spans="1:5" ht="15" x14ac:dyDescent="0.25">
      <c r="A3369" s="5" t="s">
        <v>9440</v>
      </c>
      <c r="B3369" s="6" t="s">
        <v>9430</v>
      </c>
      <c r="C3369" s="3" t="str">
        <f ca="1">IFERROR(__xludf.DUMMYFUNCTION("GOOGLETRANSLATE(B3369,""auto"",""en"")"),"The present invention provides a method for comprehensive monitoring, analyzing and maintaining water and equipment in the swimming pool. There is a instruction code module on the sex storage device. When the execution is executed, the instruction code mo"&amp;"dule is executed by one or more processing devices: -Colon the continuous data from the acoustic sensor; The data obtained and providing a recommendation and control parameter online remote server apply to apply machine learning algorithms, and-provide on"&amp;"line interface to access at least one of the following recommendations: owner, swimming pool service personnel, swimming pool maintenance company, swimming pool supplier With the retail dealer of the pool, the application of the machine learning algorithm"&amp;" includes the use of trained acoustic models to learn the behavior of the data obtained from the acoustic sensor and identify at least one in the fault of the equipment, the position of the fault, the type of faulty type As well as the interaction between"&amp;" the equipment/instrument that occurs and the other equipment/instruments in the pool system.")</f>
        <v>The present invention provides a method for comprehensive monitoring, analyzing and maintaining water and equipment in the swimming pool. There is a instruction code module on the sex storage device. When the execution is executed, the instruction code module is executed by one or more processing devices: -Colon the continuous data from the acoustic sensor; The data obtained and providing a recommendation and control parameter online remote server apply to apply machine learning algorithms, and-provide online interface to access at least one of the following recommendations: owner, swimming pool service personnel, swimming pool maintenance company, swimming pool supplier With the retail dealer of the pool, the application of the machine learning algorithm includes the use of trained acoustic models to learn the behavior of the data obtained from the acoustic sensor and identify at least one in the fault of the equipment, the position of the fault, the type of faulty type As well as the interaction between the equipment/instrument that occurs and the other equipment/instruments in the pool system.</v>
      </c>
      <c r="D3369" s="6" t="s">
        <v>9431</v>
      </c>
      <c r="E3369" s="4" t="str">
        <f ca="1">IFERROR(__xludf.DUMMYFUNCTION("GOOGLETRANSLATE(D3369,""auto"",""en"")"),"A system and method for acoustic monitoring, analysis and maintenance for swimming pool equipment")</f>
        <v>A system and method for acoustic monitoring, analysis and maintenance for swimming pool equipment</v>
      </c>
    </row>
    <row r="3370" spans="1:5" ht="15" x14ac:dyDescent="0.25">
      <c r="A3370" s="5" t="s">
        <v>9441</v>
      </c>
      <c r="B3370" s="6" t="s">
        <v>9428</v>
      </c>
      <c r="C3370" s="3" t="str">
        <f ca="1">IFERROR(__xludf.DUMMYFUNCTION("GOOGLETRANSLATE(B3370,""auto"",""en"")"),"The present invention provides a method for comprehensive monitoring, analyzing and maintaining water and equipment in the swimming pool. The method is implemented by one or more processors. Equipment, the instruction code module is stored on it. When bei"&amp;"ng executed, one or more processors execute: -Capy and monitor data from at least one of the following components: the sensors, actors and surroundings around the swimming pool and around Circuit disconnection; Data also obtain the best strategy of pool m"&amp;"aintenance by providing suggestions and control parameters, and -The interface of the recommendation/control parameters of at least one of the following online access: the owner of the pool, the pool service personnel, the swimming pool maintenance compan"&amp;"y, the swimming pool supply Merchants retail dealers.")</f>
        <v>The present invention provides a method for comprehensive monitoring, analyzing and maintaining water and equipment in the swimming pool. The method is implemented by one or more processors. Equipment, the instruction code module is stored on it. When being executed, one or more processors execute: -Capy and monitor data from at least one of the following components: the sensors, actors and surroundings around the swimming pool and around Circuit disconnection; Data also obtain the best strategy of pool maintenance by providing suggestions and control parameters, and -The interface of the recommendation/control parameters of at least one of the following online access: the owner of the pool, the pool service personnel, the swimming pool maintenance company, the swimming pool supply Merchants retail dealers.</v>
      </c>
      <c r="D3370" s="6" t="s">
        <v>9439</v>
      </c>
      <c r="E3370" s="4" t="str">
        <f ca="1">IFERROR(__xludf.DUMMYFUNCTION("GOOGLETRANSLATE(D3370,""auto"",""en"")"),"A system and method of comprehensive monitoring, analysis and maintenance of swimming pool water and equipment")</f>
        <v>A system and method of comprehensive monitoring, analysis and maintenance of swimming pool water and equipment</v>
      </c>
    </row>
    <row r="3371" spans="1:5" ht="15" x14ac:dyDescent="0.25">
      <c r="A3371" s="5" t="s">
        <v>9442</v>
      </c>
      <c r="B3371" s="6" t="s">
        <v>9430</v>
      </c>
      <c r="C3371" s="3" t="str">
        <f ca="1">IFERROR(__xludf.DUMMYFUNCTION("GOOGLETRANSLATE(B3371,""auto"",""en"")"),"The present invention provides a method for comprehensive monitoring, analyzing and maintaining water and equipment in the swimming pool. There is a instruction code module on the sex storage device. When the execution is executed, the instruction code mo"&amp;"dule is executed by one or more processing devices: -Colon the continuous data from the acoustic sensor; The data obtained and providing a recommendation and control parameter online remote server apply to apply machine learning algorithms, and-provide on"&amp;"line interface to access at least one of the following recommendations: owner, swimming pool service personnel, swimming pool maintenance company, swimming pool supplier With the retail dealer of the pool, the application of the machine learning algorithm"&amp;" includes the use of trained acoustic models to learn the behavior of the data obtained from the acoustic sensor and identify at least one in the fault of the equipment, the position of the fault, the type of faulty type As well as the interaction between"&amp;" the equipment/instrument that occurs and the other equipment/instruments in the pool system.")</f>
        <v>The present invention provides a method for comprehensive monitoring, analyzing and maintaining water and equipment in the swimming pool. There is a instruction code module on the sex storage device. When the execution is executed, the instruction code module is executed by one or more processing devices: -Colon the continuous data from the acoustic sensor; The data obtained and providing a recommendation and control parameter online remote server apply to apply machine learning algorithms, and-provide online interface to access at least one of the following recommendations: owner, swimming pool service personnel, swimming pool maintenance company, swimming pool supplier With the retail dealer of the pool, the application of the machine learning algorithm includes the use of trained acoustic models to learn the behavior of the data obtained from the acoustic sensor and identify at least one in the fault of the equipment, the position of the fault, the type of faulty type As well as the interaction between the equipment/instrument that occurs and the other equipment/instruments in the pool system.</v>
      </c>
      <c r="D3371" s="6" t="s">
        <v>9431</v>
      </c>
      <c r="E3371" s="4" t="str">
        <f ca="1">IFERROR(__xludf.DUMMYFUNCTION("GOOGLETRANSLATE(D3371,""auto"",""en"")"),"A system and method for acoustic monitoring, analysis and maintenance for swimming pool equipment")</f>
        <v>A system and method for acoustic monitoring, analysis and maintenance for swimming pool equipment</v>
      </c>
    </row>
    <row r="3372" spans="1:5" ht="15" x14ac:dyDescent="0.25">
      <c r="A3372" s="5" t="s">
        <v>9443</v>
      </c>
      <c r="B3372" s="6" t="s">
        <v>9444</v>
      </c>
      <c r="C3372" s="3" t="str">
        <f ca="1">IFERROR(__xludf.DUMMYFUNCTION("GOOGLETRANSLATE(B3372,""auto"",""en"")"),"The present invention disclosed the guidance -type pension service platform based on game robots, which belongs to the human -computer interaction field, including the elderly information collection terminal and interactive terminal connected to the elder"&amp;"ly connected to the server signal; The elderly information collection terminal is used to collect the input operation information of the elderly to perform specific operations for the game content when playing the game, and to collect the state signal tha"&amp;"t the elderly represents their physiological status when playing the game; Send to the interactive terminal; the elderly information collection terminal sends the status signal to the server. Through the present invention, the lack of current pension serv"&amp;"ices can be made up, so that the pension service management platform can not only provide daily life services, but also provide spiritual entertainment services, so that the elderly's spiritual needs can be met.")</f>
        <v>The present invention disclosed the guidance -type pension service platform based on game robots, which belongs to the human -computer interaction field, including the elderly information collection terminal and interactive terminal connected to the elderly connected to the server signal; The elderly information collection terminal is used to collect the input operation information of the elderly to perform specific operations for the game content when playing the game, and to collect the state signal that the elderly represents their physiological status when playing the game; Send to the interactive terminal; the elderly information collection terminal sends the status signal to the server. Through the present invention, the lack of current pension services can be made up, so that the pension service management platform can not only provide daily life services, but also provide spiritual entertainment services, so that the elderly's spiritual needs can be met.</v>
      </c>
      <c r="D3372" s="6" t="s">
        <v>9445</v>
      </c>
      <c r="E3372" s="4" t="str">
        <f ca="1">IFERROR(__xludf.DUMMYFUNCTION("GOOGLETRANSLATE(D3372,""auto"",""en"")"),"Guide -type pension service platform based on game robots")</f>
        <v>Guide -type pension service platform based on game robots</v>
      </c>
    </row>
    <row r="3373" spans="1:5" ht="15" x14ac:dyDescent="0.25">
      <c r="A3373" s="5" t="s">
        <v>9446</v>
      </c>
      <c r="B3373" s="6" t="s">
        <v>9447</v>
      </c>
      <c r="C3373" s="3" t="str">
        <f ca="1">IFERROR(__xludf.DUMMYFUNCTION("GOOGLETRANSLATE(B3373,""auto"",""en"")"),"The present invention provides a method for comprehensive monitoring, analyzing and maintaining water and equipment in the swimming pool. The instruction code module is stored on the sex storage device. When the execution is executed, the instruction code"&amp;" module is executed by one or more processing devices: - Get continuous data from the acoustic sensor; The data obtained and providing suggestions and control parameters to apply machine learning algorithms on the online remote server, and-provide online "&amp;"interface to access at least one of the following suggestions: pool owner, swimming pool service personnel, swimming pool maintenance company, swimming pool supplier, supplier of pool pools With the retail dealer of the pool, the application of the machin"&amp;"e learning algorithm includes the behavior of the data obtained from the acoustic sensor and identifies at least one acoustic model, fault position, type of failure, and occurrence of at least one of the faults of the device fault. The faulty equipment/in"&amp;"strument and other equipment/instruments in the pool system.")</f>
        <v>The present invention provides a method for comprehensive monitoring, analyzing and maintaining water and equipment in the swimming pool. The instruction code module is stored on the sex storage device. When the execution is executed, the instruction code module is executed by one or more processing devices: - Get continuous data from the acoustic sensor; The data obtained and providing suggestions and control parameters to apply machine learning algorithms on the online remote server, and-provide online interface to access at least one of the following suggestions: pool owner, swimming pool service personnel, swimming pool maintenance company, swimming pool supplier, supplier of pool pools With the retail dealer of the pool, the application of the machine learning algorithm includes the behavior of the data obtained from the acoustic sensor and identifies at least one acoustic model, fault position, type of failure, and occurrence of at least one of the faults of the device fault. The faulty equipment/instrument and other equipment/instruments in the pool system.</v>
      </c>
      <c r="D3373" s="6" t="s">
        <v>9431</v>
      </c>
      <c r="E3373" s="4" t="str">
        <f ca="1">IFERROR(__xludf.DUMMYFUNCTION("GOOGLETRANSLATE(D3373,""auto"",""en"")"),"A system and method for acoustic monitoring, analysis and maintenance for swimming pool equipment")</f>
        <v>A system and method for acoustic monitoring, analysis and maintenance for swimming pool equipment</v>
      </c>
    </row>
    <row r="3374" spans="1:5" ht="15" x14ac:dyDescent="0.25">
      <c r="A3374" s="5" t="s">
        <v>9448</v>
      </c>
      <c r="B3374" s="6" t="s">
        <v>9449</v>
      </c>
      <c r="C3374" s="3" t="str">
        <f ca="1">IFERROR(__xludf.DUMMYFUNCTION("GOOGLETRANSLATE(B3374,""auto"",""en"")"),"The present invention provides a method of comprehensive monitoring, analysis and maintenance of water and equipment in the swimming pool. The method is implemented by one or more processors. Read the storage device, store the instruction code module on t"&amp;"he non -transient computer read -storage device. When executed, one or more processors execute: -collect and monitor data from elements. These elements include at least one of the following: The sensors, actuators and circuit breakers near and around the "&amp;"swimming pool; ——Chisonic data from multiple sources in the local processing unit; — spread the data to the online remote server, apply machine learning or based on online remote servers or based on based on a machine learning or based on based on the rem"&amp;"ote server. The algorithm of the rules is configured to merge all obtained data and provides suggestions, control parameters, and — providing online services to obtain the best strategy of pool maintenance. Swimming pool service staff, swimming pool maint"&amp;"enance company, pool supplier and swimming pool retailer.")</f>
        <v>The present invention provides a method of comprehensive monitoring, analysis and maintenance of water and equipment in the swimming pool. The method is implemented by one or more processors. Read the storage device, store the instruction code module on the non -transient computer read -storage device. When executed, one or more processors execute: -collect and monitor data from elements. These elements include at least one of the following: The sensors, actuators and circuit breakers near and around the swimming pool; ——Chisonic data from multiple sources in the local processing unit; — spread the data to the online remote server, apply machine learning or based on online remote servers or based on based on a machine learning or based on based on the remote server. The algorithm of the rules is configured to merge all obtained data and provides suggestions, control parameters, and — providing online services to obtain the best strategy of pool maintenance. Swimming pool service staff, swimming pool maintenance company, pool supplier and swimming pool retailer.</v>
      </c>
      <c r="D3374" s="6" t="s">
        <v>9450</v>
      </c>
      <c r="E3374" s="4" t="str">
        <f ca="1">IFERROR(__xludf.DUMMYFUNCTION("GOOGLETRANSLATE(D3374,""auto"",""en"")"),"A system and method of comprehensive monitoring, analysis and maintenance of swimming pool water and equipment")</f>
        <v>A system and method of comprehensive monitoring, analysis and maintenance of swimming pool water and equipment</v>
      </c>
    </row>
    <row r="3375" spans="1:5" ht="15" x14ac:dyDescent="0.25">
      <c r="A3375" s="5" t="s">
        <v>9451</v>
      </c>
      <c r="B3375" s="6" t="s">
        <v>9452</v>
      </c>
      <c r="C3375" s="3" t="str">
        <f ca="1">IFERROR(__xludf.DUMMYFUNCTION("GOOGLETRANSLATE(B3375,""auto"",""en"")"),"The present invention provides a method for comprehensive monitoring, analyzing and maintaining water and equipment in the swimming pool. The method is implemented by one or more processors. The state -to -computer readable storage equipment module uses o"&amp;"ne or more processors when performing execution: -Coamed and monitor data from the components, including at least one of the following: sensors, actors and circuit breakers near the pool; The non -sensory data accumulated from multiple sources in the proc"&amp;"essing unit; Suggestions, control parameters to obtain the best strategies for pool maintenance, and -Che online interface for the recommendation/control parameters that provide at least one of the following access: Swimming pool owners, swimming pool cle"&amp;"aners, swimming pool maintenance companies, swimming pool suppliers and retail pool retail distribution business.")</f>
        <v>The present invention provides a method for comprehensive monitoring, analyzing and maintaining water and equipment in the swimming pool. The method is implemented by one or more processors. The state -to -computer readable storage equipment module uses one or more processors when performing execution: -Coamed and monitor data from the components, including at least one of the following: sensors, actors and circuit breakers near the pool; The non -sensory data accumulated from multiple sources in the processing unit; Suggestions, control parameters to obtain the best strategies for pool maintenance, and -Che online interface for the recommendation/control parameters that provide at least one of the following access: Swimming pool owners, swimming pool cleaners, swimming pool maintenance companies, swimming pool suppliers and retail pool retail distribution business.</v>
      </c>
      <c r="D3375" s="6" t="s">
        <v>9439</v>
      </c>
      <c r="E3375" s="4" t="str">
        <f ca="1">IFERROR(__xludf.DUMMYFUNCTION("GOOGLETRANSLATE(D3375,""auto"",""en"")"),"A system and method of comprehensive monitoring, analysis and maintenance of swimming pool water and equipment")</f>
        <v>A system and method of comprehensive monitoring, analysis and maintenance of swimming pool water and equipment</v>
      </c>
    </row>
    <row r="3376" spans="1:5" ht="15" x14ac:dyDescent="0.25">
      <c r="A3376" s="5" t="s">
        <v>9453</v>
      </c>
      <c r="B3376" s="6" t="s">
        <v>9454</v>
      </c>
      <c r="C3376" s="3" t="str">
        <f ca="1">IFERROR(__xludf.DUMMYFUNCTION("GOOGLETRANSLATE(B3376,""auto"",""en"")"),"The present invention provides a method of comprehensive monitoring, analysis and maintenance of water and equipment in the swimming pool. Realization, there is a instruction code module on the non -temporary computer readable storage device. When execute"&amp;"d, one or more processors execute: The surrounding sensors, migrants and circuit breakers; Apply machine learning or rule-based algorithms on the online remote server, and obtain the best strategy of pool maintenance by providing suggestions and control p"&amp;"arameters, and-provide online remote server to access at least one of the following recommendations/control parameters that control parameters below Interface: Swimming pool owner, swimming pool maintenance personnel, swimming pool maintenance company, sw"&amp;"imming pool supplier and retail vessel retail dealer.")</f>
        <v>The present invention provides a method of comprehensive monitoring, analysis and maintenance of water and equipment in the swimming pool. Realization, there is a instruction code module on the non -temporary computer readable storage device. When executed, one or more processors execute: The surrounding sensors, migrants and circuit breakers; Apply machine learning or rule-based algorithms on the online remote server, and obtain the best strategy of pool maintenance by providing suggestions and control parameters, and-provide online remote server to access at least one of the following recommendations/control parameters that control parameters below Interface: Swimming pool owner, swimming pool maintenance personnel, swimming pool maintenance company, swimming pool supplier and retail vessel retail dealer.</v>
      </c>
      <c r="D3376" s="6" t="s">
        <v>9439</v>
      </c>
      <c r="E3376" s="4" t="str">
        <f ca="1">IFERROR(__xludf.DUMMYFUNCTION("GOOGLETRANSLATE(D3376,""auto"",""en"")"),"A system and method of comprehensive monitoring, analysis and maintenance of swimming pool water and equipment")</f>
        <v>A system and method of comprehensive monitoring, analysis and maintenance of swimming pool water and equipment</v>
      </c>
    </row>
    <row r="3377" spans="1:5" ht="15" x14ac:dyDescent="0.25">
      <c r="A3377" s="5" t="s">
        <v>9455</v>
      </c>
      <c r="B3377" s="6" t="s">
        <v>9456</v>
      </c>
      <c r="C3377" s="3" t="str">
        <f ca="1">IFERROR(__xludf.DUMMYFUNCTION("GOOGLETRANSLATE(B3377,""auto"",""en"")"),"The present invention discloses a table tennis pick -up machine based on artificial intelligence. The invention includes shells, detection devices and control systems. The detection device includes infrared detection sensors and ultrasonic sensors. At the"&amp;" top of the body, the ultrasonic sensor is set on the outside of the shell. The bottom of the shell is set with a roller wheel, and the ball pick -up device includes the ball pick -up device The gazing warehouse and the conveying device connected to the p"&amp;"illing device and the gaming warehouse in the upper part. The picker of the present invention can automatically realize the ball pick -up and transfer the ball to the storage barrel of the kicker, which greatly saves manpower, and also saves a lot of time"&amp;" that costs the ball to pick up the ball.")</f>
        <v>The present invention discloses a table tennis pick -up machine based on artificial intelligence. The invention includes shells, detection devices and control systems. The detection device includes infrared detection sensors and ultrasonic sensors. At the top of the body, the ultrasonic sensor is set on the outside of the shell. The bottom of the shell is set with a roller wheel, and the ball pick -up device includes the ball pick -up device The gazing warehouse and the conveying device connected to the pilling device and the gaming warehouse in the upper part. The picker of the present invention can automatically realize the ball pick -up and transfer the ball to the storage barrel of the kicker, which greatly saves manpower, and also saves a lot of time that costs the ball to pick up the ball.</v>
      </c>
      <c r="D3377" s="6" t="s">
        <v>9457</v>
      </c>
      <c r="E3377" s="4" t="str">
        <f ca="1">IFERROR(__xludf.DUMMYFUNCTION("GOOGLETRANSLATE(D3377,""auto"",""en"")"),"An artificial intelligence -based table tennis pickup machine")</f>
        <v>An artificial intelligence -based table tennis pickup machine</v>
      </c>
    </row>
    <row r="3378" spans="1:5" ht="15" x14ac:dyDescent="0.25">
      <c r="A3378" s="5" t="s">
        <v>9458</v>
      </c>
      <c r="B3378" s="6" t="s">
        <v>9459</v>
      </c>
      <c r="C3378" s="3" t="str">
        <f ca="1">IFERROR(__xludf.DUMMYFUNCTION("GOOGLETRANSLATE(B3378,""auto"",""en"")"),"The present invention disclosed a table tennis player based on artificial intelligence. The present invention includes a number of pressure sensors, imaging devices, control systems and serve devices. Set on both sides of the table tennis, all the pressur"&amp;"e sensors, imaging devices and serve devices are connected to the control system, including automatic pick -up machines. The pressure sensor on the tabletop table of the invention table tennis table can detect the percussion of table tennis percussion. Th"&amp;"e imaging devices on both sides of the table tennis table can track the sports trajectory of table tennis. The automatic ball pick -up machine can automatically pick up the ball in the pick -up area. When the surplus of the table tennis in the storage tub"&amp;"e of the serve device is insufficient or the number of storage warehouses in the automatic pick -up machine reaches the set value The automatic pick -up machine will transfer the table tennis in the storage warehouse to the storage tube.")</f>
        <v>The present invention disclosed a table tennis player based on artificial intelligence. The present invention includes a number of pressure sensors, imaging devices, control systems and serve devices. Set on both sides of the table tennis, all the pressure sensors, imaging devices and serve devices are connected to the control system, including automatic pick -up machines. The pressure sensor on the tabletop table of the invention table tennis table can detect the percussion of table tennis percussion. The imaging devices on both sides of the table tennis table can track the sports trajectory of table tennis. The automatic ball pick -up machine can automatically pick up the ball in the pick -up area. When the surplus of the table tennis in the storage tube of the serve device is insufficient or the number of storage warehouses in the automatic pick -up machine reaches the set value The automatic pick -up machine will transfer the table tennis in the storage warehouse to the storage tube.</v>
      </c>
      <c r="D3378" s="6" t="s">
        <v>9460</v>
      </c>
      <c r="E3378" s="4" t="str">
        <f ca="1">IFERROR(__xludf.DUMMYFUNCTION("GOOGLETRANSLATE(D3378,""auto"",""en"")"),"An artificial intelligence table tennis kicker")</f>
        <v>An artificial intelligence table tennis kicker</v>
      </c>
    </row>
    <row r="3379" spans="1:5" ht="15" x14ac:dyDescent="0.25">
      <c r="A3379" s="5" t="s">
        <v>9461</v>
      </c>
      <c r="B3379" s="6" t="s">
        <v>9462</v>
      </c>
      <c r="C3379" s="3" t="str">
        <f ca="1">IFERROR(__xludf.DUMMYFUNCTION("GOOGLETRANSLATE(B3379,""auto"",""en"")"),"The invention involves the field of fitness management technology, which is a sports fitness plan management system. Including user health data acquisition system, user sports data collection system, user life data collection system, communication module "&amp;"and background system; user health data collection system is used to obtain user health data, user sports data collection system is used to collect user sports data; users Life data collection system is used to collect user diet data and user schedule dat"&amp;"a; the background system includes plans to generate modules, neural network modules, and plan correction modules. The plan to generate modules to generate fitness plans according to the user's health data. The neural network module is based on the user's "&amp;"health data. The neural network module is based on the user's health data. The user fitness effect is adjusted to the algorithm parameters. The plan to correct the module to adjust the plan in real time according to the implementation of the user plan. Th"&amp;"e present invention can solve the problem that the fitness plan that cannot establish a suitable scientific fitness program due to incomplete physical measurement data and the professionalism of coaches.")</f>
        <v>The invention involves the field of fitness management technology, which is a sports fitness plan management system. Including user health data acquisition system, user sports data collection system, user life data collection system, communication module and background system; user health data collection system is used to obtain user health data, user sports data collection system is used to collect user sports data; users Life data collection system is used to collect user diet data and user schedule data; the background system includes plans to generate modules, neural network modules, and plan correction modules. The plan to generate modules to generate fitness plans according to the user's health data. The neural network module is based on the user's health data. The neural network module is based on the user's health data. The user fitness effect is adjusted to the algorithm parameters. The plan to correct the module to adjust the plan in real time according to the implementation of the user plan. The present invention can solve the problem that the fitness plan that cannot establish a suitable scientific fitness program due to incomplete physical measurement data and the professionalism of coaches.</v>
      </c>
      <c r="D3379" s="6" t="s">
        <v>9463</v>
      </c>
      <c r="E3379" s="4" t="str">
        <f ca="1">IFERROR(__xludf.DUMMYFUNCTION("GOOGLETRANSLATE(D3379,""auto"",""en"")"),"Sports and fitness plan management system")</f>
        <v>Sports and fitness plan management system</v>
      </c>
    </row>
    <row r="3380" spans="1:5" ht="15" x14ac:dyDescent="0.25">
      <c r="A3380" s="5" t="s">
        <v>9464</v>
      </c>
      <c r="B3380" s="6" t="s">
        <v>9465</v>
      </c>
      <c r="C3380" s="3" t="str">
        <f ca="1">IFERROR(__xludf.DUMMYFUNCTION("GOOGLETRANSLATE(B3380,""auto"",""en"")"),"The invention provides a treadmill human -computer interoperability method, device and treadmill, involving the field of treadmill technology, which includes: to obtain the scene information of the target scenario. Among them, the target scene is the targ"&amp;"et user to simulate the environment. When running the scene, the target method is the way the target user currently runs on the treadmill; determine the display content of the treadmill according to the scene information to make the display content simula"&amp;"tion target scene. The present invention allows the target runner to have a more real experience of running in the simulation environment, which relieves technical problems that traditional treadmills make users have poor performance performance.")</f>
        <v>The invention provides a treadmill human -computer interoperability method, device and treadmill, involving the field of treadmill technology, which includes: to obtain the scene information of the target scenario. Among them, the target scene is the target user to simulate the environment. When running the scene, the target method is the way the target user currently runs on the treadmill; determine the display content of the treadmill according to the scene information to make the display content simulation target scene. The present invention allows the target runner to have a more real experience of running in the simulation environment, which relieves technical problems that traditional treadmills make users have poor performance performance.</v>
      </c>
      <c r="D3380" s="6" t="s">
        <v>9466</v>
      </c>
      <c r="E3380" s="4" t="str">
        <f ca="1">IFERROR(__xludf.DUMMYFUNCTION("GOOGLETRANSLATE(D3380,""auto"",""en"")"),"Treadmill human -computer interaction methods, devices and treadmills")</f>
        <v>Treadmill human -computer interaction methods, devices and treadmills</v>
      </c>
    </row>
    <row r="3381" spans="1:5" ht="15" x14ac:dyDescent="0.25">
      <c r="A3381" s="5" t="s">
        <v>9467</v>
      </c>
      <c r="B3381" s="6" t="s">
        <v>9468</v>
      </c>
      <c r="C3381" s="3" t="str">
        <f ca="1">IFERROR(__xludf.DUMMYFUNCTION("GOOGLETRANSLATE(B3381,""auto"",""en"")"),"The invention disclosed an automatic table tennis pick -up machine based on artificial intelligence. The invention includes shells, control systems, intelligent detection devices and walking systems. The ultrasonic sensor set on the side of the shell also"&amp;" includes the ball pick -up device. The device is connected. The shell includes the upper half and the lower half shell. The storage warehouse is set in the upper half shell, and the upper half shell will slide on the lower half shell. The picker of the p"&amp;"resent invention can automatically realize the ball pick -up and transfer the ball to the storage barrel of the kicker, which greatly saves manpower, and also saves a lot of time that costs the ball to pick up the ball.")</f>
        <v>The invention disclosed an automatic table tennis pick -up machine based on artificial intelligence. The invention includes shells, control systems, intelligent detection devices and walking systems. The ultrasonic sensor set on the side of the shell also includes the ball pick -up device. The device is connected. The shell includes the upper half and the lower half shell. The storage warehouse is set in the upper half shell, and the upper half shell will slide on the lower half shell. The picker of the present invention can automatically realize the ball pick -up and transfer the ball to the storage barrel of the kicker, which greatly saves manpower, and also saves a lot of time that costs the ball to pick up the ball.</v>
      </c>
      <c r="D3381" s="6" t="s">
        <v>138</v>
      </c>
      <c r="E3381" s="4" t="str">
        <f ca="1">IFERROR(__xludf.DUMMYFUNCTION("GOOGLETRANSLATE(D3381,""auto"",""en"")"),"An automatic table tennis pick -up machine based on artificial intelligence")</f>
        <v>An automatic table tennis pick -up machine based on artificial intelligence</v>
      </c>
    </row>
    <row r="3382" spans="1:5" ht="15" x14ac:dyDescent="0.25">
      <c r="A3382" s="5" t="s">
        <v>9469</v>
      </c>
      <c r="B3382" s="6" t="s">
        <v>9470</v>
      </c>
      <c r="C3382" s="3" t="str">
        <f ca="1">IFERROR(__xludf.DUMMYFUNCTION("GOOGLETRANSLATE(B3382,""auto"",""en"")"),"The invention involves a forklift maintenance time prediction system and method that uses predictive maintenance indicators, which not only provides the overall operation information of the forklift, but also provides predictive maintenance indicators tha"&amp;"t can predict the predictive maintenance time that can be predated by the main loss of the forklift. Information load weight. It involves a power device for providing a driving power supply; the input unit is used to collect predictive maintenance informa"&amp;"tion for each major damaged part that is used for predictive maintenance inspection; the control unit is used to receive forklift collected by the input unit Predictive maintenance information, generate and provide forklift replacement time information; I"&amp;"oT devices including the touch screen that responds to the controller to respond to the controller on the screen can be installed on the forklift. Correspondingly, due to the prediction and maintenance indicator of the actual use and pressure information "&amp;"about the main components of the forklift, and the prediction and maintenance point based on the unit's prediction prediction and maintenance points in advance, the prediction and maintenance point can be more accurately predicted. -Maid the average unit "&amp;"of predictive maintenance indicators. By making predictions possible, it has the effect of providing more accurate predictive maintenance points information.")</f>
        <v>The invention involves a forklift maintenance time prediction system and method that uses predictive maintenance indicators, which not only provides the overall operation information of the forklift, but also provides predictive maintenance indicators that can predict the predictive maintenance time that can be predated by the main loss of the forklift. Information load weight. It involves a power device for providing a driving power supply; the input unit is used to collect predictive maintenance information for each major damaged part that is used for predictive maintenance inspection; the control unit is used to receive forklift collected by the input unit Predictive maintenance information, generate and provide forklift replacement time information; IoT devices including the touch screen that responds to the controller to respond to the controller on the screen can be installed on the forklift. Correspondingly, due to the prediction and maintenance indicator of the actual use and pressure information about the main components of the forklift, and the prediction and maintenance point based on the unit's prediction prediction and maintenance points in advance, the prediction and maintenance point can be more accurately predicted. -Maid the average unit of predictive maintenance indicators. By making predictions possible, it has the effect of providing more accurate predictive maintenance points information.</v>
      </c>
      <c r="D3382" s="6" t="s">
        <v>9471</v>
      </c>
      <c r="E3382" s="4" t="str">
        <f ca="1">IFERROR(__xludf.DUMMYFUNCTION("GOOGLETRANSLATE(D3382,""auto"",""en"")"),"Field repair point prediction system and method with predictive maintenance indicators")</f>
        <v>Field repair point prediction system and method with predictive maintenance indicators</v>
      </c>
    </row>
    <row r="3383" spans="1:5" ht="15" x14ac:dyDescent="0.25">
      <c r="A3383" s="5" t="s">
        <v>9472</v>
      </c>
      <c r="B3383" s="6" t="s">
        <v>9473</v>
      </c>
      <c r="C3383" s="3" t="str">
        <f ca="1">IFERROR(__xludf.DUMMYFUNCTION("GOOGLETRANSLATE(B3383,""auto"",""en"")"),"A personal safety device can use artificial intelligence (AJ) to infer and analyze the emergency in real time. It can also be captured with bird's eye view and reports to the nearest base quantitatively. The proposed device is an advanced setting. It has "&amp;"a mobile camera that can capture information from a better perspective and have a real -time artificial intelligence reasoning engine. The present invention involves a safe bracelet that can emit the camera to 3D space and capture the situation from a bir"&amp;"d's -eye view. The safety bracelet is wearable device, which can be tied to your hand like a watch or fitness belt. The bracelet is activated according to the sensor, and the sensor can identify the emergency situations such as accidents, robbery, attacks"&amp;", bombs exploding, murder, sexual assault, and other types of pain. The device can not only transmit images and emergency alarms, but also inform the danger types of emergency response users. This is completed by an artificial intelligence reasoning engin"&amp;"e. The engine has processed video in real time to identify emergency situations and properly mark them and identify the number of people and objects around them. This will help emergency responders to prepare for the response. The picture shows the repres"&amp;"entative map.")</f>
        <v>A personal safety device can use artificial intelligence (AJ) to infer and analyze the emergency in real time. It can also be captured with bird's eye view and reports to the nearest base quantitatively. The proposed device is an advanced setting. It has a mobile camera that can capture information from a better perspective and have a real -time artificial intelligence reasoning engine. The present invention involves a safe bracelet that can emit the camera to 3D space and capture the situation from a bird's -eye view. The safety bracelet is wearable device, which can be tied to your hand like a watch or fitness belt. The bracelet is activated according to the sensor, and the sensor can identify the emergency situations such as accidents, robbery, attacks, bombs exploding, murder, sexual assault, and other types of pain. The device can not only transmit images and emergency alarms, but also inform the danger types of emergency response users. This is completed by an artificial intelligence reasoning engine. The engine has processed video in real time to identify emergency situations and properly mark them and identify the number of people and objects around them. This will help emergency responders to prepare for the response. The picture shows the representative map.</v>
      </c>
      <c r="D3383" s="6" t="s">
        <v>9474</v>
      </c>
      <c r="E3383" s="4" t="str">
        <f ca="1">IFERROR(__xludf.DUMMYFUNCTION("GOOGLETRANSLATE(D3383,""auto"",""en"")"),"Pet robot/drone: wearable flight equipment for safe applications")</f>
        <v>Pet robot/drone: wearable flight equipment for safe applications</v>
      </c>
    </row>
    <row r="3384" spans="1:5" ht="15" x14ac:dyDescent="0.25">
      <c r="A3384" s="5" t="s">
        <v>9475</v>
      </c>
      <c r="B3384" s="6" t="s">
        <v>9476</v>
      </c>
      <c r="C3384" s="3" t="str">
        <f ca="1">IFERROR(__xludf.DUMMYFUNCTION("GOOGLETRANSLATE(B3384,""auto"",""en"")"),"The present invention disclosed a system and method for marketing software marketing for housekeeping management. The specific operation steps are as follows: Step 1: Data collection, analysis, integration, and enrichment of housekeeping personnel to ensu"&amp;"re the overall quality of housekeeping personnel. Content reading experience; step 3: direct communication transactions between housekeeping personnel and customers. This kind of housekeeping management software marketing system and methods are based on b"&amp;"ig data, comprehensive, transparent, and open data. They use artificial intelligence analysis and combine the O2O model. Enrich service content, increase user viscosity, improve user experience, and significantly increase the order transaction rate. In ad"&amp;"dition, the use of big data can ensure the comprehensive and effective information of households' information, and provide a very powerful basis and supervision; at the same time, it can also effectively ensure the quality of service.")</f>
        <v>The present invention disclosed a system and method for marketing software marketing for housekeeping management. The specific operation steps are as follows: Step 1: Data collection, analysis, integration, and enrichment of housekeeping personnel to ensure the overall quality of housekeeping personnel. Content reading experience; step 3: direct communication transactions between housekeeping personnel and customers. This kind of housekeeping management software marketing system and methods are based on big data, comprehensive, transparent, and open data. They use artificial intelligence analysis and combine the O2O model. Enrich service content, increase user viscosity, improve user experience, and significantly increase the order transaction rate. In addition, the use of big data can ensure the comprehensive and effective information of households' information, and provide a very powerful basis and supervision; at the same time, it can also effectively ensure the quality of service.</v>
      </c>
      <c r="D3384" s="6" t="s">
        <v>9477</v>
      </c>
      <c r="E3384" s="4" t="str">
        <f ca="1">IFERROR(__xludf.DUMMYFUNCTION("GOOGLETRANSLATE(D3384,""auto"",""en"")"),"A system and method of housekeeping management software marketing system and method")</f>
        <v>A system and method of housekeeping management software marketing system and method</v>
      </c>
    </row>
    <row r="3385" spans="1:5" ht="15" x14ac:dyDescent="0.25">
      <c r="A3385" s="5" t="s">
        <v>9478</v>
      </c>
      <c r="B3385" s="6" t="s">
        <v>9479</v>
      </c>
      <c r="C3385" s="3" t="str">
        <f ca="1">IFERROR(__xludf.DUMMYFUNCTION("GOOGLETRANSLATE(B3385,""auto"",""en"")"),"This utility model opens a lift oil cylinder for stereo garage, including multi -stage oil cylinder main body, base, bottom plate, oil pump and control box. The base is set on the bottom plate and connected to the hinge of the bottom plate ball, the oil e"&amp;"nd of the oil pump is connected with the oil -end fluid of the multi -stage oil cylinder subject; The outer wall of the shell is connected to the oil pump electricity, which is connected to wireless communication with the total control box. This practical"&amp;" new model can reduce the labing cable laying volume of large -scale laborer cables and achieve the synchronous lifting operation of multiple oil cylinders. Using a single oil pump to supply fuel to a single oil cylinder and use the Internet of Things to "&amp;"control the oil cylinder, it can effectively reduce the cable laying in the garage.")</f>
        <v>This utility model opens a lift oil cylinder for stereo garage, including multi -stage oil cylinder main body, base, bottom plate, oil pump and control box. The base is set on the bottom plate and connected to the hinge of the bottom plate ball, the oil end of the oil pump is connected with the oil -end fluid of the multi -stage oil cylinder subject; The outer wall of the shell is connected to the oil pump electricity, which is connected to wireless communication with the total control box. This practical new model can reduce the labing cable laying volume of large -scale laborer cables and achieve the synchronous lifting operation of multiple oil cylinders. Using a single oil pump to supply fuel to a single oil cylinder and use the Internet of Things to control the oil cylinder, it can effectively reduce the cable laying in the garage.</v>
      </c>
      <c r="D3385" s="6" t="s">
        <v>9480</v>
      </c>
      <c r="E3385" s="4" t="str">
        <f ca="1">IFERROR(__xludf.DUMMYFUNCTION("GOOGLETRANSLATE(D3385,""auto"",""en"")"),"The lifting oil cylinder for stereo garage")</f>
        <v>The lifting oil cylinder for stereo garage</v>
      </c>
    </row>
    <row r="3386" spans="1:5" ht="15" x14ac:dyDescent="0.25">
      <c r="A3386" s="5" t="s">
        <v>9481</v>
      </c>
      <c r="B3386" s="6" t="s">
        <v>9482</v>
      </c>
      <c r="C3386" s="3" t="str">
        <f ca="1">IFERROR(__xludf.DUMMYFUNCTION("GOOGLETRANSLATE(B3386,""auto"",""en"")"),"The present invention discloses an auxiliary decision -making method, device and storage medium for online battle games. This method includes: input the player's historical competition data as a training sample to the pre -established machine learning mod"&amp;"el for sample training; of which, historical competitions The data includes historical player competition data and historical competition results; when the required accuracy requirements are met, stop the training of the sample to obtain the final target "&amp;"model; get the current game data of the player and enter the target model Forecast results; show the first prediction results to the players corresponding to the current game before the game starts. This method can predict the results of the current playe"&amp;"rs based on the historical game data of the player, so that the player can predict the results of the game before the game starts, so as to determine whether to join the game and improve the player's game experience.")</f>
        <v>The present invention discloses an auxiliary decision -making method, device and storage medium for online battle games. This method includes: input the player's historical competition data as a training sample to the pre -established machine learning model for sample training; of which, historical competitions The data includes historical player competition data and historical competition results; when the required accuracy requirements are met, stop the training of the sample to obtain the final target model; get the current game data of the player and enter the target model Forecast results; show the first prediction results to the players corresponding to the current game before the game starts. This method can predict the results of the current players based on the historical game data of the player, so that the player can predict the results of the game before the game starts, so as to determine whether to join the game and improve the player's game experience.</v>
      </c>
      <c r="D3386" s="6" t="s">
        <v>9483</v>
      </c>
      <c r="E3386" s="4" t="str">
        <f ca="1">IFERROR(__xludf.DUMMYFUNCTION("GOOGLETRANSLATE(D3386,""auto"",""en"")"),"An auxiliary decision -making method, device and storage medium for online battle games")</f>
        <v>An auxiliary decision -making method, device and storage medium for online battle games</v>
      </c>
    </row>
    <row r="3387" spans="1:5" ht="15" x14ac:dyDescent="0.25">
      <c r="A3387" s="5" t="s">
        <v>9484</v>
      </c>
      <c r="B3387" s="6" t="s">
        <v>9485</v>
      </c>
      <c r="C3387" s="3" t="str">
        <f ca="1">IFERROR(__xludf.DUMMYFUNCTION("GOOGLETRANSLATE(B3387,""auto"",""en"")"),"The purpose of the present invention is to enable users to have more fun than in the past. The information processing device (10) executes image recognition of the image of the display device (20) camera. Information processing device (10) indicator displ"&amp;"ay device (20) will synthesize the first synthetic image and shooting image based on the image recognition results, and also synthesize the second synthetic image in the predetermined position in the first synthetic image. For example, if the display devi"&amp;"ce (20)) is shot when the landscape ((A) in Figure 7)), according to the landscape display, the runner's character image is used as the first synthetic image (G1) Essence In the first synthetic image (G1), the area (G2) corresponding to human head (G2) is"&amp;" blank. When the user uses a display device (20) to shoot its face ((C) in Figure 7), the user's facial image is used as the second synthetic image (G3) in the area (G2) corresponding to the head (G2) of the first synthetic image (G2) Synthetic ((d) in Fi"&amp;"gure 7).")</f>
        <v>The purpose of the present invention is to enable users to have more fun than in the past. The information processing device (10) executes image recognition of the image of the display device (20) camera. Information processing device (10) indicator display device (20) will synthesize the first synthetic image and shooting image based on the image recognition results, and also synthesize the second synthetic image in the predetermined position in the first synthetic image. For example, if the display device (20)) is shot when the landscape ((A) in Figure 7)), according to the landscape display, the runner's character image is used as the first synthetic image (G1) Essence In the first synthetic image (G1), the area (G2) corresponding to human head (G2) is blank. When the user uses a display device (20) to shoot its face ((C) in Figure 7), the user's facial image is used as the second synthetic image (G3) in the area (G2) corresponding to the head (G2) of the first synthetic image (G2) Synthetic ((d) in Figure 7).</v>
      </c>
      <c r="D3387" s="6" t="s">
        <v>9486</v>
      </c>
      <c r="E3387" s="4" t="str">
        <f ca="1">IFERROR(__xludf.DUMMYFUNCTION("GOOGLETRANSLATE(D3387,""auto"",""en"")"),"Information processing system and information processing device")</f>
        <v>Information processing system and information processing device</v>
      </c>
    </row>
    <row r="3388" spans="1:5" ht="15" x14ac:dyDescent="0.25">
      <c r="A3388" s="5" t="s">
        <v>9487</v>
      </c>
      <c r="B3388" s="6" t="s">
        <v>9488</v>
      </c>
      <c r="C3388" s="3" t="str">
        <f ca="1">IFERROR(__xludf.DUMMYFUNCTION("GOOGLETRANSLATE(B3388,""auto"",""en"")"),"The technology provided enables users to feel more fun than ever. Information processing device (10) identification image taken by the display device (20). The information processing device (10) indicates that (20) the first synthetic image and shooting i"&amp;"mage synthesis that will change according to the image recognition results, and further synthesize the second synthetic image in the predetermined position in the first synthetic image. For example, if the display device (20) captures the landscape (Figur"&amp;"e 7 (a)), the character image of the runner is displayed as the first synthetic image (G1) (Figure 7 (b)) according to the landscape. In the first synthetic image (G1), the area (G2) corresponding to the person's head (G2) is blank. When the user uses the"&amp;" display device (20) to capture their facial It is a second synthetic image (G3) (G3) (Figure 7 (d)) in the area (G2) corresponding to the head (G2) corresponding to the first synthetic image.")</f>
        <v>The technology provided enables users to feel more fun than ever. Information processing device (10) identification image taken by the display device (20). The information processing device (10) indicates that (20) the first synthetic image and shooting image synthesis that will change according to the image recognition results, and further synthesize the second synthetic image in the predetermined position in the first synthetic image. For example, if the display device (20) captures the landscape (Figure 7 (a)), the character image of the runner is displayed as the first synthetic image (G1) (Figure 7 (b)) according to the landscape. In the first synthetic image (G1), the area (G2) corresponding to the person's head (G2) is blank. When the user uses the display device (20) to capture their facial It is a second synthetic image (G3) (G3) (Figure 7 (d)) in the area (G2) corresponding to the head (G2) corresponding to the first synthetic image.</v>
      </c>
      <c r="D3388" s="6" t="s">
        <v>9489</v>
      </c>
      <c r="E3388" s="4" t="str">
        <f ca="1">IFERROR(__xludf.DUMMYFUNCTION("GOOGLETRANSLATE(D3388,""auto"",""en"")"),"Information processing system and information processing device")</f>
        <v>Information processing system and information processing device</v>
      </c>
    </row>
    <row r="3389" spans="1:5" ht="15" x14ac:dyDescent="0.25">
      <c r="A3389" s="5" t="s">
        <v>9490</v>
      </c>
      <c r="B3389" s="6" t="s">
        <v>9491</v>
      </c>
      <c r="C3389" s="3" t="str">
        <f ca="1">IFERROR(__xludf.DUMMYFUNCTION("GOOGLETRANSLATE(B3389,""auto"",""en"")"),"Interactive landing device; sensors in the image area projected on the floor or wall through projection equipment to ensure human -machine interaction through 3D perception of human movement through 3D, and produce visual effects prepared in various scena"&amp;"rios (education, health, sports, advertising) , Entertainment, etc.) This is a invention designed to be displayed.")</f>
        <v>Interactive landing device; sensors in the image area projected on the floor or wall through projection equipment to ensure human -machine interaction through 3D perception of human movement through 3D, and produce visual effects prepared in various scenarios (education, health, sports, advertising) , Entertainment, etc.) This is a invention designed to be displayed.</v>
      </c>
      <c r="D3389" s="6" t="s">
        <v>9492</v>
      </c>
      <c r="E3389" s="4" t="str">
        <f ca="1">IFERROR(__xludf.DUMMYFUNCTION("GOOGLETRANSLATE(D3389,""auto"",""en"")"),"Interactive floor device")</f>
        <v>Interactive floor device</v>
      </c>
    </row>
    <row r="3390" spans="1:5" ht="15" x14ac:dyDescent="0.25">
      <c r="A3390" s="5" t="s">
        <v>9493</v>
      </c>
      <c r="B3390" s="6" t="s">
        <v>9494</v>
      </c>
      <c r="C3390" s="3" t="str">
        <f ca="1">IFERROR(__xludf.DUMMYFUNCTION("GOOGLETRANSLATE(B3390,""auto"",""en"")"),"The technology provided enables users to feel more fun than ever. Information processing device recognition is captured by the display device. The information processing device indicates that the first synthetic image and captured image synthesis that wil"&amp;"l change according to the image recognition results, and further synthesize the second synthetic image in the predetermined position in the first synthetic image. For example, if the display device captures the landscape, the character image of the runner"&amp;" represents the first synthetic image according to the landscape. In the first synthetic image, the corresponding area of ​​the person's head is blank. When the user uses a display device to shoot the face, in the area corresponding to the head in the fir"&amp;"st synthetic image, the image of the user's face is combined into the first. Two synthetic images.")</f>
        <v>The technology provided enables users to feel more fun than ever. Information processing device recognition is captured by the display device. The information processing device indicates that the first synthetic image and captured image synthesis that will change according to the image recognition results, and further synthesize the second synthetic image in the predetermined position in the first synthetic image. For example, if the display device captures the landscape, the character image of the runner represents the first synthetic image according to the landscape. In the first synthetic image, the corresponding area of ​​the person's head is blank. When the user uses a display device to shoot the face, in the area corresponding to the head in the first synthetic image, the image of the user's face is combined into the first. Two synthetic images.</v>
      </c>
      <c r="D3390" s="6" t="s">
        <v>9486</v>
      </c>
      <c r="E3390" s="4" t="str">
        <f ca="1">IFERROR(__xludf.DUMMYFUNCTION("GOOGLETRANSLATE(D3390,""auto"",""en"")"),"Information processing system and information processing device")</f>
        <v>Information processing system and information processing device</v>
      </c>
    </row>
    <row r="3391" spans="1:5" ht="15" x14ac:dyDescent="0.25">
      <c r="A3391" s="5" t="s">
        <v>9495</v>
      </c>
      <c r="B3391" s="6" t="s">
        <v>9496</v>
      </c>
      <c r="C3391" s="3" t="str">
        <f ca="1">IFERROR(__xludf.DUMMYFUNCTION("GOOGLETRANSLATE(B3391,""auto"",""en"")"),"The invention disclosed the artificial intelligence -based robot competition venue, including the parallel settings and the peripheral board, and a competition ring road is formed between the interior and the peripheral board. There are rubber bottom plat"&amp;"es on the bottom of the racing ring road; the inner wall of the peripheral plate is evenly equipped with buffer blocks, and the buffer block is made of rubber material; the interior of the inner fence is equipped with a fixed column, and the lateral wall "&amp;"of the fixed column is vertical. A fixed rod, the fixed rod is connected to the inner wall of the inner fence, and the insert rod is set under the fixed column; the outer wall of the peripheral plate is evenly connected to the rib. The robot of the presen"&amp;"t invention can avoid the damage to the robot that the project in the venue in the venue, which can improve the safety performance of the robot. At the same time, the stability of the entire venue is improved by fixed columns, and External force displacem"&amp;"ent to improve the safety of venue use.")</f>
        <v>The invention disclosed the artificial intelligence -based robot competition venue, including the parallel settings and the peripheral board, and a competition ring road is formed between the interior and the peripheral board. There are rubber bottom plates on the bottom of the racing ring road; the inner wall of the peripheral plate is evenly equipped with buffer blocks, and the buffer block is made of rubber material; the interior of the inner fence is equipped with a fixed column, and the lateral wall of the fixed column is vertical. A fixed rod, the fixed rod is connected to the inner wall of the inner fence, and the insert rod is set under the fixed column; the outer wall of the peripheral plate is evenly connected to the rib. The robot of the present invention can avoid the damage to the robot that the project in the venue in the venue, which can improve the safety performance of the robot. At the same time, the stability of the entire venue is improved by fixed columns, and External force displacement to improve the safety of venue use.</v>
      </c>
      <c r="D3391" s="6" t="s">
        <v>9497</v>
      </c>
      <c r="E3391" s="4" t="str">
        <f ca="1">IFERROR(__xludf.DUMMYFUNCTION("GOOGLETRANSLATE(D3391,""auto"",""en"")"),"Artificial intelligence -based robot competition venue")</f>
        <v>Artificial intelligence -based robot competition venue</v>
      </c>
    </row>
    <row r="3392" spans="1:5" ht="15" x14ac:dyDescent="0.25">
      <c r="A3392" s="5" t="s">
        <v>9498</v>
      </c>
      <c r="B3392" s="6" t="s">
        <v>9499</v>
      </c>
      <c r="C3392" s="3" t="str">
        <f ca="1">IFERROR(__xludf.DUMMYFUNCTION("GOOGLETRANSLATE(B3392,""auto"",""en"")"),"The present invention disclosed a multi -functional fitness equipment with an entertainment interactive system, including fitness equipment, background servers and clients. The background server is used to provide online interaction between human -machine"&amp;" interaction and multiple fitness equipment; the present invention collects the user's facial features and motion parameters through the information collection module, and establish the corresponding correspondence on the display display module on the ope"&amp;"ration display module The virtual role to enhance the sense of substitution; for platform users who are online and in the same virtual scene at the same time, you can use the human -computer interaction system to perform interaction between virtual charac"&amp;"ters, making fitness more interesting.")</f>
        <v>The present invention disclosed a multi -functional fitness equipment with an entertainment interactive system, including fitness equipment, background servers and clients. The background server is used to provide online interaction between human -machine interaction and multiple fitness equipment; the present invention collects the user's facial features and motion parameters through the information collection module, and establish the corresponding correspondence on the display display module on the operation display module The virtual role to enhance the sense of substitution; for platform users who are online and in the same virtual scene at the same time, you can use the human -computer interaction system to perform interaction between virtual characters, making fitness more interesting.</v>
      </c>
      <c r="D3392" s="6" t="s">
        <v>9500</v>
      </c>
      <c r="E3392" s="4" t="str">
        <f ca="1">IFERROR(__xludf.DUMMYFUNCTION("GOOGLETRANSLATE(D3392,""auto"",""en"")"),"A multi -functional fitness equipment with an entertainment interactive system")</f>
        <v>A multi -functional fitness equipment with an entertainment interactive system</v>
      </c>
    </row>
    <row r="3393" spans="1:5" ht="15" x14ac:dyDescent="0.25">
      <c r="A3393" s="5" t="s">
        <v>9501</v>
      </c>
      <c r="B3393" s="6" t="s">
        <v>9502</v>
      </c>
      <c r="C3393" s="3" t="str">
        <f ca="1">IFERROR(__xludf.DUMMYFUNCTION("GOOGLETRANSLATE(B3393,""auto"",""en"")"),"The present invention disclosed a supporting auxiliary equipment based on the Internet of Things, including the main equipment and multiple devices. The auxiliary equipment uses multiple sensors to monitor the speed, relative displacement, physical moveme"&amp;"nt, heart rate and blood pressure through users. The heart rate and blood pressure are adjusted to adjust the strength of the movement, so that the present invention can be suitable for users with different physical fitness; the main device is connected t"&amp;"o the background server through the remote communication method. The auxiliary equipment is bound to the platform account. After binding, users can choose whether to share/rent their own equipment on the platform; Portability and mobility advantages.")</f>
        <v>The present invention disclosed a supporting auxiliary equipment based on the Internet of Things, including the main equipment and multiple devices. The auxiliary equipment uses multiple sensors to monitor the speed, relative displacement, physical movement, heart rate and blood pressure through users. The heart rate and blood pressure are adjusted to adjust the strength of the movement, so that the present invention can be suitable for users with different physical fitness; the main device is connected to the background server through the remote communication method. The auxiliary equipment is bound to the platform account. After binding, users can choose whether to share/rent their own equipment on the platform; Portability and mobility advantages.</v>
      </c>
      <c r="D3393" s="6" t="s">
        <v>9503</v>
      </c>
      <c r="E3393" s="4" t="str">
        <f ca="1">IFERROR(__xludf.DUMMYFUNCTION("GOOGLETRANSLATE(D3393,""auto"",""en"")"),"A shared auxiliary equipment based on the Internet of Things")</f>
        <v>A shared auxiliary equipment based on the Internet of Things</v>
      </c>
    </row>
    <row r="3394" spans="1:5" ht="15" x14ac:dyDescent="0.25">
      <c r="A3394" s="5" t="s">
        <v>9504</v>
      </c>
      <c r="B3394" s="6" t="s">
        <v>9505</v>
      </c>
      <c r="C3394" s="3" t="str">
        <f ca="1">IFERROR(__xludf.DUMMYFUNCTION("GOOGLETRANSLATE(B3394,""auto"",""en"")"),"This utility model opens up a multi -functional fitness equipment with an entertainment interactive system, including fitness equipment, background servers and clients. The background server is used to provide online interaction between human -computer in"&amp;"teraction and multiple fitness equipment; the useful new type is collected to the user's facial features and motion parameters through the information collection module, and on the display display module on the operation, the operation display module Esta"&amp;"blish a corresponding virtual role to enhance the sense of substitution; for platform users who are online and within the same virtual scene, you can use the human -computer interaction system to perform interaction between virtual characters, making fitn"&amp;"ess more interesting.")</f>
        <v>This utility model opens up a multi -functional fitness equipment with an entertainment interactive system, including fitness equipment, background servers and clients. The background server is used to provide online interaction between human -computer interaction and multiple fitness equipment; the useful new type is collected to the user's facial features and motion parameters through the information collection module, and on the display display module on the operation, the operation display module Establish a corresponding virtual role to enhance the sense of substitution; for platform users who are online and within the same virtual scene, you can use the human -computer interaction system to perform interaction between virtual characters, making fitness more interesting.</v>
      </c>
      <c r="D3394" s="6" t="s">
        <v>9500</v>
      </c>
      <c r="E3394" s="4" t="str">
        <f ca="1">IFERROR(__xludf.DUMMYFUNCTION("GOOGLETRANSLATE(D3394,""auto"",""en"")"),"A multi -functional fitness equipment with an entertainment interactive system")</f>
        <v>A multi -functional fitness equipment with an entertainment interactive system</v>
      </c>
    </row>
    <row r="3395" spans="1:5" ht="15" x14ac:dyDescent="0.25">
      <c r="A3395" s="5" t="s">
        <v>9506</v>
      </c>
      <c r="B3395" s="6" t="s">
        <v>9507</v>
      </c>
      <c r="C3395" s="3" t="str">
        <f ca="1">IFERROR(__xludf.DUMMYFUNCTION("GOOGLETRANSLATE(B3395,""auto"",""en"")"),"This utility model discloses a supporting auxiliary equipment based on the IoT -based fitness instrument, including the main equipment and multiple devices. The user's heart rate and blood pressure are adjusted to adjust the strength of the movement, so t"&amp;"hat the practical new model can be suitable for users with different physical fitness; the main device is connected to the back -end server through remote communication, which can construct a IoT sharing platform, users You can bind your auxiliary equipme"&amp;"nt with the platform account. After binding, users can choose whether to share/rent their own devices on the platform; Portable and mobility advantages.")</f>
        <v>This utility model discloses a supporting auxiliary equipment based on the IoT -based fitness instrument, including the main equipment and multiple devices. The user's heart rate and blood pressure are adjusted to adjust the strength of the movement, so that the practical new model can be suitable for users with different physical fitness; the main device is connected to the back -end server through remote communication, which can construct a IoT sharing platform, users You can bind your auxiliary equipment with the platform account. After binding, users can choose whether to share/rent their own devices on the platform; Portable and mobility advantages.</v>
      </c>
      <c r="D3395" s="6" t="s">
        <v>9503</v>
      </c>
      <c r="E3395" s="4" t="str">
        <f ca="1">IFERROR(__xludf.DUMMYFUNCTION("GOOGLETRANSLATE(D3395,""auto"",""en"")"),"A shared auxiliary equipment based on the Internet of Things")</f>
        <v>A shared auxiliary equipment based on the Internet of Things</v>
      </c>
    </row>
    <row r="3396" spans="1:5" ht="15" x14ac:dyDescent="0.25">
      <c r="A3396" s="5" t="s">
        <v>9508</v>
      </c>
      <c r="B3396" s="6" t="s">
        <v>9509</v>
      </c>
      <c r="C3396" s="3" t="str">
        <f ca="1">IFERROR(__xludf.DUMMYFUNCTION("GOOGLETRANSLATE(B3396,""auto"",""en"")"),"The present invention provides a health monitoring system and method based on the Internet of Things for real -time monitoring athlete's health. The system includes multiple sensors, such as temperature sensors, heart rate sensors, blood pressure sensors,"&amp;" and acceleration meters. These sensors are accommodated in smart vests worn by athletes. Athletes wearing smart vests during the practice, monitoring one or more health parameters in real time. The vest can perceive biological signals such as body temper"&amp;"ature, heart rate and blood pressure. The measurement value is provided to the microcontroller, which further transmits wirelessly to cloud -based servers with wireless IoT technology. The received value is handled by the processor in the server. Then, th"&amp;"e trainer and physiologists used mobile devices to access these parameters to make amendments, specific training and guidance suggestions to athletes. [picture. 1]")</f>
        <v>The present invention provides a health monitoring system and method based on the Internet of Things for real -time monitoring athlete's health. The system includes multiple sensors, such as temperature sensors, heart rate sensors, blood pressure sensors, and acceleration meters. These sensors are accommodated in smart vests worn by athletes. Athletes wearing smart vests during the practice, monitoring one or more health parameters in real time. The vest can perceive biological signals such as body temperature, heart rate and blood pressure. The measurement value is provided to the microcontroller, which further transmits wirelessly to cloud -based servers with wireless IoT technology. The received value is handled by the processor in the server. Then, the trainer and physiologists used mobile devices to access these parameters to make amendments, specific training and guidance suggestions to athletes. [picture. 1]</v>
      </c>
      <c r="D3396" s="6" t="s">
        <v>9510</v>
      </c>
      <c r="E3396" s="4" t="str">
        <f ca="1">IFERROR(__xludf.DUMMYFUNCTION("GOOGLETRANSLATE(D3396,""auto"",""en"")"),"A health monitoring system and method based on the Internet of Things (IoT)")</f>
        <v>A health monitoring system and method based on the Internet of Things (IoT)</v>
      </c>
    </row>
    <row r="3397" spans="1:5" ht="15" x14ac:dyDescent="0.25">
      <c r="A3397" s="5" t="s">
        <v>9511</v>
      </c>
      <c r="B3397" s="6" t="s">
        <v>9512</v>
      </c>
      <c r="C3397" s="3" t="str">
        <f ca="1">IFERROR(__xludf.DUMMYFUNCTION("GOOGLETRANSLATE(B3397,""auto"",""en"")"),"The present invention disclosed a monitoring and maintenance system based on the Internet of Things, and carried out uniform management and real -time monitoring of one or more fitness equipment in one or more places. The operation data of the system coll"&amp;"ection device is uploaded to the cloud server, which analyzes, stored and judge the operating data, and gives the equipment alarm information and equipment maintenance reminder information according to the corresponding judgment conditions. The monitoring"&amp;" side monitor the working status of all fitness equipment in real time. According to the receiving equipment alert information and equipment maintenance reminder information, it is timely maintained and processed to extend the service life of the fitness "&amp;"equipment and enhance the comfort of the user's use.")</f>
        <v>The present invention disclosed a monitoring and maintenance system based on the Internet of Things, and carried out uniform management and real -time monitoring of one or more fitness equipment in one or more places. The operation data of the system collection device is uploaded to the cloud server, which analyzes, stored and judge the operating data, and gives the equipment alarm information and equipment maintenance reminder information according to the corresponding judgment conditions. The monitoring side monitor the working status of all fitness equipment in real time. According to the receiving equipment alert information and equipment maintenance reminder information, it is timely maintained and processed to extend the service life of the fitness equipment and enhance the comfort of the user's use.</v>
      </c>
      <c r="D3397" s="6" t="s">
        <v>9513</v>
      </c>
      <c r="E3397" s="4" t="str">
        <f ca="1">IFERROR(__xludf.DUMMYFUNCTION("GOOGLETRANSLATE(D3397,""auto"",""en"")"),"A fitness equipment monitoring and maintenance system based on the Internet of Things")</f>
        <v>A fitness equipment monitoring and maintenance system based on the Internet of Things</v>
      </c>
    </row>
    <row r="3398" spans="1:5" ht="15" x14ac:dyDescent="0.25">
      <c r="A3398" s="5" t="s">
        <v>9514</v>
      </c>
      <c r="B3398" s="6" t="s">
        <v>9515</v>
      </c>
      <c r="C3398" s="3" t="str">
        <f ca="1">IFERROR(__xludf.DUMMYFUNCTION("GOOGLETRANSLATE(B3398,""auto"",""en"")"),"The invention discloses a shared leasing platform and method based on the Internet of Things. The shared leasing platform based on the Internet of Things includes cloud server, at least one equipment lease terminal and at least one equipment booking end c"&amp;"onnected to the cloud server communication. The device booking side releases booking information, which matches the lease information with the booking information to establish the lease relationship. After the lease relationship is lifted, the two parties"&amp;" will conduct mutual evaluation to standardize the order of equipment leasing. The shared leasing platform provided by the present invention is based on the Internet of Things shared fitness equipment. The equipment owner conducts sub -time period and pri"&amp;"ce lease of fitness equipment. Equipment reservations make the fitness equipment anytime, anywhere, which improves the equipment owner's equipment use. The rate reduces the fitness cost of equipment reservations.")</f>
        <v>The invention discloses a shared leasing platform and method based on the Internet of Things. The shared leasing platform based on the Internet of Things includes cloud server, at least one equipment lease terminal and at least one equipment booking end connected to the cloud server communication. The device booking side releases booking information, which matches the lease information with the booking information to establish the lease relationship. After the lease relationship is lifted, the two parties will conduct mutual evaluation to standardize the order of equipment leasing. The shared leasing platform provided by the present invention is based on the Internet of Things shared fitness equipment. The equipment owner conducts sub -time period and price lease of fitness equipment. Equipment reservations make the fitness equipment anytime, anywhere, which improves the equipment owner's equipment use. The rate reduces the fitness cost of equipment reservations.</v>
      </c>
      <c r="D3398" s="6" t="s">
        <v>9516</v>
      </c>
      <c r="E3398" s="4" t="str">
        <f ca="1">IFERROR(__xludf.DUMMYFUNCTION("GOOGLETRANSLATE(D3398,""auto"",""en"")"),"A shared leasing platform and method based on the Internet of Things")</f>
        <v>A shared leasing platform and method based on the Internet of Things</v>
      </c>
    </row>
    <row r="3399" spans="1:5" ht="15" x14ac:dyDescent="0.25">
      <c r="A3399" s="5" t="s">
        <v>9517</v>
      </c>
      <c r="B3399" s="6" t="s">
        <v>9518</v>
      </c>
      <c r="C3399" s="3" t="str">
        <f ca="1">IFERROR(__xludf.DUMMYFUNCTION("GOOGLETRANSLATE(B3399,""auto"",""en"")"),"The present invention disclosed a fitness system based on the Internet of Things. The fitness system includes fitness equipment, servers, and management interfaces. Users send appointment information through the management interface that includes at least"&amp;" the appointment period, and the server sends the appointment information to the fitness equipment. The fitness equipment is opened and the Bluetooth lock is opened, and the user's appointment is successful. The appointment fitness system provided by the "&amp;"present invention is based on the establishment of a big data analysis platform based on the Internet of Things, and sharing all fitness equipment information and appointment information in real -time monitoring. Users can make an appointment at any time "&amp;"to pay for the cost of fitness. Can be managed uniformly, leased time -sharing, and improved equipment usage.")</f>
        <v>The present invention disclosed a fitness system based on the Internet of Things. The fitness system includes fitness equipment, servers, and management interfaces. Users send appointment information through the management interface that includes at least the appointment period, and the server sends the appointment information to the fitness equipment. The fitness equipment is opened and the Bluetooth lock is opened, and the user's appointment is successful. The appointment fitness system provided by the present invention is based on the establishment of a big data analysis platform based on the Internet of Things, and sharing all fitness equipment information and appointment information in real -time monitoring. Users can make an appointment at any time to pay for the cost of fitness. Can be managed uniformly, leased time -sharing, and improved equipment usage.</v>
      </c>
      <c r="D3399" s="6" t="s">
        <v>9519</v>
      </c>
      <c r="E3399" s="4" t="str">
        <f ca="1">IFERROR(__xludf.DUMMYFUNCTION("GOOGLETRANSLATE(D3399,""auto"",""en"")"),"A fitness system based on the Internet of Things appointment")</f>
        <v>A fitness system based on the Internet of Things appointment</v>
      </c>
    </row>
    <row r="3400" spans="1:5" ht="15" x14ac:dyDescent="0.25">
      <c r="A3400" s="5" t="s">
        <v>9520</v>
      </c>
      <c r="B3400" s="6" t="s">
        <v>9521</v>
      </c>
      <c r="C3400" s="3" t="str">
        <f ca="1">IFERROR(__xludf.DUMMYFUNCTION("GOOGLETRANSLATE(B3400,""auto"",""en"")"),"The present invention disclosed a recommendation system and method for youth physical and mental quality evaluation and exercise solutions. It includes three subsystems: students, teachers and parents. The student subsystem is used to evaluate students' b"&amp;"ody, psychology, vision, and sports examinations, and recommend the appropriate exercise solution for students to allow students to conduct effective exercise in a comprehensive understanding of their physical and mental quality; Students understand the p"&amp;"hysical and mental quality of friends in the circle and their rankings in the circle. The teacher and parent system analyzed the statistical analysis of the student data obtained by the student subsystem, so that teachers and parents could understand the "&amp;"physical and mental quality of the students, and made suggestions for the students. The recommendation method of the invention evaluation method is added based on the addition of the physical and mental evaluation of the students in the student circle and"&amp;" the recommendation of the exercise plan based on the data analysis of student group, which increases the interaction of the student group, and provides more high -quality options for the formulation of the student exercise plan. It can be used for mobile"&amp;" terminals. Essence")</f>
        <v>The present invention disclosed a recommendation system and method for youth physical and mental quality evaluation and exercise solutions. It includes three subsystems: students, teachers and parents. The student subsystem is used to evaluate students' body, psychology, vision, and sports examinations, and recommend the appropriate exercise solution for students to allow students to conduct effective exercise in a comprehensive understanding of their physical and mental quality; Students understand the physical and mental quality of friends in the circle and their rankings in the circle. The teacher and parent system analyzed the statistical analysis of the student data obtained by the student subsystem, so that teachers and parents could understand the physical and mental quality of the students, and made suggestions for the students. The recommendation method of the invention evaluation method is added based on the addition of the physical and mental evaluation of the students in the student circle and the recommendation of the exercise plan based on the data analysis of student group, which increases the interaction of the student group, and provides more high -quality options for the formulation of the student exercise plan. It can be used for mobile terminals. Essence</v>
      </c>
      <c r="D3400" s="6" t="s">
        <v>9522</v>
      </c>
      <c r="E3400" s="4" t="str">
        <f ca="1">IFERROR(__xludf.DUMMYFUNCTION("GOOGLETRANSLATE(D3400,""auto"",""en"")"),"Recommended system and method of physical and mental quality evaluation and exercise plan for adolescents")</f>
        <v>Recommended system and method of physical and mental quality evaluation and exercise plan for adolescents</v>
      </c>
    </row>
    <row r="3401" spans="1:5" ht="15" x14ac:dyDescent="0.25">
      <c r="A3401" s="5" t="s">
        <v>9523</v>
      </c>
      <c r="B3401" s="6" t="s">
        <v>9524</v>
      </c>
      <c r="C3401" s="3" t="str">
        <f ca="1">IFERROR(__xludf.DUMMYFUNCTION("GOOGLETRANSLATE(B3401,""auto"",""en"")"),"The invention disclosed a table tennis training system and device. Among them, the system includes: monitoring equipment for monitoring the sports data of one or more table tennis played by the target objects in the preset space; the main control system c"&amp;"ommunicates with the monitoring equipment, which is used to based on the sports data of each table tennis. Generates the first control instructions for controlling the serve device and/or the second control instructions used to control the ball pick -up d"&amp;"evice. Among them, the first control instruction is used to control the parameter value of at least one serving parameter. The instructions are used to control the ball pick -up device to send the table tennis back to the target area; the human -machine i"&amp;"nteraction equipment communicates with the monitoring equipment, and the sports data of one or more table tennis that is used by the target object to determine the training data of the target object, and according to the target object, according to the ta"&amp;"rget object, according to the target object, and based on the basis Training data, output the corresponding interactive content. The present invention solves the existing table tennis training system that cannot simulate the real goal method and frequentl"&amp;"y pick up the technical problems that affect the user experience.")</f>
        <v>The invention disclosed a table tennis training system and device. Among them, the system includes: monitoring equipment for monitoring the sports data of one or more table tennis played by the target objects in the preset space; the main control system communicates with the monitoring equipment, which is used to based on the sports data of each table tennis. Generates the first control instructions for controlling the serve device and/or the second control instructions used to control the ball pick -up device. Among them, the first control instruction is used to control the parameter value of at least one serving parameter. The instructions are used to control the ball pick -up device to send the table tennis back to the target area; the human -machine interaction equipment communicates with the monitoring equipment, and the sports data of one or more table tennis that is used by the target object to determine the training data of the target object, and according to the target object, according to the target object, according to the target object, and based on the basis Training data, output the corresponding interactive content. The present invention solves the existing table tennis training system that cannot simulate the real goal method and frequently pick up the technical problems that affect the user experience.</v>
      </c>
      <c r="D3401" s="6" t="s">
        <v>9525</v>
      </c>
      <c r="E3401" s="4" t="str">
        <f ca="1">IFERROR(__xludf.DUMMYFUNCTION("GOOGLETRANSLATE(D3401,""auto"",""en"")"),"Table tennis training system and device")</f>
        <v>Table tennis training system and device</v>
      </c>
    </row>
    <row r="3402" spans="1:5" ht="15" x14ac:dyDescent="0.25">
      <c r="A3402" s="5" t="s">
        <v>9526</v>
      </c>
      <c r="B3402" s="6" t="s">
        <v>9527</v>
      </c>
      <c r="C3402" s="3" t="str">
        <f ca="1">IFERROR(__xludf.DUMMYFUNCTION("GOOGLETRANSLATE(B3402,""auto"",""en"")"),"The present invention disclosed a smart circle system based on the Internet of Things architecture, including the perceptual layer, network layer, and application layer. The perceived layer collects the athlete information through the voice recognition mo"&amp;"dule, and transmits the collected information to the main control module. Determine the number of athletes by identifying the athlete's serial number, and display the number of circles in real time on the display module; the inner circle is more correct, "&amp;"and it can be corrected immediately when the data is wrong; The ranking is excluded, and the referee transmits the data to the network layer after determining the data on the display module; the network layer adopts the TCP transmission method to transmit"&amp;" the information transmission application layer collected by the perceive layer; The processing analysis was performed and the competition information was announced through a third -party platform. The present invention reduces some problems that may occu"&amp;"r in the manual circle, reduce the workload of the referee, facilitate the inquiry of the performance of relevant personnel, and increase the rate of performance announcement.")</f>
        <v>The present invention disclosed a smart circle system based on the Internet of Things architecture, including the perceptual layer, network layer, and application layer. The perceived layer collects the athlete information through the voice recognition module, and transmits the collected information to the main control module. Determine the number of athletes by identifying the athlete's serial number, and display the number of circles in real time on the display module; the inner circle is more correct, and it can be corrected immediately when the data is wrong; The ranking is excluded, and the referee transmits the data to the network layer after determining the data on the display module; the network layer adopts the TCP transmission method to transmit the information transmission application layer collected by the perceive layer; The processing analysis was performed and the competition information was announced through a third -party platform. The present invention reduces some problems that may occur in the manual circle, reduce the workload of the referee, facilitate the inquiry of the performance of relevant personnel, and increase the rate of performance announcement.</v>
      </c>
      <c r="D3402" s="6" t="s">
        <v>9528</v>
      </c>
      <c r="E3402" s="4" t="str">
        <f ca="1">IFERROR(__xludf.DUMMYFUNCTION("GOOGLETRANSLATE(D3402,""auto"",""en"")"),"Intelligent metering system based on the Internet of Things architecture")</f>
        <v>Intelligent metering system based on the Internet of Things architecture</v>
      </c>
    </row>
    <row r="3403" spans="1:5" ht="15" x14ac:dyDescent="0.25">
      <c r="A3403" s="5" t="s">
        <v>9529</v>
      </c>
      <c r="B3403" s="6" t="s">
        <v>9530</v>
      </c>
      <c r="C3403" s="3" t="str">
        <f ca="1">IFERROR(__xludf.DUMMYFUNCTION("GOOGLETRANSLATE(B3403,""auto"",""en"")"),"A style of sports and sports smart corridors products, methods and systems, including: corridor, top support, roads, venues, Internet of Things smart cabinets, corridor accessories; especially involving a sunny and rainy days can be used to shade, rain, r"&amp;"ain, snow, snowstakes and snowstorms. All kinds of cultural and sports activities on outdoor roads and venues, especially fitness activities, square dance activities, pettytetering activities, art activities, entertainment activities, exhibition activitie"&amp;"s, business activities, table tennis, badminton, football, basketball, volleyball, volleyball , Martial arts, wrestling, tennis, leather balls, sandbags, skating, skipping rope, crickets, boxing, gymnastics, weightlifting, vine, Kabadi, jogging, walking, "&amp;"bicycle, hockey, judo, baseball, taekwondo, art gymnastics, trampoline sports sports Modern and sports -style activities multifunctional smart corridor products, methods and systems.")</f>
        <v>A style of sports and sports smart corridors products, methods and systems, including: corridor, top support, roads, venues, Internet of Things smart cabinets, corridor accessories; especially involving a sunny and rainy days can be used to shade, rain, rain, snow, snowstakes and snowstorms. All kinds of cultural and sports activities on outdoor roads and venues, especially fitness activities, square dance activities, pettytetering activities, art activities, entertainment activities, exhibition activities, business activities, table tennis, badminton, football, basketball, volleyball, volleyball , Martial arts, wrestling, tennis, leather balls, sandbags, skating, skipping rope, crickets, boxing, gymnastics, weightlifting, vine, Kabadi, jogging, walking, bicycle, hockey, judo, baseball, taekwondo, art gymnastics, trampoline sports sports Modern and sports -style activities multifunctional smart corridor products, methods and systems.</v>
      </c>
      <c r="D3403" s="6" t="s">
        <v>9531</v>
      </c>
      <c r="E3403" s="4" t="str">
        <f ca="1">IFERROR(__xludf.DUMMYFUNCTION("GOOGLETRANSLATE(D3403,""auto"",""en"")"),"Smart activities smart corridor products, methods, systems")</f>
        <v>Smart activities smart corridor products, methods, systems</v>
      </c>
    </row>
    <row r="3404" spans="1:5" ht="15" x14ac:dyDescent="0.25">
      <c r="A3404" s="5" t="s">
        <v>9532</v>
      </c>
      <c r="B3404" s="6" t="s">
        <v>9533</v>
      </c>
      <c r="C3404" s="3" t="str">
        <f ca="1">IFERROR(__xludf.DUMMYFUNCTION("GOOGLETRANSLATE(B3404,""auto"",""en"")"),"This utility model provides a motion action correction smart home fitness system, including video playback equipment, configured to select and play teaching videos; camera, configured to collect on -site images at multiple angles; Portrait action informat"&amp;"ion in the on -site image; video data recognition module, configure to identify and extract the teaching action information in teaching videos played by video playback devices; processor modules are configured to receive and compare the portrait movement "&amp;"information and teaching action information; the image; image The synthetic module is configured to extract and synthesize the portrait images of the live image collected on the camera to be displayed in the teaching video, so that the teaching action ima"&amp;"ges in the teaching video are displayed in parallel; The processor module, receive and play the synthetic teaching video. The utility model has the advantages of design science, strong practicality, simple and intuitive, and convenient use.")</f>
        <v>This utility model provides a motion action correction smart home fitness system, including video playback equipment, configured to select and play teaching videos; camera, configured to collect on -site images at multiple angles; Portrait action information in the on -site image; video data recognition module, configure to identify and extract the teaching action information in teaching videos played by video playback devices; processor modules are configured to receive and compare the portrait movement information and teaching action information; the image; image The synthetic module is configured to extract and synthesize the portrait images of the live image collected on the camera to be displayed in the teaching video, so that the teaching action images in the teaching video are displayed in parallel; The processor module, receive and play the synthetic teaching video. The utility model has the advantages of design science, strong practicality, simple and intuitive, and convenient use.</v>
      </c>
      <c r="D3404" s="6" t="s">
        <v>9534</v>
      </c>
      <c r="E3404" s="4" t="str">
        <f ca="1">IFERROR(__xludf.DUMMYFUNCTION("GOOGLETRANSLATE(D3404,""auto"",""en"")"),"A motion action correction smart home fitness system")</f>
        <v>A motion action correction smart home fitness system</v>
      </c>
    </row>
    <row r="3405" spans="1:5" ht="15" x14ac:dyDescent="0.25">
      <c r="A3405" s="5" t="s">
        <v>9535</v>
      </c>
      <c r="B3405" s="6" t="s">
        <v>9536</v>
      </c>
      <c r="C3405" s="3" t="str">
        <f ca="1">IFERROR(__xludf.DUMMYFUNCTION("GOOGLETRANSLATE(B3405,""auto"",""en"")"),"Use two or more cameras to track the path and/or direction of the athlete's objects. Use at least two sets of video images with at least two different cameras with different positions. Identify the motion area in the video image and identify the candidate"&amp;" position in the 2D space of the object in the motion area. Based on this, the possible position of the recognition part in the 3D space is recognized and used for each of the multiple moments in the nearby period. At least the segmented 3D trajectory of "&amp;"the object of the object can be similar in the possible position from multiple instantaneous 3D spaces from the object to the athletes. The graphic of the 3D trajectory of the object is expressed into at least one of the concentration of video images.")</f>
        <v>Use two or more cameras to track the path and/or direction of the athlete's objects. Use at least two sets of video images with at least two different cameras with different positions. Identify the motion area in the video image and identify the candidate position in the 2D space of the object in the motion area. Based on this, the possible position of the recognition part in the 3D space is recognized and used for each of the multiple moments in the nearby period. At least the segmented 3D trajectory of the object of the object can be similar in the possible position from multiple instantaneous 3D spaces from the object to the athletes. The graphic of the 3D trajectory of the object is expressed into at least one of the concentration of video images.</v>
      </c>
      <c r="D3405" s="6" t="s">
        <v>2320</v>
      </c>
      <c r="E3405" s="4" t="str">
        <f ca="1">IFERROR(__xludf.DUMMYFUNCTION("GOOGLETRANSLATE(D3405,""auto"",""en"")"),"Use a computer visual tracking handheld sports appliance")</f>
        <v>Use a computer visual tracking handheld sports appliance</v>
      </c>
    </row>
    <row r="3406" spans="1:5" ht="15" x14ac:dyDescent="0.25">
      <c r="A3406" s="5" t="s">
        <v>9537</v>
      </c>
      <c r="B3406" s="6" t="s">
        <v>9538</v>
      </c>
      <c r="C3406" s="3" t="str">
        <f ca="1">IFERROR(__xludf.DUMMYFUNCTION("GOOGLETRANSLATE(B3406,""auto"",""en"")"),"The invention provides a fitness data supervision system based on the Internet of Things and cloud computing. It is composed of the fitness data supervision center and multiple fitness monitors. Composition with fitness databases, the fitness monitor incl"&amp;"udes wireless communication modules, motion status monitors, energy consumption monitors, fitness guides, card readers, motion equipment regulators and microprocessors. The present invention has the characteristics of simple structure, intelligence, digit"&amp;"alization, humanization, security and reliability, etc., and can realize the movement of the athletes in real time. With processing, so that each fitness person is proposed that there is a targeted, personalized and scientific fitness guidance.")</f>
        <v>The invention provides a fitness data supervision system based on the Internet of Things and cloud computing. It is composed of the fitness data supervision center and multiple fitness monitors. Composition with fitness databases, the fitness monitor includes wireless communication modules, motion status monitors, energy consumption monitors, fitness guides, card readers, motion equipment regulators and microprocessors. The present invention has the characteristics of simple structure, intelligence, digitalization, humanization, security and reliability, etc., and can realize the movement of the athletes in real time. With processing, so that each fitness person is proposed that there is a targeted, personalized and scientific fitness guidance.</v>
      </c>
      <c r="D3406" s="6" t="s">
        <v>9539</v>
      </c>
      <c r="E3406" s="4" t="str">
        <f ca="1">IFERROR(__xludf.DUMMYFUNCTION("GOOGLETRANSLATE(D3406,""auto"",""en"")"),"Fitness data supervision system based on the Internet of Things and cloud computing")</f>
        <v>Fitness data supervision system based on the Internet of Things and cloud computing</v>
      </c>
    </row>
    <row r="3407" spans="1:5" ht="15" x14ac:dyDescent="0.25">
      <c r="A3407" s="5" t="s">
        <v>9540</v>
      </c>
      <c r="B3407" s="6" t="s">
        <v>9541</v>
      </c>
      <c r="C3407" s="3" t="str">
        <f ca="1">IFERROR(__xludf.DUMMYFUNCTION("GOOGLETRANSLATE(B3407,""auto"",""en"")"),"The invention is the field of swimming pool control technology, which involves a smart centralized control system for swimming pools. The present invention provides a swimming pool intelligent centralized control system, including human -computer intercon"&amp;"nection touch screens, main control boards, subsystems and network servers; subsystems include electric sand cylinder subsystems, swimming pool constant temperature subsystems, three -episode integrated damp heat pump subsystem; The control board is conne"&amp;"cted to the various subsystems through communication or IO control; the human -machine interaction touch screen is connected to the main control board through RS485, and the main control board is connected to the network server through a wired network or "&amp;"wireless network. Beneficial effect: Intelligent: Integrated the detection of water quality data, automatically adjust the water quality according to the algorithm, no artificial participation, the regulating process is recorded in the case, the operating"&amp;" process parameters can be checked; It is integrated, with a small size and high cost performance.")</f>
        <v>The invention is the field of swimming pool control technology, which involves a smart centralized control system for swimming pools. The present invention provides a swimming pool intelligent centralized control system, including human -computer interconnection touch screens, main control boards, subsystems and network servers; subsystems include electric sand cylinder subsystems, swimming pool constant temperature subsystems, three -episode integrated damp heat pump subsystem; The control board is connected to the various subsystems through communication or IO control; the human -machine interaction touch screen is connected to the main control board through RS485, and the main control board is connected to the network server through a wired network or wireless network. Beneficial effect: Intelligent: Integrated the detection of water quality data, automatically adjust the water quality according to the algorithm, no artificial participation, the regulating process is recorded in the case, the operating process parameters can be checked; It is integrated, with a small size and high cost performance.</v>
      </c>
      <c r="D3407" s="6" t="s">
        <v>9542</v>
      </c>
      <c r="E3407" s="4" t="str">
        <f ca="1">IFERROR(__xludf.DUMMYFUNCTION("GOOGLETRANSLATE(D3407,""auto"",""en"")"),"A swimming pool intelligent centralized control system")</f>
        <v>A swimming pool intelligent centralized control system</v>
      </c>
    </row>
    <row r="3408" spans="1:5" ht="15" x14ac:dyDescent="0.25">
      <c r="A3408" s="5" t="s">
        <v>9543</v>
      </c>
      <c r="B3408" s="6" t="s">
        <v>9544</v>
      </c>
      <c r="C3408" s="3" t="str">
        <f ca="1">IFERROR(__xludf.DUMMYFUNCTION("GOOGLETRANSLATE(B3408,""auto"",""en"")"),"The present invention disclosed a sports product sales service management system based on the Internet of Things, including network servers, network servers in sales centers, network servers to collect clients, regulatory clients, sales clients and logist"&amp;"ics clients through network connection information. Information collection client is set in schools, gymnasiums, fitness halls, sports activities centers, sales clients set up at various sales outlets, information collection clients, sales clients, and lo"&amp;"gistics client collecting people use sports goods information and transmit them to the network through the network to the network The server and the regulatory client, and the network server sends the processing results to the information collection clien"&amp;"t, regulatory client, sales client and logistics client after classifying the use of sports goods information. Compared with existing technology, the invention can collect and process sales and warehousing logistics information quickly, helping the produc"&amp;"tion, sales and decision -making departments to improve work efficiency and meet market demand.")</f>
        <v>The present invention disclosed a sports product sales service management system based on the Internet of Things, including network servers, network servers in sales centers, network servers to collect clients, regulatory clients, sales clients and logistics clients through network connection information. Information collection client is set in schools, gymnasiums, fitness halls, sports activities centers, sales clients set up at various sales outlets, information collection clients, sales clients, and logistics client collecting people use sports goods information and transmit them to the network through the network to the network The server and the regulatory client, and the network server sends the processing results to the information collection client, regulatory client, sales client and logistics client after classifying the use of sports goods information. Compared with existing technology, the invention can collect and process sales and warehousing logistics information quickly, helping the production, sales and decision -making departments to improve work efficiency and meet market demand.</v>
      </c>
      <c r="D3408" s="6" t="s">
        <v>9545</v>
      </c>
      <c r="E3408" s="4" t="str">
        <f ca="1">IFERROR(__xludf.DUMMYFUNCTION("GOOGLETRANSLATE(D3408,""auto"",""en"")"),"A sports goods sales service management system based on the Internet of Things")</f>
        <v>A sports goods sales service management system based on the Internet of Things</v>
      </c>
    </row>
    <row r="3409" spans="1:5" ht="15" x14ac:dyDescent="0.25">
      <c r="A3409" s="5" t="s">
        <v>9546</v>
      </c>
      <c r="B3409" s="6" t="s">
        <v>9547</v>
      </c>
      <c r="C3409" s="3" t="str">
        <f ca="1">IFERROR(__xludf.DUMMYFUNCTION("GOOGLETRANSLATE(B3409,""auto"",""en"")"),"This utility model belongs to the field of swimming pool control technology, which involves a smart centralized control system for swimming pools. This practical new model provides a smart centralized control system for swimming pools, including human -co"&amp;"mputer interconnection touch screens, main control boards, subsystems and network servers; subsystems include electric sand cylinder subsystems, pool Hengdi warm subsystems, three -episode integrated damp heat pump subsystems; The main control board is co"&amp;"nnected to various subsystems through communication or IO control; the human -machine interaction touch screen is connected to the main control board through RS485, and the main control board is connected to the network server through a wired network or w"&amp;"ireless network. Beneficial effect: Intelligent: Integrated the detection of water quality data, automatically adjust the water quality according to the algorithm, no artificial participation, the regulating process is recorded in the case, the operating "&amp;"process parameters can be checked; It is integrated, with a small size and high cost performance.")</f>
        <v>This utility model belongs to the field of swimming pool control technology, which involves a smart centralized control system for swimming pools. This practical new model provides a smart centralized control system for swimming pools, including human -computer interconnection touch screens, main control boards, subsystems and network servers; subsystems include electric sand cylinder subsystems, pool Hengdi warm subsystems, three -episode integrated damp heat pump subsystems; The main control board is connected to various subsystems through communication or IO control; the human -machine interaction touch screen is connected to the main control board through RS485, and the main control board is connected to the network server through a wired network or wireless network. Beneficial effect: Intelligent: Integrated the detection of water quality data, automatically adjust the water quality according to the algorithm, no artificial participation, the regulating process is recorded in the case, the operating process parameters can be checked; It is integrated, with a small size and high cost performance.</v>
      </c>
      <c r="D3409" s="6" t="s">
        <v>9542</v>
      </c>
      <c r="E3409" s="4" t="str">
        <f ca="1">IFERROR(__xludf.DUMMYFUNCTION("GOOGLETRANSLATE(D3409,""auto"",""en"")"),"A swimming pool intelligent centralized control system")</f>
        <v>A swimming pool intelligent centralized control system</v>
      </c>
    </row>
    <row r="3410" spans="1:5" ht="15" x14ac:dyDescent="0.25">
      <c r="A3410" s="5" t="s">
        <v>9548</v>
      </c>
      <c r="B3410" s="6" t="s">
        <v>9549</v>
      </c>
      <c r="C3410" s="3" t="str">
        <f ca="1">IFERROR(__xludf.DUMMYFUNCTION("GOOGLETRANSLATE(B3410,""auto"",""en"")"),"Provides equipment, systems, processes and computers readable mediums for organizations, promotion, monitoring and obtaining feedback from social fitness activities. For at least one embodiment, one system includes an event module, which is configured as "&amp;"a remote event database interface that includes one or more event records; personal modules, configured as local The first database interface, two of which are identified in each of the two or more of the first records; the device module is configured as "&amp;"a local second database interface that includes at least one second record. The device that uses the Internet of Things label recognition at least one of the second records in the second record is coupled to the processor on the communication; the service"&amp;" module is configured as a remote third database interface including at least one third record; the facility module module module module The remote fourth database interface with at least one fourth record is configured.")</f>
        <v>Provides equipment, systems, processes and computers readable mediums for organizations, promotion, monitoring and obtaining feedback from social fitness activities. For at least one embodiment, one system includes an event module, which is configured as a remote event database interface that includes one or more event records; personal modules, configured as local The first database interface, two of which are identified in each of the two or more of the first records; the device module is configured as a local second database interface that includes at least one second record. The device that uses the Internet of Things label recognition at least one of the second records in the second record is coupled to the processor on the communication; the service module is configured as a remote third database interface including at least one third record; the facility module module module module The remote fourth database interface with at least one fourth record is configured.</v>
      </c>
      <c r="D3410" s="6" t="s">
        <v>9550</v>
      </c>
      <c r="E3410" s="4" t="str">
        <f ca="1">IFERROR(__xludf.DUMMYFUNCTION("GOOGLETRANSLATE(D3410,""auto"",""en"")"),"Social fitness activities")</f>
        <v>Social fitness activities</v>
      </c>
    </row>
    <row r="3411" spans="1:5" ht="15" x14ac:dyDescent="0.25">
      <c r="A3411" s="5" t="s">
        <v>9551</v>
      </c>
      <c r="B3411" s="6" t="s">
        <v>9552</v>
      </c>
      <c r="C3411" s="3" t="str">
        <f ca="1">IFERROR(__xludf.DUMMYFUNCTION("GOOGLETRANSLATE(B3411,""auto"",""en"")"),"The invention provides a smart basketball training system. Set up pressure -sensitive ground modules on the floor of the three seconds area, and then use the pressure sensitive ground module to detect the movement of the athlete as a trigger condition in "&amp;"order to process the module control control image recognition module start and capture Athlete's image data, so as to obtain the relevant image data of the athletes more accurately, improve the efficiency of the image data acquisition of the competition, "&amp;"and reduce the cost of controlling the cost of control.")</f>
        <v>The invention provides a smart basketball training system. Set up pressure -sensitive ground modules on the floor of the three seconds area, and then use the pressure sensitive ground module to detect the movement of the athlete as a trigger condition in order to process the module control control image recognition module start and capture Athlete's image data, so as to obtain the relevant image data of the athletes more accurately, improve the efficiency of the image data acquisition of the competition, and reduce the cost of controlling the cost of control.</v>
      </c>
      <c r="D3411" s="6" t="s">
        <v>9553</v>
      </c>
      <c r="E3411" s="4" t="str">
        <f ca="1">IFERROR(__xludf.DUMMYFUNCTION("GOOGLETRANSLATE(D3411,""auto"",""en"")"),"A smart basketball training system")</f>
        <v>A smart basketball training system</v>
      </c>
    </row>
    <row r="3412" spans="1:5" ht="15" x14ac:dyDescent="0.25">
      <c r="A3412" s="5" t="s">
        <v>9554</v>
      </c>
      <c r="B3412" s="6" t="s">
        <v>9555</v>
      </c>
      <c r="C3412" s="3" t="str">
        <f ca="1">IFERROR(__xludf.DUMMYFUNCTION("GOOGLETRANSLATE(B3412,""auto"",""en"")"),"The present invention involves the field of image processing technology. It specifically involves a mirror display method and mirror display device. The method includes: the image collection device collects the user's body image and sends it to the proces"&amp;"sor. The user image corresponds to the physical measurement information and fitness course information, and obtains the user's body fat rate according to the test information. After the preset exercise time, the body fat content, as well as the body image"&amp;" of the user after the test information, the body image and body fat content, and the human -machine interaction device to display the body image. By adopting the above methods, the user's physical shape is predicted and displayed according to the user's "&amp;"physical measurement information and curriculum information after the preset exercise time, which greatly facilitates the user's predictive body effect in the late fitness.")</f>
        <v>The present invention involves the field of image processing technology. It specifically involves a mirror display method and mirror display device. The method includes: the image collection device collects the user's body image and sends it to the processor. The user image corresponds to the physical measurement information and fitness course information, and obtains the user's body fat rate according to the test information. After the preset exercise time, the body fat content, as well as the body image of the user after the test information, the body image and body fat content, and the human -machine interaction device to display the body image. By adopting the above methods, the user's physical shape is predicted and displayed according to the user's physical measurement information and curriculum information after the preset exercise time, which greatly facilitates the user's predictive body effect in the late fitness.</v>
      </c>
      <c r="D3412" s="6" t="s">
        <v>9556</v>
      </c>
      <c r="E3412" s="4" t="str">
        <f ca="1">IFERROR(__xludf.DUMMYFUNCTION("GOOGLETRANSLATE(D3412,""auto"",""en"")"),"A mirror display method and mirror display device")</f>
        <v>A mirror display method and mirror display device</v>
      </c>
    </row>
    <row r="3413" spans="1:5" ht="15" x14ac:dyDescent="0.25">
      <c r="A3413" s="5" t="s">
        <v>9557</v>
      </c>
      <c r="B3413" s="6" t="s">
        <v>9558</v>
      </c>
      <c r="C3413" s="3" t="str">
        <f ca="1">IFERROR(__xludf.DUMMYFUNCTION("GOOGLETRANSLATE(B3413,""auto"",""en"")"),"The present invention disclosed a method and device of a voice -controlled treadmill. The voice source data is received through the voice input module and entered to the voice recognition system. The voice recognition system is used for voice recognition."&amp;" After the identification is completed The module is extracted by instructions on the identification results. ; The method and device of this voice -controlled treadmill can effectively advance to noise and useful and useful voice signals. When using a tr"&amp;"eadmill, users can improve the success rate of voice control and better use experience experience.")</f>
        <v>The present invention disclosed a method and device of a voice -controlled treadmill. The voice source data is received through the voice input module and entered to the voice recognition system. The voice recognition system is used for voice recognition. After the identification is completed The module is extracted by instructions on the identification results. ; The method and device of this voice -controlled treadmill can effectively advance to noise and useful and useful voice signals. When using a treadmill, users can improve the success rate of voice control and better use experience experience.</v>
      </c>
      <c r="D3413" s="6" t="s">
        <v>9559</v>
      </c>
      <c r="E3413" s="4" t="str">
        <f ca="1">IFERROR(__xludf.DUMMYFUNCTION("GOOGLETRANSLATE(D3413,""auto"",""en"")"),"Methods and devices of voice control treadmills")</f>
        <v>Methods and devices of voice control treadmills</v>
      </c>
    </row>
    <row r="3414" spans="1:5" ht="15" x14ac:dyDescent="0.25">
      <c r="A3414" s="5" t="s">
        <v>9560</v>
      </c>
      <c r="B3414" s="6" t="s">
        <v>9561</v>
      </c>
      <c r="C3414" s="3" t="str">
        <f ca="1">IFERROR(__xludf.DUMMYFUNCTION("GOOGLETRANSLATE(B3414,""auto"",""en"")"),"The present invention involves the field of sports equipment, and more specific, involves a fingerprint recognition electronic bracelet, which includes an e -bracelet, including the ring band body, and the human -machine interaction device embedded in the"&amp;" ring of the ring belt. : Micro -processor, circuit board, and fingerprint authentication module. The microprocessor is connected to the power of the fingerprint authentication module. They are all installed on the circuit board. The circuit board is fixe"&amp;"d inside the human -computer interaction device. Module, LCD display module, real time clock module, one end of the fingerprint processing module is connected to the LCD display module, and the other end is connected to the real clock module. This device "&amp;"design is novel. The data is safe and guarantees that personal data will not leak.")</f>
        <v>The present invention involves the field of sports equipment, and more specific, involves a fingerprint recognition electronic bracelet, which includes an e -bracelet, including the ring band body, and the human -machine interaction device embedded in the ring of the ring belt. : Micro -processor, circuit board, and fingerprint authentication module. The microprocessor is connected to the power of the fingerprint authentication module. They are all installed on the circuit board. The circuit board is fixed inside the human -computer interaction device. Module, LCD display module, real time clock module, one end of the fingerprint processing module is connected to the LCD display module, and the other end is connected to the real clock module. This device design is novel. The data is safe and guarantees that personal data will not leak.</v>
      </c>
      <c r="D3414" s="6" t="s">
        <v>9562</v>
      </c>
      <c r="E3414" s="4" t="str">
        <f ca="1">IFERROR(__xludf.DUMMYFUNCTION("GOOGLETRANSLATE(D3414,""auto"",""en"")"),"Fingerprint recognition electronic bracelet")</f>
        <v>Fingerprint recognition electronic bracelet</v>
      </c>
    </row>
    <row r="3415" spans="1:5" ht="15" x14ac:dyDescent="0.25">
      <c r="A3415" s="5" t="s">
        <v>9563</v>
      </c>
      <c r="B3415" s="6" t="s">
        <v>9564</v>
      </c>
      <c r="C3415" s="3" t="str">
        <f ca="1">IFERROR(__xludf.DUMMYFUNCTION("GOOGLETRANSLATE(B3415,""auto"",""en"")"),"Based on deep learning, gym fitness action recognition methods, with real -time video as a medium, use deep learning methods to conduct standardized identification of them, including the following steps: (1) Data collection, and regulate the regulatory ac"&amp;"tion records as standard action images; (((((((((((1) 2) Data marking, standardize the action of standard action images; (3) Data training, adopt deep learning method CAFFE in the convolutional neural network object detection and identification framework "&amp;"to obtain a standard action recognition model; (4) action recognition, right The user performs shooting and identifies the user action that is consistent with the standardization of the action classification in the standard action recognition model; There"&amp;" is no need for users to wear and replace expensive devices, which are controllable; videos that are currently popular and convenient to use in smart terminals are used as mediums to generate precise exercise data for users, correct misconduct, and achiev"&amp;"e better fitness results.")</f>
        <v>Based on deep learning, gym fitness action recognition methods, with real -time video as a medium, use deep learning methods to conduct standardized identification of them, including the following steps: (1) Data collection, and regulate the regulatory action records as standard action images; (((((((((((1) 2) Data marking, standardize the action of standard action images; (3) Data training, adopt deep learning method CAFFE in the convolutional neural network object detection and identification framework to obtain a standard action recognition model; (4) action recognition, right The user performs shooting and identifies the user action that is consistent with the standardization of the action classification in the standard action recognition model; There is no need for users to wear and replace expensive devices, which are controllable; videos that are currently popular and convenient to use in smart terminals are used as mediums to generate precise exercise data for users, correct misconduct, and achieve better fitness results.</v>
      </c>
      <c r="D3415" s="6" t="s">
        <v>9565</v>
      </c>
      <c r="E3415" s="4" t="str">
        <f ca="1">IFERROR(__xludf.DUMMYFUNCTION("GOOGLETRANSLATE(D3415,""auto"",""en"")"),"Methods and devices based on deep learning fitness movement action recognition methods and devices")</f>
        <v>Methods and devices based on deep learning fitness movement action recognition methods and devices</v>
      </c>
    </row>
    <row r="3416" spans="1:5" ht="15" x14ac:dyDescent="0.25">
      <c r="A3416" s="5" t="s">
        <v>9566</v>
      </c>
      <c r="B3416" s="6" t="s">
        <v>9567</v>
      </c>
      <c r="C3416" s="3" t="str">
        <f ca="1">IFERROR(__xludf.DUMMYFUNCTION("GOOGLETRANSLATE(B3416,""auto"",""en"")"),"The present invention provides a fitness data supervision system based on the Internet of Things and cloud computing. It is composed of the fitness data supervision center and multiple fitness monitors. The fitness monitor of the server and the fitness da"&amp;"tabase includes wireless communication modules, motion state monitors, energy consumption monitors, fitness guides, card readers, motion equipment regulators and microprocessors. The present invention has the characteristics of simple structure, intellige"&amp;"nce, digitalization, humanization, security and reliability, etc., and can realize the movement of the athletes in real time. With processing, so that each fitness person is proposed that there is a targeted, personalized and scientific fitness guidance.")</f>
        <v>The present invention provides a fitness data supervision system based on the Internet of Things and cloud computing. It is composed of the fitness data supervision center and multiple fitness monitors. The fitness monitor of the server and the fitness database includes wireless communication modules, motion state monitors, energy consumption monitors, fitness guides, card readers, motion equipment regulators and microprocessors. The present invention has the characteristics of simple structure, intelligence, digitalization, humanization, security and reliability, etc., and can realize the movement of the athletes in real time. With processing, so that each fitness person is proposed that there is a targeted, personalized and scientific fitness guidance.</v>
      </c>
      <c r="D3416" s="6" t="s">
        <v>9539</v>
      </c>
      <c r="E3416" s="4" t="str">
        <f ca="1">IFERROR(__xludf.DUMMYFUNCTION("GOOGLETRANSLATE(D3416,""auto"",""en"")"),"Fitness data supervision system based on the Internet of Things and cloud computing")</f>
        <v>Fitness data supervision system based on the Internet of Things and cloud computing</v>
      </c>
    </row>
    <row r="3417" spans="1:5" ht="15" x14ac:dyDescent="0.25">
      <c r="A3417" s="5" t="s">
        <v>9568</v>
      </c>
      <c r="B3417" s="6" t="s">
        <v>9569</v>
      </c>
      <c r="C3417" s="3" t="str">
        <f ca="1">IFERROR(__xludf.DUMMYFUNCTION("GOOGLETRANSLATE(B3417,""auto"",""en"")"),"The invention involves the field of sports equipment, and more specifically, involves a smart van bread machine with voice reminder. The smart bread machine with a voice reminder, including the protective shell, supports the bottom of the leap on the bott"&amp;"om of the protective shell. It is characterized by: double -layer cooking cylindrical, human -machine interaction device and mixing component, which is installed on the tube support seat, which is fixed at the bottom of the double -layer cooking component"&amp;", the human machine The interactive device is installed on the protective shell. The device is designed with novel design, powerful functions, and has a voice recognition function. It can input and output the instructions through the voice -to -noodles. G"&amp;"ood market prospects.")</f>
        <v>The invention involves the field of sports equipment, and more specifically, involves a smart van bread machine with voice reminder. The smart bread machine with a voice reminder, including the protective shell, supports the bottom of the leap on the bottom of the protective shell. It is characterized by: double -layer cooking cylindrical, human -machine interaction device and mixing component, which is installed on the tube support seat, which is fixed at the bottom of the double -layer cooking component, the human machine The interactive device is installed on the protective shell. The device is designed with novel design, powerful functions, and has a voice recognition function. It can input and output the instructions through the voice -to -noodles. Good market prospects.</v>
      </c>
      <c r="D3417" s="6" t="s">
        <v>9570</v>
      </c>
      <c r="E3417" s="4" t="str">
        <f ca="1">IFERROR(__xludf.DUMMYFUNCTION("GOOGLETRANSLATE(D3417,""auto"",""en"")"),"Smart Breadrior with Voice Reminder")</f>
        <v>Smart Breadrior with Voice Reminder</v>
      </c>
    </row>
    <row r="3418" spans="1:5" ht="15" x14ac:dyDescent="0.25">
      <c r="A3418" s="5" t="s">
        <v>9571</v>
      </c>
      <c r="B3418" s="6" t="s">
        <v>9572</v>
      </c>
      <c r="C3418" s="3" t="str">
        <f ca="1">IFERROR(__xludf.DUMMYFUNCTION("GOOGLETRANSLATE(B3418,""auto"",""en"")"),"The present invention involves a personal color guidance system and method based on color psychology. It guides the best personal color based on the information provided by the customer, but the use of physical and skin tone based on psychological and per"&amp;"sonality information provides personal color Essence Color coaching systems and methods, diagnosis and comprehensive personal color, analyze their correlation, and check the prediction and reliability of personal colors based on deep learning.")</f>
        <v>The present invention involves a personal color guidance system and method based on color psychology. It guides the best personal color based on the information provided by the customer, but the use of physical and skin tone based on psychological and personality information provides personal color Essence Color coaching systems and methods, diagnosis and comprehensive personal color, analyze their correlation, and check the prediction and reliability of personal colors based on deep learning.</v>
      </c>
      <c r="D3418" s="6" t="s">
        <v>9573</v>
      </c>
      <c r="E3418" s="4" t="str">
        <f ca="1">IFERROR(__xludf.DUMMYFUNCTION("GOOGLETRANSLATE(D3418,""auto"",""en"")"),"Personal color counseling system based on color psychology")</f>
        <v>Personal color counseling system based on color psychology</v>
      </c>
    </row>
    <row r="3419" spans="1:5" ht="15" x14ac:dyDescent="0.25">
      <c r="A3419" s="5" t="s">
        <v>9574</v>
      </c>
      <c r="B3419" s="6" t="s">
        <v>9575</v>
      </c>
      <c r="C3419" s="3" t="str">
        <f ca="1">IFERROR(__xludf.DUMMYFUNCTION("GOOGLETRANSLATE(B3419,""auto"",""en"")"),"The present invention disclosed a training device for sports split foundation, including the rectangular board, which is installed on one end of the rectangular board with a slide rail. There is an electric push rod, which is installed with a controller o"&amp;"n one side of the rectangular board, which is installed with a voice recognition system inside the controller, which is installed with a voice collector on the outer surface of the controller. The straight rectangular board A, the vertical rectangular boa"&amp;"rd A is installed with a sponge body on the outside surface, which is equipped with a protective cover with a set of electric push rod telescopic end, which is connected to the electrical characteristics of the electric push rod. The beneficial effect of "&amp;"the present invention is that the structure is simple and practical.")</f>
        <v>The present invention disclosed a training device for sports split foundation, including the rectangular board, which is installed on one end of the rectangular board with a slide rail. There is an electric push rod, which is installed with a controller on one side of the rectangular board, which is installed with a voice recognition system inside the controller, which is installed with a voice collector on the outer surface of the controller. The straight rectangular board A, the vertical rectangular board A is installed with a sponge body on the outside surface, which is equipped with a protective cover with a set of electric push rod telescopic end, which is connected to the electrical characteristics of the electric push rod. The beneficial effect of the present invention is that the structure is simple and practical.</v>
      </c>
      <c r="D3419" s="6" t="s">
        <v>9576</v>
      </c>
      <c r="E3419" s="4" t="str">
        <f ca="1">IFERROR(__xludf.DUMMYFUNCTION("GOOGLETRANSLATE(D3419,""auto"",""en"")"),"A trainer for sports split foundation")</f>
        <v>A trainer for sports split foundation</v>
      </c>
    </row>
    <row r="3420" spans="1:5" ht="15" x14ac:dyDescent="0.25">
      <c r="A3420" s="5" t="s">
        <v>9577</v>
      </c>
      <c r="B3420" s="6" t="s">
        <v>9578</v>
      </c>
      <c r="C3420" s="3" t="str">
        <f ca="1">IFERROR(__xludf.DUMMYFUNCTION("GOOGLETRANSLATE(B3420,""auto"",""en"")"),"The present invention disclosed the method and installation of artificial intelligence -based pool rescue robots, involving the field of artificial intelligence. The present invention includes the sound source positioning system, the controller and the po"&amp;"wer drive system; the sound source positioning system is connected through the controller to the power drive system. The source positioning system includes the voice collection module used to collect the sound source to send a signal; for the collection o"&amp;"f collection, the collection of collection The voice signal for processing and recognition of the voice signal pre -processing module; the sound positioning module for judging the sound source position of the sound source by calculating the time differenc"&amp;"e or sound pressure ratio; Provide dynamic devices for the pool rescue robot. The present invention collects different sound sources in the swimming pool through the voice collection device. When the processed sound source appears, the preset sound source"&amp;" appears. Surgery.")</f>
        <v>The present invention disclosed the method and installation of artificial intelligence -based pool rescue robots, involving the field of artificial intelligence. The present invention includes the sound source positioning system, the controller and the power drive system; the sound source positioning system is connected through the controller to the power drive system. The source positioning system includes the voice collection module used to collect the sound source to send a signal; for the collection of collection, the collection of collection The voice signal for processing and recognition of the voice signal pre -processing module; the sound positioning module for judging the sound source position of the sound source by calculating the time difference or sound pressure ratio; Provide dynamic devices for the pool rescue robot. The present invention collects different sound sources in the swimming pool through the voice collection device. When the processed sound source appears, the preset sound source appears. Surgery.</v>
      </c>
      <c r="D3420" s="6" t="s">
        <v>9579</v>
      </c>
      <c r="E3420" s="4" t="str">
        <f ca="1">IFERROR(__xludf.DUMMYFUNCTION("GOOGLETRANSLATE(D3420,""auto"",""en"")"),"Artificial intelligence -based swimming pool rescue robot rescue method and device")</f>
        <v>Artificial intelligence -based swimming pool rescue robot rescue method and device</v>
      </c>
    </row>
    <row r="3421" spans="1:5" ht="15" x14ac:dyDescent="0.25">
      <c r="A3421" s="5" t="s">
        <v>9580</v>
      </c>
      <c r="B3421" s="6" t="s">
        <v>9581</v>
      </c>
      <c r="C3421" s="3" t="str">
        <f ca="1">IFERROR(__xludf.DUMMYFUNCTION("GOOGLETRANSLATE(B3421,""auto"",""en"")"),"Abstract: -The files provide GPS (Global Positioning System) to guide the development and implementation of roamers. The roamers complete the competition on a predefined orbit composed of coordinates. The design consists of an organic glass base, a batter"&amp;"y composition, a servo motor, a GPS module and ATMEGA 328 Arduino microcontroller. The microcontroller receives the input from the GPS module in a string format in a string format. Then send data and calculate the direction through our way of finding algo"&amp;"rithms. There are courses with small problems in running stations. Improvement suggestions include algorithm and additional sensors.")</f>
        <v>Abstract: -The files provide GPS (Global Positioning System) to guide the development and implementation of roamers. The roamers complete the competition on a predefined orbit composed of coordinates. The design consists of an organic glass base, a battery composition, a servo motor, a GPS module and ATMEGA 328 Arduino microcontroller. The microcontroller receives the input from the GPS module in a string format in a string format. Then send data and calculate the direction through our way of finding algorithms. There are courses with small problems in running stations. Improvement suggestions include algorithm and additional sensors.</v>
      </c>
      <c r="D3421" s="6" t="s">
        <v>9582</v>
      </c>
      <c r="E3421" s="4" t="str">
        <f ca="1">IFERROR(__xludf.DUMMYFUNCTION("GOOGLETRANSLATE(D3421,""auto"",""en"")"),"Automatic robots based on the Internet of Things tracking and positioning through GPS")</f>
        <v>Automatic robots based on the Internet of Things tracking and positioning through GPS</v>
      </c>
    </row>
    <row r="3422" spans="1:5" ht="15" x14ac:dyDescent="0.25">
      <c r="A3422" s="5" t="s">
        <v>9583</v>
      </c>
      <c r="B3422" s="6" t="s">
        <v>9584</v>
      </c>
      <c r="C3422" s="3" t="str">
        <f ca="1">IFERROR(__xludf.DUMMYFUNCTION("GOOGLETRANSLATE(B3422,""auto"",""en"")"),"The purpose of the present invention is that without using the characteristic data of the equipment related to the vehicle and the slope and curvature of the train's driving position, the energy consumption is presented and the driving curve that minimize"&amp;"s the energy consumption.
  The running curve creation device based on the embodiment includes the acquisition unit, the model creation unit, and the running curve creation unit. Get the location, speed, acceleration, number of gear, weight, energy cons"&amp;"umption, etc. of the vehicle to obtain the vehicle on the scheduled road section. Model creation unit uses machine learning to create energy models. This model is a non -linear regression model. The input is included in the location, speed, acceleration, "&amp;"gear number and weight of the obtained itinerary data. .. Driving curve generator uses an energy model to generate a vehicle driving curve that minimizes the energy consumption in the scheduled road section.
  【Selection Figure】 Figure 2")</f>
        <v>The purpose of the present invention is that without using the characteristic data of the equipment related to the vehicle and the slope and curvature of the train's driving position, the energy consumption is presented and the driving curve that minimizes the energy consumption.
  The running curve creation device based on the embodiment includes the acquisition unit, the model creation unit, and the running curve creation unit. Get the location, speed, acceleration, number of gear, weight, energy consumption, etc. of the vehicle to obtain the vehicle on the scheduled road section. Model creation unit uses machine learning to create energy models. This model is a non -linear regression model. The input is included in the location, speed, acceleration, gear number and weight of the obtained itinerary data. .. Driving curve generator uses an energy model to generate a vehicle driving curve that minimizes the energy consumption in the scheduled road section.
  【Selection Figure】 Figure 2</v>
      </c>
      <c r="D3422" s="6" t="s">
        <v>9585</v>
      </c>
      <c r="E3422" s="4" t="str">
        <f ca="1">IFERROR(__xludf.DUMMYFUNCTION("GOOGLETRANSLATE(D3422,""auto"",""en"")"),"Driving curve generation device")</f>
        <v>Driving curve generation device</v>
      </c>
    </row>
    <row r="3423" spans="1:5" ht="15" x14ac:dyDescent="0.25">
      <c r="A3423" s="5" t="s">
        <v>9586</v>
      </c>
      <c r="B3423" s="6" t="s">
        <v>9587</v>
      </c>
      <c r="C3423" s="3" t="str">
        <f ca="1">IFERROR(__xludf.DUMMYFUNCTION("GOOGLETRANSLATE(B3423,""auto"",""en"")"),"The present invention disclosed a two -value recognition system and method based on the BP neural network. The identification system includes image acquisition modules, data transmission modules, and central processors. And the OTSU algorithm to divide th"&amp;"e image, and then combine the closed calculations in morphology and the seed filling algorithm to obtain a better tennis outline. Based on this, the characteristic value of the tennis can be used to build the BP neural network, so as to effectively identi"&amp;"fy the tennis Essence The identification system and method of the present invention can not only accurately identify the tennis, but also have a simple processing method. The requirements for the data processing platform are not high, the equipment cost i"&amp;"s low, and the software development package is open source. Therefore, it can be better promoted and used. Essence")</f>
        <v>The present invention disclosed a two -value recognition system and method based on the BP neural network. The identification system includes image acquisition modules, data transmission modules, and central processors. And the OTSU algorithm to divide the image, and then combine the closed calculations in morphology and the seed filling algorithm to obtain a better tennis outline. Based on this, the characteristic value of the tennis can be used to build the BP neural network, so as to effectively identify the tennis Essence The identification system and method of the present invention can not only accurately identify the tennis, but also have a simple processing method. The requirements for the data processing platform are not high, the equipment cost is low, and the software development package is open source. Therefore, it can be better promoted and used. Essence</v>
      </c>
      <c r="D3423" s="6" t="s">
        <v>9588</v>
      </c>
      <c r="E3423" s="4" t="str">
        <f ca="1">IFERROR(__xludf.DUMMYFUNCTION("GOOGLETRANSLATE(D3423,""auto"",""en"")"),"An identification system and method based on BP neural network differential two -value recognition system")</f>
        <v>An identification system and method based on BP neural network differential two -value recognition system</v>
      </c>
    </row>
    <row r="3424" spans="1:5" ht="15" x14ac:dyDescent="0.25">
      <c r="A3424" s="5" t="s">
        <v>9589</v>
      </c>
      <c r="B3424" s="6" t="s">
        <v>7742</v>
      </c>
      <c r="C3424" s="3" t="str">
        <f ca="1">IFERROR(__xludf.DUMMYFUNCTION("GOOGLETRANSLATE(B3424,""auto"",""en"")"),"Kind Code: A1 more effectively learning artificial intelligence agents to use multiple objects to play video games.
  Player log collection department (52) obtains the player log. The player log is the data of the player's historical data of the game. T"&amp;"he emoji Learning Department 54 According to the player log stored in the player log DB 36, the emoji learns, and the study represents the characteristic vector of the characteristics of the characteristics of each role. Based on the player log stored in "&amp;"the player log DB 36, supervise the learning unit 56 to make the AI ​​proxy 42 learn the strategy of using each character while using the characteristic vector of each character that is learned from the expression learning unit 54. The AI ​​battle process"&amp;"ing unit 58 allows the trained AI agent 42 to play in this game. The AI ​​log collection unit 62 obtains the AI ​​log. Statistical generator 64 Statistics 44A based on AI logs generated by character use results.
  【Selection Figure】 Figure 5")</f>
        <v>Kind Code: A1 more effectively learning artificial intelligence agents to use multiple objects to play video games.
  Player log collection department (52) obtains the player log. The player log is the data of the player's historical data of the game. The emoji Learning Department 54 According to the player log stored in the player log DB 36, the emoji learns, and the study represents the characteristic vector of the characteristics of the characteristics of each role. Based on the player log stored in the player log DB 36, supervise the learning unit 56 to make the AI ​​proxy 42 learn the strategy of using each character while using the characteristic vector of each character that is learned from the expression learning unit 54. The AI ​​battle processing unit 58 allows the trained AI agent 42 to play in this game. The AI ​​log collection unit 62 obtains the AI ​​log. Statistical generator 64 Statistics 44A based on AI logs generated by character use results.
  【Selection Figure】 Figure 5</v>
      </c>
      <c r="D3424" s="6" t="s">
        <v>7743</v>
      </c>
      <c r="E3424" s="4" t="str">
        <f ca="1">IFERROR(__xludf.DUMMYFUNCTION("GOOGLETRANSLATE(D3424,""auto"",""en"")"),"Information processing device and information processing program")</f>
        <v>Information processing device and information processing program</v>
      </c>
    </row>
    <row r="3425" spans="1:5" ht="15" x14ac:dyDescent="0.25">
      <c r="A3425" s="5" t="s">
        <v>9590</v>
      </c>
      <c r="B3425" s="6" t="s">
        <v>9591</v>
      </c>
      <c r="C3425" s="3" t="str">
        <f ca="1">IFERROR(__xludf.DUMMYFUNCTION("GOOGLETRANSLATE(B3425,""auto"",""en"")"),"A system that captures the driver's dynamic driving style through the different parameters of the car capture speed, throttle, clutch, brakes, and steering wheels. This system monitors the driver's outline while driving, and at the same time generates ala"&amp;"rm and suggestions. This system is excavated by machine learning (ML) model to analyze and evaluate different driving parameters. The driver will push it to the cloud each time running. This system is further conducive to improving the performance of the "&amp;"vehicle and reducing the chance of wear and accidents. The system can also be used to send alarm on drivers, especially highways and highways.")</f>
        <v>A system that captures the driver's dynamic driving style through the different parameters of the car capture speed, throttle, clutch, brakes, and steering wheels. This system monitors the driver's outline while driving, and at the same time generates alarm and suggestions. This system is excavated by machine learning (ML) model to analyze and evaluate different driving parameters. The driver will push it to the cloud each time running. This system is further conducive to improving the performance of the vehicle and reducing the chance of wear and accidents. The system can also be used to send alarm on drivers, especially highways and highways.</v>
      </c>
      <c r="D3425" s="6" t="s">
        <v>9592</v>
      </c>
      <c r="E3425" s="4" t="str">
        <f ca="1">IFERROR(__xludf.DUMMYFUNCTION("GOOGLETRANSLATE(D3425,""auto"",""en"")"),"Driving style analyzer")</f>
        <v>Driving style analyzer</v>
      </c>
    </row>
    <row r="3426" spans="1:5" ht="15" x14ac:dyDescent="0.25">
      <c r="A3426" s="5" t="s">
        <v>9593</v>
      </c>
      <c r="B3426" s="6" t="s">
        <v>9594</v>
      </c>
      <c r="C3426" s="3" t="str">
        <f ca="1">IFERROR(__xludf.DUMMYFUNCTION("GOOGLETRANSLATE(B3426,""auto"",""en"")"),"This utility model discloses intelligent robot gift machines, including chassis, advertising display, gift boxes, banknotes, coins, control rods, function control keys, basketball racks, automatic gift boxes, football racks and robots. It is characterized"&amp;" by: There is a gift box at both ends at the bottom of the chassis. There is an advertising display on the top of the case. The front of the chassis is set with a coin device, which is set with a banknoter on the right side of the coin device. There is a "&amp;"control lever on the upper edge of the console on the left side of the console, with functional control keys on the right side of the console on the right side of the console. The automatic gift ball box and basketball rack are set on both sides of the fo"&amp;"otball rack as axis symmetrical distribution, and there is an automatic gift ball exit on one side of the automatic gift box. The intelligent robot gift machine has simple structure and strong interest, which is conducive to market promotion and use.")</f>
        <v>This utility model discloses intelligent robot gift machines, including chassis, advertising display, gift boxes, banknotes, coins, control rods, function control keys, basketball racks, automatic gift boxes, football racks and robots. It is characterized by: There is a gift box at both ends at the bottom of the chassis. There is an advertising display on the top of the case. The front of the chassis is set with a coin device, which is set with a banknoter on the right side of the coin device. There is a control lever on the upper edge of the console on the left side of the console, with functional control keys on the right side of the console on the right side of the console. The automatic gift ball box and basketball rack are set on both sides of the football rack as axis symmetrical distribution, and there is an automatic gift ball exit on one side of the automatic gift box. The intelligent robot gift machine has simple structure and strong interest, which is conducive to market promotion and use.</v>
      </c>
      <c r="D3426" s="6" t="s">
        <v>9595</v>
      </c>
      <c r="E3426" s="4" t="str">
        <f ca="1">IFERROR(__xludf.DUMMYFUNCTION("GOOGLETRANSLATE(D3426,""auto"",""en"")"),"Intelligent robot gift machine")</f>
        <v>Intelligent robot gift machine</v>
      </c>
    </row>
    <row r="3427" spans="1:5" ht="15" x14ac:dyDescent="0.25">
      <c r="A3427" s="5" t="s">
        <v>9596</v>
      </c>
      <c r="B3427" s="6" t="s">
        <v>9597</v>
      </c>
      <c r="C3427" s="3" t="str">
        <f ca="1">IFERROR(__xludf.DUMMYFUNCTION("GOOGLETRANSLATE(B3427,""auto"",""en"")"),"The present invention disclosed a method, device, equipment and medium of fitness guidance, involving fitness equipment and image recognition technology. This method includes: after monitoring the user's movement, the user's face image is collected in rea"&amp;"l time; the face image of the person's face is identified; the user's current motion status is determined according to the identification results; the user is suggestion. A fitness guidance implementation method, device, equipment, and medium provided by "&amp;"the embodiment of the present invention, suggestions to users based on real -time user face images, thereby reducing the occurrence of accidents in exercise, or the occurrence of unwell symptoms after exercise.")</f>
        <v>The present invention disclosed a method, device, equipment and medium of fitness guidance, involving fitness equipment and image recognition technology. This method includes: after monitoring the user's movement, the user's face image is collected in real time; the face image of the person's face is identified; the user's current motion status is determined according to the identification results; the user is suggestion. A fitness guidance implementation method, device, equipment, and medium provided by the embodiment of the present invention, suggestions to users based on real -time user face images, thereby reducing the occurrence of accidents in exercise, or the occurrence of unwell symptoms after exercise.</v>
      </c>
      <c r="D3427" s="6" t="s">
        <v>9598</v>
      </c>
      <c r="E3427" s="4" t="str">
        <f ca="1">IFERROR(__xludf.DUMMYFUNCTION("GOOGLETRANSLATE(D3427,""auto"",""en"")"),"A fitness guidance implementation method, device, equipment and medium")</f>
        <v>A fitness guidance implementation method, device, equipment and medium</v>
      </c>
    </row>
    <row r="3428" spans="1:5" ht="15" x14ac:dyDescent="0.25">
      <c r="A3428" s="5" t="s">
        <v>9599</v>
      </c>
      <c r="B3428" s="6" t="s">
        <v>9600</v>
      </c>
      <c r="C3428" s="3" t="str">
        <f ca="1">IFERROR(__xludf.DUMMYFUNCTION("GOOGLETRANSLATE(B3428,""auto"",""en"")"),"The present invention includes one device that can shoot two sets of videos or pictures from another set of different angles, and use software to manipulate these two media into a three -dimensional image that can be shared with others. One embodiment of "&amp;"the present invention requires a tray with a handle. The tray can accommodate two mobile phones and adjust them to about the pupil spacing. The objection to the device in the three -dimensional view. The software also has image recognition capabilities. I"&amp;"t can build a three -dimensional environment through a single -sided grasp grasp, and then pull the data from the image recognition database to complete the three -dimensional representation of the object.")</f>
        <v>The present invention includes one device that can shoot two sets of videos or pictures from another set of different angles, and use software to manipulate these two media into a three -dimensional image that can be shared with others. One embodiment of the present invention requires a tray with a handle. The tray can accommodate two mobile phones and adjust them to about the pupil spacing. The objection to the device in the three -dimensional view. The software also has image recognition capabilities. It can build a three -dimensional environment through a single -sided grasp grasp, and then pull the data from the image recognition database to complete the three -dimensional representation of the object.</v>
      </c>
      <c r="D3428" s="6" t="s">
        <v>8629</v>
      </c>
      <c r="E3428" s="4" t="str">
        <f ca="1">IFERROR(__xludf.DUMMYFUNCTION("GOOGLETRANSLATE(D3428,""auto"",""en"")"),"Multi -camera airport scene said, including stereo videos for VR display")</f>
        <v>Multi -camera airport scene said, including stereo videos for VR display</v>
      </c>
    </row>
    <row r="3429" spans="1:5" ht="15" x14ac:dyDescent="0.25">
      <c r="A3429" s="5" t="s">
        <v>9601</v>
      </c>
      <c r="B3429" s="6" t="s">
        <v>9602</v>
      </c>
      <c r="C3429" s="3" t="str">
        <f ca="1">IFERROR(__xludf.DUMMYFUNCTION("GOOGLETRANSLATE(B3429,""auto"",""en"")"),"As a personal training system and membership management system based on the fitness center application, through smartphones, using a arm belt with heart rate sensors, dumbbells with access to sensors and barbells, beaches that provide sports images, and A"&amp;"I for SII for alternative motion for individuals Training makes this possible")</f>
        <v>As a personal training system and membership management system based on the fitness center application, through smartphones, using a arm belt with heart rate sensors, dumbbells with access to sensors and barbells, beaches that provide sports images, and AI for SII for alternative motion for individuals Training makes this possible</v>
      </c>
      <c r="D3429" s="6" t="s">
        <v>9603</v>
      </c>
      <c r="E3429" s="4" t="str">
        <f ca="1">IFERROR(__xludf.DUMMYFUNCTION("GOOGLETRANSLATE(D3429,""auto"",""en"")"),"Artificial intelligence personal training application using sensors and beacons")</f>
        <v>Artificial intelligence personal training application using sensors and beacons</v>
      </c>
    </row>
    <row r="3430" spans="1:5" ht="15" x14ac:dyDescent="0.25">
      <c r="A3430" s="5" t="s">
        <v>9604</v>
      </c>
      <c r="B3430" s="6" t="s">
        <v>9605</v>
      </c>
      <c r="C3430" s="3" t="str">
        <f ca="1">IFERROR(__xludf.DUMMYFUNCTION("GOOGLETRANSLATE(B3430,""auto"",""en"")"),"Provide a curling lea on the device and its operation method. According to the curling competition strategy of a embodiment of an embodiment, the device is presented. Among them, the first throwing strategy of the device includes a given learning data, th"&amp;"e current game status, and at least one throw parameter to determine the first throw strategy for the first throwing strategy for the first throwing strategy for the first throwing strategy Strategy. The simulation unit of the simulation game results; det"&amp;"ermine the unit, determine the second -ball strategy recommended for actual pitching according to the simulation results; processing unit processing machine learning to reflect the actual throwing content and results in the learning data.")</f>
        <v>Provide a curling lea on the device and its operation method. According to the curling competition strategy of a embodiment of an embodiment, the device is presented. Among them, the first throwing strategy of the device includes a given learning data, the current game status, and at least one throw parameter to determine the first throw strategy for the first throwing strategy for the first throwing strategy for the first throwing strategy Strategy. The simulation unit of the simulation game results; determine the unit, determine the second -ball strategy recommended for actual pitching according to the simulation results; processing unit processing machine learning to reflect the actual throwing content and results in the learning data.</v>
      </c>
      <c r="D3430" s="6" t="s">
        <v>9606</v>
      </c>
      <c r="E3430" s="4" t="str">
        <f ca="1">IFERROR(__xludf.DUMMYFUNCTION("GOOGLETRANSLATE(D3430,""auto"",""en"")"),"A device and operation method for showing the strategy of lumpy game stone throwing strategy")</f>
        <v>A device and operation method for showing the strategy of lumpy game stone throwing strategy</v>
      </c>
    </row>
    <row r="3431" spans="1:5" ht="15" x14ac:dyDescent="0.25">
      <c r="A3431" s="5" t="s">
        <v>9607</v>
      </c>
      <c r="B3431" s="6" t="s">
        <v>9608</v>
      </c>
      <c r="C3431" s="3" t="str">
        <f ca="1">IFERROR(__xludf.DUMMYFUNCTION("GOOGLETRANSLATE(B3431,""auto"",""en"")"),"The present invention disclosed a multi -functional intelligent rope skipping device, including the handle and elastic rope. The connection between the handle and the elastic rope has a storage groove. There is a deck; the connection between the storage g"&amp;"roove and the elastic rope has a acceleration sensor; the inside of the handle is a hollow shape, and the handle is built -in Modules, charging modules, display modules, and microcontroller processing units. The invention improves the structure of the rop"&amp;"e skipping device and the design of multiple application modules on the handle, so that the rope skipping device has a rope -long adjustable, automatic timing and counting, can be used to entertain human machinery, can record users' sports parameters and "&amp;"perform users and perform users and can record users and can record users and can record users and can record users. The multiple effects such as wireless transmission can guide the fitness plan and better achieve the effect of fitness and entertainment.")</f>
        <v>The present invention disclosed a multi -functional intelligent rope skipping device, including the handle and elastic rope. The connection between the handle and the elastic rope has a storage groove. There is a deck; the connection between the storage groove and the elastic rope has a acceleration sensor; the inside of the handle is a hollow shape, and the handle is built -in Modules, charging modules, display modules, and microcontroller processing units. The invention improves the structure of the rope skipping device and the design of multiple application modules on the handle, so that the rope skipping device has a rope -long adjustable, automatic timing and counting, can be used to entertain human machinery, can record users' sports parameters and perform users and perform users and can record users and can record users and can record users and can record users. The multiple effects such as wireless transmission can guide the fitness plan and better achieve the effect of fitness and entertainment.</v>
      </c>
      <c r="D3431" s="6" t="s">
        <v>9609</v>
      </c>
      <c r="E3431" s="4" t="str">
        <f ca="1">IFERROR(__xludf.DUMMYFUNCTION("GOOGLETRANSLATE(D3431,""auto"",""en"")"),"A multi -function smart skipping device")</f>
        <v>A multi -function smart skipping device</v>
      </c>
    </row>
    <row r="3432" spans="1:5" ht="15" x14ac:dyDescent="0.25">
      <c r="A3432" s="5" t="s">
        <v>9610</v>
      </c>
      <c r="B3432" s="6" t="s">
        <v>9611</v>
      </c>
      <c r="C3432" s="3" t="str">
        <f ca="1">IFERROR(__xludf.DUMMYFUNCTION("GOOGLETRANSLATE(B3432,""auto"",""en"")"),"Provides a way to provide communication and adjustment coaches. This method can obtain communication information about the communication between the first and second entities, and the communication may be ongoing. Communication can include discourse. It c"&amp;"an recognize the tone associated with discourse and can generate recognition tones. You can use machine learning prediction modules and recognized tones to predict the results of communication.")</f>
        <v>Provides a way to provide communication and adjustment coaches. This method can obtain communication information about the communication between the first and second entities, and the communication may be ongoing. Communication can include discourse. It can recognize the tone associated with discourse and can generate recognition tones. You can use machine learning prediction modules and recognized tones to predict the results of communication.</v>
      </c>
      <c r="D3432" s="6" t="s">
        <v>9612</v>
      </c>
      <c r="E3432" s="4" t="str">
        <f ca="1">IFERROR(__xludf.DUMMYFUNCTION("GOOGLETRANSLATE(D3432,""auto"",""en"")"),"Communication tone coach")</f>
        <v>Communication tone coach</v>
      </c>
    </row>
    <row r="3433" spans="1:5" ht="15" x14ac:dyDescent="0.25">
      <c r="A3433" s="5" t="s">
        <v>9613</v>
      </c>
      <c r="B3433" s="6" t="s">
        <v>9614</v>
      </c>
      <c r="C3433" s="3" t="str">
        <f ca="1">IFERROR(__xludf.DUMMYFUNCTION("GOOGLETRANSLATE(B3433,""auto"",""en"")"),"This application discloses a badminton identification method, including: uses pre -trained badminton models to identify the processing and obtain the corresponding classification of badminton or interference. ; Among them, the training sample includes the"&amp;" motion pictures and interference pictures of the badminton and the corresponding classification information; input the training sample to the training of the convolutional neural network model created by TensorFlow for training to obtain the badminton mo"&amp;"del. In the present invention, using the deep learning framework of Tensorflow to create a badminton model. This method uses image operators to identify the image, simplifying the complexity of image processing, because this method uses the model network "&amp;"design of the model. The design of the feature algorithm reduces a large amount of labor costs. Correspondingly, the present invention also disclosed a badminton recognition system, medium and equipment, which also has the above beneficial effects.")</f>
        <v>This application discloses a badminton identification method, including: uses pre -trained badminton models to identify the processing and obtain the corresponding classification of badminton or interference. ; Among them, the training sample includes the motion pictures and interference pictures of the badminton and the corresponding classification information; input the training sample to the training of the convolutional neural network model created by TensorFlow for training to obtain the badminton model. In the present invention, using the deep learning framework of Tensorflow to create a badminton model. This method uses image operators to identify the image, simplifying the complexity of image processing, because this method uses the model network design of the model. The design of the feature algorithm reduces a large amount of labor costs. Correspondingly, the present invention also disclosed a badminton recognition system, medium and equipment, which also has the above beneficial effects.</v>
      </c>
      <c r="D3433" s="6" t="s">
        <v>9615</v>
      </c>
      <c r="E3433" s="4" t="str">
        <f ca="1">IFERROR(__xludf.DUMMYFUNCTION("GOOGLETRANSLATE(D3433,""auto"",""en"")"),"A badminton recognition method, system, medium and equipment")</f>
        <v>A badminton recognition method, system, medium and equipment</v>
      </c>
    </row>
    <row r="3434" spans="1:5" ht="15" x14ac:dyDescent="0.25">
      <c r="A3434" s="5" t="s">
        <v>9616</v>
      </c>
      <c r="B3434" s="6" t="s">
        <v>9617</v>
      </c>
      <c r="C3434" s="3" t="str">
        <f ca="1">IFERROR(__xludf.DUMMYFUNCTION("GOOGLETRANSLATE(B3434,""auto"",""en"")"),"[0001] The present invention involves an interactive golf game auxiliary device. According to the present invention, an interactive golf game auxiliary device provides information to the golf player by detecting the golf player's movement by being carried"&amp;" or worn by a golf player. Athletes and dynamic detection sensor 140 output signals based on the degree of exercise, receive and recognize and recognize the input voice signal and convert the receiving voice signal to the voice recognition processing unit"&amp;" 120, and the golf course information A Golf Course information storage unit 160 , For the storage golf course information storage unit 160, the audio output unit 125 will be converted from the command received from the control unit 110, and the output is"&amp;" the voice. The location information receiver 130 receives and stores the location information. And the dynamic detection signal received from the dynamic detection sensor 140, and store the intensity of the receiving dynamic detection signal in the voice"&amp;" information storage unit 170. It is characterized by the control unit 110 and read the stored information to the audio output unit 125. Based on this, two -way communication can be performed according to the player's movement, thereby improving the progr"&amp;"ess of the player's golf game. Its advantage is that it can provide information.")</f>
        <v>[0001] The present invention involves an interactive golf game auxiliary device. According to the present invention, an interactive golf game auxiliary device provides information to the golf player by detecting the golf player's movement by being carried or worn by a golf player. Athletes and dynamic detection sensor 140 output signals based on the degree of exercise, receive and recognize and recognize the input voice signal and convert the receiving voice signal to the voice recognition processing unit 120, and the golf course information A Golf Course information storage unit 160 , For the storage golf course information storage unit 160, the audio output unit 125 will be converted from the command received from the control unit 110, and the output is the voice. The location information receiver 130 receives and stores the location information. And the dynamic detection signal received from the dynamic detection sensor 140, and store the intensity of the receiving dynamic detection signal in the voice information storage unit 170. It is characterized by the control unit 110 and read the stored information to the audio output unit 125. Based on this, two -way communication can be performed according to the player's movement, thereby improving the progress of the player's golf game. Its advantage is that it can provide information.</v>
      </c>
      <c r="D3434" s="6" t="s">
        <v>9618</v>
      </c>
      <c r="E3434" s="4" t="str">
        <f ca="1">IFERROR(__xludf.DUMMYFUNCTION("GOOGLETRANSLATE(D3434,""auto"",""en"")"),"Interactive Golf Competition Assistant")</f>
        <v>Interactive Golf Competition Assistant</v>
      </c>
    </row>
    <row r="3435" spans="1:5" ht="15" x14ac:dyDescent="0.25">
      <c r="A3435" s="5" t="s">
        <v>9619</v>
      </c>
      <c r="B3435" s="6" t="s">
        <v>7198</v>
      </c>
      <c r="C3435" s="3" t="str">
        <f ca="1">IFERROR(__xludf.DUMMYFUNCTION("GOOGLETRANSLATE(B3435,""auto"",""en"")"),"Provide a mechanism for achieving personalized training recommendation systems. From the user receiving request to generate personalized training solutions for specifying sports events, and identify event information that includes one or more geographical"&amp;" segments that specifies sports events. Based on event information, one or more parts of the geographical area are identified, and they are similar to one or more features of one or more geographical segments within the predetermined tolerance. At least t"&amp;"he selection collection of the compatible combination of one or more physical characteristics of one or more physical characteristics that is associated with one or more of each part is generated to generate training courses. Specify more geographical seg"&amp;"ments of sports, and then present it as a user's personalized training scheme to the user.")</f>
        <v>Provide a mechanism for achieving personalized training recommendation systems. From the user receiving request to generate personalized training solutions for specifying sports events, and identify event information that includes one or more geographical segments that specifies sports events. Based on event information, one or more parts of the geographical area are identified, and they are similar to one or more features of one or more geographical segments within the predetermined tolerance. At least the selection collection of the compatible combination of one or more physical characteristics of one or more physical characteristics that is associated with one or more of each part is generated to generate training courses. Specify more geographical segments of sports, and then present it as a user's personalized training scheme to the user.</v>
      </c>
      <c r="D3435" s="6" t="s">
        <v>7199</v>
      </c>
      <c r="E3435" s="4" t="str">
        <f ca="1">IFERROR(__xludf.DUMMYFUNCTION("GOOGLETRANSLATE(D3435,""auto"",""en"")"),"Personalized training based on planning courses and personal assessment")</f>
        <v>Personalized training based on planning courses and personal assessment</v>
      </c>
    </row>
    <row r="3436" spans="1:5" ht="15" x14ac:dyDescent="0.25">
      <c r="A3436" s="5" t="s">
        <v>9620</v>
      </c>
      <c r="B3436" s="6" t="s">
        <v>9621</v>
      </c>
      <c r="C3436" s="3" t="str">
        <f ca="1">IFERROR(__xludf.DUMMYFUNCTION("GOOGLETRANSLATE(B3436,""auto"",""en"")"),"A Tai Chi enhanced learning system is released, including a head -wearing display worn on the head of the learner, and multiple action sensors worn on the head or body of the learner. The learner's movement is perceived by the action sensor, the action se"&amp;"nsor generates the corresponding sensing signal and transmits it wirelessly to the wearing display. According to the inductive signal, the headset monitor is built and displayed the learner's image, and the virtual coach who shows Taijiquan in front of th"&amp;"e learner. In addition, the virtual assistant at different positions demonstrates the same Tai Chi, allowing learners to clearly see every detail of Tai Chi at different angles. Therefore, the present invention helps learners to effectively self -check an"&amp;"d self -correct each movement through video and audio, thereby overcome learning impairment and accelerate the learning progress of Tai Chi.")</f>
        <v>A Tai Chi enhanced learning system is released, including a head -wearing display worn on the head of the learner, and multiple action sensors worn on the head or body of the learner. The learner's movement is perceived by the action sensor, the action sensor generates the corresponding sensing signal and transmits it wirelessly to the wearing display. According to the inductive signal, the headset monitor is built and displayed the learner's image, and the virtual coach who shows Taijiquan in front of the learner. In addition, the virtual assistant at different positions demonstrates the same Tai Chi, allowing learners to clearly see every detail of Tai Chi at different angles. Therefore, the present invention helps learners to effectively self -check and self -correct each movement through video and audio, thereby overcome learning impairment and accelerate the learning progress of Tai Chi.</v>
      </c>
      <c r="D3436" s="6" t="s">
        <v>9622</v>
      </c>
      <c r="E3436" s="4" t="str">
        <f ca="1">IFERROR(__xludf.DUMMYFUNCTION("GOOGLETRANSLATE(D3436,""auto"",""en"")"),"Tap Tai Chi enhanced learning system")</f>
        <v>Tap Tai Chi enhanced learning system</v>
      </c>
    </row>
    <row r="3437" spans="1:5" ht="15" x14ac:dyDescent="0.25">
      <c r="A3437" s="5" t="s">
        <v>9623</v>
      </c>
      <c r="B3437" s="6" t="s">
        <v>9624</v>
      </c>
      <c r="C3437" s="3" t="str">
        <f ca="1">IFERROR(__xludf.DUMMYFUNCTION("GOOGLETRANSLATE(B3437,""auto"",""en"")"),"This utility model opens an efficient and multifunctional vehicle timing system, including wireless connection devices, voice recognition devices, and vehicle devices. Compared with technology, the useful new type of useful effect is a new type of high -e"&amp;"fficiency and multifunctional car timing system. The design is scientific and reasonable. The use of the identification system is more convenient, and the timing system can be connected to the APP on the mobile phone to facilitate the coach and monitor th"&amp;"e situation in the vehicle long -distance.")</f>
        <v>This utility model opens an efficient and multifunctional vehicle timing system, including wireless connection devices, voice recognition devices, and vehicle devices. Compared with technology, the useful new type of useful effect is a new type of high -efficiency and multifunctional car timing system. The design is scientific and reasonable. The use of the identification system is more convenient, and the timing system can be connected to the APP on the mobile phone to facilitate the coach and monitor the situation in the vehicle long -distance.</v>
      </c>
      <c r="D3437" s="6" t="s">
        <v>9625</v>
      </c>
      <c r="E3437" s="4" t="str">
        <f ca="1">IFERROR(__xludf.DUMMYFUNCTION("GOOGLETRANSLATE(D3437,""auto"",""en"")"),"A high -efficiency multi -functional car countdown system")</f>
        <v>A high -efficiency multi -functional car countdown system</v>
      </c>
    </row>
    <row r="3438" spans="1:5" ht="15" x14ac:dyDescent="0.25">
      <c r="A3438" s="5" t="s">
        <v>9626</v>
      </c>
      <c r="B3438" s="6" t="s">
        <v>9627</v>
      </c>
      <c r="C3438" s="3" t="str">
        <f ca="1">IFERROR(__xludf.DUMMYFUNCTION("GOOGLETRANSLATE(B3438,""auto"",""en"")"),"The present invention discloses a device and method of collecting ping -pong racket associated data. Its device consists of the racket surface, associated trigger device, a racket handle with a trigger device, and a server with a racket information databa"&amp;"se; The internal deployment of the motion data of the racket is obtained. By triggering the two types of data, the associated data is sent to the server, the server storage related data, and updating the racket information database. The invention solves t"&amp;"he problem of interconnected table tennis rackets and table tennis racket sports data.")</f>
        <v>The present invention discloses a device and method of collecting ping -pong racket associated data. Its device consists of the racket surface, associated trigger device, a racket handle with a trigger device, and a server with a racket information database; The internal deployment of the motion data of the racket is obtained. By triggering the two types of data, the associated data is sent to the server, the server storage related data, and updating the racket information database. The invention solves the problem of interconnected table tennis rackets and table tennis racket sports data.</v>
      </c>
      <c r="D3438" s="6" t="s">
        <v>9628</v>
      </c>
      <c r="E3438" s="4" t="str">
        <f ca="1">IFERROR(__xludf.DUMMYFUNCTION("GOOGLETRANSLATE(D3438,""auto"",""en"")"),"A device and method of collecting ping -pong rackets associated data")</f>
        <v>A device and method of collecting ping -pong rackets associated data</v>
      </c>
    </row>
    <row r="3439" spans="1:5" ht="15" x14ac:dyDescent="0.25">
      <c r="A3439" s="5" t="s">
        <v>9629</v>
      </c>
      <c r="B3439" s="6" t="s">
        <v>9630</v>
      </c>
      <c r="C3439" s="3" t="str">
        <f ca="1">IFERROR(__xludf.DUMMYFUNCTION("GOOGLETRANSLATE(B3439,""auto"",""en"")"),"The present invention disclosed whether the table tennis hit the table to judge whether the ball and the ball direction system and methods were legal. Its system includes reading historical data and judging whether it is a legal camera module, obtaining p"&amp;"ressure sensing data of the ball table, and judging whether table tennis hitting the ball table module, obtaining the pressure sensing data of the ball network, and judging whether the table tennis hit the network module module , Get the pressure sensing "&amp;"data of the racket and judge whether the table tennis is hit by the racket, and determine whether the table tennis is landed. When the table tennis played the ball in the game, when the table tennis hit the ball table, the server judged whether the ball w"&amp;"as legal based on the historical data before hitting the table. The collected data recognizes the direction of table tennis. The present invention solves the problem of the existing Internet of Things -based table tennis system that does not have the func"&amp;"tion of judging whether the game is legal when the opponent.")</f>
        <v>The present invention disclosed whether the table tennis hit the table to judge whether the ball and the ball direction system and methods were legal. Its system includes reading historical data and judging whether it is a legal camera module, obtaining pressure sensing data of the ball table, and judging whether table tennis hitting the ball table module, obtaining the pressure sensing data of the ball network, and judging whether the table tennis hit the network module module , Get the pressure sensing data of the racket and judge whether the table tennis is hit by the racket, and determine whether the table tennis is landed. When the table tennis played the ball in the game, when the table tennis hit the ball table, the server judged whether the ball was legal based on the historical data before hitting the table. The collected data recognizes the direction of table tennis. The present invention solves the problem of the existing Internet of Things -based table tennis system that does not have the function of judging whether the game is legal when the opponent.</v>
      </c>
      <c r="D3439" s="6" t="s">
        <v>9631</v>
      </c>
      <c r="E3439" s="4" t="str">
        <f ca="1">IFERROR(__xludf.DUMMYFUNCTION("GOOGLETRANSLATE(D3439,""auto"",""en"")"),"After the table tennis hit the table, determine whether the ball and the ball direction system and method are legal")</f>
        <v>After the table tennis hit the table, determine whether the ball and the ball direction system and method are legal</v>
      </c>
    </row>
    <row r="3440" spans="1:5" ht="15" x14ac:dyDescent="0.25">
      <c r="A3440" s="5" t="s">
        <v>9632</v>
      </c>
      <c r="B3440" s="6" t="s">
        <v>9633</v>
      </c>
      <c r="C3440" s="3" t="str">
        <f ca="1">IFERROR(__xludf.DUMMYFUNCTION("GOOGLETRANSLATE(B3440,""auto"",""en"")"),"The present invention disclosed the table tennis to the table to determine whether to serve and the ball direction system and method. Its system includes reading historical data and judging whether it is an effective serve module, obtaining pressure sensi"&amp;"ng data of the ball table, and judging whether table tennis hits the ball table module, obtaining the pressure sensing data of the ball network, and judging whether the table tennis hit the network module, Get the pressure sensing data of the racket and d"&amp;"etermine whether the table tennis is hit by the racket and determines whether the table tennis is landed. After the table tennis hits the ball table, the server determines whether it is effective based on the historical data before hitting the table. Acco"&amp;"rding to the pressure sensor data sent by the pressure sensor on the tabletop, racket surface, and the pressure sensor on the table after hitting the table. The present invention solves the problem of existing the Internet of Things -based table tennis sy"&amp;"stem that does not have the function of effectively serving and ball direction after judging table tennis.")</f>
        <v>The present invention disclosed the table tennis to the table to determine whether to serve and the ball direction system and method. Its system includes reading historical data and judging whether it is an effective serve module, obtaining pressure sensing data of the ball table, and judging whether table tennis hits the ball table module, obtaining the pressure sensing data of the ball network, and judging whether the table tennis hit the network module, Get the pressure sensing data of the racket and determine whether the table tennis is hit by the racket and determines whether the table tennis is landed. After the table tennis hits the ball table, the server determines whether it is effective based on the historical data before hitting the table. According to the pressure sensor data sent by the pressure sensor on the tabletop, racket surface, and the pressure sensor on the table after hitting the table. The present invention solves the problem of existing the Internet of Things -based table tennis system that does not have the function of effectively serving and ball direction after judging table tennis.</v>
      </c>
      <c r="D3440" s="6" t="s">
        <v>9634</v>
      </c>
      <c r="E3440" s="4" t="str">
        <f ca="1">IFERROR(__xludf.DUMMYFUNCTION("GOOGLETRANSLATE(D3440,""auto"",""en"")"),"After the table tennis hit the table, determine whether it is effective to serve and the ball direction system and method")</f>
        <v>After the table tennis hit the table, determine whether it is effective to serve and the ball direction system and method</v>
      </c>
    </row>
    <row r="3441" spans="1:5" ht="15" x14ac:dyDescent="0.25">
      <c r="A3441" s="5" t="s">
        <v>9635</v>
      </c>
      <c r="B3441" s="6" t="s">
        <v>9636</v>
      </c>
      <c r="C3441" s="3" t="str">
        <f ca="1">IFERROR(__xludf.DUMMYFUNCTION("GOOGLETRANSLATE(B3441,""auto"",""en"")"),"The present invention disclosed the racket and judged whether to serve and the ball direction system and methods after hitting table tennis. Its system includes reading historical data and judging whether to serve the serve, obtaining the pressure sensing"&amp;" data of the ball table, and judging whether the table tennis hits the table module, obtaining the pressure sensing data of the ball network, and judging whether the table tennis hit the network module, obtain it The pressure sensing data of the racket an"&amp;"d judging whether the table tennis is hit by the racket and determines whether the table tennis is landed. After the table tennis was hit by the racket, the server determined whether it was serve based on the historical data before the impact. According t"&amp;"o the data collected by the table tennis, the table tennis desktop, racket surface, and the pressure sensor on the ball. The present invention solves the problem of existing the Internet of Things -based table tennis system that does not have the function"&amp;" of whether to serve and go after the racket hit the table tennis when the racket hit the table tennis.")</f>
        <v>The present invention disclosed the racket and judged whether to serve and the ball direction system and methods after hitting table tennis. Its system includes reading historical data and judging whether to serve the serve, obtaining the pressure sensing data of the ball table, and judging whether the table tennis hits the table module, obtaining the pressure sensing data of the ball network, and judging whether the table tennis hit the network module, obtain it The pressure sensing data of the racket and judging whether the table tennis is hit by the racket and determines whether the table tennis is landed. After the table tennis was hit by the racket, the server determined whether it was serve based on the historical data before the impact. According to the data collected by the table tennis, the table tennis desktop, racket surface, and the pressure sensor on the ball. The present invention solves the problem of existing the Internet of Things -based table tennis system that does not have the function of whether to serve and go after the racket hit the table tennis when the racket hit the table tennis.</v>
      </c>
      <c r="D3441" s="6" t="s">
        <v>9637</v>
      </c>
      <c r="E3441" s="4" t="str">
        <f ca="1">IFERROR(__xludf.DUMMYFUNCTION("GOOGLETRANSLATE(D3441,""auto"",""en"")"),"After the racket hit the table tennis, determine whether to serve and the ball direction system and method")</f>
        <v>After the racket hit the table tennis, determine whether to serve and the ball direction system and method</v>
      </c>
    </row>
    <row r="3442" spans="1:5" ht="15" x14ac:dyDescent="0.25">
      <c r="A3442" s="5" t="s">
        <v>9638</v>
      </c>
      <c r="B3442" s="6" t="s">
        <v>9639</v>
      </c>
      <c r="C3442" s="3" t="str">
        <f ca="1">IFERROR(__xludf.DUMMYFUNCTION("GOOGLETRANSLATE(B3442,""auto"",""en"")"),"The present invention disclosed whether the table tennis has passed the net and determine whether to pass the tennis and the ball direction system and methods for the first time. Its system includes reading historical data and judging whether to pass the "&amp;"network module for the first time when serving, obtain the pressure sensing data of the ball table, and determine whether the table tennis hits the ball table module, obtain the pressure sensing data of the ball network, and determine whether the table te"&amp;"nnis is once again The pressure sensing data of the racket, the pressure sensing data of the racket, and determining whether the table tennis is hit by the racket, and determine whether the table tennis is landed. The server judges whether to cross the ne"&amp;"twork based on the optoelectronic sensing data. After the table tennis is crossing the net, the server determines whether it is the first crossing the Internet based on the historical data before the network. Pressure sensing data recognition the directio"&amp;"n of table tennis. The present invention solves the problem of whether the existing Internet of Things -based table tennis system does not have the functions of whether the table tennis has passed the net and ball direction after the network passed the ne"&amp;"t when the network passed the network.")</f>
        <v>The present invention disclosed whether the table tennis has passed the net and determine whether to pass the tennis and the ball direction system and methods for the first time. Its system includes reading historical data and judging whether to pass the network module for the first time when serving, obtain the pressure sensing data of the ball table, and determine whether the table tennis hits the ball table module, obtain the pressure sensing data of the ball network, and determine whether the table tennis is once again The pressure sensing data of the racket, the pressure sensing data of the racket, and determining whether the table tennis is hit by the racket, and determine whether the table tennis is landed. The server judges whether to cross the network based on the optoelectronic sensing data. After the table tennis is crossing the net, the server determines whether it is the first crossing the Internet based on the historical data before the network. Pressure sensing data recognition the direction of table tennis. The present invention solves the problem of whether the existing Internet of Things -based table tennis system does not have the functions of whether the table tennis has passed the net and ball direction after the network passed the net when the network passed the network.</v>
      </c>
      <c r="D3442" s="6" t="s">
        <v>9640</v>
      </c>
      <c r="E3442" s="4" t="str">
        <f ca="1">IFERROR(__xludf.DUMMYFUNCTION("GOOGLETRANSLATE(D3442,""auto"",""en"")"),"After the table tennis passed the Internet, determine whether to pass the net and ball direction system and method for the first time")</f>
        <v>After the table tennis passed the Internet, determine whether to pass the net and ball direction system and method for the first time</v>
      </c>
    </row>
    <row r="3443" spans="1:5" ht="15" x14ac:dyDescent="0.25">
      <c r="A3443" s="5" t="s">
        <v>9641</v>
      </c>
      <c r="B3443" s="6" t="s">
        <v>9642</v>
      </c>
      <c r="C3443" s="3" t="str">
        <f ca="1">IFERROR(__xludf.DUMMYFUNCTION("GOOGLETRANSLATE(B3443,""auto"",""en"")"),"The present invention disclosed the racket to hit the table tennis whether to get the ball and the ball direction system and methods. Its system includes reading historical data and judging whether it is a legal receiver module, obtaining the pressure sen"&amp;"sing data of the ball table, and judging whether the table tennis hits the ball table module, obtaining the pressure sensing data of the ball network, and judging whether the table tennis hit the network module module module , Get the pressure sensing dat"&amp;"a of the racket and judge whether the table tennis is hit by the racket, and determine whether the table tennis is landed. After the two sides of the table tennis played the ball in the game, after the table tennis was hit by a racket, the server determin"&amp;"ed whether it was a legitimate ball based on the historical data before the impact. Pressure sensing data recognition the direction of table tennis. The invention solves the problem of the existing Internet of Things -based table tennis system that does n"&amp;"ot have the function of hitting the table tennis and the direction of the ball when the racket impacts the table tennis.")</f>
        <v>The present invention disclosed the racket to hit the table tennis whether to get the ball and the ball direction system and methods. Its system includes reading historical data and judging whether it is a legal receiver module, obtaining the pressure sensing data of the ball table, and judging whether the table tennis hits the ball table module, obtaining the pressure sensing data of the ball network, and judging whether the table tennis hit the network module module module , Get the pressure sensing data of the racket and judge whether the table tennis is hit by the racket, and determine whether the table tennis is landed. After the two sides of the table tennis played the ball in the game, after the table tennis was hit by a racket, the server determined whether it was a legitimate ball based on the historical data before the impact. Pressure sensing data recognition the direction of table tennis. The invention solves the problem of the existing Internet of Things -based table tennis system that does not have the function of hitting the table tennis and the direction of the ball when the racket impacts the table tennis.</v>
      </c>
      <c r="D3443" s="6" t="s">
        <v>9643</v>
      </c>
      <c r="E3443" s="4" t="str">
        <f ca="1">IFERROR(__xludf.DUMMYFUNCTION("GOOGLETRANSLATE(D3443,""auto"",""en"")"),"After the racket hit the table tennis, determine whether the ball and the ball direction system and method are judged")</f>
        <v>After the racket hit the table tennis, determine whether the ball and the ball direction system and method are judged</v>
      </c>
    </row>
    <row r="3444" spans="1:5" ht="15" x14ac:dyDescent="0.25">
      <c r="A3444" s="5" t="s">
        <v>9644</v>
      </c>
      <c r="B3444" s="6" t="s">
        <v>9645</v>
      </c>
      <c r="C3444" s="3" t="str">
        <f ca="1">IFERROR(__xludf.DUMMYFUNCTION("GOOGLETRANSLATE(B3444,""auto"",""en"")"),"The present invention disclosed a table tennis positioning method and system based on absolute distance. Its system includes the establishment of the spatial coordinate system module, signal strength screening and ranging module, estimating the triple axi"&amp;"s coordinate value module of the table tennis, and the computing space coordinate module of the table tennis. Multiple signal receiving devices receive wireless signals sent by table tennis, obtain signal strength, calculate the distance between each sign"&amp;"al receiving device and table tennis, and estimate the three -axis coordinate value of table tennis based on the three fixed points of the strongest signal, and then calculate the table tennis. To bureau space coordinate value. The present invention solve"&amp;"s the problem of the real -time position of the ping -based table tennis based on the IoT table tennis system based on the Internet of Things.")</f>
        <v>The present invention disclosed a table tennis positioning method and system based on absolute distance. Its system includes the establishment of the spatial coordinate system module, signal strength screening and ranging module, estimating the triple axis coordinate value module of the table tennis, and the computing space coordinate module of the table tennis. Multiple signal receiving devices receive wireless signals sent by table tennis, obtain signal strength, calculate the distance between each signal receiving device and table tennis, and estimate the three -axis coordinate value of table tennis based on the three fixed points of the strongest signal, and then calculate the table tennis. To bureau space coordinate value. The present invention solves the problem of the real -time position of the ping -based table tennis based on the IoT table tennis system based on the Internet of Things.</v>
      </c>
      <c r="D3444" s="6" t="s">
        <v>9646</v>
      </c>
      <c r="E3444" s="4" t="str">
        <f ca="1">IFERROR(__xludf.DUMMYFUNCTION("GOOGLETRANSLATE(D3444,""auto"",""en"")"),"A method and system of table tennis positioning based on absolute distance")</f>
        <v>A method and system of table tennis positioning based on absolute distance</v>
      </c>
    </row>
    <row r="3445" spans="1:5" ht="15" x14ac:dyDescent="0.25">
      <c r="A3445" s="5" t="s">
        <v>9647</v>
      </c>
      <c r="B3445" s="6" t="s">
        <v>9648</v>
      </c>
      <c r="C3445" s="3" t="str">
        <f ca="1">IFERROR(__xludf.DUMMYFUNCTION("GOOGLETRANSLATE(B3445,""auto"",""en"")"),"The present invention revealed a ping -pong network device and the method of identifying the position of table tennis when passing the net. Its device is composed of table tennis nets, shading photoelectric sensing equipment, and server that identifies ta"&amp;"ble tennis through the position of the table tennis network; multiple sets of shading photoelectric sensors are deployed above the table tennis network, and multiple pressures are deployed on the ball network surface. When the table tennis passes or touch"&amp;"es the net above the ball network, the corresponding sensor obtains the data, and then sends it to the server. The server collects the voltage data of the shading photoelectric sensing device, and identifies the position of the table tennis at the top of "&amp;"the ball network according to the luminous luminous and the optical transcetors obscured by table tennis. The invention solves the problem of the Internet of Things solution of table tennis networks.")</f>
        <v>The present invention revealed a ping -pong network device and the method of identifying the position of table tennis when passing the net. Its device is composed of table tennis nets, shading photoelectric sensing equipment, and server that identifies table tennis through the position of the table tennis network; multiple sets of shading photoelectric sensors are deployed above the table tennis network, and multiple pressures are deployed on the ball network surface. When the table tennis passes or touches the net above the ball network, the corresponding sensor obtains the data, and then sends it to the server. The server collects the voltage data of the shading photoelectric sensing device, and identifies the position of the table tennis at the top of the ball network according to the luminous luminous and the optical transcetors obscured by table tennis. The invention solves the problem of the Internet of Things solution of table tennis networks.</v>
      </c>
      <c r="D3445" s="6" t="s">
        <v>9649</v>
      </c>
      <c r="E3445" s="4" t="str">
        <f ca="1">IFERROR(__xludf.DUMMYFUNCTION("GOOGLETRANSLATE(D3445,""auto"",""en"")"),"A method of a table tennis device and the way to identify table tennis when passing through the net")</f>
        <v>A method of a table tennis device and the way to identify table tennis when passing through the net</v>
      </c>
    </row>
    <row r="3446" spans="1:5" ht="15" x14ac:dyDescent="0.25">
      <c r="A3446" s="5" t="s">
        <v>9650</v>
      </c>
      <c r="B3446" s="6" t="s">
        <v>9651</v>
      </c>
      <c r="C3446" s="3" t="str">
        <f ca="1">IFERROR(__xludf.DUMMYFUNCTION("GOOGLETRANSLATE(B3446,""auto"",""en"")"),"The present invention disclosed a table tennis positioning method and system based on active radio frequency label recognition. Its system includes the establishment of the coordinate system module, the computing distance difference module, the three -dim"&amp;"ensional spatial coordinate unit module of the table tennis, the eliminating distance measurement error module, and the display of the coordinate value module. The display of the coordinate value module is a optional module. The server calculates the rela"&amp;"tive distance between table tennis and each reader based on the difference between the time difference between the active RF reader to receive the signal. By solving the solution of the equations connected by multiple equations When the equation group is "&amp;"unsolved, the distance between the distance measurement error is performed according to the distance difference between the reader and the auxiliary RF label. The present invention solves the problem of the real -time position of the ping -based table ten"&amp;"nis based on the IoT table tennis system based on the Internet of Things.")</f>
        <v>The present invention disclosed a table tennis positioning method and system based on active radio frequency label recognition. Its system includes the establishment of the coordinate system module, the computing distance difference module, the three -dimensional spatial coordinate unit module of the table tennis, the eliminating distance measurement error module, and the display of the coordinate value module. The display of the coordinate value module is a optional module. The server calculates the relative distance between table tennis and each reader based on the difference between the time difference between the active RF reader to receive the signal. By solving the solution of the equations connected by multiple equations When the equation group is unsolved, the distance between the distance measurement error is performed according to the distance difference between the reader and the auxiliary RF label. The present invention solves the problem of the real -time position of the ping -based table tennis based on the IoT table tennis system based on the Internet of Things.</v>
      </c>
      <c r="D3446" s="6" t="s">
        <v>9652</v>
      </c>
      <c r="E3446" s="4" t="str">
        <f ca="1">IFERROR(__xludf.DUMMYFUNCTION("GOOGLETRANSLATE(D3446,""auto"",""en"")"),"A table tennis positioning method and system based on source radio frequency label recognition")</f>
        <v>A table tennis positioning method and system based on source radio frequency label recognition</v>
      </c>
    </row>
    <row r="3447" spans="1:5" ht="15" x14ac:dyDescent="0.25">
      <c r="A3447" s="5" t="s">
        <v>9653</v>
      </c>
      <c r="B3447" s="6" t="s">
        <v>9654</v>
      </c>
      <c r="C3447" s="3" t="str">
        <f ca="1">IFERROR(__xludf.DUMMYFUNCTION("GOOGLETRANSLATE(B3447,""auto"",""en"")"),"The present invention disclosed a table tennis system based on signal strength. Its system is composed of table tennis tables equipped with signal receiving devices, table tennis networks equipped with signal receiving devices, table tennis rackets equipp"&amp;"ed with pressure sensors, table tennis with signal sending functions, and servers calculated based on signal strength. Among them, table tennis rackets equipped with pressure sensors are options. Table tennis sending wireless signals with signal sending f"&amp;"unctions, table tennis tables and nets equipped with signal receiving devices send the strength data of the receiving wireless signal to the server calculated according to the signal strength; table tennis rackets equipped with pressure sensors will be st"&amp;"ress sensor data data. Send to the server calculated based on the signal strength. The present invention solves the problem of the lack of real -time calculation of table tennis positions based on the Internet of Things based on the Internet of Things.")</f>
        <v>The present invention disclosed a table tennis system based on signal strength. Its system is composed of table tennis tables equipped with signal receiving devices, table tennis networks equipped with signal receiving devices, table tennis rackets equipped with pressure sensors, table tennis with signal sending functions, and servers calculated based on signal strength. Among them, table tennis rackets equipped with pressure sensors are options. Table tennis sending wireless signals with signal sending functions, table tennis tables and nets equipped with signal receiving devices send the strength data of the receiving wireless signal to the server calculated according to the signal strength; table tennis rackets equipped with pressure sensors will be stress sensor data data. Send to the server calculated based on the signal strength. The present invention solves the problem of the lack of real -time calculation of table tennis positions based on the Internet of Things based on the Internet of Things.</v>
      </c>
      <c r="D3447" s="6" t="s">
        <v>9655</v>
      </c>
      <c r="E3447" s="4" t="str">
        <f ca="1">IFERROR(__xludf.DUMMYFUNCTION("GOOGLETRANSLATE(D3447,""auto"",""en"")"),"A table tennis system based on signal strength positioning")</f>
        <v>A table tennis system based on signal strength positioning</v>
      </c>
    </row>
    <row r="3448" spans="1:5" ht="15" x14ac:dyDescent="0.25">
      <c r="A3448" s="5" t="s">
        <v>9656</v>
      </c>
      <c r="B3448" s="6" t="s">
        <v>9657</v>
      </c>
      <c r="C3448" s="3" t="str">
        <f ca="1">IFERROR(__xludf.DUMMYFUNCTION("GOOGLETRANSLATE(B3448,""auto"",""en"")"),"The present invention disclosed a table tennis system based on active radio frequency label reading and positioning. Its system is a table tennis table equipped with source radio frequency label readers, table tennis networks equipped with source radio fr"&amp;"equency label readers, table tennis rackets equipped with pressure sensors, table tennis equipped with source RF labels, and calculated based on the active RF label calculation location The server composition. The source of radio frequency labels deployed"&amp;" on the ball and the ball on the Internet obtain a radio frequency signal sent by a table tennis with source RF label, records the time of the receiving signal receiving, and then sends the signal receiving time to the server calculated based on the sourc"&amp;"e of the source RF label. ; The pressure sensor deployed on the racket surface obtains the pressure sensing data, and then sends the pressure sensor data to the server calculated based on the active radio frequency label. The present invention solves the "&amp;"problem of the lack of real -time calculation of table tennis positions based on the Internet of Things based on the Internet of Things.")</f>
        <v>The present invention disclosed a table tennis system based on active radio frequency label reading and positioning. Its system is a table tennis table equipped with source radio frequency label readers, table tennis networks equipped with source radio frequency label readers, table tennis rackets equipped with pressure sensors, table tennis equipped with source RF labels, and calculated based on the active RF label calculation location The server composition. The source of radio frequency labels deployed on the ball and the ball on the Internet obtain a radio frequency signal sent by a table tennis with source RF label, records the time of the receiving signal receiving, and then sends the signal receiving time to the server calculated based on the source of the source RF label. ; The pressure sensor deployed on the racket surface obtains the pressure sensing data, and then sends the pressure sensor data to the server calculated based on the active radio frequency label. The present invention solves the problem of the lack of real -time calculation of table tennis positions based on the Internet of Things based on the Internet of Things.</v>
      </c>
      <c r="D3448" s="6" t="s">
        <v>9658</v>
      </c>
      <c r="E3448" s="4" t="str">
        <f ca="1">IFERROR(__xludf.DUMMYFUNCTION("GOOGLETRANSLATE(D3448,""auto"",""en"")"),"A table tennis system based on source radio frequency label reading and positioning")</f>
        <v>A table tennis system based on source radio frequency label reading and positioning</v>
      </c>
    </row>
    <row r="3449" spans="1:5" ht="15" x14ac:dyDescent="0.25">
      <c r="A3449" s="5" t="s">
        <v>9659</v>
      </c>
      <c r="B3449" s="6" t="s">
        <v>9660</v>
      </c>
      <c r="C3449" s="3" t="str">
        <f ca="1">IFERROR(__xludf.DUMMYFUNCTION("GOOGLETRANSLATE(B3449,""auto"",""en"")"),"The invention disclosed a table tennis system based on inertial navigation and tactile correction. Its systems are used to identify table tennis tables that can be identified as a table tennis impact position, table tennis networks equipped with pressure "&amp;"sensors and photoelectric sensors, table tennis rackets with pressure sensors and gyroscopes, table tennis with inertia navigation functions, and calculating positions based on inertia navigation and tactile correction. The server composition. The sensors"&amp;" deployed on the table tennis table, ball network, and rackets obtain the impact data of table tennis, and then send the impact data to the server that calculates the location based on inertia navigation and touch. Send exercise data to the server that ca"&amp;"lculates the location based on inertial navigation and touch. The present invention solves the problem of the lack of real -time calculation of table tennis positions based on the Internet of Things based on the Internet of Things.")</f>
        <v>The invention disclosed a table tennis system based on inertial navigation and tactile correction. Its systems are used to identify table tennis tables that can be identified as a table tennis impact position, table tennis networks equipped with pressure sensors and photoelectric sensors, table tennis rackets with pressure sensors and gyroscopes, table tennis with inertia navigation functions, and calculating positions based on inertia navigation and tactile correction. The server composition. The sensors deployed on the table tennis table, ball network, and rackets obtain the impact data of table tennis, and then send the impact data to the server that calculates the location based on inertia navigation and touch. Send exercise data to the server that calculates the location based on inertial navigation and touch. The present invention solves the problem of the lack of real -time calculation of table tennis positions based on the Internet of Things based on the Internet of Things.</v>
      </c>
      <c r="D3449" s="6" t="s">
        <v>9661</v>
      </c>
      <c r="E3449" s="4" t="str">
        <f ca="1">IFERROR(__xludf.DUMMYFUNCTION("GOOGLETRANSLATE(D3449,""auto"",""en"")"),"A table tennis system based on inertial navigation and tactile correction")</f>
        <v>A table tennis system based on inertial navigation and tactile correction</v>
      </c>
    </row>
    <row r="3450" spans="1:5" ht="15" x14ac:dyDescent="0.25">
      <c r="A3450" s="5" t="s">
        <v>9662</v>
      </c>
      <c r="B3450" s="6" t="s">
        <v>9663</v>
      </c>
      <c r="C3450" s="3" t="str">
        <f ca="1">IFERROR(__xludf.DUMMYFUNCTION("GOOGLETRANSLATE(B3450,""auto"",""en"")"),"The invention disclosed a table tennis system based on infrared sensing. Its system is made of infrared sensor array, table tennis rackets equipped with pressure sensors, table tennis with special reflected coatings, and server arrays calculated based on "&amp;"infrared induction. Among them, table tennis rackets equipped with pressure sensors and table tennis with special reflected coatings are options. The infrared sensor array launch and receive infrared rays, record the time difference between voltage data a"&amp;"nd infrared launch and receiving, and send the time difference between voltage data and infrared launch and receiving to serve as a server calculated according to the infrared sensor; table tennis rackets equipped with pressure sensors Get the pressure se"&amp;"nsing data, and then send the pressure sensing data to the server calculated based on the infrared induction. The present invention solves the problem of the lack of real -time calculation of table tennis positions based on the Internet of Things based on"&amp;" the Internet of Things.")</f>
        <v>The invention disclosed a table tennis system based on infrared sensing. Its system is made of infrared sensor array, table tennis rackets equipped with pressure sensors, table tennis with special reflected coatings, and server arrays calculated based on infrared induction. Among them, table tennis rackets equipped with pressure sensors and table tennis with special reflected coatings are options. The infrared sensor array launch and receive infrared rays, record the time difference between voltage data and infrared launch and receiving, and send the time difference between voltage data and infrared launch and receiving to serve as a server calculated according to the infrared sensor; table tennis rackets equipped with pressure sensors Get the pressure sensing data, and then send the pressure sensing data to the server calculated based on the infrared induction. The present invention solves the problem of the lack of real -time calculation of table tennis positions based on the Internet of Things based on the Internet of Things.</v>
      </c>
      <c r="D3450" s="6" t="s">
        <v>9664</v>
      </c>
      <c r="E3450" s="4" t="str">
        <f ca="1">IFERROR(__xludf.DUMMYFUNCTION("GOOGLETRANSLATE(D3450,""auto"",""en"")"),"A table tennis system based on infrared induction positioning")</f>
        <v>A table tennis system based on infrared induction positioning</v>
      </c>
    </row>
    <row r="3451" spans="1:5" ht="15" x14ac:dyDescent="0.25">
      <c r="A3451" s="5" t="s">
        <v>9665</v>
      </c>
      <c r="B3451" s="6" t="s">
        <v>9666</v>
      </c>
      <c r="C3451" s="3" t="str">
        <f ca="1">IFERROR(__xludf.DUMMYFUNCTION("GOOGLETRANSLATE(B3451,""auto"",""en"")"),"The present invention disclosed a compassion system and method based on the ball -to -pick -up of table tennis. Its system includes reading historical data and judging whether it is a legitimate goal module, obtaining the pressure sensing data of the ball"&amp;" table, and determining whether the ball is lost to the module, obtaining the pressure sensing data of the ball network, and judging whether the ball is lost module, and the ball is lost. Get the pressure sensing data of the racket and determine whether t"&amp;"he ball is lost module, and determine whether the table tennis landing module. Both sides of the table tennis played the ball in the game. When a square racket received the ball, the server judged whether the historical data in front of the table tennis w"&amp;"as legal based on the racket. The pressure sensor data sent by the pressure sensor identifies the direction of table tennis to determine whether the ball is lost. The present invention solves the problem of the Internet of Things -based table tennis syste"&amp;"m that cannot easily identify the problem of getting points.")</f>
        <v>The present invention disclosed a compassion system and method based on the ball -to -pick -up of table tennis. Its system includes reading historical data and judging whether it is a legitimate goal module, obtaining the pressure sensing data of the ball table, and determining whether the ball is lost to the module, obtaining the pressure sensing data of the ball network, and judging whether the ball is lost module, and the ball is lost. Get the pressure sensing data of the racket and determine whether the ball is lost module, and determine whether the table tennis landing module. Both sides of the table tennis played the ball in the game. When a square racket received the ball, the server judged whether the historical data in front of the table tennis was legal based on the racket. The pressure sensor data sent by the pressure sensor identifies the direction of table tennis to determine whether the ball is lost. The present invention solves the problem of the Internet of Things -based table tennis system that cannot easily identify the problem of getting points.</v>
      </c>
      <c r="D3451" s="6" t="s">
        <v>9667</v>
      </c>
      <c r="E3451" s="4" t="str">
        <f ca="1">IFERROR(__xludf.DUMMYFUNCTION("GOOGLETRANSLATE(D3451,""auto"",""en"")"),"An method and method and method based on the balloting of table tennis touches")</f>
        <v>An method and method and method based on the balloting of table tennis touches</v>
      </c>
    </row>
    <row r="3452" spans="1:5" ht="15" x14ac:dyDescent="0.25">
      <c r="A3452" s="5" t="s">
        <v>9668</v>
      </c>
      <c r="B3452" s="6" t="s">
        <v>9669</v>
      </c>
      <c r="C3452" s="3" t="str">
        <f ca="1">IFERROR(__xludf.DUMMYFUNCTION("GOOGLETRANSLATE(B3452,""auto"",""en"")"),"The invention disclose a system and method of calculating the location and angle of the table tennis network. Its system includes obtaining pressure sensing data and judging whether the table tennis touches the net module, calculating the position module "&amp;"of the table tennis touch net, and the angle module of the table tennis touch net. Deploy the pressure sensor on the table tennis mesh to obtain the pressure data of table tennis touches, and deploy the IoT component (such as signal strength positioning t"&amp;"echnology, etc.) in real -time positioning of table tennis systems in the table tennis system. After the pressure data, determine whether to touch the net. If the net is touched, the position coordinate value of the table tennis touch net is calculated ba"&amp;"sed on the pressure sensor number, and the angle of the table tennis touch net is calculated based on the real -time position coordinate value of the table tennis. The invention solves the problem of the Pingbon's IoT solution simply and effectively.")</f>
        <v>The invention disclose a system and method of calculating the location and angle of the table tennis network. Its system includes obtaining pressure sensing data and judging whether the table tennis touches the net module, calculating the position module of the table tennis touch net, and the angle module of the table tennis touch net. Deploy the pressure sensor on the table tennis mesh to obtain the pressure data of table tennis touches, and deploy the IoT component (such as signal strength positioning technology, etc.) in real -time positioning of table tennis systems in the table tennis system. After the pressure data, determine whether to touch the net. If the net is touched, the position coordinate value of the table tennis touch net is calculated based on the pressure sensor number, and the angle of the table tennis touch net is calculated based on the real -time position coordinate value of the table tennis. The invention solves the problem of the Pingbon's IoT solution simply and effectively.</v>
      </c>
      <c r="D3452" s="6" t="s">
        <v>9670</v>
      </c>
      <c r="E3452" s="4" t="str">
        <f ca="1">IFERROR(__xludf.DUMMYFUNCTION("GOOGLETRANSLATE(D3452,""auto"",""en"")"),"A system and method of calculating the position and angle of the table tennis network touch network")</f>
        <v>A system and method of calculating the position and angle of the table tennis network touch network</v>
      </c>
    </row>
    <row r="3453" spans="1:5" ht="15" x14ac:dyDescent="0.25">
      <c r="A3453" s="5" t="s">
        <v>9671</v>
      </c>
      <c r="B3453" s="6" t="s">
        <v>9672</v>
      </c>
      <c r="C3453" s="3" t="str">
        <f ca="1">IFERROR(__xludf.DUMMYFUNCTION("GOOGLETRANSLATE(B3453,""auto"",""en"")"),"The present invention disclosed a serve -based score recognition system and method based on table tennis. Its system includes reading historical data and judging whether to successfully serve, obtaining the pressure sensing data of the ball table, and det"&amp;"ermining whether the serve is scored module, the pressure sensing data of the ball network, and determining whether the serve score module, obtaining the pressure sensing of the racket Data and judging whether the serving is scored and judging whether the"&amp;" table tennis is landed. After a table of table tennis played in the table tennis, when the table tennis hit the ball table for the first time, the server determined whether to successfully serve according to the historical data before hitting the table. "&amp;"The sending pressure sensing data recognizes the direction of table tennis to determine whether the side is scored. The present invention solves the problem of the Internet of Things -based table tennis system that cannot easily identify the score of serv"&amp;"ing.")</f>
        <v>The present invention disclosed a serve -based score recognition system and method based on table tennis. Its system includes reading historical data and judging whether to successfully serve, obtaining the pressure sensing data of the ball table, and determining whether the serve is scored module, the pressure sensing data of the ball network, and determining whether the serve score module, obtaining the pressure sensing of the racket Data and judging whether the serving is scored and judging whether the table tennis is landed. After a table of table tennis played in the table tennis, when the table tennis hit the ball table for the first time, the server determined whether to successfully serve according to the historical data before hitting the table. The sending pressure sensing data recognizes the direction of table tennis to determine whether the side is scored. The present invention solves the problem of the Internet of Things -based table tennis system that cannot easily identify the score of serving.</v>
      </c>
      <c r="D3453" s="6" t="s">
        <v>9673</v>
      </c>
      <c r="E3453" s="4" t="str">
        <f ca="1">IFERROR(__xludf.DUMMYFUNCTION("GOOGLETRANSLATE(D3453,""auto"",""en"")"),"A goal scoring recognition system and method based on table tennis")</f>
        <v>A goal scoring recognition system and method based on table tennis</v>
      </c>
    </row>
    <row r="3454" spans="1:5" ht="15" x14ac:dyDescent="0.25">
      <c r="A3454" s="5" t="s">
        <v>9674</v>
      </c>
      <c r="B3454" s="6" t="s">
        <v>9675</v>
      </c>
      <c r="C3454" s="3" t="str">
        <f ca="1">IFERROR(__xludf.DUMMYFUNCTION("GOOGLETRANSLATE(B3454,""auto"",""en"")"),"The invention disclosed a system and method of identifying the height and angle when the table tennis fly over the ball. Its system includes obtaining photoelectric sensing data and judging whether table tennis flying through the ball network module, calc"&amp;"ulating the height module when the table tennis fly over the ball, and the angle module when calculating the table tennis over the ball. Multiple sets of shading photoelectric sensors are deployed above the table tennis network to obtain the voltage data "&amp;"when the table tennis flys across the ball. The IoT components used in the real -time positioning of table tennis systems in the table tennis system to obtain table tennis location data, and the server receives photoelectric After the data, judge whether "&amp;"the table tennis flys over the ball network, get the real -time location of the table tennis at this time as the position of the flying net, calculate the height of the flying net, calculate the table tennis position of the table tennis at the time of the"&amp;" previous sample, The angle of the net. The invention solves the problem of the height and perspective of the height and angle of the ping -pong Internet of the Internet of Things by the ping -pong network.")</f>
        <v>The invention disclosed a system and method of identifying the height and angle when the table tennis fly over the ball. Its system includes obtaining photoelectric sensing data and judging whether table tennis flying through the ball network module, calculating the height module when the table tennis fly over the ball, and the angle module when calculating the table tennis over the ball. Multiple sets of shading photoelectric sensors are deployed above the table tennis network to obtain the voltage data when the table tennis flys across the ball. The IoT components used in the real -time positioning of table tennis systems in the table tennis system to obtain table tennis location data, and the server receives photoelectric After the data, judge whether the table tennis flys over the ball network, get the real -time location of the table tennis at this time as the position of the flying net, calculate the height of the flying net, calculate the table tennis position of the table tennis at the time of the previous sample, The angle of the net. The invention solves the problem of the height and perspective of the height and angle of the ping -pong Internet of the Internet of Things by the ping -pong network.</v>
      </c>
      <c r="D3454" s="6" t="s">
        <v>9676</v>
      </c>
      <c r="E3454" s="4" t="str">
        <f ca="1">IFERROR(__xludf.DUMMYFUNCTION("GOOGLETRANSLATE(D3454,""auto"",""en"")"),"A computing system and method of height and angle when ping -pong passed through the ball network")</f>
        <v>A computing system and method of height and angle when ping -pong passed through the ball network</v>
      </c>
    </row>
    <row r="3455" spans="1:5" ht="15" x14ac:dyDescent="0.25">
      <c r="A3455" s="5" t="s">
        <v>9677</v>
      </c>
      <c r="B3455" s="6" t="s">
        <v>9678</v>
      </c>
      <c r="C3455" s="3" t="str">
        <f ca="1">IFERROR(__xludf.DUMMYFUNCTION("GOOGLETRANSLATE(B3455,""auto"",""en"")"),"The present invention disclosed the effective service recognition system and method of table tennis based on touch feedback. Its system includes obtaining pressure sensing data and judging whether table tennis hits the ball table module, reading historica"&amp;"l data, and the number of times the number of table tennis impacts and the impact time module, judging the number of times the table tennis is hit by the racket, and whether the impact time conforms to validity. Sending feature module and judging whether "&amp;"the racket number of hitting table tennis conforms to an effective serve feature module. The pressure sensor deployed on the table tennis desktop and the racket surface to obtain the pressure sensor data, and then sends it to the server. The server identi"&amp;"fies effective serve according to the rules that effectively serve at the table tennis. The present invention solves the problem of effectively and effectively identifying table tennis -based table tennis system based on the Internet of Things.")</f>
        <v>The present invention disclosed the effective service recognition system and method of table tennis based on touch feedback. Its system includes obtaining pressure sensing data and judging whether table tennis hits the ball table module, reading historical data, and the number of times the number of table tennis impacts and the impact time module, judging the number of times the table tennis is hit by the racket, and whether the impact time conforms to validity. Sending feature module and judging whether the racket number of hitting table tennis conforms to an effective serve feature module. The pressure sensor deployed on the table tennis desktop and the racket surface to obtain the pressure sensor data, and then sends it to the server. The server identifies effective serve according to the rules that effectively serve at the table tennis. The present invention solves the problem of effectively and effectively identifying table tennis -based table tennis system based on the Internet of Things.</v>
      </c>
      <c r="D3455" s="6" t="s">
        <v>9679</v>
      </c>
      <c r="E3455" s="4" t="str">
        <f ca="1">IFERROR(__xludf.DUMMYFUNCTION("GOOGLETRANSLATE(D3455,""auto"",""en"")"),"Table tennis pairing of table tennis based on tactile feedback is effective.")</f>
        <v>Table tennis pairing of table tennis based on tactile feedback is effective.</v>
      </c>
    </row>
    <row r="3456" spans="1:5" ht="15" x14ac:dyDescent="0.25">
      <c r="A3456" s="5" t="s">
        <v>9680</v>
      </c>
      <c r="B3456" s="6" t="s">
        <v>9681</v>
      </c>
      <c r="C3456" s="3" t="str">
        <f ca="1">IFERROR(__xludf.DUMMYFUNCTION("GOOGLETRANSLATE(B3456,""auto"",""en"")"),"The present invention disclosed a table tennis system based on source -free radio frequency label scanning code. Its system is calculated by the table tennis table equipped with non -active RF label readers, table tennis networks equipped with non -source"&amp;" RF label readers, table tennis rackets with pressure sensors, table tennis equipped with non -source RF labels, and calculation based on non -passive RF label scanning code calculation The server composition. The table tennis table and table tennis netwo"&amp;"rk equipped with non -source radio frequency label readers sends radio frequency signals, receives the radio frequency signal generated by the table tennis equipped with non -active RF labels, records the time of sending and receiving time, and sends the "&amp;"time value to the source of the source The server with the code scan code calculation location; the table tennis racket equipped with a pressure sensor obtains the pressure sensor data of the racket to hit the table tennis. The present invention solves th"&amp;"e problem of the lack of real -time calculation of table tennis positions based on the Internet of Things based on the Internet of Things.")</f>
        <v>The present invention disclosed a table tennis system based on source -free radio frequency label scanning code. Its system is calculated by the table tennis table equipped with non -active RF label readers, table tennis networks equipped with non -source RF label readers, table tennis rackets with pressure sensors, table tennis equipped with non -source RF labels, and calculation based on non -passive RF label scanning code calculation The server composition. The table tennis table and table tennis network equipped with non -source radio frequency label readers sends radio frequency signals, receives the radio frequency signal generated by the table tennis equipped with non -active RF labels, records the time of sending and receiving time, and sends the time value to the source of the source The server with the code scan code calculation location; the table tennis racket equipped with a pressure sensor obtains the pressure sensor data of the racket to hit the table tennis. The present invention solves the problem of the lack of real -time calculation of table tennis positions based on the Internet of Things based on the Internet of Things.</v>
      </c>
      <c r="D3456" s="6" t="s">
        <v>9682</v>
      </c>
      <c r="E3456" s="4" t="str">
        <f ca="1">IFERROR(__xludf.DUMMYFUNCTION("GOOGLETRANSLATE(D3456,""auto"",""en"")"),"A table tennis system based on non -source radio frequency label scanning code positioning")</f>
        <v>A table tennis system based on non -source radio frequency label scanning code positioning</v>
      </c>
    </row>
    <row r="3457" spans="1:5" ht="15" x14ac:dyDescent="0.25">
      <c r="A3457" s="5" t="s">
        <v>9683</v>
      </c>
      <c r="B3457" s="6" t="s">
        <v>9684</v>
      </c>
      <c r="C3457" s="3" t="str">
        <f ca="1">IFERROR(__xludf.DUMMYFUNCTION("GOOGLETRANSLATE(B3457,""auto"",""en"")"),"The invention disclosed a table tennis system based on multi -layer mapping analysis and positioning. It consists of vertical multi -layer mapping sensor group, parallel multi -layer mapping sensor group, focal length adjustment controller, table tennis r"&amp;"acket equipped with pressure sensors, and servers calculated based on multi -layer mapping. Among them, table tennis rackets equipped with pressure sensors are options. The vertical multi -layer mapping sensor group is a peaceful multi -layer mapping sens"&amp;"or group to shoot the gray image, and then sends the grayscale image to the server calculated based on the mapping analysis. The focal length of the grayscale camera in the group is a peaceful multi -layer mapping sensor group; the table tennis racket equ"&amp;"ipped with the pressure sensor obtains the pressure sensing data, and then sends the pressure sensing data to the server. The present invention solves the problem of the lack of real -time calculation of table tennis positions based on the Internet of Thi"&amp;"ngs based on the Internet of Things.")</f>
        <v>The invention disclosed a table tennis system based on multi -layer mapping analysis and positioning. It consists of vertical multi -layer mapping sensor group, parallel multi -layer mapping sensor group, focal length adjustment controller, table tennis racket equipped with pressure sensors, and servers calculated based on multi -layer mapping. Among them, table tennis rackets equipped with pressure sensors are options. The vertical multi -layer mapping sensor group is a peaceful multi -layer mapping sensor group to shoot the gray image, and then sends the grayscale image to the server calculated based on the mapping analysis. The focal length of the grayscale camera in the group is a peaceful multi -layer mapping sensor group; the table tennis racket equipped with the pressure sensor obtains the pressure sensing data, and then sends the pressure sensing data to the server. The present invention solves the problem of the lack of real -time calculation of table tennis positions based on the Internet of Things based on the Internet of Things.</v>
      </c>
      <c r="D3457" s="6" t="s">
        <v>9685</v>
      </c>
      <c r="E3457" s="4" t="str">
        <f ca="1">IFERROR(__xludf.DUMMYFUNCTION("GOOGLETRANSLATE(D3457,""auto"",""en"")"),"A table tennis system based on multi -layer mapping analysis positioning")</f>
        <v>A table tennis system based on multi -layer mapping analysis positioning</v>
      </c>
    </row>
    <row r="3458" spans="1:5" ht="15" x14ac:dyDescent="0.25">
      <c r="A3458" s="5" t="s">
        <v>9686</v>
      </c>
      <c r="B3458" s="6" t="s">
        <v>9687</v>
      </c>
      <c r="C3458" s="3" t="str">
        <f ca="1">IFERROR(__xludf.DUMMYFUNCTION("GOOGLETRANSLATE(B3458,""auto"",""en"")"),"The present invention disclosed a table tennis system based on mapping analysis. Its system consists of a lab -free mapping sensor, no curtain cloth parallel mapping sensor, mapping pre -processing device, a table tennis racket equipped with a pressure se"&amp;"nsor, and a server computing the calculation position based on the mapping analysis. Among them, table tennis rackets equipped with pressure sensors are options. The vertical mapping sensor and the parallel mapping sensor of the curtain cloth are taken to"&amp;" take the gray image, and then sends the gray image to the mapping pre -processing device; Pre -processing computing positions; table tennis rackets equipped with pressure sensors to obtain pressure sensing data, and then send the pressure sensing data to"&amp;" the server that calculates the calculation location based on the mapping analysis. The present invention solves the problem of the lack of real -time calculation of table tennis positions based on the Internet of Things based on the Internet of Things.")</f>
        <v>The present invention disclosed a table tennis system based on mapping analysis. Its system consists of a lab -free mapping sensor, no curtain cloth parallel mapping sensor, mapping pre -processing device, a table tennis racket equipped with a pressure sensor, and a server computing the calculation position based on the mapping analysis. Among them, table tennis rackets equipped with pressure sensors are options. The vertical mapping sensor and the parallel mapping sensor of the curtain cloth are taken to take the gray image, and then sends the gray image to the mapping pre -processing device; Pre -processing computing positions; table tennis rackets equipped with pressure sensors to obtain pressure sensing data, and then send the pressure sensing data to the server that calculates the calculation location based on the mapping analysis. The present invention solves the problem of the lack of real -time calculation of table tennis positions based on the Internet of Things based on the Internet of Things.</v>
      </c>
      <c r="D3458" s="6" t="s">
        <v>9688</v>
      </c>
      <c r="E3458" s="4" t="str">
        <f ca="1">IFERROR(__xludf.DUMMYFUNCTION("GOOGLETRANSLATE(D3458,""auto"",""en"")"),"A table tennis system based on mapping analysis")</f>
        <v>A table tennis system based on mapping analysis</v>
      </c>
    </row>
    <row r="3459" spans="1:5" ht="15" x14ac:dyDescent="0.25">
      <c r="A3459" s="5" t="s">
        <v>9689</v>
      </c>
      <c r="B3459" s="6" t="s">
        <v>9690</v>
      </c>
      <c r="C3459" s="3" t="str">
        <f ca="1">IFERROR(__xludf.DUMMYFUNCTION("GOOGLETRANSLATE(B3459,""auto"",""en"")"),"The present invention disclosed a table tennis positioning method and system based on source -free radio frequency label scanning. Its system includes the establishment of the coordinate system module, non -source radio frequency label scanning ranging mo"&amp;"dule, solving the three -dimensional space coordinate prescription module of table tennis, eliminating the distance measurement error module, and displaying the coordinate value module. The display of the coordinate value module is a optional module. The "&amp;"server calculates the distance between the table tennis and the readers based on the delayed data received by the passive RF reader. The space position of the table tennis is solved by solving the equations connected by multiple equations; During the solu"&amp;"tion, a distance measurement error is eliminated according to the distance between the reader and the auxiliary RF label. The present invention solves the problem of the real -time position of the ping -based table tennis based on the IoT table tennis sys"&amp;"tem based on the Internet of Things.")</f>
        <v>The present invention disclosed a table tennis positioning method and system based on source -free radio frequency label scanning. Its system includes the establishment of the coordinate system module, non -source radio frequency label scanning ranging module, solving the three -dimensional space coordinate prescription module of table tennis, eliminating the distance measurement error module, and displaying the coordinate value module. The display of the coordinate value module is a optional module. The server calculates the distance between the table tennis and the readers based on the delayed data received by the passive RF reader. The space position of the table tennis is solved by solving the equations connected by multiple equations; During the solution, a distance measurement error is eliminated according to the distance between the reader and the auxiliary RF label. The present invention solves the problem of the real -time position of the ping -based table tennis based on the IoT table tennis system based on the Internet of Things.</v>
      </c>
      <c r="D3459" s="6" t="s">
        <v>9691</v>
      </c>
      <c r="E3459" s="4" t="str">
        <f ca="1">IFERROR(__xludf.DUMMYFUNCTION("GOOGLETRANSLATE(D3459,""auto"",""en"")"),"A table tennis positioning method and system based on non -source radio frequency label scanning code scanning code")</f>
        <v>A table tennis positioning method and system based on non -source radio frequency label scanning code scanning code</v>
      </c>
    </row>
    <row r="3460" spans="1:5" ht="15" x14ac:dyDescent="0.25">
      <c r="A3460" s="5" t="s">
        <v>9692</v>
      </c>
      <c r="B3460" s="6" t="s">
        <v>9693</v>
      </c>
      <c r="C3460" s="3" t="str">
        <f ca="1">IFERROR(__xludf.DUMMYFUNCTION("GOOGLETRANSLATE(B3460,""auto"",""en"")"),"The present invention disclosed whether the table tennis hit the net and determine whether to hit the net and the ball direction system and methods for the first time. Its system includes reading historical data and judging whether it is the first hit mod"&amp;"ule when serving, obtaining the pressure sensing data of the ball table, and determining whether the table tennis hits the ball table module, obtaining the pressure sensing data of the ball network, and judging whether the table tennis is again The pressu"&amp;"re sensing data of the racket, the pressure sensing data of the racket, and determining whether the table tennis is hit by the racket, and determine whether the table tennis is landed. After the table tennis hit the net, the server determines whether it i"&amp;"s the first hitting the net when the historical data before hitting the net. According to the pressure sensor data sent by the pressure sensor on the tabletop, racket surface and ball network according to the hitting network, identify table tennis Go. The"&amp;" present invention solves the problem of the existing Internet of Things -based table tennis system that does not have the function of hitting the Internet for the first time when the opponent is judged.")</f>
        <v>The present invention disclosed whether the table tennis hit the net and determine whether to hit the net and the ball direction system and methods for the first time. Its system includes reading historical data and judging whether it is the first hit module when serving, obtaining the pressure sensing data of the ball table, and determining whether the table tennis hits the ball table module, obtaining the pressure sensing data of the ball network, and judging whether the table tennis is again The pressure sensing data of the racket, the pressure sensing data of the racket, and determining whether the table tennis is hit by the racket, and determine whether the table tennis is landed. After the table tennis hit the net, the server determines whether it is the first hitting the net when the historical data before hitting the net. According to the pressure sensor data sent by the pressure sensor on the tabletop, racket surface and ball network according to the hitting network, identify table tennis Go. The present invention solves the problem of the existing Internet of Things -based table tennis system that does not have the function of hitting the Internet for the first time when the opponent is judged.</v>
      </c>
      <c r="D3460" s="6" t="s">
        <v>9694</v>
      </c>
      <c r="E3460" s="4" t="str">
        <f ca="1">IFERROR(__xludf.DUMMYFUNCTION("GOOGLETRANSLATE(D3460,""auto"",""en"")"),"After the table tennis hit the net, determine whether to hit the net and the ball direction system and method for the first time")</f>
        <v>After the table tennis hit the net, determine whether to hit the net and the ball direction system and method for the first time</v>
      </c>
    </row>
    <row r="3461" spans="1:5" ht="15" x14ac:dyDescent="0.25">
      <c r="A3461" s="5" t="s">
        <v>9695</v>
      </c>
      <c r="B3461" s="6" t="s">
        <v>9696</v>
      </c>
      <c r="C3461" s="3" t="str">
        <f ca="1">IFERROR(__xludf.DUMMYFUNCTION("GOOGLETRANSLATE(B3461,""auto"",""en"")"),"The present invention disclosed a table tennis positioning method based on multi -layer mapping parsing. Its methods include step 1. Create three -dimensional space coordinate system and setting parameters; step 2, obtain the area of ​​the mapping image d"&amp;"ata and the area of ​​the height comparison graphics in the calculation image; step 3, determine whether the camera 1 needs to switch the lens; step 4, determine whether the camera 2 needs to need Switch lens; step 5. Determine whether the camera 2 also n"&amp;"eeds to switch the lens; step 6. Calculate the position and conversion coordinate system of table tennis in the mapping image; step 7. Calculate the space position of the table tennis. The invention initially used a long focal length lens to shoot the map"&amp;"ping images of table tennis, and then switched the camera focal length based on whether the table tennis graphics existed in the image of the shooting, and finally calculated the position of the table tennis according to the location of the table tennis i"&amp;"n different mapping images. The present invention solves the problem of the real -time position of the ping -based table tennis based on the IoT table tennis system based on the Internet of Things.")</f>
        <v>The present invention disclosed a table tennis positioning method based on multi -layer mapping parsing. Its methods include step 1. Create three -dimensional space coordinate system and setting parameters; step 2, obtain the area of ​​the mapping image data and the area of ​​the height comparison graphics in the calculation image; step 3, determine whether the camera 1 needs to switch the lens; step 4, determine whether the camera 2 needs to need Switch lens; step 5. Determine whether the camera 2 also needs to switch the lens; step 6. Calculate the position and conversion coordinate system of table tennis in the mapping image; step 7. Calculate the space position of the table tennis. The invention initially used a long focal length lens to shoot the mapping images of table tennis, and then switched the camera focal length based on whether the table tennis graphics existed in the image of the shooting, and finally calculated the position of the table tennis according to the location of the table tennis in different mapping images. The present invention solves the problem of the real -time position of the ping -based table tennis based on the IoT table tennis system based on the Internet of Things.</v>
      </c>
      <c r="D3461" s="6" t="s">
        <v>9697</v>
      </c>
      <c r="E3461" s="4" t="str">
        <f ca="1">IFERROR(__xludf.DUMMYFUNCTION("GOOGLETRANSLATE(D3461,""auto"",""en"")"),"A method of table tennis positioning based on multi -layer mapping analysis")</f>
        <v>A method of table tennis positioning based on multi -layer mapping analysis</v>
      </c>
    </row>
    <row r="3462" spans="1:5" ht="15" x14ac:dyDescent="0.25">
      <c r="A3462" s="5" t="s">
        <v>9698</v>
      </c>
      <c r="B3462" s="6" t="s">
        <v>9699</v>
      </c>
      <c r="C3462" s="3" t="str">
        <f ca="1">IFERROR(__xludf.DUMMYFUNCTION("GOOGLETRANSLATE(B3462,""auto"",""en"")"),"The present invention disclosed a system and method of successful serving based on touch -based feedback feedback. Its system includes obtaining stress sensing data and judging whether table tennis hits the ball table module, reading historical data, extr"&amp;"acting the ping -pong impact record module, determining whether the ping -pong impact records meet the successful serve characteristic module, and determine whether the number of table tennis impact position numbers conform to it Successful serving featur"&amp;"e module and judging whether the network module is hit during serving. The pressure sensor is deployed on the table tennis desktop, racket surface, and ball networks to obtain pressure sensor data and sent to the server. The server determines whether the "&amp;"serve is successful according to the rules of successful serving at the table tennis. The present invention solves the problem of whether the ping -based table tennis system based on the Internet of Things cannot easily and effectively identify whether th"&amp;"e table tennis is successfully served.")</f>
        <v>The present invention disclosed a system and method of successful serving based on touch -based feedback feedback. Its system includes obtaining stress sensing data and judging whether table tennis hits the ball table module, reading historical data, extracting the ping -pong impact record module, determining whether the ping -pong impact records meet the successful serve characteristic module, and determine whether the number of table tennis impact position numbers conform to it Successful serving feature module and judging whether the network module is hit during serving. The pressure sensor is deployed on the table tennis desktop, racket surface, and ball networks to obtain pressure sensor data and sent to the server. The server determines whether the serve is successful according to the rules of successful serving at the table tennis. The present invention solves the problem of whether the ping -based table tennis system based on the Internet of Things cannot easily and effectively identify whether the table tennis is successfully served.</v>
      </c>
      <c r="D3462" s="6" t="s">
        <v>9700</v>
      </c>
      <c r="E3462" s="4" t="str">
        <f ca="1">IFERROR(__xludf.DUMMYFUNCTION("GOOGLETRANSLATE(D3462,""auto"",""en"")"),"A system and method of successful serve based on touch -based feedback.")</f>
        <v>A system and method of successful serve based on touch -based feedback.</v>
      </c>
    </row>
    <row r="3463" spans="1:5" ht="15" x14ac:dyDescent="0.25">
      <c r="A3463" s="5" t="s">
        <v>9701</v>
      </c>
      <c r="B3463" s="6" t="s">
        <v>9702</v>
      </c>
      <c r="C3463" s="3" t="str">
        <f ca="1">IFERROR(__xludf.DUMMYFUNCTION("GOOGLETRANSLATE(B3463,""auto"",""en"")"),"The present invention discloses a table tennis positioning method and system based on a relative distance. Its system includes the establishment of a spatial coordinate system module, screening signal strength, and computing relative distance differential"&amp;" module, estimated the three -axis coordinate value module of table tennis, and the contest space coordinate value module of table tennis. Receive the wireless signal sent by multiple signal receiving devices to receive table tennis, and calculate the dif"&amp;"ference between the two or two relative distance between the signal receiving device and the table tennis through the difference between the signal strength. The three -axis coordinate value, and then calculate the coordinate value of the ball table, ther"&amp;"eby constitute a complete pairing space coordinate value. The present invention solves the problem of the real -time position of the ping -based table tennis based on the IoT table tennis system based on the Internet of Things.")</f>
        <v>The present invention discloses a table tennis positioning method and system based on a relative distance. Its system includes the establishment of a spatial coordinate system module, screening signal strength, and computing relative distance differential module, estimated the three -axis coordinate value module of table tennis, and the contest space coordinate value module of table tennis. Receive the wireless signal sent by multiple signal receiving devices to receive table tennis, and calculate the difference between the two or two relative distance between the signal receiving device and the table tennis through the difference between the signal strength. The three -axis coordinate value, and then calculate the coordinate value of the ball table, thereby constitute a complete pairing space coordinate value. The present invention solves the problem of the real -time position of the ping -based table tennis based on the IoT table tennis system based on the Internet of Things.</v>
      </c>
      <c r="D3463" s="6" t="s">
        <v>9703</v>
      </c>
      <c r="E3463" s="4" t="str">
        <f ca="1">IFERROR(__xludf.DUMMYFUNCTION("GOOGLETRANSLATE(D3463,""auto"",""en"")"),"A table tennis positioning method and system based on the relative distance")</f>
        <v>A table tennis positioning method and system based on the relative distance</v>
      </c>
    </row>
    <row r="3464" spans="1:5" ht="15" x14ac:dyDescent="0.25">
      <c r="A3464" s="5" t="s">
        <v>9704</v>
      </c>
      <c r="B3464" s="6" t="s">
        <v>9705</v>
      </c>
      <c r="C3464" s="3" t="str">
        <f ca="1">IFERROR(__xludf.DUMMYFUNCTION("GOOGLETRANSLATE(B3464,""auto"",""en"")"),"The invention discloses a table tennis positioning method and system based on mapping analysis. Its systems include establishing mapping plane coordinate system modules, obtaining mapping parsing pre -processing images, and judging whether table tennis is"&amp;" in the mapping area module, calculating the position of the table tennis in each mapping image and the converting coordinate system module, and calculating the space position module of table tennis. Under the premise of using the curtain, the present inv"&amp;"ention takes the ash camera to obtain images in a non -solid background. The means of background pre -processing can accurately determine the mapping position of the image on the image. The mapping position achieves table tennis positioning. The present i"&amp;"nvention solves the problem of the real -time position of the ping -based table tennis based on the IoT table tennis system based on the Internet of Things.")</f>
        <v>The invention discloses a table tennis positioning method and system based on mapping analysis. Its systems include establishing mapping plane coordinate system modules, obtaining mapping parsing pre -processing images, and judging whether table tennis is in the mapping area module, calculating the position of the table tennis in each mapping image and the converting coordinate system module, and calculating the space position module of table tennis. Under the premise of using the curtain, the present invention takes the ash camera to obtain images in a non -solid background. The means of background pre -processing can accurately determine the mapping position of the image on the image. The mapping position achieves table tennis positioning. The present invention solves the problem of the real -time position of the ping -based table tennis based on the IoT table tennis system based on the Internet of Things.</v>
      </c>
      <c r="D3464" s="6" t="s">
        <v>9706</v>
      </c>
      <c r="E3464" s="4" t="str">
        <f ca="1">IFERROR(__xludf.DUMMYFUNCTION("GOOGLETRANSLATE(D3464,""auto"",""en"")"),"A table tennis positioning method and system based on mapping analysis")</f>
        <v>A table tennis positioning method and system based on mapping analysis</v>
      </c>
    </row>
    <row r="3465" spans="1:5" ht="15" x14ac:dyDescent="0.25">
      <c r="A3465" s="5" t="s">
        <v>9707</v>
      </c>
      <c r="B3465" s="6" t="s">
        <v>9708</v>
      </c>
      <c r="C3465" s="3" t="str">
        <f ca="1">IFERROR(__xludf.DUMMYFUNCTION("GOOGLETRANSLATE(B3465,""auto"",""en"")"),"The present invention disclose a table tennis positioning method and system based on mapping range. Its system includes obtaining mapping image data and judging whether table tennis is in the mapping area module, calculating the position module of the tab"&amp;"le tennis in the mapping image, identifying whether the table tennis is in the desktop range and the coordinate system module, and the space position module of the table tennis. There are two different planes of table tennis tables and grounds on the imag"&amp;"e background of the gray camera arranged above the table tennis desktop. The present invention first identifies whether the table tennis is located through the mapping range, and then calculate the table tennis in two in two. The position of the mapping p"&amp;"lane is converted into the position of the unified space, and the position of table tennis is finally calculated. The present invention solves the problem of the real -time position of the ping -based table tennis based on the IoT table tennis system base"&amp;"d on the Internet of Things.")</f>
        <v>The present invention disclose a table tennis positioning method and system based on mapping range. Its system includes obtaining mapping image data and judging whether table tennis is in the mapping area module, calculating the position module of the table tennis in the mapping image, identifying whether the table tennis is in the desktop range and the coordinate system module, and the space position module of the table tennis. There are two different planes of table tennis tables and grounds on the image background of the gray camera arranged above the table tennis desktop. The present invention first identifies whether the table tennis is located through the mapping range, and then calculate the table tennis in two in two. The position of the mapping plane is converted into the position of the unified space, and the position of table tennis is finally calculated. The present invention solves the problem of the real -time position of the ping -based table tennis based on the IoT table tennis system based on the Internet of Things.</v>
      </c>
      <c r="D3465" s="6" t="s">
        <v>9709</v>
      </c>
      <c r="E3465" s="4" t="str">
        <f ca="1">IFERROR(__xludf.DUMMYFUNCTION("GOOGLETRANSLATE(D3465,""auto"",""en"")"),"A table tennis positioning method and system based on mapping range recognition")</f>
        <v>A table tennis positioning method and system based on mapping range recognition</v>
      </c>
    </row>
    <row r="3466" spans="1:5" ht="15" x14ac:dyDescent="0.25">
      <c r="A3466" s="5" t="s">
        <v>9710</v>
      </c>
      <c r="B3466" s="6" t="s">
        <v>9711</v>
      </c>
      <c r="C3466" s="3" t="str">
        <f ca="1">IFERROR(__xludf.DUMMYFUNCTION("GOOGLETRANSLATE(B3466,""auto"",""en"")"),"The invention disclosed a system and method of identifying the angle of the table tennis impact table. Its system includes obtaining pressure sensing data and judging whether the table tennis hits the ball table module, calculating the position module of "&amp;"the table tennis impact table, and the angle module of the table tennis impact table. Establish the coordinate system and divide the desktop area in advance, and continue to position table tennis to obtain the pressure sensing data, determine whether the "&amp;"table tennis table module is based on the pressure data generated by the table tennis table. The position module of the table tennis table is divided into the position of the table tennis table through the desktop area; the angle module of the table tenni"&amp;"s impact table is calculated based on the impact position and the time of the table tennis space. The invention solves the problem of the Internet of Things plan at the table tennis table.")</f>
        <v>The invention disclosed a system and method of identifying the angle of the table tennis impact table. Its system includes obtaining pressure sensing data and judging whether the table tennis hits the ball table module, calculating the position module of the table tennis impact table, and the angle module of the table tennis impact table. Establish the coordinate system and divide the desktop area in advance, and continue to position table tennis to obtain the pressure sensing data, determine whether the table tennis table module is based on the pressure data generated by the table tennis table. The position module of the table tennis table is divided into the position of the table tennis table through the desktop area; the angle module of the table tennis impact table is calculated based on the impact position and the time of the table tennis space. The invention solves the problem of the Internet of Things plan at the table tennis table.</v>
      </c>
      <c r="D3466" s="6" t="s">
        <v>9712</v>
      </c>
      <c r="E3466" s="4" t="str">
        <f ca="1">IFERROR(__xludf.DUMMYFUNCTION("GOOGLETRANSLATE(D3466,""auto"",""en"")"),"A system and method of identifying the angle of the table tennis impact table")</f>
        <v>A system and method of identifying the angle of the table tennis impact table</v>
      </c>
    </row>
    <row r="3467" spans="1:5" ht="15" x14ac:dyDescent="0.25">
      <c r="A3467" s="5" t="s">
        <v>9713</v>
      </c>
      <c r="B3467" s="6" t="s">
        <v>9714</v>
      </c>
      <c r="C3467" s="3" t="str">
        <f ca="1">IFERROR(__xludf.DUMMYFUNCTION("GOOGLETRANSLATE(B3467,""auto"",""en"")"),"The invention disclosed a table tennis positioning method and system based on infrared induction. Its systems include establishing a space position regional coordinate system module, obtaining infrared sensing data modules, calculating the horizontal regi"&amp;"onal coordinate value module of table tennis, and the vertical coordinate value module of table tennis. Establish a space location coordinate system (V, H), which consists of a horizontal regional coordinate V and a vertical coordinate H on the top of the"&amp;" table tennis desk. The value of the vertical coordinate H is the vertical distance between the table tennis and the infrared induction array based on the difference between the infrared sending and receiving time. The present invention solves the problem"&amp;" of the real -time position of the ping -based table tennis based on the IoT table tennis system based on the Internet of Things.")</f>
        <v>The invention disclosed a table tennis positioning method and system based on infrared induction. Its systems include establishing a space position regional coordinate system module, obtaining infrared sensing data modules, calculating the horizontal regional coordinate value module of table tennis, and the vertical coordinate value module of table tennis. Establish a space location coordinate system (V, H), which consists of a horizontal regional coordinate V and a vertical coordinate H on the top of the table tennis desk. The value of the vertical coordinate H is the vertical distance between the table tennis and the infrared induction array based on the difference between the infrared sending and receiving time. The present invention solves the problem of the real -time position of the ping -based table tennis based on the IoT table tennis system based on the Internet of Things.</v>
      </c>
      <c r="D3467" s="6" t="s">
        <v>9715</v>
      </c>
      <c r="E3467" s="4" t="str">
        <f ca="1">IFERROR(__xludf.DUMMYFUNCTION("GOOGLETRANSLATE(D3467,""auto"",""en"")"),"A method and system based on infrared sensing table tennis positioning")</f>
        <v>A method and system based on infrared sensing table tennis positioning</v>
      </c>
    </row>
    <row r="3468" spans="1:5" ht="15" x14ac:dyDescent="0.25">
      <c r="A3468" s="5" t="s">
        <v>9716</v>
      </c>
      <c r="B3468" s="6" t="s">
        <v>9717</v>
      </c>
      <c r="C3468" s="3" t="str">
        <f ca="1">IFERROR(__xludf.DUMMYFUNCTION("GOOGLETRANSLATE(B3468,""auto"",""en"")"),"The invention disclosed a table tennis system based on mapping and analysis positioning. Its system consists of vertical mapping sensor group, parallel mapping sensor group, table tennis rackets equipped with pressure sensors, and servers based on the cal"&amp;"culation of the mapping analysis. Among them, table tennis rackets equipped with pressure sensors are options. The vertical mapping sensor group is a peaceful mapping sensor group to shoot the gray image, and then sends the gray image to the server that c"&amp;"alculates the calculation position based on the mapping; The server based on the calculation of the mapping analysis. The present invention solves the problem of the lack of real -time calculation of table tennis positions based on the Internet of Things "&amp;"based on the Internet of Things.")</f>
        <v>The invention disclosed a table tennis system based on mapping and analysis positioning. Its system consists of vertical mapping sensor group, parallel mapping sensor group, table tennis rackets equipped with pressure sensors, and servers based on the calculation of the mapping analysis. Among them, table tennis rackets equipped with pressure sensors are options. The vertical mapping sensor group is a peaceful mapping sensor group to shoot the gray image, and then sends the gray image to the server that calculates the calculation position based on the mapping; The server based on the calculation of the mapping analysis. The present invention solves the problem of the lack of real -time calculation of table tennis positions based on the Internet of Things based on the Internet of Things.</v>
      </c>
      <c r="D3468" s="6" t="s">
        <v>9718</v>
      </c>
      <c r="E3468" s="4" t="str">
        <f ca="1">IFERROR(__xludf.DUMMYFUNCTION("GOOGLETRANSLATE(D3468,""auto"",""en"")"),"A table tennis system based on mapping analysis and positioning")</f>
        <v>A table tennis system based on mapping analysis and positioning</v>
      </c>
    </row>
    <row r="3469" spans="1:5" ht="15" x14ac:dyDescent="0.25">
      <c r="A3469" s="5" t="s">
        <v>9719</v>
      </c>
      <c r="B3469" s="6" t="s">
        <v>9720</v>
      </c>
      <c r="C3469" s="3" t="str">
        <f ca="1">IFERROR(__xludf.DUMMYFUNCTION("GOOGLETRANSLATE(B3469,""auto"",""en"")"),"The present invention disclosed a table tennis positioning method and system based on mapping and analysis. Its systems include obtaining mapping image data and judging whether table tennis is in the mapping area module, calculating the location of table "&amp;"tennis in each mapping image and converting coordinate system module, and calculating the spatial position module of table tennis. Use a gray camera to take a solid curtain cloth as the background to get the image of an object on the curtain to determine "&amp;"the mapping position of the object on the curtain. According to the position of multiple groups and its corresponding mapping position, the object positioning The gray camera above and side obtains the mapping image of table tennis in different mapping pl"&amp;"anes, and then sends the image data to the server, the server stores data, and calculates the real -time location of the table tennis. The present invention solves the problem of the real -time position of the ping -based table tennis based on the IoT tab"&amp;"le tennis system based on the Internet of Things.")</f>
        <v>The present invention disclosed a table tennis positioning method and system based on mapping and analysis. Its systems include obtaining mapping image data and judging whether table tennis is in the mapping area module, calculating the location of table tennis in each mapping image and converting coordinate system module, and calculating the spatial position module of table tennis. Use a gray camera to take a solid curtain cloth as the background to get the image of an object on the curtain to determine the mapping position of the object on the curtain. According to the position of multiple groups and its corresponding mapping position, the object positioning The gray camera above and side obtains the mapping image of table tennis in different mapping planes, and then sends the image data to the server, the server stores data, and calculates the real -time location of the table tennis. The present invention solves the problem of the real -time position of the ping -based table tennis based on the IoT table tennis system based on the Internet of Things.</v>
      </c>
      <c r="D3469" s="6" t="s">
        <v>9721</v>
      </c>
      <c r="E3469" s="4" t="str">
        <f ca="1">IFERROR(__xludf.DUMMYFUNCTION("GOOGLETRANSLATE(D3469,""auto"",""en"")"),"A table tennis positioning method and system based on mapping analysis")</f>
        <v>A table tennis positioning method and system based on mapping analysis</v>
      </c>
    </row>
    <row r="3470" spans="1:5" ht="15" x14ac:dyDescent="0.25">
      <c r="A3470" s="5" t="s">
        <v>9722</v>
      </c>
      <c r="B3470" s="6" t="s">
        <v>9723</v>
      </c>
      <c r="C3470" s="3" t="str">
        <f ca="1">IFERROR(__xludf.DUMMYFUNCTION("GOOGLETRANSLATE(B3470,""auto"",""en"")"),"The present invention disclosed a score recognition method based on sports trajectory. The steps include: step 1. Create three -dimensional space coordinate system and setting parameters; step 2, calculate the real -time position coordinate value of table"&amp;" tennis and judge whether to serve; step 3, calculate the real -time position coordinate value of table tennis and the value of calculating variables; steps; steps 4. Determine the collision point of table tennis according to the sports trajectory and det"&amp;"ermine whether the serve score is scored according to the collision point; step 4.1. Determine whether the table tennis hit the desktop according to the sports trajectory; Sports trajectory to judge whether table tennis hit the ball network; step 4.4, jud"&amp;"ge whether table tennis is hit by the racket according to the sports trajectory. The present invention solves the problem of the Internet of Things -based table tennis system that cannot easily identify the score of serving.")</f>
        <v>The present invention disclosed a score recognition method based on sports trajectory. The steps include: step 1. Create three -dimensional space coordinate system and setting parameters; step 2, calculate the real -time position coordinate value of table tennis and judge whether to serve; step 3, calculate the real -time position coordinate value of table tennis and the value of calculating variables; steps; steps 4. Determine the collision point of table tennis according to the sports trajectory and determine whether the serve score is scored according to the collision point; step 4.1. Determine whether the table tennis hit the desktop according to the sports trajectory; Sports trajectory to judge whether table tennis hit the ball network; step 4.4, judge whether table tennis is hit by the racket according to the sports trajectory. The present invention solves the problem of the Internet of Things -based table tennis system that cannot easily identify the score of serving.</v>
      </c>
      <c r="D3470" s="6" t="s">
        <v>9724</v>
      </c>
      <c r="E3470" s="4" t="str">
        <f ca="1">IFERROR(__xludf.DUMMYFUNCTION("GOOGLETRANSLATE(D3470,""auto"",""en"")"),"A method of serving scoring for table tennis based on sports trajectory")</f>
        <v>A method of serving scoring for table tennis based on sports trajectory</v>
      </c>
    </row>
    <row r="3471" spans="1:5" ht="15" x14ac:dyDescent="0.25">
      <c r="A3471" s="5" t="s">
        <v>9725</v>
      </c>
      <c r="B3471" s="6" t="s">
        <v>9726</v>
      </c>
      <c r="C3471" s="3" t="str">
        <f ca="1">IFERROR(__xludf.DUMMYFUNCTION("GOOGLETRANSLATE(B3471,""auto"",""en"")"),"The present invention disclosed a method of getting a ping -based ping -based ping -based table tennis. The steps include: step 1. Switch the pick -up side; step 2, position table tennis and judge whether table tennis collision; step 3. Determine whether "&amp;"the opponent successfully receives the ball; step 3.1 to determine whether the table tennis hit the ball side ball table; steps; 3.2 Determine whether table tennis hit the ball network; step 3.3 determine whether table tennis hit the ground; step 3.4 dete"&amp;"rmine whether table tennis is hit by the racket; step 4, position table tennis and judge whether table tennis collides again; Whether to successfully pick up the ball; step 5.1 Judging whether table tennis hit the ball table; step 5.2 Determine whether th"&amp;"e table tennis hit the ball network; step 5.3 Judging whether the table tennis hit the ground; step 5.4 to determine whether the table tennis is hit by a square racket. The present invention solves the problem of the Internet of Things -based table tennis"&amp;" system that cannot easily identify the problem of getting points.")</f>
        <v>The present invention disclosed a method of getting a ping -based ping -based ping -based table tennis. The steps include: step 1. Switch the pick -up side; step 2, position table tennis and judge whether table tennis collision; step 3. Determine whether the opponent successfully receives the ball; step 3.1 to determine whether the table tennis hit the ball side ball table; steps; 3.2 Determine whether table tennis hit the ball network; step 3.3 determine whether table tennis hit the ground; step 3.4 determine whether table tennis is hit by the racket; step 4, position table tennis and judge whether table tennis collides again; Whether to successfully pick up the ball; step 5.1 Judging whether table tennis hit the ball table; step 5.2 Determine whether the table tennis hit the ball network; step 5.3 Judging whether the table tennis hit the ground; step 5.4 to determine whether the table tennis is hit by a square racket. The present invention solves the problem of the Internet of Things -based table tennis system that cannot easily identify the problem of getting points.</v>
      </c>
      <c r="D3471" s="6" t="s">
        <v>9727</v>
      </c>
      <c r="E3471" s="4" t="str">
        <f ca="1">IFERROR(__xludf.DUMMYFUNCTION("GOOGLETRANSLATE(D3471,""auto"",""en"")"),"A method of getting a ping -based ping -based ping -based table tennis of the sports trajectory")</f>
        <v>A method of getting a ping -based ping -based ping -based table tennis of the sports trajectory</v>
      </c>
    </row>
    <row r="3472" spans="1:5" ht="15" x14ac:dyDescent="0.25">
      <c r="A3472" s="5" t="s">
        <v>9728</v>
      </c>
      <c r="B3472" s="6" t="s">
        <v>9729</v>
      </c>
      <c r="C3472" s="3" t="str">
        <f ca="1">IFERROR(__xludf.DUMMYFUNCTION("GOOGLETRANSLATE(B3472,""auto"",""en"")"),"The present invention disclosed a judgment system and method of whether the table tennis touches the network in front of the net. Its system includes obtaining photoelectric sensing data and judging whether table tennis flying through the net module, and "&amp;"judging whether table tennis flys over the network. Multiple sets of shading photoelectric sensors are deployed above the table tennis network, and multiple pressure sensors are deployed on the ball network. Whether to touch the net and record, and judge "&amp;"whether the table tennis passes on the ball on the top of the ball, determine whether the table tennis passes through the net, retrieve the recording of the table tennis in the period before this time, and determine whether the table tennis has touched th"&amp;"e network and whether to touch the net and Touch the number of nets. The invention solves the problem of the Internet of Things solution of table tennis networks.")</f>
        <v>The present invention disclosed a judgment system and method of whether the table tennis touches the network in front of the net. Its system includes obtaining photoelectric sensing data and judging whether table tennis flying through the net module, and judging whether table tennis flys over the network. Multiple sets of shading photoelectric sensors are deployed above the table tennis network, and multiple pressure sensors are deployed on the ball network. Whether to touch the net and record, and judge whether the table tennis passes on the ball on the top of the ball, determine whether the table tennis passes through the net, retrieve the recording of the table tennis in the period before this time, and determine whether the table tennis has touched the network and whether to touch the net and Touch the number of nets. The invention solves the problem of the Internet of Things solution of table tennis networks.</v>
      </c>
      <c r="D3472" s="6" t="s">
        <v>9730</v>
      </c>
      <c r="E3472" s="4" t="str">
        <f ca="1">IFERROR(__xludf.DUMMYFUNCTION("GOOGLETRANSLATE(D3472,""auto"",""en"")"),"A judgment system and method of whether the table tennis is touched by the ping -ping -ping -ping -ping -web")</f>
        <v>A judgment system and method of whether the table tennis is touched by the ping -ping -ping -ping -ping -web</v>
      </c>
    </row>
    <row r="3473" spans="1:5" ht="15" x14ac:dyDescent="0.25">
      <c r="A3473" s="5" t="s">
        <v>9731</v>
      </c>
      <c r="B3473" s="6" t="s">
        <v>9732</v>
      </c>
      <c r="C3473" s="3" t="str">
        <f ca="1">IFERROR(__xludf.DUMMYFUNCTION("GOOGLETRANSLATE(B3473,""auto"",""en"")"),"The present invention disclosed a device and method that identifies the normal impact of table tennis and the hit position. The device that identifies the normal impact of table tennis and the impact position includes a table tennis table with a connected"&amp;" structure, a shading photoelectric sensing equipment, and a server that identifies the normal impact and impact position; The type of photoelectric sensor obtains the voltage value and sends it to the server. The server regularly collects the voltage val"&amp;"ue sent by the shading photoelectric sensing device, determines whether the table tennis hit the desktop according to the voltage value, and then identify the table tennis according to the characteristics of the table tennis hit when hitting the table ten"&amp;"nis. Whether the ball hit the ball normally, and finally determine the position of the normal impact of table tennis according to the number of photoelectric sensors. The invention solves the problem of the Internet of Things plan at the table tennis tabl"&amp;"e.")</f>
        <v>The present invention disclosed a device and method that identifies the normal impact of table tennis and the hit position. The device that identifies the normal impact of table tennis and the impact position includes a table tennis table with a connected structure, a shading photoelectric sensing equipment, and a server that identifies the normal impact and impact position; The type of photoelectric sensor obtains the voltage value and sends it to the server. The server regularly collects the voltage value sent by the shading photoelectric sensing device, determines whether the table tennis hit the desktop according to the voltage value, and then identify the table tennis according to the characteristics of the table tennis hit when hitting the table tennis. Whether the ball hit the ball normally, and finally determine the position of the normal impact of table tennis according to the number of photoelectric sensors. The invention solves the problem of the Internet of Things plan at the table tennis table.</v>
      </c>
      <c r="D3473" s="6" t="s">
        <v>9733</v>
      </c>
      <c r="E3473" s="4" t="str">
        <f ca="1">IFERROR(__xludf.DUMMYFUNCTION("GOOGLETRANSLATE(D3473,""auto"",""en"")"),"A device and method that identifies the normal impact of table tennis and the impact position")</f>
        <v>A device and method that identifies the normal impact of table tennis and the impact position</v>
      </c>
    </row>
    <row r="3474" spans="1:5" ht="15" x14ac:dyDescent="0.25">
      <c r="A3474" s="5" t="s">
        <v>9734</v>
      </c>
      <c r="B3474" s="6" t="s">
        <v>9735</v>
      </c>
      <c r="C3474" s="3" t="str">
        <f ca="1">IFERROR(__xludf.DUMMYFUNCTION("GOOGLETRANSLATE(B3474,""auto"",""en"")"),"The present invention disclosed a positioning system and method of setting up a table tennis pair of table tennis. Its system includes obtaining pressure sensing data and determining whether the racket is hitting table tennis modules, reading table tennis"&amp;" position coordinate value modules, and judging whether the racket hitting table tennis is a serving module. In the table tennis system, the IoT component (such as signal strength positioning components, etc.) is deployed in the table tennis system to obt"&amp;"ain table tennis location data, and the pressure sensor deployed by the racket face to obtain the pressure sensor data. The racket hitting table tennis is divided into serve and returning. Among them, you need to throw the ball before serving. The speed o"&amp;"f the table tennis is low, and the table tennis is fast before returning. The server determines whether the racket hit the table tennis. The present invention solves the problem of the IoT table tennis system based on the Internet of Things.")</f>
        <v>The present invention disclosed a positioning system and method of setting up a table tennis pair of table tennis. Its system includes obtaining pressure sensing data and determining whether the racket is hitting table tennis modules, reading table tennis position coordinate value modules, and judging whether the racket hitting table tennis is a serving module. In the table tennis system, the IoT component (such as signal strength positioning components, etc.) is deployed in the table tennis system to obtain table tennis location data, and the pressure sensor deployed by the racket face to obtain the pressure sensor data. The racket hitting table tennis is divided into serve and returning. Among them, you need to throw the ball before serving. The speed of the table tennis is low, and the table tennis is fast before returning. The server determines whether the racket hit the table tennis. The present invention solves the problem of the IoT table tennis system based on the Internet of Things.</v>
      </c>
      <c r="D3474" s="6" t="s">
        <v>9736</v>
      </c>
      <c r="E3474" s="4" t="str">
        <f ca="1">IFERROR(__xludf.DUMMYFUNCTION("GOOGLETRANSLATE(D3474,""auto"",""en"")"),"A positioning system and method and method based on positioning table tennis pairing")</f>
        <v>A positioning system and method and method based on positioning table tennis pairing</v>
      </c>
    </row>
    <row r="3475" spans="1:5" ht="15" x14ac:dyDescent="0.25">
      <c r="A3475" s="5" t="s">
        <v>9737</v>
      </c>
      <c r="B3475" s="6" t="s">
        <v>9738</v>
      </c>
      <c r="C3475" s="3" t="str">
        <f ca="1">IFERROR(__xludf.DUMMYFUNCTION("GOOGLETRANSLATE(B3475,""auto"",""en"")"),"The present invention disclosed a table tennis positioning method and system based on touch feedback. Its system includes obtaining touch feedback data to determine whether table tennis hits the table module, calculate the hitting position coordinate valu"&amp;"e module, and calculate the table tennis position coordinate value module. Touch feedback sensor to obtain the touch feedback data of the ball table, and then send it to the server, the gyroscope and acceleration instrument deployed in the table tennis to"&amp;" obtain table tennis data, and then send it to the server, the server storage data, use a relative displacement algorithm to calculate the table tennis impact impact The positioning value of the table tennis in the table interval. The present invention so"&amp;"lves the problem of the real -time position of the ping -based table tennis based on the IoT table tennis system based on the Internet of Things.")</f>
        <v>The present invention disclosed a table tennis positioning method and system based on touch feedback. Its system includes obtaining touch feedback data to determine whether table tennis hits the table module, calculate the hitting position coordinate value module, and calculate the table tennis position coordinate value module. Touch feedback sensor to obtain the touch feedback data of the ball table, and then send it to the server, the gyroscope and acceleration instrument deployed in the table tennis to obtain table tennis data, and then send it to the server, the server storage data, use a relative displacement algorithm to calculate the table tennis impact impact The positioning value of the table tennis in the table interval. The present invention solves the problem of the real -time position of the ping -based table tennis based on the IoT table tennis system based on the Internet of Things.</v>
      </c>
      <c r="D3475" s="6" t="s">
        <v>9739</v>
      </c>
      <c r="E3475" s="4" t="str">
        <f ca="1">IFERROR(__xludf.DUMMYFUNCTION("GOOGLETRANSLATE(D3475,""auto"",""en"")"),"A table tennis positioning method and system based on touch feedback")</f>
        <v>A table tennis positioning method and system based on touch feedback</v>
      </c>
    </row>
    <row r="3476" spans="1:5" ht="15" x14ac:dyDescent="0.25">
      <c r="A3476" s="5" t="s">
        <v>9740</v>
      </c>
      <c r="B3476" s="6" t="s">
        <v>9741</v>
      </c>
      <c r="C3476" s="3" t="str">
        <f ca="1">IFERROR(__xludf.DUMMYFUNCTION("GOOGLETRANSLATE(B3476,""auto"",""en"")"),"The present invention disclosed a table tennis line -based serve recognition system and method based on sports trajectory. Its system includes obtaining pressure sensing data and judging whether the racket hit table tennis module, reading the continuous p"&amp;"osition data module before the racket to hit the table tennis, and judge the serve of table tennis to serve the table tennis according to the sports trajectory. In the table tennis system, the Internet of Things component (such as signal strength position"&amp;"ing components, etc.) is deployed in the table tennis positioning. At the time, generate the sports trajectory of table tennis before the ping -out position data. Before taking the shooting of table tennis against the game, the trajectory of table tennis "&amp;"must be in line with the sports trajectory model of upper and falling. Based on this, it is determined whether the racket hit the ball to serve in the table tennis. The present invention solves the problem of the IoT table tennis system based on the Inter"&amp;"net of Things.")</f>
        <v>The present invention disclosed a table tennis line -based serve recognition system and method based on sports trajectory. Its system includes obtaining pressure sensing data and judging whether the racket hit table tennis module, reading the continuous position data module before the racket to hit the table tennis, and judge the serve of table tennis to serve the table tennis according to the sports trajectory. In the table tennis system, the Internet of Things component (such as signal strength positioning components, etc.) is deployed in the table tennis positioning. At the time, generate the sports trajectory of table tennis before the ping -out position data. Before taking the shooting of table tennis against the game, the trajectory of table tennis must be in line with the sports trajectory model of upper and falling. Based on this, it is determined whether the racket hit the ball to serve in the table tennis. The present invention solves the problem of the IoT table tennis system based on the Internet of Things.</v>
      </c>
      <c r="D3476" s="6" t="s">
        <v>9742</v>
      </c>
      <c r="E3476" s="4" t="str">
        <f ca="1">IFERROR(__xludf.DUMMYFUNCTION("GOOGLETRANSLATE(D3476,""auto"",""en"")"),"A sport -based table tennis matching system and method and method")</f>
        <v>A sport -based table tennis matching system and method and method</v>
      </c>
    </row>
    <row r="3477" spans="1:5" ht="15" x14ac:dyDescent="0.25">
      <c r="A3477" s="5" t="s">
        <v>9743</v>
      </c>
      <c r="B3477" s="6" t="s">
        <v>9744</v>
      </c>
      <c r="C3477" s="3" t="str">
        <f ca="1">IFERROR(__xludf.DUMMYFUNCTION("GOOGLETRANSLATE(B3477,""auto"",""en"")"),"The present invention disclosed the angle computing system and method of the opposite racket of table tennis during the impact. Its system includes obtaining pressure sensing data and judging whether the racket is hitting the ball module, calculating the "&amp;"position module of the table tennis hit racket, obtaining gyroscope data, and calculating the angle module of the racket in the space, and the angle module of the table tennis relative to the racket when calculating the impact. Deploy stress sensors on ta"&amp;"ble tennis rackets to obtain the pressure data when they are hit by table tennis rackets. The angle data of the gyroscope deployed by table tennis rackets monitor table tennis rackets, and deploy commonly used IoT components used for table tennis in real "&amp;"-time positioning of table tennis to obtain Positioning data, server receiving data, and calculating the angle of the table tennis relative to the racket during the impact. The present invention solves the problem of the perspective of table tennis relati"&amp;"ve to the racket when impact.")</f>
        <v>The present invention disclosed the angle computing system and method of the opposite racket of table tennis during the impact. Its system includes obtaining pressure sensing data and judging whether the racket is hitting the ball module, calculating the position module of the table tennis hit racket, obtaining gyroscope data, and calculating the angle module of the racket in the space, and the angle module of the table tennis relative to the racket when calculating the impact. Deploy stress sensors on table tennis rackets to obtain the pressure data when they are hit by table tennis rackets. The angle data of the gyroscope deployed by table tennis rackets monitor table tennis rackets, and deploy commonly used IoT components used for table tennis in real -time positioning of table tennis to obtain Positioning data, server receiving data, and calculating the angle of the table tennis relative to the racket during the impact. The present invention solves the problem of the perspective of table tennis relative to the racket when impact.</v>
      </c>
      <c r="D3477" s="6" t="s">
        <v>9745</v>
      </c>
      <c r="E3477" s="4" t="str">
        <f ca="1">IFERROR(__xludf.DUMMYFUNCTION("GOOGLETRANSLATE(D3477,""auto"",""en"")"),"An angle computing system and method of a table tennis relative to the racket during impact")</f>
        <v>An angle computing system and method of a table tennis relative to the racket during impact</v>
      </c>
    </row>
    <row r="3478" spans="1:5" ht="15" x14ac:dyDescent="0.25">
      <c r="A3478" s="5" t="s">
        <v>9746</v>
      </c>
      <c r="B3478" s="6" t="s">
        <v>9747</v>
      </c>
      <c r="C3478" s="3" t="str">
        <f ca="1">IFERROR(__xludf.DUMMYFUNCTION("GOOGLETRANSLATE(B3478,""auto"",""en"")"),"The present invention is disclosed in a sports competition understanding system based on machine learning, which involves the technology field of sports events information system technology. The system includes data acquisition units and data analysis uni"&amp;"ts. , And transmit video information to the data analysis unit; the data analysis unit is used to receive the video information, detect, recognize and track the goals in the field, and learn the tracking data of different goals through machine learning. i"&amp;"nformation. Obtain the video information of the game through the data acquisition unit. The data analysis unit analyzes and process the receiving video information, detects, recognizes, and tracks the goals in the field. Essence")</f>
        <v>The present invention is disclosed in a sports competition understanding system based on machine learning, which involves the technology field of sports events information system technology. The system includes data acquisition units and data analysis units. , And transmit video information to the data analysis unit; the data analysis unit is used to receive the video information, detect, recognize and track the goals in the field, and learn the tracking data of different goals through machine learning. information. Obtain the video information of the game through the data acquisition unit. The data analysis unit analyzes and process the receiving video information, detects, recognizes, and tracks the goals in the field. Essence</v>
      </c>
      <c r="D3478" s="6" t="s">
        <v>9748</v>
      </c>
      <c r="E3478" s="4" t="str">
        <f ca="1">IFERROR(__xludf.DUMMYFUNCTION("GOOGLETRANSLATE(D3478,""auto"",""en"")"),"Machine learning -based sports competition understanding system and method")</f>
        <v>Machine learning -based sports competition understanding system and method</v>
      </c>
    </row>
    <row r="3479" spans="1:5" ht="15" x14ac:dyDescent="0.25">
      <c r="A3479" s="5" t="s">
        <v>9749</v>
      </c>
      <c r="B3479" s="6" t="s">
        <v>9750</v>
      </c>
      <c r="C3479" s="3" t="str">
        <f ca="1">IFERROR(__xludf.DUMMYFUNCTION("GOOGLETRANSLATE(B3479,""auto"",""en"")"),"This utility model belongs to the field of fitness venue technology. Specifically, it is a IoT cage sports venue based on ZigBee and NB_IOT technology. This utility model is set up in the Internet of Things cage sports venue based on ZigBee and NB_IOT tec"&amp;"hnology. There are several lamp pillars, and an integrated control board is set on each lamp column. The integrated control board has a single -chip machine and a ZigBee module. Communication, one of the lamps is also set on the ZigBee gateway and NB_IOT "&amp;"modules. The ZigBee gateway is connected to the NB_IOT module and ZigBee module respectively. The newly used new type of Internet of Things cage sports venue based on ZigBee and NB_IOT technology is simple and reasonable, can accurately receive informatio"&amp;"n sent by each lamp post, and promptly remind people to urgently notice, with good promotion and application value.")</f>
        <v>This utility model belongs to the field of fitness venue technology. Specifically, it is a IoT cage sports venue based on ZigBee and NB_IOT technology. This utility model is set up in the Internet of Things cage sports venue based on ZigBee and NB_IOT technology. There are several lamp pillars, and an integrated control board is set on each lamp column. The integrated control board has a single -chip machine and a ZigBee module. Communication, one of the lamps is also set on the ZigBee gateway and NB_IOT modules. The ZigBee gateway is connected to the NB_IOT module and ZigBee module respectively. The newly used new type of Internet of Things cage sports venue based on ZigBee and NB_IOT technology is simple and reasonable, can accurately receive information sent by each lamp post, and promptly remind people to urgently notice, with good promotion and application value.</v>
      </c>
      <c r="D3479" s="6" t="s">
        <v>9751</v>
      </c>
      <c r="E3479" s="4" t="str">
        <f ca="1">IFERROR(__xludf.DUMMYFUNCTION("GOOGLETRANSLATE(D3479,""auto"",""en"")"),"A IoT cage sports venue based on ZigBee and NB_IOT technology")</f>
        <v>A IoT cage sports venue based on ZigBee and NB_IOT technology</v>
      </c>
    </row>
    <row r="3480" spans="1:5" ht="15" x14ac:dyDescent="0.25">
      <c r="A3480" s="5" t="s">
        <v>9752</v>
      </c>
      <c r="B3480" s="6" t="s">
        <v>9753</v>
      </c>
      <c r="C3480" s="3" t="str">
        <f ca="1">IFERROR(__xludf.DUMMYFUNCTION("GOOGLETRANSLATE(B3480,""auto"",""en"")"),"The invention VR virtual reality smart horse riding and fitness machine provides a virtual reality riding and fitness machine and solution. The VR virtual reality intelligent riding and fitness machine consists of three parts, including horse riding fitne"&amp;"ss machines, smart boxes, self -power generation devices, pressure sensors and pressure sensors and pressure sensors and pressure sensors and pressure sensors and pressure sensors and pressure sensors and pressure sensors. The body structure of the riding"&amp;" fitness machine of the electromagnetic control force; the remote control of the infrared body feel; the VR header device is embedded in the smartphone APP, realizing the real horse riding experience when using a horse -riding fitness machine, to achieve "&amp;"the fitness effect, let the exercise be more Interesting, you can also collect human exercise time and strength -related health data through real -time display of smartphone APP. By holding the infrared sense remote control remote control selection of hor"&amp;"se riding scenes and modes, real -time display through the smartphone APP is displayed on the VR header device. Innovative and technological achievements to achieve innovative and technological achievements of connected, electromagnetic control, VR, somat"&amp;"osensory, and APP to achieve.")</f>
        <v>The invention VR virtual reality smart horse riding and fitness machine provides a virtual reality riding and fitness machine and solution. The VR virtual reality intelligent riding and fitness machine consists of three parts, including horse riding fitness machines, smart boxes, self -power generation devices, pressure sensors and pressure sensors and pressure sensors and pressure sensors and pressure sensors and pressure sensors and pressure sensors and pressure sensors. The body structure of the riding fitness machine of the electromagnetic control force; the remote control of the infrared body feel; the VR header device is embedded in the smartphone APP, realizing the real horse riding experience when using a horse -riding fitness machine, to achieve the fitness effect, let the exercise be more Interesting, you can also collect human exercise time and strength -related health data through real -time display of smartphone APP. By holding the infrared sense remote control remote control selection of horse riding scenes and modes, real -time display through the smartphone APP is displayed on the VR header device. Innovative and technological achievements to achieve innovative and technological achievements of connected, electromagnetic control, VR, somatosensory, and APP to achieve.</v>
      </c>
      <c r="D3480" s="6" t="s">
        <v>9754</v>
      </c>
      <c r="E3480" s="4" t="str">
        <f ca="1">IFERROR(__xludf.DUMMYFUNCTION("GOOGLETRANSLATE(D3480,""auto"",""en"")"),"VR virtual reality smart horse riding fitness machine")</f>
        <v>VR virtual reality smart horse riding fitness machine</v>
      </c>
    </row>
    <row r="3481" spans="1:5" ht="15" x14ac:dyDescent="0.25">
      <c r="A3481" s="5" t="s">
        <v>9755</v>
      </c>
      <c r="B3481" s="6" t="s">
        <v>9756</v>
      </c>
      <c r="C3481" s="3" t="str">
        <f ca="1">IFERROR(__xludf.DUMMYFUNCTION("GOOGLETRANSLATE(B3481,""auto"",""en"")"),"This practical new VR virtual reality smart horse riding and fitness machine provides a virtual reality riding and fitness machine and solution. VR virtual reality intelligent riding and fitness machines are composed of three parts, including horse riding"&amp;" fitness machines, smart boxes, self -power generation devices, pressure sensors, pressure sensors The body structure of the horse riding fitness machine with the electromagnetic control power device; the remote control of the infrared body; the VR header"&amp;" device is embedded in the smartphone APP to achieve the real horse riding experience experience when using the horse -riding fitness machine, to achieve the fitness effect while letting the exercise allows the exercise More interesting, you can also coll"&amp;"ect human exercise time, strength -related health data through real -time display through the smartphone APP, and select the remote control scene and mode of the remote control of the infrared sense of the infrared body. The real -time display of the smar"&amp;"tphone app is displayed on the VR header device. Innovative and technological achievements to achieve innovative and technological achievements of the Internet of Things, electromagnetic control, VR, somatosensory, and APP.")</f>
        <v>This practical new VR virtual reality smart horse riding and fitness machine provides a virtual reality riding and fitness machine and solution. VR virtual reality intelligent riding and fitness machines are composed of three parts, including horse riding fitness machines, smart boxes, self -power generation devices, pressure sensors, pressure sensors The body structure of the horse riding fitness machine with the electromagnetic control power device; the remote control of the infrared body; the VR header device is embedded in the smartphone APP to achieve the real horse riding experience experience when using the horse -riding fitness machine, to achieve the fitness effect while letting the exercise allows the exercise More interesting, you can also collect human exercise time, strength -related health data through real -time display through the smartphone APP, and select the remote control scene and mode of the remote control of the infrared sense of the infrared body. The real -time display of the smartphone app is displayed on the VR header device. Innovative and technological achievements to achieve innovative and technological achievements of the Internet of Things, electromagnetic control, VR, somatosensory, and APP.</v>
      </c>
      <c r="D3481" s="6" t="s">
        <v>9754</v>
      </c>
      <c r="E3481" s="4" t="str">
        <f ca="1">IFERROR(__xludf.DUMMYFUNCTION("GOOGLETRANSLATE(D3481,""auto"",""en"")"),"VR virtual reality smart horse riding fitness machine")</f>
        <v>VR virtual reality smart horse riding fitness machine</v>
      </c>
    </row>
    <row r="3482" spans="1:5" ht="15" x14ac:dyDescent="0.25">
      <c r="A3482" s="5" t="s">
        <v>9757</v>
      </c>
      <c r="B3482" s="6" t="s">
        <v>9758</v>
      </c>
      <c r="C3482" s="3" t="str">
        <f ca="1">IFERROR(__xludf.DUMMYFUNCTION("GOOGLETRANSLATE(B3482,""auto"",""en"")"),"The present invention disclosed a treadmill based on the Internet of Things, including running platforms, consoles, and support racks. There is a console on one side of the upper side of the supporting frame, and the console is closely connected to the su"&amp;"pport stand, which is fixed in the console. The electrical connection of the single -chip microcomputer and the driver module is equipped with a communication module on the top of the support frame, which connects to the single -chip electrical connection"&amp;", which is equipped with a support plate at the bottom of the running table. There is a control circuit inside, which is connected to the electrical connection of the control module with the electrical connection of the drive module. The bottom of the sup"&amp;"port plate is installed with an electric motor, which connects to the electrical connection of the control circuit, and the output end of the motor and the output of the motor and The tight connection of running Taiwan has the characteristics of intellige"&amp;"nt and flexible and safe.")</f>
        <v>The present invention disclosed a treadmill based on the Internet of Things, including running platforms, consoles, and support racks. There is a console on one side of the upper side of the supporting frame, and the console is closely connected to the support stand, which is fixed in the console. The electrical connection of the single -chip microcomputer and the driver module is equipped with a communication module on the top of the support frame, which connects to the single -chip electrical connection, which is equipped with a support plate at the bottom of the running table. There is a control circuit inside, which is connected to the electrical connection of the control module with the electrical connection of the drive module. The bottom of the support plate is installed with an electric motor, which connects to the electrical connection of the control circuit, and the output end of the motor and the output of the motor and The tight connection of running Taiwan has the characteristics of intelligent and flexible and safe.</v>
      </c>
      <c r="D3482" s="6" t="s">
        <v>9759</v>
      </c>
      <c r="E3482" s="4" t="str">
        <f ca="1">IFERROR(__xludf.DUMMYFUNCTION("GOOGLETRANSLATE(D3482,""auto"",""en"")"),"A treadmill based on the Internet of Things")</f>
        <v>A treadmill based on the Internet of Things</v>
      </c>
    </row>
    <row r="3483" spans="1:5" ht="15" x14ac:dyDescent="0.25">
      <c r="A3483" s="5" t="s">
        <v>9760</v>
      </c>
      <c r="B3483" s="6" t="s">
        <v>9761</v>
      </c>
      <c r="C3483" s="3" t="str">
        <f ca="1">IFERROR(__xludf.DUMMYFUNCTION("GOOGLETRANSLATE(B3483,""auto"",""en"")"),"The present invention involves a shooting method and shooting machine. This method is applied to the shooter system, including the cloud server and multiple shot machines connected to the cloud server. Methods include: S1: The human -machine interactive d"&amp;"evice or mobile terminal sends the competition request information to the cloud server. At least two shooting machines in the cloud server selection system to match the game, and select the game mode, and the basketball machine will play in accordance wit"&amp;"h the competition mode. S2: The shooter records the game information and sends the game data to other shot machines to display the game information. Through the implementation of the present invention, the user can select the shooting machine in the syste"&amp;"m through the network to enhance the interaction of the shot machine and improve the user entertainment experience.")</f>
        <v>The present invention involves a shooting method and shooting machine. This method is applied to the shooter system, including the cloud server and multiple shot machines connected to the cloud server. Methods include: S1: The human -machine interactive device or mobile terminal sends the competition request information to the cloud server. At least two shooting machines in the cloud server selection system to match the game, and select the game mode, and the basketball machine will play in accordance with the competition mode. S2: The shooter records the game information and sends the game data to other shot machines to display the game information. Through the implementation of the present invention, the user can select the shooting machine in the system through the network to enhance the interaction of the shot machine and improve the user entertainment experience.</v>
      </c>
      <c r="D3483" s="6" t="s">
        <v>9762</v>
      </c>
      <c r="E3483" s="4" t="str">
        <f ca="1">IFERROR(__xludf.DUMMYFUNCTION("GOOGLETRANSLATE(D3483,""auto"",""en"")"),"A shooter online competition method and shot machine")</f>
        <v>A shooter online competition method and shot machine</v>
      </c>
    </row>
    <row r="3484" spans="1:5" ht="15" x14ac:dyDescent="0.25">
      <c r="A3484" s="5" t="s">
        <v>9763</v>
      </c>
      <c r="B3484" s="6" t="s">
        <v>518</v>
      </c>
      <c r="C3484" s="3" t="str">
        <f ca="1">IFERROR(__xludf.DUMMYFUNCTION("GOOGLETRANSLATE(B3484,""auto"",""en"")"),"-")</f>
        <v>-</v>
      </c>
      <c r="D3484" s="6" t="s">
        <v>9764</v>
      </c>
      <c r="E3484" s="4" t="str">
        <f ca="1">IFERROR(__xludf.DUMMYFUNCTION("GOOGLETRANSLATE(D3484,""auto"",""en"")"),"Methods and systems for providing sports intelligent devices with data analysis, artificial intelligence, and Internet of Things fitness projects")</f>
        <v>Methods and systems for providing sports intelligent devices with data analysis, artificial intelligence, and Internet of Things fitness projects</v>
      </c>
    </row>
    <row r="3485" spans="1:5" ht="15" x14ac:dyDescent="0.25">
      <c r="A3485" s="5" t="s">
        <v>9765</v>
      </c>
      <c r="B3485" s="6" t="s">
        <v>9766</v>
      </c>
      <c r="C3485" s="3" t="str">
        <f ca="1">IFERROR(__xludf.DUMMYFUNCTION("GOOGLETRANSLATE(B3485,""auto"",""en"")"),"The present invention involves a self -service sales machine, especially a badminton self -service vending machine, including the body, the body has a ball port. Among them, the body is equipped with a storage device, a ball -catching device, a load -bear"&amp;"ing base at the bottom of the body, and there are people in the body. Machinery interactive control system, human -machine interaction control system is connected with the ball -storage device, and the ball -catching device. The present invention can real"&amp;"ize the automatic sale of badminton, reduce the cost of labor, ensure the rationality of the price, and remove the low -sales balls to remove the convenience and improve the convenience of automatic operation and product profits.")</f>
        <v>The present invention involves a self -service sales machine, especially a badminton self -service vending machine, including the body, the body has a ball port. Among them, the body is equipped with a storage device, a ball -catching device, a load -bearing base at the bottom of the body, and there are people in the body. Machinery interactive control system, human -machine interaction control system is connected with the ball -storage device, and the ball -catching device. The present invention can realize the automatic sale of badminton, reduce the cost of labor, ensure the rationality of the price, and remove the low -sales balls to remove the convenience and improve the convenience of automatic operation and product profits.</v>
      </c>
      <c r="D3485" s="6" t="s">
        <v>9767</v>
      </c>
      <c r="E3485" s="4" t="str">
        <f ca="1">IFERROR(__xludf.DUMMYFUNCTION("GOOGLETRANSLATE(D3485,""auto"",""en"")"),"A badminton self -service sales machine")</f>
        <v>A badminton self -service sales machine</v>
      </c>
    </row>
    <row r="3486" spans="1:5" ht="15" x14ac:dyDescent="0.25">
      <c r="A3486" s="5" t="s">
        <v>9768</v>
      </c>
      <c r="B3486" s="6" t="s">
        <v>9769</v>
      </c>
      <c r="C3486" s="3" t="str">
        <f ca="1">IFERROR(__xludf.DUMMYFUNCTION("GOOGLETRANSLATE(B3486,""auto"",""en"")"),"The present invention provides a self -help borrowing system for electronic swimming utensils, including cloud operation business management platforms, user terminals, operation and maintenance terminals, and multiple self -service backfaming cabinets. Te"&amp;"rminal computer system and site control terminal human -machine interaction displays; of which user terminals and operating terminal connecting cloud operation business management platforms; self -help borrowing cabinets to receive request instructions; s"&amp;"ite control terminal computer systems are used to issue execution instructions according to the request instructions; swimming swimming The borrowing and repayment agencies are used by the storage, pickup, repayment, and feedback execution instructions fo"&amp;"r the storage, pickup, returning, and feedback of the device; the site control terminal human -machine interaction displays are used to realize human -machine interaction. The present invention saves time and effort by adding self -service borrowing of th"&amp;"e cabinet; the rapid borrowing of swimming equipment through intelligent equipment is convenient and fast; combined with swimming venues and swimming utensils with life -saving function, it solves the safety of users' swimming safety and improves the swim"&amp;"ming swimming. pleasure.")</f>
        <v>The present invention provides a self -help borrowing system for electronic swimming utensils, including cloud operation business management platforms, user terminals, operation and maintenance terminals, and multiple self -service backfaming cabinets. Terminal computer system and site control terminal human -machine interaction displays; of which user terminals and operating terminal connecting cloud operation business management platforms; self -help borrowing cabinets to receive request instructions; site control terminal computer systems are used to issue execution instructions according to the request instructions; swimming swimming The borrowing and repayment agencies are used by the storage, pickup, repayment, and feedback execution instructions for the storage, pickup, returning, and feedback of the device; the site control terminal human -machine interaction displays are used to realize human -machine interaction. The present invention saves time and effort by adding self -service borrowing of the cabinet; the rapid borrowing of swimming equipment through intelligent equipment is convenient and fast; combined with swimming venues and swimming utensils with life -saving function, it solves the safety of users' swimming safety and improves the swimming swimming. pleasure.</v>
      </c>
      <c r="D3486" s="6" t="s">
        <v>9770</v>
      </c>
      <c r="E3486" s="4" t="str">
        <f ca="1">IFERROR(__xludf.DUMMYFUNCTION("GOOGLETRANSLATE(D3486,""auto"",""en"")"),"Electronic swimming utensil equipment self -help borrowing system and method")</f>
        <v>Electronic swimming utensil equipment self -help borrowing system and method</v>
      </c>
    </row>
    <row r="3487" spans="1:5" ht="15" x14ac:dyDescent="0.25">
      <c r="A3487" s="5" t="s">
        <v>9771</v>
      </c>
      <c r="B3487" s="6" t="s">
        <v>9772</v>
      </c>
      <c r="C3487" s="3" t="str">
        <f ca="1">IFERROR(__xludf.DUMMYFUNCTION("GOOGLETRANSLATE(B3487,""auto"",""en"")"),"This utility model involves a self -service sales machine, especially a badminton self -service vending machine, including the body, the body has a ball outlet, which is equipped with a ball -storage device, a ball grabbing device, a load -bearing base at"&amp;" the bottom of the body. Some human -machine interactive control systems, human -machine interaction control systems with storage devices, and ball -catching devices. This practical new model can realize the automatic sale of badminton, reduce labor costs"&amp;", ensure the rationality of prices, and remove low -sales balls to remove the convenience and improve the convenience of automatic operation and product profits.")</f>
        <v>This utility model involves a self -service sales machine, especially a badminton self -service vending machine, including the body, the body has a ball outlet, which is equipped with a ball -storage device, a ball grabbing device, a load -bearing base at the bottom of the body. Some human -machine interactive control systems, human -machine interaction control systems with storage devices, and ball -catching devices. This practical new model can realize the automatic sale of badminton, reduce labor costs, ensure the rationality of prices, and remove low -sales balls to remove the convenience and improve the convenience of automatic operation and product profits.</v>
      </c>
      <c r="D3487" s="6" t="s">
        <v>9767</v>
      </c>
      <c r="E3487" s="4" t="str">
        <f ca="1">IFERROR(__xludf.DUMMYFUNCTION("GOOGLETRANSLATE(D3487,""auto"",""en"")"),"A badminton self -service sales machine")</f>
        <v>A badminton self -service sales machine</v>
      </c>
    </row>
    <row r="3488" spans="1:5" ht="15" x14ac:dyDescent="0.25">
      <c r="A3488" s="5" t="s">
        <v>9773</v>
      </c>
      <c r="B3488" s="6" t="s">
        <v>9774</v>
      </c>
      <c r="C3488" s="3" t="str">
        <f ca="1">IFERROR(__xludf.DUMMYFUNCTION("GOOGLETRANSLATE(B3488,""auto"",""en"")"),"This utility model is suitable for the field of treadmill technology. A kind of artificial intelligence automatic speed adjustment treadmill is disclosed, including racks and seat seats. The front end of the body is connected to the connection with a acti"&amp;"ve shaft. The rear end of the body is set to measure the distance between the distance between the distance between the user, and the laser rangefinder is connected to the motor drive; the rack also has a gesture recognition camera that is used to identif"&amp;"y the user gesture. The gesture recognition camera is connected through the cable connection In the motor drive, the gesture recognition camera has infrared light built -in. A kind of artificial intelligence automatic speed treadmill provided by this util"&amp;"ity model does not require users to stop using the button to adjust the speed. The user experience is good. The gesture recognition camera has infrared lights built -in, and the accuracy of recognition is high.")</f>
        <v>This utility model is suitable for the field of treadmill technology. A kind of artificial intelligence automatic speed adjustment treadmill is disclosed, including racks and seat seats. The front end of the body is connected to the connection with a active shaft. The rear end of the body is set to measure the distance between the distance between the distance between the user, and the laser rangefinder is connected to the motor drive; the rack also has a gesture recognition camera that is used to identify the user gesture. The gesture recognition camera is connected through the cable connection In the motor drive, the gesture recognition camera has infrared light built -in. A kind of artificial intelligence automatic speed treadmill provided by this utility model does not require users to stop using the button to adjust the speed. The user experience is good. The gesture recognition camera has infrared lights built -in, and the accuracy of recognition is high.</v>
      </c>
      <c r="D3488" s="6" t="s">
        <v>9775</v>
      </c>
      <c r="E3488" s="4" t="str">
        <f ca="1">IFERROR(__xludf.DUMMYFUNCTION("GOOGLETRANSLATE(D3488,""auto"",""en"")"),"A kind of artificial intelligence automatic speed treadmill")</f>
        <v>A kind of artificial intelligence automatic speed treadmill</v>
      </c>
    </row>
    <row r="3489" spans="1:5" ht="15" x14ac:dyDescent="0.25">
      <c r="A3489" s="5" t="s">
        <v>9776</v>
      </c>
      <c r="B3489" s="6" t="s">
        <v>9777</v>
      </c>
      <c r="C3489" s="3" t="str">
        <f ca="1">IFERROR(__xludf.DUMMYFUNCTION("GOOGLETRANSLATE(B3489,""auto"",""en"")"),"The present invention disclosed an operating platform and operating method for driving testing students' appointment training, including student mobile terminal APP, coaching mobile terminal app, simulation driver, background management system, map server"&amp;", student mobile terminal app, coach mobile terminal The APP and the background management system perform data transmission through the wireless network, simulating the data transmission through the network between the driver, the map server and the backg"&amp;"round management system. Student mobile terminal apps can make an appointment for simulation driving exercise courses, outdoor real car exercises, and analyze the errors and results in the simulation driving exercise course; the coach mobile terminal app "&amp;"can make an appointment for outdoor real car exercise courses; Real car modification or mechanical equipment with real car appearance, combined with virtual reality technology restore the real traffic environment, and record the simulation driving exercis"&amp;"e process information in real time; system managers can achieve the Internet+artificial intelligence management effects through the background management system.")</f>
        <v>The present invention disclosed an operating platform and operating method for driving testing students' appointment training, including student mobile terminal APP, coaching mobile terminal app, simulation driver, background management system, map server, student mobile terminal app, coach mobile terminal The APP and the background management system perform data transmission through the wireless network, simulating the data transmission through the network between the driver, the map server and the background management system. Student mobile terminal apps can make an appointment for simulation driving exercise courses, outdoor real car exercises, and analyze the errors and results in the simulation driving exercise course; the coach mobile terminal app can make an appointment for outdoor real car exercise courses; Real car modification or mechanical equipment with real car appearance, combined with virtual reality technology restore the real traffic environment, and record the simulation driving exercise process information in real time; system managers can achieve the Internet+artificial intelligence management effects through the background management system.</v>
      </c>
      <c r="D3489" s="6" t="s">
        <v>9778</v>
      </c>
      <c r="E3489" s="4" t="str">
        <f ca="1">IFERROR(__xludf.DUMMYFUNCTION("GOOGLETRANSLATE(D3489,""auto"",""en"")"),"An operating platform and operating method for appointment training for driving test students")</f>
        <v>An operating platform and operating method for appointment training for driving test students</v>
      </c>
    </row>
    <row r="3490" spans="1:5" ht="15" x14ac:dyDescent="0.25">
      <c r="A3490" s="5" t="s">
        <v>9779</v>
      </c>
      <c r="B3490" s="6" t="s">
        <v>9780</v>
      </c>
      <c r="C3490" s="3" t="str">
        <f ca="1">IFERROR(__xludf.DUMMYFUNCTION("GOOGLETRANSLATE(B3490,""auto"",""en"")"),"A smart ball, system and methods are made public. The smart ball system detects the three -axis acceleration variable and three -axis angle speed variables of the sphere (10) through the six -axis inertial sensor (12). Then use the acceleration of the neu"&amp;"ral network to calculate the acceleration caused by the centripetal force, and finally calculate the actual three -axis acceleration and the actual three -axis angle speed based on the acceleration generated by the centripetal force, the corrected three -"&amp;"axis acceleration, and the three -axis angle speed. The smart ball provides a new acceleration variable, angular velocity variables and centripetal force, thereby providing a more accurate data basis for improving the special ability of athletes.")</f>
        <v>A smart ball, system and methods are made public. The smart ball system detects the three -axis acceleration variable and three -axis angle speed variables of the sphere (10) through the six -axis inertial sensor (12). Then use the acceleration of the neural network to calculate the acceleration caused by the centripetal force, and finally calculate the actual three -axis acceleration and the actual three -axis angle speed based on the acceleration generated by the centripetal force, the corrected three -axis acceleration, and the three -axis angle speed. The smart ball provides a new acceleration variable, angular velocity variables and centripetal force, thereby providing a more accurate data basis for improving the special ability of athletes.</v>
      </c>
      <c r="D3490" s="6" t="s">
        <v>9781</v>
      </c>
      <c r="E3490" s="4" t="str">
        <f ca="1">IFERROR(__xludf.DUMMYFUNCTION("GOOGLETRANSLATE(D3490,""auto"",""en"")"),"A smart ball, system and method")</f>
        <v>A smart ball, system and method</v>
      </c>
    </row>
    <row r="3491" spans="1:5" ht="15" x14ac:dyDescent="0.25">
      <c r="A3491" s="5" t="s">
        <v>9782</v>
      </c>
      <c r="B3491" s="6" t="s">
        <v>9783</v>
      </c>
      <c r="C3491" s="3" t="str">
        <f ca="1">IFERROR(__xludf.DUMMYFUNCTION("GOOGLETRANSLATE(B3491,""auto"",""en"")"),"The invention discloses a kind of IoT electronic intelligent control home fitness facilities. The structure includes the controller, which has electronic display, speakers, and switching key on the upper surface of the controller. In the middle of the dev"&amp;"ice, the speaker is fixed connected to the left and right sides of the electronic display screen. The key activity is connected to the middle of the electronic display screen; The body condition sensor, the power cord is fixed to the left and right sides "&amp;"of the controller, and the body condition sensor is fixed to the end of the power cord. Through the design of the physical sensor, it can effectively monitor the condition of the human body. It is convenient for users to observe their condition during exe"&amp;"rcise. It increases the multifunctional nature of fitness facilities. The design of the module through the motion evaluation module can also be used to users. The evaluation of the exercise effect allows users to fully grasp the efficiency of exercise.")</f>
        <v>The invention discloses a kind of IoT electronic intelligent control home fitness facilities. The structure includes the controller, which has electronic display, speakers, and switching key on the upper surface of the controller. In the middle of the device, the speaker is fixed connected to the left and right sides of the electronic display screen. The key activity is connected to the middle of the electronic display screen; The body condition sensor, the power cord is fixed to the left and right sides of the controller, and the body condition sensor is fixed to the end of the power cord. Through the design of the physical sensor, it can effectively monitor the condition of the human body. It is convenient for users to observe their condition during exercise. It increases the multifunctional nature of fitness facilities. The design of the module through the motion evaluation module can also be used to users. The evaluation of the exercise effect allows users to fully grasp the efficiency of exercise.</v>
      </c>
      <c r="D3491" s="6" t="s">
        <v>9784</v>
      </c>
      <c r="E3491" s="4" t="str">
        <f ca="1">IFERROR(__xludf.DUMMYFUNCTION("GOOGLETRANSLATE(D3491,""auto"",""en"")"),"A kind of Internet of Things electronic intelligent control home fitness facilities")</f>
        <v>A kind of Internet of Things electronic intelligent control home fitness facilities</v>
      </c>
    </row>
    <row r="3492" spans="1:5" ht="15" x14ac:dyDescent="0.25">
      <c r="A3492" s="5" t="s">
        <v>9785</v>
      </c>
      <c r="B3492" s="6" t="s">
        <v>9786</v>
      </c>
      <c r="C3492" s="3" t="str">
        <f ca="1">IFERROR(__xludf.DUMMYFUNCTION("GOOGLETRANSLATE(B3492,""auto"",""en"")"),"This utility model provides a swimming ring, including the main body and remote control of the swimming ring; the remote control includes: microphone, voice recognition module, wireless launch module; Electrical connection; the main body of the swimming r"&amp;"ing includes: wireless receiving module, control module, and driving module; the wireless receiving module, the control module, and the driving module are electrically connected in turn; The voice information collected by the microphone is transformed int"&amp;"o a control instruction; the wireless launch module is used to send the description to the wireless receiving module; The driving module is operated to achieve the main body of the swimming ring in the water. The swimming ring can control the movement of "&amp;"the swimming ring in the water through the voice command. The function is novel and interesting, which can bring great fun to swimming.")</f>
        <v>This utility model provides a swimming ring, including the main body and remote control of the swimming ring; the remote control includes: microphone, voice recognition module, wireless launch module; Electrical connection; the main body of the swimming ring includes: wireless receiving module, control module, and driving module; the wireless receiving module, the control module, and the driving module are electrically connected in turn; The voice information collected by the microphone is transformed into a control instruction; the wireless launch module is used to send the description to the wireless receiving module; The driving module is operated to achieve the main body of the swimming ring in the water. The swimming ring can control the movement of the swimming ring in the water through the voice command. The function is novel and interesting, which can bring great fun to swimming.</v>
      </c>
      <c r="D3492" s="6" t="s">
        <v>9787</v>
      </c>
      <c r="E3492" s="4" t="str">
        <f ca="1">IFERROR(__xludf.DUMMYFUNCTION("GOOGLETRANSLATE(D3492,""auto"",""en"")"),"Swimming ring")</f>
        <v>Swimming ring</v>
      </c>
    </row>
    <row r="3493" spans="1:5" ht="15" x14ac:dyDescent="0.25">
      <c r="A3493" s="5" t="s">
        <v>9788</v>
      </c>
      <c r="B3493" s="6" t="s">
        <v>9789</v>
      </c>
      <c r="C3493" s="3" t="str">
        <f ca="1">IFERROR(__xludf.DUMMYFUNCTION("GOOGLETRANSLATE(B3493,""auto"",""en"")"),"The present invention provides a spray system and its implementation method. The spray system includes spraying device, liquid uniformly sealing and placing device, gas source provision device, human -machine interaction unit and server. Among them, the o"&amp;"perator transmits the specific operation information to the server through the human -computer interconnection unit. The operation information, the gas source provides the device to provide gas in the uniformly display device of the spray liquid. The liqu"&amp;"id uniformly sealing device is used to seal the spray liquid and stir it evenly. Spray operation and return the liquid after the operation stops. The present invention improves the efficiency of spray operation and eliminates the hidden dangers of spray o"&amp;"peration accidents.")</f>
        <v>The present invention provides a spray system and its implementation method. The spray system includes spraying device, liquid uniformly sealing and placing device, gas source provision device, human -machine interaction unit and server. Among them, the operator transmits the specific operation information to the server through the human -computer interconnection unit. The operation information, the gas source provides the device to provide gas in the uniformly display device of the spray liquid. The liquid uniformly sealing device is used to seal the spray liquid and stir it evenly. Spray operation and return the liquid after the operation stops. The present invention improves the efficiency of spray operation and eliminates the hidden dangers of spray operation accidents.</v>
      </c>
      <c r="D3493" s="6" t="s">
        <v>9790</v>
      </c>
      <c r="E3493" s="4" t="str">
        <f ca="1">IFERROR(__xludf.DUMMYFUNCTION("GOOGLETRANSLATE(D3493,""auto"",""en"")"),"A spray system and its implementation method")</f>
        <v>A spray system and its implementation method</v>
      </c>
    </row>
    <row r="3494" spans="1:5" ht="15" x14ac:dyDescent="0.25">
      <c r="A3494" s="5" t="s">
        <v>9791</v>
      </c>
      <c r="B3494" s="6" t="s">
        <v>9792</v>
      </c>
      <c r="C3494" s="3" t="str">
        <f ca="1">IFERROR(__xludf.DUMMYFUNCTION("GOOGLETRANSLATE(B3494,""auto"",""en"")"),"Provides a recommendation device and method of curling competition strategy. Among them, the recommendation device of the curling competition strategy includes storage application deep learning and Monte Carlo tree search technology, the storage of the st"&amp;"orage of the curling competition, and the processor, as well as the processor, and the processor, and the processor Perform the program stored in memory, analyze and execute the program based on the strategic analysis of the curling competition, identify "&amp;"the image of the curling competition in progress, identify the scheduled game information information, and collect from the record data through deep learning and through deep learning and Monte Carlo tree search technology learns data and game information"&amp;", establish a strategic recommendation model, and predict the information corresponding to one or more strategies corresponding to the game information of the game information.")</f>
        <v>Provides a recommendation device and method of curling competition strategy. Among them, the recommendation device of the curling competition strategy includes storage application deep learning and Monte Carlo tree search technology, the storage of the storage of the curling competition, and the processor, as well as the processor, and the processor, and the processor Perform the program stored in memory, analyze and execute the program based on the strategic analysis of the curling competition, identify the image of the curling competition in progress, identify the scheduled game information information, and collect from the record data through deep learning and through deep learning and Monte Carlo tree search technology learns data and game information, establish a strategic recommendation model, and predict the information corresponding to one or more strategies corresponding to the game information of the game information.</v>
      </c>
      <c r="D3494" s="6" t="s">
        <v>9793</v>
      </c>
      <c r="E3494" s="4" t="str">
        <f ca="1">IFERROR(__xludf.DUMMYFUNCTION("GOOGLETRANSLATE(D3494,""auto"",""en"")"),"Recommended device and methods based on deep learning strategies")</f>
        <v>Recommended device and methods based on deep learning strategies</v>
      </c>
    </row>
    <row r="3495" spans="1:5" ht="15" x14ac:dyDescent="0.25">
      <c r="A3495" s="5" t="s">
        <v>9794</v>
      </c>
      <c r="B3495" s="6" t="s">
        <v>9795</v>
      </c>
      <c r="C3495" s="3" t="str">
        <f ca="1">IFERROR(__xludf.DUMMYFUNCTION("GOOGLETRANSLATE(B3495,""auto"",""en"")"),"Provides a device and method that generates curling competition strategies. This device includes a processor that stores the strategy analysis and generates the memory of the programs and the processor of the program storage in the memory. According to th"&amp;"e execution of the program, the strategy generation model recognizes the scheduled game information by identifying the image of the curling competition that is underway, and collects learning from the record data of multiple curling competitions previousl"&amp;"y held through the preset machine learning. data. , Through the strategy generation model generation and identified competition information, one or more strategies corresponding to the information information information, output the recommendation informa"&amp;"tion of the strategy for generating, record the data of the previous curling competitions, image information and text information held before At least one.")</f>
        <v>Provides a device and method that generates curling competition strategies. This device includes a processor that stores the strategy analysis and generates the memory of the programs and the processor of the program storage in the memory. According to the execution of the program, the strategy generation model recognizes the scheduled game information by identifying the image of the curling competition that is underway, and collects learning from the record data of multiple curling competitions previously held through the preset machine learning. data. , Through the strategy generation model generation and identified competition information, one or more strategies corresponding to the information information information, output the recommendation information of the strategy for generating, record the data of the previous curling competitions, image information and text information held before At least one.</v>
      </c>
      <c r="D3495" s="6" t="s">
        <v>9796</v>
      </c>
      <c r="E3495" s="4" t="str">
        <f ca="1">IFERROR(__xludf.DUMMYFUNCTION("GOOGLETRANSLATE(D3495,""auto"",""en"")"),"Curling competition strategy generation device and method")</f>
        <v>Curling competition strategy generation device and method</v>
      </c>
    </row>
    <row r="3496" spans="1:5" ht="15" x14ac:dyDescent="0.25">
      <c r="A3496" s="5" t="s">
        <v>9797</v>
      </c>
      <c r="B3496" s="6" t="s">
        <v>9798</v>
      </c>
      <c r="C3496" s="3" t="str">
        <f ca="1">IFERROR(__xludf.DUMMYFUNCTION("GOOGLETRANSLATE(B3496,""auto"",""en"")"),"This utility model discloses a device for statistical sports competition information, including the central processor and voice collection module connecting to the central processor communication, voice recognition module, display module, storage module a"&amp;"nd communication module, voice collection module for use Enter the voice command; the voice recognition module includes the pre -processing unit, the text conversion unit, and the textbook inspection unit. The device is used to send technical information "&amp;"to the display module and the storage module. This utility model has strong applicability, transforms the input operation into a voice command, the device recognition command and convert it into technical statistical operations, which can make comprehensi"&amp;"ve statistics of the player's field behavior; save the cost of manpower in the competition. Voice commands, strong anti -interference ability, offline command technology, without traffic consumption.")</f>
        <v>This utility model discloses a device for statistical sports competition information, including the central processor and voice collection module connecting to the central processor communication, voice recognition module, display module, storage module and communication module, voice collection module for use Enter the voice command; the voice recognition module includes the pre -processing unit, the text conversion unit, and the textbook inspection unit. The device is used to send technical information to the display module and the storage module. This utility model has strong applicability, transforms the input operation into a voice command, the device recognition command and convert it into technical statistical operations, which can make comprehensive statistics of the player's field behavior; save the cost of manpower in the competition. Voice commands, strong anti -interference ability, offline command technology, without traffic consumption.</v>
      </c>
      <c r="D3496" s="6" t="s">
        <v>9799</v>
      </c>
      <c r="E3496" s="4" t="str">
        <f ca="1">IFERROR(__xludf.DUMMYFUNCTION("GOOGLETRANSLATE(D3496,""auto"",""en"")"),"Statistical installation of ball sports competition information")</f>
        <v>Statistical installation of ball sports competition information</v>
      </c>
    </row>
    <row r="3497" spans="1:5" ht="15" x14ac:dyDescent="0.25">
      <c r="A3497" s="5" t="s">
        <v>9800</v>
      </c>
      <c r="B3497" s="6" t="s">
        <v>9801</v>
      </c>
      <c r="C3497" s="3" t="str">
        <f ca="1">IFERROR(__xludf.DUMMYFUNCTION("GOOGLETRANSLATE(B3497,""auto"",""en"")"),"The invention provides a remote fitness guidance system based on IoT technology. The present invention includes a sports equipment set on the user side. The motion equipment is set on the motion equipment. The data collection device is set to connect the "&amp;"user terminal controller. The user -side controller is connected to the guidance center server through the Internet. The present invention is not limited by time and place. Fitness enthusiasts can arrange fitness at home or nearby according to their own t"&amp;"ime and be able to receive professional guidance at any time. At the same time, the cost is low to meet the needs of most fitness enthusiasts.")</f>
        <v>The invention provides a remote fitness guidance system based on IoT technology. The present invention includes a sports equipment set on the user side. The motion equipment is set on the motion equipment. The data collection device is set to connect the user terminal controller. The user -side controller is connected to the guidance center server through the Internet. The present invention is not limited by time and place. Fitness enthusiasts can arrange fitness at home or nearby according to their own time and be able to receive professional guidance at any time. At the same time, the cost is low to meet the needs of most fitness enthusiasts.</v>
      </c>
      <c r="D3497" s="6" t="s">
        <v>9802</v>
      </c>
      <c r="E3497" s="4" t="str">
        <f ca="1">IFERROR(__xludf.DUMMYFUNCTION("GOOGLETRANSLATE(D3497,""auto"",""en"")"),"Remote fitness guidance system based on IoT technology")</f>
        <v>Remote fitness guidance system based on IoT technology</v>
      </c>
    </row>
    <row r="3498" spans="1:5" ht="15" x14ac:dyDescent="0.25">
      <c r="A3498" s="5" t="s">
        <v>9803</v>
      </c>
      <c r="B3498" s="6" t="s">
        <v>9804</v>
      </c>
      <c r="C3498" s="3" t="str">
        <f ca="1">IFERROR(__xludf.DUMMYFUNCTION("GOOGLETRANSLATE(B3498,""auto"",""en"")"),"1. The name of the product designed this product: for the graphic user interface for mobile phones (quiz in the live broadcast room).
 2. The purpose of designing products in this exterior: The design of the product in this exterior is used for running "&amp;"programs and communication.
 3. The design points of the design of the product in this exterior: lies in the graphic user interface in the screen, and the red wire frame is the interface area.
 4. The most important picture or photo of the design desi"&amp;"gn of this appearance: main view.
 5. Eligible view: mobile phones are commonly designed, omit other views.
 6. Interface use: Used to provide viewers to participate in the results of the competition results.
 ""X"" in the interface means replacing "&amp;"content.
 The gray coating area is the content picture.
 Change status diagram 1 is displayed by the main view of human -machine interaction (for example, click on the main view of the main view). Figure 3 from the change of state Figure 2 Motor the h"&amp;"uman -computer interaction (for example, click pull the arrow in the B subordinate).")</f>
        <v>1. The name of the product designed this product: for the graphic user interface for mobile phones (quiz in the live broadcast room).
 2. The purpose of designing products in this exterior: The design of the product in this exterior is used for running programs and communication.
 3. The design points of the design of the product in this exterior: lies in the graphic user interface in the screen, and the red wire frame is the interface area.
 4. The most important picture or photo of the design design of this appearance: main view.
 5. Eligible view: mobile phones are commonly designed, omit other views.
 6. Interface use: Used to provide viewers to participate in the results of the competition results.
 "X" in the interface means replacing content.
 The gray coating area is the content picture.
 Change status diagram 1 is displayed by the main view of human -machine interaction (for example, click on the main view of the main view). Figure 3 from the change of state Figure 2 Motor the human -computer interaction (for example, click pull the arrow in the B subordinate).</v>
      </c>
      <c r="D3498" s="6" t="s">
        <v>9805</v>
      </c>
      <c r="E3498" s="4" t="str">
        <f ca="1">IFERROR(__xludf.DUMMYFUNCTION("GOOGLETRANSLATE(D3498,""auto"",""en"")"),"The graphic user interface used for mobile phones (quiz in the live broadcast room)")</f>
        <v>The graphic user interface used for mobile phones (quiz in the live broadcast room)</v>
      </c>
    </row>
    <row r="3499" spans="1:5" ht="15" x14ac:dyDescent="0.25">
      <c r="A3499" s="5" t="s">
        <v>9806</v>
      </c>
      <c r="B3499" s="6" t="s">
        <v>9807</v>
      </c>
      <c r="C3499" s="3" t="str">
        <f ca="1">IFERROR(__xludf.DUMMYFUNCTION("GOOGLETRANSLATE(B3499,""auto"",""en"")"),"The present invention discloses a method and device for statistical sports game information, including steps: get the event information: created or inspect the created competition; inspection obtains player information; Set the voice input rules input the"&amp;" voice command, obtain voice data, obtain text data after voice recognition; according to text data statistical technical information: according to the verified text data statistical technical movement and action results; Later, submit event information, "&amp;"player information and technical information. The method of the present invention is strong, and the operation is transformed into a voice command. The system recognizes the command and converts it into technical statistical operations to make comprehensi"&amp;"ve statistics on the player's field behavior. , Strong anti -jamming ability, with offline command technology, no traffic consumption.")</f>
        <v>The present invention discloses a method and device for statistical sports game information, including steps: get the event information: created or inspect the created competition; inspection obtains player information; Set the voice input rules input the voice command, obtain voice data, obtain text data after voice recognition; according to text data statistical technical information: according to the verified text data statistical technical movement and action results; Later, submit event information, player information and technical information. The method of the present invention is strong, and the operation is transformed into a voice command. The system recognizes the command and converts it into technical statistical operations to make comprehensive statistics on the player's field behavior. , Strong anti -jamming ability, with offline command technology, no traffic consumption.</v>
      </c>
      <c r="D3499" s="6" t="s">
        <v>9808</v>
      </c>
      <c r="E3499" s="4" t="str">
        <f ca="1">IFERROR(__xludf.DUMMYFUNCTION("GOOGLETRANSLATE(D3499,""auto"",""en"")"),"Methods and devices of statistical ball sports competition information")</f>
        <v>Methods and devices of statistical ball sports competition information</v>
      </c>
    </row>
    <row r="3500" spans="1:5" ht="15" x14ac:dyDescent="0.25">
      <c r="A3500" s="5" t="s">
        <v>9809</v>
      </c>
      <c r="B3500" s="6" t="s">
        <v>9810</v>
      </c>
      <c r="C3500" s="3" t="str">
        <f ca="1">IFERROR(__xludf.DUMMYFUNCTION("GOOGLETRANSLATE(B3500,""auto"",""en"")"),"The purpose of the present invention is to provide an operation support device that can be implemented with low cost and simple control and the operator can easily use the operating support function.
  Solution: When a transport vehicle around 31 taken "&amp;"by the image recognition hydraulic excavator 1 based on the image of the camera 28, the bird's -eye view image of the transport vehicle 31 relative to the position of the vehicle 1 will be created and displayed on the monitor 29. At the same time, the top"&amp;" of the container 31A of the carrier 31 is determined to turn the target to the stop position. Looking down at the position relationship between the hydraulic excavator in the image and the Table Car 31, it is accompanied by the turning of the upper part "&amp;"of the rotary operating rod 18. When the operating rotation rotor is 18, the brake angle θ of the braking angle θ from the rod operation to the upper rectangular 5 stops, and the target turn is based on the braking angle θ. The display indicates the label"&amp;" 32 of the rotating stop prediction location, and the operator judges the stoppage time of the rod operation based on the display.
  【Selection Figure】 Figure 4")</f>
        <v>The purpose of the present invention is to provide an operation support device that can be implemented with low cost and simple control and the operator can easily use the operating support function.
  Solution: When a transport vehicle around 31 taken by the image recognition hydraulic excavator 1 based on the image of the camera 28, the bird's -eye view image of the transport vehicle 31 relative to the position of the vehicle 1 will be created and displayed on the monitor 29. At the same time, the top of the container 31A of the carrier 31 is determined to turn the target to the stop position. Looking down at the position relationship between the hydraulic excavator in the image and the Table Car 31, it is accompanied by the turning of the upper part of the rotary operating rod 18. When the operating rotation rotor is 18, the brake angle θ of the braking angle θ from the rod operation to the upper rectangular 5 stops, and the target turn is based on the braking angle θ. The display indicates the label 32 of the rotating stop prediction location, and the operator judges the stoppage time of the rod operation based on the display.
  【Selection Figure】 Figure 4</v>
      </c>
      <c r="D3500" s="6" t="s">
        <v>9811</v>
      </c>
      <c r="E3500" s="4" t="str">
        <f ca="1">IFERROR(__xludf.DUMMYFUNCTION("GOOGLETRANSLATE(D3500,""auto"",""en"")"),"Rotate operation auxiliary device")</f>
        <v>Rotate operation auxiliary device</v>
      </c>
    </row>
    <row r="3501" spans="1:5" ht="15" x14ac:dyDescent="0.25">
      <c r="A3501" s="5" t="s">
        <v>9812</v>
      </c>
      <c r="B3501" s="6" t="s">
        <v>9813</v>
      </c>
      <c r="C3501" s="3" t="str">
        <f ca="1">IFERROR(__xludf.DUMMYFUNCTION("GOOGLETRANSLATE(B3501,""auto"",""en"")"),"This disclosure involves the fifth -generation (5G) communication system and system integration of the fifth -generation (5G) communication system and the Internet of Things (IoT) technology that will support the fourth -generation (4G) system. The presen"&amp;"t invention can be applied to smart services based on 5G communication technology and IoT related technologies, such as smart homes, smart buildings, smart cities, smart cars, interconnected cars, medical care, digital education, smart retail, security an"&amp;"d security services. In one embodiment, the operation method of the terminal providing streaming services includes: to detect streaming operations for streaming media services, based on the detected streaming operation execution of streaming media acceler"&amp;"ation, and sharing with server sharing and streaming media acceleration. rule.")</f>
        <v>This disclosure involves the fifth -generation (5G) communication system and system integration of the fifth -generation (5G) communication system and the Internet of Things (IoT) technology that will support the fourth -generation (4G) system. The present invention can be applied to smart services based on 5G communication technology and IoT related technologies, such as smart homes, smart buildings, smart cities, smart cars, interconnected cars, medical care, digital education, smart retail, security and security services. In one embodiment, the operation method of the terminal providing streaming services includes: to detect streaming operations for streaming media services, based on the detected streaming operation execution of streaming media acceleration, and sharing with server sharing and streaming media acceleration. rule.</v>
      </c>
      <c r="D3501" s="6" t="s">
        <v>9814</v>
      </c>
      <c r="E3501" s="4" t="str">
        <f ca="1">IFERROR(__xludf.DUMMYFUNCTION("GOOGLETRANSLATE(D3501,""auto"",""en"")"),"Device and methods of providing streaming media services")</f>
        <v>Device and methods of providing streaming media services</v>
      </c>
    </row>
    <row r="3502" spans="1:5" ht="15" x14ac:dyDescent="0.25">
      <c r="A3502" s="5" t="s">
        <v>9815</v>
      </c>
      <c r="B3502" s="6" t="s">
        <v>9816</v>
      </c>
      <c r="C3502" s="3" t="str">
        <f ca="1">IFERROR(__xludf.DUMMYFUNCTION("GOOGLETRANSLATE(B3502,""auto"",""en"")"),"Automation systems provide athletes to track and evaluate performance. Tracking athletes during the performance of the motion and applied the location data of the performance to the artificial neural network (Ann) trained by reference dataset training tha"&amp;"t recorded the motion. Use artificial neural networks to determine the ranking data of performance, where the ranking data indicates the relationship between the performance of the movement of the movement and the subset of multiple records of the motion."&amp;" Based on ranking data, it can present athletes to evaluation of performance, guidance of subsequent actions, and suggestions to improve athlete performance.")</f>
        <v>Automation systems provide athletes to track and evaluate performance. Tracking athletes during the performance of the motion and applied the location data of the performance to the artificial neural network (Ann) trained by reference dataset training that recorded the motion. Use artificial neural networks to determine the ranking data of performance, where the ranking data indicates the relationship between the performance of the movement of the movement and the subset of multiple records of the motion. Based on ranking data, it can present athletes to evaluation of performance, guidance of subsequent actions, and suggestions to improve athlete performance.</v>
      </c>
      <c r="D3502" s="6" t="s">
        <v>9817</v>
      </c>
      <c r="E3502" s="4" t="str">
        <f ca="1">IFERROR(__xludf.DUMMYFUNCTION("GOOGLETRANSLATE(D3502,""auto"",""en"")"),"Evaluation and guidance for sports performance")</f>
        <v>Evaluation and guidance for sports performance</v>
      </c>
    </row>
    <row r="3503" spans="1:5" ht="15" x14ac:dyDescent="0.25">
      <c r="A3503" s="5" t="s">
        <v>9818</v>
      </c>
      <c r="B3503" s="6" t="s">
        <v>9816</v>
      </c>
      <c r="C3503" s="3" t="str">
        <f ca="1">IFERROR(__xludf.DUMMYFUNCTION("GOOGLETRANSLATE(B3503,""auto"",""en"")"),"Automation systems provide athletes to track and evaluate performance. Tracking athletes during the performance of the motion and applied the location data of the performance to the artificial neural network (Ann) trained by reference dataset training tha"&amp;"t recorded the motion. Use artificial neural networks to determine the ranking data of performance, where the ranking data indicates the relationship between the performance of the movement of the movement and the subset of multiple records of the motion."&amp;" Based on ranking data, it can present athletes to evaluation of performance, guidance of subsequent actions, and suggestions to improve athlete performance.")</f>
        <v>Automation systems provide athletes to track and evaluate performance. Tracking athletes during the performance of the motion and applied the location data of the performance to the artificial neural network (Ann) trained by reference dataset training that recorded the motion. Use artificial neural networks to determine the ranking data of performance, where the ranking data indicates the relationship between the performance of the movement of the movement and the subset of multiple records of the motion. Based on ranking data, it can present athletes to evaluation of performance, guidance of subsequent actions, and suggestions to improve athlete performance.</v>
      </c>
      <c r="D3503" s="6" t="s">
        <v>9817</v>
      </c>
      <c r="E3503" s="4" t="str">
        <f ca="1">IFERROR(__xludf.DUMMYFUNCTION("GOOGLETRANSLATE(D3503,""auto"",""en"")"),"Evaluation and guidance for sports performance")</f>
        <v>Evaluation and guidance for sports performance</v>
      </c>
    </row>
    <row r="3504" spans="1:5" ht="15" x14ac:dyDescent="0.25">
      <c r="A3504" s="5" t="s">
        <v>9819</v>
      </c>
      <c r="B3504" s="6" t="s">
        <v>9816</v>
      </c>
      <c r="C3504" s="3" t="str">
        <f ca="1">IFERROR(__xludf.DUMMYFUNCTION("GOOGLETRANSLATE(B3504,""auto"",""en"")"),"Automation systems provide athletes to track and evaluate performance. Tracking athletes during the performance of the motion and applied the location data of the performance to the artificial neural network (Ann) trained by reference dataset training tha"&amp;"t recorded the motion. Use artificial neural networks to determine the ranking data of performance, where the ranking data indicates the relationship between the performance of the movement of the movement and the subset of multiple records of the motion."&amp;" Based on ranking data, it can present athletes to evaluation of performance, guidance of subsequent actions, and suggestions to improve athlete performance.")</f>
        <v>Automation systems provide athletes to track and evaluate performance. Tracking athletes during the performance of the motion and applied the location data of the performance to the artificial neural network (Ann) trained by reference dataset training that recorded the motion. Use artificial neural networks to determine the ranking data of performance, where the ranking data indicates the relationship between the performance of the movement of the movement and the subset of multiple records of the motion. Based on ranking data, it can present athletes to evaluation of performance, guidance of subsequent actions, and suggestions to improve athlete performance.</v>
      </c>
      <c r="D3504" s="6" t="s">
        <v>9817</v>
      </c>
      <c r="E3504" s="4" t="str">
        <f ca="1">IFERROR(__xludf.DUMMYFUNCTION("GOOGLETRANSLATE(D3504,""auto"",""en"")"),"Evaluation and guidance for sports performance")</f>
        <v>Evaluation and guidance for sports performance</v>
      </c>
    </row>
    <row r="3505" spans="1:5" ht="15" x14ac:dyDescent="0.25">
      <c r="A3505" s="5" t="s">
        <v>9820</v>
      </c>
      <c r="B3505" s="6" t="s">
        <v>9821</v>
      </c>
      <c r="C3505" s="3" t="str">
        <f ca="1">IFERROR(__xludf.DUMMYFUNCTION("GOOGLETRANSLATE(B3505,""auto"",""en"")"),"Automation systems used to track and evaluate the performance of athletes. Tracking athletes during the performance of the movement and applied the location data of the performance to the artificial neural network (Ann) trained by reference data sets that"&amp;" recorded the motion. Use Ann to determine the level data of the performance, where the performance of the level of the level of the data indicates the relationship between the performance of the subset of multiple records of the motion. Based on grade da"&amp;"ta, it can present athletes to evaluate performance, instructions for subsequent movements, and suggestions for improving athletes.")</f>
        <v>Automation systems used to track and evaluate the performance of athletes. Tracking athletes during the performance of the movement and applied the location data of the performance to the artificial neural network (Ann) trained by reference data sets that recorded the motion. Use Ann to determine the level data of the performance, where the performance of the level of the level of the data indicates the relationship between the performance of the subset of multiple records of the motion. Based on grade data, it can present athletes to evaluate performance, instructions for subsequent movements, and suggestions for improving athletes.</v>
      </c>
      <c r="D3505" s="6" t="s">
        <v>9822</v>
      </c>
      <c r="E3505" s="4" t="str">
        <f ca="1">IFERROR(__xludf.DUMMYFUNCTION("GOOGLETRANSLATE(D3505,""auto"",""en"")"),"Evaluation and guidance for sports performance")</f>
        <v>Evaluation and guidance for sports performance</v>
      </c>
    </row>
    <row r="3506" spans="1:5" ht="15" x14ac:dyDescent="0.25">
      <c r="A3506" s="5" t="s">
        <v>9823</v>
      </c>
      <c r="B3506" s="6" t="s">
        <v>9824</v>
      </c>
      <c r="C3506" s="3" t="str">
        <f ca="1">IFERROR(__xludf.DUMMYFUNCTION("GOOGLETRANSLATE(B3506,""auto"",""en"")"),"Provide a method and system for the use of web content recommendation system to provide recommended editing methods and systems for the content of the webpage that is being constructed. It can be compared with the attributes associated with the placement "&amp;"of web pages that are being built to determine whether to predict that any editor will increase the effectiveness of the webpage. The predicted content can be the same or similar as the placement content added to the webpage. The predicted content can be "&amp;"taken from the same type of web pages (for example, the category can be a vertical sports product store or medical care provider), or it can be taken from the deployment page on the same website as the webpage. In this way, editors that can be determined "&amp;"based on predicted content can be determined and provided to users.")</f>
        <v>Provide a method and system for the use of web content recommendation system to provide recommended editing methods and systems for the content of the webpage that is being constructed. It can be compared with the attributes associated with the placement of web pages that are being built to determine whether to predict that any editor will increase the effectiveness of the webpage. The predicted content can be the same or similar as the placement content added to the webpage. The predicted content can be taken from the same type of web pages (for example, the category can be a vertical sports product store or medical care provider), or it can be taken from the deployment page on the same website as the webpage. In this way, editors that can be determined based on predicted content can be determined and provided to users.</v>
      </c>
      <c r="D3506" s="6" t="s">
        <v>9825</v>
      </c>
      <c r="E3506" s="4" t="str">
        <f ca="1">IFERROR(__xludf.DUMMYFUNCTION("GOOGLETRANSLATE(D3506,""auto"",""en"")"),"Recommended content attributes for active webpage")</f>
        <v>Recommended content attributes for active webpage</v>
      </c>
    </row>
    <row r="3507" spans="1:5" ht="15" x14ac:dyDescent="0.25">
      <c r="A3507" s="5" t="s">
        <v>9826</v>
      </c>
      <c r="B3507" s="6" t="s">
        <v>9827</v>
      </c>
      <c r="C3507" s="3" t="str">
        <f ca="1">IFERROR(__xludf.DUMMYFUNCTION("GOOGLETRANSLATE(B3507,""auto"",""en"")"),"It describes the system and methods of sports -related objects in the use of machine learning models to identify media content (such as image or video data). The characteristics of media content can be provided as the input to the classification model des"&amp;"cribed by various sports -related objects and scenarios, so as to generate various measures associated with basic sports events described in the media content.")</f>
        <v>It describes the system and methods of sports -related objects in the use of machine learning models to identify media content (such as image or video data). The characteristics of media content can be provided as the input to the classification model described by various sports -related objects and scenarios, so as to generate various measures associated with basic sports events described in the media content.</v>
      </c>
      <c r="D3507" s="6" t="s">
        <v>9828</v>
      </c>
      <c r="E3507" s="4" t="str">
        <f ca="1">IFERROR(__xludf.DUMMYFUNCTION("GOOGLETRANSLATE(D3507,""auto"",""en"")"),"Machine learning model for identifying objects depicted in images or video data")</f>
        <v>Machine learning model for identifying objects depicted in images or video data</v>
      </c>
    </row>
    <row r="3508" spans="1:5" ht="15" x14ac:dyDescent="0.25">
      <c r="A3508" s="5" t="s">
        <v>9829</v>
      </c>
      <c r="B3508" s="6" t="s">
        <v>9827</v>
      </c>
      <c r="C3508" s="3" t="str">
        <f ca="1">IFERROR(__xludf.DUMMYFUNCTION("GOOGLETRANSLATE(B3508,""auto"",""en"")"),"It describes the system and methods of sports -related objects in the use of machine learning models to identify media content (such as image or video data). The characteristics of media content can be provided as the input to the classification model des"&amp;"cribed by various sports -related objects and scenarios, so as to generate various measures associated with basic sports events described in the media content.")</f>
        <v>It describes the system and methods of sports -related objects in the use of machine learning models to identify media content (such as image or video data). The characteristics of media content can be provided as the input to the classification model described by various sports -related objects and scenarios, so as to generate various measures associated with basic sports events described in the media content.</v>
      </c>
      <c r="D3508" s="6" t="s">
        <v>9828</v>
      </c>
      <c r="E3508" s="4" t="str">
        <f ca="1">IFERROR(__xludf.DUMMYFUNCTION("GOOGLETRANSLATE(D3508,""auto"",""en"")"),"Machine learning model for identifying objects depicted in images or video data")</f>
        <v>Machine learning model for identifying objects depicted in images or video data</v>
      </c>
    </row>
    <row r="3509" spans="1:5" ht="15" x14ac:dyDescent="0.25">
      <c r="A3509" s="5" t="s">
        <v>9830</v>
      </c>
      <c r="B3509" s="6" t="s">
        <v>9831</v>
      </c>
      <c r="C3509" s="3" t="str">
        <f ca="1">IFERROR(__xludf.DUMMYFUNCTION("GOOGLETRANSLATE(B3509,""auto"",""en"")"),"Provides systems and methods for using computer visual analysis images or videos. Reviewing data related to sports events at the physical location include real -time or close -time real -time information or historical information. The time period of the d"&amp;"isplay device at the physical location is identified for collection. The display device can be configured to present visual sponsorship data during the time period of the specified sponsorship. Determine the data to meet one or more rules. Send the instru"&amp;"ctions that meet the first rules to the computing equipment of the sponsor. At least based on meeting the first rule to generate bidding or valuation. The request from the time period of the computing equipment of the sponsorship device, and the display d"&amp;"evice in the physical location presents visual sponsorship data for the sponsors within this time period.")</f>
        <v>Provides systems and methods for using computer visual analysis images or videos. Reviewing data related to sports events at the physical location include real -time or close -time real -time information or historical information. The time period of the display device at the physical location is identified for collection. The display device can be configured to present visual sponsorship data during the time period of the specified sponsorship. Determine the data to meet one or more rules. Send the instructions that meet the first rules to the computing equipment of the sponsor. At least based on meeting the first rule to generate bidding or valuation. The request from the time period of the computing equipment of the sponsorship device, and the display device in the physical location presents visual sponsorship data for the sponsors within this time period.</v>
      </c>
      <c r="D3509" s="6" t="s">
        <v>9832</v>
      </c>
      <c r="E3509" s="4" t="str">
        <f ca="1">IFERROR(__xludf.DUMMYFUNCTION("GOOGLETRANSLATE(D3509,""auto"",""en"")"),"Display the automatic control of the device")</f>
        <v>Display the automatic control of the device</v>
      </c>
    </row>
    <row r="3510" spans="1:5" ht="15" x14ac:dyDescent="0.25">
      <c r="A3510" s="5" t="s">
        <v>9833</v>
      </c>
      <c r="B3510" s="6" t="s">
        <v>9827</v>
      </c>
      <c r="C3510" s="3" t="str">
        <f ca="1">IFERROR(__xludf.DUMMYFUNCTION("GOOGLETRANSLATE(B3510,""auto"",""en"")"),"It describes the system and methods of sports -related objects in the use of machine learning models to identify media content (such as image or video data). The characteristics of media content can be provided as the input to the classification model des"&amp;"cribed by various sports -related objects and scenarios, so as to generate various measures associated with basic sports events described in the media content.")</f>
        <v>It describes the system and methods of sports -related objects in the use of machine learning models to identify media content (such as image or video data). The characteristics of media content can be provided as the input to the classification model described by various sports -related objects and scenarios, so as to generate various measures associated with basic sports events described in the media content.</v>
      </c>
      <c r="D3510" s="6" t="s">
        <v>9828</v>
      </c>
      <c r="E3510" s="4" t="str">
        <f ca="1">IFERROR(__xludf.DUMMYFUNCTION("GOOGLETRANSLATE(D3510,""auto"",""en"")"),"Machine learning model for identifying objects depicted in images or video data")</f>
        <v>Machine learning model for identifying objects depicted in images or video data</v>
      </c>
    </row>
    <row r="3511" spans="1:5" ht="15" x14ac:dyDescent="0.25">
      <c r="A3511" s="5" t="s">
        <v>9834</v>
      </c>
      <c r="B3511" s="6" t="s">
        <v>9827</v>
      </c>
      <c r="C3511" s="3" t="str">
        <f ca="1">IFERROR(__xludf.DUMMYFUNCTION("GOOGLETRANSLATE(B3511,""auto"",""en"")"),"It describes the system and methods of sports -related objects in the use of machine learning models to identify media content (such as image or video data). The characteristics of media content can be provided as the input to the classification model des"&amp;"cribed by various sports -related objects and scenarios, so as to generate various measures associated with basic sports events described in the media content.")</f>
        <v>It describes the system and methods of sports -related objects in the use of machine learning models to identify media content (such as image or video data). The characteristics of media content can be provided as the input to the classification model described by various sports -related objects and scenarios, so as to generate various measures associated with basic sports events described in the media content.</v>
      </c>
      <c r="D3511" s="6" t="s">
        <v>9835</v>
      </c>
      <c r="E3511" s="4" t="str">
        <f ca="1">IFERROR(__xludf.DUMMYFUNCTION("GOOGLETRANSLATE(D3511,""auto"",""en"")"),"Machine learning model for identifying the object described in images or video data")</f>
        <v>Machine learning model for identifying the object described in images or video data</v>
      </c>
    </row>
    <row r="3512" spans="1:5" ht="15" x14ac:dyDescent="0.25">
      <c r="A3512" s="5" t="s">
        <v>9836</v>
      </c>
      <c r="B3512" s="6" t="s">
        <v>9837</v>
      </c>
      <c r="C3512" s="3" t="str">
        <f ca="1">IFERROR(__xludf.DUMMYFUNCTION("GOOGLETRANSLATE(B3512,""auto"",""en"")"),"It describes the system and methods of sports -related objects in the media content (such as image or video data) using machine learning models. Media content features can be used as a classification model for input to detect the representatives of variou"&amp;"s sports -related objects and scenes to generate various measures associated with basic sports events in the media content.")</f>
        <v>It describes the system and methods of sports -related objects in the media content (such as image or video data) using machine learning models. Media content features can be used as a classification model for input to detect the representatives of various sports -related objects and scenes to generate various measures associated with basic sports events in the media content.</v>
      </c>
      <c r="D3512" s="6" t="s">
        <v>9838</v>
      </c>
      <c r="E3512" s="4" t="str">
        <f ca="1">IFERROR(__xludf.DUMMYFUNCTION("GOOGLETRANSLATE(D3512,""auto"",""en"")"),"Machine learning model for identifying the object represented by an image or video data")</f>
        <v>Machine learning model for identifying the object represented by an image or video data</v>
      </c>
    </row>
    <row r="3513" spans="1:5" ht="15" x14ac:dyDescent="0.25">
      <c r="A3513" s="5" t="s">
        <v>9839</v>
      </c>
      <c r="B3513" s="6" t="s">
        <v>9827</v>
      </c>
      <c r="C3513" s="3" t="str">
        <f ca="1">IFERROR(__xludf.DUMMYFUNCTION("GOOGLETRANSLATE(B3513,""auto"",""en"")"),"It describes the system and methods of sports -related objects in the use of machine learning models to identify media content (such as image or video data). The characteristics of media content can be provided as the input to the classification model des"&amp;"cribed by various sports -related objects and scenarios, so as to generate various measures associated with basic sports events described in the media content.")</f>
        <v>It describes the system and methods of sports -related objects in the use of machine learning models to identify media content (such as image or video data). The characteristics of media content can be provided as the input to the classification model described by various sports -related objects and scenarios, so as to generate various measures associated with basic sports events described in the media content.</v>
      </c>
      <c r="D3513" s="6" t="s">
        <v>9840</v>
      </c>
      <c r="E3513" s="4" t="str">
        <f ca="1">IFERROR(__xludf.DUMMYFUNCTION("GOOGLETRANSLATE(D3513,""auto"",""en"")"),"Machine learning model can be identified by picture or video data")</f>
        <v>Machine learning model can be identified by picture or video data</v>
      </c>
    </row>
    <row r="3514" spans="1:5" ht="15" x14ac:dyDescent="0.25">
      <c r="A3514" s="5" t="s">
        <v>9841</v>
      </c>
      <c r="B3514" s="6" t="s">
        <v>9842</v>
      </c>
      <c r="C3514" s="3" t="str">
        <f ca="1">IFERROR(__xludf.DUMMYFUNCTION("GOOGLETRANSLATE(B3514,""auto"",""en"")"),"The present invention involves a method for generating the data of the Wubo Chess, which includes the following steps: setting the rules of the five -son chess hand and the size of the chessboard; selecting the existing five -son chess AI competition rank"&amp;"ing in the former R name, and setting its performance; specifying different starts to start; ; Under the designated start, use the selected Wuzi chess AI to play with each other to generate the match data. The present invention uses different AIs with hig"&amp;"her chess power in the five -child chess AI game. Different high -level Wuzi chess AI played the game data to generate five -son chess game data, which can improve the quality and diversity of the later data of the game. The present invention specifies di"&amp;"fferent starts and uses random ways to increase the diversity of the start, which can increase the diversity of the data generated by AI. The five -son chess pairing data of different chessboards can be generated. The generating data can be increased acco"&amp;"rding to demand. The generated Wuzi chess can train effective neural networks for the data of the game.")</f>
        <v>The present invention involves a method for generating the data of the Wubo Chess, which includes the following steps: setting the rules of the five -son chess hand and the size of the chessboard; selecting the existing five -son chess AI competition ranking in the former R name, and setting its performance; specifying different starts to start; ; Under the designated start, use the selected Wuzi chess AI to play with each other to generate the match data. The present invention uses different AIs with higher chess power in the five -child chess AI game. Different high -level Wuzi chess AI played the game data to generate five -son chess game data, which can improve the quality and diversity of the later data of the game. The present invention specifies different starts and uses random ways to increase the diversity of the start, which can increase the diversity of the data generated by AI. The five -son chess pairing data of different chessboards can be generated. The generating data can be increased according to demand. The generated Wuzi chess can train effective neural networks for the data of the game.</v>
      </c>
      <c r="D3514" s="6" t="s">
        <v>9843</v>
      </c>
      <c r="E3514" s="4" t="str">
        <f ca="1">IFERROR(__xludf.DUMMYFUNCTION("GOOGLETRANSLATE(D3514,""auto"",""en"")"),"A method to generate the data of Wuzi Qi to the game")</f>
        <v>A method to generate the data of Wuzi Qi to the game</v>
      </c>
    </row>
    <row r="3515" spans="1:5" ht="15" x14ac:dyDescent="0.25">
      <c r="A3515" s="5" t="s">
        <v>9844</v>
      </c>
      <c r="B3515" s="6" t="s">
        <v>3434</v>
      </c>
      <c r="C3515" s="3" t="str">
        <f ca="1">IFERROR(__xludf.DUMMYFUNCTION("GOOGLETRANSLATE(B3515,""auto"",""en"")"),"The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 of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 of the student learning system.</v>
      </c>
      <c r="D3515" s="6" t="s">
        <v>3435</v>
      </c>
      <c r="E3515" s="4" t="str">
        <f ca="1">IFERROR(__xludf.DUMMYFUNCTION("GOOGLETRANSLATE(D3515,""auto"",""en"")"),"Learning coach of machine learning system")</f>
        <v>Learning coach of machine learning system</v>
      </c>
    </row>
    <row r="3516" spans="1:5" ht="15" x14ac:dyDescent="0.25">
      <c r="A3516" s="5" t="s">
        <v>9845</v>
      </c>
      <c r="B3516" s="6" t="s">
        <v>9846</v>
      </c>
      <c r="C3516" s="3" t="str">
        <f ca="1">IFERROR(__xludf.DUMMYFUNCTION("GOOGLETRANSLATE(B3516,""auto"",""en"")"),"A machine learning system, which includes a coaching machine learning system, uses machine learning systems to help students learn their own systems by using machine learning systems. By monitoring the student learning system, the coaching machine learnin"&amp;"g system (through machine learning technology) can learn the ""super parameter"" for the student learning system, which controls the machine learning process of the student learning system. Machine learning coaches can also determine the structural modifi"&amp;"cation of students' learning system architecture. The learning coach can also control the data flow of the student learning system.")</f>
        <v>A machine learning system, which includes a coaching machine learning system, uses machine learning systems to help students learn their own systems by using machine learning systems. By monitoring the student learning system, the coaching machine learning system (through machine learning technology) can learn the "super parameter" for the student learning system, which controls the machine learning process of the student learning system. Machine learning coaches can also determine the structural modification of students' learning system architecture. The learning coach can also control the data flow of the student learning system.</v>
      </c>
      <c r="D3516" s="6" t="s">
        <v>9847</v>
      </c>
      <c r="E3516" s="4" t="str">
        <f ca="1">IFERROR(__xludf.DUMMYFUNCTION("GOOGLETRANSLATE(D3516,""auto"",""en"")"),"Learning coach for machine learning systems")</f>
        <v>Learning coach for machine learning systems</v>
      </c>
    </row>
    <row r="3517" spans="1:5" ht="15" x14ac:dyDescent="0.25">
      <c r="A3517" s="5" t="s">
        <v>9848</v>
      </c>
      <c r="B3517" s="6" t="s">
        <v>3434</v>
      </c>
      <c r="C3517" s="3" t="str">
        <f ca="1">IFERROR(__xludf.DUMMYFUNCTION("GOOGLETRANSLATE(B3517,""auto"",""en"")"),"The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 of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 of the student learning system.</v>
      </c>
      <c r="D3517" s="6" t="s">
        <v>3435</v>
      </c>
      <c r="E3517" s="4" t="str">
        <f ca="1">IFERROR(__xludf.DUMMYFUNCTION("GOOGLETRANSLATE(D3517,""auto"",""en"")"),"Learning coach of machine learning system")</f>
        <v>Learning coach of machine learning system</v>
      </c>
    </row>
    <row r="3518" spans="1:5" ht="15" x14ac:dyDescent="0.25">
      <c r="A3518" s="5" t="s">
        <v>9849</v>
      </c>
      <c r="B3518" s="6" t="s">
        <v>3434</v>
      </c>
      <c r="C3518" s="3" t="str">
        <f ca="1">IFERROR(__xludf.DUMMYFUNCTION("GOOGLETRANSLATE(B3518,""auto"",""en"")"),"The machine learning system includes the use of machine learning to help student machine learning systems to learn the coaching machine learning system of its system. By monitoring the student learning system, the coaching machine learning system can lear"&amp;"n (through machine learning technology) the ""super parameter"" of the student learning system, these ""super parameters"" control the machine learning process of the student learning system. Machine learning coaches can also determine the structural modi"&amp;"fication of students' learning system architecture. Learning coaches can also control the data flow of the student learning system.")</f>
        <v>The machine learning system includes the use of machine learning to help student machine learning systems to learn the coaching machine learning system of its system. By monitoring the student learning system, the coaching machine learning system can learn (through machine learning technology) the "super parameter" of the student learning system, these "super parameters" control the machine learning process of the student learning system. Machine learning coaches can also determine the structural modification of students' learning system architecture. Learning coaches can also control the data flow of the student learning system.</v>
      </c>
      <c r="D3518" s="6" t="s">
        <v>3435</v>
      </c>
      <c r="E3518" s="4" t="str">
        <f ca="1">IFERROR(__xludf.DUMMYFUNCTION("GOOGLETRANSLATE(D3518,""auto"",""en"")"),"Learning coach of machine learning system")</f>
        <v>Learning coach of machine learning system</v>
      </c>
    </row>
    <row r="3519" spans="1:5" ht="15" x14ac:dyDescent="0.25">
      <c r="A3519" s="5" t="s">
        <v>9850</v>
      </c>
      <c r="B3519" s="6" t="s">
        <v>9851</v>
      </c>
      <c r="C3519" s="3" t="str">
        <f ca="1">IFERROR(__xludf.DUMMYFUNCTION("GOOGLETRANSLATE(B3519,""auto"",""en"")"),"The invention discloses a driving test teaching system and teaching method based on the Beidou embedded navigation system. The teaching system includes vehicle video surveillance units, information storage units, Beidou navigation systems, teaching units,"&amp;" communication units, wireless modules, cloud memory and remote coach remote The monitoring unit, the present invention conducts real -time operation guidance of the trainees of driving tests through the teaching unit, monitors the surrounding environment"&amp;" of the coach car through the vehicle video surveillance unit, so that the coach can know the driving status of the coach in real time; The unit monitor the operation of the trainees so that the students can correct the wrong operation method; the communi"&amp;"cation unit enables the students and the coach to communicate in real -time, ensuring that the problems encountered by the students can solve the problems in the learning process. The teaching methods in the present invention are based on remote real -tim"&amp;"e teaching and monitoring, and set up human -computer interaction modules to ensure that students can fully solve the problems encountered in the process of learning and improve learning efficiency.")</f>
        <v>The invention discloses a driving test teaching system and teaching method based on the Beidou embedded navigation system. The teaching system includes vehicle video surveillance units, information storage units, Beidou navigation systems, teaching units, communication units, wireless modules, cloud memory and remote coach remote The monitoring unit, the present invention conducts real -time operation guidance of the trainees of driving tests through the teaching unit, monitors the surrounding environment of the coach car through the vehicle video surveillance unit, so that the coach can know the driving status of the coach in real time; The unit monitor the operation of the trainees so that the students can correct the wrong operation method; the communication unit enables the students and the coach to communicate in real -time, ensuring that the problems encountered by the students can solve the problems in the learning process. The teaching methods in the present invention are based on remote real -time teaching and monitoring, and set up human -computer interaction modules to ensure that students can fully solve the problems encountered in the process of learning and improve learning efficiency.</v>
      </c>
      <c r="D3519" s="6" t="s">
        <v>9852</v>
      </c>
      <c r="E3519" s="4" t="str">
        <f ca="1">IFERROR(__xludf.DUMMYFUNCTION("GOOGLETRANSLATE(D3519,""auto"",""en"")"),"A driving test teaching system and teaching method based on Beidou embedded navigation system")</f>
        <v>A driving test teaching system and teaching method based on Beidou embedded navigation system</v>
      </c>
    </row>
    <row r="3520" spans="1:5" ht="15" x14ac:dyDescent="0.25">
      <c r="A3520" s="5" t="s">
        <v>9853</v>
      </c>
      <c r="B3520" s="6" t="s">
        <v>9854</v>
      </c>
      <c r="C3520" s="3" t="str">
        <f ca="1">IFERROR(__xludf.DUMMYFUNCTION("GOOGLETRANSLATE(B3520,""auto"",""en"")"),"The present invention disclosed a kind of home intelligent fitness treadmill, including the treadmill platform, which has a running mechanism with a running mechanism. Cushions, racks, support platforms, speed regulating motors, joint shafts, gear shafts,"&amp;" rotor shafts, gears, protective shells, connecting boards, and intelligent control mechanisms on the running shift platform, which is an intelligent control mechanism.伸缩杆、倾斜架、扶手、控制器、电容显示屏、家用电器插销、PLC系统、信号接收器、扬声器、语音识别器、红外线测距仪、信号发射器一、压力传感器、信号发射器二， There is "&amp;"a mobile institution below the runner platform, which has a child protection agency on both sides of the runner platform. The children's protective institution has fixed legs, telescopic bands, fixed belts, steel pipes, and protective pads. The beneficial"&amp;" effect of the present invention is that the structure is simple and practical.")</f>
        <v>The present invention disclosed a kind of home intelligent fitness treadmill, including the treadmill platform, which has a running mechanism with a running mechanism. Cushions, racks, support platforms, speed regulating motors, joint shafts, gear shafts, rotor shafts, gears, protective shells, connecting boards, and intelligent control mechanisms on the running shift platform, which is an intelligent control mechanism.伸缩杆、倾斜架、扶手、控制器、电容显示屏、家用电器插销、PLC系统、信号接收器、扬声器、语音识别器、红外线测距仪、信号发射器一、压力传感器、信号发射器二， There is a mobile institution below the runner platform, which has a child protection agency on both sides of the runner platform. The children's protective institution has fixed legs, telescopic bands, fixed belts, steel pipes, and protective pads. The beneficial effect of the present invention is that the structure is simple and practical.</v>
      </c>
      <c r="D3520" s="6" t="s">
        <v>9855</v>
      </c>
      <c r="E3520" s="4" t="str">
        <f ca="1">IFERROR(__xludf.DUMMYFUNCTION("GOOGLETRANSLATE(D3520,""auto"",""en"")"),"A kind of home intelligent fitness treadmill")</f>
        <v>A kind of home intelligent fitness treadmill</v>
      </c>
    </row>
    <row r="3521" spans="1:5" ht="15" x14ac:dyDescent="0.25">
      <c r="A3521" s="5" t="s">
        <v>9856</v>
      </c>
      <c r="B3521" s="6" t="s">
        <v>9857</v>
      </c>
      <c r="C3521" s="3" t="str">
        <f ca="1">IFERROR(__xludf.DUMMYFUNCTION("GOOGLETRANSLATE(B3521,""auto"",""en"")"),"The embodiment of this article provides a method and system for monitoring, analyzing, improving, and giving instant feedback on personal movement performance. Examples also provide a system and method of visual representation that create sports actions w"&amp;"ithout using any visual data capture mechanism. The system includes game monitoring equipment, communication networks, remote servers and computing devices. The remote server includes filtering and signal processing modules, analysis modules, databases an"&amp;"d artificial intelligence modules. The computing device includes several modules and a user interface. The game monitoring equipment detection comes from multiple data points of the player and transmits it to the remote server. Remote server filtering and"&amp;" processing signals to analyze each player and players. Analyze visualization and display on the user computing device.")</f>
        <v>The embodiment of this article provides a method and system for monitoring, analyzing, improving, and giving instant feedback on personal movement performance. Examples also provide a system and method of visual representation that create sports actions without using any visual data capture mechanism. The system includes game monitoring equipment, communication networks, remote servers and computing devices. The remote server includes filtering and signal processing modules, analysis modules, databases and artificial intelligence modules. The computing device includes several modules and a user interface. The game monitoring equipment detection comes from multiple data points of the player and transmits it to the remote server. Remote server filtering and processing signals to analyze each player and players. Analyze visualization and display on the user computing device.</v>
      </c>
      <c r="D3521" s="6" t="s">
        <v>8209</v>
      </c>
      <c r="E3521" s="4" t="str">
        <f ca="1">IFERROR(__xludf.DUMMYFUNCTION("GOOGLETRANSLATE(D3521,""auto"",""en"")"),"A system and method of using monitoring equipment analysis and improving sports performance")</f>
        <v>A system and method of using monitoring equipment analysis and improving sports performance</v>
      </c>
    </row>
    <row r="3522" spans="1:5" ht="15" x14ac:dyDescent="0.25">
      <c r="A3522" s="5" t="s">
        <v>9858</v>
      </c>
      <c r="B3522" s="6" t="s">
        <v>9857</v>
      </c>
      <c r="C3522" s="3" t="str">
        <f ca="1">IFERROR(__xludf.DUMMYFUNCTION("GOOGLETRANSLATE(B3522,""auto"",""en"")"),"The embodiment of this article provides a method and system for monitoring, analyzing, improving, and giving instant feedback on personal movement performance. Examples also provide a system and method of visual representation that create sports actions w"&amp;"ithout using any visual data capture mechanism. The system includes game monitoring equipment, communication networks, remote servers and computing devices. The remote server includes filtering and signal processing modules, analysis modules, databases an"&amp;"d artificial intelligence modules. The computing device includes several modules and a user interface. The game monitoring equipment detection comes from multiple data points of the player and transmits it to the remote server. Remote server filtering and"&amp;" processing signals to analyze each player and players. Analyze visualization and display on the user computing device.")</f>
        <v>The embodiment of this article provides a method and system for monitoring, analyzing, improving, and giving instant feedback on personal movement performance. Examples also provide a system and method of visual representation that create sports actions without using any visual data capture mechanism. The system includes game monitoring equipment, communication networks, remote servers and computing devices. The remote server includes filtering and signal processing modules, analysis modules, databases and artificial intelligence modules. The computing device includes several modules and a user interface. The game monitoring equipment detection comes from multiple data points of the player and transmits it to the remote server. Remote server filtering and processing signals to analyze each player and players. Analyze visualization and display on the user computing device.</v>
      </c>
      <c r="D3522" s="6" t="s">
        <v>8209</v>
      </c>
      <c r="E3522" s="4" t="str">
        <f ca="1">IFERROR(__xludf.DUMMYFUNCTION("GOOGLETRANSLATE(D3522,""auto"",""en"")"),"A system and method of using monitoring equipment analysis and improving sports performance")</f>
        <v>A system and method of using monitoring equipment analysis and improving sports performance</v>
      </c>
    </row>
    <row r="3523" spans="1:5" ht="15" x14ac:dyDescent="0.25">
      <c r="A3523" s="5" t="s">
        <v>9859</v>
      </c>
      <c r="B3523" s="6" t="s">
        <v>9857</v>
      </c>
      <c r="C3523" s="3" t="str">
        <f ca="1">IFERROR(__xludf.DUMMYFUNCTION("GOOGLETRANSLATE(B3523,""auto"",""en"")"),"The embodiment of this article provides a method and system for monitoring, analyzing, improving, and giving instant feedback on personal movement performance. Examples also provide a system and method of visual representation that create sports actions w"&amp;"ithout using any visual data capture mechanism. The system includes game monitoring equipment, communication networks, remote servers and computing devices. The remote server includes filtering and signal processing modules, analysis modules, databases an"&amp;"d artificial intelligence modules. The computing device includes several modules and a user interface. The game monitoring equipment detection comes from multiple data points of the player and transmits it to the remote server. Remote server filtering and"&amp;" processing signals to analyze each player and players. Analyze visualization and display on the user computing device.")</f>
        <v>The embodiment of this article provides a method and system for monitoring, analyzing, improving, and giving instant feedback on personal movement performance. Examples also provide a system and method of visual representation that create sports actions without using any visual data capture mechanism. The system includes game monitoring equipment, communication networks, remote servers and computing devices. The remote server includes filtering and signal processing modules, analysis modules, databases and artificial intelligence modules. The computing device includes several modules and a user interface. The game monitoring equipment detection comes from multiple data points of the player and transmits it to the remote server. Remote server filtering and processing signals to analyze each player and players. Analyze visualization and display on the user computing device.</v>
      </c>
      <c r="D3523" s="6" t="s">
        <v>8209</v>
      </c>
      <c r="E3523" s="4" t="str">
        <f ca="1">IFERROR(__xludf.DUMMYFUNCTION("GOOGLETRANSLATE(D3523,""auto"",""en"")"),"A system and method of using monitoring equipment analysis and improving sports performance")</f>
        <v>A system and method of using monitoring equipment analysis and improving sports performance</v>
      </c>
    </row>
    <row r="3524" spans="1:5" ht="15" x14ac:dyDescent="0.25">
      <c r="A3524" s="5" t="s">
        <v>9860</v>
      </c>
      <c r="B3524" s="6" t="s">
        <v>9861</v>
      </c>
      <c r="C3524" s="3" t="str">
        <f ca="1">IFERROR(__xludf.DUMMYFUNCTION("GOOGLETRANSLATE(B3524,""auto"",""en"")"),"The present invention disclosed a fitness method and equipment based on somatosensory camera. Including: receiving user fitness requests provided by the terminal, select at least one fitness item from the pre -stored fitness project collection as the curr"&amp;"ent fitness item of the user; the expected fitness parameters of the current fitness items provided by the user provided by the terminal provided by the terminal provided The camera obtains the fitness depth diagram of users under the current fitness proj"&amp;"ect; based on the deep chart of fitness, determine whether the user's current fitness parameters meet the expected fitness parameters. When the user's current fitness parameters reach the expected fitness parameters, the current fitness items are over. Or"&amp;", based on the deep chart of fitness, determine whether the user is out of the preset sensing distance from the somatosensory camera. When the user breaks away from the preset sensing distance of the somatosensory camera, the current fitness item is ended"&amp;". Integrate somatosensory technology, so that users can get human -machine interaction experiences in real time during fitness, which improves the diversity and fun of fitness.")</f>
        <v>The present invention disclosed a fitness method and equipment based on somatosensory camera. Including: receiving user fitness requests provided by the terminal, select at least one fitness item from the pre -stored fitness project collection as the current fitness item of the user; the expected fitness parameters of the current fitness items provided by the user provided by the terminal provided by the terminal provided The camera obtains the fitness depth diagram of users under the current fitness project; based on the deep chart of fitness, determine whether the user's current fitness parameters meet the expected fitness parameters. When the user's current fitness parameters reach the expected fitness parameters, the current fitness items are over. Or, based on the deep chart of fitness, determine whether the user is out of the preset sensing distance from the somatosensory camera. When the user breaks away from the preset sensing distance of the somatosensory camera, the current fitness item is ended. Integrate somatosensory technology, so that users can get human -machine interaction experiences in real time during fitness, which improves the diversity and fun of fitness.</v>
      </c>
      <c r="D3524" s="6" t="s">
        <v>9862</v>
      </c>
      <c r="E3524" s="4" t="str">
        <f ca="1">IFERROR(__xludf.DUMMYFUNCTION("GOOGLETRANSLATE(D3524,""auto"",""en"")"),"Fitness methods and fitness equipment based on somatosensory camera")</f>
        <v>Fitness methods and fitness equipment based on somatosensory camera</v>
      </c>
    </row>
    <row r="3525" spans="1:5" ht="15" x14ac:dyDescent="0.25">
      <c r="A3525" s="5" t="s">
        <v>9863</v>
      </c>
      <c r="B3525" s="6" t="s">
        <v>9864</v>
      </c>
      <c r="C3525" s="3" t="str">
        <f ca="1">IFERROR(__xludf.DUMMYFUNCTION("GOOGLETRANSLATE(B3525,""auto"",""en"")"),"A smart ball, system, and method, detect the three -axis acceleration variable and three -axis angle speed variables of the sphere through the six -axis inertial sensor; first use the sensor signal correction neural network to achieve the pretreatment sig"&amp;"nal correction of the three -axis acceleration variable and the three -axis angle speed variable. Calculate the acceleration caused by centripetal network calculation due to the correction of the neural network; finally, the actual three -axis acceleratio"&amp;"n and the actual tri -axis angle speed are calculated based on the acceleration of the centripetal force, the three -axis acceleration and the three -axis angle speed. Provide the relationship between new acceleration variables, angular speed variables, a"&amp;"nd centripetal force, so as to provide more accurate data basis for improving the special ability of athletes.")</f>
        <v>A smart ball, system, and method, detect the three -axis acceleration variable and three -axis angle speed variables of the sphere through the six -axis inertial sensor; first use the sensor signal correction neural network to achieve the pretreatment signal correction of the three -axis acceleration variable and the three -axis angle speed variable. Calculate the acceleration caused by centripetal network calculation due to the correction of the neural network; finally, the actual three -axis acceleration and the actual tri -axis angle speed are calculated based on the acceleration of the centripetal force, the three -axis acceleration and the three -axis angle speed. Provide the relationship between new acceleration variables, angular speed variables, and centripetal force, so as to provide more accurate data basis for improving the special ability of athletes.</v>
      </c>
      <c r="D3525" s="6" t="s">
        <v>9781</v>
      </c>
      <c r="E3525" s="4" t="str">
        <f ca="1">IFERROR(__xludf.DUMMYFUNCTION("GOOGLETRANSLATE(D3525,""auto"",""en"")"),"A smart ball, system and method")</f>
        <v>A smart ball, system and method</v>
      </c>
    </row>
    <row r="3526" spans="1:5" ht="15" x14ac:dyDescent="0.25">
      <c r="A3526" s="5" t="s">
        <v>9865</v>
      </c>
      <c r="B3526" s="6" t="s">
        <v>9866</v>
      </c>
      <c r="C3526" s="3" t="str">
        <f ca="1">IFERROR(__xludf.DUMMYFUNCTION("GOOGLETRANSLATE(B3526,""auto"",""en"")"),"Category code: A1 provides an object operation method to generate a system with low calculation load and can output results at a high speed.
  A system is proposed to plan the mobility of deformation objects. This method uses a 3D convolutional automati"&amp;"c encoder based on object behavior training and a hybrid neural network architecture of the full -connected recursor processor. The error of the input operation of the input operation in the full -connected processor is used to generate an operation seque"&amp;"nce.
  【Selection Figure】 Figure 2")</f>
        <v>Category code: A1 provides an object operation method to generate a system with low calculation load and can output results at a high speed.
  A system is proposed to plan the mobility of deformation objects. This method uses a 3D convolutional automatic encoder based on object behavior training and a hybrid neural network architecture of the full -connected recursor processor. The error of the input operation of the input operation in the full -connected processor is used to generate an operation sequence.
  【Selection Figure】 Figure 2</v>
      </c>
      <c r="D3526" s="6" t="s">
        <v>9867</v>
      </c>
      <c r="E3526" s="4" t="str">
        <f ca="1">IFERROR(__xludf.DUMMYFUNCTION("GOOGLETRANSLATE(D3526,""auto"",""en"")"),"Operation method generation system")</f>
        <v>Operation method generation system</v>
      </c>
    </row>
    <row r="3527" spans="1:5" ht="15" x14ac:dyDescent="0.25">
      <c r="A3527" s="5" t="s">
        <v>9868</v>
      </c>
      <c r="B3527" s="6" t="s">
        <v>9869</v>
      </c>
      <c r="C3527" s="3" t="str">
        <f ca="1">IFERROR(__xludf.DUMMYFUNCTION("GOOGLETRANSLATE(B3527,""auto"",""en"")"),"This utility model provides a digital intelligent fitness venue system, which is the field of sports facility manufacturing technology. The new utility type includes: rectangular ground, monitoring wall screen and training wall screen; One side of the sid"&amp;"e; the monitoring wall screen is vertically fixed to another side of the rectangular ground; the trained wall screen is adjacent to the monitoring wall screen; the rectangular ground, monitoring wall screen screen The training wall screens are LED screens"&amp;"; the rectangular ground, monitoring wall screen and training wall screen are set with infrared sensors and/or laser sensors. This utility model is safe and reasonable. Through multimedia technical means to achieve visualization of sports teaching and tra"&amp;"ining, through human -computer interaction equipment, and return training information in a timely manner to make sports training more interesting and challenging.")</f>
        <v>This utility model provides a digital intelligent fitness venue system, which is the field of sports facility manufacturing technology. The new utility type includes: rectangular ground, monitoring wall screen and training wall screen; One side of the side; the monitoring wall screen is vertically fixed to another side of the rectangular ground; the trained wall screen is adjacent to the monitoring wall screen; the rectangular ground, monitoring wall screen screen The training wall screens are LED screens; the rectangular ground, monitoring wall screen and training wall screen are set with infrared sensors and/or laser sensors. This utility model is safe and reasonable. Through multimedia technical means to achieve visualization of sports teaching and training, through human -computer interaction equipment, and return training information in a timely manner to make sports training more interesting and challenging.</v>
      </c>
      <c r="D3527" s="6" t="s">
        <v>9870</v>
      </c>
      <c r="E3527" s="4" t="str">
        <f ca="1">IFERROR(__xludf.DUMMYFUNCTION("GOOGLETRANSLATE(D3527,""auto"",""en"")"),"Digital intelligent fitness venue system")</f>
        <v>Digital intelligent fitness venue system</v>
      </c>
    </row>
    <row r="3528" spans="1:5" ht="15" x14ac:dyDescent="0.25">
      <c r="A3528" s="5" t="s">
        <v>9871</v>
      </c>
      <c r="B3528" s="6" t="s">
        <v>9872</v>
      </c>
      <c r="C3528" s="3" t="str">
        <f ca="1">IFERROR(__xludf.DUMMYFUNCTION("GOOGLETRANSLATE(B3528,""auto"",""en"")"),"This utility model discloses an Internet of Things simulation biological device, including gym, which is characterized by: the bottom of the gym has a shock absorption cavity, which is provided with shock absorption equipment in the skewed cavity. There a"&amp;"re multiple noise reduction sound -absorbing boards, which are provided with multiple green plants placed card slots on the side wall of the noise reduction and sound -absorbing board. There is a water sensor, which connects the main controller of the wat"&amp;"er sensor, which is fixed on the top of the gym. There is an infrared body temperature detector on one side, which is connected by the infrared body temperature detector through a sliding mechanism, which is equipped with a fitness equipment in the gym, w"&amp;"hich connects the data memory of the fitness equipment, which is connected to the Internet data transmission equipment. The practical new structure is simple, the shock absorption performance is good, the noise is small, and it can imitate the real natura"&amp;"l environment, improve the efficiency of exercise, and can be monitored remotely.")</f>
        <v>This utility model discloses an Internet of Things simulation biological device, including gym, which is characterized by: the bottom of the gym has a shock absorption cavity, which is provided with shock absorption equipment in the skewed cavity. There are multiple noise reduction sound -absorbing boards, which are provided with multiple green plants placed card slots on the side wall of the noise reduction and sound -absorbing board. There is a water sensor, which connects the main controller of the water sensor, which is fixed on the top of the gym. There is an infrared body temperature detector on one side, which is connected by the infrared body temperature detector through a sliding mechanism, which is equipped with a fitness equipment in the gym, which connects the data memory of the fitness equipment, which is connected to the Internet data transmission equipment. The practical new structure is simple, the shock absorption performance is good, the noise is small, and it can imitate the real natural environment, improve the efficiency of exercise, and can be monitored remotely.</v>
      </c>
      <c r="D3528" s="6" t="s">
        <v>9873</v>
      </c>
      <c r="E3528" s="4" t="str">
        <f ca="1">IFERROR(__xludf.DUMMYFUNCTION("GOOGLETRANSLATE(D3528,""auto"",""en"")"),"IoT simulation biological device equipment")</f>
        <v>IoT simulation biological device equipment</v>
      </c>
    </row>
    <row r="3529" spans="1:5" ht="15" x14ac:dyDescent="0.25">
      <c r="A3529" s="5" t="s">
        <v>9874</v>
      </c>
      <c r="B3529" s="6" t="s">
        <v>9875</v>
      </c>
      <c r="C3529" s="3" t="str">
        <f ca="1">IFERROR(__xludf.DUMMYFUNCTION("GOOGLETRANSLATE(B3529,""auto"",""en"")"),"The present invention proposes an elderly learning machine based on the Internet of Things, mainly includes: the main body of the learning machine and the electronic touch screen pen placed in the groove in the side of the learning machine. For the touchp"&amp;"ad. The main body of the learning machine has a processor and a memory module, a battery, a speaker, a microphone, a timer for the memory module, battery, speaker, loudspeaker, microphone, and timer connected to the processor. Independent connection of sp"&amp;"eakers and loudspeaker circuits. The ZigBee wireless communication module may be connected to home appliances such as gas stoves and televisions or fitness equipment. The present invention can be used alone, and can also be used in interactive connection "&amp;"with equipment such as home appliances. In addition, the present invention considers that the use habits of the elderly have a variety of use methods, making the elderly easy to operate.")</f>
        <v>The present invention proposes an elderly learning machine based on the Internet of Things, mainly includes: the main body of the learning machine and the electronic touch screen pen placed in the groove in the side of the learning machine. For the touchpad. The main body of the learning machine has a processor and a memory module, a battery, a speaker, a microphone, a timer for the memory module, battery, speaker, loudspeaker, microphone, and timer connected to the processor. Independent connection of speakers and loudspeaker circuits. The ZigBee wireless communication module may be connected to home appliances such as gas stoves and televisions or fitness equipment. The present invention can be used alone, and can also be used in interactive connection with equipment such as home appliances. In addition, the present invention considers that the use habits of the elderly have a variety of use methods, making the elderly easy to operate.</v>
      </c>
      <c r="D3529" s="6" t="s">
        <v>9876</v>
      </c>
      <c r="E3529" s="4" t="str">
        <f ca="1">IFERROR(__xludf.DUMMYFUNCTION("GOOGLETRANSLATE(D3529,""auto"",""en"")"),"A kind of elderly learning machine based on the Internet of Things")</f>
        <v>A kind of elderly learning machine based on the Internet of Things</v>
      </c>
    </row>
    <row r="3530" spans="1:5" ht="15" x14ac:dyDescent="0.25">
      <c r="A3530" s="5" t="s">
        <v>9877</v>
      </c>
      <c r="B3530" s="6" t="s">
        <v>9878</v>
      </c>
      <c r="C3530" s="3" t="str">
        <f ca="1">IFERROR(__xludf.DUMMYFUNCTION("GOOGLETRANSLATE(B3530,""auto"",""en"")"),"The present invention disclosed a method of food recognition, including the following steps: obtain food pictures of food intake of food and prepare pre -processing; featured the pre -processing food pictures and obtained the corresponding feature vector,"&amp;" and obtained the food recognition model to obtain the food recognition model Basic information of each food intake; according to the pre -processed food pictures, the proportion relationship between the references in the food pictures and the food contai"&amp;"ner in the food picture is obtained and the proportion of food in the food container, and and the proportion of food, and Combined with the food portion recognition model, the weight of each food considers used by the user. The invention also provides an "&amp;"electronic equipment, storage medium, food recognition device and nutritional health analysis method and system. The invention applies image recognition technology into food recognition, which not only realizes the type of food recognition, but also reali"&amp;"zes the amount of food identification of food, and then solves the existing technologies that people can only rely on nutritionists, fitness coaches and other professionals to guide people's diet. The problem.")</f>
        <v>The present invention disclosed a method of food recognition, including the following steps: obtain food pictures of food intake of food and prepare pre -processing; featured the pre -processing food pictures and obtained the corresponding feature vector, and obtained the food recognition model to obtain the food recognition model Basic information of each food intake; according to the pre -processed food pictures, the proportion relationship between the references in the food pictures and the food container in the food picture is obtained and the proportion of food in the food container, and and the proportion of food, and Combined with the food portion recognition model, the weight of each food considers used by the user. The invention also provides an electronic equipment, storage medium, food recognition device and nutritional health analysis method and system. The invention applies image recognition technology into food recognition, which not only realizes the type of food recognition, but also realizes the amount of food identification of food, and then solves the existing technologies that people can only rely on nutritionists, fitness coaches and other professionals to guide people's diet. The problem.</v>
      </c>
      <c r="D3530" s="6" t="s">
        <v>9879</v>
      </c>
      <c r="E3530" s="4" t="str">
        <f ca="1">IFERROR(__xludf.DUMMYFUNCTION("GOOGLETRANSLATE(D3530,""auto"",""en"")"),"One food recognition method, nutritional health analysis method, system and device")</f>
        <v>One food recognition method, nutritional health analysis method, system and device</v>
      </c>
    </row>
    <row r="3531" spans="1:5" ht="15" x14ac:dyDescent="0.25">
      <c r="A3531" s="5" t="s">
        <v>9880</v>
      </c>
      <c r="B3531" s="6" t="s">
        <v>9881</v>
      </c>
      <c r="C3531" s="3" t="str">
        <f ca="1">IFERROR(__xludf.DUMMYFUNCTION("GOOGLETRANSLATE(B3531,""auto"",""en"")"),"This practical new model proposes an older learning machine based on the Internet of Things, mainly including: the main body of the learning machine and the electronic touch screen pen placed in the groove of the learning machine. Below is a touchpad. The"&amp;" main body of the learning machine has a processor and a memory module, a battery, a speaker, a microphone, a timer for the memory module, battery, speaker, loudspeaker, microphone, and timer connected to the processor. Independent connection of speakers "&amp;"and loudspeaker circuits. The ZigBee wireless communication module may be connected to home appliances such as gas stoves and televisions or fitness equipment. This utility model can be used alone, and it can also be connected to equipment such as home ap"&amp;"pliances. In addition, the useful new models considers the use habits of the elderly to design a variety of use methods, making the elderly easy to operate.")</f>
        <v>This practical new model proposes an older learning machine based on the Internet of Things, mainly including: the main body of the learning machine and the electronic touch screen pen placed in the groove of the learning machine. Below is a touchpad. The main body of the learning machine has a processor and a memory module, a battery, a speaker, a microphone, a timer for the memory module, battery, speaker, loudspeaker, microphone, and timer connected to the processor. Independent connection of speakers and loudspeaker circuits. The ZigBee wireless communication module may be connected to home appliances such as gas stoves and televisions or fitness equipment. This utility model can be used alone, and it can also be connected to equipment such as home appliances. In addition, the useful new models considers the use habits of the elderly to design a variety of use methods, making the elderly easy to operate.</v>
      </c>
      <c r="D3531" s="6" t="s">
        <v>9876</v>
      </c>
      <c r="E3531" s="4" t="str">
        <f ca="1">IFERROR(__xludf.DUMMYFUNCTION("GOOGLETRANSLATE(D3531,""auto"",""en"")"),"A kind of elderly learning machine based on the Internet of Things")</f>
        <v>A kind of elderly learning machine based on the Internet of Things</v>
      </c>
    </row>
    <row r="3532" spans="1:5" ht="15" x14ac:dyDescent="0.25">
      <c r="A3532" s="5" t="s">
        <v>9882</v>
      </c>
      <c r="B3532" s="6" t="s">
        <v>9883</v>
      </c>
      <c r="C3532" s="3" t="str">
        <f ca="1">IFERROR(__xludf.DUMMYFUNCTION("GOOGLETRANSLATE(B3532,""auto"",""en"")"),"This utility model discloses a sparring scoring robot, including the main shape of the robot composed of human -shaped wood or plastic structures and outsourcing sponge leather mixed materials. , Micro -controlling unit, driving circuit, electromagnetic l"&amp;"everage, wireless transmitting circuit, pressure sensor, photoelectric sensor, motor, external display circuit, wheels. This utility type sparring scoring robot has created a new way to use artificial intelligence technology to make new ways to sparring, "&amp;"filling the gap in this field, playing monsters in the virtual game in the game, gradually reduced blood bars, and moved to actual training. You can exercise your body, enhance entertainment, and record the speed and power of records, energy and other dat"&amp;"a can be compared with history, liberating the coach a lot of time, can bring more students at the same time, improve the teaching efficiency, revolutionize this one Progress in the field.")</f>
        <v>This utility model discloses a sparring scoring robot, including the main shape of the robot composed of human -shaped wood or plastic structures and outsourcing sponge leather mixed materials. , Micro -controlling unit, driving circuit, electromagnetic leverage, wireless transmitting circuit, pressure sensor, photoelectric sensor, motor, external display circuit, wheels. This utility type sparring scoring robot has created a new way to use artificial intelligence technology to make new ways to sparring, filling the gap in this field, playing monsters in the virtual game in the game, gradually reduced blood bars, and moved to actual training. You can exercise your body, enhance entertainment, and record the speed and power of records, energy and other data can be compared with history, liberating the coach a lot of time, can bring more students at the same time, improve the teaching efficiency, revolutionize this one Progress in the field.</v>
      </c>
      <c r="D3532" s="6" t="s">
        <v>9884</v>
      </c>
      <c r="E3532" s="4" t="str">
        <f ca="1">IFERROR(__xludf.DUMMYFUNCTION("GOOGLETRANSLATE(D3532,""auto"",""en"")"),"Training score robot")</f>
        <v>Training score robot</v>
      </c>
    </row>
    <row r="3533" spans="1:5" ht="15" x14ac:dyDescent="0.25">
      <c r="A3533" s="5" t="s">
        <v>9885</v>
      </c>
      <c r="B3533" s="6" t="s">
        <v>9886</v>
      </c>
      <c r="C3533" s="3" t="str">
        <f ca="1">IFERROR(__xludf.DUMMYFUNCTION("GOOGLETRANSLATE(B3533,""auto"",""en"")"),"The embodiment of this article provides a method and system for monitoring, analyzing, improving, and giving instant feedback on personal movement performance. Examples also provide a system and method of visual representation that create sports actions w"&amp;"ithout using any visual data capture mechanism. The system includes game monitoring equipment, communication networks, remote servers and computing devices. The remote server includes filtering and signal processing modules, analysis modules, databases an"&amp;"d artificial intelligence modules. Computing devices include several modules and a user interface. The game monitoring equipment detection comes from multiple data points of the player and transmits it to the remote server. Remote server filtering and pro"&amp;"cessing signals to analyze each player and players. Analyze visualization and display on the user computing device.")</f>
        <v>The embodiment of this article provides a method and system for monitoring, analyzing, improving, and giving instant feedback on personal movement performance. Examples also provide a system and method of visual representation that create sports actions without using any visual data capture mechanism. The system includes game monitoring equipment, communication networks, remote servers and computing devices. The remote server includes filtering and signal processing modules, analysis modules, databases and artificial intelligence modules. Computing devices include several modules and a user interface. The game monitoring equipment detection comes from multiple data points of the player and transmits it to the remote server. Remote server filtering and processing signals to analyze each player and players. Analyze visualization and display on the user computing device.</v>
      </c>
      <c r="D3533" s="6" t="s">
        <v>8209</v>
      </c>
      <c r="E3533" s="4" t="str">
        <f ca="1">IFERROR(__xludf.DUMMYFUNCTION("GOOGLETRANSLATE(D3533,""auto"",""en"")"),"A system and method of using monitoring equipment analysis and improving sports performance")</f>
        <v>A system and method of using monitoring equipment analysis and improving sports performance</v>
      </c>
    </row>
    <row r="3534" spans="1:5" ht="15" x14ac:dyDescent="0.25">
      <c r="A3534" s="5" t="s">
        <v>9887</v>
      </c>
      <c r="B3534" s="6" t="s">
        <v>9888</v>
      </c>
      <c r="C3534" s="3" t="str">
        <f ca="1">IFERROR(__xludf.DUMMYFUNCTION("GOOGLETRANSLATE(B3534,""auto"",""en"")"),"The present invention involves the field of Internet of Things technology, and a security protection system based on the Internet of Things, including the central processor, connects to the output end of the image processing module of the central processo"&amp;"r and the input terminal of the image processing module. Connect to the output terminal of the monitoring platform, the input terminal of the monitoring platform connects to the output end of the control unit, and the input terminal of the control unit is"&amp;" connected to the output end of the pretutor. The security protection system based on the Internet of Things can control the exploration and monitoring signal output through nodes to avoid interference of signals. At the same time, to record, compare, ana"&amp;"lyze and process the smoke and monitoring signals Feedback to the alarm so that the situation of the gymnasium is intelligently handled to prevent the emergence of human negligence. It is safer to use. At the same time, the door lock can be controlled, wh"&amp;"ich greatly improves people's life and property safety and convenient use.")</f>
        <v>The present invention involves the field of Internet of Things technology, and a security protection system based on the Internet of Things, including the central processor, connects to the output end of the image processing module of the central processor and the input terminal of the image processing module. Connect to the output terminal of the monitoring platform, the input terminal of the monitoring platform connects to the output end of the control unit, and the input terminal of the control unit is connected to the output end of the pretutor. The security protection system based on the Internet of Things can control the exploration and monitoring signal output through nodes to avoid interference of signals. At the same time, to record, compare, analyze and process the smoke and monitoring signals Feedback to the alarm so that the situation of the gymnasium is intelligently handled to prevent the emergence of human negligence. It is safer to use. At the same time, the door lock can be controlled, which greatly improves people's life and property safety and convenient use.</v>
      </c>
      <c r="D3534" s="6" t="s">
        <v>9889</v>
      </c>
      <c r="E3534" s="4" t="str">
        <f ca="1">IFERROR(__xludf.DUMMYFUNCTION("GOOGLETRANSLATE(D3534,""auto"",""en"")"),"A security protection system based on the Internet of Things")</f>
        <v>A security protection system based on the Internet of Things</v>
      </c>
    </row>
    <row r="3535" spans="1:5" ht="15" x14ac:dyDescent="0.25">
      <c r="A3535" s="5" t="s">
        <v>9890</v>
      </c>
      <c r="B3535" s="6" t="s">
        <v>9891</v>
      </c>
      <c r="C3535" s="3" t="str">
        <f ca="1">IFERROR(__xludf.DUMMYFUNCTION("GOOGLETRANSLATE(B3535,""auto"",""en"")"),"A game venue monitoring system, including the competition venue 1; image capture unit 3 is preferably installed on the pan -light lamp array 2, which is arranged to capture Image; processing device, can be equipped with neural networks for detecting peopl"&amp;"e or objects and their relative positions on the surface of the game; devices used to distinguish people using the stadium and objects used to maintain the stadium, as well as used to use a place for use Determine the information to determine the use and/"&amp;"or maintenance of the field venue for a period of time, and to determine part of the density density.")</f>
        <v>A game venue monitoring system, including the competition venue 1; image capture unit 3 is preferably installed on the pan -light lamp array 2, which is arranged to capture Image; processing device, can be equipped with neural networks for detecting people or objects and their relative positions on the surface of the game; devices used to distinguish people using the stadium and objects used to maintain the stadium, as well as used to use a place for use Determine the information to determine the use and/or maintenance of the field venue for a period of time, and to determine part of the density density.</v>
      </c>
      <c r="D3535" s="6" t="s">
        <v>9892</v>
      </c>
      <c r="E3535" s="4" t="str">
        <f ca="1">IFERROR(__xludf.DUMMYFUNCTION("GOOGLETRANSLATE(D3535,""auto"",""en"")"),"Maintenance of the game venue")</f>
        <v>Maintenance of the game venue</v>
      </c>
    </row>
    <row r="3536" spans="1:5" ht="15" x14ac:dyDescent="0.25">
      <c r="A3536" s="5" t="s">
        <v>9893</v>
      </c>
      <c r="B3536" s="6" t="s">
        <v>9894</v>
      </c>
      <c r="C3536" s="3" t="str">
        <f ca="1">IFERROR(__xludf.DUMMYFUNCTION("GOOGLETRANSLATE(B3536,""auto"",""en"")"),"1. The name of the product in this exterior: the graphic user interface for the mobile phone.
 2. The purpose of designing products in this exterior: This design product is used for communication and running programs.
 Uses of this graphic user interf"&amp;"ace: For human -computer interaction, performing the event channel in [Mobile APP], users can view and book performance tickets for online reservations in real time, view and purchase real objects around the performance tickets in real time, and view at t"&amp;"he same time. Order information of the purchased performance ticket.
 Main view, change status Figure 1 ，2 is a rolling page up and down; change status Figure 3‑6 is a rolling page up and down; change state figure 8‑9 is the upper and lower rolling page"&amp;"; the state of change state 18下19 is a rolling page up and down.
 The main view of clicking the concert/sports event/opera drama/children's parent -child/more, turn to the change state map 8; The surrounding products are turned to the change state Figur"&amp;"e 16; , Turn to the change state Figure 11; change status figure 3 click the product information, turn to the change state Figure 21; change status figure 4 click the picture of the new film, turn to the change state of the change; , Turn to the change st"&amp;"ate Figure 11; change status figure 6 click the picture of the selection activity, turn to the change state Figure 17; change status figure 7 click the order information, turn to the change state Figure 20; change status figure 8 click the navigation stri"&amp;"p at the right highest right. Time button, turn to change state Figure 10; change state Figure 8 click the text chain, turn to the change state Figure 11; change status figure 8 click to perform information, turn to the change state Figure 11; change stat"&amp;"us graph 11 click to buy tickets immediately, transfer to transfer immediately, transfer Until the state of change status 12; change status Figure 12 Click the next step, turn to the change state Figure 13; change status Figure 13 Click to submit the orde"&amp;"r, turn to the change state Figure 15; Change status Figure 16 Click to view more, turn to change state Figure 17; change status Figure 16 click product information, turn to the change state Figure 21; change state Figure 18 click product information, tur"&amp;"n to change state Figure 21; change status figure 19 Click the flagship store information to turn to the change state Figure 17.
 3. The design points of the design of the product in this exterior: lies in the graphic user interface.
 The product carr"&amp;"ier is existing design.
 4. The most important picture or photo of the design design of this appearance: main view.")</f>
        <v>1. The name of the product in this exterior: the graphic user interface for the mobile phone.
 2. The purpose of designing products in this exterior: This design product is used for communication and running programs.
 Uses of this graphic user interface: For human -computer interaction, performing the event channel in [Mobile APP], users can view and book performance tickets for online reservations in real time, view and purchase real objects around the performance tickets in real time, and view at the same time. Order information of the purchased performance ticket.
 Main view, change status Figure 1 ，2 is a rolling page up and down; change status Figure 3‑6 is a rolling page up and down; change state figure 8‑9 is the upper and lower rolling page; the state of change state 18下19 is a rolling page up and down.
 The main view of clicking the concert/sports event/opera drama/children's parent -child/more, turn to the change state map 8; The surrounding products are turned to the change state Figure 16; , Turn to the change state Figure 11; change status figure 3 click the product information, turn to the change state Figure 21; change status figure 4 click the picture of the new film, turn to the change state of the change; , Turn to the change state Figure 11; change status figure 6 click the picture of the selection activity, turn to the change state Figure 17; change status figure 7 click the order information, turn to the change state Figure 20; change status figure 8 click the navigation strip at the right highest right. Time button, turn to change state Figure 10; change state Figure 8 click the text chain, turn to the change state Figure 11; change status figure 8 click to perform information, turn to the change state Figure 11; change status graph 11 click to buy tickets immediately, transfer to transfer immediately, transfer Until the state of change status 12; change status Figure 12 Click the next step, turn to the change state Figure 13; change status Figure 13 Click to submit the order, turn to the change state Figure 15; Change status Figure 16 Click to view more, turn to change state Figure 17; change status Figure 16 click product information, turn to the change state Figure 21; change state Figure 18 click product information, turn to change state Figure 21; change status figure 19 Click the flagship store information to turn to the change state Figure 17.
 3. The design points of the design of the product in this exterior: lies in the graphic user interface.
 The product carrier is existing design.
 4. The most important picture or photo of the design design of this appearance: main view.</v>
      </c>
      <c r="D3536" s="6" t="s">
        <v>7563</v>
      </c>
      <c r="E3536" s="4" t="str">
        <f ca="1">IFERROR(__xludf.DUMMYFUNCTION("GOOGLETRANSLATE(D3536,""auto"",""en"")"),"The graphic user interface used for mobile phones")</f>
        <v>The graphic user interface used for mobile phones</v>
      </c>
    </row>
    <row r="3537" spans="1:5" ht="15" x14ac:dyDescent="0.25">
      <c r="A3537" s="5" t="s">
        <v>9895</v>
      </c>
      <c r="B3537" s="6" t="s">
        <v>9896</v>
      </c>
      <c r="C3537" s="3" t="str">
        <f ca="1">IFERROR(__xludf.DUMMYFUNCTION("GOOGLETRANSLATE(B3537,""auto"",""en"")"),"An automatic voice recognition (ASR) system that compensates for different noise environments and voice types. The ASR system can be implemented as part of the motion camera that collects status data (such as geographical location data and/or sensor data)"&amp;". The ASR system can use acoustic models and voice recognition models to perform voice recognition. These models and voice recognition models are trained to operate in a specific noise environment and/or specific types of voice. The computing device can c"&amp;"lassify the current status of the motion camera, such as the state data, and classify it as a brief file. The brief file of this action can indicate the specific activity of the computing device (for example, running, cycling, etc.) or status. The computi"&amp;"ng device can dynamically switch acoustic models and/or voice recognition models based on action profile to compensate the expected changes in the noise environment and voice, thereby promoting the recognition of various action camera functions.")</f>
        <v>An automatic voice recognition (ASR) system that compensates for different noise environments and voice types. The ASR system can be implemented as part of the motion camera that collects status data (such as geographical location data and/or sensor data). The ASR system can use acoustic models and voice recognition models to perform voice recognition. These models and voice recognition models are trained to operate in a specific noise environment and/or specific types of voice. The computing device can classify the current status of the motion camera, such as the state data, and classify it as a brief file. The brief file of this action can indicate the specific activity of the computing device (for example, running, cycling, etc.) or status. The computing device can dynamically switch acoustic models and/or voice recognition models based on action profile to compensate the expected changes in the noise environment and voice, thereby promoting the recognition of various action camera functions.</v>
      </c>
      <c r="D3537" s="6" t="s">
        <v>9897</v>
      </c>
      <c r="E3537" s="4" t="str">
        <f ca="1">IFERROR(__xludf.DUMMYFUNCTION("GOOGLETRANSLATE(D3537,""auto"",""en"")"),"Use GPS and sensor data automatic voice recognition (ASR)")</f>
        <v>Use GPS and sensor data automatic voice recognition (ASR)</v>
      </c>
    </row>
    <row r="3538" spans="1:5" ht="15" x14ac:dyDescent="0.25">
      <c r="A3538" s="5" t="s">
        <v>9898</v>
      </c>
      <c r="B3538" s="6" t="s">
        <v>9899</v>
      </c>
      <c r="C3538" s="3" t="str">
        <f ca="1">IFERROR(__xludf.DUMMYFUNCTION("GOOGLETRANSLATE(B3538,""auto"",""en"")"),"The present invention disclosed the recommended system and methods of the smart mirror based on body change recognition. Users can complete the data collection of their own body changes through voice instructions. Finally, it is recommended to the user on"&amp;" the terminal display unit. The fitness plan and deepening plan, and the recipes corresponding to the user fitness plan. Users to avoid blind fitness due to lack of fitness knowledge. While improving user fitness effects and fitness efficiency, the physic"&amp;"al condition of users is the best, and the physical condition of the user is the best, and the physical condition of the user is the best, and the physical condition of the user is the best, and the physical condition of the user is the best, and the phys"&amp;"ical condition of the user is the best, and the physical condition of the user is the best, and the physical condition of the user is the best, and the physical condition of the user is the best, and the physical condition of the user is the best. The med"&amp;"ical reminder unit gives users a timely medical reminder when receiving information that changes the user's body abnormality, which further ensures the health status of the user's physical health, so the present invention has a good application prospect.")</f>
        <v>The present invention disclosed the recommended system and methods of the smart mirror based on body change recognition. Users can complete the data collection of their own body changes through voice instructions. Finally, it is recommended to the user on the terminal display unit. The fitness plan and deepening plan, and the recipes corresponding to the user fitness plan. Users to avoid blind fitness due to lack of fitness knowledge. While improving user fitness effects and fitness efficiency, the physical condition of users is the best, and the physical condition of the user is the best, and the physical condition of the user is the best, and the physical condition of the user is the best, and the physical condition of the user is the best, and the physical condition of the user is the best, and the physical condition of the user is the best, and the physical condition of the user is the best, and the physical condition of the user is the best, and the physical condition of the user is the best. The medical reminder unit gives users a timely medical reminder when receiving information that changes the user's body abnormality, which further ensures the health status of the user's physical health, so the present invention has a good application prospect.</v>
      </c>
      <c r="D3538" s="6" t="s">
        <v>9900</v>
      </c>
      <c r="E3538" s="4" t="str">
        <f ca="1">IFERROR(__xludf.DUMMYFUNCTION("GOOGLETRANSLATE(D3538,""auto"",""en"")"),"Fitness plan recommendation system and method based on body change recognition")</f>
        <v>Fitness plan recommendation system and method based on body change recognition</v>
      </c>
    </row>
    <row r="3539" spans="1:5" ht="15" x14ac:dyDescent="0.25">
      <c r="A3539" s="5" t="s">
        <v>9901</v>
      </c>
      <c r="B3539" s="6" t="s">
        <v>9902</v>
      </c>
      <c r="C3539" s="3" t="str">
        <f ca="1">IFERROR(__xludf.DUMMYFUNCTION("GOOGLETRANSLATE(B3539,""auto"",""en"")"),"This utility model opens up a fitness auxiliary system based on artificial intelligence joint capture technology. The fitness auxiliary system includes video collection modules, streaming media service modules, transmission modules, and display modules. A"&amp;"mong them, the video collection module is used to collect video streams of fitness personnel and fitness equipment; Capture the characteristics of the human body in the video stream, and the score and/or guidance evaluation of the actions of the fitness p"&amp;"ersonnel based on the characteristics of the human action characteristics; The score and/or guidance evaluation of the actions of the fitness personnel; the transmission module is used for the data transmission between the video collection module, the str"&amp;"eaming media service module and the display module. The fitness auxiliary system can obtain professional fitness guidance for fitness personnel, and can reduce fitness costs.")</f>
        <v>This utility model opens up a fitness auxiliary system based on artificial intelligence joint capture technology. The fitness auxiliary system includes video collection modules, streaming media service modules, transmission modules, and display modules. Among them, the video collection module is used to collect video streams of fitness personnel and fitness equipment; Capture the characteristics of the human body in the video stream, and the score and/or guidance evaluation of the actions of the fitness personnel based on the characteristics of the human action characteristics; The score and/or guidance evaluation of the actions of the fitness personnel; the transmission module is used for the data transmission between the video collection module, the streaming media service module and the display module. The fitness auxiliary system can obtain professional fitness guidance for fitness personnel, and can reduce fitness costs.</v>
      </c>
      <c r="D3539" s="6" t="s">
        <v>9903</v>
      </c>
      <c r="E3539" s="4" t="str">
        <f ca="1">IFERROR(__xludf.DUMMYFUNCTION("GOOGLETRANSLATE(D3539,""auto"",""en"")"),"Fitness auxiliary system based on artificial intelligence joint capture technology")</f>
        <v>Fitness auxiliary system based on artificial intelligence joint capture technology</v>
      </c>
    </row>
    <row r="3540" spans="1:5" ht="15" x14ac:dyDescent="0.25">
      <c r="A3540" s="5" t="s">
        <v>9904</v>
      </c>
      <c r="B3540" s="6" t="s">
        <v>9905</v>
      </c>
      <c r="C3540" s="3" t="str">
        <f ca="1">IFERROR(__xludf.DUMMYFUNCTION("GOOGLETRANSLATE(B3540,""auto"",""en"")"),"1. A portable electronic equipment for recording the performance of sports (1), which is suitable for scoring and competition statistical records of participants (8, 9, 10, 11) participants. At least one of the above players (8,9,10,11); and it is charact"&amp;"erized by: -The at least four points registration buttons (2, 3, 4, 5), which is suitable for manual introduction and scores or players' respective personal performance Related information (8, 9, 10, 11); -Electronic module (6), suitable for processing si"&amp;"gnals from the registration button (2, 3, 4, 5); -communication module (6), connected to the electronic module ( 6) And suitable for transmitting the processing information related to each button (2, 3, 4, and 5) at the record point to the terminal (12) r"&amp;"emote and wireless. 2. Device (1) according to the aforementioned claims (1), wherein the communication module (6) includes the sending and/or receiving information of the wireless communication network (13) included in the terminal (12) including the ter"&amp;"minal (12) included in/or from the terminal (12). Device. 3. The device (1) according to any of the aforementioned claims (1), wherein the registration button (2, 3, 4, 5) is mechanically activated. 4. The device (1) according to any of the aforementioned"&amp;" claims (1), wherein the registration button (2, 3, 4, 5) is arranged to form a square or rectangular vertex in the device. 5. Device (1) based on any of the device (1) in any of the aforementioned claims (1), which also includes devices for visual indica"&amp;"tion, lighting, vibration and/or sound (7). 6. The device (1) according to any of the aforementioned claims (1), wherein the device (1) is configured on the wrist of the equipment (8, 9, 10, 11), the equipment is on (8, 9, 10, 11) racket. 8, 9, 10, 11) or"&amp;" a certain point of the player's body (8, 9, 10, 11). 7. The device (1) according to any of the aforementioned claims (1) includes a rechargeable battery. 8. The device (1) according to any of the aforementioned claims (1), wherein the electronic module ("&amp;"6) includes a microphone and/or voice recognition module, and/or geographical positioning device. 9. The device (1) according to any of the aforementioned claims (1), wherein the communication module (6) includes radio frequency transmission devices. 10. "&amp;"According to any of the equipment (1) in any of the aforementioned claims, the electronic module (6) includes an acceleration meter and/or gyroscope, which is configured to determine the acceleration of the player's play (8, 9) acceleration (8, 9) acceler"&amp;"ation (8, 9) acceleration (8, 9) acceleration speed (8, 9) acceleration speed (8, 9) acceleration rate acceleration (8, 9) acceleration speed (8, 9) acceleration speed (8, 9) acceleration speed (8, 9) acceleration acceleration rate And/or corner speed, 10"&amp;", 11). 11. Device (1) according to the aforementioned claims (1), wherein the electronic module (6) includes a module used to measure physical activity (8, 9, 10, 11). 12. The marking registration system, including one or more portable electronic equipmen"&amp;"t (1) in one or more of the rights (1) in any of the claim 1-11, and includes one or more players (8, 9, 10, 11) and one Or a communication network connected by multiple players (13). Multiple terminals (12), and one or more servers (14) and/or database ("&amp;"15) connected to the communication network (13); where: -terminal (12) is configured for players (8, 9) , 10, 11) Use, equipped with hardware and/or software devices and game configuration modules and statistical data collection; terminal (12) connect to "&amp;"the communication network through the Internet and/or mobile wireless connection (13); and the configuration module is the configuration module Including at least: the number of participants (8, 9, 10, 11), the conditions for the start of the service and "&amp;"the number of the number of competition groups; Portable electronic device (1) Receive information, generate information related to the game, and send the information network (13) to the server (14) and database (15) through the terminal (12) and communic"&amp;"ation to generate players (8. Statistics and/or game history of 9, 10, 11). 13. The system according to the aforementioned claims, wherein the server (14) and/or database (15) are implemented as the game historical records, configuration preferences, and/"&amp;"or geographical location. 14. According to the aforementioned claims 12-13, the terminal (12) includes a fixed attachment (16) for the rail network, which is equipped with a safe lock (16) and shockproof device.")</f>
        <v>1. A portable electronic equipment for recording the performance of sports (1), which is suitable for scoring and competition statistical records of participants (8, 9, 10, 11) participants. At least one of the above players (8,9,10,11); and it is characterized by: -The at least four points registration buttons (2, 3, 4, 5), which is suitable for manual introduction and scores or players' respective personal performance Related information (8, 9, 10, 11); -Electronic module (6), suitable for processing signals from the registration button (2, 3, 4, 5); -communication module (6), connected to the electronic module ( 6) And suitable for transmitting the processing information related to each button (2, 3, 4, and 5) at the record point to the terminal (12) remote and wireless. 2. Device (1) according to the aforementioned claims (1), wherein the communication module (6) includes the sending and/or receiving information of the wireless communication network (13) included in the terminal (12) including the terminal (12) included in/or from the terminal (12). Device. 3. The device (1) according to any of the aforementioned claims (1), wherein the registration button (2, 3, 4, 5) is mechanically activated. 4. The device (1) according to any of the aforementioned claims (1), wherein the registration button (2, 3, 4, 5) is arranged to form a square or rectangular vertex in the device. 5. Device (1) based on any of the device (1) in any of the aforementioned claims (1), which also includes devices for visual indication, lighting, vibration and/or sound (7). 6. The device (1) according to any of the aforementioned claims (1), wherein the device (1) is configured on the wrist of the equipment (8, 9, 10, 11), the equipment is on (8, 9, 10, 11) racket. 8, 9, 10, 11) or a certain point of the player's body (8, 9, 10, 11). 7. The device (1) according to any of the aforementioned claims (1) includes a rechargeable battery. 8. The device (1) according to any of the aforementioned claims (1), wherein the electronic module (6) includes a microphone and/or voice recognition module, and/or geographical positioning device. 9. The device (1) according to any of the aforementioned claims (1), wherein the communication module (6) includes radio frequency transmission devices. 10. According to any of the equipment (1) in any of the aforementioned claims, the electronic module (6) includes an acceleration meter and/or gyroscope, which is configured to determine the acceleration of the player's play (8, 9) acceleration (8, 9) acceleration (8, 9) acceleration (8, 9) acceleration speed (8, 9) acceleration speed (8, 9) acceleration rate acceleration (8, 9) acceleration speed (8, 9) acceleration speed (8, 9) acceleration speed (8, 9) acceleration acceleration rate And/or corner speed, 10, 11). 11. Device (1) according to the aforementioned claims (1), wherein the electronic module (6) includes a module used to measure physical activity (8, 9, 10, 11). 12. The marking registration system, including one or more portable electronic equipment (1) in one or more of the rights (1) in any of the claim 1-11, and includes one or more players (8, 9, 10, 11) and one Or a communication network connected by multiple players (13). Multiple terminals (12), and one or more servers (14) and/or database (15) connected to the communication network (13); where: -terminal (12) is configured for players (8, 9) , 10, 11) Use, equipped with hardware and/or software devices and game configuration modules and statistical data collection; terminal (12) connect to the communication network through the Internet and/or mobile wireless connection (13); and the configuration module is the configuration module Including at least: the number of participants (8, 9, 10, 11), the conditions for the start of the service and the number of the number of competition groups; Portable electronic device (1) Receive information, generate information related to the game, and send the information network (13) to the server (14) and database (15) through the terminal (12) and communication to generate players (8. Statistics and/or game history of 9, 10, 11). 13. The system according to the aforementioned claims, wherein the server (14) and/or database (15) are implemented as the game historical records, configuration preferences, and/or geographical location. 14. According to the aforementioned claims 12-13, the terminal (12) includes a fixed attachment (16) for the rail network, which is equipped with a safe lock (16) and shockproof device.</v>
      </c>
      <c r="D3540" s="6" t="s">
        <v>9906</v>
      </c>
      <c r="E3540" s="4" t="str">
        <f ca="1">IFERROR(__xludf.DUMMYFUNCTION("GOOGLETRANSLATE(D3540,""auto"",""en"")"),"Suitable for the dual -part sports marker registration device and system.")</f>
        <v>Suitable for the dual -part sports marker registration device and system.</v>
      </c>
    </row>
    <row r="3541" spans="1:5" ht="15" x14ac:dyDescent="0.25">
      <c r="A3541" s="5" t="s">
        <v>9907</v>
      </c>
      <c r="B3541" s="6" t="s">
        <v>9908</v>
      </c>
      <c r="C3541" s="3" t="str">
        <f ca="1">IFERROR(__xludf.DUMMYFUNCTION("GOOGLETRANSLATE(B3541,""auto"",""en"")"),"This utility model discloses an IoT -based fitness equipment, including bases, pedals, support rods, armrests, display screens, electrical control boxes, control boards, storage boxes, first fixed boards, shock absorption springs, second fixed fixed fixed"&amp;" fixed fixed fixed fixed fixed fixed fixing Board, fixed slot, brush, first oblique gear, second oblique gear, output shaft, rotating motor, rotating shaft, gravity sensor, speed sensor, Internet of Things module, single -chip machine, alarm and pressure "&amp;"sensor, the top installation of the base of the base There is a pedal, the internal embedded of the pedal is installed with a gravity sensor and a speed sensor, a supporting rod installed at the center of the top of the base, the corresponding two sides o"&amp;"f the support rod are installed with a handrail. There is a display screen and an electrical control box, which is installed with a control board on one side of the electric control box. The internal installation of IoT modules, single -chip machines and "&amp;"alarms of the electric control box, this fitness equipment is conducive to shock absorption and cleaning. At the same time, it has the IoT transmission data function.")</f>
        <v>This utility model discloses an IoT -based fitness equipment, including bases, pedals, support rods, armrests, display screens, electrical control boxes, control boards, storage boxes, first fixed boards, shock absorption springs, second fixed fixed fixed fixed fixed fixed fixed fixed fixed fixing Board, fixed slot, brush, first oblique gear, second oblique gear, output shaft, rotating motor, rotating shaft, gravity sensor, speed sensor, Internet of Things module, single -chip machine, alarm and pressure sensor, the top installation of the base of the base There is a pedal, the internal embedded of the pedal is installed with a gravity sensor and a speed sensor, a supporting rod installed at the center of the top of the base, the corresponding two sides of the support rod are installed with a handrail. There is a display screen and an electrical control box, which is installed with a control board on one side of the electric control box. The internal installation of IoT modules, single -chip machines and alarms of the electric control box, this fitness equipment is conducive to shock absorption and cleaning. At the same time, it has the IoT transmission data function.</v>
      </c>
      <c r="D3541" s="6" t="s">
        <v>9070</v>
      </c>
      <c r="E3541" s="4" t="str">
        <f ca="1">IFERROR(__xludf.DUMMYFUNCTION("GOOGLETRANSLATE(D3541,""auto"",""en"")"),"A fitness equipment based on the Internet of Things")</f>
        <v>A fitness equipment based on the Internet of Things</v>
      </c>
    </row>
    <row r="3542" spans="1:5" ht="15" x14ac:dyDescent="0.25">
      <c r="A3542" s="5" t="s">
        <v>9909</v>
      </c>
      <c r="B3542" s="6" t="s">
        <v>9910</v>
      </c>
      <c r="C3542" s="3" t="str">
        <f ca="1">IFERROR(__xludf.DUMMYFUNCTION("GOOGLETRANSLATE(B3542,""auto"",""en"")"),"Examples of this application disclosed the methods and devices based on artificial intelligence push information. A specific implementation method of the method includes: in response to new games, real -time status data of the game, and real -time related"&amp;" data of the competition; use real -time status data to generate structured data; real -time related data and offline materials to generate recommended materials; According to the structured information of the structured data and the status status informa"&amp;"tion obtained from the status manager, determine whether the current time point is a recommended node; if so, based on the recommended materials, real -time competition status information, and the basic information obtained from the status manager, genera"&amp;"te Push information and update the push information records in the state manager; push the push information. The implementation method improves the quality and timeliness of push information.")</f>
        <v>Examples of this application disclosed the methods and devices based on artificial intelligence push information. A specific implementation method of the method includes: in response to new games, real -time status data of the game, and real -time related data of the competition; use real -time status data to generate structured data; real -time related data and offline materials to generate recommended materials; According to the structured information of the structured data and the status status information obtained from the status manager, determine whether the current time point is a recommended node; if so, based on the recommended materials, real -time competition status information, and the basic information obtained from the status manager, generate Push information and update the push information records in the state manager; push the push information. The implementation method improves the quality and timeliness of push information.</v>
      </c>
      <c r="D3542" s="6" t="s">
        <v>9911</v>
      </c>
      <c r="E3542" s="4" t="str">
        <f ca="1">IFERROR(__xludf.DUMMYFUNCTION("GOOGLETRANSLATE(D3542,""auto"",""en"")"),"Methods and devices based on artificial intelligence push information")</f>
        <v>Methods and devices based on artificial intelligence push information</v>
      </c>
    </row>
    <row r="3543" spans="1:5" ht="15" x14ac:dyDescent="0.25">
      <c r="A3543" s="5" t="s">
        <v>9912</v>
      </c>
      <c r="B3543" s="6" t="s">
        <v>9913</v>
      </c>
      <c r="C3543" s="3" t="str">
        <f ca="1">IFERROR(__xludf.DUMMYFUNCTION("GOOGLETRANSLATE(B3543,""auto"",""en"")"),"The present invention disclosed a loading method based on big data and artificial intelligence to realize VR scenes and objects. By mastering the operator's operating habits, the next operation process is based on the common operational habits of the oper"&amp;"ator and the differences of individual operators. After the operation step is estimated, load the scene and object in advance, solve the problem of loading the scene on demand for virtual reality, reduce the transmission and loading data of the image, imp"&amp;"rove the efficiency The application of mobile VR is more important and the effect is more obvious.")</f>
        <v>The present invention disclosed a loading method based on big data and artificial intelligence to realize VR scenes and objects. By mastering the operator's operating habits, the next operation process is based on the common operational habits of the operator and the differences of individual operators. After the operation step is estimated, load the scene and object in advance, solve the problem of loading the scene on demand for virtual reality, reduce the transmission and loading data of the image, improve the efficiency The application of mobile VR is more important and the effect is more obvious.</v>
      </c>
      <c r="D3543" s="6" t="s">
        <v>9914</v>
      </c>
      <c r="E3543" s="4" t="str">
        <f ca="1">IFERROR(__xludf.DUMMYFUNCTION("GOOGLETRANSLATE(D3543,""auto"",""en"")"),"Method for loading VR scenes and objects based on big data and artificial intelligence")</f>
        <v>Method for loading VR scenes and objects based on big data and artificial intelligence</v>
      </c>
    </row>
    <row r="3544" spans="1:5" ht="15" x14ac:dyDescent="0.25">
      <c r="A3544" s="5" t="s">
        <v>9915</v>
      </c>
      <c r="B3544" s="6" t="s">
        <v>9916</v>
      </c>
      <c r="C3544" s="3" t="str">
        <f ca="1">IFERROR(__xludf.DUMMYFUNCTION("GOOGLETRANSLATE(B3544,""auto"",""en"")"),"The present invention disclosed a cloud -based trajectory calculation method and system. The method includes: users upload GPS positioning data to the cloud, establish a sports trajectory database in the cloud, and conduct machine learning for the histori"&amp;"cal motion trajectory data of all users in the motion trajectory database , Extract the regular path, and the rules are intended to cooperate as the real run trajectory of users. In the invention, the prediction route of the big data algorithm can be synt"&amp;"hesized by the big data algorithm, which may not be limited by factors such as space, region, and time, thereby maximizing the problems such as deviations, drifts, and step by step of trajectory diagram. In addition, the present invention can largely save"&amp;" the power loss caused by positioning.")</f>
        <v>The present invention disclosed a cloud -based trajectory calculation method and system. The method includes: users upload GPS positioning data to the cloud, establish a sports trajectory database in the cloud, and conduct machine learning for the historical motion trajectory data of all users in the motion trajectory database , Extract the regular path, and the rules are intended to cooperate as the real run trajectory of users. In the invention, the prediction route of the big data algorithm can be synthesized by the big data algorithm, which may not be limited by factors such as space, region, and time, thereby maximizing the problems such as deviations, drifts, and step by step of trajectory diagram. In addition, the present invention can largely save the power loss caused by positioning.</v>
      </c>
      <c r="D3544" s="6" t="s">
        <v>9917</v>
      </c>
      <c r="E3544" s="4" t="str">
        <f ca="1">IFERROR(__xludf.DUMMYFUNCTION("GOOGLETRANSLATE(D3544,""auto"",""en"")"),"A cloud -based trajectory calculation method, system")</f>
        <v>A cloud -based trajectory calculation method, system</v>
      </c>
    </row>
    <row r="3545" spans="1:5" ht="15" x14ac:dyDescent="0.25">
      <c r="A3545" s="5" t="s">
        <v>9918</v>
      </c>
      <c r="B3545" s="6" t="s">
        <v>9919</v>
      </c>
      <c r="C3545" s="3" t="str">
        <f ca="1">IFERROR(__xludf.DUMMYFUNCTION("GOOGLETRANSLATE(B3545,""auto"",""en"")"),"The invention involves a table tennis target tracking method, device, storage medium and computer equipment. Get the image from a video containing targets, and the image input input of the preset convolutional neural network model is processed to obtain a"&amp;" encirclement box in the image. Enter the target box in the image to enter the preset regression layer for regression and get the backbrication box corresponding to the target. The preset return layer includes a low -level convolutional layer with the pre"&amp;"set convolutional neural network model. The lower the convolutional layer, the more information of the convolution layer, and the high -rise convolutional layer contains more semantic information such as objects such as objects. Therefore, the enclosure b"&amp;"ox obtained by the preset convolutional neural network model is processed to the preset regression layer for regression processing. Because the preset regression layer contains a low -level convolutional layer with the preset convolutional neural network "&amp;"model, it can take into account the high level The semantic information of the convolution layer and the location information of the low -level convolutional layer can correctly identify the goals in the input image and accurately given the target enclosu"&amp;"re box.")</f>
        <v>The invention involves a table tennis target tracking method, device, storage medium and computer equipment. Get the image from a video containing targets, and the image input input of the preset convolutional neural network model is processed to obtain a encirclement box in the image. Enter the target box in the image to enter the preset regression layer for regression and get the backbrication box corresponding to the target. The preset return layer includes a low -level convolutional layer with the preset convolutional neural network model. The lower the convolutional layer, the more information of the convolution layer, and the high -rise convolutional layer contains more semantic information such as objects such as objects. Therefore, the enclosure box obtained by the preset convolutional neural network model is processed to the preset regression layer for regression processing. Because the preset regression layer contains a low -level convolutional layer with the preset convolutional neural network model, it can take into account the high level The semantic information of the convolution layer and the location information of the low -level convolutional layer can correctly identify the goals in the input image and accurately given the target enclosure box.</v>
      </c>
      <c r="D3545" s="6" t="s">
        <v>9920</v>
      </c>
      <c r="E3545" s="4" t="str">
        <f ca="1">IFERROR(__xludf.DUMMYFUNCTION("GOOGLETRANSLATE(D3545,""auto"",""en"")"),"Table tennis target tracking method, device, storage medium and computer equipment")</f>
        <v>Table tennis target tracking method, device, storage medium and computer equipment</v>
      </c>
    </row>
    <row r="3546" spans="1:5" ht="15" x14ac:dyDescent="0.25">
      <c r="A3546" s="5" t="s">
        <v>9921</v>
      </c>
      <c r="B3546" s="6" t="s">
        <v>9922</v>
      </c>
      <c r="C3546" s="3" t="str">
        <f ca="1">IFERROR(__xludf.DUMMYFUNCTION("GOOGLETRANSLATE(B3546,""auto"",""en"")"),"The invention involves a table tennis target tracking and trajectory prediction method, device, storage medium and computer equipment. Get two frames of the two cameras at the same time to the tracking target's frame, and extract the candidate area corres"&amp;"ponding to the tracking target from the image. The preset tracking model of the candidate area is processed to get the enclosure box corresponding to the tracking target. Get the two -dimensional coordinates of the centers in the center of the enclosure c"&amp;"orresponding to the two cameras at the same time, and then calculate the 3D coordinates of the enclosure center based on the camera projection matrix. Get the three -dimensional coordinates of the consecutive consecutive boxing box constitute a continuous"&amp;" coordinate sequence. The continuous coordinate sequence inputs the recursive neural network LSTM for generating the subsequent coordinate sequence, and the trajectory of the tracking target is obtained according to the above coordinate sequence. Use the "&amp;"preset tracking model to track the target position, and combined with the advantages of the LSTM to effectively analyze the characteristics of timing, it can achieve accurate prediction of tracking target motion trajectory.")</f>
        <v>The invention involves a table tennis target tracking and trajectory prediction method, device, storage medium and computer equipment. Get two frames of the two cameras at the same time to the tracking target's frame, and extract the candidate area corresponding to the tracking target from the image. The preset tracking model of the candidate area is processed to get the enclosure box corresponding to the tracking target. Get the two -dimensional coordinates of the centers in the center of the enclosure corresponding to the two cameras at the same time, and then calculate the 3D coordinates of the enclosure center based on the camera projection matrix. Get the three -dimensional coordinates of the consecutive consecutive boxing box constitute a continuous coordinate sequence. The continuous coordinate sequence inputs the recursive neural network LSTM for generating the subsequent coordinate sequence, and the trajectory of the tracking target is obtained according to the above coordinate sequence. Use the preset tracking model to track the target position, and combined with the advantages of the LSTM to effectively analyze the characteristics of timing, it can achieve accurate prediction of tracking target motion trajectory.</v>
      </c>
      <c r="D3546" s="6" t="s">
        <v>9923</v>
      </c>
      <c r="E3546" s="4" t="str">
        <f ca="1">IFERROR(__xludf.DUMMYFUNCTION("GOOGLETRANSLATE(D3546,""auto"",""en"")"),"Table tennis target tracking and trajectory prediction methods, devices, storage media and computer equipment")</f>
        <v>Table tennis target tracking and trajectory prediction methods, devices, storage media and computer equipment</v>
      </c>
    </row>
    <row r="3547" spans="1:5" ht="15" x14ac:dyDescent="0.25">
      <c r="A3547" s="5" t="s">
        <v>9924</v>
      </c>
      <c r="B3547" s="6" t="s">
        <v>9925</v>
      </c>
      <c r="C3547" s="3" t="str">
        <f ca="1">IFERROR(__xludf.DUMMYFUNCTION("GOOGLETRANSLATE(B3547,""auto"",""en"")"),"In order to provide users with space, a box is set on the lower side of the box. The boxes include the side walls on the front and rear, left and right sides, and the upper wall of the upper side of the sea. Walking auxiliary device, which is used to perf"&amp;"orm walking auxiliary devices for walking, is used to display one or more monitors that display virtual reality images. It is used to determine the virtual reality image displayed on one or more display The controller of the environment has more monitors,"&amp;" and a user experience device is disclosed in the environment determined by the controller, including the internal environment control device used to adjust the environment in the box.")</f>
        <v>In order to provide users with space, a box is set on the lower side of the box. The boxes include the side walls on the front and rear, left and right sides, and the upper wall of the upper side of the sea. Walking auxiliary device, which is used to perform walking auxiliary devices for walking, is used to display one or more monitors that display virtual reality images. It is used to determine the virtual reality image displayed on one or more display The controller of the environment has more monitors, and a user experience device is disclosed in the environment determined by the controller, including the internal environment control device used to adjust the environment in the box.</v>
      </c>
      <c r="D3547" s="6" t="s">
        <v>8656</v>
      </c>
      <c r="E3547" s="4" t="str">
        <f ca="1">IFERROR(__xludf.DUMMYFUNCTION("GOOGLETRANSLATE(D3547,""auto"",""en"")"),"Use artificial intelligence user experience equipment")</f>
        <v>Use artificial intelligence user experience equipment</v>
      </c>
    </row>
    <row r="3548" spans="1:5" ht="15" x14ac:dyDescent="0.25">
      <c r="A3548" s="5" t="s">
        <v>9926</v>
      </c>
      <c r="B3548" s="6" t="s">
        <v>9927</v>
      </c>
      <c r="C3548" s="3" t="str">
        <f ca="1">IFERROR(__xludf.DUMMYFUNCTION("GOOGLETRANSLATE(B3548,""auto"",""en"")"),"11 Abstract: Most of the neglected and real rural talents cannot obtain 24/7 full -weather high -quality education that can be affordable to cultivate all aspects of personality. The inventor accurately solved the defect with a multi -dimensional method a"&amp;"nd method with a multi -dimensional method. It emphasizes and promotes truly talented aspirations to establish a personalized career. It is composed of a unique central guidance studio center and multiple remote cluster learning centers connected to the w"&amp;"ireless connection. The world -class discipline mentor provides monitoring and quality guidance services from the central location, namely. The studio is over. The special component of the present invention is -the two -way, secure real -time information "&amp;"flow and interaction, but have nothing to do with position and distance. Multimedia content has high -definition quality. The online topology enables the aspirations to learn from the industry veterans, the backbone of the enterprise, and the mentor, othe"&amp;"rwise these people cannot be close and can't afford it. In addition, due to centralized management, the delivery results are consistent, customized, and managed. The inventor method includes the five -dimensional model, including (1) academic (2) majors ("&amp;"3) society (4) the psychological growth of the spiritual and (5) individual aspirations. It eliminates the gray areas and fear of specific themes and subjective things embedded in the mind. Inventor's center-centered center can operate from pre-determined"&amp;" positions, such as 15-20. It is equipped with good infrastructure, personnel and technology. Models based on their own and/or franchise can be extended to any geographical area. The operation of the operation is completed by artificial intelligence -driv"&amp;"en, cloud -based enlightenment, web -oriented, and mobile software and inventor applications. On the basis of the milestone of the time frame, overseas partners provide vision for the design, development and implementation of specific countries. Start thr"&amp;"ee years later. The invention has social consistency and is expected to have a huge impact on domestic technical experts and entrepreneurs creative opportunities. Some of the remarkable features of the present invention are that- (a) high-quality services"&amp;" from the place to place allocation is actually impossible. Emotional education provides this feasibility and flexibility, because the main activities are centralized control and monitoring. (b) The current alternatives include the choice of coaches and t"&amp;"uition classes. Among them, the positions of teachers are quite weak and fluctuated. Emotional education provides a strong knowledge base that will not put pressure on students and always maintain quality. The scope is limited, but emotional education ove"&amp;"rcomes this limit, which can expand the coverage of the infinite investment when required. In addition, the integration of ""enhanced, virtual reality, holographic and 3D cameras"" will simplify complex themes, namely biology, nanotechnology, and real hum"&amp;"an body. This helps maintain the quality of education; and because it interacts with multiple locations, students can interact with super experts one -to -one, which will be the opportunity to change their lives and life.")</f>
        <v>11 Abstract: Most of the neglected and real rural talents cannot obtain 24/7 full -weather high -quality education that can be affordable to cultivate all aspects of personality. The inventor accurately solved the defect with a multi -dimensional method and method with a multi -dimensional method. It emphasizes and promotes truly talented aspirations to establish a personalized career. It is composed of a unique central guidance studio center and multiple remote cluster learning centers connected to the wireless connection. The world -class discipline mentor provides monitoring and quality guidance services from the central location, namely. The studio is over. The special component of the present invention is -the two -way, secure real -time information flow and interaction, but have nothing to do with position and distance. Multimedia content has high -definition quality. The online topology enables the aspirations to learn from the industry veterans, the backbone of the enterprise, and the mentor, otherwise these people cannot be close and can't afford it. In addition, due to centralized management, the delivery results are consistent, customized, and managed. The inventor method includes the five -dimensional model, including (1) academic (2) majors (3) society (4) the psychological growth of the spiritual and (5) individual aspirations. It eliminates the gray areas and fear of specific themes and subjective things embedded in the mind. Inventor's center-centered center can operate from pre-determined positions, such as 15-20. It is equipped with good infrastructure, personnel and technology. Models based on their own and/or franchise can be extended to any geographical area. The operation of the operation is completed by artificial intelligence -driven, cloud -based enlightenment, web -oriented, and mobile software and inventor applications. On the basis of the milestone of the time frame, overseas partners provide vision for the design, development and implementation of specific countries. Start three years later. The invention has social consistency and is expected to have a huge impact on domestic technical experts and entrepreneurs creative opportunities. Some of the remarkable features of the present invention are that- (a) high-quality services from the place to place allocation is actually impossible. Emotional education provides this feasibility and flexibility, because the main activities are centralized control and monitoring. (b) The current alternatives include the choice of coaches and tuition classes. Among them, the positions of teachers are quite weak and fluctuated. Emotional education provides a strong knowledge base that will not put pressure on students and always maintain quality. The scope is limited, but emotional education overcomes this limit, which can expand the coverage of the infinite investment when required. In addition, the integration of "enhanced, virtual reality, holographic and 3D cameras" will simplify complex themes, namely biology, nanotechnology, and real human body. This helps maintain the quality of education; and because it interacts with multiple locations, students can interact with super experts one -to -one, which will be the opportunity to change their lives and life.</v>
      </c>
      <c r="D3548" s="6" t="s">
        <v>9928</v>
      </c>
      <c r="E3548" s="4" t="str">
        <f ca="1">IFERROR(__xludf.DUMMYFUNCTION("GOOGLETRANSLATE(D3548,""auto"",""en"")"),"Systems and equipment, monitor the quality of emotional education through the satellite in real time, and deliver to many difficult places")</f>
        <v>Systems and equipment, monitor the quality of emotional education through the satellite in real time, and deliver to many difficult places</v>
      </c>
    </row>
    <row r="3549" spans="1:5" ht="15" x14ac:dyDescent="0.25">
      <c r="A3549" s="5" t="s">
        <v>9929</v>
      </c>
      <c r="B3549" s="6" t="s">
        <v>9930</v>
      </c>
      <c r="C3549" s="3" t="str">
        <f ca="1">IFERROR(__xludf.DUMMYFUNCTION("GOOGLETRANSLATE(B3549,""auto"",""en"")"),"The present invention disclosed an automatic referee platform based on the Internet of Things. After the shot movement module Ⅰ is responsible for flying out of the shot, the venue module II emit a shunction signal of the shot of the shot; After the venue"&amp;", send the location signal to the server module III; the server module III is responsible for receiving the signal sent by the venue module II to determine whether the shotgun floor meets the game requirements. The invention can automatically determine wh"&amp;"ether the throwing shot into the legal venue and the throwing distance of the throwing distance automatically referee, so as to avoid the referee to bring the game venue and bring personal danger. efficiency.")</f>
        <v>The present invention disclosed an automatic referee platform based on the Internet of Things. After the shot movement module Ⅰ is responsible for flying out of the shot, the venue module II emit a shunction signal of the shot of the shot; After the venue, send the location signal to the server module III; the server module III is responsible for receiving the signal sent by the venue module II to determine whether the shotgun floor meets the game requirements. The invention can automatically determine whether the throwing shot into the legal venue and the throwing distance of the throwing distance automatically referee, so as to avoid the referee to bring the game venue and bring personal danger. efficiency.</v>
      </c>
      <c r="D3549" s="6" t="s">
        <v>9931</v>
      </c>
      <c r="E3549" s="4" t="str">
        <f ca="1">IFERROR(__xludf.DUMMYFUNCTION("GOOGLETRANSLATE(D3549,""auto"",""en"")"),"Automatic referee platform and usage of shot competition based on the Internet of Things")</f>
        <v>Automatic referee platform and usage of shot competition based on the Internet of Things</v>
      </c>
    </row>
    <row r="3550" spans="1:5" ht="15" x14ac:dyDescent="0.25">
      <c r="A3550" s="5" t="s">
        <v>9932</v>
      </c>
      <c r="B3550" s="6" t="s">
        <v>9933</v>
      </c>
      <c r="C3550" s="3" t="str">
        <f ca="1">IFERROR(__xludf.DUMMYFUNCTION("GOOGLETRANSLATE(B3550,""auto"",""en"")"),"The invention disclosed a teaching management system based on the Internet of Things, including system management platforms, classroom IoT multimedia multimedia teaching systems. The platform is divided into IoT service management, classroom teaching serv"&amp;"ices, mobile service management; Active audio amplifier. The beneficial effect of the present invention: realize the remote management and cross -network segment management of the Internet of Things; all control operations have achieved integration, contr"&amp;"ol and operations of multimedia equipment under unified standards.")</f>
        <v>The invention disclosed a teaching management system based on the Internet of Things, including system management platforms, classroom IoT multimedia multimedia teaching systems. The platform is divided into IoT service management, classroom teaching services, mobile service management; Active audio amplifier. The beneficial effect of the present invention: realize the remote management and cross -network segment management of the Internet of Things; all control operations have achieved integration, control and operations of multimedia equipment under unified standards.</v>
      </c>
      <c r="D3550" s="6" t="s">
        <v>9934</v>
      </c>
      <c r="E3550" s="4" t="str">
        <f ca="1">IFERROR(__xludf.DUMMYFUNCTION("GOOGLETRANSLATE(D3550,""auto"",""en"")"),"A teaching management system based on the Internet of Things")</f>
        <v>A teaching management system based on the Internet of Things</v>
      </c>
    </row>
    <row r="3551" spans="1:5" ht="15" x14ac:dyDescent="0.25">
      <c r="A3551" s="5" t="s">
        <v>9935</v>
      </c>
      <c r="B3551" s="6" t="s">
        <v>9936</v>
      </c>
      <c r="C3551" s="3" t="str">
        <f ca="1">IFERROR(__xludf.DUMMYFUNCTION("GOOGLETRANSLATE(B3551,""auto"",""en"")"),"The present invention disclosed a classroom Internet of Things multimedia teaching system. Audio extensor, the device interconnection control system is connected to the audio and video media module and classroom recording system. The teaching information "&amp;"display equipment is connected to the audio and video media module. The audio signal of the recording and broadcasting system, the multimedia operating controller is the remote control output, the receiving end is audio and video media module, active audi"&amp;"o enlarged and classroom recording system. The beneficial effect of the invention: Realize the remote management of the Internet of Things and cross -network management.")</f>
        <v>The present invention disclosed a classroom Internet of Things multimedia teaching system. Audio extensor, the device interconnection control system is connected to the audio and video media module and classroom recording system. The teaching information display equipment is connected to the audio and video media module. The audio signal of the recording and broadcasting system, the multimedia operating controller is the remote control output, the receiving end is audio and video media module, active audio enlarged and classroom recording system. The beneficial effect of the invention: Realize the remote management of the Internet of Things and cross -network management.</v>
      </c>
      <c r="D3551" s="6" t="s">
        <v>9937</v>
      </c>
      <c r="E3551" s="4" t="str">
        <f ca="1">IFERROR(__xludf.DUMMYFUNCTION("GOOGLETRANSLATE(D3551,""auto"",""en"")"),"A classroom Internet of Things multimedia teaching system")</f>
        <v>A classroom Internet of Things multimedia teaching system</v>
      </c>
    </row>
    <row r="3552" spans="1:5" ht="15" x14ac:dyDescent="0.25">
      <c r="A3552" s="5" t="s">
        <v>9938</v>
      </c>
      <c r="B3552" s="6" t="s">
        <v>9939</v>
      </c>
      <c r="C3552" s="3" t="str">
        <f ca="1">IFERROR(__xludf.DUMMYFUNCTION("GOOGLETRANSLATE(B3552,""auto"",""en"")"),"In order to provide users with space for activities, the boxes include the side walls of the front, back, left and right sides, and the upper wall of the upper side of the seal, and set it on the lower side of the box, so that users can walk or run the wa"&amp;"lking auxiliary device, one or more more Display displaying virtual reality images, a controller, analyzes the virtual reality image displayed on one or more display and determines the environment corresponding to the virtual reality image, and a response"&amp;" to the environment determined by the controller to disclose a user experience. Equipment, including internal environmental control devices for adjusting the internal environment of the box.")</f>
        <v>In order to provide users with space for activities, the boxes include the side walls of the front, back, left and right sides, and the upper wall of the upper side of the seal, and set it on the lower side of the box, so that users can walk or run the walking auxiliary device, one or more more Display displaying virtual reality images, a controller, analyzes the virtual reality image displayed on one or more display and determines the environment corresponding to the virtual reality image, and a response to the environment determined by the controller to disclose a user experience. Equipment, including internal environmental control devices for adjusting the internal environment of the box.</v>
      </c>
      <c r="D3552" s="6" t="s">
        <v>8656</v>
      </c>
      <c r="E3552" s="4" t="str">
        <f ca="1">IFERROR(__xludf.DUMMYFUNCTION("GOOGLETRANSLATE(D3552,""auto"",""en"")"),"Use artificial intelligence user experience equipment")</f>
        <v>Use artificial intelligence user experience equipment</v>
      </c>
    </row>
    <row r="3553" spans="1:5" ht="15" x14ac:dyDescent="0.25">
      <c r="A3553" s="5" t="s">
        <v>9940</v>
      </c>
      <c r="B3553" s="6" t="s">
        <v>9941</v>
      </c>
      <c r="C3553" s="3" t="str">
        <f ca="1">IFERROR(__xludf.DUMMYFUNCTION("GOOGLETRANSLATE(B3553,""auto"",""en"")"),"The invention involves a new individual customized sports training and rehabilitation technology, called ""MPT: Medical Personal Trainer"". More accurately, the present invention involves an innovative method in the field of physical activity and exercise"&amp;" training/rehabilitation plan for patients with healthy individuals and chronic diseases. It integrates advanced concepts such as medical, engineering, mathematics, and artificial intelligence in interaction, and provides users with a new clinical perspec"&amp;"tive of automated personalized medical care, as well as new insights on individualized management and advanced treatment. -The familiar environment for health subjects (including the elderly) and patients with chronic diseases.")</f>
        <v>The invention involves a new individual customized sports training and rehabilitation technology, called "MPT: Medical Personal Trainer". More accurately, the present invention involves an innovative method in the field of physical activity and exercise training/rehabilitation plan for patients with healthy individuals and chronic diseases. It integrates advanced concepts such as medical, engineering, mathematics, and artificial intelligence in interaction, and provides users with a new clinical perspective of automated personalized medical care, as well as new insights on individualized management and advanced treatment. -The familiar environment for health subjects (including the elderly) and patients with chronic diseases.</v>
      </c>
      <c r="D3553" s="6" t="s">
        <v>9942</v>
      </c>
      <c r="E3553" s="4" t="str">
        <f ca="1">IFERROR(__xludf.DUMMYFUNCTION("GOOGLETRANSLATE(D3553,""auto"",""en"")"),"Tailor -made sports training and rehabilitation technology: medical and private coach")</f>
        <v>Tailor -made sports training and rehabilitation technology: medical and private coach</v>
      </c>
    </row>
    <row r="3554" spans="1:5" ht="15" x14ac:dyDescent="0.25">
      <c r="A3554" s="5" t="s">
        <v>9943</v>
      </c>
      <c r="B3554" s="6" t="s">
        <v>9941</v>
      </c>
      <c r="C3554" s="3" t="str">
        <f ca="1">IFERROR(__xludf.DUMMYFUNCTION("GOOGLETRANSLATE(B3554,""auto"",""en"")"),"The invention involves a new individual customized sports training and rehabilitation technology, called ""MPT: Medical Personal Trainer"". More accurately, the present invention involves an innovative method in the field of physical activity and exercise"&amp;" training/rehabilitation plan for patients with healthy individuals and chronic diseases. It integrates advanced concepts such as medical, engineering, mathematics, and artificial intelligence in interaction, and provides users with a new clinical perspec"&amp;"tive of automated personalized medical care, as well as new insights on individualized management and advanced treatment. -The familiar environment for health subjects (including the elderly) and patients with chronic diseases.")</f>
        <v>The invention involves a new individual customized sports training and rehabilitation technology, called "MPT: Medical Personal Trainer". More accurately, the present invention involves an innovative method in the field of physical activity and exercise training/rehabilitation plan for patients with healthy individuals and chronic diseases. It integrates advanced concepts such as medical, engineering, mathematics, and artificial intelligence in interaction, and provides users with a new clinical perspective of automated personalized medical care, as well as new insights on individualized management and advanced treatment. -The familiar environment for health subjects (including the elderly) and patients with chronic diseases.</v>
      </c>
      <c r="D3554" s="6" t="s">
        <v>9942</v>
      </c>
      <c r="E3554" s="4" t="str">
        <f ca="1">IFERROR(__xludf.DUMMYFUNCTION("GOOGLETRANSLATE(D3554,""auto"",""en"")"),"Tailor -made sports training and rehabilitation technology: medical and private coach")</f>
        <v>Tailor -made sports training and rehabilitation technology: medical and private coach</v>
      </c>
    </row>
    <row r="3555" spans="1:5" ht="15" x14ac:dyDescent="0.25">
      <c r="A3555" s="5" t="s">
        <v>9944</v>
      </c>
      <c r="B3555" s="6" t="s">
        <v>9941</v>
      </c>
      <c r="C3555" s="3" t="str">
        <f ca="1">IFERROR(__xludf.DUMMYFUNCTION("GOOGLETRANSLATE(B3555,""auto"",""en"")"),"The invention involves a new individual customized sports training and rehabilitation technology, called ""MPT: Medical Personal Trainer"". More accurately, the present invention involves an innovative method in the field of physical activity and exercise"&amp;" training/rehabilitation plan for patients with healthy individuals and chronic diseases. It integrates advanced concepts such as medical, engineering, mathematics, and artificial intelligence in interaction, and provides users with a new clinical perspec"&amp;"tive of automated personalized medical care, as well as new insights on individualized management and advanced treatment. -The familiar environment for health subjects (including the elderly) and patients with chronic diseases.")</f>
        <v>The invention involves a new individual customized sports training and rehabilitation technology, called "MPT: Medical Personal Trainer". More accurately, the present invention involves an innovative method in the field of physical activity and exercise training/rehabilitation plan for patients with healthy individuals and chronic diseases. It integrates advanced concepts such as medical, engineering, mathematics, and artificial intelligence in interaction, and provides users with a new clinical perspective of automated personalized medical care, as well as new insights on individualized management and advanced treatment. -The familiar environment for health subjects (including the elderly) and patients with chronic diseases.</v>
      </c>
      <c r="D3555" s="6" t="s">
        <v>9942</v>
      </c>
      <c r="E3555" s="4" t="str">
        <f ca="1">IFERROR(__xludf.DUMMYFUNCTION("GOOGLETRANSLATE(D3555,""auto"",""en"")"),"Tailor -made sports training and rehabilitation technology: medical and private coach")</f>
        <v>Tailor -made sports training and rehabilitation technology: medical and private coach</v>
      </c>
    </row>
    <row r="3556" spans="1:5" ht="15" x14ac:dyDescent="0.25">
      <c r="A3556" s="5" t="s">
        <v>9945</v>
      </c>
      <c r="B3556" s="6" t="s">
        <v>9946</v>
      </c>
      <c r="C3556" s="3" t="str">
        <f ca="1">IFERROR(__xludf.DUMMYFUNCTION("GOOGLETRANSLATE(B3556,""auto"",""en"")"),"The present invention involves personalized customized wearable technology of different sizes of men and women, including coupled electrodes, conductive tracks, and sealing tanks for drugs, and micrococcular electrical diagrams (global mobile systems) and"&amp;" GPS (global mobile system) (global mobile system) and GPS (global mobile system) ECG) device. Positioning system) Modify the demodulator or Bluetooth system, and use wireless personal regional network (PAN or WPAN) specifications. When the user presses t"&amp;"he button, start to get the electrical signal. The present invention is a medical, entertainment and/or sports application field. It aims to monitor patients with high -hearted vascular risk and may be diagnosed as soon as possible in order to shorten the"&amp;" final treatment time (ACS) and acute myocardial infarction (ACS) of patients with acute coronary syndrome (ACS) AMI), acute ventral fibrillation (AAF) arrhythmia and other types of arrhythmia or other types of cardiac diseases that can be tracked by ECG,"&amp;" big data analysis and deep learning detection, and use artificial intelligence and appropriately manage the drugs in the sealing tank.")</f>
        <v>The present invention involves personalized customized wearable technology of different sizes of men and women, including coupled electrodes, conductive tracks, and sealing tanks for drugs, and micrococcular electrical diagrams (global mobile systems) and GPS (global mobile system) (global mobile system) and GPS (global mobile system) ECG) device. Positioning system) Modify the demodulator or Bluetooth system, and use wireless personal regional network (PAN or WPAN) specifications. When the user presses the button, start to get the electrical signal. The present invention is a medical, entertainment and/or sports application field. It aims to monitor patients with high -hearted vascular risk and may be diagnosed as soon as possible in order to shorten the final treatment time (ACS) and acute myocardial infarction (ACS) of patients with acute coronary syndrome (ACS) AMI), acute ventral fibrillation (AAF) arrhythmia and other types of arrhythmia or other types of cardiac diseases that can be tracked by ECG, big data analysis and deep learning detection, and use artificial intelligence and appropriately manage the drugs in the sealing tank.</v>
      </c>
      <c r="D3556" s="6" t="s">
        <v>9947</v>
      </c>
      <c r="E3556" s="4" t="str">
        <f ca="1">IFERROR(__xludf.DUMMYFUNCTION("GOOGLETRANSLATE(D3556,""auto"",""en"")"),"Wearable ECG monitoring technology (ECG), seal containers and integrated medical monitoring systems for drugs")</f>
        <v>Wearable ECG monitoring technology (ECG), seal containers and integrated medical monitoring systems for drugs</v>
      </c>
    </row>
    <row r="3557" spans="1:5" ht="15" x14ac:dyDescent="0.25">
      <c r="A3557" s="5" t="s">
        <v>9948</v>
      </c>
      <c r="B3557" s="6" t="s">
        <v>9946</v>
      </c>
      <c r="C3557" s="3" t="str">
        <f ca="1">IFERROR(__xludf.DUMMYFUNCTION("GOOGLETRANSLATE(B3557,""auto"",""en"")"),"The present invention involves personalized customized wearable technology of different sizes of men and women, including coupled electrodes, conductive tracks, and sealing tanks for drugs, and micrococcular electrical diagrams (global mobile systems) and"&amp;" GPS (global mobile system) (global mobile system) and GPS (global mobile system) ECG) device. Positioning system) Modify the demodulator or Bluetooth system, and use wireless personal regional network (PAN or WPAN) specifications. When the user presses t"&amp;"he button, start to get the electrical signal. The present invention is a medical, entertainment and/or sports application field. It aims to monitor patients with high -hearted vascular risk and may be diagnosed as soon as possible in order to shorten the"&amp;" final treatment time (ACS) and acute myocardial infarction (ACS) of patients with acute coronary syndrome (ACS) AMI), acute ventral fibrillation (AAF) arrhythmia and other types of arrhythmia or other types of cardiac diseases that can be tracked by ECG,"&amp;" big data analysis and deep learning detection, and use artificial intelligence and appropriately manage the drugs in the sealing tank.")</f>
        <v>The present invention involves personalized customized wearable technology of different sizes of men and women, including coupled electrodes, conductive tracks, and sealing tanks for drugs, and micrococcular electrical diagrams (global mobile systems) and GPS (global mobile system) (global mobile system) and GPS (global mobile system) ECG) device. Positioning system) Modify the demodulator or Bluetooth system, and use wireless personal regional network (PAN or WPAN) specifications. When the user presses the button, start to get the electrical signal. The present invention is a medical, entertainment and/or sports application field. It aims to monitor patients with high -hearted vascular risk and may be diagnosed as soon as possible in order to shorten the final treatment time (ACS) and acute myocardial infarction (ACS) of patients with acute coronary syndrome (ACS) AMI), acute ventral fibrillation (AAF) arrhythmia and other types of arrhythmia or other types of cardiac diseases that can be tracked by ECG, big data analysis and deep learning detection, and use artificial intelligence and appropriately manage the drugs in the sealing tank.</v>
      </c>
      <c r="D3557" s="6" t="s">
        <v>7992</v>
      </c>
      <c r="E3557" s="4" t="str">
        <f ca="1">IFERROR(__xludf.DUMMYFUNCTION("GOOGLETRANSLATE(D3557,""auto"",""en"")"),"Wearable ECG monitoring technology, with sealing medicine tanks and integrated medical monitoring systems")</f>
        <v>Wearable ECG monitoring technology, with sealing medicine tanks and integrated medical monitoring systems</v>
      </c>
    </row>
    <row r="3558" spans="1:5" ht="15" x14ac:dyDescent="0.25">
      <c r="A3558" s="5" t="s">
        <v>9949</v>
      </c>
      <c r="B3558" s="6" t="s">
        <v>9950</v>
      </c>
      <c r="C3558" s="3" t="str">
        <f ca="1">IFERROR(__xludf.DUMMYFUNCTION("GOOGLETRANSLATE(B3558,""auto"",""en"")"),"The present invention involves personal customized wearable technology of different sizes of men and women, including electrodes connected to the electrode, conductive orbit, and sealed tanks for drugs, and connected to micro Electric diagrams including G"&amp;"SM (global mobile system) and GPS (global mobile system) (ECG) Device. Positioning system) modem or using the Bluetooth system specified in the Wireless domain network (PAN or WPAN). When the user presss the button, start collecting the electrical signal."&amp;" The present invention belongs to the field of medical, entertainment and/or sports applications. It aims to monitor patients with high -hearted vascular risks and be able to diagnose as soon as possible in order to shorten the final treatment time (ACS) "&amp;"and acute myocardial infarction (AMI ), Acute atrial fibrillation (AAF) arrhythmia, other types of arrhythmias or other types of cardiac tracing, big data analysis and deep learning, and artificial intelligence detected cardiac lesions and drugs in the ta"&amp;"nk appropriately managed the drugs.")</f>
        <v>The present invention involves personal customized wearable technology of different sizes of men and women, including electrodes connected to the electrode, conductive orbit, and sealed tanks for drugs, and connected to micro Electric diagrams including GSM (global mobile system) and GPS (global mobile system) (ECG) Device. Positioning system) modem or using the Bluetooth system specified in the Wireless domain network (PAN or WPAN). When the user presss the button, start collecting the electrical signal. The present invention belongs to the field of medical, entertainment and/or sports applications. It aims to monitor patients with high -hearted vascular risks and be able to diagnose as soon as possible in order to shorten the final treatment time (ACS) and acute myocardial infarction (AMI ), Acute atrial fibrillation (AAF) arrhythmia, other types of arrhythmias or other types of cardiac tracing, big data analysis and deep learning, and artificial intelligence detected cardiac lesions and drugs in the tank appropriately managed the drugs.</v>
      </c>
      <c r="D3558" s="6" t="s">
        <v>9951</v>
      </c>
      <c r="E3558" s="4" t="str">
        <f ca="1">IFERROR(__xludf.DUMMYFUNCTION("GOOGLETRANSLATE(D3558,""auto"",""en"")"),"Modern electrocardiogram (ECG) monitoring technology with sealing drug tanks and integrated medical monitoring systems")</f>
        <v>Modern electrocardiogram (ECG) monitoring technology with sealing drug tanks and integrated medical monitoring systems</v>
      </c>
    </row>
    <row r="3559" spans="1:5" ht="15" x14ac:dyDescent="0.25">
      <c r="A3559" s="5" t="s">
        <v>9952</v>
      </c>
      <c r="B3559" s="6" t="s">
        <v>9953</v>
      </c>
      <c r="C3559" s="3" t="str">
        <f ca="1">IFERROR(__xludf.DUMMYFUNCTION("GOOGLETRANSLATE(B3559,""auto"",""en"")"),"The present invention involves an artificial intelligence fitness coach with holographic projection technology. Through the fitting information collector of the fitness staff, the health and physical data of the fitness personnel will be collected in real"&amp;" time. At the same time The big data analysis system of excellent fitness coach training competition will process the collected data, transmit the processing data to the optimization guidance system of artificial intelligence fitness coach, generate optim"&amp;"ized coach guidance solutions, and use holographic projection technology artificial intelligence fitness coach imaging. System, generate virtual artificial intelligence coach training guidance images, and finally use various holographic projection termina"&amp;"l equipment to produce artificial intelligence and fitness coaches in various places to guide fitness personnel training to allow each fitness personnel and fitness enthusiasts anytime, anywhere anytime, anywhere Accept the optimized fitness training guid"&amp;"ance.")</f>
        <v>The present invention involves an artificial intelligence fitness coach with holographic projection technology. Through the fitting information collector of the fitness staff, the health and physical data of the fitness personnel will be collected in real time. At the same time The big data analysis system of excellent fitness coach training competition will process the collected data, transmit the processing data to the optimization guidance system of artificial intelligence fitness coach, generate optimized coach guidance solutions, and use holographic projection technology artificial intelligence fitness coach imaging. System, generate virtual artificial intelligence coach training guidance images, and finally use various holographic projection terminal equipment to produce artificial intelligence and fitness coaches in various places to guide fitness personnel training to allow each fitness personnel and fitness enthusiasts anytime, anywhere anytime, anywhere Accept the optimized fitness training guidance.</v>
      </c>
      <c r="D3559" s="6" t="s">
        <v>9954</v>
      </c>
      <c r="E3559" s="4" t="str">
        <f ca="1">IFERROR(__xludf.DUMMYFUNCTION("GOOGLETRANSLATE(D3559,""auto"",""en"")"),"An artificial intelligence fitness coach with holographic projection technology")</f>
        <v>An artificial intelligence fitness coach with holographic projection technology</v>
      </c>
    </row>
    <row r="3560" spans="1:5" ht="15" x14ac:dyDescent="0.25">
      <c r="A3560" s="5" t="s">
        <v>9955</v>
      </c>
      <c r="B3560" s="6" t="s">
        <v>9956</v>
      </c>
      <c r="C3560" s="3" t="str">
        <f ca="1">IFERROR(__xludf.DUMMYFUNCTION("GOOGLETRANSLATE(B3560,""auto"",""en"")"),"The present invention involves an artificial intelligence table tennis coaching technology that uses holographic projection technology. Through the information collector of the table tennis player training competition, the training, competition, and physi"&amp;"cal data of table tennis players will be collected in real time. The information collector collects training and the site of the competition, and then processs the collected data through the big data analysis system of the global excellent table tennis co"&amp;"ach training competition, and transmits the processing data to the artificial intelligence coach optimization guidance system to the table tennis training competition. The optimized coach guidance scheme, through the artificial intelligence table tennis c"&amp;"oach imaging system of holographic projection technology, generate virtual artificial intelligence coach training guidance images, and finally use various holographic projection terminal equipment to produce artificial intelligence table tennis in various"&amp;" places. Coach guides players training to allow each player and table tennis enthusiasts and audiences to receive the optimized table tennis training guidance anytime, anywhere.")</f>
        <v>The present invention involves an artificial intelligence table tennis coaching technology that uses holographic projection technology. Through the information collector of the table tennis player training competition, the training, competition, and physical data of table tennis players will be collected in real time. The information collector collects training and the site of the competition, and then processs the collected data through the big data analysis system of the global excellent table tennis coach training competition, and transmits the processing data to the artificial intelligence coach optimization guidance system to the table tennis training competition. The optimized coach guidance scheme, through the artificial intelligence table tennis coach imaging system of holographic projection technology, generate virtual artificial intelligence coach training guidance images, and finally use various holographic projection terminal equipment to produce artificial intelligence table tennis in various places. Coach guides players training to allow each player and table tennis enthusiasts and audiences to receive the optimized table tennis training guidance anytime, anywhere.</v>
      </c>
      <c r="D3560" s="6" t="s">
        <v>9957</v>
      </c>
      <c r="E3560" s="4" t="str">
        <f ca="1">IFERROR(__xludf.DUMMYFUNCTION("GOOGLETRANSLATE(D3560,""auto"",""en"")"),"An artificial intelligence table tennis coach with holographic projection technology")</f>
        <v>An artificial intelligence table tennis coach with holographic projection technology</v>
      </c>
    </row>
    <row r="3561" spans="1:5" ht="15" x14ac:dyDescent="0.25">
      <c r="A3561" s="5" t="s">
        <v>9958</v>
      </c>
      <c r="B3561" s="6" t="s">
        <v>9959</v>
      </c>
      <c r="C3561" s="3" t="str">
        <f ca="1">IFERROR(__xludf.DUMMYFUNCTION("GOOGLETRANSLATE(B3561,""auto"",""en"")"),"The present invention involves an artificial intelligence basketball coaching technology that uses holographic projection technology. Artificial intelligence basketball coach technology adopts holographic projection technology. Through basketball players "&amp;"training competition information collectors, real -time collection of basketball players training, competition, physical data data At the same time, the information collector of the basketball training competition collector collects training and the site "&amp;"of the competition, and then process the collected data through the big data analysis system of the global excellent basketball coaching training competition, transmits the processing data to the basketball training competition artificial intelligence coa"&amp;"ch optimization guidance guidance System, generate the optimized coaching guidance solution, generate virtual artificial intelligence coach training guidance images through the artificial intelligence basketball coach imaging system of holographic project"&amp;"ion technology. Finally, through various holographic projection terminal equipment Basketball coaches guide players training to allow each player and basketball enthusiasts and audiences to receive the optimized basketball training guidance anytime, anywh"&amp;"ere.")</f>
        <v>The present invention involves an artificial intelligence basketball coaching technology that uses holographic projection technology. Artificial intelligence basketball coach technology adopts holographic projection technology. Through basketball players training competition information collectors, real -time collection of basketball players training, competition, physical data data At the same time, the information collector of the basketball training competition collector collects training and the site of the competition, and then process the collected data through the big data analysis system of the global excellent basketball coaching training competition, transmits the processing data to the basketball training competition artificial intelligence coach optimization guidance guidance System, generate the optimized coaching guidance solution, generate virtual artificial intelligence coach training guidance images through the artificial intelligence basketball coach imaging system of holographic projection technology. Finally, through various holographic projection terminal equipment Basketball coaches guide players training to allow each player and basketball enthusiasts and audiences to receive the optimized basketball training guidance anytime, anywhere.</v>
      </c>
      <c r="D3561" s="6" t="s">
        <v>9960</v>
      </c>
      <c r="E3561" s="4" t="str">
        <f ca="1">IFERROR(__xludf.DUMMYFUNCTION("GOOGLETRANSLATE(D3561,""auto"",""en"")"),"An artificial intelligence basketball coach with holographic projection technology")</f>
        <v>An artificial intelligence basketball coach with holographic projection technology</v>
      </c>
    </row>
    <row r="3562" spans="1:5" ht="15" x14ac:dyDescent="0.25">
      <c r="A3562" s="5" t="s">
        <v>9961</v>
      </c>
      <c r="B3562" s="6" t="s">
        <v>9962</v>
      </c>
      <c r="C3562" s="3" t="str">
        <f ca="1">IFERROR(__xludf.DUMMYFUNCTION("GOOGLETRANSLATE(B3562,""auto"",""en"")"),"The present invention involves an artificial intelligence golf coaching technology that uses holographic projection technology. Through the golf player training information collector, in real time collecting golf players training, competitions, and physic"&amp;"al data. Training and competition site data, and then processed the collected data through the big data analysis system of the global outstanding golf coach training competition, transmitted the processing data to the artificial intelligence coach optimiz"&amp;"ation guidance system of the golf training competition, and generate the optimized coach to generate the optimized coach Guidance scheme, through the artificial intelligence golf coach imaging system of holographic projection technology, generate virtual "&amp;"artificial intelligence coach training guidance images, and finally use various holographic projection terminal devices to produce artificial intelligence golf coaches in various places to guide players training Let every player and golf enthusiast and au"&amp;"dience receive the optimized golf training guidance anytime, anywhere.")</f>
        <v>The present invention involves an artificial intelligence golf coaching technology that uses holographic projection technology. Through the golf player training information collector, in real time collecting golf players training, competitions, and physical data. Training and competition site data, and then processed the collected data through the big data analysis system of the global outstanding golf coach training competition, transmitted the processing data to the artificial intelligence coach optimization guidance system of the golf training competition, and generate the optimized coach to generate the optimized coach Guidance scheme, through the artificial intelligence golf coach imaging system of holographic projection technology, generate virtual artificial intelligence coach training guidance images, and finally use various holographic projection terminal devices to produce artificial intelligence golf coaches in various places to guide players training Let every player and golf enthusiast and audience receive the optimized golf training guidance anytime, anywhere.</v>
      </c>
      <c r="D3562" s="6" t="s">
        <v>9963</v>
      </c>
      <c r="E3562" s="4" t="str">
        <f ca="1">IFERROR(__xludf.DUMMYFUNCTION("GOOGLETRANSLATE(D3562,""auto"",""en"")"),"An artificial intelligence golf coach with holographic projection technology")</f>
        <v>An artificial intelligence golf coach with holographic projection technology</v>
      </c>
    </row>
    <row r="3563" spans="1:5" ht="15" x14ac:dyDescent="0.25">
      <c r="A3563" s="5" t="s">
        <v>9964</v>
      </c>
      <c r="B3563" s="6" t="s">
        <v>9965</v>
      </c>
      <c r="C3563" s="3" t="str">
        <f ca="1">IFERROR(__xludf.DUMMYFUNCTION("GOOGLETRANSLATE(B3563,""auto"",""en"")"),"The present invention involves a smart timing method, system, and device based on the Internet of Things technology, which includes the smart timing terminal carried by the contestants with each other, the signal emittering terminals at each competition t"&amp;"iming point on the competition line, and and and and and and and. The chronograph host connecting the signal transmission terminal, the cloud chronograph service platform connected to the Internet of Things through the IoT connection with each smart timin"&amp;"g terminal. The invention can not only solve the problem of missing data during the participating competitions, solve the problem of real -time competition results and network synchronization, but also achieve the lightweight, simplified, multifunctional "&amp;"and easy to recycle of time equipment.")</f>
        <v>The present invention involves a smart timing method, system, and device based on the Internet of Things technology, which includes the smart timing terminal carried by the contestants with each other, the signal emittering terminals at each competition timing point on the competition line, and and and and and and and. The chronograph host connecting the signal transmission terminal, the cloud chronograph service platform connected to the Internet of Things through the IoT connection with each smart timing terminal. The invention can not only solve the problem of missing data during the participating competitions, solve the problem of real -time competition results and network synchronization, but also achieve the lightweight, simplified, multifunctional and easy to recycle of time equipment.</v>
      </c>
      <c r="D3563" s="6" t="s">
        <v>9966</v>
      </c>
      <c r="E3563" s="4" t="str">
        <f ca="1">IFERROR(__xludf.DUMMYFUNCTION("GOOGLETRANSLATE(D3563,""auto"",""en"")"),"A smart timing method, system and device based on IoT technology")</f>
        <v>A smart timing method, system and device based on IoT technology</v>
      </c>
    </row>
    <row r="3564" spans="1:5" ht="15" x14ac:dyDescent="0.25">
      <c r="A3564" s="5" t="s">
        <v>9967</v>
      </c>
      <c r="B3564" s="6" t="s">
        <v>9968</v>
      </c>
      <c r="C3564" s="3" t="str">
        <f ca="1">IFERROR(__xludf.DUMMYFUNCTION("GOOGLETRANSLATE(B3564,""auto"",""en"")"),"This utility model involves a smart timing system and device based on IoT technology, which includes the smart timing terminal carried by the contestants with each other, the signal emittering terminals at each competition timing point on the competition "&amp;"line, and the signal The timing host of the launch terminal connection, the cloud chronograph service platform connected to the Internet of Things through the Internet of Things connect to each smart timing terminal. This practical new model can not only "&amp;"solve the problem of missing data during the participating competitions, solve the problem of real -time competition results and network synchronization, but also achieve the lightweight, simplified, multifunctional and easy to recycle of time equipment.")</f>
        <v>This utility model involves a smart timing system and device based on IoT technology, which includes the smart timing terminal carried by the contestants with each other, the signal emittering terminals at each competition timing point on the competition line, and the signal The timing host of the launch terminal connection, the cloud chronograph service platform connected to the Internet of Things through the Internet of Things connect to each smart timing terminal. This practical new model can not only solve the problem of missing data during the participating competitions, solve the problem of real -time competition results and network synchronization, but also achieve the lightweight, simplified, multifunctional and easy to recycle of time equipment.</v>
      </c>
      <c r="D3564" s="6" t="s">
        <v>9969</v>
      </c>
      <c r="E3564" s="4" t="str">
        <f ca="1">IFERROR(__xludf.DUMMYFUNCTION("GOOGLETRANSLATE(D3564,""auto"",""en"")"),"A smart timing system and device based on IoT technology")</f>
        <v>A smart timing system and device based on IoT technology</v>
      </c>
    </row>
    <row r="3565" spans="1:5" ht="15" x14ac:dyDescent="0.25">
      <c r="A3565" s="5" t="s">
        <v>9970</v>
      </c>
      <c r="B3565" s="6" t="s">
        <v>9971</v>
      </c>
      <c r="C3565" s="3" t="str">
        <f ca="1">IFERROR(__xludf.DUMMYFUNCTION("GOOGLETRANSLATE(B3565,""auto"",""en"")"),"The invention is called the weight of automatic increase or decrease through voice control, which is a sports fitness and industrial technology field. The existing weight cannot be regulated when the hands are occupied or unable to walk away, and the adju"&amp;"stable weight is the fixed value, which cannot meet personalized needs. The invention controls the two -way pump (or pump body) through voice control, changing the amount of liquid in the weight module, and realizing the purpose of adjusting the weight we"&amp;"ight. The present invention can be widely used in the field of sports, fitness and industrial machinery and equipment. It can be integrated in equipment and equipment. It can also be used to carry and use it with a portable device. It can effectively impr"&amp;"ove the training effect and reduce the risk of sports damage. Professional modules, realize the functions of quantitative, timing, fixed speed increase or decrease, personalized voice instruction control, exclusive voice recognition control and other func"&amp;"tions. The invention is simple, low in cost, and safe use.")</f>
        <v>The invention is called the weight of automatic increase or decrease through voice control, which is a sports fitness and industrial technology field. The existing weight cannot be regulated when the hands are occupied or unable to walk away, and the adjustable weight is the fixed value, which cannot meet personalized needs. The invention controls the two -way pump (or pump body) through voice control, changing the amount of liquid in the weight module, and realizing the purpose of adjusting the weight weight. The present invention can be widely used in the field of sports, fitness and industrial machinery and equipment. It can be integrated in equipment and equipment. It can also be used to carry and use it with a portable device. It can effectively improve the training effect and reduce the risk of sports damage. Professional modules, realize the functions of quantitative, timing, fixed speed increase or decrease, personalized voice instruction control, exclusive voice recognition control and other functions. The invention is simple, low in cost, and safe use.</v>
      </c>
      <c r="D3565" s="6" t="s">
        <v>9972</v>
      </c>
      <c r="E3565" s="4" t="str">
        <f ca="1">IFERROR(__xludf.DUMMYFUNCTION("GOOGLETRANSLATE(D3565,""auto"",""en"")"),"Can automatically increase or decrease weight through voice control weight")</f>
        <v>Can automatically increase or decrease weight through voice control weight</v>
      </c>
    </row>
    <row r="3566" spans="1:5" ht="15" x14ac:dyDescent="0.25">
      <c r="A3566" s="5" t="s">
        <v>9973</v>
      </c>
      <c r="B3566" s="6" t="s">
        <v>9974</v>
      </c>
      <c r="C3566" s="3" t="str">
        <f ca="1">IFERROR(__xludf.DUMMYFUNCTION("GOOGLETRANSLATE(B3566,""auto"",""en"")"),"The present invention involves a method of providing information required for pancreatic cancer diagnosis by using artificial intelligence -based Bayesian network to diagnose pancreatic cancer. According to an embodiment, this method includes: the steps o"&amp;"f statistical reports are generated by the medical information of patients with inclined pancreatic cancer; the steps of the probability sheet of the condition through the use of statistical data are used to use the symptoms of actual pancreatic cancer pa"&amp;"tients; The conditional probability table of the statistical data of each symptom to build the steps of the Bayesian network; the steps to apply Bayesian condition probability for the Bayesian network; sex. It is best that the medical information of patie"&amp;"nts with pancreatic cancer is related to statistical data obtained through artificial intelligence or running machines.此外,作为统计数据,胰腺癌患者的医学信息进一步更可取,而不是与不规则腹痛,呕吐或消化不良,减轻体重,黄疸,急性糖尿病,急性糖尿病,急性糖尿病,急性糖尿病,急性糖尿病,呕吐或The possibility of indigestion of pancreatic cance"&amp;"r. CA 19-9 cancer logo, smoking status, family history and gender.")</f>
        <v>The present invention involves a method of providing information required for pancreatic cancer diagnosis by using artificial intelligence -based Bayesian network to diagnose pancreatic cancer. According to an embodiment, this method includes: the steps of statistical reports are generated by the medical information of patients with inclined pancreatic cancer; the steps of the probability sheet of the condition through the use of statistical data are used to use the symptoms of actual pancreatic cancer patients; The conditional probability table of the statistical data of each symptom to build the steps of the Bayesian network; the steps to apply Bayesian condition probability for the Bayesian network; sex. It is best that the medical information of patients with pancreatic cancer is related to statistical data obtained through artificial intelligence or running machines.此外,作为统计数据,胰腺癌患者的医学信息进一步更可取,而不是与不规则腹痛,呕吐或消化不良,减轻体重,黄疸,急性糖尿病,急性糖尿病,急性糖尿病,急性糖尿病,急性糖尿病,呕吐或The possibility of indigestion of pancreatic cancer. CA 19-9 cancer logo, smoking status, family history and gender.</v>
      </c>
      <c r="D3566" s="6" t="s">
        <v>9975</v>
      </c>
      <c r="E3566" s="4" t="str">
        <f ca="1">IFERROR(__xludf.DUMMYFUNCTION("GOOGLETRANSLATE(D3566,""auto"",""en"")"),"Use artificial intelligence -based Bayesian network to provide information provision method, computer program and computer readable record medium based on the diagnosis of pancreatic cancer")</f>
        <v>Use artificial intelligence -based Bayesian network to provide information provision method, computer program and computer readable record medium based on the diagnosis of pancreatic cancer</v>
      </c>
    </row>
    <row r="3567" spans="1:5" ht="15" x14ac:dyDescent="0.25">
      <c r="A3567" s="5" t="s">
        <v>9976</v>
      </c>
      <c r="B3567" s="6" t="s">
        <v>9977</v>
      </c>
      <c r="C3567" s="3" t="str">
        <f ca="1">IFERROR(__xludf.DUMMYFUNCTION("GOOGLETRANSLATE(B3567,""auto"",""en"")"),"The invention disclosure is about a smart robot control method for volleyball training. The robot includes the robot body. The upper part of the robot body is set to place the volleyball network. The robot also includes the heart rate sensor set on the ro"&amp;"bot body And the main controller; this control method includes: the heart rate sensor obtains the heart rate of the personnel within the preset range of the robot body; Whether the heart rate of the personnel meets the preset heart rate conditions, if the"&amp;" robot is walking. The present invention is open to carry volleyball and has a high degree of intelligence.")</f>
        <v>The invention disclosure is about a smart robot control method for volleyball training. The robot includes the robot body. The upper part of the robot body is set to place the volleyball network. The robot also includes the heart rate sensor set on the robot body And the main controller; this control method includes: the heart rate sensor obtains the heart rate of the personnel within the preset range of the robot body; Whether the heart rate of the personnel meets the preset heart rate conditions, if the robot is walking. The present invention is open to carry volleyball and has a high degree of intelligence.</v>
      </c>
      <c r="D3567" s="6" t="s">
        <v>9978</v>
      </c>
      <c r="E3567" s="4" t="str">
        <f ca="1">IFERROR(__xludf.DUMMYFUNCTION("GOOGLETRANSLATE(D3567,""auto"",""en"")"),"Smart robot control method for volleyball training")</f>
        <v>Smart robot control method for volleyball training</v>
      </c>
    </row>
    <row r="3568" spans="1:5" ht="15" x14ac:dyDescent="0.25">
      <c r="A3568" s="5" t="s">
        <v>9979</v>
      </c>
      <c r="B3568" s="6" t="s">
        <v>9980</v>
      </c>
      <c r="C3568" s="3" t="str">
        <f ca="1">IFERROR(__xludf.DUMMYFUNCTION("GOOGLETRANSLATE(B3568,""auto"",""en"")"),"The present invention is open to a smart robot for volleyball training, including the robot body. The upper part of the robot body is set to place the volleyball network department. Obtain the heart rate of the personnel within the preset range of the rob"&amp;"ot body; the main controller connects to the heart rate sensor to receive the heart rate of the person in the person output of the heart rate sensor, and determine whether the heart rate of the person is met to meet the satisfaction of the person's heart "&amp;"rate. The preset heart rate conditions are controlled if the robot walks. The present invention is open to carry volleyball and has a high degree of intelligence.")</f>
        <v>The present invention is open to a smart robot for volleyball training, including the robot body. The upper part of the robot body is set to place the volleyball network department. Obtain the heart rate of the personnel within the preset range of the robot body; the main controller connects to the heart rate sensor to receive the heart rate of the person in the person output of the heart rate sensor, and determine whether the heart rate of the person is met to meet the satisfaction of the person's heart rate. The preset heart rate conditions are controlled if the robot walks. The present invention is open to carry volleyball and has a high degree of intelligence.</v>
      </c>
      <c r="D3568" s="6" t="s">
        <v>9981</v>
      </c>
      <c r="E3568" s="4" t="str">
        <f ca="1">IFERROR(__xludf.DUMMYFUNCTION("GOOGLETRANSLATE(D3568,""auto"",""en"")"),"Smart robots used for volleyball training")</f>
        <v>Smart robots used for volleyball training</v>
      </c>
    </row>
    <row r="3569" spans="1:5" ht="15" x14ac:dyDescent="0.25">
      <c r="A3569" s="5" t="s">
        <v>9982</v>
      </c>
      <c r="B3569" s="6" t="s">
        <v>9983</v>
      </c>
      <c r="C3569" s="3" t="str">
        <f ca="1">IFERROR(__xludf.DUMMYFUNCTION("GOOGLETRANSLATE(B3569,""auto"",""en"")"),"1. The name of the product in this exterior: smart home terminal with graphical user interface.
 2. The purpose of designing products in this exterior: This design product is used for running programs and communication.
 3. The design points of the de"&amp;"sign of the product: the graphic user interface in the screen, the rest is commonly designed.
 4. The picture or photo of the main point of design design in this appearance: Design 1 main view.
 5. Save omittime view: Design 1 后5 rear view, left view,"&amp;" right view, overwhelming view, and retry view are commonly designed, so omitted.
 6. Specify basic design: Design 1.
 7. The interface purpose of designing products in this exterior: for smart home terminal to realize human -machine interaction and d"&amp;"isplay prompt information, the top of the interface shows basic function keys such as ""power"", ""volume"", and ""wireless network"". Instruction icon; design 1 to design 5 main views to the central part of the information prompt interface, the informati"&amp;"on prompt interface on the right side shows information indicator blocks such as ""date time"", ""payment"", ""sports"", and the color of each information indicator block Different from other information indicator blocks; the information color block of th"&amp;"e color block of the color block on the left side of the information prompt interface and the corresponding information block of the information indicator, the information block display the information of the corresponding information indicator block, the"&amp;" important information red highlights; design 1 shows the information color block Replace the interface, design 1 interface change state Figure 1 shows the user's click information indicator and drag to the left side of the information prompt interface. 2"&amp;" Show the information color block corresponding to the information indicator of the clicks to replace the information block of the dragging position; design 2 to show the information prompt interface; design 3 to show the information indicator block dragg"&amp;"ing interface; design 4 to show the information indicator preview interface , Design 4 interface changes status diagram shows the preview information indicator block on the right side of the right side of the information prompt interface; design 5 shows t"&amp;"he ""message prompt"" information color block information scroll interface, design 5 interface change status diagram out of the ""message prompt"" information color color color color color color color The information rolling prompt in the block.")</f>
        <v>1. The name of the product in this exterior: smart home terminal with graphical user interface.
 2. The purpose of designing products in this exterior: This design product is used for running programs and communication.
 3. The design points of the design of the product: the graphic user interface in the screen, the rest is commonly designed.
 4. The picture or photo of the main point of design design in this appearance: Design 1 main view.
 5. Save omittime view: Design 1 后5 rear view, left view, right view, overwhelming view, and retry view are commonly designed, so omitted.
 6. Specify basic design: Design 1.
 7. The interface purpose of designing products in this exterior: for smart home terminal to realize human -machine interaction and display prompt information, the top of the interface shows basic function keys such as "power", "volume", and "wireless network". Instruction icon; design 1 to design 5 main views to the central part of the information prompt interface, the information prompt interface on the right side shows information indicator blocks such as "date time", "payment", "sports", and the color of each information indicator block Different from other information indicator blocks; the information color block of the color block of the color block on the left side of the information prompt interface and the corresponding information block of the information indicator, the information block display the information of the corresponding information indicator block, the important information red highlights; design 1 shows the information color block Replace the interface, design 1 interface change state Figure 1 shows the user's click information indicator and drag to the left side of the information prompt interface. 2 Show the information color block corresponding to the information indicator of the clicks to replace the information block of the dragging position; design 2 to show the information prompt interface; design 3 to show the information indicator block dragging interface; design 4 to show the information indicator preview interface , Design 4 interface changes status diagram shows the preview information indicator block on the right side of the right side of the information prompt interface; design 5 shows the "message prompt" information color block information scroll interface, design 5 interface change status diagram out of the "message prompt" information color color color color color color color The information rolling prompt in the block.</v>
      </c>
      <c r="D3569" s="6" t="s">
        <v>9984</v>
      </c>
      <c r="E3569" s="4" t="str">
        <f ca="1">IFERROR(__xludf.DUMMYFUNCTION("GOOGLETRANSLATE(D3569,""auto"",""en"")"),"Smart home terminal with graphical user interface")</f>
        <v>Smart home terminal with graphical user interface</v>
      </c>
    </row>
    <row r="3570" spans="1:5" ht="15" x14ac:dyDescent="0.25">
      <c r="A3570" s="5" t="s">
        <v>9985</v>
      </c>
      <c r="B3570" s="6" t="s">
        <v>9986</v>
      </c>
      <c r="C3570" s="3" t="str">
        <f ca="1">IFERROR(__xludf.DUMMYFUNCTION("GOOGLETRANSLATE(B3570,""auto"",""en"")"),"A dialogue -based intelligent presentation training system and method and method. Demonstration practice guidance methods performed according to the demonstration exercises of a demonstration exercises of an embodiment include: collecting the voice data e"&amp;"ntered by the user in real time; the pronunciation data of the collected voice data is obtained and extracted; Compare the preparation of the demonstration exercises; according to the degree of preparation of the measurement, determine whether the text da"&amp;"ta conversion from the collected voice data is compressed.")</f>
        <v>A dialogue -based intelligent presentation training system and method and method. Demonstration practice guidance methods performed according to the demonstration exercises of a demonstration exercises of an embodiment include: collecting the voice data entered by the user in real time; the pronunciation data of the collected voice data is obtained and extracted; Compare the preparation of the demonstration exercises; according to the degree of preparation of the measurement, determine whether the text data conversion from the collected voice data is compressed.</v>
      </c>
      <c r="D3570" s="6" t="s">
        <v>9987</v>
      </c>
      <c r="E3570" s="4" t="str">
        <f ca="1">IFERROR(__xludf.DUMMYFUNCTION("GOOGLETRANSLATE(D3570,""auto"",""en"")"),"Intelligent demonstration practice coaching system and operation method based on session -based session")</f>
        <v>Intelligent demonstration practice coaching system and operation method based on session -based session</v>
      </c>
    </row>
    <row r="3571" spans="1:5" ht="15" x14ac:dyDescent="0.25">
      <c r="A3571" s="5" t="s">
        <v>9988</v>
      </c>
      <c r="B3571" s="6" t="s">
        <v>9989</v>
      </c>
      <c r="C3571" s="3" t="str">
        <f ca="1">IFERROR(__xludf.DUMMYFUNCTION("GOOGLETRANSLATE(B3571,""auto"",""en"")"),"This utility model belongs to the field of electronic control technology and provides a car cockpit human -machine interactive evaluation system, including: simulation cockpit, computer, image display equipment and operation collection equipment. In front"&amp;" of the simulation cockpit, the terminal is set to be set in the simulated cockpit, which is located in the simulation cockpit and connects to the computer. Because the computer can simulate the real driving process based on the tester's driving manipulat"&amp;"ion device in the cockpit and the operation of the terminal to be evaluated. It is easy to analyze the tester based on the actual driving process to evaluate the convenience of the cockpit human machine interaction during the use of the cockpit human mach"&amp;"ine interaction in the actual driving process to evaluate the convenience of the cockpit human machine interaction.")</f>
        <v>This utility model belongs to the field of electronic control technology and provides a car cockpit human -machine interactive evaluation system, including: simulation cockpit, computer, image display equipment and operation collection equipment. In front of the simulation cockpit, the terminal is set to be set in the simulated cockpit, which is located in the simulation cockpit and connects to the computer. Because the computer can simulate the real driving process based on the tester's driving manipulation device in the cockpit and the operation of the terminal to be evaluated. It is easy to analyze the tester based on the actual driving process to evaluate the convenience of the cockpit human machine interaction during the use of the cockpit human machine interaction in the actual driving process to evaluate the convenience of the cockpit human machine interaction.</v>
      </c>
      <c r="D3571" s="6" t="s">
        <v>9990</v>
      </c>
      <c r="E3571" s="4" t="str">
        <f ca="1">IFERROR(__xludf.DUMMYFUNCTION("GOOGLETRANSLATE(D3571,""auto"",""en"")"),"A car cockpit human machine interaction evaluation system")</f>
        <v>A car cockpit human machine interaction evaluation system</v>
      </c>
    </row>
    <row r="3572" spans="1:5" ht="15" x14ac:dyDescent="0.25">
      <c r="A3572" s="5" t="s">
        <v>9991</v>
      </c>
      <c r="B3572" s="6" t="s">
        <v>9992</v>
      </c>
      <c r="C3572" s="3" t="str">
        <f ca="1">IFERROR(__xludf.DUMMYFUNCTION("GOOGLETRANSLATE(B3572,""auto"",""en"")"),"In this practical new type, because the traditional fitness vehicle is limited by space, it can only be installed in the gym or family. Through the distance, speed, and momentum detection, you can only step on the pedal to play a single fitness effect. Th"&amp;"e car market has gradually developed. At present, there is no energy collection technology to discard the vibration energy generated by the fitness vehicle, or the vibration energy during the collection (collection) fitness vehicles is collected (collecti"&amp;"ng) the energy recycling. To solve the problem of urgent need of safety collection technology, more display unit 100, sensor unit 200, treadmill bicycle module 300, game network family area formation unit 400, bicycle energy collection module (500) and mi"&amp;"croprocessor unit 600, cafes, coffee coffee, coffee coffee In the specific spaces of the hall, gym, professional screen stores, offices, families, etc., it can be easily disassembled and assembled into an independent space. The installation compatibility "&amp;"is highly compatible. Display units formed 1: 1, 1: 2, 1: N structure nodes to create a game atmosphere. It can induce competition with other users. Compared with the existing health effects that can increase by 2 to 4 times, energy collecting 50Hz or hig"&amp;"her frequency range of vibration energy can obtain an output voltage 4.0V ~ 8.1V, input, input, and input. The voltage is above 2.4V, and various output voltage can be generated as needed. The most important thing that can be widely used in smart devices "&amp;"and IoT devices is that by converting the power generated by cycling in the wild The user's cycling movement is the consciousness of money, thereby increasing the user's interest and interest. Investment of user health effects and energy collection effect"&amp;"s can activate the indoor screen bicycle market to provide a effect -type indoor screen bicycle experience device.")</f>
        <v>In this practical new type, because the traditional fitness vehicle is limited by space, it can only be installed in the gym or family. Through the distance, speed, and momentum detection, you can only step on the pedal to play a single fitness effect. The car market has gradually developed. At present, there is no energy collection technology to discard the vibration energy generated by the fitness vehicle, or the vibration energy during the collection (collection) fitness vehicles is collected (collecting) the energy recycling. To solve the problem of urgent need of safety collection technology, more display unit 100, sensor unit 200, treadmill bicycle module 300, game network family area formation unit 400, bicycle energy collection module (500) and microprocessor unit 600, cafes, coffee coffee, coffee coffee In the specific spaces of the hall, gym, professional screen stores, offices, families, etc., it can be easily disassembled and assembled into an independent space. The installation compatibility is highly compatible. Display units formed 1: 1, 1: 2, 1: N structure nodes to create a game atmosphere. It can induce competition with other users. Compared with the existing health effects that can increase by 2 to 4 times, energy collecting 50Hz or higher frequency range of vibration energy can obtain an output voltage 4.0V ~ 8.1V, input, input, and input. The voltage is above 2.4V, and various output voltage can be generated as needed. The most important thing that can be widely used in smart devices and IoT devices is that by converting the power generated by cycling in the wild The user's cycling movement is the consciousness of money, thereby increasing the user's interest and interest. Investment of user health effects and energy collection effects can activate the indoor screen bicycle market to provide a effect -type indoor screen bicycle experience device.</v>
      </c>
      <c r="D3572" s="6" t="s">
        <v>9993</v>
      </c>
      <c r="E3572" s="4" t="str">
        <f ca="1">IFERROR(__xludf.DUMMYFUNCTION("GOOGLETRANSLATE(D3572,""auto"",""en"")"),"Double -effect indoor screen bicycle simulator with health effect and energy collection effect")</f>
        <v>Double -effect indoor screen bicycle simulator with health effect and energy collection effect</v>
      </c>
    </row>
    <row r="3573" spans="1:5" ht="15" x14ac:dyDescent="0.25">
      <c r="A3573" s="5" t="s">
        <v>9994</v>
      </c>
      <c r="B3573" s="6" t="s">
        <v>9995</v>
      </c>
      <c r="C3573" s="3" t="str">
        <f ca="1">IFERROR(__xludf.DUMMYFUNCTION("GOOGLETRANSLATE(B3573,""auto"",""en"")"),"The present invention proposes an intelligent control method for shared fitness system. Including the data processing and control end, the user's movement end; the user's motion side is fitness equipment, the data processing and control terminal control t"&amp;"he work mode of controlling fitness equipment according to the motion solution; ; The working mode of fitness equipment includes gears, times, and intervals; users view data and/or settings data through human -computer interconnection; managers conduct sy"&amp;"stem management through human -computer interoperability; users send managers through human -computer interoperability to send managers through the interoperability The fitness scheme adjustment request, management personnel adjust the fitness plan accord"&amp;"ing to the adjustment request and save it on the data processing and control terminal. The present invention sets the working mode of fitness equipment based on the exercise plan, so as to achieve intelligent fitness.")</f>
        <v>The present invention proposes an intelligent control method for shared fitness system. Including the data processing and control end, the user's movement end; the user's motion side is fitness equipment, the data processing and control terminal control the work mode of controlling fitness equipment according to the motion solution; ; The working mode of fitness equipment includes gears, times, and intervals; users view data and/or settings data through human -computer interconnection; managers conduct system management through human -computer interoperability; users send managers through human -computer interoperability to send managers through the interoperability The fitness scheme adjustment request, management personnel adjust the fitness plan according to the adjustment request and save it on the data processing and control terminal. The present invention sets the working mode of fitness equipment based on the exercise plan, so as to achieve intelligent fitness.</v>
      </c>
      <c r="D3573" s="6" t="s">
        <v>9996</v>
      </c>
      <c r="E3573" s="4" t="str">
        <f ca="1">IFERROR(__xludf.DUMMYFUNCTION("GOOGLETRANSLATE(D3573,""auto"",""en"")"),"An intelligent control method of a shared body fitness system")</f>
        <v>An intelligent control method of a shared body fitness system</v>
      </c>
    </row>
    <row r="3574" spans="1:5" ht="15" x14ac:dyDescent="0.25">
      <c r="A3574" s="5" t="s">
        <v>9997</v>
      </c>
      <c r="B3574" s="6" t="s">
        <v>9998</v>
      </c>
      <c r="C3574" s="3" t="str">
        <f ca="1">IFERROR(__xludf.DUMMYFUNCTION("GOOGLETRANSLATE(B3574,""auto"",""en"")"),"The present invention proposes a comprehensive sharing fitness management system. Including user detection, data processing and control, and user movement end; user detection terminals are used to obtain human data required for forming motion solutions; F"&amp;"or exercise schemes, cardiopulmonary functional data reports, muscle strength data reports, exercise protection reports, and one or more dietary recommendations; the user's sports end is fitness equipment, data processing and control end control the work "&amp;"mode of fitness equipment according to the motion scheme; It also includes human -computer interaction. Users conduct psychological rehabilitation questionnaires on human -computer interaction. The data processing and control end will generate psychologic"&amp;"al rehabilitation suggestions for the user based on the results of the user questionnaire survey. The present invention sets the working mode of fitness equipment according to the sports plan to achieve intelligent fitness.")</f>
        <v>The present invention proposes a comprehensive sharing fitness management system. Including user detection, data processing and control, and user movement end; user detection terminals are used to obtain human data required for forming motion solutions; For exercise schemes, cardiopulmonary functional data reports, muscle strength data reports, exercise protection reports, and one or more dietary recommendations; the user's sports end is fitness equipment, data processing and control end control the work mode of fitness equipment according to the motion scheme; It also includes human -computer interaction. Users conduct psychological rehabilitation questionnaires on human -computer interaction. The data processing and control end will generate psychological rehabilitation suggestions for the user based on the results of the user questionnaire survey. The present invention sets the working mode of fitness equipment according to the sports plan to achieve intelligent fitness.</v>
      </c>
      <c r="D3574" s="6" t="s">
        <v>9999</v>
      </c>
      <c r="E3574" s="4" t="str">
        <f ca="1">IFERROR(__xludf.DUMMYFUNCTION("GOOGLETRANSLATE(D3574,""auto"",""en"")"),"A comprehensive shared body fitness management system")</f>
        <v>A comprehensive shared body fitness management system</v>
      </c>
    </row>
    <row r="3575" spans="1:5" ht="15" x14ac:dyDescent="0.25">
      <c r="A3575" s="5" t="s">
        <v>10000</v>
      </c>
      <c r="B3575" s="6" t="s">
        <v>10001</v>
      </c>
      <c r="C3575" s="3" t="str">
        <f ca="1">IFERROR(__xludf.DUMMYFUNCTION("GOOGLETRANSLATE(B3575,""auto"",""en"")"),"The present invention proposes a fitting fitness evaluation system. Including user detection, data processing and control end, and human -computer interconnection; user detection end is used to obtain human data; data processing and control end form data "&amp;"reports based on human data; human -machine interaction is used for system management; Human data includes human signs data, cardiopulmonary functional data and/or muscle strength data; users check data reports through human -computer interconnection; dat"&amp;"a reports include human ingredient data, cardiopulmonary functional data, muscle strength data, dietary recommendations, and exercise protection reports One or more of them; the detection equipment on the user detection end includes the height body weight"&amp;" measuring instrument, the blood pressure measuring instrument, the human body component analyzer, the power vehicle or the oil resistance equipment. The present invention measures different physical condition information of the user through different det"&amp;"ection devices, and then integrates and analyzes the user's data to form a comprehensive and scientific user guidance report.")</f>
        <v>The present invention proposes a fitting fitness evaluation system. Including user detection, data processing and control end, and human -computer interconnection; user detection end is used to obtain human data; data processing and control end form data reports based on human data; human -machine interaction is used for system management; Human data includes human signs data, cardiopulmonary functional data and/or muscle strength data; users check data reports through human -computer interconnection; data reports include human ingredient data, cardiopulmonary functional data, muscle strength data, dietary recommendations, and exercise protection reports One or more of them; the detection equipment on the user detection end includes the height body weight measuring instrument, the blood pressure measuring instrument, the human body component analyzer, the power vehicle or the oil resistance equipment. The present invention measures different physical condition information of the user through different detection devices, and then integrates and analyzes the user's data to form a comprehensive and scientific user guidance report.</v>
      </c>
      <c r="D3575" s="6" t="s">
        <v>10002</v>
      </c>
      <c r="E3575" s="4" t="str">
        <f ca="1">IFERROR(__xludf.DUMMYFUNCTION("GOOGLETRANSLATE(D3575,""auto"",""en"")"),"A suitable fitness fitness evaluation system")</f>
        <v>A suitable fitness fitness evaluation system</v>
      </c>
    </row>
    <row r="3576" spans="1:5" ht="15" x14ac:dyDescent="0.25">
      <c r="A3576" s="5" t="s">
        <v>10003</v>
      </c>
      <c r="B3576" s="6" t="s">
        <v>10004</v>
      </c>
      <c r="C3576" s="3" t="str">
        <f ca="1">IFERROR(__xludf.DUMMYFUNCTION("GOOGLETRANSLATE(B3576,""auto"",""en"")"),"The present invention proposes an aerobic and power -sharing fitness system and method. Including user detection, data processing and control, and user movement end; user detection terminals are used to obtain human data required for forming motion soluti"&amp;"ons; data processing and control terminals form motion solutions according to the human data; The data processing and control end control the working mode of fitness equipment according to the motion scheme; the exercise scheme includes the type of motion"&amp;" and the amount of exercise corresponding to the type of sports; Data include human signs data and cardiopulmonary functional data and/or muscle strength data; the user's motor end also includes data display device and human -computer interaction, data sh"&amp;"ows that the device is used to display the amount of motion that the motion solution and/or the user completed, and human -computer interaction Settings are set on mobile communication devices and/or PCs. The present invention can achieve shared intellige"&amp;"nt fitness.")</f>
        <v>The present invention proposes an aerobic and power -sharing fitness system and method. Including user detection, data processing and control, and user movement end; user detection terminals are used to obtain human data required for forming motion solutions; data processing and control terminals form motion solutions according to the human data; The data processing and control end control the working mode of fitness equipment according to the motion scheme; the exercise scheme includes the type of motion and the amount of exercise corresponding to the type of sports; Data include human signs data and cardiopulmonary functional data and/or muscle strength data; the user's motor end also includes data display device and human -computer interaction, data shows that the device is used to display the amount of motion that the motion solution and/or the user completed, and human -computer interaction Settings are set on mobile communication devices and/or PCs. The present invention can achieve shared intelligent fitness.</v>
      </c>
      <c r="D3576" s="6" t="s">
        <v>10005</v>
      </c>
      <c r="E3576" s="4" t="str">
        <f ca="1">IFERROR(__xludf.DUMMYFUNCTION("GOOGLETRANSLATE(D3576,""auto"",""en"")"),"A shared fitting fitness system and method of aerobic and power")</f>
        <v>A shared fitting fitness system and method of aerobic and power</v>
      </c>
    </row>
    <row r="3577" spans="1:5" ht="15" x14ac:dyDescent="0.25">
      <c r="A3577" s="5" t="s">
        <v>10006</v>
      </c>
      <c r="B3577" s="6" t="s">
        <v>10007</v>
      </c>
      <c r="C3577" s="3" t="str">
        <f ca="1">IFERROR(__xludf.DUMMYFUNCTION("GOOGLETRANSLATE(B3577,""auto"",""en"")"),"The invention involves a best attack path planning method based on Kohonen's neural network, which is the field of information security technology. The specific operation steps are: Step 1. Get the network structure. Step 2. Collect the host and vulnerabi"&amp;"lity information in the network system. Step 3: Establish a Kohonen neural network model. Step 4. Train Kohonen neural network model to get the trained Kohonen neural network model. Step 5: Use the trained Kohonen neural network model to predict the exper"&amp;"imental data and get the output vector YM. Step 6. Construct K六 attack map. Step 7. Construction probability matrix of the K击 attack graph and the best atom attack matrix. Step 8. Get the best attack path. Compared with the existing technologies, which is"&amp;" proposed by the invention based on the Kohonen neural network, the present invention has the following advantages: ① The generated attack chart only retains the most likely attack node to avoid the status explosion problem. ② Strong generalization perfor"&amp;"mance. ③ The optimal attack path generates fast.")</f>
        <v>The invention involves a best attack path planning method based on Kohonen's neural network, which is the field of information security technology. The specific operation steps are: Step 1. Get the network structure. Step 2. Collect the host and vulnerability information in the network system. Step 3: Establish a Kohonen neural network model. Step 4. Train Kohonen neural network model to get the trained Kohonen neural network model. Step 5: Use the trained Kohonen neural network model to predict the experimental data and get the output vector YM. Step 6. Construct K六 attack map. Step 7. Construction probability matrix of the K击 attack graph and the best atom attack matrix. Step 8. Get the best attack path. Compared with the existing technologies, which is proposed by the invention based on the Kohonen neural network, the present invention has the following advantages: ① The generated attack chart only retains the most likely attack node to avoid the status explosion problem. ② Strong generalization performance. ③ The optimal attack path generates fast.</v>
      </c>
      <c r="D3577" s="6" t="s">
        <v>10008</v>
      </c>
      <c r="E3577" s="4" t="str">
        <f ca="1">IFERROR(__xludf.DUMMYFUNCTION("GOOGLETRANSLATE(D3577,""auto"",""en"")"),"A best planning method based on Kohonen's neural network")</f>
        <v>A best planning method based on Kohonen's neural network</v>
      </c>
    </row>
    <row r="3578" spans="1:5" ht="15" x14ac:dyDescent="0.25">
      <c r="A3578" s="5" t="s">
        <v>10009</v>
      </c>
      <c r="B3578" s="6" t="s">
        <v>10010</v>
      </c>
      <c r="C3578" s="3" t="str">
        <f ca="1">IFERROR(__xludf.DUMMYFUNCTION("GOOGLETRANSLATE(B3578,""auto"",""en"")"),"The present invention involves a basketball referee glove, including two suits, which is characterized by a base -type resistance strain film on the finger bags of each suit. The fingers with a finger in the finger bag are bent and bending. All basic bar "&amp;"resistance strain tablets are connected to the Arduino core board via the detection circuit. Another technical solution of the present invention is to provide an interactive display system, which is characterized by the human posture identification module"&amp;", the state of the finger state recognition module, the human -machine interaction and display module. The present invention uses a curved sensor to determine whether there is a finger bending, and whether the gesture can be exposed to the palm of the pal"&amp;"m. As long as the finger is bent, you can make a judgment, avoiding misjudgment caused by the sensor is not sensitive. And using synchronous sound playback and large screen display, allowing audiences who know the gestures of the referee can clearly know "&amp;"the judgment results of the referee, which increases the readability and clarity of the judgment effect.")</f>
        <v>The present invention involves a basketball referee glove, including two suits, which is characterized by a base -type resistance strain film on the finger bags of each suit. The fingers with a finger in the finger bag are bent and bending. All basic bar resistance strain tablets are connected to the Arduino core board via the detection circuit. Another technical solution of the present invention is to provide an interactive display system, which is characterized by the human posture identification module, the state of the finger state recognition module, the human -machine interaction and display module. The present invention uses a curved sensor to determine whether there is a finger bending, and whether the gesture can be exposed to the palm of the palm. As long as the finger is bent, you can make a judgment, avoiding misjudgment caused by the sensor is not sensitive. And using synchronous sound playback and large screen display, allowing audiences who know the gestures of the referee can clearly know the judgment results of the referee, which increases the readability and clarity of the judgment effect.</v>
      </c>
      <c r="D3578" s="6" t="s">
        <v>10011</v>
      </c>
      <c r="E3578" s="4" t="str">
        <f ca="1">IFERROR(__xludf.DUMMYFUNCTION("GOOGLETRANSLATE(D3578,""auto"",""en"")"),"Basketball referee gloves and interactive display system")</f>
        <v>Basketball referee gloves and interactive display system</v>
      </c>
    </row>
    <row r="3579" spans="1:5" ht="15" x14ac:dyDescent="0.25">
      <c r="A3579" s="5" t="s">
        <v>10012</v>
      </c>
      <c r="B3579" s="6" t="s">
        <v>10013</v>
      </c>
      <c r="C3579" s="3" t="str">
        <f ca="1">IFERROR(__xludf.DUMMYFUNCTION("GOOGLETRANSLATE(B3579,""auto"",""en"")"),"A voice -based automation and security system, which is used to control the connected household appliances connected by wired or wireless communication in the building space by using voice recognition software, and provides monitoring through the system's"&amp;" IR and IP cameras. The system includes micro -controller, microphone and embedded voice recognition software that receives user voice input, and compares the user's voice command/input with a predetermined command in the memory to control the device corr"&amp;"esponding to the voice input. The system's infrared camera is further activated when the personnel move, and remind users that the handheld device has an abnormal activity. Users can access the network camera to check the building space. This device can b"&amp;"e connected to mobile phones, fitness bracelets, etc. The present invention saves electricity, and controls electrical appliances without network connections.")</f>
        <v>A voice -based automation and security system, which is used to control the connected household appliances connected by wired or wireless communication in the building space by using voice recognition software, and provides monitoring through the system's IR and IP cameras. The system includes micro -controller, microphone and embedded voice recognition software that receives user voice input, and compares the user's voice command/input with a predetermined command in the memory to control the device corresponding to the voice input. The system's infrared camera is further activated when the personnel move, and remind users that the handheld device has an abnormal activity. Users can access the network camera to check the building space. This device can be connected to mobile phones, fitness bracelets, etc. The present invention saves electricity, and controls electrical appliances without network connections.</v>
      </c>
      <c r="D3579" s="6" t="s">
        <v>10014</v>
      </c>
      <c r="E3579" s="4" t="str">
        <f ca="1">IFERROR(__xludf.DUMMYFUNCTION("GOOGLETRANSLATE(D3579,""auto"",""en"")"),"Voice -based automation and safety system")</f>
        <v>Voice -based automation and safety system</v>
      </c>
    </row>
    <row r="3580" spans="1:5" ht="15" x14ac:dyDescent="0.25">
      <c r="A3580" s="5" t="s">
        <v>10015</v>
      </c>
      <c r="B3580" s="6" t="s">
        <v>10016</v>
      </c>
      <c r="C3580" s="3" t="str">
        <f ca="1">IFERROR(__xludf.DUMMYFUNCTION("GOOGLETRANSLATE(B3580,""auto"",""en"")"),"The present invention disclosed a smart fitness gallery management system based on the Internet of Things, including smart device terminals, smart gateway, cloud server and terminal devices, smart gates, smart storage, intelligent fitness equipment, smart"&amp;" cargo vending machines and smart bathing equipment Connect the smart gateway, the smart gateway connects the cloud server and terminal devices in turn, and the smart gateway connects the terminal device; its management method includes step S1: terminal d"&amp;"evice send instruction to the smart gateway; step S2: communication with cloud server to communicate; step S3: The cloud server gives the results feedback to the smart gateway and terminal devices; the step S4: The intelligent gateway interacts with the s"&amp;"mart device terminal based on the instruction; the step S5: the smart device terminal obtain the intelligent gateway instruction, according to instructions and execute the device control. The present invention strengthens the degree of intelligence, reduc"&amp;"es operating costs, improves the efficiency of the management of fitness halls, and improves user experience.")</f>
        <v>The present invention disclosed a smart fitness gallery management system based on the Internet of Things, including smart device terminals, smart gateway, cloud server and terminal devices, smart gates, smart storage, intelligent fitness equipment, smart cargo vending machines and smart bathing equipment Connect the smart gateway, the smart gateway connects the cloud server and terminal devices in turn, and the smart gateway connects the terminal device; its management method includes step S1: terminal device send instruction to the smart gateway; step S2: communication with cloud server to communicate; step S3: The cloud server gives the results feedback to the smart gateway and terminal devices; the step S4: The intelligent gateway interacts with the smart device terminal based on the instruction; the step S5: the smart device terminal obtain the intelligent gateway instruction, according to instructions and execute the device control. The present invention strengthens the degree of intelligence, reduces operating costs, improves the efficiency of the management of fitness halls, and improves user experience.</v>
      </c>
      <c r="D3580" s="6" t="s">
        <v>10017</v>
      </c>
      <c r="E3580" s="4" t="str">
        <f ca="1">IFERROR(__xludf.DUMMYFUNCTION("GOOGLETRANSLATE(D3580,""auto"",""en"")"),"A smart fitness gallery management system and its management method based on the Internet of Things")</f>
        <v>A smart fitness gallery management system and its management method based on the Internet of Things</v>
      </c>
    </row>
    <row r="3581" spans="1:5" ht="15" x14ac:dyDescent="0.25">
      <c r="A3581" s="5" t="s">
        <v>10018</v>
      </c>
      <c r="B3581" s="6" t="s">
        <v>10019</v>
      </c>
      <c r="C3581" s="3" t="str">
        <f ca="1">IFERROR(__xludf.DUMMYFUNCTION("GOOGLETRANSLATE(B3581,""auto"",""en"")"),"A sports interactive video records and scanning mechanism and system. The scanning record device is configured to capture 360 ​​° HD video through infrared transmitter, image sensor and optical character recognition to detect the action and accuracy of th"&amp;"e mobility of the fighting players in the fighting competition. Provide at least one 360 ​​° high -definition camera. An official UFC official battle and boxing gloves have a detachable personalized wrist pulse tracker to configure to track, analyze and e"&amp;"xplain the soldiers' specific heart rate and life signs. Training and combat intelligent equipment and equipment are configured to send a wireless signal helmet from an intelligent professional series comprehensive fighting gloves, a smart boxing glove, a"&amp;"n intelligent airplane, an intelligent protective cup system, and a statistical helmet received by a smart protective cover. , Smart Thai pads, smart focus gloves or smart hand towels. The artificial intelligence software calculates and decipher the numbe"&amp;"r of hitting and landing of each soldier, the body part of the warrior hit, and the speed and strength of each hit.")</f>
        <v>A sports interactive video records and scanning mechanism and system. The scanning record device is configured to capture 360 ​​° HD video through infrared transmitter, image sensor and optical character recognition to detect the action and accuracy of the mobility of the fighting players in the fighting competition. Provide at least one 360 ​​° high -definition camera. An official UFC official battle and boxing gloves have a detachable personalized wrist pulse tracker to configure to track, analyze and explain the soldiers' specific heart rate and life signs. Training and combat intelligent equipment and equipment are configured to send a wireless signal helmet from an intelligent professional series comprehensive fighting gloves, a smart boxing glove, an intelligent airplane, an intelligent protective cup system, and a statistical helmet received by a smart protective cover. , Smart Thai pads, smart focus gloves or smart hand towels. The artificial intelligence software calculates and decipher the number of hitting and landing of each soldier, the body part of the warrior hit, and the speed and strength of each hit.</v>
      </c>
      <c r="D3581" s="6" t="s">
        <v>10020</v>
      </c>
      <c r="E3581" s="4" t="str">
        <f ca="1">IFERROR(__xludf.DUMMYFUNCTION("GOOGLETRANSLATE(D3581,""auto"",""en"")"),"Recording dynamic interactive videos for warriors in hybrid martial arts and boxing competitions")</f>
        <v>Recording dynamic interactive videos for warriors in hybrid martial arts and boxing competitions</v>
      </c>
    </row>
    <row r="3582" spans="1:5" ht="15" x14ac:dyDescent="0.25">
      <c r="A3582" s="5" t="s">
        <v>10021</v>
      </c>
      <c r="B3582" s="6" t="s">
        <v>10022</v>
      </c>
      <c r="C3582" s="3" t="str">
        <f ca="1">IFERROR(__xludf.DUMMYFUNCTION("GOOGLETRANSLATE(B3582,""auto"",""en"")"),"The present invention involves an integrated host of an online version of robotic electronic coaching intelligent teaching system, including radar settings set in the front or back or left or right of the integrated host. Embedded processor, network commu"&amp;"nication unit and voltage voltage power supply. Give all module components on the motherboard to power, and the embedded processor processes the information of the radar, vehicle signal collection device and the GPS device to the network communication uni"&amp;"t. The main console network connection of the car tablet and the driving school control center. The architecture is very simple, which improves the degree of integration of the car, the size is small, and improves the degree of artificial intelligence of "&amp;"electronic coaches. It is more convenient for installation and maintenance.")</f>
        <v>The present invention involves an integrated host of an online version of robotic electronic coaching intelligent teaching system, including radar settings set in the front or back or left or right of the integrated host. Embedded processor, network communication unit and voltage voltage power supply. Give all module components on the motherboard to power, and the embedded processor processes the information of the radar, vehicle signal collection device and the GPS device to the network communication unit. The main console network connection of the car tablet and the driving school control center. The architecture is very simple, which improves the degree of integration of the car, the size is small, and improves the degree of artificial intelligence of electronic coaches. It is more convenient for installation and maintenance.</v>
      </c>
      <c r="D3582" s="6" t="s">
        <v>10023</v>
      </c>
      <c r="E3582" s="4" t="str">
        <f ca="1">IFERROR(__xludf.DUMMYFUNCTION("GOOGLETRANSLATE(D3582,""auto"",""en"")"),"A online version of the robotic electronic coach intelligent teaching system integration host")</f>
        <v>A online version of the robotic electronic coach intelligent teaching system integration host</v>
      </c>
    </row>
    <row r="3583" spans="1:5" ht="15" x14ac:dyDescent="0.25">
      <c r="A3583" s="5" t="s">
        <v>10024</v>
      </c>
      <c r="B3583" s="6" t="s">
        <v>10025</v>
      </c>
      <c r="C3583" s="3" t="str">
        <f ca="1">IFERROR(__xludf.DUMMYFUNCTION("GOOGLETRANSLATE(B3583,""auto"",""en"")"),"The present invention involves an artificial intelligence football coaching technology with holographic projection technology. This technology collects the training, competitions, and physical data of football players through the football player training "&amp;"competition information collector. At the same time On -site data, then process the collected data through the big data analysis system of the Global Excellent Football Coach Training Tournament, transmit the processed data to the artificial intelligence "&amp;"coach optimization guidance system of the football training race, generate optimized coach guidance solutions, and use holographic The artificial intelligence football coach imaging system of projection technology generates virtual artificial intelligence"&amp;" coach training guidance images. Finally, through various holographic projection terminal equipment, the three -dimensional imaging of various places shows artificial intelligence football coaches to guide players training to allow each player and. Footba"&amp;"ll enthusiasts and audiences receive the optimized football training guidance anytime, anywhere.")</f>
        <v>The present invention involves an artificial intelligence football coaching technology with holographic projection technology. This technology collects the training, competitions, and physical data of football players through the football player training competition information collector. At the same time On -site data, then process the collected data through the big data analysis system of the Global Excellent Football Coach Training Tournament, transmit the processed data to the artificial intelligence coach optimization guidance system of the football training race, generate optimized coach guidance solutions, and use holographic The artificial intelligence football coach imaging system of projection technology generates virtual artificial intelligence coach training guidance images. Finally, through various holographic projection terminal equipment, the three -dimensional imaging of various places shows artificial intelligence football coaches to guide players training to allow each player and. Football enthusiasts and audiences receive the optimized football training guidance anytime, anywhere.</v>
      </c>
      <c r="D3583" s="6" t="s">
        <v>10026</v>
      </c>
      <c r="E3583" s="4" t="str">
        <f ca="1">IFERROR(__xludf.DUMMYFUNCTION("GOOGLETRANSLATE(D3583,""auto"",""en"")"),"An artificial intelligence football coach with holographic projection technology")</f>
        <v>An artificial intelligence football coach with holographic projection technology</v>
      </c>
    </row>
    <row r="3584" spans="1:5" ht="15" x14ac:dyDescent="0.25">
      <c r="A3584" s="5" t="s">
        <v>10027</v>
      </c>
      <c r="B3584" s="6" t="s">
        <v>10028</v>
      </c>
      <c r="C3584" s="3" t="str">
        <f ca="1">IFERROR(__xludf.DUMMYFUNCTION("GOOGLETRANSLATE(B3584,""auto"",""en"")"),"The present invention provides an artificial intelligence fitness machine that can accurately choose acupoints. It is characterized by: 1. Use the scanner to perform 3D scanning the human body to obtain the human body's 3D data establishment model, and us"&amp;"e the traditional acupoint method to take acupoints. This model is accurately selected as a software stored in the computer; the software stored in the computer also has the prescription and treatment method designed according to different diseases and he"&amp;"alth requirements; 2. Artificial intelligence robot controlled by the computer software It can automatically accurately accurately perform acupuncture, massage, cupping or health care for human acupuncture points. Everyone is eager for health and longevit"&amp;"y. Therefore, this fitness machine can enter millions of households, and the development of the fitness machine industry has huge economic benefits and social significance.")</f>
        <v>The present invention provides an artificial intelligence fitness machine that can accurately choose acupoints. It is characterized by: 1. Use the scanner to perform 3D scanning the human body to obtain the human body's 3D data establishment model, and use the traditional acupoint method to take acupoints. This model is accurately selected as a software stored in the computer; the software stored in the computer also has the prescription and treatment method designed according to different diseases and health requirements; 2. Artificial intelligence robot controlled by the computer software It can automatically accurately accurately perform acupuncture, massage, cupping or health care for human acupuncture points. Everyone is eager for health and longevity. Therefore, this fitness machine can enter millions of households, and the development of the fitness machine industry has huge economic benefits and social significance.</v>
      </c>
      <c r="D3584" s="6" t="s">
        <v>10029</v>
      </c>
      <c r="E3584" s="4" t="str">
        <f ca="1">IFERROR(__xludf.DUMMYFUNCTION("GOOGLETRANSLATE(D3584,""auto"",""en"")"),"An artificial intelligence fitness machine for acupuncture, massage, and cupping")</f>
        <v>An artificial intelligence fitness machine for acupuncture, massage, and cupping</v>
      </c>
    </row>
    <row r="3585" spans="1:5" ht="15" x14ac:dyDescent="0.25">
      <c r="A3585" s="5" t="s">
        <v>10030</v>
      </c>
      <c r="B3585" s="6" t="s">
        <v>10031</v>
      </c>
      <c r="C3585" s="3" t="str">
        <f ca="1">IFERROR(__xludf.DUMMYFUNCTION("GOOGLETRANSLATE(B3585,""auto"",""en"")"),"The present invention involves a personal health system connected through the network to the platform. It aims to provide a health care system that can actively provide health care systems for health consumers (people) that can use sub -modules that can b"&amp;"e connected to the platform. The present invention is to improve the health of health consumers before the occurrence of health issues. The present invention demonstrates fitness in front of healthy consumers through the sub -module connecting the platfor"&amp;"m. When healthy consumers perform fitness exercise along the sub -module, the child module detects and analyzes fitness images, and transmits fitness consumers' fitness exercise DATA to the platform to the platform Store and analyze statistics. The platfo"&amp;"rm's fitness consumer health sports data is reported by health consumers or related health managers. Health managers can develop a healthy sports plan for health consumers. In addition, healthy consumers connecting to the platform and other healthy consum"&amp;"ers can communicate through their own submissions. Because their sub -modules express their sounds and actions like other healthy consumers, they can talk like each other in front of them. them. In addition, healthy consumers and other healthy consumers c"&amp;"onnecting to the platform can play games through their sub -modules or terminals. In addition, healthy consumers connected to the platform can have a meal dialogue with their sub -modules. The submissions can inform health consumers' dining or side dishes"&amp;" by artificial intelligence or programs installed on the platform. The artificial intelligence or program of the module or platform, through recommending suggestions, nutritional side dishes to health consumers, or telling the story of small dishes, it ca"&amp;"n help healthy consumers make food delicious and delicious. At this time, other health consumption of health consumption with the platform with the platform Those can also do this. In addition, the sub -module of the platform with the platform can play so"&amp;"ngs for healthy consumers according to the songs of healthy consumers. According to the sub -module, at this time, other healthy consumers from the Internet can do this. In this way, health consumers can exercise, chat, play games, listen to songs, and ea"&amp;"t together by the sub -module connected to the platform. In addition, through sub -modules connected to the platform, healthy consumers can chat, play games or dine with other healthy consumers. In addition, through the sub -module connected to the platfo"&amp;"rm, the sub -module is equipped with a personal health care system, healthy consumers can exercise, play games, direct songs or share meals in them.")</f>
        <v>The present invention involves a personal health system connected through the network to the platform. It aims to provide a health care system that can actively provide health care systems for health consumers (people) that can use sub -modules that can be connected to the platform. The present invention is to improve the health of health consumers before the occurrence of health issues. The present invention demonstrates fitness in front of healthy consumers through the sub -module connecting the platform. When healthy consumers perform fitness exercise along the sub -module, the child module detects and analyzes fitness images, and transmits fitness consumers' fitness exercise DATA to the platform to the platform Store and analyze statistics. The platform's fitness consumer health sports data is reported by health consumers or related health managers. Health managers can develop a healthy sports plan for health consumers. In addition, healthy consumers connecting to the platform and other healthy consumers can communicate through their own submissions. Because their sub -modules express their sounds and actions like other healthy consumers, they can talk like each other in front of them. them. In addition, healthy consumers and other healthy consumers connecting to the platform can play games through their sub -modules or terminals. In addition, healthy consumers connected to the platform can have a meal dialogue with their sub -modules. The submissions can inform health consumers' dining or side dishes by artificial intelligence or programs installed on the platform. The artificial intelligence or program of the module or platform, through recommending suggestions, nutritional side dishes to health consumers, or telling the story of small dishes, it can help healthy consumers make food delicious and delicious. At this time, other health consumption of health consumption with the platform with the platform Those can also do this. In addition, the sub -module of the platform with the platform can play songs for healthy consumers according to the songs of healthy consumers. According to the sub -module, at this time, other healthy consumers from the Internet can do this. In this way, health consumers can exercise, chat, play games, listen to songs, and eat together by the sub -module connected to the platform. In addition, through sub -modules connected to the platform, healthy consumers can chat, play games or dine with other healthy consumers. In addition, through the sub -module connected to the platform, the sub -module is equipped with a personal health care system, healthy consumers can exercise, play games, direct songs or share meals in them.</v>
      </c>
      <c r="D3585" s="6" t="s">
        <v>10032</v>
      </c>
      <c r="E3585" s="4" t="str">
        <f ca="1">IFERROR(__xludf.DUMMYFUNCTION("GOOGLETRANSLATE(D3585,""auto"",""en"")"),"Personal health care system")</f>
        <v>Personal health care system</v>
      </c>
    </row>
    <row r="3586" spans="1:5" ht="15" x14ac:dyDescent="0.25">
      <c r="A3586" s="5" t="s">
        <v>10033</v>
      </c>
      <c r="B3586" s="6" t="s">
        <v>10034</v>
      </c>
      <c r="C3586" s="3" t="str">
        <f ca="1">IFERROR(__xludf.DUMMYFUNCTION("GOOGLETRANSLATE(B3586,""auto"",""en"")"),"The invention disclosed a football video player tracking method based on online multi -example learning, which is a computer visual recognition field. In terms of target feature extraction, this technical solution combines global characteristics and local"&amp;" characteristics to extract the main color of the venue and the main color of the player template main color. State transfer, calculate the similarity of all particles and player template main colors of the player template main color, remove the effects o"&amp;"f the main color of the venue, and use the particle weight to be performed according to the similarity value. Gravatology; get the HAAR‑like feature vector of the collection image, enter the multi -example learning classifier, and calculate the position o"&amp;"f the current frame target player. The technical scheme of the present invention can reduce the uncertainty of the target movement, effectively suppress the drift phenomenon in tracking, and improve the accuracy of the tracking result.")</f>
        <v>The invention disclosed a football video player tracking method based on online multi -example learning, which is a computer visual recognition field. In terms of target feature extraction, this technical solution combines global characteristics and local characteristics to extract the main color of the venue and the main color of the player template main color. State transfer, calculate the similarity of all particles and player template main colors of the player template main color, remove the effects of the main color of the venue, and use the particle weight to be performed according to the similarity value. Gravatology; get the HAAR‑like feature vector of the collection image, enter the multi -example learning classifier, and calculate the position of the current frame target player. The technical scheme of the present invention can reduce the uncertainty of the target movement, effectively suppress the drift phenomenon in tracking, and improve the accuracy of the tracking result.</v>
      </c>
      <c r="D3586" s="6" t="s">
        <v>10035</v>
      </c>
      <c r="E3586" s="4" t="str">
        <f ca="1">IFERROR(__xludf.DUMMYFUNCTION("GOOGLETRANSLATE(D3586,""auto"",""en"")"),"A football video player tracking method based on online multiple examples")</f>
        <v>A football video player tracking method based on online multiple examples</v>
      </c>
    </row>
    <row r="3587" spans="1:5" ht="15" x14ac:dyDescent="0.25">
      <c r="A3587" s="5" t="s">
        <v>10036</v>
      </c>
      <c r="B3587" s="6" t="s">
        <v>10037</v>
      </c>
      <c r="C3587" s="3" t="str">
        <f ca="1">IFERROR(__xludf.DUMMYFUNCTION("GOOGLETRANSLATE(B3587,""auto"",""en"")"),"Once the door 403 is opened, it is determined whether the close object 402 will collide with the door 403 of the main vehicle 401. This method includes: Determining the close transportation 402 will pass through the space 406 occupied by the door 403, whi"&amp;"ch may be determined by one of the multiple sensors installed on the vehicle outside; The configuration of the main vehicle 401 determines that the door 403 is dangerous to the transportation of 402. Category can indicate that the vehicle is close to the "&amp;"vehicle, a skater, a wheelchair or a roller skating athlete. The data received from the sensor can be filtered on the heterogeneous computing platform to determine whether the speed and direction of the vehicle will lead to a collision with the door.")</f>
        <v>Once the door 403 is opened, it is determined whether the close object 402 will collide with the door 403 of the main vehicle 401. This method includes: Determining the close transportation 402 will pass through the space 406 occupied by the door 403, which may be determined by one of the multiple sensors installed on the vehicle outside; The configuration of the main vehicle 401 determines that the door 403 is dangerous to the transportation of 402. Category can indicate that the vehicle is close to the vehicle, a skater, a wheelchair or a roller skating athlete. The data received from the sensor can be filtered on the heterogeneous computing platform to determine whether the speed and direction of the vehicle will lead to a collision with the door.</v>
      </c>
      <c r="D3587" s="6" t="s">
        <v>10038</v>
      </c>
      <c r="E3587" s="4" t="str">
        <f ca="1">IFERROR(__xludf.DUMMYFUNCTION("GOOGLETRANSLATE(D3587,""auto"",""en"")"),"The danger is detected when the door is expected to open the door")</f>
        <v>The danger is detected when the door is expected to open the door</v>
      </c>
    </row>
    <row r="3588" spans="1:5" ht="15" x14ac:dyDescent="0.25">
      <c r="A3588" s="5" t="s">
        <v>10039</v>
      </c>
      <c r="B3588" s="6" t="s">
        <v>10040</v>
      </c>
      <c r="C3588" s="3" t="str">
        <f ca="1">IFERROR(__xludf.DUMMYFUNCTION("GOOGLETRANSLATE(B3588,""auto"",""en"")"),"Kind Code: A1 requires a technology that can eliminate as much as possible in the work support of shooting images.
  The collector includes the body location for calculating the body position. Calculation unit 66, the running trajectory of the running t"&amp;"rajectory calculation unit 68, and the recognition target in the shooting image obtained by the shooting unit 70. Image recognition module 5 is used to estimate the existence area of ​​an object and outputs the identification output data that contains est"&amp;"imated probability, and predict the existence area in the previous capture image according to the travel trajectory. However, if the estimated next shooting image is presented in the area overlapped in the area and the estimated regional probability diffe"&amp;"rence specified in the estimated area in the previous shooting image, the identification and output of the next shooting image is performed. Judgment unit 54, judge data is inappropriate identification output data.
  【Selection Figure】 Figure 4")</f>
        <v>Kind Code: A1 requires a technology that can eliminate as much as possible in the work support of shooting images.
  The collector includes the body location for calculating the body position. Calculation unit 66, the running trajectory of the running trajectory calculation unit 68, and the recognition target in the shooting image obtained by the shooting unit 70. Image recognition module 5 is used to estimate the existence area of ​​an object and outputs the identification output data that contains estimated probability, and predict the existence area in the previous capture image according to the travel trajectory. However, if the estimated next shooting image is presented in the area overlapped in the area and the estimated regional probability difference specified in the estimated area in the previous shooting image, the identification and output of the next shooting image is performed. Judgment unit 54, judge data is inappropriate identification output data.
  【Selection Figure】 Figure 4</v>
      </c>
      <c r="D3588" s="6" t="s">
        <v>10041</v>
      </c>
      <c r="E3588" s="4" t="str">
        <f ca="1">IFERROR(__xludf.DUMMYFUNCTION("GOOGLETRANSLATE(D3588,""auto"",""en"")"),"Harvester")</f>
        <v>Harvester</v>
      </c>
    </row>
    <row r="3589" spans="1:5" ht="15" x14ac:dyDescent="0.25">
      <c r="A3589" s="5" t="s">
        <v>10042</v>
      </c>
      <c r="B3589" s="6" t="s">
        <v>10043</v>
      </c>
      <c r="C3589" s="3" t="str">
        <f ca="1">IFERROR(__xludf.DUMMYFUNCTION("GOOGLETRANSLATE(B3589,""auto"",""en"")"),"The present invention involves a lazy fitness equipment based on the Internet of Things, including subjects, sitting boards, leaning boards, leg activity agencies, support racks, central control agencies and hand activity agencies. Event components, lift "&amp;"components include control units and lifting units, and leg activity components include fixed boards, second motors, secondary drive shafts, first drive wheels and leg activity units. The telescopic component includes boxes, air pumps, connecting pipes, a"&amp;"nd telescopic rods. Rotating components include third motors, third -wheel drive shafts, and secondary drive wheels. Among the lazy fitness equipment based on the Internet of Things, through leg activity agencies, people can relax their leg muscles like c"&amp;"ycling. Through hand activity agencies, they can make their arms around and play the role of activity joints. Help those who have not exercised for a long time to exercise, making their bodies healthier.")</f>
        <v>The present invention involves a lazy fitness equipment based on the Internet of Things, including subjects, sitting boards, leaning boards, leg activity agencies, support racks, central control agencies and hand activity agencies. Event components, lift components include control units and lifting units, and leg activity components include fixed boards, second motors, secondary drive shafts, first drive wheels and leg activity units. The telescopic component includes boxes, air pumps, connecting pipes, and telescopic rods. Rotating components include third motors, third -wheel drive shafts, and secondary drive wheels. Among the lazy fitness equipment based on the Internet of Things, through leg activity agencies, people can relax their leg muscles like cycling. Through hand activity agencies, they can make their arms around and play the role of activity joints. Help those who have not exercised for a long time to exercise, making their bodies healthier.</v>
      </c>
      <c r="D3589" s="6" t="s">
        <v>10044</v>
      </c>
      <c r="E3589" s="4" t="str">
        <f ca="1">IFERROR(__xludf.DUMMYFUNCTION("GOOGLETRANSLATE(D3589,""auto"",""en"")"),"A lazy fitness equipment based on the Internet of Things")</f>
        <v>A lazy fitness equipment based on the Internet of Things</v>
      </c>
    </row>
    <row r="3590" spans="1:5" ht="15" x14ac:dyDescent="0.25">
      <c r="A3590" s="5" t="s">
        <v>10045</v>
      </c>
      <c r="B3590" s="6" t="s">
        <v>10046</v>
      </c>
      <c r="C3590" s="3" t="str">
        <f ca="1">IFERROR(__xludf.DUMMYFUNCTION("GOOGLETRANSLATE(B3590,""auto"",""en"")"),"The present invention provides a multi -intelligent collaboration processing system based on private cloud, which is used in multiple football robots used in Robocup medium groups. Real -time information obtained and sent by a football robot; robot comput"&amp;"er vision module is used to collect scene information in real time through panoramic visual and somatosensory interactive equipment. Module is used to detect the location information of the football robot and control the behavior of the football robot; di"&amp;"splay the content update module to display the status of each football robot in real time. It also provides multi -smart collaboration methods based on private clouds.")</f>
        <v>The present invention provides a multi -intelligent collaboration processing system based on private cloud, which is used in multiple football robots used in Robocup medium groups. Real -time information obtained and sent by a football robot; robot computer vision module is used to collect scene information in real time through panoramic visual and somatosensory interactive equipment. Module is used to detect the location information of the football robot and control the behavior of the football robot; display the content update module to display the status of each football robot in real time. It also provides multi -smart collaboration methods based on private clouds.</v>
      </c>
      <c r="D3590" s="6" t="s">
        <v>10047</v>
      </c>
      <c r="E3590" s="4" t="str">
        <f ca="1">IFERROR(__xludf.DUMMYFUNCTION("GOOGLETRANSLATE(D3590,""auto"",""en"")"),"Multi -intelligent collaborative processing system and method based on private cloud")</f>
        <v>Multi -intelligent collaborative processing system and method based on private cloud</v>
      </c>
    </row>
    <row r="3591" spans="1:5" ht="15" x14ac:dyDescent="0.25">
      <c r="A3591" s="5" t="s">
        <v>10048</v>
      </c>
      <c r="B3591" s="6" t="s">
        <v>10049</v>
      </c>
      <c r="C3591" s="3" t="str">
        <f ca="1">IFERROR(__xludf.DUMMYFUNCTION("GOOGLETRANSLATE(B3591,""auto"",""en"")"),"It proposes a relay device that can interact with users who can eliminate speakers that can eliminate voice recognition and uses the relay method to use the relay device. The proposed relay device is a relay device that can interact with the user, and the"&amp;" communication module unit for accessing the cloud server or the device that can interact with the user to receive the interactive signal receiving of the user interaction The unit signal, the cloud server includes the output unit that transmits the resul"&amp;"ts of the data to the user, and a control unit for controlling the overall operation of the relay device.")</f>
        <v>It proposes a relay device that can interact with users who can eliminate speakers that can eliminate voice recognition and uses the relay method to use the relay device. The proposed relay device is a relay device that can interact with the user, and the communication module unit for accessing the cloud server or the device that can interact with the user to receive the interactive signal receiving of the user interaction The unit signal, the cloud server includes the output unit that transmits the results of the data to the user, and a control unit for controlling the overall operation of the relay device.</v>
      </c>
      <c r="D3591" s="6" t="s">
        <v>10050</v>
      </c>
      <c r="E3591" s="4" t="str">
        <f ca="1">IFERROR(__xludf.DUMMYFUNCTION("GOOGLETRANSLATE(D3591,""auto"",""en"")"),"A relay device that can interact with users and the relay method that uses the relay device")</f>
        <v>A relay device that can interact with users and the relay method that uses the relay device</v>
      </c>
    </row>
    <row r="3592" spans="1:5" ht="15" x14ac:dyDescent="0.25">
      <c r="A3592" s="5" t="s">
        <v>10051</v>
      </c>
      <c r="B3592" s="6" t="s">
        <v>10052</v>
      </c>
      <c r="C3592" s="3" t="str">
        <f ca="1">IFERROR(__xludf.DUMMYFUNCTION("GOOGLETRANSLATE(B3592,""auto"",""en"")"),"The present invention disclosed a device for real -time data records and releases for the event, including management equipment, cloud storage data server, dedicated wireless communication base stations, special competition servers, voice recognition equi"&amp;"pment, eagle eye camera equipment, display equipment, coach terminal , Record the terminal and judgment terminal, the management equipment includes the end of the participants and the event management equipment, the event management equipment is connected"&amp;" to the cloud storage data server, voice recognition equipment, eagle -eye camera equipment, display equipment, coach terminal, recorder terminal, and recorder terminal, and recorder terminal, and recorder terminal, and recorder terminal, and recorder ter"&amp;"minal, and recorder terminal, and recorder terminal, and recorder terminal, and recorder terminal, and recorder terminal, and recorder terminals, and recorder terminals, and recorder terminals, and recorder terminals, and recorder terminals, and recorder "&amp;"terminals, and recorder terminals, and recorder terminals and recorders. The judgment terminal is connected to the special wireless communication base station of the event. The voice recognition equipment and the recorder terminal are connected to the clo"&amp;"ud storage data server. The present invention also disclosed a method for real -time data records and publishing for the event. It can automatically generate the competition report. It does not require artificial organizing, and at the same time achieve d"&amp;"ata synchronization, improve the statistical efficiency of the data collection of the event, and reduce the workload of staff.")</f>
        <v>The present invention disclosed a device for real -time data records and releases for the event, including management equipment, cloud storage data server, dedicated wireless communication base stations, special competition servers, voice recognition equipment, eagle eye camera equipment, display equipment, coach terminal , Record the terminal and judgment terminal, the management equipment includes the end of the participants and the event management equipment, the event management equipment is connected to the cloud storage data server, voice recognition equipment, eagle -eye camera equipment, display equipment, coach terminal, recorder terminal, and recorder terminal, and recorder terminal, and recorder terminal, and recorder terminal, and recorder terminal, and recorder terminal, and recorder terminal, and recorder terminal, and recorder terminal, and recorder terminal, and recorder terminals, and recorder terminals, and recorder terminals, and recorder terminals, and recorder terminals, and recorder terminals, and recorder terminals, and recorder terminals and recorders. The judgment terminal is connected to the special wireless communication base station of the event. The voice recognition equipment and the recorder terminal are connected to the cloud storage data server. The present invention also disclosed a method for real -time data records and publishing for the event. It can automatically generate the competition report. It does not require artificial organizing, and at the same time achieve data synchronization, improve the statistical efficiency of the data collection of the event, and reduce the workload of staff.</v>
      </c>
      <c r="D3592" s="6" t="s">
        <v>10053</v>
      </c>
      <c r="E3592" s="4" t="str">
        <f ca="1">IFERROR(__xludf.DUMMYFUNCTION("GOOGLETRANSLATE(D3592,""auto"",""en"")"),"Device and methods for real -time data records and releases for the event")</f>
        <v>Device and methods for real -time data records and releases for the event</v>
      </c>
    </row>
    <row r="3593" spans="1:5" ht="15" x14ac:dyDescent="0.25">
      <c r="A3593" s="5" t="s">
        <v>10054</v>
      </c>
      <c r="B3593" s="6" t="s">
        <v>10055</v>
      </c>
      <c r="C3593" s="3" t="str">
        <f ca="1">IFERROR(__xludf.DUMMYFUNCTION("GOOGLETRANSLATE(B3593,""auto"",""en"")"),"This utility model discloses a device for real -time data records and releases for the event, including management equipment, cloud storage data server, dedicated wireless communication base stations, event special servers, voice recognition equipment, ea"&amp;"gle eye camera equipment, display equipment, coaches Terminal, recorder terminal, and judgment terminal. Management equipment includes participating terminals and event management equipment, event management equipment connecting with cloud storage data se"&amp;"rvers, voice recognition equipment, eagle -eye camera equipment, display equipment, coach terminal, record staff terminal And the judgment terminal is connected to the special wireless communication base station of the event, and the voice recognition equ"&amp;"ipment and the recorder terminal are connected to the cloud storage data server. This utility model is a device used for real -time data records and releases of the event. It can automatically generate the competition report. It does not need to be organi"&amp;"zed by artificially. At the same time, the data synchronization is achieved, which improves the statistical efficiency of data collection of the event, and reduces the workload of staff.")</f>
        <v>This utility model discloses a device for real -time data records and releases for the event, including management equipment, cloud storage data server, dedicated wireless communication base stations, event special servers, voice recognition equipment, eagle eye camera equipment, display equipment, coaches Terminal, recorder terminal, and judgment terminal. Management equipment includes participating terminals and event management equipment, event management equipment connecting with cloud storage data servers, voice recognition equipment, eagle -eye camera equipment, display equipment, coach terminal, record staff terminal And the judgment terminal is connected to the special wireless communication base station of the event, and the voice recognition equipment and the recorder terminal are connected to the cloud storage data server. This utility model is a device used for real -time data records and releases of the event. It can automatically generate the competition report. It does not need to be organized by artificially. At the same time, the data synchronization is achieved, which improves the statistical efficiency of data collection of the event, and reduces the workload of staff.</v>
      </c>
      <c r="D3593" s="6" t="s">
        <v>10056</v>
      </c>
      <c r="E3593" s="4" t="str">
        <f ca="1">IFERROR(__xludf.DUMMYFUNCTION("GOOGLETRANSLATE(D3593,""auto"",""en"")"),"Device for real -time data records and release for the event")</f>
        <v>Device for real -time data records and release for the event</v>
      </c>
    </row>
    <row r="3594" spans="1:5" ht="15" x14ac:dyDescent="0.25">
      <c r="A3594" s="5" t="s">
        <v>10057</v>
      </c>
      <c r="B3594" s="6" t="s">
        <v>10058</v>
      </c>
      <c r="C3594" s="3" t="str">
        <f ca="1">IFERROR(__xludf.DUMMYFUNCTION("GOOGLETRANSLATE(B3594,""auto"",""en"")"),"The present invention involves the technical field of a three -dimensional fattening of beef. First of all, we must solve the problem of the cow house. The invention has developed an independent Niu House, or the partition is an independent cow. The cow h"&amp;"ouse is built on the first floor. , Build a flat bottom ""U"" removing manure, and the bottom plate of the bull house should be mixed with steel. There are many rows of square pores with multiple rows of 62cm long and 5cm wide, and the distance between th"&amp;"e square strip holes is 16cm. You can let the cow dung directly eliminate the next layer, maintaining the hygiene of the cattle, which is conducive to the prevention and treatment of cow disease. Secondly, the growth, weight, and disease of modern Interne"&amp;"t of Things electronic technology monitor the cow. Again, the cow's three -dimensional fertilizer should also be independent of the beef of the independent cow. According to the weight, it is precisely given to ensure that the meal is enough to eat the de"&amp;"mand for fattening and is not wasted. Finally, the team of professional breeding experts has been cultivated to study and improve the fattening and breeding of cows, and then study and practice.")</f>
        <v>The present invention involves the technical field of a three -dimensional fattening of beef. First of all, we must solve the problem of the cow house. The invention has developed an independent Niu House, or the partition is an independent cow. The cow house is built on the first floor. , Build a flat bottom "U" removing manure, and the bottom plate of the bull house should be mixed with steel. There are many rows of square pores with multiple rows of 62cm long and 5cm wide, and the distance between the square strip holes is 16cm. You can let the cow dung directly eliminate the next layer, maintaining the hygiene of the cattle, which is conducive to the prevention and treatment of cow disease. Secondly, the growth, weight, and disease of modern Internet of Things electronic technology monitor the cow. Again, the cow's three -dimensional fertilizer should also be independent of the beef of the independent cow. According to the weight, it is precisely given to ensure that the meal is enough to eat the demand for fattening and is not wasted. Finally, the team of professional breeding experts has been cultivated to study and improve the fattening and breeding of cows, and then study and practice.</v>
      </c>
      <c r="D3594" s="6" t="s">
        <v>10059</v>
      </c>
      <c r="E3594" s="4" t="str">
        <f ca="1">IFERROR(__xludf.DUMMYFUNCTION("GOOGLETRANSLATE(D3594,""auto"",""en"")"),"A three -dimensional fattening method and application of a cow")</f>
        <v>A three -dimensional fattening method and application of a cow</v>
      </c>
    </row>
    <row r="3595" spans="1:5" ht="15" x14ac:dyDescent="0.25">
      <c r="A3595" s="5" t="s">
        <v>10060</v>
      </c>
      <c r="B3595" s="6" t="s">
        <v>10061</v>
      </c>
      <c r="C3595" s="3" t="str">
        <f ca="1">IFERROR(__xludf.DUMMYFUNCTION("GOOGLETRANSLATE(B3595,""auto"",""en"")"),"A smart treadmill provided by the present invention, including treadmill ontology (1), cloud server (2), receiving terminal (3); Speed ​​sensor (11) on the treadmill body (1) 12), arrhythm sensor (13), wireless transmission equipment (14), and display equ"&amp;"ipment; the runner body (1) Send speed, time, and arrhythmia information to the cloud server through wireless transmission equipment (14); (2) Receive information and calculate the optimal fitness solution, and send the optimal solution to the receiving t"&amp;"erminal (3). The smart treadmill provided by the present invention is simple, low -cost, and convenient to use. It uses IoT technology and big data technology to give the best fitness solution at home.")</f>
        <v>A smart treadmill provided by the present invention, including treadmill ontology (1), cloud server (2), receiving terminal (3); Speed ​​sensor (11) on the treadmill body (1) 12), arrhythm sensor (13), wireless transmission equipment (14), and display equipment; the runner body (1) Send speed, time, and arrhythmia information to the cloud server through wireless transmission equipment (14); (2) Receive information and calculate the optimal fitness solution, and send the optimal solution to the receiving terminal (3). The smart treadmill provided by the present invention is simple, low -cost, and convenient to use. It uses IoT technology and big data technology to give the best fitness solution at home.</v>
      </c>
      <c r="D3595" s="6" t="s">
        <v>10062</v>
      </c>
      <c r="E3595" s="4" t="str">
        <f ca="1">IFERROR(__xludf.DUMMYFUNCTION("GOOGLETRANSLATE(D3595,""auto"",""en"")"),"A smart treadmill")</f>
        <v>A smart treadmill</v>
      </c>
    </row>
    <row r="3596" spans="1:5" ht="15" x14ac:dyDescent="0.25">
      <c r="A3596" s="5" t="s">
        <v>10063</v>
      </c>
      <c r="B3596" s="6" t="s">
        <v>10064</v>
      </c>
      <c r="C3596" s="3" t="str">
        <f ca="1">IFERROR(__xludf.DUMMYFUNCTION("GOOGLETRANSLATE(B3596,""auto"",""en"")"),"The invention involves a automatic collector -based collecting car based on machine learning, which is the field of sports tools. This device includes containers, active direction wheels, from dynamic wheels, visual sensors A, visual sensor B, front radar"&amp;", rear radar, electric motor A, differential push lever, groove soft brush, storage box, central control, central control unit. This device has a visual perceived smart ball recognition system that can independently collect the balls and liberate people f"&amp;"rom heavy ball collection of labor, thereby improving the efficiency of athletes.")</f>
        <v>The invention involves a automatic collector -based collecting car based on machine learning, which is the field of sports tools. This device includes containers, active direction wheels, from dynamic wheels, visual sensors A, visual sensor B, front radar, rear radar, electric motor A, differential push lever, groove soft brush, storage box, central control, central control unit. This device has a visual perceived smart ball recognition system that can independently collect the balls and liberate people from heavy ball collection of labor, thereby improving the efficiency of athletes.</v>
      </c>
      <c r="D3596" s="6" t="s">
        <v>10065</v>
      </c>
      <c r="E3596" s="4" t="str">
        <f ca="1">IFERROR(__xludf.DUMMYFUNCTION("GOOGLETRANSLATE(D3596,""auto"",""en"")"),"A automatic collection car based on machine learning")</f>
        <v>A automatic collection car based on machine learning</v>
      </c>
    </row>
    <row r="3597" spans="1:5" ht="15" x14ac:dyDescent="0.25">
      <c r="A3597" s="5" t="s">
        <v>10066</v>
      </c>
      <c r="B3597" s="6" t="s">
        <v>10067</v>
      </c>
      <c r="C3597" s="3" t="str">
        <f ca="1">IFERROR(__xludf.DUMMYFUNCTION("GOOGLETRANSLATE(B3597,""auto"",""en"")"),"1. The name of the product in the appearance: cabinet operating panel (human -machine interaction equipment).
 2. The purpose of designing products in this exterior: The design of the product in this exterior is used to realize the lock function of the "&amp;"cabinet (such as the courier cabinet); The design points of design products in this exterior: the shape, pattern and its combination of the product shown; It can most indicate pictures or photos of design design in this appearance: stereo.")</f>
        <v>1. The name of the product in the appearance: cabinet operating panel (human -machine interaction equipment).
 2. The purpose of designing products in this exterior: The design of the product in this exterior is used to realize the lock function of the cabinet (such as the courier cabinet); The design points of design products in this exterior: the shape, pattern and its combination of the product shown; It can most indicate pictures or photos of design design in this appearance: stereo.</v>
      </c>
      <c r="D3597" s="6" t="s">
        <v>10068</v>
      </c>
      <c r="E3597" s="4" t="str">
        <f ca="1">IFERROR(__xludf.DUMMYFUNCTION("GOOGLETRANSLATE(D3597,""auto"",""en"")"),"Cabinet operation panel (human -machine interaction equipment)")</f>
        <v>Cabinet operation panel (human -machine interaction equipment)</v>
      </c>
    </row>
    <row r="3598" spans="1:5" ht="15" x14ac:dyDescent="0.25">
      <c r="A3598" s="5" t="s">
        <v>10069</v>
      </c>
      <c r="B3598" s="6" t="s">
        <v>10070</v>
      </c>
      <c r="C3598" s="3" t="str">
        <f ca="1">IFERROR(__xludf.DUMMYFUNCTION("GOOGLETRANSLATE(B3598,""auto"",""en"")"),"The embodiment of this article provides a system, method and computer readable medium for providing customized exercise related recommendations. Using machine learning algorithms, you can use a group of users' fitness related information (for example, exe"&amp;"rcise information, user simplified information and/or vital signs information) to train the classification model. The classification model can be configured to classify the output input data (for example, the fitness related information of specific users)"&amp;". It can identify the recommendations corresponding to classification and provide them to specific users. It can track the compliance of the advice provided by the user and the subsequent user progress to determine when the suggestions are effective (for "&amp;"example, the user moves towards the goal). In addition, the system can determine when the classification is inaccurate and/or the expected progress data does not provide users who can move towards the goal. Therefore, the accuracy/validity of classificati"&amp;"on, recommendation and progress paths may continue to improve over time.")</f>
        <v>The embodiment of this article provides a system, method and computer readable medium for providing customized exercise related recommendations. Using machine learning algorithms, you can use a group of users' fitness related information (for example, exercise information, user simplified information and/or vital signs information) to train the classification model. The classification model can be configured to classify the output input data (for example, the fitness related information of specific users). It can identify the recommendations corresponding to classification and provide them to specific users. It can track the compliance of the advice provided by the user and the subsequent user progress to determine when the suggestions are effective (for example, the user moves towards the goal). In addition, the system can determine when the classification is inaccurate and/or the expected progress data does not provide users who can move towards the goal. Therefore, the accuracy/validity of classification, recommendation and progress paths may continue to improve over time.</v>
      </c>
      <c r="D3598" s="6" t="s">
        <v>9265</v>
      </c>
      <c r="E3598" s="4" t="str">
        <f ca="1">IFERROR(__xludf.DUMMYFUNCTION("GOOGLETRANSLATE(D3598,""auto"",""en"")"),"Provide customized exercise related suggestions technology")</f>
        <v>Provide customized exercise related suggestions technology</v>
      </c>
    </row>
    <row r="3599" spans="1:5" ht="15" x14ac:dyDescent="0.25">
      <c r="A3599" s="5" t="s">
        <v>10071</v>
      </c>
      <c r="B3599" s="6" t="s">
        <v>10072</v>
      </c>
      <c r="C3599" s="3" t="str">
        <f ca="1">IFERROR(__xludf.DUMMYFUNCTION("GOOGLETRANSLATE(B3599,""auto"",""en"")"),"The present invention is a method of image labeling technique, which is specifically for interactive methods for processing image labeling tasks based on crowdsourcing platforms. The present invention first constructs a set of online crowdsourcing working"&amp;" models, so that the task needs and members of the crowdsourcing can complete the labeling task on it. Secondly, the image labeling task is the main research and entry point to design and realize the corresponding interaction methods; Specifically include"&amp;": the classification system for building image labeling tasks, setting up crowdsourcing platforms; designing the design standards and design processes of interactive methods; the specific operation steps for designing the interactive method of processing "&amp;"image labeling tasks based on crowdsourcing platforms. The method of this invention improves the efficiency and user experience of crowdsourcing workers, so as to provide image data training sets for scientific research fields such as machine learning, an"&amp;"d use the network crowdsourcing work mode to complete the image data labeling work. It can also be the disabled people. Wait for vulnerable groups to provide new employment and increase income opportunities.")</f>
        <v>The present invention is a method of image labeling technique, which is specifically for interactive methods for processing image labeling tasks based on crowdsourcing platforms. The present invention first constructs a set of online crowdsourcing working models, so that the task needs and members of the crowdsourcing can complete the labeling task on it. Secondly, the image labeling task is the main research and entry point to design and realize the corresponding interaction methods; Specifically include: the classification system for building image labeling tasks, setting up crowdsourcing platforms; designing the design standards and design processes of interactive methods; the specific operation steps for designing the interactive method of processing image labeling tasks based on crowdsourcing platforms. The method of this invention improves the efficiency and user experience of crowdsourcing workers, so as to provide image data training sets for scientific research fields such as machine learning, and use the network crowdsourcing work mode to complete the image data labeling work. It can also be the disabled people. Wait for vulnerable groups to provide new employment and increase income opportunities.</v>
      </c>
      <c r="D3599" s="6" t="s">
        <v>10073</v>
      </c>
      <c r="E3599" s="4" t="str">
        <f ca="1">IFERROR(__xludf.DUMMYFUNCTION("GOOGLETRANSLATE(D3599,""auto"",""en"")"),"An interactive method based on crowdsourcing platform processing image labeling task")</f>
        <v>An interactive method based on crowdsourcing platform processing image labeling task</v>
      </c>
    </row>
    <row r="3600" spans="1:5" ht="15" x14ac:dyDescent="0.25">
      <c r="A3600" s="5" t="s">
        <v>10074</v>
      </c>
      <c r="B3600" s="6" t="s">
        <v>10075</v>
      </c>
      <c r="C3600" s="3" t="str">
        <f ca="1">IFERROR(__xludf.DUMMYFUNCTION("GOOGLETRANSLATE(B3600,""auto"",""en"")"),"The audio reproduction collars mainly used for exercise exercises include at least two speakers. In addition to reproducing music, they also allow voice recognition and notifications and/or convert text messages to voice. For example, a distance of heart "&amp;"rate or coverage. It uses the safety conditions of people engaged in exercise without headphones because it allows them to hear their environment. It has an easy -to -use touch screen. There are versions containing buttons or analogs. These buttons or ana"&amp;"logs are fixed on the user with magnets to avoid excessive movement of the collar during use. Suitable for the sports industry.")</f>
        <v>The audio reproduction collars mainly used for exercise exercises include at least two speakers. In addition to reproducing music, they also allow voice recognition and notifications and/or convert text messages to voice. For example, a distance of heart rate or coverage. It uses the safety conditions of people engaged in exercise without headphones because it allows them to hear their environment. It has an easy -to -use touch screen. There are versions containing buttons or analogs. These buttons or analogs are fixed on the user with magnets to avoid excessive movement of the collar during use. Suitable for the sports industry.</v>
      </c>
      <c r="D3600" s="6" t="s">
        <v>10076</v>
      </c>
      <c r="E3600" s="4" t="str">
        <f ca="1">IFERROR(__xludf.DUMMYFUNCTION("GOOGLETRANSLATE(D3600,""auto"",""en"")"),"Audio reproduction collar")</f>
        <v>Audio reproduction collar</v>
      </c>
    </row>
    <row r="3601" spans="1:5" ht="15" x14ac:dyDescent="0.25">
      <c r="A3601" s="5" t="s">
        <v>10077</v>
      </c>
      <c r="B3601" s="6" t="s">
        <v>10078</v>
      </c>
      <c r="C3601" s="3" t="str">
        <f ca="1">IFERROR(__xludf.DUMMYFUNCTION("GOOGLETRANSLATE(B3601,""auto"",""en"")"),"The invention disclosed a voice -based user identity security system based on voice recognition, including: information collection module is used to collect the identity information of users who want to enter the stadium; Determine the identity category o"&amp;"f the user and broadcast the user's identity category; the channel selection module is used to identify the information content of the information reporting module, and select the target channel into the stadium based on the user's identity category. Befo"&amp;"re the user enters the stadium to enter the stadium, the passage of judgment and matching the identity category of the user not only facilitates the process of users entering the stadium, but also improves the supervision and management efficiency of user"&amp;"s who enter the stadium. Make sure the safety of user identity entering the stadium.")</f>
        <v>The invention disclosed a voice -based user identity security system based on voice recognition, including: information collection module is used to collect the identity information of users who want to enter the stadium; Determine the identity category of the user and broadcast the user's identity category; the channel selection module is used to identify the information content of the information reporting module, and select the target channel into the stadium based on the user's identity category. Before the user enters the stadium to enter the stadium, the passage of judgment and matching the identity category of the user not only facilitates the process of users entering the stadium, but also improves the supervision and management efficiency of users who enter the stadium. Make sure the safety of user identity entering the stadium.</v>
      </c>
      <c r="D3601" s="6" t="s">
        <v>10079</v>
      </c>
      <c r="E3601" s="4" t="str">
        <f ca="1">IFERROR(__xludf.DUMMYFUNCTION("GOOGLETRANSLATE(D3601,""auto"",""en"")"),"A stadium user identity safety system based on voice recognition")</f>
        <v>A stadium user identity safety system based on voice recognition</v>
      </c>
    </row>
    <row r="3602" spans="1:5" ht="15" x14ac:dyDescent="0.25">
      <c r="A3602" s="5" t="s">
        <v>10080</v>
      </c>
      <c r="B3602" s="6" t="s">
        <v>10081</v>
      </c>
      <c r="C3602" s="3" t="str">
        <f ca="1">IFERROR(__xludf.DUMMYFUNCTION("GOOGLETRANSLATE(B3602,""auto"",""en"")"),"A sports gaming system can provide improvement odds for non -fixed betting odds. In this case, the casino and players bet with players. The system may include an artificial intelligence (AI) unit, which aims to estimate the real -time probability of resul"&amp;"ts related to the results related to the on -site event. The detailed electronic records are estimated and released the latest odds based on the electronic records, and the odds of winning bets are allocated at the end of the betting event. The purpose of"&amp;" casino betting is to continue and strategically adjust the odds announced in real time and/or create additional income for the casino. Players can communicate with the host with physical equipment such as mobile electronic devices, personal computers or "&amp;"fixed information booths.")</f>
        <v>A sports gaming system can provide improvement odds for non -fixed betting odds. In this case, the casino and players bet with players. The system may include an artificial intelligence (AI) unit, which aims to estimate the real -time probability of results related to the results related to the on -site event. The detailed electronic records are estimated and released the latest odds based on the electronic records, and the odds of winning bets are allocated at the end of the betting event. The purpose of casino betting is to continue and strategically adjust the odds announced in real time and/or create additional income for the casino. Players can communicate with the host with physical equipment such as mobile electronic devices, personal computers or fixed information booths.</v>
      </c>
      <c r="D3602" s="6" t="s">
        <v>10082</v>
      </c>
      <c r="E3602" s="4" t="str">
        <f ca="1">IFERROR(__xludf.DUMMYFUNCTION("GOOGLETRANSLATE(D3602,""auto"",""en"")"),"On -site betting system, the House of Representatives conducts strategic betting")</f>
        <v>On -site betting system, the House of Representatives conducts strategic betting</v>
      </c>
    </row>
    <row r="3603" spans="1:5" ht="15" x14ac:dyDescent="0.25">
      <c r="A3603" s="5" t="s">
        <v>10083</v>
      </c>
      <c r="B3603" s="6" t="s">
        <v>10084</v>
      </c>
      <c r="C3603" s="3" t="str">
        <f ca="1">IFERROR(__xludf.DUMMYFUNCTION("GOOGLETRANSLATE(B3603,""auto"",""en"")"),"The present invention disclosed a method of identifying corn bangs. The method of identifying corn pool provided by the present invention includes the following steps: (1) Taking the training collection of each corn seed grain as a real mlax or the real d"&amp;"uplex as the variable, the near -infrared transmission spectrum of each corn seed grain is trained. As an independent variable, the use of machine learning algorithms can be used to build a polarizer identification model; the training set consists of seve"&amp;"ral corn seed grains, one of which is a real ming, and the other is duplex. Seed grains, collect near -infrared transmission spectral absorption values, and then enter steps (1) a polarity identification model established by the input step (1), which outp"&amp;"uts the result of the model to be measured by the model as a predictive bipstone or a double body. The method provided by the present invention can be used for automation identification, which plays an important role in promoting corn -polarized sports se"&amp;"ed technology.")</f>
        <v>The present invention disclosed a method of identifying corn bangs. The method of identifying corn pool provided by the present invention includes the following steps: (1) Taking the training collection of each corn seed grain as a real mlax or the real duplex as the variable, the near -infrared transmission spectrum of each corn seed grain is trained. As an independent variable, the use of machine learning algorithms can be used to build a polarizer identification model; the training set consists of several corn seed grains, one of which is a real ming, and the other is duplex. Seed grains, collect near -infrared transmission spectral absorption values, and then enter steps (1) a polarity identification model established by the input step (1), which outputs the result of the model to be measured by the model as a predictive bipstone or a double body. The method provided by the present invention can be used for automation identification, which plays an important role in promoting corn -polarized sports seed technology.</v>
      </c>
      <c r="D3603" s="6" t="s">
        <v>10085</v>
      </c>
      <c r="E3603" s="4" t="str">
        <f ca="1">IFERROR(__xludf.DUMMYFUNCTION("GOOGLETRANSLATE(D3603,""auto"",""en"")"),"A method of identifying corn pool body")</f>
        <v>A method of identifying corn pool body</v>
      </c>
    </row>
    <row r="3604" spans="1:5" ht="15" x14ac:dyDescent="0.25">
      <c r="A3604" s="5" t="s">
        <v>10086</v>
      </c>
      <c r="B3604" s="6" t="s">
        <v>10087</v>
      </c>
      <c r="C3604" s="3" t="str">
        <f ca="1">IFERROR(__xludf.DUMMYFUNCTION("GOOGLETRANSLATE(B3604,""auto"",""en"")"),"The present invention disclosed the voice -based human -computer interaction method and device of the train monitoring operation system, realized the intelligent of the vehicle display of the LKJ system, and improved the reliability, maintenance and funct"&amp;"ional expansion of the vehicle display of the LKJ system. Its technical solution is: using voice recognition technology to transform voice input into the specific operation instructions of the application software on the vehicle side, completely replace t"&amp;"he traditional manual input function, and play voice prompts through voice synthesis technology. In addition, since the vehicle display can have voice collection and playback hardware circuits, the flight attendant's voice content can be compressed and re"&amp;"corded.")</f>
        <v>The present invention disclosed the voice -based human -computer interaction method and device of the train monitoring operation system, realized the intelligent of the vehicle display of the LKJ system, and improved the reliability, maintenance and functional expansion of the vehicle display of the LKJ system. Its technical solution is: using voice recognition technology to transform voice input into the specific operation instructions of the application software on the vehicle side, completely replace the traditional manual input function, and play voice prompts through voice synthesis technology. In addition, since the vehicle display can have voice collection and playback hardware circuits, the flight attendant's voice content can be compressed and recorded.</v>
      </c>
      <c r="D3604" s="6" t="s">
        <v>10088</v>
      </c>
      <c r="E3604" s="4" t="str">
        <f ca="1">IFERROR(__xludf.DUMMYFUNCTION("GOOGLETRANSLATE(D3604,""auto"",""en"")"),"The voice -based human -computer interaction method and device of the train monitoring operation system")</f>
        <v>The voice -based human -computer interaction method and device of the train monitoring operation system</v>
      </c>
    </row>
    <row r="3605" spans="1:5" ht="15" x14ac:dyDescent="0.25">
      <c r="A3605" s="5" t="s">
        <v>10089</v>
      </c>
      <c r="B3605" s="6" t="s">
        <v>10090</v>
      </c>
      <c r="C3605" s="3" t="str">
        <f ca="1">IFERROR(__xludf.DUMMYFUNCTION("GOOGLETRANSLATE(B3605,""auto"",""en"")"),"The Internet of Things (IoT) is an emerging technology, billions of things or daily items will continue to exchange data. Dental IoT applications, such as health, industry and disaster management, communication between things should not be interrupted. Th"&amp;"is is one of the main challenges facing battery power equipment in the Internet of Things. Another notable challenge is the electronic waste of disposable batteries. Here, we proposed the self-power generation structure of the Internet of Things and imple"&amp;"mented in M-Health. In this structure, the object or sensor node will be obtained from the energy collection device called a piezoelectric device. The device converts mechanical energy (vibration or force) into electrical energy. We realized our embedded "&amp;"voltage equipment in the IoT M-HEALTH framework and compared the power performance with the general battery. In this system, health monitoring sensors and IoT devices will obtain electricity through the piezoelectric equipment attached to the player's han"&amp;"ds and legs. Due to the fierce running of the player, the hands and legs will produce vibration, which causes electrical energy to generate electrical energy.")</f>
        <v>The Internet of Things (IoT) is an emerging technology, billions of things or daily items will continue to exchange data. Dental IoT applications, such as health, industry and disaster management, communication between things should not be interrupted. This is one of the main challenges facing battery power equipment in the Internet of Things. Another notable challenge is the electronic waste of disposable batteries. Here, we proposed the self-power generation structure of the Internet of Things and implemented in M-Health. In this structure, the object or sensor node will be obtained from the energy collection device called a piezoelectric device. The device converts mechanical energy (vibration or force) into electrical energy. We realized our embedded voltage equipment in the IoT M-HEALTH framework and compared the power performance with the general battery. In this system, health monitoring sensors and IoT devices will obtain electricity through the piezoelectric equipment attached to the player's hands and legs. Due to the fierce running of the player, the hands and legs will produce vibration, which causes electrical energy to generate electrical energy.</v>
      </c>
      <c r="D3605" s="6" t="s">
        <v>10091</v>
      </c>
      <c r="E3605" s="4" t="str">
        <f ca="1">IFERROR(__xludf.DUMMYFUNCTION("GOOGLETRANSLATE(D3605,""auto"",""en"")"),"Athletes using IoT (IoT) CPC intelligent health monitoring system")</f>
        <v>Athletes using IoT (IoT) CPC intelligent health monitoring system</v>
      </c>
    </row>
    <row r="3606" spans="1:5" ht="15" x14ac:dyDescent="0.25">
      <c r="A3606" s="5" t="s">
        <v>10092</v>
      </c>
      <c r="B3606" s="6" t="s">
        <v>10093</v>
      </c>
      <c r="C3606" s="3" t="str">
        <f ca="1">IFERROR(__xludf.DUMMYFUNCTION("GOOGLETRANSLATE(B3606,""auto"",""en"")"),"The invention involves the field of Internet of Things technology, a smart basketball shooting trajectory monitoring method, including the following steps: S1, determining whether it is the stage of hand force, S2, judging whether it is a ball bumper bask"&amp;"et/rebound/net stage, S3, judgment Whether it is the ball landing stage. The invention is determined by three times when the pressure value value of basketball -related handpower, basketball touches basket, rebounds or the Nets, and the pressure value of "&amp;"the basketball when the basketball is implemented. Calculate to get a successful shooting trajectory. The invention has high accuracy and can accurately achieve the detection of basketball shooting trajectory.")</f>
        <v>The invention involves the field of Internet of Things technology, a smart basketball shooting trajectory monitoring method, including the following steps: S1, determining whether it is the stage of hand force, S2, judging whether it is a ball bumper basket/rebound/net stage, S3, judgment Whether it is the ball landing stage. The invention is determined by three times when the pressure value value of basketball -related handpower, basketball touches basket, rebounds or the Nets, and the pressure value of the basketball when the basketball is implemented. Calculate to get a successful shooting trajectory. The invention has high accuracy and can accurately achieve the detection of basketball shooting trajectory.</v>
      </c>
      <c r="D3606" s="6" t="s">
        <v>10094</v>
      </c>
      <c r="E3606" s="4" t="str">
        <f ca="1">IFERROR(__xludf.DUMMYFUNCTION("GOOGLETRANSLATE(D3606,""auto"",""en"")"),"A smart basketball shooting trajectory monitoring method")</f>
        <v>A smart basketball shooting trajectory monitoring method</v>
      </c>
    </row>
    <row r="3607" spans="1:5" ht="15" x14ac:dyDescent="0.25">
      <c r="A3607" s="5" t="s">
        <v>10095</v>
      </c>
      <c r="B3607" s="6" t="s">
        <v>10096</v>
      </c>
      <c r="C3607" s="3" t="str">
        <f ca="1">IFERROR(__xludf.DUMMYFUNCTION("GOOGLETRANSLATE(B3607,""auto"",""en"")"),"The present invention involves the field of Internet of Things technology, the monitoring method of smart basketball ball transportation trajectory, including the following steps: the pressure value when obtaining the strength of the basketball, calculati"&amp;"ng the strength value of the power ball, the determination of the strength value is greater than the threshold of strength, and generates the first first Judgment results; acceleration value a (t) when the basketball touches the ground, determine whether "&amp;"the acceleration value a (t) value is less than the acceleration threshold, and generate the second judgment result. Calculate the sphere from the hand to the hand to touch the pressure to Touch the empty time value in front of the ground; obtain the slop"&amp;"e K of the peak detection algorithm algorithm of the basketball, and perform the following judgments: determine whether the slope k is greater than the slope threshold and generates the third judgment result; The time difference between the results is les"&amp;"s than the time threshold, and it is determined to be a successful dribble trajectory; the present invention can accurately perform the basketball ball transport trajectory monitoring.")</f>
        <v>The present invention involves the field of Internet of Things technology, the monitoring method of smart basketball ball transportation trajectory, including the following steps: the pressure value when obtaining the strength of the basketball, calculating the strength value of the power ball, the determination of the strength value is greater than the threshold of strength, and generates the first first Judgment results; acceleration value a (t) when the basketball touches the ground, determine whether the acceleration value a (t) value is less than the acceleration threshold, and generate the second judgment result. Calculate the sphere from the hand to the hand to touch the pressure to Touch the empty time value in front of the ground; obtain the slope K of the peak detection algorithm algorithm of the basketball, and perform the following judgments: determine whether the slope k is greater than the slope threshold and generates the third judgment result; The time difference between the results is less than the time threshold, and it is determined to be a successful dribble trajectory; the present invention can accurately perform the basketball ball transport trajectory monitoring.</v>
      </c>
      <c r="D3607" s="6" t="s">
        <v>10097</v>
      </c>
      <c r="E3607" s="4" t="str">
        <f ca="1">IFERROR(__xludf.DUMMYFUNCTION("GOOGLETRANSLATE(D3607,""auto"",""en"")"),"A smart basketball ball transport trajectory monitoring method")</f>
        <v>A smart basketball ball transport trajectory monitoring method</v>
      </c>
    </row>
    <row r="3608" spans="1:5" ht="15" x14ac:dyDescent="0.25">
      <c r="A3608" s="5" t="s">
        <v>10098</v>
      </c>
      <c r="B3608" s="6" t="s">
        <v>10099</v>
      </c>
      <c r="C3608" s="3" t="str">
        <f ca="1">IFERROR(__xludf.DUMMYFUNCTION("GOOGLETRANSLATE(B3608,""auto"",""en"")"),"The present invention involves the field of Internet of Things technology, a dunk monitoring method on smart basketball, S1, determining whether it is the ball holding stage, S2, determine whether it is the stage of hand, S3, determine whether it is a bal"&amp;"l -to -basket/rebound/basket/basket, At the stage of the Internet, S4, determine whether it is the ball floor stage, the invention is obtained by obtaining the acceleration value, the pressure value of the hand force, the basketball touch the basket, the "&amp;"pressure value of the rebound or the Nets, and the pressure value when the basketball is landed. The second judgment is calculated based on the values ​​of the four judgments to obtain a successful layup trajectory on a successful basketball. This plan is"&amp;" highly accurate and can accurately detect the detection of basketball layup trajectories.")</f>
        <v>The present invention involves the field of Internet of Things technology, a dunk monitoring method on smart basketball, S1, determining whether it is the ball holding stage, S2, determine whether it is the stage of hand, S3, determine whether it is a ball -to -basket/rebound/basket/basket, At the stage of the Internet, S4, determine whether it is the ball floor stage, the invention is obtained by obtaining the acceleration value, the pressure value of the hand force, the basketball touch the basket, the pressure value of the rebound or the Nets, and the pressure value when the basketball is landed. The second judgment is calculated based on the values ​​of the four judgments to obtain a successful layup trajectory on a successful basketball. This plan is highly accurate and can accurately detect the detection of basketball layup trajectories.</v>
      </c>
      <c r="D3608" s="6" t="s">
        <v>10100</v>
      </c>
      <c r="E3608" s="4" t="str">
        <f ca="1">IFERROR(__xludf.DUMMYFUNCTION("GOOGLETRANSLATE(D3608,""auto"",""en"")"),"Monitoring of a smart basketball layup trajectory")</f>
        <v>Monitoring of a smart basketball layup trajectory</v>
      </c>
    </row>
    <row r="3609" spans="1:5" ht="15" x14ac:dyDescent="0.25">
      <c r="A3609" s="5" t="s">
        <v>10101</v>
      </c>
      <c r="B3609" s="6" t="s">
        <v>10102</v>
      </c>
      <c r="C3609" s="3" t="str">
        <f ca="1">IFERROR(__xludf.DUMMYFUNCTION("GOOGLETRANSLATE(B3609,""auto"",""en"")"),"The present invention disclosed the content generation method, device and storage medium based on artificial intelligence -based commentary. The methods include: the content and structured data of the artificial text explanation of the historical competit"&amp;"ion; In the process of each obtained structured data, the corresponding text commentary content is determined according to the explanation model. Applying the plan described by the present invention can reduce the accuracy of delay and improve the content"&amp;" of the commentary.")</f>
        <v>The present invention disclosed the content generation method, device and storage medium based on artificial intelligence -based commentary. The methods include: the content and structured data of the artificial text explanation of the historical competition; In the process of each obtained structured data, the corresponding text commentary content is determined according to the explanation model. Applying the plan described by the present invention can reduce the accuracy of delay and improve the content of the commentary.</v>
      </c>
      <c r="D3609" s="6" t="s">
        <v>10103</v>
      </c>
      <c r="E3609" s="4" t="str">
        <f ca="1">IFERROR(__xludf.DUMMYFUNCTION("GOOGLETRANSLATE(D3609,""auto"",""en"")"),"The content of the content generation method, device and storage medium based on artificial intelligence commentary commentary content")</f>
        <v>The content of the content generation method, device and storage medium based on artificial intelligence commentary commentary content</v>
      </c>
    </row>
    <row r="3610" spans="1:5" ht="15" x14ac:dyDescent="0.25">
      <c r="A3610" s="5" t="s">
        <v>10104</v>
      </c>
      <c r="B3610" s="6" t="s">
        <v>10105</v>
      </c>
      <c r="C3610" s="3" t="str">
        <f ca="1">IFERROR(__xludf.DUMMYFUNCTION("GOOGLETRANSLATE(B3610,""auto"",""en"")"),"This application discloses a drowning positioning alarm system and drowning positioning alarm method, including: detection electrodes, ultrasonic signal generators and detection chips installed on a swimmer or swimming moster; The chip conducts the voltag"&amp;"e signal of the detection electrode for real -time repeat detection by detecting the pulse, and determines whether the swimmer has a drowning condition based on the voltage signal. After processing the chip, the alarm signal is processed to determine the "&amp;"drowning position, and the drowning position is sent through the wireless communication module. This application uses real -time detection of the voltage signal status of the electrode on the swimming cap, and uses real -time repeated detection to determi"&amp;"ne whether the drowning status occurs. With the help of ultrasonic underwater sensing positioning, and combined with the IoT wireless communication technology, you can automatically intelligently and precisely position the drowning. Position, increase the"&amp;" accuracy of the alarm and reduce the misunderstanding rate.")</f>
        <v>This application discloses a drowning positioning alarm system and drowning positioning alarm method, including: detection electrodes, ultrasonic signal generators and detection chips installed on a swimmer or swimming moster; The chip conducts the voltage signal of the detection electrode for real -time repeat detection by detecting the pulse, and determines whether the swimmer has a drowning condition based on the voltage signal. After processing the chip, the alarm signal is processed to determine the drowning position, and the drowning position is sent through the wireless communication module. This application uses real -time detection of the voltage signal status of the electrode on the swimming cap, and uses real -time repeated detection to determine whether the drowning status occurs. With the help of ultrasonic underwater sensing positioning, and combined with the IoT wireless communication technology, you can automatically intelligently and precisely position the drowning. Position, increase the accuracy of the alarm and reduce the misunderstanding rate.</v>
      </c>
      <c r="D3610" s="6" t="s">
        <v>10106</v>
      </c>
      <c r="E3610" s="4" t="str">
        <f ca="1">IFERROR(__xludf.DUMMYFUNCTION("GOOGLETRANSLATE(D3610,""auto"",""en"")"),"A drowning position alarm system and drowning positioning alarm method")</f>
        <v>A drowning position alarm system and drowning positioning alarm method</v>
      </c>
    </row>
    <row r="3611" spans="1:5" ht="15" x14ac:dyDescent="0.25">
      <c r="A3611" s="5" t="s">
        <v>10107</v>
      </c>
      <c r="B3611" s="6" t="s">
        <v>10108</v>
      </c>
      <c r="C3611" s="3" t="str">
        <f ca="1">IFERROR(__xludf.DUMMYFUNCTION("GOOGLETRANSLATE(B3611,""auto"",""en"")"),"An IoT intelligent treadmill, including racks and seat seats (2), seat seats (2) inside settings. The step -by -step device includes a cover film set at the lower end of the main seat (22) (51) And the photoelectric sensor (6) set at the bench (11), and t"&amp;"he cover film (51) is connected to the lower end of the main seat (22) through a linear motor (52). 61) and photoelectric receiving end (62); Stepline display (38) is equipped with a wireless connection with intelligent wearable devices worn by users to r"&amp;"eceive Bluetooth modules for receiving user temperature and heart rate information. ) Internal settings are used to transmit step data and user weight data, body temperature information and heart rate information to 4G communication modules to mobile smar"&amp;"t terminals or clouds. The Bluetooth module is connected to the main motor through the speed control module.")</f>
        <v>An IoT intelligent treadmill, including racks and seat seats (2), seat seats (2) inside settings. The step -by -step device includes a cover film set at the lower end of the main seat (22) (51) And the photoelectric sensor (6) set at the bench (11), and the cover film (51) is connected to the lower end of the main seat (22) through a linear motor (52). 61) and photoelectric receiving end (62); Stepline display (38) is equipped with a wireless connection with intelligent wearable devices worn by users to receive Bluetooth modules for receiving user temperature and heart rate information. ) Internal settings are used to transmit step data and user weight data, body temperature information and heart rate information to 4G communication modules to mobile smart terminals or clouds. The Bluetooth module is connected to the main motor through the speed control module.</v>
      </c>
      <c r="D3611" s="6" t="s">
        <v>10109</v>
      </c>
      <c r="E3611" s="4" t="str">
        <f ca="1">IFERROR(__xludf.DUMMYFUNCTION("GOOGLETRANSLATE(D3611,""auto"",""en"")"),"A smart treadmill of the Internet of Things")</f>
        <v>A smart treadmill of the Internet of Things</v>
      </c>
    </row>
    <row r="3612" spans="1:5" ht="15" x14ac:dyDescent="0.25">
      <c r="A3612" s="5" t="s">
        <v>10110</v>
      </c>
      <c r="B3612" s="6" t="s">
        <v>10111</v>
      </c>
      <c r="C3612" s="3" t="str">
        <f ca="1">IFERROR(__xludf.DUMMYFUNCTION("GOOGLETRANSLATE(B3612,""auto"",""en"")"),"The present invention proposes the IoT treadmill based on gesture -based control to solve the problem of current treadmills and difficulty in rating when running. The treadmill of the present invention is added with a deceleration sensor and a slope adjus"&amp;"tment sensor, which can be intelligently regulated by the treadmill, which is more simple and convenient in the control operation. During the running process The control of the treadmill speed eliminates the tedious key process; the slope adjustment only "&amp;"requires the hand to adjust the sensor above the slope to adjust the slope. This runner can be uploaded to sports software and online social platforms in real time through Bluetooth connection to mobile phones to achieve data sharing and monitoring of dat"&amp;"a, and achieve the effect of scientific fitness and happy fitness.")</f>
        <v>The present invention proposes the IoT treadmill based on gesture -based control to solve the problem of current treadmills and difficulty in rating when running. The treadmill of the present invention is added with a deceleration sensor and a slope adjustment sensor, which can be intelligently regulated by the treadmill, which is more simple and convenient in the control operation. During the running process The control of the treadmill speed eliminates the tedious key process; the slope adjustment only requires the hand to adjust the sensor above the slope to adjust the slope. This runner can be uploaded to sports software and online social platforms in real time through Bluetooth connection to mobile phones to achieve data sharing and monitoring of data, and achieve the effect of scientific fitness and happy fitness.</v>
      </c>
      <c r="D3612" s="6" t="s">
        <v>10112</v>
      </c>
      <c r="E3612" s="4" t="str">
        <f ca="1">IFERROR(__xludf.DUMMYFUNCTION("GOOGLETRANSLATE(D3612,""auto"",""en"")"),"IoT treadmill based on gesture control")</f>
        <v>IoT treadmill based on gesture control</v>
      </c>
    </row>
    <row r="3613" spans="1:5" ht="15" x14ac:dyDescent="0.25">
      <c r="A3613" s="5" t="s">
        <v>10113</v>
      </c>
      <c r="B3613" s="6" t="s">
        <v>10114</v>
      </c>
      <c r="C3613" s="3" t="str">
        <f ca="1">IFERROR(__xludf.DUMMYFUNCTION("GOOGLETRANSLATE(B3613,""auto"",""en"")"),"This utility model proposes the IoT treadmill based on gesture -based control to solve the problem of current treadmills that are difficult to adjust and adjust the slope when running. The useful new type of treadmill is added with a deceleration sensor a"&amp;"nd a slope adjustment sensor, which can intelligently adjust the treadmill, which is more simple and convenient in the control operation. During the running process The control of the treadmill speed saves the tedious keys; the slope adjustment only requi"&amp;"res the hand to regulate the sensor above the slope to adjust the slope. This runner can be uploaded to sports software and online social platforms in real time through Bluetooth connection to mobile phones to achieve data sharing and monitoring of data, "&amp;"and achieve the effect of scientific fitness and happy fitness.")</f>
        <v>This utility model proposes the IoT treadmill based on gesture -based control to solve the problem of current treadmills that are difficult to adjust and adjust the slope when running. The useful new type of treadmill is added with a deceleration sensor and a slope adjustment sensor, which can intelligently adjust the treadmill, which is more simple and convenient in the control operation. During the running process The control of the treadmill speed saves the tedious keys; the slope adjustment only requires the hand to regulate the sensor above the slope to adjust the slope. This runner can be uploaded to sports software and online social platforms in real time through Bluetooth connection to mobile phones to achieve data sharing and monitoring of data, and achieve the effect of scientific fitness and happy fitness.</v>
      </c>
      <c r="D3613" s="6" t="s">
        <v>10112</v>
      </c>
      <c r="E3613" s="4" t="str">
        <f ca="1">IFERROR(__xludf.DUMMYFUNCTION("GOOGLETRANSLATE(D3613,""auto"",""en"")"),"IoT treadmill based on gesture control")</f>
        <v>IoT treadmill based on gesture control</v>
      </c>
    </row>
    <row r="3614" spans="1:5" ht="15" x14ac:dyDescent="0.25">
      <c r="A3614" s="5" t="s">
        <v>10115</v>
      </c>
      <c r="B3614" s="6" t="s">
        <v>10116</v>
      </c>
      <c r="C3614" s="3" t="str">
        <f ca="1">IFERROR(__xludf.DUMMYFUNCTION("GOOGLETRANSLATE(B3614,""auto"",""en"")"),"The present invention provides a prediction method of winning and defeat for e -sports competitions based on deep neural networks, including the following steps: a large amount of e -sports game data on the Internet based on the network crawler mechanism;"&amp;" dividing the game data into test data and training data, and marking the winning victory Team number; construct deep neural networks and embed the Batch normalization between the network implied layer; use the competition data to train and test the netwo"&amp;"rk parameters on the network; choose the two teams that require the prediction of the game, obtain the game data of the two teams, and and the data of the two teams. Calculate with network parameters to get the team number that is most likely to win.")</f>
        <v>The present invention provides a prediction method of winning and defeat for e -sports competitions based on deep neural networks, including the following steps: a large amount of e -sports game data on the Internet based on the network crawler mechanism; dividing the game data into test data and training data, and marking the winning victory Team number; construct deep neural networks and embed the Batch normalization between the network implied layer; use the competition data to train and test the network parameters on the network; choose the two teams that require the prediction of the game, obtain the game data of the two teams, and and the data of the two teams. Calculate with network parameters to get the team number that is most likely to win.</v>
      </c>
      <c r="D3614" s="6" t="s">
        <v>10117</v>
      </c>
      <c r="E3614" s="4" t="str">
        <f ca="1">IFERROR(__xludf.DUMMYFUNCTION("GOOGLETRANSLATE(D3614,""auto"",""en"")"),"E -sports game based on deep neural networks predicting the prediction method")</f>
        <v>E -sports game based on deep neural networks predicting the prediction method</v>
      </c>
    </row>
    <row r="3615" spans="1:5" ht="15" x14ac:dyDescent="0.25">
      <c r="A3615" s="5" t="s">
        <v>10118</v>
      </c>
      <c r="B3615" s="6" t="s">
        <v>10119</v>
      </c>
      <c r="C3615" s="3" t="str">
        <f ca="1">IFERROR(__xludf.DUMMYFUNCTION("GOOGLETRANSLATE(B3615,""auto"",""en"")"),"The present invention proposes an outdoor fitness equipment and power supply and data collection methods, including power supply circuit, power module, data collection module, data processing module and human -machine interaction equipment. The battery mo"&amp;"dule connected in series by a single lithium battery, the lines connected to the battery module connected to the battery module also have a charging controller. The charging controller is connected to the power supply circuit. The data collection module i"&amp;"s fixed inside the outdoor fitness equipment And collect the user's movement data, at the same time transmit the exercise data to the data processing module, the data processing module analyzes the data and displays the data results on the human -computer"&amp;" interaction device, and stores the data in the internal memory. The human -computer interaction equipment There is an operating module to operate the data results of the man -machine interaction equipment. The data collection module, data processing modu"&amp;"le and human -machine interaction equipment are connected to the power supply circuit.")</f>
        <v>The present invention proposes an outdoor fitness equipment and power supply and data collection methods, including power supply circuit, power module, data collection module, data processing module and human -machine interaction equipment. The battery module connected in series by a single lithium battery, the lines connected to the battery module connected to the battery module also have a charging controller. The charging controller is connected to the power supply circuit. The data collection module is fixed inside the outdoor fitness equipment And collect the user's movement data, at the same time transmit the exercise data to the data processing module, the data processing module analyzes the data and displays the data results on the human -computer interaction device, and stores the data in the internal memory. The human -computer interaction equipment There is an operating module to operate the data results of the man -machine interaction equipment. The data collection module, data processing module and human -machine interaction equipment are connected to the power supply circuit.</v>
      </c>
      <c r="D3615" s="6" t="s">
        <v>10120</v>
      </c>
      <c r="E3615" s="4" t="str">
        <f ca="1">IFERROR(__xludf.DUMMYFUNCTION("GOOGLETRANSLATE(D3615,""auto"",""en"")"),"A method of power supply and data collection of outdoor fitness equipment")</f>
        <v>A method of power supply and data collection of outdoor fitness equipment</v>
      </c>
    </row>
    <row r="3616" spans="1:5" ht="15" x14ac:dyDescent="0.25">
      <c r="A3616" s="5" t="s">
        <v>10121</v>
      </c>
      <c r="B3616" s="6" t="s">
        <v>10122</v>
      </c>
      <c r="C3616" s="3" t="str">
        <f ca="1">IFERROR(__xludf.DUMMYFUNCTION("GOOGLETRANSLATE(B3616,""auto"",""en"")"),"The present invention disclosed a baking product image recognition system. Its characteristics are that the specific operation steps include: (1) Customers put the tray with bread on the cashier, and then scan the camera on the cashier; (2 2 ) Press the a"&amp;"utomatic recognition button on the cashier after scanning. After 1 second of second, the number and type of the product will be displayed on the display; (3) Click the confirmation button on the screen to appear the total price of the product, and then cl"&amp;"ick the payment to complete the settlement settlement. process. The present invention has changed the operation method of entering the target baking product in the previous manual cash register system, through training a model of identifying the single pr"&amp;"oduct of baking products, taking pictures of the sad matching product items, and processing and analysis of the picture to identify the pictures to identify the pictures to identify Various different baking products, then feedback the results of recogniti"&amp;"on to improve the accuracy of the next baking product recognition; this method not only has fast processing speed, only 0.1 seconds to identify a single baking product, and the entire process is completed within ten seconds.")</f>
        <v>The present invention disclosed a baking product image recognition system. Its characteristics are that the specific operation steps include: (1) Customers put the tray with bread on the cashier, and then scan the camera on the cashier; (2 2 ) Press the automatic recognition button on the cashier after scanning. After 1 second of second, the number and type of the product will be displayed on the display; (3) Click the confirmation button on the screen to appear the total price of the product, and then click the payment to complete the settlement settlement. process. The present invention has changed the operation method of entering the target baking product in the previous manual cash register system, through training a model of identifying the single product of baking products, taking pictures of the sad matching product items, and processing and analysis of the picture to identify the pictures to identify the pictures to identify Various different baking products, then feedback the results of recognition to improve the accuracy of the next baking product recognition; this method not only has fast processing speed, only 0.1 seconds to identify a single baking product, and the entire process is completed within ten seconds.</v>
      </c>
      <c r="D3616" s="6" t="s">
        <v>10123</v>
      </c>
      <c r="E3616" s="4" t="str">
        <f ca="1">IFERROR(__xludf.DUMMYFUNCTION("GOOGLETRANSLATE(D3616,""auto"",""en"")"),"A baking product image recognition system")</f>
        <v>A baking product image recognition system</v>
      </c>
    </row>
    <row r="3617" spans="1:5" ht="15" x14ac:dyDescent="0.25">
      <c r="A3617" s="5" t="s">
        <v>10124</v>
      </c>
      <c r="B3617" s="6" t="s">
        <v>10125</v>
      </c>
      <c r="C3617" s="3" t="str">
        <f ca="1">IFERROR(__xludf.DUMMYFUNCTION("GOOGLETRANSLATE(B3617,""auto"",""en"")"),"This utility model proposes an information collection power supply and human -computer interaction structure suitable for outdoor fitness equipment, including photovoltaic electrical appliances, charging and discharge controllers, battery modules, data co"&amp;"llectors, data processors and operators, photovoltaic hair, photovoltaic hair Both the electrical and the battery module are connected to the charging and discharge controller. The power supply line of the charging and discharge controller is connected to"&amp;" the data processor and operator. On the non -active component, the operator is installed on the human contact part. The data processor is also connected to a wireless data transmitter, and all connected lines are worn inside outdoor fitness equipment. Al"&amp;"l electrical cables are moving along the inside of the equipment pipe, which is safe and not easy to damage. It is applicable to all current outdoor fitness equipment.")</f>
        <v>This utility model proposes an information collection power supply and human -computer interaction structure suitable for outdoor fitness equipment, including photovoltaic electrical appliances, charging and discharge controllers, battery modules, data collectors, data processors and operators, photovoltaic hair, photovoltaic hair Both the electrical and the battery module are connected to the charging and discharge controller. The power supply line of the charging and discharge controller is connected to the data processor and operator. On the non -active component, the operator is installed on the human contact part. The data processor is also connected to a wireless data transmitter, and all connected lines are worn inside outdoor fitness equipment. All electrical cables are moving along the inside of the equipment pipe, which is safe and not easy to damage. It is applicable to all current outdoor fitness equipment.</v>
      </c>
      <c r="D3617" s="6" t="s">
        <v>10126</v>
      </c>
      <c r="E3617" s="4" t="str">
        <f ca="1">IFERROR(__xludf.DUMMYFUNCTION("GOOGLETRANSLATE(D3617,""auto"",""en"")"),"A kind of information collection for outdoor fitness equipment, power supply and human -computer interaction structure")</f>
        <v>A kind of information collection for outdoor fitness equipment, power supply and human -computer interaction structure</v>
      </c>
    </row>
    <row r="3618" spans="1:5" ht="15" x14ac:dyDescent="0.25">
      <c r="A3618" s="5" t="s">
        <v>10127</v>
      </c>
      <c r="B3618" s="6" t="s">
        <v>10128</v>
      </c>
      <c r="C3618" s="3" t="str">
        <f ca="1">IFERROR(__xludf.DUMMYFUNCTION("GOOGLETRANSLATE(B3618,""auto"",""en"")"),"The present invention disclosed a sports fitness game system and implementation method based on Kinect, including Kinect devices, pedestals, computer hosts, multi -screen adapters, two projectors, audio devices, which are Kinect device, multi -screen adap"&amp;"ter, calculation Both pace and audio equipment are connected to the computer host through wireless WIFI, and both projectors are connected to the multi -screen adapter. Data processing module, scoring module, image output module. The game system of the pr"&amp;"esent invention outputs the game interface through a multi -screen adapter. At the same time, the game interface is projected on the ground and walls through two projectors. The gamers are in it to give you a stronger virtual reality of the game player.")</f>
        <v>The present invention disclosed a sports fitness game system and implementation method based on Kinect, including Kinect devices, pedestals, computer hosts, multi -screen adapters, two projectors, audio devices, which are Kinect device, multi -screen adapter, calculation Both pace and audio equipment are connected to the computer host through wireless WIFI, and both projectors are connected to the multi -screen adapter. Data processing module, scoring module, image output module. The game system of the present invention outputs the game interface through a multi -screen adapter. At the same time, the game interface is projected on the ground and walls through two projectors. The gamers are in it to give you a stronger virtual reality of the game player.</v>
      </c>
      <c r="D3618" s="6" t="s">
        <v>10129</v>
      </c>
      <c r="E3618" s="4" t="str">
        <f ca="1">IFERROR(__xludf.DUMMYFUNCTION("GOOGLETRANSLATE(D3618,""auto"",""en"")"),"A sports fitness game system and implementation method based on Kinect")</f>
        <v>A sports fitness game system and implementation method based on Kinect</v>
      </c>
    </row>
    <row r="3619" spans="1:5" ht="15" x14ac:dyDescent="0.25">
      <c r="A3619" s="5" t="s">
        <v>10130</v>
      </c>
      <c r="B3619" s="6" t="s">
        <v>10131</v>
      </c>
      <c r="C3619" s="3" t="str">
        <f ca="1">IFERROR(__xludf.DUMMYFUNCTION("GOOGLETRANSLATE(B3619,""auto"",""en"")"),"The invention involves a data collection system to determine that in this case to determine the power or static practice of the practitioner's strength or weight (such as double bar exercises), and the distance of the exercise exercise, the weight is weig"&amp;"hing by the weighing weight The arrangement of the sensor is determined, and the speed is detected by the computer vision with the assistance of the practitioner's movement distance through the assistance of the practitioner's movement distance, and then "&amp;"the change of pixels is then converted into a distance. Similarly, the speed is determined by the value of the time to the time. Similarly, through strength and speed, the power used in exercise can be estimated, and this data can be used to convert it in"&amp;"to a calorie equivalent.")</f>
        <v>The invention involves a data collection system to determine that in this case to determine the power or static practice of the practitioner's strength or weight (such as double bar exercises), and the distance of the exercise exercise, the weight is weighing by the weighing weight The arrangement of the sensor is determined, and the speed is detected by the computer vision with the assistance of the practitioner's movement distance through the assistance of the practitioner's movement distance, and then the change of pixels is then converted into a distance. Similarly, the speed is determined by the value of the time to the time. Similarly, through strength and speed, the power used in exercise can be estimated, and this data can be used to convert it into a calorie equivalent.</v>
      </c>
      <c r="D3619" s="6" t="s">
        <v>10132</v>
      </c>
      <c r="E3619" s="4" t="str">
        <f ca="1">IFERROR(__xludf.DUMMYFUNCTION("GOOGLETRANSLATE(D3619,""auto"",""en"")"),"The calorie consumption measurement system in fixed fitness equipment")</f>
        <v>The calorie consumption measurement system in fixed fitness equipment</v>
      </c>
    </row>
    <row r="3620" spans="1:5" ht="15" x14ac:dyDescent="0.25">
      <c r="A3620" s="5" t="s">
        <v>10133</v>
      </c>
      <c r="B3620" s="6" t="s">
        <v>10134</v>
      </c>
      <c r="C3620" s="3" t="str">
        <f ca="1">IFERROR(__xludf.DUMMYFUNCTION("GOOGLETRANSLATE(B3620,""auto"",""en"")"),"The guidance system for rebuilding and defense of the basketball action model disclosure of the present invention includes the Kinect deep sensor, deep learning module, and basketball action posture reconstruction module that completes basketball action i"&amp;"nformation; Categorize, and save the depth value corresponding to the basketball action bone coordinate point in a series of pictures, and save the coordinate value of the camera coordinate system in the Kinect depth sensor; A complete basketball movement"&amp;" is reconstructed; corresponding guidance during athlete training. The invention combines deep learning technology to realize the identification and statistics of basic basketball actions.")</f>
        <v>The guidance system for rebuilding and defense of the basketball action model disclosure of the present invention includes the Kinect deep sensor, deep learning module, and basketball action posture reconstruction module that completes basketball action information; Categorize, and save the depth value corresponding to the basketball action bone coordinate point in a series of pictures, and save the coordinate value of the camera coordinate system in the Kinect depth sensor; A complete basketball movement is reconstructed; corresponding guidance during athlete training. The invention combines deep learning technology to realize the identification and statistics of basic basketball actions.</v>
      </c>
      <c r="D3620" s="6" t="s">
        <v>10135</v>
      </c>
      <c r="E3620" s="4" t="str">
        <f ca="1">IFERROR(__xludf.DUMMYFUNCTION("GOOGLETRANSLATE(D3620,""auto"",""en"")"),"A guidance system and method for rebuilding and defense of basketball action model")</f>
        <v>A guidance system and method for rebuilding and defense of basketball action model</v>
      </c>
    </row>
    <row r="3621" spans="1:5" ht="15" x14ac:dyDescent="0.25">
      <c r="A3621" s="5" t="s">
        <v>10136</v>
      </c>
      <c r="B3621" s="6" t="s">
        <v>10137</v>
      </c>
      <c r="C3621" s="3" t="str">
        <f ca="1">IFERROR(__xludf.DUMMYFUNCTION("GOOGLETRANSLATE(B3621,""auto"",""en"")"),"In short, the present invention involves a healthy diagnostic monitoring node with a built -in diagnostic sensor/equipment, which is used to transmit biological signals to the ID2Health system or any other related electronic health/EHR system. There are f"&amp;"our main functions of this node, measurement and monitoring biological signals, analyzing/processing transmission data, communicating with medical care professionals to receive diagnostic/consulting services, and finally provide basic emergency emergency "&amp;"equipment, such as defibrillator. This node can be used indoors (such as airports, enterprises, stadiums, etc.) or open public places, and it can be easily managed by users without health experts (the contribution of medical care professionals is optional"&amp;", but it is still useful ). The innovative element of this node is embedded software, direct biological measurement processing, and through artificial intelligence algorithms, it provides easy -to -personal diagnosis and prognosis results.")</f>
        <v>In short, the present invention involves a healthy diagnostic monitoring node with a built -in diagnostic sensor/equipment, which is used to transmit biological signals to the ID2Health system or any other related electronic health/EHR system. There are four main functions of this node, measurement and monitoring biological signals, analyzing/processing transmission data, communicating with medical care professionals to receive diagnostic/consulting services, and finally provide basic emergency emergency equipment, such as defibrillator. This node can be used indoors (such as airports, enterprises, stadiums, etc.) or open public places, and it can be easily managed by users without health experts (the contribution of medical care professionals is optional, but it is still useful ). The innovative element of this node is embedded software, direct biological measurement processing, and through artificial intelligence algorithms, it provides easy -to -personal diagnosis and prognosis results.</v>
      </c>
      <c r="D3621" s="6" t="s">
        <v>10138</v>
      </c>
      <c r="E3621" s="4" t="str">
        <f ca="1">IFERROR(__xludf.DUMMYFUNCTION("GOOGLETRANSLATE(D3621,""auto"",""en"")"),"Diagnostic node of collaborative electronic medical services")</f>
        <v>Diagnostic node of collaborative electronic medical services</v>
      </c>
    </row>
    <row r="3622" spans="1:5" ht="15" x14ac:dyDescent="0.25">
      <c r="A3622" s="5" t="s">
        <v>10139</v>
      </c>
      <c r="B3622" s="6" t="s">
        <v>10140</v>
      </c>
      <c r="C3622" s="3" t="str">
        <f ca="1">IFERROR(__xludf.DUMMYFUNCTION("GOOGLETRANSLATE(B3622,""auto"",""en"")"),"[Question] The drone is moved to a position, which is convenient to observe the players' cooperation and the actions of the player's individual in various sports. The images taken by AI are comprehensively analyzed from one or more directions. We provide "&amp;"advice on which AI will provide a system of cooperative games and a single player's movement.
  The drone flew freely over the top of the players near the ball, back, left and right, capturing the movements and facial expressions of the players near the"&amp;" ball. AI compares these images with the images of player movements and cooperative competitions in professional competitions, and evaluate speed, timing deviation, and hitting trajectory. AI will recommend which exercise and muscle training are effective"&amp;" to get closer to professional players. In addition, because the mental state and strength (strength) can be confirmed from the facial expression, AI also gives advice on how to create facial expressions.
  【Selection Figure】 Figure 1")</f>
        <v>[Question] The drone is moved to a position, which is convenient to observe the players' cooperation and the actions of the player's individual in various sports. The images taken by AI are comprehensively analyzed from one or more directions. We provide advice on which AI will provide a system of cooperative games and a single player's movement.
  The drone flew freely over the top of the players near the ball, back, left and right, capturing the movements and facial expressions of the players near the ball. AI compares these images with the images of player movements and cooperative competitions in professional competitions, and evaluate speed, timing deviation, and hitting trajectory. AI will recommend which exercise and muscle training are effective to get closer to professional players. In addition, because the mental state and strength (strength) can be confirmed from the facial expression, AI also gives advice on how to create facial expressions.
  【Selection Figure】 Figure 1</v>
      </c>
      <c r="D3622" s="6" t="s">
        <v>10141</v>
      </c>
      <c r="E3622" s="4" t="str">
        <f ca="1">IFERROR(__xludf.DUMMYFUNCTION("GOOGLETRANSLATE(D3622,""auto"",""en"")"),"Artificial Intelligence UAV Analysis System")</f>
        <v>Artificial Intelligence UAV Analysis System</v>
      </c>
    </row>
    <row r="3623" spans="1:5" ht="15" x14ac:dyDescent="0.25">
      <c r="A3623" s="5" t="s">
        <v>10142</v>
      </c>
      <c r="B3623" s="6" t="s">
        <v>10143</v>
      </c>
      <c r="C3623" s="3" t="str">
        <f ca="1">IFERROR(__xludf.DUMMYFUNCTION("GOOGLETRANSLATE(B3623,""auto"",""en"")"),"One method includes receiving requests for recommendation for sports programs, in response to the receiving steps, determining the upcoming program vector and weighted historical vectors, and the comparison of the similarity of the upcoming program vector"&amp;" and the similarity of the weighted historical vectors to obtain the recommendation score, and as well as the recommendation score, and and Generate recommendations based on recommendation scores.")</f>
        <v>One method includes receiving requests for recommendation for sports programs, in response to the receiving steps, determining the upcoming program vector and weighted historical vectors, and the comparison of the similarity of the upcoming program vector and the similarity of the weighted historical vectors to obtain the recommendation score, and as well as the recommendation score, and and Generate recommendations based on recommendation scores.</v>
      </c>
      <c r="D3623" s="6" t="s">
        <v>10144</v>
      </c>
      <c r="E3623" s="4" t="str">
        <f ca="1">IFERROR(__xludf.DUMMYFUNCTION("GOOGLETRANSLATE(D3623,""auto"",""en"")"),"Use content filtering sports recommendation system")</f>
        <v>Use content filtering sports recommendation system</v>
      </c>
    </row>
    <row r="3624" spans="1:5" ht="15" x14ac:dyDescent="0.25">
      <c r="A3624" s="5" t="s">
        <v>10145</v>
      </c>
      <c r="B3624" s="6" t="s">
        <v>10146</v>
      </c>
      <c r="C3624" s="3" t="str">
        <f ca="1">IFERROR(__xludf.DUMMYFUNCTION("GOOGLETRANSLATE(B3624,""auto"",""en"")"),"A method of using a fixed camera to automatically combine video collection. Each camera views a fixed interest area and monitor the interested area to find the instructions for potential interest events. Time stamps of potential interesting events are rec"&amp;"ognized and used for highlights. Video highlights are sports events such as football or basketball. Interested areas can be goals or baskets. The indicator can be the movement of the player, the trajectory of the ball, the relative size of the object, the"&amp;" existence of the person or the ball, the movement speed of the object, the audio or these combinations. The interest area can be determined by human and computer image analysis or supervised machine learning modules. The supervised machine learning modul"&amp;"e can identify events that may be interested in. The highlights of the assembly are allocated to the user feedback score, and the result is returned to the supervised machine learning module. Scores may be determined by the number of comments on social me"&amp;"dia. The advantage of the present invention is the automation of video collection, making it suitable for amateur sports events.")</f>
        <v>A method of using a fixed camera to automatically combine video collection. Each camera views a fixed interest area and monitor the interested area to find the instructions for potential interest events. Time stamps of potential interesting events are recognized and used for highlights. Video highlights are sports events such as football or basketball. Interested areas can be goals or baskets. The indicator can be the movement of the player, the trajectory of the ball, the relative size of the object, the existence of the person or the ball, the movement speed of the object, the audio or these combinations. The interest area can be determined by human and computer image analysis or supervised machine learning modules. The supervised machine learning module can identify events that may be interested in. The highlights of the assembly are allocated to the user feedback score, and the result is returned to the supervised machine learning module. Scores may be determined by the number of comments on social media. The advantage of the present invention is the automation of video collection, making it suitable for amateur sports events.</v>
      </c>
      <c r="D3624" s="6" t="s">
        <v>10147</v>
      </c>
      <c r="E3624" s="4" t="str">
        <f ca="1">IFERROR(__xludf.DUMMYFUNCTION("GOOGLETRANSLATE(D3624,""auto"",""en"")"),"System for making video records")</f>
        <v>System for making video records</v>
      </c>
    </row>
    <row r="3625" spans="1:5" ht="15" x14ac:dyDescent="0.25">
      <c r="A3625" s="5" t="s">
        <v>10148</v>
      </c>
      <c r="B3625" s="6" t="s">
        <v>10149</v>
      </c>
      <c r="C3625" s="3" t="str">
        <f ca="1">IFERROR(__xludf.DUMMYFUNCTION("GOOGLETRANSLATE(B3625,""auto"",""en"")"),"The present invention disclosed a high -level search system based on material and material indicators, including: basic information, material indicators, and molding process data of materials; specific operation steps are clicks to enter the material libr"&amp;"ary, input key indicators parameters, and search meet the requirements of the requirements. Parameter indicators, horizontal contrast. The present invention achieves the mature search engine technology through the modeling and standardization of material "&amp;"data to achieve the matching of material indicators data and user demand materials to help industry users achieve the purpose of accurate and efficient finding material information to form a systematic system. Recommended by the product materials similar "&amp;"to the performance; and mainly for the relationship between the data of industrial materials and the application of downstream product application, it iterates the data matching model to clarify the relationship between different performance attribute mat"&amp;"erials and the downstream application field. Application requirements, improve the matching efficiency of materials and products, and provide enterprises with effective material information finding solutions.")</f>
        <v>The present invention disclosed a high -level search system based on material and material indicators, including: basic information, material indicators, and molding process data of materials; specific operation steps are clicks to enter the material library, input key indicators parameters, and search meet the requirements of the requirements. Parameter indicators, horizontal contrast. The present invention achieves the mature search engine technology through the modeling and standardization of material data to achieve the matching of material indicators data and user demand materials to help industry users achieve the purpose of accurate and efficient finding material information to form a systematic system. Recommended by the product materials similar to the performance; and mainly for the relationship between the data of industrial materials and the application of downstream product application, it iterates the data matching model to clarify the relationship between different performance attribute materials and the downstream application field. Application requirements, improve the matching efficiency of materials and products, and provide enterprises with effective material information finding solutions.</v>
      </c>
      <c r="D3625" s="6" t="s">
        <v>10150</v>
      </c>
      <c r="E3625" s="4" t="str">
        <f ca="1">IFERROR(__xludf.DUMMYFUNCTION("GOOGLETRANSLATE(D3625,""auto"",""en"")"),"A advanced search system based on material and physical indicators")</f>
        <v>A advanced search system based on material and physical indicators</v>
      </c>
    </row>
    <row r="3626" spans="1:5" ht="15" x14ac:dyDescent="0.25">
      <c r="A3626" s="5" t="s">
        <v>10151</v>
      </c>
      <c r="B3626" s="6" t="s">
        <v>10152</v>
      </c>
      <c r="C3626" s="3" t="str">
        <f ca="1">IFERROR(__xludf.DUMMYFUNCTION("GOOGLETRANSLATE(B3626,""auto"",""en"")"),"The present invention disclosed a feedback -based artificial intelligence learning training method. Specifically: 1) The trainees use electronic sensors and based on neural network learning methods. When the coaches and students learn one -on -one learnin"&amp;"g, the students' standard training actions are recorded; 2) In the follow -up training of the students, the electronic sensor compares the standard actions recorded in the subsequent training movement in the subsequent training movement to identify whethe"&amp;"r the follow -up training action is correct; 3) After the comparison Whether the movement is correct during the process, and inform the trainees; 4) After several times the trainees are guided by the coach, they record the correct exercise and wrong movem"&amp;"ents under the electronic sensor. The feedback -based artificial intelligence learning training method provided by the present invention has partially replaced the coach's guiding role. You can get the same feedback whether the action is correct when the "&amp;"coach is guided. Improve teaching efficiency and reduce students' learning costs.")</f>
        <v>The present invention disclosed a feedback -based artificial intelligence learning training method. Specifically: 1) The trainees use electronic sensors and based on neural network learning methods. When the coaches and students learn one -on -one learning, the students' standard training actions are recorded; 2) In the follow -up training of the students, the electronic sensor compares the standard actions recorded in the subsequent training movement in the subsequent training movement to identify whether the follow -up training action is correct; 3) After the comparison Whether the movement is correct during the process, and inform the trainees; 4) After several times the trainees are guided by the coach, they record the correct exercise and wrong movements under the electronic sensor. The feedback -based artificial intelligence learning training method provided by the present invention has partially replaced the coach's guiding role. You can get the same feedback whether the action is correct when the coach is guided. Improve teaching efficiency and reduce students' learning costs.</v>
      </c>
      <c r="D3626" s="6" t="s">
        <v>10153</v>
      </c>
      <c r="E3626" s="4" t="str">
        <f ca="1">IFERROR(__xludf.DUMMYFUNCTION("GOOGLETRANSLATE(D3626,""auto"",""en"")"),"An artificial intelligence learning training method based on feedback")</f>
        <v>An artificial intelligence learning training method based on feedback</v>
      </c>
    </row>
    <row r="3627" spans="1:5" ht="15" x14ac:dyDescent="0.25">
      <c r="A3627" s="5" t="s">
        <v>10154</v>
      </c>
      <c r="B3627" s="6" t="s">
        <v>10155</v>
      </c>
      <c r="C3627" s="3" t="str">
        <f ca="1">IFERROR(__xludf.DUMMYFUNCTION("GOOGLETRANSLATE(B3627,""auto"",""en"")"),"This utility model opens up a feedback -based artificial intelligence learning training system. The system includes two devices. The equipment is the one -to -one study of the coaches and students to study the student standard training action. Feedback st"&amp;"udents' controllers in the process of exercise, and inform the trainees of the coach's controller. The feedback -based artificial intelligence learning training system provided by this practical new model, part of the guiding role of coaches can allow stu"&amp;"dents to obtain the correct feedback of the movement without coach guidance, improve teaching efficiency, and reduce the learning costs of students.")</f>
        <v>This utility model opens up a feedback -based artificial intelligence learning training system. The system includes two devices. The equipment is the one -to -one study of the coaches and students to study the student standard training action. Feedback students' controllers in the process of exercise, and inform the trainees of the coach's controller. The feedback -based artificial intelligence learning training system provided by this practical new model, part of the guiding role of coaches can allow students to obtain the correct feedback of the movement without coach guidance, improve teaching efficiency, and reduce the learning costs of students.</v>
      </c>
      <c r="D3627" s="6" t="s">
        <v>10156</v>
      </c>
      <c r="E3627" s="4" t="str">
        <f ca="1">IFERROR(__xludf.DUMMYFUNCTION("GOOGLETRANSLATE(D3627,""auto"",""en"")"),"A feedback -based artificial intelligence learning training system")</f>
        <v>A feedback -based artificial intelligence learning training system</v>
      </c>
    </row>
    <row r="3628" spans="1:5" ht="15" x14ac:dyDescent="0.25">
      <c r="A3628" s="5" t="s">
        <v>10157</v>
      </c>
      <c r="B3628" s="6" t="s">
        <v>10158</v>
      </c>
      <c r="C3628" s="3" t="str">
        <f ca="1">IFERROR(__xludf.DUMMYFUNCTION("GOOGLETRANSLATE(B3628,""auto"",""en"")"),"The present invention disclosed a type of Sanda confrontation data collection system, which is stress sensor, pressure signal conditioning circuit, modulus conversion module, collecting wireless transmission module, power supply circuit, data set wireless"&amp;" transmission module, data concentrator, upper machine communication circuit Composition with the upper machine, the signal output terminal of the pressure sensor is connected to the wireless transmission module through the pressure signal conditioning ci"&amp;"rcuit, the power supply circuit and the pressure signal conditioning circuit and the collection end wireless transmission module connection, the data concentration end wireless transmission module connects the data concentrator connection The data concent"&amp;"rator is connected to the upper machine through the upper machine communication circuit. In order to solve the problem of quantitative acquisition of Sanda athletes, a multi -way data collection system was designed. The data collection terminal worn on th"&amp;"e athletes was designed. Provide a friendly human -computer interaction interface with athletes, which has the value of promotion and use.")</f>
        <v>The present invention disclosed a type of Sanda confrontation data collection system, which is stress sensor, pressure signal conditioning circuit, modulus conversion module, collecting wireless transmission module, power supply circuit, data set wireless transmission module, data concentrator, upper machine communication circuit Composition with the upper machine, the signal output terminal of the pressure sensor is connected to the wireless transmission module through the pressure signal conditioning circuit, the power supply circuit and the pressure signal conditioning circuit and the collection end wireless transmission module connection, the data concentration end wireless transmission module connects the data concentrator connection The data concentrator is connected to the upper machine through the upper machine communication circuit. In order to solve the problem of quantitative acquisition of Sanda athletes, a multi -way data collection system was designed. The data collection terminal worn on the athletes was designed. Provide a friendly human -computer interaction interface with athletes, which has the value of promotion and use.</v>
      </c>
      <c r="D3628" s="6" t="s">
        <v>10159</v>
      </c>
      <c r="E3628" s="4" t="str">
        <f ca="1">IFERROR(__xludf.DUMMYFUNCTION("GOOGLETRANSLATE(D3628,""auto"",""en"")"),"Sanda confrontation data collection system")</f>
        <v>Sanda confrontation data collection system</v>
      </c>
    </row>
    <row r="3629" spans="1:5" ht="15" x14ac:dyDescent="0.25">
      <c r="A3629" s="5" t="s">
        <v>10160</v>
      </c>
      <c r="B3629" s="6" t="s">
        <v>10161</v>
      </c>
      <c r="C3629" s="3" t="str">
        <f ca="1">IFERROR(__xludf.DUMMYFUNCTION("GOOGLETRANSLATE(B3629,""auto"",""en"")"),"Provides a system for studying movements. A computing device [10] processor [20], acceleration meter [11], gyroscope [12], magnetometer [13], and storage/computer readable medium [30]. The computing device [10] can sensor, classification, limit, and/or qu"&amp;"antitative motion targets based on the initial motion data classified in the sports library [32]. Sports data is processed as a specific motion unit. Computing equipment [10] can use machine learning algorithms for ""training"" and ""learning"". Computing"&amp;" equipment [10] can be used in many industries, including the fitness industry, where the computing equipment [10] can be used with wearable technology.")</f>
        <v>Provides a system for studying movements. A computing device [10] processor [20], acceleration meter [11], gyroscope [12], magnetometer [13], and storage/computer readable medium [30]. The computing device [10] can sensor, classification, limit, and/or quantitative motion targets based on the initial motion data classified in the sports library [32]. Sports data is processed as a specific motion unit. Computing equipment [10] can use machine learning algorithms for "training" and "learning". Computing equipment [10] can be used in many industries, including the fitness industry, where the computing equipment [10] can be used with wearable technology.</v>
      </c>
      <c r="D3629" s="6" t="s">
        <v>10162</v>
      </c>
      <c r="E3629" s="4" t="str">
        <f ca="1">IFERROR(__xludf.DUMMYFUNCTION("GOOGLETRANSLATE(D3629,""auto"",""en"")"),"Systems, equipment and methods related to sports data")</f>
        <v>Systems, equipment and methods related to sports data</v>
      </c>
    </row>
    <row r="3630" spans="1:5" ht="15" x14ac:dyDescent="0.25">
      <c r="A3630" s="5" t="s">
        <v>10163</v>
      </c>
      <c r="B3630" s="6" t="s">
        <v>7198</v>
      </c>
      <c r="C3630" s="3" t="str">
        <f ca="1">IFERROR(__xludf.DUMMYFUNCTION("GOOGLETRANSLATE(B3630,""auto"",""en"")"),"Provide a mechanism for achieving personalized training recommendation systems. From the user receiving request to generate personalized training solutions for specifying sports events, and identify event information that includes one or more geographical"&amp;" segments that specifies sports events. Based on event information, one or more parts of the geographical area are identified, and they are similar to one or more features of one or more geographical segments within the predetermined tolerance. At least t"&amp;"he selection collection of the compatible combination of one or more physical characteristics of one or more physical characteristics that is associated with one or more of each part is generated to generate training courses. Specify more geographical seg"&amp;"ments of sports, and then present it as a user's personalized training scheme to the user.")</f>
        <v>Provide a mechanism for achieving personalized training recommendation systems. From the user receiving request to generate personalized training solutions for specifying sports events, and identify event information that includes one or more geographical segments that specifies sports events. Based on event information, one or more parts of the geographical area are identified, and they are similar to one or more features of one or more geographical segments within the predetermined tolerance. At least the selection collection of the compatible combination of one or more physical characteristics of one or more physical characteristics that is associated with one or more of each part is generated to generate training courses. Specify more geographical segments of sports, and then present it as a user's personalized training scheme to the user.</v>
      </c>
      <c r="D3630" s="6" t="s">
        <v>7199</v>
      </c>
      <c r="E3630" s="4" t="str">
        <f ca="1">IFERROR(__xludf.DUMMYFUNCTION("GOOGLETRANSLATE(D3630,""auto"",""en"")"),"Personalized training based on planning courses and personal assessment")</f>
        <v>Personalized training based on planning courses and personal assessment</v>
      </c>
    </row>
    <row r="3631" spans="1:5" ht="15" x14ac:dyDescent="0.25">
      <c r="A3631" s="5" t="s">
        <v>10164</v>
      </c>
      <c r="B3631" s="6" t="s">
        <v>10165</v>
      </c>
      <c r="C3631" s="3" t="str">
        <f ca="1">IFERROR(__xludf.DUMMYFUNCTION("GOOGLETRANSLATE(B3631,""auto"",""en"")"),"Examples of the present invention disclose a smart home control system, which is specifically a smart home control system based on the TV routing system. The TV routing system includes display units and host units. The host unit will integrate the routing"&amp;" unit, host processing unit, and audio unit set. It is more convenient to operate; at the same time, through the wireless connection between each component, the cable connection between different components is reduced. At the same time, the TV routing sys"&amp;"tem can connect the home Internet of the house, family fitness and entertainment system, cloud platform, e -commerce platform, and financial payment platforms through the Internet, and realize the smart home control system based on TV routing systems.")</f>
        <v>Examples of the present invention disclose a smart home control system, which is specifically a smart home control system based on the TV routing system. The TV routing system includes display units and host units. The host unit will integrate the routing unit, host processing unit, and audio unit set. It is more convenient to operate; at the same time, through the wireless connection between each component, the cable connection between different components is reduced. At the same time, the TV routing system can connect the home Internet of the house, family fitness and entertainment system, cloud platform, e -commerce platform, and financial payment platforms through the Internet, and realize the smart home control system based on TV routing systems.</v>
      </c>
      <c r="D3631" s="6" t="s">
        <v>10166</v>
      </c>
      <c r="E3631" s="4" t="str">
        <f ca="1">IFERROR(__xludf.DUMMYFUNCTION("GOOGLETRANSLATE(D3631,""auto"",""en"")"),"A smart home control system")</f>
        <v>A smart home control system</v>
      </c>
    </row>
    <row r="3632" spans="1:5" ht="15" x14ac:dyDescent="0.25">
      <c r="A3632" s="5" t="s">
        <v>10167</v>
      </c>
      <c r="B3632" s="6" t="s">
        <v>10168</v>
      </c>
      <c r="C3632" s="3" t="str">
        <f ca="1">IFERROR(__xludf.DUMMYFUNCTION("GOOGLETRANSLATE(B3632,""auto"",""en"")"),"In the present invention, when a member enters the fitness club, the aerobic exercise time and weight training time tailored for the member are recommended to be applied to applications on a member smartphone, and the recommended aerobic exercise time and"&amp;" calorie consumption Measure the time of weight training. After calculation, the three filtration foods are filtered 4 times based on each exercise time and calorie consumption, providing daily diet suitable for personal members who enter fitness clubs. T"&amp;"hen, if you enter the actual aerobic exercise time and weight training exercise time, through the APP, actual aerobic exercise time and weight training exercise time calculate the calorie consumption, and then use the actual time and calorie consumption o"&amp;"f each exercise time. 3 According to personal characteristics and amount of exercise, the system is filtered on the first filtering food for the first time, and the diet suitable for each member will eventually provide each member.
  According to the pr"&amp;"esent invention, if a member conducts a large amount of aerobic exercise, it is recommended to diet suitable for hydrating and weight loss. If a member conducts a lot of weight training, it is recommended to help increase the muscle weight. And personal c"&amp;"haracteristics and diseases, make suggestions by reflecting the condition, and even accurately calculate the calorie consumption, and recommend the necessary diet.")</f>
        <v>In the present invention, when a member enters the fitness club, the aerobic exercise time and weight training time tailored for the member are recommended to be applied to applications on a member smartphone, and the recommended aerobic exercise time and calorie consumption Measure the time of weight training. After calculation, the three filtration foods are filtered 4 times based on each exercise time and calorie consumption, providing daily diet suitable for personal members who enter fitness clubs. Then, if you enter the actual aerobic exercise time and weight training exercise time, through the APP, actual aerobic exercise time and weight training exercise time calculate the calorie consumption, and then use the actual time and calorie consumption of each exercise time. 3 According to personal characteristics and amount of exercise, the system is filtered on the first filtering food for the first time, and the diet suitable for each member will eventually provide each member.
  According to the present invention, if a member conducts a large amount of aerobic exercise, it is recommended to diet suitable for hydrating and weight loss. If a member conducts a lot of weight training, it is recommended to help increase the muscle weight. And personal characteristics and diseases, make suggestions by reflecting the condition, and even accurately calculate the calorie consumption, and recommend the necessary diet.</v>
      </c>
      <c r="D3632" s="6" t="s">
        <v>10169</v>
      </c>
      <c r="E3632" s="4" t="str">
        <f ca="1">IFERROR(__xludf.DUMMYFUNCTION("GOOGLETRANSLATE(D3632,""auto"",""en"")"),"Fitness Club Diet Recommendation System based on personal characteristics and exercise volume")</f>
        <v>Fitness Club Diet Recommendation System based on personal characteristics and exercise volume</v>
      </c>
    </row>
    <row r="3633" spans="1:5" ht="15" x14ac:dyDescent="0.25">
      <c r="A3633" s="5" t="s">
        <v>10170</v>
      </c>
      <c r="B3633" s="6" t="s">
        <v>10171</v>
      </c>
      <c r="C3633" s="3" t="str">
        <f ca="1">IFERROR(__xludf.DUMMYFUNCTION("GOOGLETRANSLATE(B3633,""auto"",""en"")"),"Talent artificial intelligence virtual proxy (""TAIVA"") executes the function of professional coach agent driven by artificial intelligence. The invention can provide corporate and professionals with human resources, talent analysis, employee professiona"&amp;"lism, and independent professional coaching functions. Similar to professional coaches that cooperate with talents and help them find better opportunities and growth, the present invention uses the power of machine learning and collaboration to discover o"&amp;"pportunities. The function of the system is from providing professional changes, helping skills, growth, crowd cooperation to task -level performances, and construction capabilities. The system has begun since childhood. As it understands the candidates a"&amp;"nd other members of the Internet, it will use artificial intelligence, collaborative discovery and global trends to create adaptive and related recommended maps and progress instrument boards for candidates Just like a professional coach.")</f>
        <v>Talent artificial intelligence virtual proxy ("TAIVA") executes the function of professional coach agent driven by artificial intelligence. The invention can provide corporate and professionals with human resources, talent analysis, employee professionalism, and independent professional coaching functions. Similar to professional coaches that cooperate with talents and help them find better opportunities and growth, the present invention uses the power of machine learning and collaboration to discover opportunities. The function of the system is from providing professional changes, helping skills, growth, crowd cooperation to task -level performances, and construction capabilities. The system has begun since childhood. As it understands the candidates and other members of the Internet, it will use artificial intelligence, collaborative discovery and global trends to create adaptive and related recommended maps and progress instrument boards for candidates Just like a professional coach.</v>
      </c>
      <c r="D3633" s="6" t="s">
        <v>10172</v>
      </c>
      <c r="E3633" s="4" t="str">
        <f ca="1">IFERROR(__xludf.DUMMYFUNCTION("GOOGLETRANSLATE(D3633,""auto"",""en"")"),"Talent artificial intelligence virtual proxy robot")</f>
        <v>Talent artificial intelligence virtual proxy robot</v>
      </c>
    </row>
    <row r="3634" spans="1:5" ht="15" x14ac:dyDescent="0.25">
      <c r="A3634" s="5" t="s">
        <v>10173</v>
      </c>
      <c r="B3634" s="6" t="s">
        <v>10174</v>
      </c>
      <c r="C3634" s="3" t="str">
        <f ca="1">IFERROR(__xludf.DUMMYFUNCTION("GOOGLETRANSLATE(B3634,""auto"",""en"")"),"This utility model has disclosed a track and field equipment storage device, which belongs to the field of sports equipment. This device includes brackets, storage agencies and monitoring systems. The storage mechanism includes the benchmark boards, tinba"&amp;"rn boards and shotgun boards set in turn. The monitoring system includes memory, pressure sensors, processors, human -machine interaction modules, alarm modules and power modules. Existing existing existing The track and field equipment storage device in "&amp;"the technology has the problem of inconvenience and easy loss. The practical new type adopts layered design, which is convenient for storage of sports equipment. It can be flexibly recorded and the number of returns can be borrowed. The use of the alarm m"&amp;"odule can also achieve the function provided by the alarm without returning, which is convenient for the management of teachers or managers.")</f>
        <v>This utility model has disclosed a track and field equipment storage device, which belongs to the field of sports equipment. This device includes brackets, storage agencies and monitoring systems. The storage mechanism includes the benchmark boards, tinbarn boards and shotgun boards set in turn. The monitoring system includes memory, pressure sensors, processors, human -machine interaction modules, alarm modules and power modules. Existing existing existing The track and field equipment storage device in the technology has the problem of inconvenience and easy loss. The practical new type adopts layered design, which is convenient for storage of sports equipment. It can be flexibly recorded and the number of returns can be borrowed. The use of the alarm module can also achieve the function provided by the alarm without returning, which is convenient for the management of teachers or managers.</v>
      </c>
      <c r="D3634" s="6" t="s">
        <v>10175</v>
      </c>
      <c r="E3634" s="4" t="str">
        <f ca="1">IFERROR(__xludf.DUMMYFUNCTION("GOOGLETRANSLATE(D3634,""auto"",""en"")"),"Track and field equipment storage device")</f>
        <v>Track and field equipment storage device</v>
      </c>
    </row>
    <row r="3635" spans="1:5" ht="15" x14ac:dyDescent="0.25">
      <c r="A3635" s="5" t="s">
        <v>10176</v>
      </c>
      <c r="B3635" s="6" t="s">
        <v>10177</v>
      </c>
      <c r="C3635" s="3" t="str">
        <f ca="1">IFERROR(__xludf.DUMMYFUNCTION("GOOGLETRANSLATE(B3635,""auto"",""en"")"),"A system and method include the use of at least four different decision -making components as the input of the computer system. Based on the score of candidates in each decision component, the system generation of the present invention provides the probab"&amp;"ility of the successful probability of candidates in employment roles. This system and method can be used to sell professional positions such as sales and engineering positions, and can also be used for sports teams (used to evaluate athletes) and determi"&amp;"ne the company's potential CEO and president. The score is generated by a computer-based process design engine and is based on the 0-100 level. This process uses prediction analysis and artificial intelligence components to continuously improve computer -"&amp;"based systems and methods.")</f>
        <v>A system and method include the use of at least four different decision -making components as the input of the computer system. Based on the score of candidates in each decision component, the system generation of the present invention provides the probability of the successful probability of candidates in employment roles. This system and method can be used to sell professional positions such as sales and engineering positions, and can also be used for sports teams (used to evaluate athletes) and determine the company's potential CEO and president. The score is generated by a computer-based process design engine and is based on the 0-100 level. This process uses prediction analysis and artificial intelligence components to continuously improve computer -based systems and methods.</v>
      </c>
      <c r="D3635" s="6" t="s">
        <v>10178</v>
      </c>
      <c r="E3635" s="4" t="str">
        <f ca="1">IFERROR(__xludf.DUMMYFUNCTION("GOOGLETRANSLATE(D3635,""auto"",""en"")"),"Candidates choose systems and methods")</f>
        <v>Candidates choose systems and methods</v>
      </c>
    </row>
    <row r="3636" spans="1:5" ht="15" x14ac:dyDescent="0.25">
      <c r="A3636" s="5" t="s">
        <v>10179</v>
      </c>
      <c r="B3636" s="6" t="s">
        <v>10180</v>
      </c>
      <c r="C3636" s="3" t="str">
        <f ca="1">IFERROR(__xludf.DUMMYFUNCTION("GOOGLETRANSLATE(B3636,""auto"",""en"")"),"A method and system to determine and verify the location of the network device connected to the Internet of Things (IoT). This method and system provide current physical and geographical location for such Internet of Things network devices such as acciden"&amp;"ts, health, fitness, fire, terrorist attacks, military events, weather, and flood incidents and other emergencies. And the current physical geographical location is forwarded to the traditional 911 network, NG-911 network, emergency service IP network (ES"&amp;"INET) or text to 911 short message service (SMS) network to remind the emergency response.")</f>
        <v>A method and system to determine and verify the location of the network device connected to the Internet of Things (IoT). This method and system provide current physical and geographical location for such Internet of Things network devices such as accidents, health, fitness, fire, terrorist attacks, military events, weather, and flood incidents and other emergencies. And the current physical geographical location is forwarded to the traditional 911 network, NG-911 network, emergency service IP network (ESINET) or text to 911 short message service (SMS) network to remind the emergency response.</v>
      </c>
      <c r="D3636" s="6" t="s">
        <v>10181</v>
      </c>
      <c r="E3636" s="4" t="str">
        <f ca="1">IFERROR(__xludf.DUMMYFUNCTION("GOOGLETRANSLATE(D3636,""auto"",""en"")"),"The method and system for emergency location information services (E-LIS) for the Internet of Things (IoT) device")</f>
        <v>The method and system for emergency location information services (E-LIS) for the Internet of Things (IoT) device</v>
      </c>
    </row>
    <row r="3637" spans="1:5" ht="15" x14ac:dyDescent="0.25">
      <c r="A3637" s="5" t="s">
        <v>10182</v>
      </c>
      <c r="B3637" s="6" t="s">
        <v>10183</v>
      </c>
      <c r="C3637" s="3" t="str">
        <f ca="1">IFERROR(__xludf.DUMMYFUNCTION("GOOGLETRANSLATE(B3637,""auto"",""en"")"),"The present invention discloses a intelligent and safe treadmill, including the control board, handrail and movement subject. The control display is installed with a control display in the control board. There is a memory card groove, which is installed u"&amp;"nder the control board with a voice recognition device, which is installed with a bracket in the lower end of the control board. The stent is installed with a QC200 data processor. Internal installation is a heart rate sensor, which is installed with the "&amp;"main body of the motion in the lower end of the bracket. The motor is installed inside the motor. With a gravity sensor installed inside. The present invention has the characteristics of stable and efficient work, and can also experience great entertainme"&amp;"nt while exercising.")</f>
        <v>The present invention discloses a intelligent and safe treadmill, including the control board, handrail and movement subject. The control display is installed with a control display in the control board. There is a memory card groove, which is installed under the control board with a voice recognition device, which is installed with a bracket in the lower end of the control board. The stent is installed with a QC200 data processor. Internal installation is a heart rate sensor, which is installed with the main body of the motion in the lower end of the bracket. The motor is installed inside the motor. With a gravity sensor installed inside. The present invention has the characteristics of stable and efficient work, and can also experience great entertainment while exercising.</v>
      </c>
      <c r="D3637" s="6" t="s">
        <v>10184</v>
      </c>
      <c r="E3637" s="4" t="str">
        <f ca="1">IFERROR(__xludf.DUMMYFUNCTION("GOOGLETRANSLATE(D3637,""auto"",""en"")"),"A intelligent security treadmill")</f>
        <v>A intelligent security treadmill</v>
      </c>
    </row>
    <row r="3638" spans="1:5" ht="15" x14ac:dyDescent="0.25">
      <c r="A3638" s="5" t="s">
        <v>10185</v>
      </c>
      <c r="B3638" s="6" t="s">
        <v>10186</v>
      </c>
      <c r="C3638" s="3" t="str">
        <f ca="1">IFERROR(__xludf.DUMMYFUNCTION("GOOGLETRANSLATE(B3638,""auto"",""en"")"),"This utility model opens up a intelligent and safe treadmill, including the control board, handrails and movement subjects. The internal control display of the control board is installed with a hand -controlled speed handle under the control display. Ther"&amp;"e is a memory card groove in the lower left end, which is installed under the control board with a voice recognition device. The lower end of the control board is installed with a bracket. The stent is installed with a QC200 data processor. Internal insta"&amp;"llation of the handrail, a heart rate sensor, is installed with the main body of the motion in the lower end of the bracket. The motor is installed inside the motion subject. The S12 speed sensor is installed on one end of the motor. The running belt is i"&amp;"nstalled with a gravity sensor. This utility model has the characteristics of stable and efficient work, and can also experience a lot of entertainment while exercising.")</f>
        <v>This utility model opens up a intelligent and safe treadmill, including the control board, handrails and movement subjects. The internal control display of the control board is installed with a hand -controlled speed handle under the control display. There is a memory card groove in the lower left end, which is installed under the control board with a voice recognition device. The lower end of the control board is installed with a bracket. The stent is installed with a QC200 data processor. Internal installation of the handrail, a heart rate sensor, is installed with the main body of the motion in the lower end of the bracket. The motor is installed inside the motion subject. The S12 speed sensor is installed on one end of the motor. The running belt is installed with a gravity sensor. This utility model has the characteristics of stable and efficient work, and can also experience a lot of entertainment while exercising.</v>
      </c>
      <c r="D3638" s="6" t="s">
        <v>10184</v>
      </c>
      <c r="E3638" s="4" t="str">
        <f ca="1">IFERROR(__xludf.DUMMYFUNCTION("GOOGLETRANSLATE(D3638,""auto"",""en"")"),"A intelligent security treadmill")</f>
        <v>A intelligent security treadmill</v>
      </c>
    </row>
    <row r="3639" spans="1:5" ht="15" x14ac:dyDescent="0.25">
      <c r="A3639" s="5" t="s">
        <v>10187</v>
      </c>
      <c r="B3639" s="6" t="s">
        <v>10188</v>
      </c>
      <c r="C3639" s="3" t="str">
        <f ca="1">IFERROR(__xludf.DUMMYFUNCTION("GOOGLETRANSLATE(B3639,""auto"",""en"")"),"The present invention disclosed the control method of the Internet of Things multiplayer and the same screen sports game. The data collection unit of the fitness equipment transmits the collected sports data to the user terminal device. The user terminal "&amp;"equipment is processed and uploaded to the network server. The personal host Responsible for running a multi -screen sports game software and receiving the sports data of all participants on the network server through the network. According to the sports "&amp;"data of all the participants receiving all the participants, the game software is formed in the game software. The display screen connected to the individual host is connected to the display screen. Display the game's active screen. The use of this contro"&amp;"l method can achieve multi -person sports games, set sports with multiplayer competitive games, and the signal is stable, unlimited from distance, etc. In addition The terminal device is processed and transmitted, so it will not be recognized. It can also"&amp;" simplify the component design of the electronic header of the fitness equipment and reduce the cost.")</f>
        <v>The present invention disclosed the control method of the Internet of Things multiplayer and the same screen sports game. The data collection unit of the fitness equipment transmits the collected sports data to the user terminal device. The user terminal equipment is processed and uploaded to the network server. The personal host Responsible for running a multi -screen sports game software and receiving the sports data of all participants on the network server through the network. According to the sports data of all the participants receiving all the participants, the game software is formed in the game software. The display screen connected to the individual host is connected to the display screen. Display the game's active screen. The use of this control method can achieve multi -person sports games, set sports with multiplayer competitive games, and the signal is stable, unlimited from distance, etc. In addition The terminal device is processed and transmitted, so it will not be recognized. It can also simplify the component design of the electronic header of the fitness equipment and reduce the cost.</v>
      </c>
      <c r="D3639" s="6" t="s">
        <v>10189</v>
      </c>
      <c r="E3639" s="4" t="str">
        <f ca="1">IFERROR(__xludf.DUMMYFUNCTION("GOOGLETRANSLATE(D3639,""auto"",""en"")"),"The control method of the Internet of Things multiplayer the same screen sports game")</f>
        <v>The control method of the Internet of Things multiplayer the same screen sports game</v>
      </c>
    </row>
    <row r="3640" spans="1:5" ht="15" x14ac:dyDescent="0.25">
      <c r="A3640" s="5" t="s">
        <v>10190</v>
      </c>
      <c r="B3640" s="6" t="s">
        <v>10191</v>
      </c>
      <c r="C3640" s="3" t="str">
        <f ca="1">IFERROR(__xludf.DUMMYFUNCTION("GOOGLETRANSLATE(B3640,""auto"",""en"")"),"The present invention disclosed an automatic referee platform based on the Internet of Things. The javelin module Ⅰ is responsible for flying out of the javelin and stopped, and the signal of the javelin of the flight to the server module Ⅲ, and the induc"&amp;"tion signal to the venue module Ⅱ to the venue module Ⅱ Wait; the venue module Ⅱ When the flight javelin stops at the game venue, it is responsible for sending the signal of the labeling gun to the server module Ⅲ; Correctly inserted into the field, calcu"&amp;"late the throwing javelin flight distance, and the ranking of all players throwing a javelin competition; the present invention can automatically correct whether the javelin where the flight is correctly inserted into the legal venue range, and automatic "&amp;"referees of the shot gun flight distance, so as to avoid The referee must bring personal dangers to the game venue; automatically rank the results of all players to improve the efficiency of the game.")</f>
        <v>The present invention disclosed an automatic referee platform based on the Internet of Things. The javelin module Ⅰ is responsible for flying out of the javelin and stopped, and the signal of the javelin of the flight to the server module Ⅲ, and the induction signal to the venue module Ⅱ to the venue module Ⅱ Wait; the venue module Ⅱ When the flight javelin stops at the game venue, it is responsible for sending the signal of the labeling gun to the server module Ⅲ; Correctly inserted into the field, calculate the throwing javelin flight distance, and the ranking of all players throwing a javelin competition; the present invention can automatically correct whether the javelin where the flight is correctly inserted into the legal venue range, and automatic referees of the shot gun flight distance, so as to avoid The referee must bring personal dangers to the game venue; automatically rank the results of all players to improve the efficiency of the game.</v>
      </c>
      <c r="D3640" s="6" t="s">
        <v>10192</v>
      </c>
      <c r="E3640" s="4" t="str">
        <f ca="1">IFERROR(__xludf.DUMMYFUNCTION("GOOGLETRANSLATE(D3640,""auto"",""en"")"),"Automatic referee platform and usage method based on the Internet of Things -based javelin competition")</f>
        <v>Automatic referee platform and usage method based on the Internet of Things -based javelin competition</v>
      </c>
    </row>
    <row r="3641" spans="1:5" ht="15" x14ac:dyDescent="0.25">
      <c r="A3641" s="5" t="s">
        <v>10193</v>
      </c>
      <c r="B3641" s="6" t="s">
        <v>10194</v>
      </c>
      <c r="C3641" s="3" t="str">
        <f ca="1">IFERROR(__xludf.DUMMYFUNCTION("GOOGLETRANSLATE(B3641,""auto"",""en"")"),"[0001] The present invention involves the IoT -based sea girl health monitoring system and sea girl health monitoring method for preventing sea -girl drowning accidents and managing sea women's health. Sea women's health monitoring system. A smart health "&amp;"goggles device that is used in the form of a mirror to measure the oxygen concentration in the blood of the sea women and monitor the location of the sea girl; It is used to measure the ECG of the sea girl; the intelligent health swimming device is connec"&amp;"ted to the intelligent health mirror device and the intelligent health diving suit device. It has communication and floating functions, so that the sea girl can move on the surface or swimming on the water. According to the IoT -based sea girl health moni"&amp;"toring system and sea girl health monitoring method proposed by the present invention to prevent drowning accidents and healthy management, the diving glasses, diving clothes and Taiyu of the sea girl are used as intelligent health devices, so as to make "&amp;"sea girl materials When the blood oxygen concentration decreases or arrhythmia during surgery, the sea girl health management server transmitted to the land through the intelligent health Tyvak device to request sea rescue at the same time. The device can"&amp;" be notified by vibration. In addition, according to the present invention, the intelligent healthy mirror device is configured to include blood oxygen saturation sensors, GPS modules, and vibration sensors used for alarm. The intelligent health diving cl"&amp;"othing device is configured to include ECG sensors. ECG sensors include: dry electrodes, intelligent health Tyvak's equipment and intelligent health goggles equipment and intelligent health submersible equipment are connected wired. They are configured as"&amp;" a network platform to conduct wireless communication with the sea girl health management server on the land to monitor the health status. The risk of sea girls more effectively guarantees the risk management and safety of sea girls.")</f>
        <v>[0001] The present invention involves the IoT -based sea girl health monitoring system and sea girl health monitoring method for preventing sea -girl drowning accidents and managing sea women's health. Sea women's health monitoring system. A smart health goggles device that is used in the form of a mirror to measure the oxygen concentration in the blood of the sea women and monitor the location of the sea girl; It is used to measure the ECG of the sea girl; the intelligent health swimming device is connected to the intelligent health mirror device and the intelligent health diving suit device. It has communication and floating functions, so that the sea girl can move on the surface or swimming on the water. According to the IoT -based sea girl health monitoring system and sea girl health monitoring method proposed by the present invention to prevent drowning accidents and healthy management, the diving glasses, diving clothes and Taiyu of the sea girl are used as intelligent health devices, so as to make sea girl materials When the blood oxygen concentration decreases or arrhythmia during surgery, the sea girl health management server transmitted to the land through the intelligent health Tyvak device to request sea rescue at the same time. The device can be notified by vibration. In addition, according to the present invention, the intelligent healthy mirror device is configured to include blood oxygen saturation sensors, GPS modules, and vibration sensors used for alarm. The intelligent health diving clothing device is configured to include ECG sensors. ECG sensors include: dry electrodes, intelligent health Tyvak's equipment and intelligent health goggles equipment and intelligent health submersible equipment are connected wired. They are configured as a network platform to conduct wireless communication with the sea girl health management server on the land to monitor the health status. The risk of sea girls more effectively guarantees the risk management and safety of sea girls.</v>
      </c>
      <c r="D3641" s="6" t="s">
        <v>10195</v>
      </c>
      <c r="E3641" s="4" t="str">
        <f ca="1">IFERROR(__xludf.DUMMYFUNCTION("GOOGLETRANSLATE(D3641,""auto"",""en"")"),"Health monitoring methods for preventing and healthy management based on the Internet of Things -based sea girl health monitoring system and sea girl drowning accident")</f>
        <v>Health monitoring methods for preventing and healthy management based on the Internet of Things -based sea girl health monitoring system and sea girl drowning accident</v>
      </c>
    </row>
    <row r="3642" spans="1:5" ht="15" x14ac:dyDescent="0.25">
      <c r="A3642" s="5" t="s">
        <v>10196</v>
      </c>
      <c r="B3642" s="6" t="s">
        <v>10197</v>
      </c>
      <c r="C3642" s="3" t="str">
        <f ca="1">IFERROR(__xludf.DUMMYFUNCTION("GOOGLETRANSLATE(B3642,""auto"",""en"")"),"A smart ball pickup that can automatically plan the route to store table tennis. Its composition includes: the ball picker body, the picker split; , Electronic eyes, wheels, metal bars; the vacuum suction uses a strong suction power to pick up table tenni"&amp;"s; when the goal is inhaled as a ball in the ball, it will automatically close; ; The touch screen button includes the key, the path planning key, and the ball collection key; the electronic eye has the image recognition function; The split of the ball in"&amp;"cludes: button, handle hand; the button controls the storage box, and removes the full ball storage box from the picker's body; the handle can stretch box.")</f>
        <v>A smart ball pickup that can automatically plan the route to store table tennis. Its composition includes: the ball picker body, the picker split; , Electronic eyes, wheels, metal bars; the vacuum suction uses a strong suction power to pick up table tennis; when the goal is inhaled as a ball in the ball, it will automatically close; ; The touch screen button includes the key, the path planning key, and the ball collection key; the electronic eye has the image recognition function; The split of the ball includes: button, handle hand; the button controls the storage box, and removes the full ball storage box from the picker's body; the handle can stretch box.</v>
      </c>
      <c r="D3642" s="6" t="s">
        <v>10198</v>
      </c>
      <c r="E3642" s="4" t="str">
        <f ca="1">IFERROR(__xludf.DUMMYFUNCTION("GOOGLETRANSLATE(D3642,""auto"",""en"")"),"A smart ball pickup that can automatically plan the route to store table tennis")</f>
        <v>A smart ball pickup that can automatically plan the route to store table tennis</v>
      </c>
    </row>
    <row r="3643" spans="1:5" ht="15" x14ac:dyDescent="0.25">
      <c r="A3643" s="5" t="s">
        <v>10199</v>
      </c>
      <c r="B3643" s="6" t="s">
        <v>10200</v>
      </c>
      <c r="C3643" s="3" t="str">
        <f ca="1">IFERROR(__xludf.DUMMYFUNCTION("GOOGLETRANSLATE(B3643,""auto"",""en"")"),"The present invention aims to significantly reduce weight and save energy by replacing certain components of the current vehicle and robotics and machines with intelligent graphene fibers and nano composite materials. The invention also involves the forma"&amp;"tion of the next generation of transportation, including but not limited to various vehicles, trailers, trucks, highways and air transportation, ships and human intelligent robots, machine components, and computer components, bicycles and sports products."&amp;" It is about.")</f>
        <v>The present invention aims to significantly reduce weight and save energy by replacing certain components of the current vehicle and robotics and machines with intelligent graphene fibers and nano composite materials. The invention also involves the formation of the next generation of transportation, including but not limited to various vehicles, trailers, trucks, highways and air transportation, ships and human intelligent robots, machine components, and computer components, bicycles and sports products. It is about.</v>
      </c>
      <c r="D3643" s="6" t="s">
        <v>10201</v>
      </c>
      <c r="E3643" s="4" t="str">
        <f ca="1">IFERROR(__xludf.DUMMYFUNCTION("GOOGLETRANSLATE(D3643,""auto"",""en"")"),"Smart graphene nanomaterial manufacturing method and used for ultra -light machines and vehicles")</f>
        <v>Smart graphene nanomaterial manufacturing method and used for ultra -light machines and vehicles</v>
      </c>
    </row>
    <row r="3644" spans="1:5" ht="15" x14ac:dyDescent="0.25">
      <c r="A3644" s="5" t="s">
        <v>10202</v>
      </c>
      <c r="B3644" s="6" t="s">
        <v>10203</v>
      </c>
      <c r="C3644" s="3" t="str">
        <f ca="1">IFERROR(__xludf.DUMMYFUNCTION("GOOGLETRANSLATE(B3644,""auto"",""en"")"),"The present invention aims to significantly reduce weight and save energy by replacing certain components of the current vehicle and robotics and machines with intelligent graphene fibers and nano composite materials. The invention also covers various veh"&amp;"icles, trailers, trucks, highways and air transportation, ships and humans. The new generation of transportation includes but is not limited to smart robots, machine parts and computer parts for plant manufacturing, agriculture and aquaculture. Bicycles a"&amp;"nd sporting goods.")</f>
        <v>The present invention aims to significantly reduce weight and save energy by replacing certain components of the current vehicle and robotics and machines with intelligent graphene fibers and nano composite materials. The invention also covers various vehicles, trailers, trucks, highways and air transportation, ships and humans. The new generation of transportation includes but is not limited to smart robots, machine parts and computer parts for plant manufacturing, agriculture and aquaculture. Bicycles and sporting goods.</v>
      </c>
      <c r="D3644" s="6" t="s">
        <v>10204</v>
      </c>
      <c r="E3644" s="4" t="str">
        <f ca="1">IFERROR(__xludf.DUMMYFUNCTION("GOOGLETRANSLATE(D3644,""auto"",""en"")"),"The manufacturing method of intelligent graphene nanomaterials and its application in ultra -light machinery and vehicles")</f>
        <v>The manufacturing method of intelligent graphene nanomaterials and its application in ultra -light machinery and vehicles</v>
      </c>
    </row>
    <row r="3645" spans="1:5" ht="15" x14ac:dyDescent="0.25">
      <c r="A3645" s="5" t="s">
        <v>10205</v>
      </c>
      <c r="B3645" s="6" t="s">
        <v>10206</v>
      </c>
      <c r="C3645" s="3" t="str">
        <f ca="1">IFERROR(__xludf.DUMMYFUNCTION("GOOGLETRANSLATE(B3645,""auto"",""en"")"),"This utility model provides an artificial intelligence monitoring device that is convenient for installation, involving the field of artificial intelligence monitoring devices. The convenient table tennis monitoring device that is convenient for installat"&amp;"ion, including the monitor, is fixed with a housing on the left side of the monitor. The bottom of the monitor is fixed with a fixed block. A horizontal rod is connected through the shaft activity. The bolt is set on the horizontal rod. The bolt is connec"&amp;"ted to the crossbar near the horizontal rod and extended to the top of the horizontal pole. The convenient table tennis monitoring device that is convenient for installation is set to achieve convenient pair ping -pong through the settings of bolts, nuts,"&amp;" sleeves, cubes, bars, bodies, cards, buffers, skateboarding and spring settings. The ball with artificial intelligence monitoring device is used to facilitate the use of users, which facilitates the use of users. Therefore, it also improves the efficienc"&amp;"y of the artificial intelligence monitoring device for table tennis.")</f>
        <v>This utility model provides an artificial intelligence monitoring device that is convenient for installation, involving the field of artificial intelligence monitoring devices. The convenient table tennis monitoring device that is convenient for installation, including the monitor, is fixed with a housing on the left side of the monitor. The bottom of the monitor is fixed with a fixed block. A horizontal rod is connected through the shaft activity. The bolt is set on the horizontal rod. The bolt is connected to the crossbar near the horizontal rod and extended to the top of the horizontal pole. The convenient table tennis monitoring device that is convenient for installation is set to achieve convenient pair ping -pong through the settings of bolts, nuts, sleeves, cubes, bars, bodies, cards, buffers, skateboarding and spring settings. The ball with artificial intelligence monitoring device is used to facilitate the use of users, which facilitates the use of users. Therefore, it also improves the efficiency of the artificial intelligence monitoring device for table tennis.</v>
      </c>
      <c r="D3645" s="6" t="s">
        <v>4896</v>
      </c>
      <c r="E3645" s="4" t="str">
        <f ca="1">IFERROR(__xludf.DUMMYFUNCTION("GOOGLETRANSLATE(D3645,""auto"",""en"")"),"An artificial intelligence monitoring device that is easy to install")</f>
        <v>An artificial intelligence monitoring device that is easy to install</v>
      </c>
    </row>
    <row r="3646" spans="1:5" ht="15" x14ac:dyDescent="0.25">
      <c r="A3646" s="5" t="s">
        <v>10207</v>
      </c>
      <c r="B3646" s="6" t="s">
        <v>10208</v>
      </c>
      <c r="C3646" s="3" t="str">
        <f ca="1">IFERROR(__xludf.DUMMYFUNCTION("GOOGLETRANSLATE(B3646,""auto"",""en"")"),"The present invention provides an artificial intelligence monitoring device that is easy to install, involving the field of artificial intelligence monitoring devices. The convenient table tennis monitoring device that is convenient for installation, incl"&amp;"uding the monitor, is fixed with a housing on the left side of the monitor. The bottom of the monitor is fixed with a fixed block. A horizontal rod is connected through the shaft activity. The bolt is set on the horizontal rod. The bolt is connected to th"&amp;"e crossbar near the horizontal rod and extended to the top of the horizontal pole. The convenient table tennis monitoring device that is convenient for installation is set to achieve convenient pair ping -pong through the settings of bolts, nuts, sleeves,"&amp;" cubes, bars, bodies, cards, buffers, skateboarding and spring settings. The ball with artificial intelligence monitoring device is used to facilitate the use of users, which facilitates the use of users. Therefore, it also improves the efficiency of the "&amp;"artificial intelligence monitoring device for table tennis.")</f>
        <v>The present invention provides an artificial intelligence monitoring device that is easy to install, involving the field of artificial intelligence monitoring devices. The convenient table tennis monitoring device that is convenient for installation, including the monitor, is fixed with a housing on the left side of the monitor. The bottom of the monitor is fixed with a fixed block. A horizontal rod is connected through the shaft activity. The bolt is set on the horizontal rod. The bolt is connected to the crossbar near the horizontal rod and extended to the top of the horizontal pole. The convenient table tennis monitoring device that is convenient for installation is set to achieve convenient pair ping -pong through the settings of bolts, nuts, sleeves, cubes, bars, bodies, cards, buffers, skateboarding and spring settings. The ball with artificial intelligence monitoring device is used to facilitate the use of users, which facilitates the use of users. Therefore, it also improves the efficiency of the artificial intelligence monitoring device for table tennis.</v>
      </c>
      <c r="D3646" s="6" t="s">
        <v>4896</v>
      </c>
      <c r="E3646" s="4" t="str">
        <f ca="1">IFERROR(__xludf.DUMMYFUNCTION("GOOGLETRANSLATE(D3646,""auto"",""en"")"),"An artificial intelligence monitoring device that is easy to install")</f>
        <v>An artificial intelligence monitoring device that is easy to install</v>
      </c>
    </row>
    <row r="3647" spans="1:5" ht="15" x14ac:dyDescent="0.25">
      <c r="A3647" s="5" t="s">
        <v>10209</v>
      </c>
      <c r="B3647" s="6" t="s">
        <v>10210</v>
      </c>
      <c r="C3647" s="3" t="str">
        <f ca="1">IFERROR(__xludf.DUMMYFUNCTION("GOOGLETRANSLATE(B3647,""auto"",""en"")"),"This utility model discloses an electric treadmill based on heart rate and voice -controlled running race, including bases, electronic meter components and columns. The horizontal handrail, the heart rate monitoring sensor on both sides of the horizontal "&amp;"handrail. There is a driver mechanism below the front end of the running table. The front end of the base has a driving circuit. Connect to the driver's electricity; there are also voice sensing modules. The voice sensing module includes voice acceptance "&amp;"modules, voice recognition modules, voice accepting modules and voice recognition modules. connect. The utility model can control the slope of the running platform through the heart rate or voice of the athletes, and meet the movement of the athletes appr"&amp;"opriately to relieve or increase the strength of the exercise throughout the exercise to meet a reasonable and healthy fitness needs.")</f>
        <v>This utility model discloses an electric treadmill based on heart rate and voice -controlled running race, including bases, electronic meter components and columns. The horizontal handrail, the heart rate monitoring sensor on both sides of the horizontal handrail. There is a driver mechanism below the front end of the running table. The front end of the base has a driving circuit. Connect to the driver's electricity; there are also voice sensing modules. The voice sensing module includes voice acceptance modules, voice recognition modules, voice accepting modules and voice recognition modules. connect. The utility model can control the slope of the running platform through the heart rate or voice of the athletes, and meet the movement of the athletes appropriately to relieve or increase the strength of the exercise throughout the exercise to meet a reasonable and healthy fitness needs.</v>
      </c>
      <c r="D3647" s="6" t="s">
        <v>10211</v>
      </c>
      <c r="E3647" s="4" t="str">
        <f ca="1">IFERROR(__xludf.DUMMYFUNCTION("GOOGLETRANSLATE(D3647,""auto"",""en"")"),"A kind of electric treadmill based on heart rate and voice control running slope")</f>
        <v>A kind of electric treadmill based on heart rate and voice control running slope</v>
      </c>
    </row>
    <row r="3648" spans="1:5" ht="15" x14ac:dyDescent="0.25">
      <c r="A3648" s="5" t="s">
        <v>10212</v>
      </c>
      <c r="B3648" s="6" t="s">
        <v>10213</v>
      </c>
      <c r="C3648" s="3" t="str">
        <f ca="1">IFERROR(__xludf.DUMMYFUNCTION("GOOGLETRANSLATE(B3648,""auto"",""en"")"),"The present invention provides a method of efficient shuttle online competition to solve the problem of low efficiency of existing technical competitions and small scale. A high -efficiency shuttle online game method, including the contestant uses smart t"&amp;"erminals to recording English, and upload it to the background server through the smart terminal; Scores; Based on the scoring server, judge the promotion of participants and announce the promotion list. At the same time, the participants will automatical"&amp;"ly enter the next round of the game until the final round and the background server will announce the winning list based on the results after the final round. The invention through online organization competitions is conducive to saving the cost of organi"&amp;"zing competitions and a large scale; artificial intelligence scores can prevent the subjective opinions of the judges affect the competition; multiple rounds of match systems are set up by setting up multiple promotion conditions, which is conducive to sc"&amp;"reening excellent participants.")</f>
        <v>The present invention provides a method of efficient shuttle online competition to solve the problem of low efficiency of existing technical competitions and small scale. A high -efficiency shuttle online game method, including the contestant uses smart terminals to recording English, and upload it to the background server through the smart terminal; Scores; Based on the scoring server, judge the promotion of participants and announce the promotion list. At the same time, the participants will automatically enter the next round of the game until the final round and the background server will announce the winning list based on the results after the final round. The invention through online organization competitions is conducive to saving the cost of organizing competitions and a large scale; artificial intelligence scores can prevent the subjective opinions of the judges affect the competition; multiple rounds of match systems are set up by setting up multiple promotion conditions, which is conducive to screening excellent participants.</v>
      </c>
      <c r="D3648" s="6" t="s">
        <v>10214</v>
      </c>
      <c r="E3648" s="4" t="str">
        <f ca="1">IFERROR(__xludf.DUMMYFUNCTION("GOOGLETRANSLATE(D3648,""auto"",""en"")"),"A way of shuttle online competitions with an efficient rate")</f>
        <v>A way of shuttle online competitions with an efficient rate</v>
      </c>
    </row>
    <row r="3649" spans="1:5" ht="15" x14ac:dyDescent="0.25">
      <c r="A3649" s="5" t="s">
        <v>10215</v>
      </c>
      <c r="B3649" s="6" t="s">
        <v>10216</v>
      </c>
      <c r="C3649" s="3" t="str">
        <f ca="1">IFERROR(__xludf.DUMMYFUNCTION("GOOGLETRANSLATE(B3649,""auto"",""en"")"),"The present invention discloses a sport -based ball -based ballistic sparring method, including the following steps: step 1: get the sports trajectory of the racket when multiple balls are served; step 2: multiple sports trajectory extraction feature vect"&amp;"ors collected by step 1 collected ; Step 3: For the feature vector obtained by Step 2, train the particle group ‑ to support the vector machine model; step 4: find the racket sports trajectory of the assessment, extract the starting trajectory in the spor"&amp;"ts trajectory according to the characteristics of the serving trajectory, enter step 3 input step 3 The well -trained particle group ‑ supports the vector machine model to evaluate the success of the serve; the method of the present invention realizes the"&amp;" technical movement analysis when the ball athletes are served, helping the coaches and athletes discover irregular actions or wrong errors. Action, improve the efficiency of sports training, and improve sports technology, so as to achieve the purpose of "&amp;"assisting training.")</f>
        <v>The present invention discloses a sport -based ball -based ballistic sparring method, including the following steps: step 1: get the sports trajectory of the racket when multiple balls are served; step 2: multiple sports trajectory extraction feature vectors collected by step 1 collected ; Step 3: For the feature vector obtained by Step 2, train the particle group ‑ to support the vector machine model; step 4: find the racket sports trajectory of the assessment, extract the starting trajectory in the sports trajectory according to the characteristics of the serving trajectory, enter step 3 input step 3 The well -trained particle group ‑ supports the vector machine model to evaluate the success of the serve; the method of the present invention realizes the technical movement analysis when the ball athletes are served, helping the coaches and athletes discover irregular actions or wrong errors. Action, improve the efficiency of sports training, and improve sports technology, so as to achieve the purpose of assisting training.</v>
      </c>
      <c r="D3649" s="6" t="s">
        <v>10217</v>
      </c>
      <c r="E3649" s="4" t="str">
        <f ca="1">IFERROR(__xludf.DUMMYFUNCTION("GOOGLETRANSLATE(D3649,""auto"",""en"")"),"A sport -based ball -based ball -to -service gardening method")</f>
        <v>A sport -based ball -based ball -to -service gardening method</v>
      </c>
    </row>
    <row r="3650" spans="1:5" ht="15" x14ac:dyDescent="0.25">
      <c r="A3650" s="5" t="s">
        <v>10218</v>
      </c>
      <c r="B3650" s="6" t="s">
        <v>10219</v>
      </c>
      <c r="C3650" s="3" t="str">
        <f ca="1">IFERROR(__xludf.DUMMYFUNCTION("GOOGLETRANSLATE(B3650,""auto"",""en"")"),"The present invention disclosed a football launcher, including the shell, the shell is equipped with a cavity. There is a transmitting port connected to the cavity on the surface, with image collection modules and embedded and single -chip microcomputer c"&amp;"ontrol modules in the front surface. There are several guidance wheels about the circular distribution of the launch inner wall. Control module; USB interface and power connector are set on the surface. The image acquisition module can perform image recog"&amp;"nition and positioning of the hands of the goal frame, goalkeeper and goalkeeper, and control the steering and speed of different guided wheels by controlling the module through controlling the module, and the startup time of the guide wheel. To the balls"&amp;" in different positions, the problem that the sender cannot meet the diverse training.")</f>
        <v>The present invention disclosed a football launcher, including the shell, the shell is equipped with a cavity. There is a transmitting port connected to the cavity on the surface, with image collection modules and embedded and single -chip microcomputer control modules in the front surface. There are several guidance wheels about the circular distribution of the launch inner wall. Control module; USB interface and power connector are set on the surface. The image acquisition module can perform image recognition and positioning of the hands of the goal frame, goalkeeper and goalkeeper, and control the steering and speed of different guided wheels by controlling the module through controlling the module, and the startup time of the guide wheel. To the balls in different positions, the problem that the sender cannot meet the diverse training.</v>
      </c>
      <c r="D3650" s="6" t="s">
        <v>10220</v>
      </c>
      <c r="E3650" s="4" t="str">
        <f ca="1">IFERROR(__xludf.DUMMYFUNCTION("GOOGLETRANSLATE(D3650,""auto"",""en"")"),"A football launcher")</f>
        <v>A football launcher</v>
      </c>
    </row>
    <row r="3651" spans="1:5" ht="15" x14ac:dyDescent="0.25">
      <c r="A3651" s="5" t="s">
        <v>10221</v>
      </c>
      <c r="B3651" s="6" t="s">
        <v>10222</v>
      </c>
      <c r="C3651" s="3" t="str">
        <f ca="1">IFERROR(__xludf.DUMMYFUNCTION("GOOGLETRANSLATE(B3651,""auto"",""en"")"),"This utility model provides a table tennis voice -to -kick control device, which belongs to the field of serving control, including controller circuits, microphones, voice processing circuits, voice recognition circuits, serving circuits, direction contro"&amp;"l circuits, and ball delivery circuits. The output terminal of the microphone is connected to the voice recognition circuit passing through the voice processing circuit. The output of the voice recognition circuit is connected to the controller circuit. T"&amp;"he input terminal of the delivery circuit is connected to the controller circuit. The input terminal of the serving circuit is connected to the controller circuit. The input terminal of the direction control circuit is connected to the controller circuit."&amp;" The output of the direction control circuit is connected to the serve circuit. This utility model has a direction control circuit, which can control the direction of the serve according to the voice, which can make table tennis trainers better training.")</f>
        <v>This utility model provides a table tennis voice -to -kick control device, which belongs to the field of serving control, including controller circuits, microphones, voice processing circuits, voice recognition circuits, serving circuits, direction control circuits, and ball delivery circuits. The output terminal of the microphone is connected to the voice recognition circuit passing through the voice processing circuit. The output of the voice recognition circuit is connected to the controller circuit. The input terminal of the delivery circuit is connected to the controller circuit. The input terminal of the serving circuit is connected to the controller circuit. The input terminal of the direction control circuit is connected to the controller circuit. The output of the direction control circuit is connected to the serve circuit. This utility model has a direction control circuit, which can control the direction of the serve according to the voice, which can make table tennis trainers better training.</v>
      </c>
      <c r="D3651" s="6" t="s">
        <v>10223</v>
      </c>
      <c r="E3651" s="4" t="str">
        <f ca="1">IFERROR(__xludf.DUMMYFUNCTION("GOOGLETRANSLATE(D3651,""auto"",""en"")"),"A table tennis voice kick control device")</f>
        <v>A table tennis voice kick control device</v>
      </c>
    </row>
    <row r="3652" spans="1:5" ht="15" x14ac:dyDescent="0.25">
      <c r="A3652" s="5" t="s">
        <v>10224</v>
      </c>
      <c r="B3652" s="6" t="s">
        <v>10225</v>
      </c>
      <c r="C3652" s="3" t="str">
        <f ca="1">IFERROR(__xludf.DUMMYFUNCTION("GOOGLETRANSLATE(B3652,""auto"",""en"")"),"Even if a part of the identification target is outside the image, the target can be detected. The image recognition device creates a larger extension image 11 than the blank area of ​​the predetermined image data around the image 1 with the predetermined "&amp;"image data. If a person is too close to the camera, a portion of portal 5 will be protruded from the image 1 taken, but the image recognition device can set a large detection window 3E including a blank area 10 to detect protruding areas. Image 4E is extr"&amp;"acted from extended image 11; window image 4E is the image of the body 5, although the prominent part of Human 5 is missing. The image recognition device stores a large number of reference images 7, and the reference image 7 assumes that the various state"&amp;"s of Human 8 (the position and posture of the hands and feet are different in each posture of walking, running, jumping, and sitting down). ING. The image recognition device extract features from the window image 4E and compares the features of the refere"&amp;"nce image 7 to identify the character image 5.")</f>
        <v>Even if a part of the identification target is outside the image, the target can be detected. The image recognition device creates a larger extension image 11 than the blank area of ​​the predetermined image data around the image 1 with the predetermined image data. If a person is too close to the camera, a portion of portal 5 will be protruded from the image 1 taken, but the image recognition device can set a large detection window 3E including a blank area 10 to detect protruding areas. Image 4E is extracted from extended image 11; window image 4E is the image of the body 5, although the prominent part of Human 5 is missing. The image recognition device stores a large number of reference images 7, and the reference image 7 assumes that the various states of Human 8 (the position and posture of the hands and feet are different in each posture of walking, running, jumping, and sitting down). ING. The image recognition device extract features from the window image 4E and compares the features of the reference image 7 to identify the character image 5.</v>
      </c>
      <c r="D3652" s="6" t="s">
        <v>10226</v>
      </c>
      <c r="E3652" s="4" t="str">
        <f ca="1">IFERROR(__xludf.DUMMYFUNCTION("GOOGLETRANSLATE(D3652,""auto"",""en"")"),"Image recognition device and image recognition program")</f>
        <v>Image recognition device and image recognition program</v>
      </c>
    </row>
    <row r="3653" spans="1:5" ht="15" x14ac:dyDescent="0.25">
      <c r="A3653" s="5" t="s">
        <v>10227</v>
      </c>
      <c r="B3653" s="6" t="s">
        <v>10228</v>
      </c>
      <c r="C3653" s="3" t="str">
        <f ca="1">IFERROR(__xludf.DUMMYFUNCTION("GOOGLETRANSLATE(B3653,""auto"",""en"")"),"Even if a part of the identification goal is highlighting the outside of the image, the target can be detected. The image recognition device will add the edge area 10 of the predetermined image data to the periphery of the shooting image 1 taken by the ca"&amp;"mera to create a larger enlarged image 11 than the shooting image 1. When the person is too close to the camera, a part of the character image 5 protrudes from the shooting image 1, but the setting also includes a large detection window 3E with the edge a"&amp;"rea 10, which is from the window image 4E including the prominent area in the magnifying image 11. The character image 5 in the window image Figure 4 does not have a prominent part, but it is the image of the entire body of the character image 5. The imag"&amp;"e recognition device stores many states (positions, directions, other people's hands or feet in each posture (such as walking, running, jumping, or sitting). Extract features and compare it with the features of reference image 7 to identify character imag"&amp;"e 5.")</f>
        <v>Even if a part of the identification goal is highlighting the outside of the image, the target can be detected. The image recognition device will add the edge area 10 of the predetermined image data to the periphery of the shooting image 1 taken by the camera to create a larger enlarged image 11 than the shooting image 1. When the person is too close to the camera, a part of the character image 5 protrudes from the shooting image 1, but the setting also includes a large detection window 3E with the edge area 10, which is from the window image 4E including the prominent area in the magnifying image 11. The character image 5 in the window image Figure 4 does not have a prominent part, but it is the image of the entire body of the character image 5. The image recognition device stores many states (positions, directions, other people's hands or feet in each posture (such as walking, running, jumping, or sitting). Extract features and compare it with the features of reference image 7 to identify character image 5.</v>
      </c>
      <c r="D3653" s="6" t="s">
        <v>10229</v>
      </c>
      <c r="E3653" s="4" t="str">
        <f ca="1">IFERROR(__xludf.DUMMYFUNCTION("GOOGLETRANSLATE(D3653,""auto"",""en"")"),"Image recognition device and image recognition program")</f>
        <v>Image recognition device and image recognition program</v>
      </c>
    </row>
    <row r="3654" spans="1:5" ht="15" x14ac:dyDescent="0.25">
      <c r="A3654" s="5" t="s">
        <v>10230</v>
      </c>
      <c r="B3654" s="6" t="s">
        <v>10231</v>
      </c>
      <c r="C3654" s="3" t="str">
        <f ca="1">IFERROR(__xludf.DUMMYFUNCTION("GOOGLETRANSLATE(B3654,""auto"",""en"")"),"A smart tennis pickup robot and its control method. The robot includes a transmission mechanism, a capture mechanism, a walking mechanism, a barrier, an energy supply agency, an identification system and a positioning system. For the grabbing of tennis, w"&amp;"alking mechanisms and twistkers are used for robotics, identifying the system and positioning road selection system for the scanning positioning of tennis. The intelligent tennis pickup robot of the present invention improves the practice efficiency of te"&amp;"nnis enthusiasts and athletes. In tennis games and training, it can save time and effort. The advantages of simple and high intelligence.")</f>
        <v>A smart tennis pickup robot and its control method. The robot includes a transmission mechanism, a capture mechanism, a walking mechanism, a barrier, an energy supply agency, an identification system and a positioning system. For the grabbing of tennis, walking mechanisms and twistkers are used for robotics, identifying the system and positioning road selection system for the scanning positioning of tennis. The intelligent tennis pickup robot of the present invention improves the practice efficiency of tennis enthusiasts and athletes. In tennis games and training, it can save time and effort. The advantages of simple and high intelligence.</v>
      </c>
      <c r="D3654" s="6" t="s">
        <v>10232</v>
      </c>
      <c r="E3654" s="4" t="str">
        <f ca="1">IFERROR(__xludf.DUMMYFUNCTION("GOOGLETRANSLATE(D3654,""auto"",""en"")"),"A smart tennis pickup robot and its control method")</f>
        <v>A smart tennis pickup robot and its control method</v>
      </c>
    </row>
    <row r="3655" spans="1:5" ht="15" x14ac:dyDescent="0.25">
      <c r="A3655" s="5" t="s">
        <v>10233</v>
      </c>
      <c r="B3655" s="6" t="s">
        <v>10234</v>
      </c>
      <c r="C3655" s="3" t="str">
        <f ca="1">IFERROR(__xludf.DUMMYFUNCTION("GOOGLETRANSLATE(B3655,""auto"",""en"")"),"The present invention disclosed an IoT intelligent transportation system that involves IoT technology, rail technology, electrical transmission technology, vehicle autonomous driving technology, and information transmission technology; especially applicab"&amp;"le to urban traffic, completely solving urban congestion, parking difficulties, and frequent accidents from accidents. Such issues; to meet people's personalized and paired travel, they are characterized by automatic transportation systems that are safe, "&amp;"efficient, convenient, zero emissions, low cost, low energy consumption, small occupation resources, and convenient management; The cost is 4 to 800 million yuan/km, and the average speed is 35 km/h; the cost of this system is less than 1/10, but it can r"&amp;"each or even exceed its transportation efficiency; There are highway facilities, no existing facilities and repeated construction; let people liberate from transportation and turn traffic into a place for people to learn, work, rest, entertainment, and fi"&amp;"tness.")</f>
        <v>The present invention disclosed an IoT intelligent transportation system that involves IoT technology, rail technology, electrical transmission technology, vehicle autonomous driving technology, and information transmission technology; especially applicable to urban traffic, completely solving urban congestion, parking difficulties, and frequent accidents from accidents. Such issues; to meet people's personalized and paired travel, they are characterized by automatic transportation systems that are safe, efficient, convenient, zero emissions, low cost, low energy consumption, small occupation resources, and convenient management; The cost is 4 to 800 million yuan/km, and the average speed is 35 km/h; the cost of this system is less than 1/10, but it can reach or even exceed its transportation efficiency; There are highway facilities, no existing facilities and repeated construction; let people liberate from transportation and turn traffic into a place for people to learn, work, rest, entertainment, and fitness.</v>
      </c>
      <c r="D3655" s="6" t="s">
        <v>10235</v>
      </c>
      <c r="E3655" s="4" t="str">
        <f ca="1">IFERROR(__xludf.DUMMYFUNCTION("GOOGLETRANSLATE(D3655,""auto"",""en"")"),"Carbon -free high -efficiency intelligent casual traffic system")</f>
        <v>Carbon -free high -efficiency intelligent casual traffic system</v>
      </c>
    </row>
    <row r="3656" spans="1:5" ht="15" x14ac:dyDescent="0.25">
      <c r="A3656" s="5" t="s">
        <v>10236</v>
      </c>
      <c r="B3656" s="6" t="s">
        <v>10237</v>
      </c>
      <c r="C3656" s="3" t="str">
        <f ca="1">IFERROR(__xludf.DUMMYFUNCTION("GOOGLETRANSLATE(B3656,""auto"",""en"")"),"The present invention discloses a control method based on vague logic recognition methods. The steps are as follows: 1) Sampling acceleration meter data; 2) calculating the income speed; 3) for wild value processing and filtering; 4) storage L length of L"&amp;" length Data, differential, find wave peaks and valleys; 5) Remove the pseudo -wave peak and pseudo valleys to obtain the peak sequence and wave valley sequence; 6) Calculate the average amplitude, amplitude variance, average pseudo -frequency frequency, "&amp;"pseudo -frequency change slope; 7) Parameters belong Oneization; 8) Calculate the subordinates of each parameter; 9) Vague reasoning and obtain the current motion status; the invention is based on the fuzzy logic theory, analyzes the acceleration meter da"&amp;"ta of a window time, and uses the steps of the steps and stakes in the window time as a whole as a whole The situation is blurred. While ensuring the real time, the current motion status is obtained and output, providing more accurate data for calorie com"&amp;"puting and running distance calculation.")</f>
        <v>The present invention discloses a control method based on vague logic recognition methods. The steps are as follows: 1) Sampling acceleration meter data; 2) calculating the income speed; 3) for wild value processing and filtering; 4) storage L length of L length Data, differential, find wave peaks and valleys; 5) Remove the pseudo -wave peak and pseudo valleys to obtain the peak sequence and wave valley sequence; 6) Calculate the average amplitude, amplitude variance, average pseudo -frequency frequency, pseudo -frequency change slope; 7) Parameters belong Oneization; 8) Calculate the subordinates of each parameter; 9) Vague reasoning and obtain the current motion status; the invention is based on the fuzzy logic theory, analyzes the acceleration meter data of a window time, and uses the steps of the steps and stakes in the window time as a whole as a whole The situation is blurred. While ensuring the real time, the current motion status is obtained and output, providing more accurate data for calorie computing and running distance calculation.</v>
      </c>
      <c r="D3656" s="6" t="s">
        <v>10238</v>
      </c>
      <c r="E3656" s="4" t="str">
        <f ca="1">IFERROR(__xludf.DUMMYFUNCTION("GOOGLETRANSLATE(D3656,""auto"",""en"")"),"A method of running status based on fuzzy logic")</f>
        <v>A method of running status based on fuzzy logic</v>
      </c>
    </row>
    <row r="3657" spans="1:5" ht="15" x14ac:dyDescent="0.25">
      <c r="A3657" s="5" t="s">
        <v>10239</v>
      </c>
      <c r="B3657" s="6" t="s">
        <v>10240</v>
      </c>
      <c r="C3657" s="3" t="str">
        <f ca="1">IFERROR(__xludf.DUMMYFUNCTION("GOOGLETRANSLATE(B3657,""auto"",""en"")"),"The present invention provides a phonetic table tennis kicker, which is the field of servers, including passing pipes, saving ball barrels, rods, round wheels, auxiliary rods, rotating sticks and electronic control units. Both ends of the passing tube are"&amp;" set to a curved structure, and the internal settings of the passing pipe are set to the hollow structure. There is a pores at the bottom of the barrel, and the pores are connected by the end of the ball pipe to the end of the pipe. There is a rod in the "&amp;"hole of the passing pipe. At the end of the ball, the rotation stick is assisted by the ball. There is a rotating motor at the end of the rotating stick. There is a concave groove on the other end of the passing pipe, the serve wheel is set in the imprint"&amp;" groove, and a serve motor is set on the serve wheel. Electric control units include wireless microphone devices, wireless receiving modules, voice recognition modules, controller modules, driving circuit modules and transmission devices. Wireless microph"&amp;"one device and wireless receiving module wireless connection; the output of the wireless receiving module is connected to the controller module.")</f>
        <v>The present invention provides a phonetic table tennis kicker, which is the field of servers, including passing pipes, saving ball barrels, rods, round wheels, auxiliary rods, rotating sticks and electronic control units. Both ends of the passing tube are set to a curved structure, and the internal settings of the passing pipe are set to the hollow structure. There is a pores at the bottom of the barrel, and the pores are connected by the end of the ball pipe to the end of the pipe. There is a rod in the hole of the passing pipe. At the end of the ball, the rotation stick is assisted by the ball. There is a rotating motor at the end of the rotating stick. There is a concave groove on the other end of the passing pipe, the serve wheel is set in the imprint groove, and a serve motor is set on the serve wheel. Electric control units include wireless microphone devices, wireless receiving modules, voice recognition modules, controller modules, driving circuit modules and transmission devices. Wireless microphone device and wireless receiving module wireless connection; the output of the wireless receiving module is connected to the controller module.</v>
      </c>
      <c r="D3657" s="6" t="s">
        <v>10241</v>
      </c>
      <c r="E3657" s="4" t="str">
        <f ca="1">IFERROR(__xludf.DUMMYFUNCTION("GOOGLETRANSLATE(D3657,""auto"",""en"")"),"A phonetic table tennis hair player")</f>
        <v>A phonetic table tennis hair player</v>
      </c>
    </row>
    <row r="3658" spans="1:5" ht="15" x14ac:dyDescent="0.25">
      <c r="A3658" s="5" t="s">
        <v>10242</v>
      </c>
      <c r="B3658" s="6" t="s">
        <v>518</v>
      </c>
      <c r="C3658" s="3" t="str">
        <f ca="1">IFERROR(__xludf.DUMMYFUNCTION("GOOGLETRANSLATE(B3658,""auto"",""en"")"),"-")</f>
        <v>-</v>
      </c>
      <c r="D3658" s="6" t="s">
        <v>3435</v>
      </c>
      <c r="E3658" s="4" t="str">
        <f ca="1">IFERROR(__xludf.DUMMYFUNCTION("GOOGLETRANSLATE(D3658,""auto"",""en"")"),"Learning coach of machine learning system")</f>
        <v>Learning coach of machine learning system</v>
      </c>
    </row>
    <row r="3659" spans="1:5" ht="15" x14ac:dyDescent="0.25">
      <c r="A3659" s="5" t="s">
        <v>10243</v>
      </c>
      <c r="B3659" s="6" t="s">
        <v>10244</v>
      </c>
      <c r="C3659" s="3" t="str">
        <f ca="1">IFERROR(__xludf.DUMMYFUNCTION("GOOGLETRANSLATE(B3659,""auto"",""en"")"),"The resource server tracks the business account of the fitness studio and other companies in order to register for the students of specific courses. The initial price of the course is set based on the minimum number of attendees. Because the number of stu"&amp;"dents who maximize the use of resources is optimized to optimize class resources, the price of the class has been reduced. You can track the rewards saved to students in a certain form through a resource server. Further input, including historical data an"&amp;"d analysis, and artificial intelligence, will also affect price adjustment.")</f>
        <v>The resource server tracks the business account of the fitness studio and other companies in order to register for the students of specific courses. The initial price of the course is set based on the minimum number of attendees. Because the number of students who maximize the use of resources is optimized to optimize class resources, the price of the class has been reduced. You can track the rewards saved to students in a certain form through a resource server. Further input, including historical data and analysis, and artificial intelligence, will also affect price adjustment.</v>
      </c>
      <c r="D3659" s="6" t="s">
        <v>10245</v>
      </c>
      <c r="E3659" s="4" t="str">
        <f ca="1">IFERROR(__xludf.DUMMYFUNCTION("GOOGLETRANSLATE(D3659,""auto"",""en"")"),"Online dynamic resource planning based on the total attendance rate")</f>
        <v>Online dynamic resource planning based on the total attendance rate</v>
      </c>
    </row>
    <row r="3660" spans="1:5" ht="15" x14ac:dyDescent="0.25">
      <c r="A3660" s="5" t="s">
        <v>10246</v>
      </c>
      <c r="B3660" s="6" t="s">
        <v>10247</v>
      </c>
      <c r="C3660" s="3" t="str">
        <f ca="1">IFERROR(__xludf.DUMMYFUNCTION("GOOGLETRANSLATE(B3660,""auto"",""en"")"),"1. The name of the product of the design of the product: Camouflage pattern robot (Rio 1‑1).
 2. The purpose of designing products in this exterior: This design product is used for two -foot imitation of educational robots. It has the functions of accur"&amp;"ate voice recognition and intelligent dialogue. It has video surveillance, chat and projection imaging functions. The platform can also participate in robotics dance, competition, football and other games.
 3. The design of the design of the product: th"&amp;"e combination of color and shape and pattern.
 4. The most important picture or photo of the design design of this appearance: main view.
 5. The design of the protection of protection.")</f>
        <v>1. The name of the product of the design of the product: Camouflage pattern robot (Rio 1‑1).
 2. The purpose of designing products in this exterior: This design product is used for two -foot imitation of educational robots. It has the functions of accurate voice recognition and intelligent dialogue. It has video surveillance, chat and projection imaging functions. The platform can also participate in robotics dance, competition, football and other games.
 3. The design of the design of the product: the combination of color and shape and pattern.
 4. The most important picture or photo of the design design of this appearance: main view.
 5. The design of the protection of protection.</v>
      </c>
      <c r="D3660" s="6" t="s">
        <v>10248</v>
      </c>
      <c r="E3660" s="4" t="str">
        <f ca="1">IFERROR(__xludf.DUMMYFUNCTION("GOOGLETRANSLATE(D3660,""auto"",""en"")"),"Camouflage pattern robot (Rio 1‑1)")</f>
        <v>Camouflage pattern robot (Rio 1‑1)</v>
      </c>
    </row>
    <row r="3661" spans="1:5" ht="15" x14ac:dyDescent="0.25">
      <c r="A3661" s="5" t="s">
        <v>10249</v>
      </c>
      <c r="B3661" s="6" t="s">
        <v>10250</v>
      </c>
      <c r="C3661" s="3" t="str">
        <f ca="1">IFERROR(__xludf.DUMMYFUNCTION("GOOGLETRANSLATE(B3661,""auto"",""en"")"),"Provides a way to provide communication and adjustment coaches. This method can obtain communication information about the communication between the first and second entities, and the communication may be ongoing. Communication can include discourse. It c"&amp;"an recognize the tone associated with discourse and can cause the recognition of the tone. You can use machine learning prediction modules and recognized tones to predict the results of communication.")</f>
        <v>Provides a way to provide communication and adjustment coaches. This method can obtain communication information about the communication between the first and second entities, and the communication may be ongoing. Communication can include discourse. It can recognize the tone associated with discourse and can cause the recognition of the tone. You can use machine learning prediction modules and recognized tones to predict the results of communication.</v>
      </c>
      <c r="D3661" s="6" t="s">
        <v>9612</v>
      </c>
      <c r="E3661" s="4" t="str">
        <f ca="1">IFERROR(__xludf.DUMMYFUNCTION("GOOGLETRANSLATE(D3661,""auto"",""en"")"),"Communication tone coach")</f>
        <v>Communication tone coach</v>
      </c>
    </row>
    <row r="3662" spans="1:5" ht="15" x14ac:dyDescent="0.25">
      <c r="A3662" s="5" t="s">
        <v>10251</v>
      </c>
      <c r="B3662" s="6" t="s">
        <v>10252</v>
      </c>
      <c r="C3662" s="3" t="str">
        <f ca="1">IFERROR(__xludf.DUMMYFUNCTION("GOOGLETRANSLATE(B3662,""auto"",""en"")"),"The present invention disclosed a self -power generation and fitness bicycle system controlled based on single -chip microcomputer, including the main control module of the single -chip microcomputer, the external input module, the output module, the powe"&amp;"r generation module, the charging and discharge module, and the peripheral module. The main control module is connected to other modules, the control system is running, and the human -machine interaction is realized; the output module outputs real -time s"&amp;"peed, mileage, and total power generation through the display. Mechanical speed regulating structure and DC generator; the charging and discharge module includes a charging and discharging battery and a co -auxiliary equipment; the peripheral module inclu"&amp;"des several USB output ports and connected fans. The present invention enables users to use self -power generation, fans and other equipment while fitness. At the same time, the single -chip microcomputer can achieve convenient human -computer interaction"&amp;" to make the system more humane.")</f>
        <v>The present invention disclosed a self -power generation and fitness bicycle system controlled based on single -chip microcomputer, including the main control module of the single -chip microcomputer, the external input module, the output module, the power generation module, the charging and discharge module, and the peripheral module. The main control module is connected to other modules, the control system is running, and the human -machine interaction is realized; the output module outputs real -time speed, mileage, and total power generation through the display. Mechanical speed regulating structure and DC generator; the charging and discharge module includes a charging and discharging battery and a co -auxiliary equipment; the peripheral module includes several USB output ports and connected fans. The present invention enables users to use self -power generation, fans and other equipment while fitness. At the same time, the single -chip microcomputer can achieve convenient human -computer interaction to make the system more humane.</v>
      </c>
      <c r="D3662" s="6" t="s">
        <v>10253</v>
      </c>
      <c r="E3662" s="4" t="str">
        <f ca="1">IFERROR(__xludf.DUMMYFUNCTION("GOOGLETRANSLATE(D3662,""auto"",""en"")"),"A self -power generation fitness bicycle system controlled by a single -chip microcomputer")</f>
        <v>A self -power generation fitness bicycle system controlled by a single -chip microcomputer</v>
      </c>
    </row>
    <row r="3663" spans="1:5" ht="15" x14ac:dyDescent="0.25">
      <c r="A3663" s="5" t="s">
        <v>10254</v>
      </c>
      <c r="B3663" s="6" t="s">
        <v>10255</v>
      </c>
      <c r="C3663" s="3" t="str">
        <f ca="1">IFERROR(__xludf.DUMMYFUNCTION("GOOGLETRANSLATE(B3663,""auto"",""en"")"),"The present invention involves a non -contact body function test system and test based on deep images. It consists of physical test control module, sit -up test module, push -up test module, voice recognition module, and test feedback module. Through the "&amp;"use of Kinect body sensing equipment to obtain deep images, use a limited state machine framework to count the measured human movement, and automatically start or end the physical fitness test using the voice recognition algorithm. The invention combines "&amp;"the capture and recognition of deep images, and obtains the user's limb information to obtain the user's limb information from the premise that the user's limbs are not allowed to carry any instruments. In addition, the system can automatically record acc"&amp;"ording to the matching user voice signal. The detection process does not require other people to intervene. At the same time, the test results can be given to the user based on the detection data. Users can maximize their physical potential and improve ex"&amp;"ercise efficiency and effect. Non -professional sports sportsmen provide a platform for self -monitoring.")</f>
        <v>The present invention involves a non -contact body function test system and test based on deep images. It consists of physical test control module, sit -up test module, push -up test module, voice recognition module, and test feedback module. Through the use of Kinect body sensing equipment to obtain deep images, use a limited state machine framework to count the measured human movement, and automatically start or end the physical fitness test using the voice recognition algorithm. The invention combines the capture and recognition of deep images, and obtains the user's limb information to obtain the user's limb information from the premise that the user's limbs are not allowed to carry any instruments. In addition, the system can automatically record according to the matching user voice signal. The detection process does not require other people to intervene. At the same time, the test results can be given to the user based on the detection data. Users can maximize their physical potential and improve exercise efficiency and effect. Non -professional sports sportsmen provide a platform for self -monitoring.</v>
      </c>
      <c r="D3663" s="6" t="s">
        <v>10256</v>
      </c>
      <c r="E3663" s="4" t="str">
        <f ca="1">IFERROR(__xludf.DUMMYFUNCTION("GOOGLETRANSLATE(D3663,""auto"",""en"")"),"A non -contact body function test system and testing method based on deep images")</f>
        <v>A non -contact body function test system and testing method based on deep images</v>
      </c>
    </row>
    <row r="3664" spans="1:5" ht="15" x14ac:dyDescent="0.25">
      <c r="A3664" s="5" t="s">
        <v>10257</v>
      </c>
      <c r="B3664" s="6" t="s">
        <v>10258</v>
      </c>
      <c r="C3664" s="3" t="str">
        <f ca="1">IFERROR(__xludf.DUMMYFUNCTION("GOOGLETRANSLATE(B3664,""auto"",""en"")"),"A smart voice treadmill, including racks, treadmills and lifting motors, as well as electronic control devices. The electronic control device includes a processor, the human -machine interface interface connected to the processor, pulse detection circuit "&amp;"connected to the processor, pulse detection circuit With the voice recognition module, the voice recognition module connects to the Bluetooth voice module and voice processing circuit through multiple switches, and the voice processing circuit connecting "&amp;"the pickuper; The synthetic module connects the Bluetooth voice module and voice amplifier circuit of the multi -way switch, and the voice amplifier circuit is connected to the speaker; Bluetooth headset connects the Bluetooth voice module through the rad"&amp;"io frequency signal; the inverter connected to the processor connection with the processor, the inverter is connected to the running motor; The lift motor drive is connected to the lifting motor.")</f>
        <v>A smart voice treadmill, including racks, treadmills and lifting motors, as well as electronic control devices. The electronic control device includes a processor, the human -machine interface interface connected to the processor, pulse detection circuit connected to the processor, pulse detection circuit With the voice recognition module, the voice recognition module connects to the Bluetooth voice module and voice processing circuit through multiple switches, and the voice processing circuit connecting the pickuper; The synthetic module connects the Bluetooth voice module and voice amplifier circuit of the multi -way switch, and the voice amplifier circuit is connected to the speaker; Bluetooth headset connects the Bluetooth voice module through the radio frequency signal; the inverter connected to the processor connection with the processor, the inverter is connected to the running motor; The lift motor drive is connected to the lifting motor.</v>
      </c>
      <c r="D3664" s="6" t="s">
        <v>10259</v>
      </c>
      <c r="E3664" s="4" t="str">
        <f ca="1">IFERROR(__xludf.DUMMYFUNCTION("GOOGLETRANSLATE(D3664,""auto"",""en"")"),"Smart voice treadmill")</f>
        <v>Smart voice treadmill</v>
      </c>
    </row>
    <row r="3665" spans="1:5" ht="15" x14ac:dyDescent="0.25">
      <c r="A3665" s="5" t="s">
        <v>10260</v>
      </c>
      <c r="B3665" s="6" t="s">
        <v>10261</v>
      </c>
      <c r="C3665" s="3" t="str">
        <f ca="1">IFERROR(__xludf.DUMMYFUNCTION("GOOGLETRANSLATE(B3665,""auto"",""en"")"),"A smart mailbox with an Internet of Things function is to detect whether there is a letter input by a infrared sensing unit, and to inform the user through a wireless network transmission unit, whether the mailbox has a letter and when the mailbox receive"&amp;"s the letter, etc. material. Take a micro -controller unit to receive a signal of an infrared sensing unit. At the same time, the time to record the time of the record of the one -time clock unit, and then control the wireless network transmission unit to"&amp;" send email to the electronic mailbox set by the user. The system uses a solar energy to use a solar energy The power generation unit provides the power required by the device as a whole. The overall operation process of the system time setting or email a"&amp;"ddress writing can be reached by a smart phone, and can be transmitted to the device through a Bluetooth wireless transmission unit or a wireless network transmission unit.")</f>
        <v>A smart mailbox with an Internet of Things function is to detect whether there is a letter input by a infrared sensing unit, and to inform the user through a wireless network transmission unit, whether the mailbox has a letter and when the mailbox receives the letter, etc. material. Take a micro -controller unit to receive a signal of an infrared sensing unit. At the same time, the time to record the time of the record of the one -time clock unit, and then control the wireless network transmission unit to send email to the electronic mailbox set by the user. The system uses a solar energy to use a solar energy The power generation unit provides the power required by the device as a whole. The overall operation process of the system time setting or email address writing can be reached by a smart phone, and can be transmitted to the device through a Bluetooth wireless transmission unit or a wireless network transmission unit.</v>
      </c>
      <c r="D3665" s="6" t="s">
        <v>10262</v>
      </c>
      <c r="E3665" s="4" t="str">
        <f ca="1">IFERROR(__xludf.DUMMYFUNCTION("GOOGLETRANSLATE(D3665,""auto"",""en"")"),"Smart mailbox with Internet of Things function")</f>
        <v>Smart mailbox with Internet of Things function</v>
      </c>
    </row>
    <row r="3666" spans="1:5" ht="15" x14ac:dyDescent="0.25">
      <c r="A3666" s="5" t="s">
        <v>10263</v>
      </c>
      <c r="B3666" s="6" t="s">
        <v>10264</v>
      </c>
      <c r="C3666" s="3" t="str">
        <f ca="1">IFERROR(__xludf.DUMMYFUNCTION("GOOGLETRANSLATE(B3666,""auto"",""en"")"),"An intelligent makeup mirror with an Internet of Things function, which is transmitted by a wireless network transmission unit to read information such as the time, work itinerary or meteorological forecast set by the user. Users can start the device thro"&amp;"ugh a operation unit , Make a micro -controller unit read the time information of the first -time clock unit, judge the information related to the day, display the relevant message by a LCD display unit, and set all the text voice descriptions by the one "&amp;"-voice unit, set the system time settings Or the overall operation process of the content writing of the calendar can be reached by a smart phone, and can be transmitted to the device through a Bluetooth wireless transmission unit or a wireless network tr"&amp;"ansmission unit.")</f>
        <v>An intelligent makeup mirror with an Internet of Things function, which is transmitted by a wireless network transmission unit to read information such as the time, work itinerary or meteorological forecast set by the user. Users can start the device through a operation unit , Make a micro -controller unit read the time information of the first -time clock unit, judge the information related to the day, display the relevant message by a LCD display unit, and set all the text voice descriptions by the one -voice unit, set the system time settings Or the overall operation process of the content writing of the calendar can be reached by a smart phone, and can be transmitted to the device through a Bluetooth wireless transmission unit or a wireless network transmission unit.</v>
      </c>
      <c r="D3666" s="6" t="s">
        <v>10265</v>
      </c>
      <c r="E3666" s="4" t="str">
        <f ca="1">IFERROR(__xludf.DUMMYFUNCTION("GOOGLETRANSLATE(D3666,""auto"",""en"")"),"Intelligent makeup mirror with Internet of Things function")</f>
        <v>Intelligent makeup mirror with Internet of Things function</v>
      </c>
    </row>
    <row r="3667" spans="1:5" ht="15" x14ac:dyDescent="0.25">
      <c r="A3667" s="5" t="s">
        <v>10266</v>
      </c>
      <c r="B3667" s="6" t="s">
        <v>10267</v>
      </c>
      <c r="C3667" s="3" t="str">
        <f ca="1">IFERROR(__xludf.DUMMYFUNCTION("GOOGLETRANSLATE(B3667,""auto"",""en"")"),"This utility model involves a control circuit structure of a table tennis launch robot, including the central processor, charging module, power module, and Bluetooth modules, three -axis gyroscope, timer, transmitter connected to the central processor, an"&amp;"d the charging. The module is connected to the power module. The Bluetooth module is used to connect to the mobile terminal. The three -axis gyroscope is used to detect the acceleration of the transmitter and feedback the signal to the central processor. "&amp;"The rising motor control circuit is used to control the rising motor to push the table tennis upward. The forward control circuit is used to control the forward motor to launch ping -pong. Improve the level of the practitioner's ball, supplemented by the "&amp;"Bluetooth module through mobile terminal connection, remotely control the table tennis robots, realize the way of human -machine interaction, and increase the fun of the trainer during training.")</f>
        <v>This utility model involves a control circuit structure of a table tennis launch robot, including the central processor, charging module, power module, and Bluetooth modules, three -axis gyroscope, timer, transmitter connected to the central processor, and the charging. The module is connected to the power module. The Bluetooth module is used to connect to the mobile terminal. The three -axis gyroscope is used to detect the acceleration of the transmitter and feedback the signal to the central processor. The rising motor control circuit is used to control the rising motor to push the table tennis upward. The forward control circuit is used to control the forward motor to launch ping -pong. Improve the level of the practitioner's ball, supplemented by the Bluetooth module through mobile terminal connection, remotely control the table tennis robots, realize the way of human -machine interaction, and increase the fun of the trainer during training.</v>
      </c>
      <c r="D3667" s="6" t="s">
        <v>10268</v>
      </c>
      <c r="E3667" s="4" t="str">
        <f ca="1">IFERROR(__xludf.DUMMYFUNCTION("GOOGLETRANSLATE(D3667,""auto"",""en"")"),"Table tennis launch robot control circuit structure")</f>
        <v>Table tennis launch robot control circuit structure</v>
      </c>
    </row>
    <row r="3668" spans="1:5" ht="15" x14ac:dyDescent="0.25">
      <c r="A3668" s="5" t="s">
        <v>10269</v>
      </c>
      <c r="B3668" s="6" t="s">
        <v>10270</v>
      </c>
      <c r="C3668" s="3" t="str">
        <f ca="1">IFERROR(__xludf.DUMMYFUNCTION("GOOGLETRANSLATE(B3668,""auto"",""en"")"),"The present invention involves a human -machine interactive bike and its usage methods, including frame and foot pedal, and handlebars and car seats on the frame. The display is connected to the front end of the frame, the control device is set on the han"&amp;"dlebar, the magnetic powder brake is set on the frame and connected to the pedal with the pedal. The crank is set on the crank. The control device also connects the display and magnetic powder. The dynamic bicycle interacts with human -machine between the"&amp;" dynamic bicycle and the user. When the user rides the speed of the cycling, the screen playback speed in the arc display changes. When users exercise, they can not only appreciate different roadside landscapes, but also obtain the current sports informat"&amp;"ion accurately. Compared with traditional monotonous fitness bicycles, the interesting interest increases, increasing the user's interest, and is conducive to users to conduct long -term exercise.")</f>
        <v>The present invention involves a human -machine interactive bike and its usage methods, including frame and foot pedal, and handlebars and car seats on the frame. The display is connected to the front end of the frame, the control device is set on the handlebar, the magnetic powder brake is set on the frame and connected to the pedal with the pedal. The crank is set on the crank. The control device also connects the display and magnetic powder. The dynamic bicycle interacts with human -machine between the dynamic bicycle and the user. When the user rides the speed of the cycling, the screen playback speed in the arc display changes. When users exercise, they can not only appreciate different roadside landscapes, but also obtain the current sports information accurately. Compared with traditional monotonous fitness bicycles, the interesting interest increases, increasing the user's interest, and is conducive to users to conduct long -term exercise.</v>
      </c>
      <c r="D3668" s="6" t="s">
        <v>10271</v>
      </c>
      <c r="E3668" s="4" t="str">
        <f ca="1">IFERROR(__xludf.DUMMYFUNCTION("GOOGLETRANSLATE(D3668,""auto"",""en"")"),"A human -computer interactive bike and how to use it")</f>
        <v>A human -computer interactive bike and how to use it</v>
      </c>
    </row>
    <row r="3669" spans="1:5" ht="15" x14ac:dyDescent="0.25">
      <c r="A3669" s="5" t="s">
        <v>10272</v>
      </c>
      <c r="B3669" s="6" t="s">
        <v>10273</v>
      </c>
      <c r="C3669" s="3" t="str">
        <f ca="1">IFERROR(__xludf.DUMMYFUNCTION("GOOGLETRANSLATE(B3669,""auto"",""en"")"),"This utility model involves a human -machine interactive sensor, including frame and foot pedal, handlebars and car seats on the frame, as well as monitors, control devices, magnetic powder brakes, magnets and Hall sensors. At the front end of the frame, "&amp;"the control device is set on the handlebar, the magnetic powder brake is set on the frame and connected to the pedal through the crank. The crank is set on the crank. The Hall sensor is set on the magnetic powder brake and connected to the control device."&amp;" The control device is controlled to control the device. The display and magnetic powder brake are also connected respectively. The dynamic bicycle interacts with human -machine between the dynamic bicycle and the user. When the user rides the speed of th"&amp;"e cycling, the screen playback speed in the arc display changes. When users exercise, they can not only appreciate different roadside landscapes, but also obtain the current sports information accurately. Compared with traditional monotonous fitness bicyc"&amp;"les, the interesting interest increases, increasing the user's interest, and is conducive to users to conduct long -term exercise.")</f>
        <v>This utility model involves a human -machine interactive sensor, including frame and foot pedal, handlebars and car seats on the frame, as well as monitors, control devices, magnetic powder brakes, magnets and Hall sensors. At the front end of the frame, the control device is set on the handlebar, the magnetic powder brake is set on the frame and connected to the pedal through the crank. The crank is set on the crank. The Hall sensor is set on the magnetic powder brake and connected to the control device. The control device is controlled to control the device. The display and magnetic powder brake are also connected respectively. The dynamic bicycle interacts with human -machine between the dynamic bicycle and the user. When the user rides the speed of the cycling, the screen playback speed in the arc display changes. When users exercise, they can not only appreciate different roadside landscapes, but also obtain the current sports information accurately. Compared with traditional monotonous fitness bicycles, the interesting interest increases, increasing the user's interest, and is conducive to users to conduct long -term exercise.</v>
      </c>
      <c r="D3669" s="6" t="s">
        <v>10274</v>
      </c>
      <c r="E3669" s="4" t="str">
        <f ca="1">IFERROR(__xludf.DUMMYFUNCTION("GOOGLETRANSLATE(D3669,""auto"",""en"")"),"A kind of human -computer interactive bicycle")</f>
        <v>A kind of human -computer interactive bicycle</v>
      </c>
    </row>
    <row r="3670" spans="1:5" ht="15" x14ac:dyDescent="0.25">
      <c r="A3670" s="5" t="s">
        <v>10275</v>
      </c>
      <c r="B3670" s="6" t="s">
        <v>10276</v>
      </c>
      <c r="C3670" s="3" t="str">
        <f ca="1">IFERROR(__xludf.DUMMYFUNCTION("GOOGLETRANSLATE(B3670,""auto"",""en"")"),"1. The name of the product designed this product: watch with graphical user interface (thirteen).
 2. The purpose of designing products in this exterior: The design of this product is used for running programs and/or communication.
 3. Design points f"&amp;"or designing products: The graphical user interface displayed on the display.
 4. The picture or photo of the main point of design design in this appearance: Design 1 interface zoom in the picture.
 5. Specify basic design: Design 1.
 6. Uses for hu"&amp;"man -computer interaction and implementation of wearable devices.
 Design 1 interface amplification diagram varies to the design 2 interface amplification diagram.
 For example, the real -time interface interface displayed in the design 1 interface am"&amp;"plification diagram, the design 2 interface amplifier can display the run trajectory during the running process or after the run is completed.
 The rear view of design 2, left view, right view, downward view, viewing view of the view is the same as the "&amp;"corresponding view of design 1, so the above view of design 2 is omitted.")</f>
        <v>1. The name of the product designed this product: watch with graphical user interface (thirteen).
 2. The purpose of designing products in this exterior: The design of this product is used for running programs and/or communication.
 3. Design points for designing products: The graphical user interface displayed on the display.
 4. The picture or photo of the main point of design design in this appearance: Design 1 interface zoom in the picture.
 5. Specify basic design: Design 1.
 6. Uses for human -computer interaction and implementation of wearable devices.
 Design 1 interface amplification diagram varies to the design 2 interface amplification diagram.
 For example, the real -time interface interface displayed in the design 1 interface amplification diagram, the design 2 interface amplifier can display the run trajectory during the running process or after the run is completed.
 The rear view of design 2, left view, right view, downward view, viewing view of the view is the same as the corresponding view of design 1, so the above view of design 2 is omitted.</v>
      </c>
      <c r="D3670" s="6" t="s">
        <v>10277</v>
      </c>
      <c r="E3670" s="4" t="str">
        <f ca="1">IFERROR(__xludf.DUMMYFUNCTION("GOOGLETRANSLATE(D3670,""auto"",""en"")"),"Watch with graphical user interface (13)")</f>
        <v>Watch with graphical user interface (13)</v>
      </c>
    </row>
    <row r="3671" spans="1:5" ht="15" x14ac:dyDescent="0.25">
      <c r="A3671" s="5" t="s">
        <v>10278</v>
      </c>
      <c r="B3671" s="6" t="s">
        <v>10279</v>
      </c>
      <c r="C3671" s="3" t="str">
        <f ca="1">IFERROR(__xludf.DUMMYFUNCTION("GOOGLETRANSLATE(B3671,""auto"",""en"")"),"The invention provides a home -based fitness equipment based on the Internet of Things. Based on the existing fitness equipment, it further enhances the various functions of the Internet -based IoT and enhances the fitness effect. Wind mechanism, motion d"&amp;"etection module, integral exchange module, health guidance module, power module, communication module, and multimedia module, which include speed sensors and timers, which include music, video player, display; The power module includes electrical memory a"&amp;"nd an electrical collector connected to, which includes a fan of a multi -fan blade fan that connects the rotary axis of the central axis and fitness equipment.")</f>
        <v>The invention provides a home -based fitness equipment based on the Internet of Things. Based on the existing fitness equipment, it further enhances the various functions of the Internet -based IoT and enhances the fitness effect. Wind mechanism, motion detection module, integral exchange module, health guidance module, power module, communication module, and multimedia module, which include speed sensors and timers, which include music, video player, display; The power module includes electrical memory and an electrical collector connected to, which includes a fan of a multi -fan blade fan that connects the rotary axis of the central axis and fitness equipment.</v>
      </c>
      <c r="D3671" s="6" t="s">
        <v>8526</v>
      </c>
      <c r="E3671" s="4" t="str">
        <f ca="1">IFERROR(__xludf.DUMMYFUNCTION("GOOGLETRANSLATE(D3671,""auto"",""en"")"),"A home fitness equipment based on the Internet of Things")</f>
        <v>A home fitness equipment based on the Internet of Things</v>
      </c>
    </row>
    <row r="3672" spans="1:5" ht="15" x14ac:dyDescent="0.25">
      <c r="A3672" s="5" t="s">
        <v>10280</v>
      </c>
      <c r="B3672" s="6" t="s">
        <v>10281</v>
      </c>
      <c r="C3672" s="3" t="str">
        <f ca="1">IFERROR(__xludf.DUMMYFUNCTION("GOOGLETRANSLATE(B3672,""auto"",""en"")"),"The present invention, table tennis racket; and in the recommendation system for recommending table tennis items to users, the table tennis items include at least one of the rubber that can be attached to one or two surfaces that can be attached to the ta"&amp;"ble tennis racket. Table tennis items recommended request signals so that users can receive the desired table tennis items that can receive the terminal of the input unit; the table tennis article recommendation server is used to communicate with the term"&amp;"inal. The terminal provides a recommended table tennis article information; and enables it to communicate and exchange with the recommended server of table tennis equipment, and store the information of table tennis equipment used, that is, information ab"&amp;"out the standard performance of table tennis equipment and table tennis equipment that users are using Essence Information, and can be provided to a recommended server for table tennis equipment. It includes a database that is configured to do, where the "&amp;"input unit is made into the performance information that can further enter the table tennis equipment that users expect, Taiwan table tennis equipment recommended server, table tennis equipment information and table tennis equipment you want to provide A "&amp;"recommendation system for table tennis supplies, which is characterized by searching for the recommended table tennis supplies information recommended from the standard performance of table tennis equipment. According to the performance information, the r"&amp;"etrieved table tennis recommended items are provided to the terminal.")</f>
        <v>The present invention, table tennis racket; and in the recommendation system for recommending table tennis items to users, the table tennis items include at least one of the rubber that can be attached to one or two surfaces that can be attached to the table tennis racket. Table tennis items recommended request signals so that users can receive the desired table tennis items that can receive the terminal of the input unit; the table tennis article recommendation server is used to communicate with the terminal. The terminal provides a recommended table tennis article information; and enables it to communicate and exchange with the recommended server of table tennis equipment, and store the information of table tennis equipment used, that is, information about the standard performance of table tennis equipment and table tennis equipment that users are using Essence Information, and can be provided to a recommended server for table tennis equipment. It includes a database that is configured to do, where the input unit is made into the performance information that can further enter the table tennis equipment that users expect, Taiwan table tennis equipment recommended server, table tennis equipment information and table tennis equipment you want to provide A recommendation system for table tennis supplies, which is characterized by searching for the recommended table tennis supplies information recommended from the standard performance of table tennis equipment. According to the performance information, the retrieved table tennis recommended items are provided to the terminal.</v>
      </c>
      <c r="D3672" s="6" t="s">
        <v>10282</v>
      </c>
      <c r="E3672" s="4" t="str">
        <f ca="1">IFERROR(__xludf.DUMMYFUNCTION("GOOGLETRANSLATE(D3672,""auto"",""en"")"),"Table tennis equipment recommendation system")</f>
        <v>Table tennis equipment recommendation system</v>
      </c>
    </row>
    <row r="3673" spans="1:5" ht="15" x14ac:dyDescent="0.25">
      <c r="A3673" s="5" t="s">
        <v>10283</v>
      </c>
      <c r="B3673" s="6" t="s">
        <v>10284</v>
      </c>
      <c r="C3673" s="3" t="str">
        <f ca="1">IFERROR(__xludf.DUMMYFUNCTION("GOOGLETRANSLATE(B3673,""auto"",""en"")"),"The present invention involves a training system for analyzing and improving the performance of individual performers in sports activities. The system adopts the combination of IoT wearable, machine visual module, machine learning and data analysis module"&amp;" to achieve the purpose of helping players to improve their performance. It monitors parameters as coaches and personal guidance tools and systems. These parameters can help make factors for performance improvement decisions.")</f>
        <v>The present invention involves a training system for analyzing and improving the performance of individual performers in sports activities. The system adopts the combination of IoT wearable, machine visual module, machine learning and data analysis module to achieve the purpose of helping players to improve their performance. It monitors parameters as coaches and personal guidance tools and systems. These parameters can help make factors for performance improvement decisions.</v>
      </c>
      <c r="D3673" s="6" t="s">
        <v>10285</v>
      </c>
      <c r="E3673" s="4" t="str">
        <f ca="1">IFERROR(__xludf.DUMMYFUNCTION("GOOGLETRANSLATE(D3673,""auto"",""en"")"),"System for improving the performance of special training in exercise")</f>
        <v>System for improving the performance of special training in exercise</v>
      </c>
    </row>
    <row r="3674" spans="1:5" ht="15" x14ac:dyDescent="0.25">
      <c r="A3674" s="5" t="s">
        <v>10286</v>
      </c>
      <c r="B3674" s="6" t="s">
        <v>10287</v>
      </c>
      <c r="C3674" s="3" t="str">
        <f ca="1">IFERROR(__xludf.DUMMYFUNCTION("GOOGLETRANSLATE(B3674,""auto"",""en"")"),"The present invention disclosed a fitness training guidance system based on somatosensory game. The guidance system includes a display device used to display the body -sensing game interface, for storage devices for storage -sensitive game packets, as wel"&amp;"l as with the display device and storage of the display and storage. The processor connected to the device also includes the detection device worn on the user's body to collect the user's motion data, which is used for sensitive carpets for sensing users'"&amp;" feet and motion frequency, and cameras for collecting real -time motion status of users. Device; The detection device is connected to the signal transmission module, which connects to the signal receiving module connected to the processor connection to t"&amp;"he processor. By increasing the detection device and the pressure -sensitive carpet, the present invention can more accurately determine the actual movement of the user, improve the accuracy of system recognition, and make the user's movements more standa"&amp;"rd in human -computer interaction in the body -sensing game project, and improve the effect of exercise.")</f>
        <v>The present invention disclosed a fitness training guidance system based on somatosensory game. The guidance system includes a display device used to display the body -sensing game interface, for storage devices for storage -sensitive game packets, as well as with the display device and storage of the display and storage. The processor connected to the device also includes the detection device worn on the user's body to collect the user's motion data, which is used for sensitive carpets for sensing users' feet and motion frequency, and cameras for collecting real -time motion status of users. Device; The detection device is connected to the signal transmission module, which connects to the signal receiving module connected to the processor connection to the processor. By increasing the detection device and the pressure -sensitive carpet, the present invention can more accurately determine the actual movement of the user, improve the accuracy of system recognition, and make the user's movements more standard in human -computer interaction in the body -sensing game project, and improve the effect of exercise.</v>
      </c>
      <c r="D3674" s="6" t="s">
        <v>10288</v>
      </c>
      <c r="E3674" s="4" t="str">
        <f ca="1">IFERROR(__xludf.DUMMYFUNCTION("GOOGLETRANSLATE(D3674,""auto"",""en"")"),"A fitness training guidance system and guidance method based on somatosensory games")</f>
        <v>A fitness training guidance system and guidance method based on somatosensory games</v>
      </c>
    </row>
    <row r="3675" spans="1:5" ht="15" x14ac:dyDescent="0.25">
      <c r="A3675" s="5" t="s">
        <v>10289</v>
      </c>
      <c r="B3675" s="6" t="s">
        <v>10290</v>
      </c>
      <c r="C3675" s="3" t="str">
        <f ca="1">IFERROR(__xludf.DUMMYFUNCTION("GOOGLETRANSLATE(B3675,""auto"",""en"")"),"This utility model opens up a fitness training guidance system based on somatosensory game. The processor connected to the storage device also includes the detection device worn on the user's body to collect the user's sports data, which is used for sensi"&amp;"tive carpets for sensor users' feet and movement frequency, and the real -time motion status of the user is Camera device; The detection device is connected to the signal emitter module, which connects to the signal receiving module connected to the proce"&amp;"ssor connection to the processor, which connects to the processor. This utility model can more accurately determine the actual movement of the user by increasing the detection device and the pressure -sensitive carpet, improve the accuracy of system recog"&amp;"nition, and make the user's movements more standard in human -computer interaction in the body -sensing game project, and improve the effect of exercise.")</f>
        <v>This utility model opens up a fitness training guidance system based on somatosensory game. The processor connected to the storage device also includes the detection device worn on the user's body to collect the user's sports data, which is used for sensitive carpets for sensor users' feet and movement frequency, and the real -time motion status of the user is Camera device; The detection device is connected to the signal emitter module, which connects to the signal receiving module connected to the processor connection to the processor, which connects to the processor. This utility model can more accurately determine the actual movement of the user by increasing the detection device and the pressure -sensitive carpet, improve the accuracy of system recognition, and make the user's movements more standard in human -computer interaction in the body -sensing game project, and improve the effect of exercise.</v>
      </c>
      <c r="D3675" s="6" t="s">
        <v>10291</v>
      </c>
      <c r="E3675" s="4" t="str">
        <f ca="1">IFERROR(__xludf.DUMMYFUNCTION("GOOGLETRANSLATE(D3675,""auto"",""en"")"),"A fitness training guidance system based on somatosensory games")</f>
        <v>A fitness training guidance system based on somatosensory games</v>
      </c>
    </row>
    <row r="3676" spans="1:5" ht="15" x14ac:dyDescent="0.25">
      <c r="A3676" s="5" t="s">
        <v>10292</v>
      </c>
      <c r="B3676" s="6" t="s">
        <v>10293</v>
      </c>
      <c r="C3676" s="3" t="str">
        <f ca="1">IFERROR(__xludf.DUMMYFUNCTION("GOOGLETRANSLATE(B3676,""auto"",""en"")"),"The present invention disclosed a university physical education equipment management system in the field of teaching appliance management technology, including student modules to provide student login window. After entering the account password in the log"&amp;"in interface, student users enter the system; teacher module; human -machine interaction interface; Single -chip microcomputer; executing agency, when the single -chip microcomputer emits the correct type of sports equipment, the execution agency automati"&amp;"cally opens, students use sports equipment; input unit; input unit; reader; electronic labels; databases, data storage institutions in single -chip machines for single -chip microcontrollers in single -chip microcontrollers in single -chip microcontroller"&amp;"s in single -chip microcontrollers in single -chip microcomputer machines in single -chip microcontrollers in single -chip microcontrollers in single -chip microcontrollers in single -chip microcomputer machines in single -chip microcontrollers in single "&amp;"-chip microcontrollers in single -chip microcontrollers in single -chip microcontroller machines in single -chip microcontrollers in single -chip microcontroller machines in single -chip microcontrollers. The present invention uses radio frequency technol"&amp;"ogy to put the surface of the sports equipment in colleges and universities with electronic labels, and use the reader to read the data content on the electronic label, which greatly simply simply simply simply simply puts the work content of the sports e"&amp;"quipment administrator and reduces its work intensity. At the same time,, at the same time,, at the same time, In terms of student identity verification, the student input number is used as the name name, and the uniqueness of the school number is used to"&amp;" avoid the disadvantages of the replacement.")</f>
        <v>The present invention disclosed a university physical education equipment management system in the field of teaching appliance management technology, including student modules to provide student login window. After entering the account password in the login interface, student users enter the system; teacher module; human -machine interaction interface; Single -chip microcomputer; executing agency, when the single -chip microcomputer emits the correct type of sports equipment, the execution agency automatically opens, students use sports equipment; input unit; input unit; reader; electronic labels; databases, data storage institutions in single -chip machines for single -chip microcontrollers in single -chip microcontrollers in single -chip microcontrollers in single -chip microcontrollers in single -chip microcomputer machines in single -chip microcontrollers in single -chip microcontrollers in single -chip microcontrollers in single -chip microcomputer machines in single -chip microcontrollers in single -chip microcontrollers in single -chip microcontrollers in single -chip microcontroller machines in single -chip microcontrollers in single -chip microcontroller machines in single -chip microcontrollers. The present invention uses radio frequency technology to put the surface of the sports equipment in colleges and universities with electronic labels, and use the reader to read the data content on the electronic label, which greatly simply simply simply simply simply puts the work content of the sports equipment administrator and reduces its work intensity. At the same time,, at the same time,, at the same time, In terms of student identity verification, the student input number is used as the name name, and the uniqueness of the school number is used to avoid the disadvantages of the replacement.</v>
      </c>
      <c r="D3676" s="6" t="s">
        <v>10294</v>
      </c>
      <c r="E3676" s="4" t="str">
        <f ca="1">IFERROR(__xludf.DUMMYFUNCTION("GOOGLETRANSLATE(D3676,""auto"",""en"")"),"A university sports teaching equipment management system")</f>
        <v>A university sports teaching equipment management system</v>
      </c>
    </row>
    <row r="3677" spans="1:5" ht="15" x14ac:dyDescent="0.25">
      <c r="A3677" s="5" t="s">
        <v>10295</v>
      </c>
      <c r="B3677" s="6" t="s">
        <v>10296</v>
      </c>
      <c r="C3677" s="3" t="str">
        <f ca="1">IFERROR(__xludf.DUMMYFUNCTION("GOOGLETRANSLATE(B3677,""auto"",""en"")"),"The present invention disclosed a chess timing system and usage method based on the Internet of Things technology. At the beginning of the game, set the start of the game, receive the drop instruction from the chess pieces module Ⅰ, determine the time of "&amp;"the player's fall, the total time and the counters of the players think about. The present invention avoids the use of manual timing during the international chess game, making the game timing more accurate, making players more focused on the game, making"&amp;" the referee work easier and fairly fair.")</f>
        <v>The present invention disclosed a chess timing system and usage method based on the Internet of Things technology. At the beginning of the game, set the start of the game, receive the drop instruction from the chess pieces module Ⅰ, determine the time of the player's fall, the total time and the counters of the players think about. The present invention avoids the use of manual timing during the international chess game, making the game timing more accurate, making players more focused on the game, making the referee work easier and fairly fair.</v>
      </c>
      <c r="D3677" s="6" t="s">
        <v>10297</v>
      </c>
      <c r="E3677" s="4" t="str">
        <f ca="1">IFERROR(__xludf.DUMMYFUNCTION("GOOGLETRANSLATE(D3677,""auto"",""en"")"),"International chess timing system and usage method based on IoT technology")</f>
        <v>International chess timing system and usage method based on IoT technology</v>
      </c>
    </row>
    <row r="3678" spans="1:5" ht="15" x14ac:dyDescent="0.25">
      <c r="A3678" s="5" t="s">
        <v>10298</v>
      </c>
      <c r="B3678" s="6" t="s">
        <v>10299</v>
      </c>
      <c r="C3678" s="3" t="str">
        <f ca="1">IFERROR(__xludf.DUMMYFUNCTION("GOOGLETRANSLATE(B3678,""auto"",""en"")"),"In some embodiments, this article provides an artificial intelligence (""AI"") engine that is configured to operate with multiple user interfaces to adapt to different types of users to solve different types of artificial intelligence problems. The AI ​​e"&amp;"ngine may include the AI ​​engine module, including architect modules, lecturer modules, and learner modules. The assembly code can be generated from the source code written in teaching programming language. The architect module can be configured to propo"&amp;"se a neural network layout from the assembly code; the learning device module can be configured to build an AI model from the neural network layout; the coaching module can be configured to be configured by the artificial intelligence model constructed by"&amp;" the trainer module. Multiple user interfaces can include integrated development environments, web browser interfaces or configurations to make the author define the command line interface for the mental model for AI model learning.")</f>
        <v>In some embodiments, this article provides an artificial intelligence ("AI") engine that is configured to operate with multiple user interfaces to adapt to different types of users to solve different types of artificial intelligence problems. The AI ​​engine may include the AI ​​engine module, including architect modules, lecturer modules, and learner modules. The assembly code can be generated from the source code written in teaching programming language. The architect module can be configured to propose a neural network layout from the assembly code; the learning device module can be configured to build an AI model from the neural network layout; the coaching module can be configured to be configured by the artificial intelligence model constructed by the trainer module. Multiple user interfaces can include integrated development environments, web browser interfaces or configurations to make the author define the command line interface for the mental model for AI model learning.</v>
      </c>
      <c r="D3678" s="6" t="s">
        <v>10300</v>
      </c>
      <c r="E3678" s="4" t="str">
        <f ca="1">IFERROR(__xludf.DUMMYFUNCTION("GOOGLETRANSLATE(D3678,""auto"",""en"")"),"Multiple user interfaces of artificial intelligence systems to adapt to different types of users to solve different types of problems with artificial intelligence")</f>
        <v>Multiple user interfaces of artificial intelligence systems to adapt to different types of users to solve different types of problems with artificial intelligence</v>
      </c>
    </row>
    <row r="3679" spans="1:5" ht="15" x14ac:dyDescent="0.25">
      <c r="A3679" s="5" t="s">
        <v>10301</v>
      </c>
      <c r="B3679" s="6" t="s">
        <v>10302</v>
      </c>
      <c r="C3679" s="3" t="str">
        <f ca="1">IFERROR(__xludf.DUMMYFUNCTION("GOOGLETRANSLATE(B3679,""auto"",""en"")"),"1. The name of the design of the product in this exterior: the graphical user interface for the display.
 2. The purpose of designing products in this exterior: The design of the product in this exterior is used for human -computer interaction.
 3. Th"&amp;"e design points of the design of the product in this exterior: lies in the graphical user interface of the display screen.
 The hardware design part and the rest are commonly designed.
 4. The picture or photo of the main point of designing the design"&amp;" of this appearance: The interface changes state Figure 1.
 5. Interface use: The graphic user interface of the product is the graphic user interface when the human -machine interdependence is interacted with the display.
 The interface displayed by t"&amp;"he main view is the graphical user interface of the display status of the display; when the user performs voice chatting or being touched by the display, the display interface changes in turn. When controlling, the display interface changes after the disp"&amp;"lay is answered right; when the display hears the user's good words or the display interface changes after the display is heard or the display interface changes; The interface changes status Figure 7; when the display hears the user instructions to start "&amp;"scanning the problem or be touched, display the interface change status in turn.屏13; when the display hears the user's instructions or is touched, the interface changes are displayed in turn. Figure 14‑16; when the user answers or is touched by the displa"&amp;"y or the display 17‑19.")</f>
        <v>1. The name of the design of the product in this exterior: the graphical user interface for the display.
 2. The purpose of designing products in this exterior: The design of the product in this exterior is used for human -computer interaction.
 3. The design points of the design of the product in this exterior: lies in the graphical user interface of the display screen.
 The hardware design part and the rest are commonly designed.
 4. The picture or photo of the main point of designing the design of this appearance: The interface changes state Figure 1.
 5. Interface use: The graphic user interface of the product is the graphic user interface when the human -machine interdependence is interacted with the display.
 The interface displayed by the main view is the graphical user interface of the display status of the display; when the user performs voice chatting or being touched by the display, the display interface changes in turn. When controlling, the display interface changes after the display is answered right; when the display hears the user's good words or the display interface changes after the display is heard or the display interface changes; The interface changes status Figure 7; when the display hears the user instructions to start scanning the problem or be touched, display the interface change status in turn.屏13; when the display hears the user's instructions or is touched, the interface changes are displayed in turn. Figure 14‑16; when the user answers or is touched by the display or the display 17‑19.</v>
      </c>
      <c r="D3679" s="6" t="s">
        <v>7436</v>
      </c>
      <c r="E3679" s="4" t="str">
        <f ca="1">IFERROR(__xludf.DUMMYFUNCTION("GOOGLETRANSLATE(D3679,""auto"",""en"")"),"Graphic user interface for display screen")</f>
        <v>Graphic user interface for display screen</v>
      </c>
    </row>
    <row r="3680" spans="1:5" ht="15" x14ac:dyDescent="0.25">
      <c r="A3680" s="5" t="s">
        <v>10303</v>
      </c>
      <c r="B3680" s="6" t="s">
        <v>8374</v>
      </c>
      <c r="C3680" s="3" t="str">
        <f ca="1">IFERROR(__xludf.DUMMYFUNCTION("GOOGLETRANSLATE(B3680,""auto"",""en"")"),"Provides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0" s="6" t="s">
        <v>8372</v>
      </c>
      <c r="E3680" s="4" t="str">
        <f ca="1">IFERROR(__xludf.DUMMYFUNCTION("GOOGLETRANSLATE(D3680,""auto"",""en"")"),"It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81" spans="1:5" ht="15" x14ac:dyDescent="0.25">
      <c r="A3681" s="5" t="s">
        <v>10304</v>
      </c>
      <c r="B3681" s="6" t="s">
        <v>8371</v>
      </c>
      <c r="C3681" s="3" t="str">
        <f ca="1">IFERROR(__xludf.DUMMYFUNCTION("GOOGLETRANSLATE(B3681,""auto"",""en"")"),"It provides systems and methods for remote monitoring, optimization and control to provide network connections and swimming pool/spa. Provide the ""Internet of Things"" (IoT) functions for swimming pools and spa in a flexible and economical way. The netwo"&amp;"rk connection and remote monitoring/control of the swimming pool and spa equipment are provided by various components, such as network communication and local control subsystems installed in the swimming pool/spa equipment, as well as other components. Va"&amp;"rious control processes (""Pond Logic"") are also disclosed, which can be reflected in the software code of any of the various embodiments installed in this public.")</f>
        <v>It provides systems and methods for remote monitoring, optimization and control to provide network connections and swimming pool/spa.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681" s="6" t="s">
        <v>8485</v>
      </c>
      <c r="E3681" s="4" t="str">
        <f ca="1">IFERROR(__xludf.DUMMYFUNCTION("GOOGLETRANSLATE(D3681,""auto"",""en"")"),"Used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682" spans="1:5" ht="15" x14ac:dyDescent="0.25">
      <c r="A3682" s="5" t="s">
        <v>10305</v>
      </c>
      <c r="B3682" s="6" t="s">
        <v>10306</v>
      </c>
      <c r="C3682" s="3" t="str">
        <f ca="1">IFERROR(__xludf.DUMMYFUNCTION("GOOGLETRANSLATE(B3682,""auto"",""en"")"),"Provides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swimming pool and spa equipment are provided by various components, such as network communication and local control subsystems installed in the swimming pool/spa equipment, as well as other compone"&amp;"nts. Various control processes (""Pond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682" s="6" t="s">
        <v>8485</v>
      </c>
      <c r="E3682" s="4" t="str">
        <f ca="1">IFERROR(__xludf.DUMMYFUNCTION("GOOGLETRANSLATE(D3682,""auto"",""en"")"),"Used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683" spans="1:5" ht="15" x14ac:dyDescent="0.25">
      <c r="A3683" s="5" t="s">
        <v>10307</v>
      </c>
      <c r="B3683" s="6" t="s">
        <v>8374</v>
      </c>
      <c r="C3683" s="3" t="str">
        <f ca="1">IFERROR(__xludf.DUMMYFUNCTION("GOOGLETRANSLATE(B3683,""auto"",""en"")"),"Provides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3" s="6" t="s">
        <v>8485</v>
      </c>
      <c r="E3683" s="4" t="str">
        <f ca="1">IFERROR(__xludf.DUMMYFUNCTION("GOOGLETRANSLATE(D3683,""auto"",""en"")"),"Used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684" spans="1:5" ht="15" x14ac:dyDescent="0.25">
      <c r="A3684" s="5" t="s">
        <v>10308</v>
      </c>
      <c r="B3684" s="6" t="s">
        <v>8374</v>
      </c>
      <c r="C3684" s="3" t="str">
        <f ca="1">IFERROR(__xludf.DUMMYFUNCTION("GOOGLETRANSLATE(B3684,""auto"",""en"")"),"Provides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4" s="6" t="s">
        <v>8485</v>
      </c>
      <c r="E3684" s="4" t="str">
        <f ca="1">IFERROR(__xludf.DUMMYFUNCTION("GOOGLETRANSLATE(D3684,""auto"",""en"")"),"Used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685" spans="1:5" ht="15" x14ac:dyDescent="0.25">
      <c r="A3685" s="5" t="s">
        <v>10309</v>
      </c>
      <c r="B3685" s="6" t="s">
        <v>10306</v>
      </c>
      <c r="C3685" s="3" t="str">
        <f ca="1">IFERROR(__xludf.DUMMYFUNCTION("GOOGLETRANSLATE(B3685,""auto"",""en"")"),"Provides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swimming pool and spa equipment are provided by various components, such as network communication and local control subsystems installed in the swimming pool/spa equipment, as well as other compone"&amp;"nts. Various control processes (""Pond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685" s="6" t="s">
        <v>8485</v>
      </c>
      <c r="E3685" s="4" t="str">
        <f ca="1">IFERROR(__xludf.DUMMYFUNCTION("GOOGLETRANSLATE(D3685,""auto"",""en"")"),"Used to provide remote monitoring, optimization and control systems and methods for network connections and swimming pools/spa equipment")</f>
        <v>Used to provide remote monitoring, optimization and control systems and methods for network connections and swimming pools/spa equipment</v>
      </c>
    </row>
    <row r="3686" spans="1:5" ht="15" x14ac:dyDescent="0.25">
      <c r="A3686" s="5" t="s">
        <v>10310</v>
      </c>
      <c r="B3686" s="6" t="s">
        <v>8374</v>
      </c>
      <c r="C3686" s="3" t="str">
        <f ca="1">IFERROR(__xludf.DUMMYFUNCTION("GOOGLETRANSLATE(B3686,""auto"",""en"")"),"Provides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6" s="6" t="s">
        <v>8372</v>
      </c>
      <c r="E3686" s="4" t="str">
        <f ca="1">IFERROR(__xludf.DUMMYFUNCTION("GOOGLETRANSLATE(D3686,""auto"",""en"")"),"It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87" spans="1:5" ht="15" x14ac:dyDescent="0.25">
      <c r="A3687" s="5" t="s">
        <v>10311</v>
      </c>
      <c r="B3687" s="6" t="s">
        <v>8371</v>
      </c>
      <c r="C3687" s="3" t="str">
        <f ca="1">IFERROR(__xludf.DUMMYFUNCTION("GOOGLETRANSLATE(B3687,""auto"",""en"")"),"It provides systems and methods for remote monitoring, optimization and control to provide network connections and swimming pool/spa. Provide the ""Internet of Things"" (IoT) functions for swimming pools and spa in a flexible and economical way. The netwo"&amp;"rk connection and remote monitoring/control of the swimming pool and spa equipment are provided by various components, such as network communication and local control subsystems installed in the swimming pool/spa equipment, as well as other components. Va"&amp;"rious control processes (""Pond Logic"") are also disclosed, which can be reflected in the software code of any of the various embodiments installed in this public.")</f>
        <v>It provides systems and methods for remote monitoring, optimization and control to provide network connections and swimming pool/spa.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687" s="6" t="s">
        <v>8372</v>
      </c>
      <c r="E3687" s="4" t="str">
        <f ca="1">IFERROR(__xludf.DUMMYFUNCTION("GOOGLETRANSLATE(D3687,""auto"",""en"")"),"It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88" spans="1:5" ht="15" x14ac:dyDescent="0.25">
      <c r="A3688" s="5" t="s">
        <v>10312</v>
      </c>
      <c r="B3688" s="6" t="s">
        <v>8374</v>
      </c>
      <c r="C3688" s="3" t="str">
        <f ca="1">IFERROR(__xludf.DUMMYFUNCTION("GOOGLETRANSLATE(B3688,""auto"",""en"")"),"Provides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8" s="6" t="s">
        <v>8372</v>
      </c>
      <c r="E3688" s="4" t="str">
        <f ca="1">IFERROR(__xludf.DUMMYFUNCTION("GOOGLETRANSLATE(D3688,""auto"",""en"")"),"It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89" spans="1:5" ht="15" x14ac:dyDescent="0.25">
      <c r="A3689" s="5" t="s">
        <v>10313</v>
      </c>
      <c r="B3689" s="6" t="s">
        <v>8374</v>
      </c>
      <c r="C3689" s="3" t="str">
        <f ca="1">IFERROR(__xludf.DUMMYFUNCTION("GOOGLETRANSLATE(B3689,""auto"",""en"")"),"Provides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89" s="6" t="s">
        <v>8372</v>
      </c>
      <c r="E3689" s="4" t="str">
        <f ca="1">IFERROR(__xludf.DUMMYFUNCTION("GOOGLETRANSLATE(D3689,""auto"",""en"")"),"It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0" spans="1:5" ht="15" x14ac:dyDescent="0.25">
      <c r="A3690" s="5" t="s">
        <v>10314</v>
      </c>
      <c r="B3690" s="6" t="s">
        <v>8374</v>
      </c>
      <c r="C3690" s="3" t="str">
        <f ca="1">IFERROR(__xludf.DUMMYFUNCTION("GOOGLETRANSLATE(B3690,""auto"",""en"")"),"Provides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90" s="6" t="s">
        <v>8372</v>
      </c>
      <c r="E3690" s="4" t="str">
        <f ca="1">IFERROR(__xludf.DUMMYFUNCTION("GOOGLETRANSLATE(D3690,""auto"",""en"")"),"It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1" spans="1:5" ht="15" x14ac:dyDescent="0.25">
      <c r="A3691" s="5" t="s">
        <v>10315</v>
      </c>
      <c r="B3691" s="6" t="s">
        <v>8374</v>
      </c>
      <c r="C3691" s="3" t="str">
        <f ca="1">IFERROR(__xludf.DUMMYFUNCTION("GOOGLETRANSLATE(B3691,""auto"",""en"")"),"Provides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91" s="6" t="s">
        <v>8372</v>
      </c>
      <c r="E3691" s="4" t="str">
        <f ca="1">IFERROR(__xludf.DUMMYFUNCTION("GOOGLETRANSLATE(D3691,""auto"",""en"")"),"It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2" spans="1:5" ht="15" x14ac:dyDescent="0.25">
      <c r="A3692" s="5" t="s">
        <v>10316</v>
      </c>
      <c r="B3692" s="6" t="s">
        <v>8374</v>
      </c>
      <c r="C3692" s="3" t="str">
        <f ca="1">IFERROR(__xludf.DUMMYFUNCTION("GOOGLETRANSLATE(B3692,""auto"",""en"")"),"Provides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92" s="6" t="s">
        <v>8372</v>
      </c>
      <c r="E3692" s="4" t="str">
        <f ca="1">IFERROR(__xludf.DUMMYFUNCTION("GOOGLETRANSLATE(D3692,""auto"",""en"")"),"It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3" spans="1:5" ht="15" x14ac:dyDescent="0.25">
      <c r="A3693" s="5" t="s">
        <v>10317</v>
      </c>
      <c r="B3693" s="6" t="s">
        <v>10306</v>
      </c>
      <c r="C3693" s="3" t="str">
        <f ca="1">IFERROR(__xludf.DUMMYFUNCTION("GOOGLETRANSLATE(B3693,""auto"",""en"")"),"Provides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swimming pool and spa equipment are provided by various components, such as network communication and local control subsystems installed in the swimming pool/spa equipment, as well as other compone"&amp;"nts. Various control processes (""Pond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swimming pool and spa equipment are provided by various components, such as network communication and local control subsystems installed in the swimming pool/spa equipment, as well as other components. Various control processes ("Pond Logic") are also disclosed, which can be reflected in the software code of any of the various embodiments installed in this public.</v>
      </c>
      <c r="D3693" s="6" t="s">
        <v>8372</v>
      </c>
      <c r="E3693" s="4" t="str">
        <f ca="1">IFERROR(__xludf.DUMMYFUNCTION("GOOGLETRANSLATE(D3693,""auto"",""en"")"),"It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4" spans="1:5" ht="15" x14ac:dyDescent="0.25">
      <c r="A3694" s="5" t="s">
        <v>10318</v>
      </c>
      <c r="B3694" s="6" t="s">
        <v>8374</v>
      </c>
      <c r="C3694" s="3" t="str">
        <f ca="1">IFERROR(__xludf.DUMMYFUNCTION("GOOGLETRANSLATE(B3694,""auto"",""en"")"),"Provides systems and methods for remote monitoring, optimization and control to provide network connections and swimming pool/spa equipment. Provide the ""Internet of Things"" (IoT) functions for swimming pools and spa in a flexible and economical way. Th"&amp;"e network connection and remote monitoring/control of the pool and spa equipment are provided by various components, such as network communication and local control subsystems, and other components installed in the pool/spa. Various control processes (""P"&amp;"ond Logic"") are also disclosed, which can be reflected in the software code of any of the various embodiments installed in this public.")</f>
        <v>Provides systems and methods for remote monitoring, optimization and control to provide network connections and swimming pool/spa equipment. Provide the "Internet of Things" (IoT) functions for swimming pools and spa in a flexible and economical way. The network connection and remote monitoring/control of the pool and spa equipment are provided by various components, such as network communication and local control subsystems, and other components installed in the pool/spa. Various control processes ("Pond Logic") are also disclosed, which can be reflected in the software code of any of the various embodiments installed in this public.</v>
      </c>
      <c r="D3694" s="6" t="s">
        <v>8372</v>
      </c>
      <c r="E3694" s="4" t="str">
        <f ca="1">IFERROR(__xludf.DUMMYFUNCTION("GOOGLETRANSLATE(D3694,""auto"",""en"")"),"It is used to provide systems and methods for providing network connection and remote monitoring, optimization and control pool/spa equipment")</f>
        <v>It is used to provide systems and methods for providing network connection and remote monitoring, optimization and control pool/spa equipment</v>
      </c>
    </row>
    <row r="3695" spans="1:5" ht="15" x14ac:dyDescent="0.25">
      <c r="A3695" s="5" t="s">
        <v>10319</v>
      </c>
      <c r="B3695" s="6" t="s">
        <v>10320</v>
      </c>
      <c r="C3695" s="3" t="str">
        <f ca="1">IFERROR(__xludf.DUMMYFUNCTION("GOOGLETRANSLATE(B3695,""auto"",""en"")"),"A voice -available swimming ring management device, including the turntable and control system. There is a motor that drives the transmission connection with the turntable under the turntable. It is also composed of the capacity department on the support "&amp;"department. There are multiple swimming rings hanging on the capacity department; the capacity department is U -shaped rod; the control system includes microprocessors, motor drive circuits and voice control circuits; Micro -processor, the output end of t"&amp;"he motor -driven circuit is connected to the motor; the voice control circuit includes a microphone, pre -processing module, voice recognition module, and storage module; The module connects to the microprocessor. This utility model enables students to qu"&amp;"ickly select their favorite swimming rings, and it is suitable for management occasions with a large number of people in schools and a large number of swimming rings required.")</f>
        <v>A voice -available swimming ring management device, including the turntable and control system. There is a motor that drives the transmission connection with the turntable under the turntable. It is also composed of the capacity department on the support department. There are multiple swimming rings hanging on the capacity department; the capacity department is U -shaped rod; the control system includes microprocessors, motor drive circuits and voice control circuits; Micro -processor, the output end of the motor -driven circuit is connected to the motor; the voice control circuit includes a microphone, pre -processing module, voice recognition module, and storage module; The module connects to the microprocessor. This utility model enables students to quickly select their favorite swimming rings, and it is suitable for management occasions with a large number of people in schools and a large number of swimming rings required.</v>
      </c>
      <c r="D3695" s="6" t="s">
        <v>10321</v>
      </c>
      <c r="E3695" s="4" t="str">
        <f ca="1">IFERROR(__xludf.DUMMYFUNCTION("GOOGLETRANSLATE(D3695,""auto"",""en"")"),"A phonetic -controlled swimming ring management device")</f>
        <v>A phonetic -controlled swimming ring management device</v>
      </c>
    </row>
    <row r="3696" spans="1:5" ht="15" x14ac:dyDescent="0.25">
      <c r="A3696" s="5" t="s">
        <v>10322</v>
      </c>
      <c r="B3696" s="6" t="s">
        <v>10323</v>
      </c>
      <c r="C3696" s="3" t="str">
        <f ca="1">IFERROR(__xludf.DUMMYFUNCTION("GOOGLETRANSLATE(B3696,""auto"",""en"")"),"The invention involves a dynamic protection path planning method based on enhanced learning, which is the field of information security technology. The specific operation steps are: Step 1. Generate distributed network attack charts. Step 2: Find the wors"&amp;"t attack path. Step 3. Generate network models. Step 4. By enhancing learning, get the best protection path. Compared with existing technologies, the method proposed by the present invention has the following advantages: ① No need to collect training data"&amp;" to train network models. ② You can learn online and constantly determine the best protection path corresponding to different network status at different times. ③ The degree of protection for transmission data is high. ④ The optimal protection path genera"&amp;"tes fast.")</f>
        <v>The invention involves a dynamic protection path planning method based on enhanced learning, which is the field of information security technology. The specific operation steps are: Step 1. Generate distributed network attack charts. Step 2: Find the worst attack path. Step 3. Generate network models. Step 4. By enhancing learning, get the best protection path. Compared with existing technologies, the method proposed by the present invention has the following advantages: ① No need to collect training data to train network models. ② You can learn online and constantly determine the best protection path corresponding to different network status at different times. ③ The degree of protection for transmission data is high. ④ The optimal protection path generates fast.</v>
      </c>
      <c r="D3696" s="6" t="s">
        <v>10324</v>
      </c>
      <c r="E3696" s="4" t="str">
        <f ca="1">IFERROR(__xludf.DUMMYFUNCTION("GOOGLETRANSLATE(D3696,""auto"",""en"")"),"A method of dynamic protection path planning based on enhanced learning")</f>
        <v>A method of dynamic protection path planning based on enhanced learning</v>
      </c>
    </row>
    <row r="3697" spans="1:5" ht="15" x14ac:dyDescent="0.25">
      <c r="A3697" s="5" t="s">
        <v>10325</v>
      </c>
      <c r="B3697" s="6" t="s">
        <v>10326</v>
      </c>
      <c r="C3697" s="3" t="str">
        <f ca="1">IFERROR(__xludf.DUMMYFUNCTION("GOOGLETRANSLATE(B3697,""auto"",""en"")"),"This utility model involves a smart football training information collection system that includes: peripheral rebound components and at least three data collection cards. The peripheral rebound component is formed by connecting to each other Data acquisit"&amp;"ion controller, impact sensor, collection card data memory, data pre -processor and collecting card power battery supply. This utility model uses the principle of honeycomb structure to provide the maximum area of ​​space with the least consumables. At th"&amp;"e same time, the design of the Internet of Things technology and interesting football training methods can help young people to improve the interest of football training, and it is suitable for indoor and outdoor scenes such as family, kindergartens or mi"&amp;"ddle and elementary schools. Young people can share their training results with coaches, as well as classmates, teammates, to obtain further guidance and help of the coach, as well as classmates and teammates through the Internet of Things and the Interne"&amp;"t. pleasure.")</f>
        <v>This utility model involves a smart football training information collection system that includes: peripheral rebound components and at least three data collection cards. The peripheral rebound component is formed by connecting to each other Data acquisition controller, impact sensor, collection card data memory, data pre -processor and collecting card power battery supply. This utility model uses the principle of honeycomb structure to provide the maximum area of ​​space with the least consumables. At the same time, the design of the Internet of Things technology and interesting football training methods can help young people to improve the interest of football training, and it is suitable for indoor and outdoor scenes such as family, kindergartens or middle and elementary schools. Young people can share their training results with coaches, as well as classmates, teammates, to obtain further guidance and help of the coach, as well as classmates and teammates through the Internet of Things and the Internet. pleasure.</v>
      </c>
      <c r="D3697" s="6" t="s">
        <v>10327</v>
      </c>
      <c r="E3697" s="4" t="str">
        <f ca="1">IFERROR(__xludf.DUMMYFUNCTION("GOOGLETRANSLATE(D3697,""auto"",""en"")"),"A smart football training information collection system")</f>
        <v>A smart football training information collection system</v>
      </c>
    </row>
    <row r="3698" spans="1:5" ht="15" x14ac:dyDescent="0.25">
      <c r="A3698" s="5" t="s">
        <v>10328</v>
      </c>
      <c r="B3698" s="6" t="s">
        <v>10329</v>
      </c>
      <c r="C3698" s="3" t="str">
        <f ca="1">IFERROR(__xludf.DUMMYFUNCTION("GOOGLETRANSLATE(B3698,""auto"",""en"")"),"Provide anti -theft monitoring devices, systems and methods. The anti -theft monitoring device includes: case, mobile mechanism, controller, and video control module. The controller includes mobile control modules, image recognition modules and sound ligh"&amp;"t control modules; the mobile control module is used to control the mobile mechanism to move along the running route. The video control module is used to scan environment information through the camera, build environmental dynamic maps in real time, and g"&amp;"enerate running routes. The image recognition module is used to match the video or image of the captured person with the pre -stored person's video or image, get the matching result, and provide the corresponding control instructions. The sound light alar"&amp;"m of the sound light control module is used to send a sound light alarm based on the corresponding control instructions.")</f>
        <v>Provide anti -theft monitoring devices, systems and methods. The anti -theft monitoring device includes: case, mobile mechanism, controller, and video control module. The controller includes mobile control modules, image recognition modules and sound light control modules; the mobile control module is used to control the mobile mechanism to move along the running route. The video control module is used to scan environment information through the camera, build environmental dynamic maps in real time, and generate running routes. The image recognition module is used to match the video or image of the captured person with the pre -stored person's video or image, get the matching result, and provide the corresponding control instructions. The sound light alarm of the sound light control module is used to send a sound light alarm based on the corresponding control instructions.</v>
      </c>
      <c r="D3698" s="6" t="s">
        <v>10330</v>
      </c>
      <c r="E3698" s="4" t="str">
        <f ca="1">IFERROR(__xludf.DUMMYFUNCTION("GOOGLETRANSLATE(D3698,""auto"",""en"")"),"Anti -theft monitoring device, system and method")</f>
        <v>Anti -theft monitoring device, system and method</v>
      </c>
    </row>
    <row r="3699" spans="1:5" ht="15" x14ac:dyDescent="0.25">
      <c r="A3699" s="5" t="s">
        <v>10331</v>
      </c>
      <c r="B3699" s="6" t="s">
        <v>10329</v>
      </c>
      <c r="C3699" s="3" t="str">
        <f ca="1">IFERROR(__xludf.DUMMYFUNCTION("GOOGLETRANSLATE(B3699,""auto"",""en"")"),"Provide anti -theft monitoring devices, systems and methods. The anti -theft monitoring device includes: case, mobile mechanism, controller, and video control module. The controller includes mobile control modules, image recognition modules and sound ligh"&amp;"t control modules; the mobile control module is used to control the mobile mechanism to move along the running route. The video control module is used to scan environment information through the camera, build environmental dynamic maps in real time, and g"&amp;"enerate running routes. The image recognition module is used to match the video or image of the captured person with the pre -stored person's video or image, get the matching result, and provide the corresponding control instructions. The sound light alar"&amp;"m of the sound light control module is used to send a sound light alarm based on the corresponding control instructions.")</f>
        <v>Provide anti -theft monitoring devices, systems and methods. The anti -theft monitoring device includes: case, mobile mechanism, controller, and video control module. The controller includes mobile control modules, image recognition modules and sound light control modules; the mobile control module is used to control the mobile mechanism to move along the running route. The video control module is used to scan environment information through the camera, build environmental dynamic maps in real time, and generate running routes. The image recognition module is used to match the video or image of the captured person with the pre -stored person's video or image, get the matching result, and provide the corresponding control instructions. The sound light alarm of the sound light control module is used to send a sound light alarm based on the corresponding control instructions.</v>
      </c>
      <c r="D3699" s="6" t="s">
        <v>10330</v>
      </c>
      <c r="E3699" s="4" t="str">
        <f ca="1">IFERROR(__xludf.DUMMYFUNCTION("GOOGLETRANSLATE(D3699,""auto"",""en"")"),"Anti -theft monitoring device, system and method")</f>
        <v>Anti -theft monitoring device, system and method</v>
      </c>
    </row>
    <row r="3700" spans="1:5" ht="15" x14ac:dyDescent="0.25">
      <c r="A3700" s="5" t="s">
        <v>10332</v>
      </c>
      <c r="B3700" s="6" t="s">
        <v>10333</v>
      </c>
      <c r="C3700" s="3" t="str">
        <f ca="1">IFERROR(__xludf.DUMMYFUNCTION("GOOGLETRANSLATE(B3700,""auto"",""en"")"),"Provides a anti -theft monitoring device, system and method. Anti -theft monitoring devices include: shells, mobile mechanisms, controllers, and video control modules. The controller includes mobile control modules, image recognition modules and sound lig"&amp;"ht control modules. The mobile control module is used to control the movement of the mobile institution along the running route. The video control module is used to scan environment information through the camera, build environmental dynamic maps in real "&amp;"time, and generate running routes. The image recognition module is used to match the collected character video or image with the pre -stored character video or image, get the matching result, and give the corresponding control instruction. The sound light"&amp;" alarm of the sound light control module is used to send a sound light to alarm alarm according to the corresponding control instructions.")</f>
        <v>Provides a anti -theft monitoring device, system and method. Anti -theft monitoring devices include: shells, mobile mechanisms, controllers, and video control modules. The controller includes mobile control modules, image recognition modules and sound light control modules. The mobile control module is used to control the movement of the mobile institution along the running route. The video control module is used to scan environment information through the camera, build environmental dynamic maps in real time, and generate running routes. The image recognition module is used to match the collected character video or image with the pre -stored character video or image, get the matching result, and give the corresponding control instruction. The sound light alarm of the sound light control module is used to send a sound light to alarm alarm according to the corresponding control instructions.</v>
      </c>
      <c r="D3700" s="6" t="s">
        <v>10330</v>
      </c>
      <c r="E3700" s="4" t="str">
        <f ca="1">IFERROR(__xludf.DUMMYFUNCTION("GOOGLETRANSLATE(D3700,""auto"",""en"")"),"Anti -theft monitoring device, system and method")</f>
        <v>Anti -theft monitoring device, system and method</v>
      </c>
    </row>
    <row r="3701" spans="1:5" ht="15" x14ac:dyDescent="0.25">
      <c r="A3701" s="5" t="s">
        <v>10334</v>
      </c>
      <c r="B3701" s="6" t="s">
        <v>10335</v>
      </c>
      <c r="C3701" s="3" t="str">
        <f ca="1">IFERROR(__xludf.DUMMYFUNCTION("GOOGLETRANSLATE(B3701,""auto"",""en"")"),"The present invention involves a smart football training information collection system and method. The system includes: peripheral rebound components and at least three data collection cards. The peripheral rebound component is formed by connecting to eac"&amp;"h other There are data acquisition controllers, impact sensors, collecting card data memory, data preprocessors and collecting cards for power batteries. The invention uses the principle of honeycomb structure to provide the maximum area of ​​space with t"&amp;"he least consumables. At the same time, the design of the Internet of Things technology and interesting football training methods can help young people to improve the interest of football training, and it is suitable for indoor and outdoor scenes such as "&amp;"family, kindergartens or middle and elementary schools. Young people can share their training results with coaches, as well as classmates, teammates, to obtain further guidance and help of the coach, as well as classmates and teammates through the Interne"&amp;"t of Things and the Internet. pleasure.")</f>
        <v>The present invention involves a smart football training information collection system and method. The system includes: peripheral rebound components and at least three data collection cards. The peripheral rebound component is formed by connecting to each other There are data acquisition controllers, impact sensors, collecting card data memory, data preprocessors and collecting cards for power batteries. The invention uses the principle of honeycomb structure to provide the maximum area of ​​space with the least consumables. At the same time, the design of the Internet of Things technology and interesting football training methods can help young people to improve the interest of football training, and it is suitable for indoor and outdoor scenes such as family, kindergartens or middle and elementary schools. Young people can share their training results with coaches, as well as classmates, teammates, to obtain further guidance and help of the coach, as well as classmates and teammates through the Internet of Things and the Internet. pleasure.</v>
      </c>
      <c r="D3701" s="6" t="s">
        <v>10336</v>
      </c>
      <c r="E3701" s="4" t="str">
        <f ca="1">IFERROR(__xludf.DUMMYFUNCTION("GOOGLETRANSLATE(D3701,""auto"",""en"")"),"A smart football training information collection system and method")</f>
        <v>A smart football training information collection system and method</v>
      </c>
    </row>
    <row r="3702" spans="1:5" ht="15" x14ac:dyDescent="0.25">
      <c r="A3702" s="5" t="s">
        <v>10337</v>
      </c>
      <c r="B3702" s="6" t="s">
        <v>10329</v>
      </c>
      <c r="C3702" s="3" t="str">
        <f ca="1">IFERROR(__xludf.DUMMYFUNCTION("GOOGLETRANSLATE(B3702,""auto"",""en"")"),"Provide anti -theft monitoring devices, systems and methods. The anti -theft monitoring device includes: case, mobile mechanism, controller, and video control module. The controller includes mobile control modules, image recognition modules and sound ligh"&amp;"t control modules; the mobile control module is used to control the mobile mechanism to move along the running route. The video control module is used to scan environment information through the camera, build environmental dynamic maps in real time, and g"&amp;"enerate running routes. The image recognition module is used to match the video or image of the captured person with the pre -stored person's video or image, get the matching result, and provide the corresponding control instructions. The sound light alar"&amp;"m of the sound light control module is used to send a sound light alarm based on the corresponding control instructions.")</f>
        <v>Provide anti -theft monitoring devices, systems and methods. The anti -theft monitoring device includes: case, mobile mechanism, controller, and video control module. The controller includes mobile control modules, image recognition modules and sound light control modules; the mobile control module is used to control the mobile mechanism to move along the running route. The video control module is used to scan environment information through the camera, build environmental dynamic maps in real time, and generate running routes. The image recognition module is used to match the video or image of the captured person with the pre -stored person's video or image, get the matching result, and provide the corresponding control instructions. The sound light alarm of the sound light control module is used to send a sound light alarm based on the corresponding control instructions.</v>
      </c>
      <c r="D3702" s="6" t="s">
        <v>10338</v>
      </c>
      <c r="E3702" s="4" t="str">
        <f ca="1">IFERROR(__xludf.DUMMYFUNCTION("GOOGLETRANSLATE(D3702,""auto"",""en"")"),"Guidance, system and management of preventive measures")</f>
        <v>Guidance, system and management of preventive measures</v>
      </c>
    </row>
    <row r="3703" spans="1:5" ht="15" x14ac:dyDescent="0.25">
      <c r="A3703" s="5" t="s">
        <v>10339</v>
      </c>
      <c r="B3703" s="6" t="s">
        <v>10340</v>
      </c>
      <c r="C3703" s="3" t="str">
        <f ca="1">IFERROR(__xludf.DUMMYFUNCTION("GOOGLETRANSLATE(B3703,""auto"",""en"")"),"The present invention provides an intelligent reporting method based on the fitness path based on the mobile Internet, using mobile Internet technology and image recognition technology to build an intelligent platform for fitness users, governments, opera"&amp;"tion and maintenance departments, and maintenance units. Realize community fitness path intelligent reporting, operation and maintenance tracking, and path update and maintenance function of the path, establish a big data center for fitness paths, provide"&amp;" technical platforms and data basis for government construction and census basic fitness engineering, build pathway intelligent reporting platforms, promote citizens Participate in the maintenance path maintenance, and integrate into the smart city system"&amp;", build a national fitness and convenience project, standardize the fitness path management and maintenance system, improve operation and maintenance efficiency, and reduce maintenance costs.")</f>
        <v>The present invention provides an intelligent reporting method based on the fitness path based on the mobile Internet, using mobile Internet technology and image recognition technology to build an intelligent platform for fitness users, governments, operation and maintenance departments, and maintenance units. Realize community fitness path intelligent reporting, operation and maintenance tracking, and path update and maintenance function of the path, establish a big data center for fitness paths, provide technical platforms and data basis for government construction and census basic fitness engineering, build pathway intelligent reporting platforms, promote citizens Participate in the maintenance path maintenance, and integrate into the smart city system, build a national fitness and convenience project, standardize the fitness path management and maintenance system, improve operation and maintenance efficiency, and reduce maintenance costs.</v>
      </c>
      <c r="D3703" s="6" t="s">
        <v>10341</v>
      </c>
      <c r="E3703" s="4" t="str">
        <f ca="1">IFERROR(__xludf.DUMMYFUNCTION("GOOGLETRANSLATE(D3703,""auto"",""en"")"),"An intelligent reporting method based on the fitness path based on the mobile Internet")</f>
        <v>An intelligent reporting method based on the fitness path based on the mobile Internet</v>
      </c>
    </row>
    <row r="3704" spans="1:5" ht="15" x14ac:dyDescent="0.25">
      <c r="A3704" s="5" t="s">
        <v>10342</v>
      </c>
      <c r="B3704" s="6" t="s">
        <v>10343</v>
      </c>
      <c r="C3704" s="3" t="str">
        <f ca="1">IFERROR(__xludf.DUMMYFUNCTION("GOOGLETRANSLATE(B3704,""auto"",""en"")"),"The present invention disclosed a intelligent voice driving training system, including student information storage modules, identity recognition modules, coach matching modules, voice monitoring modules, driving status detection modules; identity recognit"&amp;"ion module After receiving the information sent by the identity recognition module, the coach information associated with the status of the idle state will be sent to the voice monitoring module; the voice monitoring module includes human -computer intera"&amp;"ction unit, monitoring unit, voice unit, display terminal; human -machine interaction interface obtain coach matching module The coach information associated with the status of the idle time is displayed, and it is displayed to the college in the form of "&amp;"a list. The system described by the present invention can allow driving school coaches to train trainees remotely without having to arrive in person. The coaches of multiple driving schools are allocated to allocate, and the average resources are avoided."&amp;" Simple and convenient, providing some convenience for students to learn car training.")</f>
        <v>The present invention disclosed a intelligent voice driving training system, including student information storage modules, identity recognition modules, coach matching modules, voice monitoring modules, driving status detection modules; identity recognition module After receiving the information sent by the identity recognition module, the coach information associated with the status of the idle state will be sent to the voice monitoring module; the voice monitoring module includes human -computer interaction unit, monitoring unit, voice unit, display terminal; human -machine interaction interface obtain coach matching module The coach information associated with the status of the idle time is displayed, and it is displayed to the college in the form of a list. The system described by the present invention can allow driving school coaches to train trainees remotely without having to arrive in person. The coaches of multiple driving schools are allocated to allocate, and the average resources are avoided. Simple and convenient, providing some convenience for students to learn car training.</v>
      </c>
      <c r="D3704" s="6" t="s">
        <v>10344</v>
      </c>
      <c r="E3704" s="4" t="str">
        <f ca="1">IFERROR(__xludf.DUMMYFUNCTION("GOOGLETRANSLATE(D3704,""auto"",""en"")"),"A intelligent voice driving system")</f>
        <v>A intelligent voice driving system</v>
      </c>
    </row>
    <row r="3705" spans="1:5" ht="15" x14ac:dyDescent="0.25">
      <c r="A3705" s="5" t="s">
        <v>10345</v>
      </c>
      <c r="B3705" s="6" t="s">
        <v>10346</v>
      </c>
      <c r="C3705" s="3" t="str">
        <f ca="1">IFERROR(__xludf.DUMMYFUNCTION("GOOGLETRANSLATE(B3705,""auto"",""en"")"),"A automatic parking system that provides an example of the invention. The automatic parking system includes the smart key recognition unit of the smart key in the first area, obtains the image around its own vehicle when identifying the smart key and conv"&amp;"erts the obtained image and synthesizes it into an external image. Unit, it periodically receives external images, and is used to identify the parking spaces by using image recognition technology, the current location of its own vehicle, the best parking "&amp;"area and control unit in the running area, and the control unit. The driving path and control the vehicle based on the driving path. Among them, the parking space recognition unit considers the length and width of the car to detect the parking area.")</f>
        <v>A automatic parking system that provides an example of the invention. The automatic parking system includes the smart key recognition unit of the smart key in the first area, obtains the image around its own vehicle when identifying the smart key and converts the obtained image and synthesizes it into an external image. Unit, it periodically receives external images, and is used to identify the parking spaces by using image recognition technology, the current location of its own vehicle, the best parking area and control unit in the running area, and the control unit. The driving path and control the vehicle based on the driving path. Among them, the parking space recognition unit considers the length and width of the car to detect the parking area.</v>
      </c>
      <c r="D3705" s="6" t="s">
        <v>10347</v>
      </c>
      <c r="E3705" s="4" t="str">
        <f ca="1">IFERROR(__xludf.DUMMYFUNCTION("GOOGLETRANSLATE(D3705,""auto"",""en"")"),"Automatic parking system and automatic parking method")</f>
        <v>Automatic parking system and automatic parking method</v>
      </c>
    </row>
    <row r="3706" spans="1:5" ht="15" x14ac:dyDescent="0.25">
      <c r="A3706" s="5" t="s">
        <v>10348</v>
      </c>
      <c r="B3706" s="6" t="s">
        <v>10349</v>
      </c>
      <c r="C3706" s="3" t="str">
        <f ca="1">IFERROR(__xludf.DUMMYFUNCTION("GOOGLETRANSLATE(B3706,""auto"",""en"")"),"The present invention discloses a self -adaptive active control method based on the CPG model, including the active control method of the adaptive control, including: the real -time collection of the body through the muscle electricity collection instrume"&amp;"nt to collect the rectus and biceps of the two -limb and biceps during a gait cycle on the treadmill. Muscle electrical signal, extract its amplitude characteristics and frequency features; bring the amplitude characteristics and frequency features as a p"&amp;"arameter into the CPG model that has been optimized through the genetic algorithm, fit the periodic angle angle curve of the lower limb hip of the human body; according to the cyclical human body The lower limb hip angle curve, the angle extreme value and"&amp;" frequency are obtained, the relationship model is brought into the relationship model to find the speed control command of the treadmill, and the driving module is sent by the computer to achieve the adaptive and active control of the treadmill. By extra"&amp;"cting the frequency frequency characteristics of the human lower limb SEMG as the CPG model parameter, the expected periodic hip gait curve is expected to be expected, and the angle extreme value and frequency are extracted. Essence")</f>
        <v>The present invention discloses a self -adaptive active control method based on the CPG model, including the active control method of the adaptive control, including: the real -time collection of the body through the muscle electricity collection instrument to collect the rectus and biceps of the two -limb and biceps during a gait cycle on the treadmill. Muscle electrical signal, extract its amplitude characteristics and frequency features; bring the amplitude characteristics and frequency features as a parameter into the CPG model that has been optimized through the genetic algorithm, fit the periodic angle angle curve of the lower limb hip of the human body; according to the cyclical human body The lower limb hip angle curve, the angle extreme value and frequency are obtained, the relationship model is brought into the relationship model to find the speed control command of the treadmill, and the driving module is sent by the computer to achieve the adaptive and active control of the treadmill. By extracting the frequency frequency characteristics of the human lower limb SEMG as the CPG model parameter, the expected periodic hip gait curve is expected to be expected, and the angle extreme value and frequency are extracted. Essence</v>
      </c>
      <c r="D3706" s="6" t="s">
        <v>10350</v>
      </c>
      <c r="E3706" s="4" t="str">
        <f ca="1">IFERROR(__xludf.DUMMYFUNCTION("GOOGLETRANSLATE(D3706,""auto"",""en"")"),"A self -adaptive active control method based on the CPG model -based human exercise runner")</f>
        <v>A self -adaptive active control method based on the CPG model -based human exercise runner</v>
      </c>
    </row>
    <row r="3707" spans="1:5" ht="15" x14ac:dyDescent="0.25">
      <c r="A3707" s="5" t="s">
        <v>10351</v>
      </c>
      <c r="B3707" s="6" t="s">
        <v>10352</v>
      </c>
      <c r="C3707" s="3" t="str">
        <f ca="1">IFERROR(__xludf.DUMMYFUNCTION("GOOGLETRANSLATE(B3707,""auto"",""en"")"),"The advancement of sensing technology is combined with artificial intelligence (artificial intelligence), creating equipment and systems that can perceive each of our actions with complex details. Society is developing to the world's development of the mo"&amp;"nitoring system -machines can perceive us more closely, but they less reveal their internal state and functions. The trend of modern ""user -friendly"" is the operation of hidden functions and machine status variables with ""simplifying"" end users. Altho"&amp;"ugh this ""low -key"" (and ""low -key"") technical trends have received support from most society, it may destroy the natural science curiosity and understanding of some end users, causing them to stay away from trying to understand our technical world. E"&amp;"ssence The monitoring system is not good for intellectual users, making them unable to fully participate in technological progress, and may keep some users away from logical thinking and turn to the ""witchcraft"" and mental chaos of technology pagan. In "&amp;"order to reverse this harmful trend, MINSKY, Kurzweil and Mann proposed Hi (Human Smart) to create a ""intelligent monitoring society"". Therefore, the Sousveillant system is to intelligently reveal its internal state to the end user to complete the HI fe"&amp;"edback cycle. This paper is a ""declaration"" of product designers, system designers, creators, manufacturers, etc. (or at least inspiration) to some extent. The content is about how to create better technology Let us become smarter rather than stupid. He"&amp;"re are multiple embodiments related to inventions related to the emerging fields of Sousveillant Systems. Based on the technology that makes its internal status obvious to the end user, there is no obvious delay or omissions (""feedback delay is rejection"&amp;" of feedback""). In one embodiment, the tactile augmented real computer auxiliary design system allows users to use a special type of lock amplifier to create content. In another embodiment, the user's body, especially their core (such as diarrhea, obliqu"&amp;"e muscles, abdominal rectus, erectoris, etc.), such as the feedback cycle of the interactive computing process of the game, promoted the guidance Equipment or cursor. This ""plankpoint .tm"". Or ""Corepoint .tm"". Technology produces a new form of fitness"&amp;" based on overall sports, such as abstain or abstain from multi -dimensional virtual reality or augmented reality space relative to the target path or target trajectory.")</f>
        <v>The advancement of sensing technology is combined with artificial intelligence (artificial intelligence), creating equipment and systems that can perceive each of our actions with complex details. Society is developing to the world's development of the monitoring system -machines can perceive us more closely, but they less reveal their internal state and functions. The trend of modern "user -friendly" is the operation of hidden functions and machine status variables with "simplifying" end users. Although this "low -key" (and "low -key") technical trends have received support from most society, it may destroy the natural science curiosity and understanding of some end users, causing them to stay away from trying to understand our technical world. Essence The monitoring system is not good for intellectual users, making them unable to fully participate in technological progress, and may keep some users away from logical thinking and turn to the "witchcraft" and mental chaos of technology pagan. In order to reverse this harmful trend, MINSKY, Kurzweil and Mann proposed Hi (Human Smart) to create a "intelligent monitoring society". Therefore, the Sousveillant system is to intelligently reveal its internal state to the end user to complete the HI feedback cycle. This paper is a "declaration" of product designers, system designers, creators, manufacturers, etc. (or at least inspiration) to some extent. The content is about how to create better technology Let us become smarter rather than stupid. Here are multiple embodiments related to inventions related to the emerging fields of Sousveillant Systems. Based on the technology that makes its internal status obvious to the end user, there is no obvious delay or omissions ("feedback delay is rejection of feedback"). In one embodiment, the tactile augmented real computer auxiliary design system allows users to use a special type of lock amplifier to create content. In another embodiment, the user's body, especially their core (such as diarrhea, oblique muscles, abdominal rectus, erectoris, etc.), such as the feedback cycle of the interactive computing process of the game, promoted the guidance Equipment or cursor. This "plankpoint .tm". Or "Corepoint .tm". Technology produces a new form of fitness based on overall sports, such as abstain or abstain from multi -dimensional virtual reality or augmented reality space relative to the target path or target trajectory.</v>
      </c>
      <c r="D3707" s="6" t="s">
        <v>10353</v>
      </c>
      <c r="E3707" s="4" t="str">
        <f ca="1">IFERROR(__xludf.DUMMYFUNCTION("GOOGLETRANSLATE(D3707,""auto"",""en"")"),"Means for humanities intelligence, equipment and methods, non -digital semi -robotic crafts, and Suwan System for machine integrity")</f>
        <v>Means for humanities intelligence, equipment and methods, non -digital semi -robotic crafts, and Suwan System for machine integrity</v>
      </c>
    </row>
    <row r="3708" spans="1:5" ht="15" x14ac:dyDescent="0.25">
      <c r="A3708" s="5" t="s">
        <v>10354</v>
      </c>
      <c r="B3708" s="6" t="s">
        <v>10355</v>
      </c>
      <c r="C3708" s="3" t="str">
        <f ca="1">IFERROR(__xludf.DUMMYFUNCTION("GOOGLETRANSLATE(B3708,""auto"",""en"")"),"1. The name of the product in this exterior: the graphic user interface for the touch screen used for teaching devices.
 2. The purpose of designing products in this exterior: This design product is used for human -computer interactive multimedia teachi"&amp;"ng.
 3. The design of the design of the product in this exterior: lies in the graphic user interface content in the touch screen.
 4. The most important picture or photo of the design design of this appearance: main view.
 5. Interface use: The grap"&amp;"hic user interface of the product of the main view is the teaching interface of sports learning software; click a series of buttons on the right side of the interface to select different sports; click a series of buttons in the lower part of the interface"&amp;". Different display content.")</f>
        <v>1. The name of the product in this exterior: the graphic user interface for the touch screen used for teaching devices.
 2. The purpose of designing products in this exterior: This design product is used for human -computer interactive multimedia teaching.
 3. The design of the design of the product in this exterior: lies in the graphic user interface content in the touch screen.
 4. The most important picture or photo of the design design of this appearance: main view.
 5. Interface use: The graphic user interface of the product of the main view is the teaching interface of sports learning software; click a series of buttons on the right side of the interface to select different sports; click a series of buttons in the lower part of the interface. Different display content.</v>
      </c>
      <c r="D3708" s="6" t="s">
        <v>10356</v>
      </c>
      <c r="E3708" s="4" t="str">
        <f ca="1">IFERROR(__xludf.DUMMYFUNCTION("GOOGLETRANSLATE(D3708,""auto"",""en"")"),"Graphical user interface for touch screen for teaching devices")</f>
        <v>Graphical user interface for touch screen for teaching devices</v>
      </c>
    </row>
    <row r="3709" spans="1:5" ht="15" x14ac:dyDescent="0.25">
      <c r="A3709" s="5" t="s">
        <v>10357</v>
      </c>
      <c r="B3709" s="6" t="s">
        <v>10358</v>
      </c>
      <c r="C3709" s="3" t="str">
        <f ca="1">IFERROR(__xludf.DUMMYFUNCTION("GOOGLETRANSLATE(B3709,""auto"",""en"")"),"The key posture extraction method of sports video based on deep learning is used in the field of sports video analysis, which involves image feature extraction, image segmentation and image classification. The background in the weightlifting video is comp"&amp;"licated, and there is a large amount of sports information in the background area, which makes the result of the light flow method and the background cutting method not ideal; the inter -frame differential method needs to select the appropriate threshold."&amp;" Not robust. A weightlifting video is divided into the foreground by using the full convolutional network first, and then the method of optimizing the segmentation with the method of clustering, and the method of automatically extracting the key posture w"&amp;"ill be automatically extracted to achieve good results.")</f>
        <v>The key posture extraction method of sports video based on deep learning is used in the field of sports video analysis, which involves image feature extraction, image segmentation and image classification. The background in the weightlifting video is complicated, and there is a large amount of sports information in the background area, which makes the result of the light flow method and the background cutting method not ideal; the inter -frame differential method needs to select the appropriate threshold. Not robust. A weightlifting video is divided into the foreground by using the full convolutional network first, and then the method of optimizing the segmentation with the method of clustering, and the method of automatically extracting the key posture will be automatically extracted to achieve good results.</v>
      </c>
      <c r="D3709" s="6" t="s">
        <v>10359</v>
      </c>
      <c r="E3709" s="4" t="str">
        <f ca="1">IFERROR(__xludf.DUMMYFUNCTION("GOOGLETRANSLATE(D3709,""auto"",""en"")"),"A key posture extraction method based on deep learning video")</f>
        <v>A key posture extraction method based on deep learning video</v>
      </c>
    </row>
    <row r="3710" spans="1:5" ht="15" x14ac:dyDescent="0.25">
      <c r="A3710" s="5" t="s">
        <v>10360</v>
      </c>
      <c r="B3710" s="6" t="s">
        <v>10361</v>
      </c>
      <c r="C3710" s="3" t="str">
        <f ca="1">IFERROR(__xludf.DUMMYFUNCTION("GOOGLETRANSLATE(B3710,""auto"",""en"")"),"This utility model opens an AR projection device based on the Internet of Things -based anti -addiction, which belongs to the field of projector technology. Among them, the timing circuit reaches the set time to send a signal, the central processor sends "&amp;"instructions, the Internet of Things controller controls the transmission device, treadmill machine, treadmill machine Operation, projection controller controls the projection brightness and speakers of projection equipment, infrared sensor, heart rate se"&amp;"nsor sensor sensor sensor user body temperature and heart rate, wireless receiving device receiving mileage, remote monitoring and control of projection devices for remote monitoring end. Beneficial effect: When the use of projection equipment has reached"&amp;" the setting time, the projection brightness is weak to weak, opened the shading curtains, played music, and starts the runner, so that users cannot continue to use projection equipment, and prompt users to perform physical exercise. The mileage and physi"&amp;"cal temperature of user exercise and physical temperature The normal use of the heart rate can be restored to the normal use of projection equipment. The remote monitoring side monitor and control the use of projection devices to prevent comprehensive and"&amp;" powerful anti -addiction functions.")</f>
        <v>This utility model opens an AR projection device based on the Internet of Things -based anti -addiction, which belongs to the field of projector technology. Among them, the timing circuit reaches the set time to send a signal, the central processor sends instructions, the Internet of Things controller controls the transmission device, treadmill machine, treadmill machine Operation, projection controller controls the projection brightness and speakers of projection equipment, infrared sensor, heart rate sensor sensor sensor sensor user body temperature and heart rate, wireless receiving device receiving mileage, remote monitoring and control of projection devices for remote monitoring end. Beneficial effect: When the use of projection equipment has reached the setting time, the projection brightness is weak to weak, opened the shading curtains, played music, and starts the runner, so that users cannot continue to use projection equipment, and prompt users to perform physical exercise. The mileage and physical temperature of user exercise and physical temperature The normal use of the heart rate can be restored to the normal use of projection equipment. The remote monitoring side monitor and control the use of projection devices to prevent comprehensive and powerful anti -addiction functions.</v>
      </c>
      <c r="D3710" s="6" t="s">
        <v>10362</v>
      </c>
      <c r="E3710" s="4" t="str">
        <f ca="1">IFERROR(__xludf.DUMMYFUNCTION("GOOGLETRANSLATE(D3710,""auto"",""en"")"),"A anti -addiction AR projection device based on the Internet of Things")</f>
        <v>A anti -addiction AR projection device based on the Internet of Things</v>
      </c>
    </row>
    <row r="3711" spans="1:5" ht="15" x14ac:dyDescent="0.25">
      <c r="A3711" s="5" t="s">
        <v>10363</v>
      </c>
      <c r="B3711" s="6" t="s">
        <v>10364</v>
      </c>
      <c r="C3711" s="3" t="str">
        <f ca="1">IFERROR(__xludf.DUMMYFUNCTION("GOOGLETRANSLATE(B3711,""auto"",""en"")"),"The water circulation control device of a home portable swimming pool is the utility model, including water pumps, filters, heater, 3 temperature sensors, 2 water pressure sensors, control circuits, and human -computer interaction interfaces. The water ou"&amp;"tlet of the pump is connected to the outlet of the home portable swimming pool via the water pipe, and the outlet of the water pump is connected to the water outlet of the filter via the water pipe. Portable swimming pool entrance. Temperature sensor dete"&amp;"ction pool, water outlet and water temperature. The water pressure sensor detects the water pressure and water pressure of the filter. The output of the temperature sensor and the water pressure sensor is connected to the input terminal of the control cir"&amp;"cuit. The connection control circuit of the human -machine interaction interface; the two outputs of the control circuit are connected to the control terminal of the water pump and heater, respectively. This utility model can control the mild water qualit"&amp;"y control.")</f>
        <v>The water circulation control device of a home portable swimming pool is the utility model, including water pumps, filters, heater, 3 temperature sensors, 2 water pressure sensors, control circuits, and human -computer interaction interfaces. The water outlet of the pump is connected to the outlet of the home portable swimming pool via the water pipe, and the outlet of the water pump is connected to the water outlet of the filter via the water pipe. Portable swimming pool entrance. Temperature sensor detection pool, water outlet and water temperature. The water pressure sensor detects the water pressure and water pressure of the filter. The output of the temperature sensor and the water pressure sensor is connected to the input terminal of the control circuit. The connection control circuit of the human -machine interaction interface; the two outputs of the control circuit are connected to the control terminal of the water pump and heater, respectively. This utility model can control the mild water quality control.</v>
      </c>
      <c r="D3711" s="6" t="s">
        <v>10365</v>
      </c>
      <c r="E3711" s="4" t="str">
        <f ca="1">IFERROR(__xludf.DUMMYFUNCTION("GOOGLETRANSLATE(D3711,""auto"",""en"")"),"Household portable swimming pool water circulation control device")</f>
        <v>Household portable swimming pool water circulation control device</v>
      </c>
    </row>
    <row r="3712" spans="1:5" ht="15" x14ac:dyDescent="0.25">
      <c r="A3712" s="5" t="s">
        <v>10366</v>
      </c>
      <c r="B3712" s="6" t="s">
        <v>10367</v>
      </c>
      <c r="C3712" s="3" t="str">
        <f ca="1">IFERROR(__xludf.DUMMYFUNCTION("GOOGLETRANSLATE(B3712,""auto"",""en"")"),"The invention discloses a water circulation control device and method of a home portable swimming pool, including water pumps, filters, heater, 3 temperature sensors, 2 water pressure sensors, control circuits, and human -computer interaction interfaces. "&amp;"The water outlet of the pump is connected to the outlet of the home portable swimming pool via the water pipe, and the outlet of the water pump is connected to the water outlet of the filter via the water pipe. Portable swimming pool entrance. Temperature"&amp;" sensor detection pool, water outlet and water temperature. The water pressure sensor detects the water pressure and water pressure of the filter. The output of the temperature sensor and the water pressure sensor is connected to the input terminal of the"&amp;" control circuit. The connection control circuit of the human -machine interaction interface; the two outputs of the control circuit are connected to the control terminal of the water pump and heater, respectively. The invention can control the mild water"&amp;" quality.")</f>
        <v>The invention discloses a water circulation control device and method of a home portable swimming pool, including water pumps, filters, heater, 3 temperature sensors, 2 water pressure sensors, control circuits, and human -computer interaction interfaces. The water outlet of the pump is connected to the outlet of the home portable swimming pool via the water pipe, and the outlet of the water pump is connected to the water outlet of the filter via the water pipe. Portable swimming pool entrance. Temperature sensor detection pool, water outlet and water temperature. The water pressure sensor detects the water pressure and water pressure of the filter. The output of the temperature sensor and the water pressure sensor is connected to the input terminal of the control circuit. The connection control circuit of the human -machine interaction interface; the two outputs of the control circuit are connected to the control terminal of the water pump and heater, respectively. The invention can control the mild water quality.</v>
      </c>
      <c r="D3712" s="6" t="s">
        <v>10368</v>
      </c>
      <c r="E3712" s="4" t="str">
        <f ca="1">IFERROR(__xludf.DUMMYFUNCTION("GOOGLETRANSLATE(D3712,""auto"",""en"")"),"Water circulation control device and method of household portable swimming pool")</f>
        <v>Water circulation control device and method of household portable swimming pool</v>
      </c>
    </row>
    <row r="3713" spans="1:5" ht="15" x14ac:dyDescent="0.25">
      <c r="A3713" s="5" t="s">
        <v>10369</v>
      </c>
      <c r="B3713" s="6" t="s">
        <v>10370</v>
      </c>
      <c r="C3713" s="3" t="str">
        <f ca="1">IFERROR(__xludf.DUMMYFUNCTION("GOOGLETRANSLATE(B3713,""auto"",""en"")"),"A system and method for predicting the most meaningful multimedia content for users include the sensing equipment in response to the user's request for multimedia operation and enable the user's device, and in response to the multimedia content of multime"&amp;"dia content in multimedia operation. When it is essentially performing multimedia operations, the interactive prompts with sensing equipment; and recommendation from a set of multimedia content, this multimedia content includes the multimedia content expr"&amp;"essed by the recognized behavior and interaction prompts, and presents the user to the user an update. recommend.")</f>
        <v>A system and method for predicting the most meaningful multimedia content for users include the sensing equipment in response to the user's request for multimedia operation and enable the user's device, and in response to the multimedia content of multimedia content in multimedia operation. When it is essentially performing multimedia operations, the interactive prompts with sensing equipment; and recommendation from a set of multimedia content, this multimedia content includes the multimedia content expressed by the recognized behavior and interaction prompts, and presents the user to the user an update. recommend.</v>
      </c>
      <c r="D3713" s="6" t="s">
        <v>6583</v>
      </c>
      <c r="E3713" s="4" t="str">
        <f ca="1">IFERROR(__xludf.DUMMYFUNCTION("GOOGLETRANSLATE(D3713,""auto"",""en"")"),"Content recommendation system and method based on user behavior")</f>
        <v>Content recommendation system and method based on user behavior</v>
      </c>
    </row>
    <row r="3714" spans="1:5" ht="15" x14ac:dyDescent="0.25">
      <c r="A3714" s="5" t="s">
        <v>10371</v>
      </c>
      <c r="B3714" s="6" t="s">
        <v>10372</v>
      </c>
      <c r="C3714" s="3" t="str">
        <f ca="1">IFERROR(__xludf.DUMMYFUNCTION("GOOGLETRANSLATE(B3714,""auto"",""en"")"),"The present invention disclosed a prediction method for the quality of iron water. This method first uses the non -linear correlation between the impact of the maximum information coefficient on the quality of the iron water quality and the quality of the"&amp;" iron water. Filter the variables and determine the time lattice relationship between the influencing factors and the quality of iron water. By extracting the corresponding historical data from the database as a training set for predictive models, the met"&amp;"hod of predicting the model is used to use the method of dynamic neural network Optimization, accordingly, the quality of iron water quality is achieved. Based on the above prediction methods, the present invention further uses mixed programming and Matla"&amp;"b to build a set of iron water quality forecast systems to achieve the prediction of iron water quality and monitoring of iron water quality and its related influence variables. The specific operation of the staff has a certain guiding role.")</f>
        <v>The present invention disclosed a prediction method for the quality of iron water. This method first uses the non -linear correlation between the impact of the maximum information coefficient on the quality of the iron water quality and the quality of the iron water. Filter the variables and determine the time lattice relationship between the influencing factors and the quality of iron water. By extracting the corresponding historical data from the database as a training set for predictive models, the method of predicting the model is used to use the method of dynamic neural network Optimization, accordingly, the quality of iron water quality is achieved. Based on the above prediction methods, the present invention further uses mixed programming and Matlab to build a set of iron water quality forecast systems to achieve the prediction of iron water quality and monitoring of iron water quality and its related influence variables. The specific operation of the staff has a certain guiding role.</v>
      </c>
      <c r="D3714" s="6" t="s">
        <v>10373</v>
      </c>
      <c r="E3714" s="4" t="str">
        <f ca="1">IFERROR(__xludf.DUMMYFUNCTION("GOOGLETRANSLATE(D3714,""auto"",""en"")"),"A high -furnace iron water quality forecast method and its system")</f>
        <v>A high -furnace iron water quality forecast method and its system</v>
      </c>
    </row>
    <row r="3715" spans="1:5" ht="15" x14ac:dyDescent="0.25">
      <c r="A3715" s="5" t="s">
        <v>10374</v>
      </c>
      <c r="B3715" s="6" t="s">
        <v>10375</v>
      </c>
      <c r="C3715" s="3" t="str">
        <f ca="1">IFERROR(__xludf.DUMMYFUNCTION("GOOGLETRANSLATE(B3715,""auto"",""en"")"),"A prediction algorithm of curling competitions using machine learning. Using the prediction algorithm of machine learning based on the implementation example of the invention, the score information obtained by each team obtained at a specific end of the c"&amp;"urling competition is predicted to predict the score or final game results in the next game, and according to the learning model, according to the learning model , Training model")</f>
        <v>A prediction algorithm of curling competitions using machine learning. Using the prediction algorithm of machine learning based on the implementation example of the invention, the score information obtained by each team obtained at a specific end of the curling competition is predicted to predict the score or final game results in the next game, and according to the learning model, according to the learning model , Training model</v>
      </c>
      <c r="D3715" s="6" t="s">
        <v>10376</v>
      </c>
      <c r="E3715" s="4" t="str">
        <f ca="1">IFERROR(__xludf.DUMMYFUNCTION("GOOGLETRANSLATE(D3715,""auto"",""en"")"),"Use machine learning curling competition prediction algorithm")</f>
        <v>Use machine learning curling competition prediction algorithm</v>
      </c>
    </row>
    <row r="3716" spans="1:5" ht="15" x14ac:dyDescent="0.25">
      <c r="A3716" s="5" t="s">
        <v>10377</v>
      </c>
      <c r="B3716" s="6" t="s">
        <v>10378</v>
      </c>
      <c r="C3716" s="3" t="str">
        <f ca="1">IFERROR(__xludf.DUMMYFUNCTION("GOOGLETRANSLATE(B3716,""auto"",""en"")"),"The present invention belongs to the field of Internet technology and provides a data processing method, device and system for Internet arrows. This method includes: facial expression information and action posture information of the athletes who collect "&amp;"the athletes' organizational structure, as well as arrow target shooting of arrow target shooting Image information; determine the athlete's archery results according to the archery score rules and the shooting image information of the arrow target; use a"&amp;" split -screen technology to perform a split screen display; according to the facial expression information, action posture information and the athlete's archery results according to the athlete's scheduled time. Determine the results of the archery skill"&amp;"s, and the combination of the emotional analysis model of the neural network to obtain the emotional analysis results of the athlete. The invention of the Internet archery uses data processing methods, devices and systems. It can interconnect the scene sc"&amp;"enes and data of the archery scenes in various places, so that athletes can understand the real -time conditions of different venues, improve data transmission efficiency and user experience, and save manpower and material resources.")</f>
        <v>The present invention belongs to the field of Internet technology and provides a data processing method, device and system for Internet arrows. This method includes: facial expression information and action posture information of the athletes who collect the athletes' organizational structure, as well as arrow target shooting of arrow target shooting Image information; determine the athlete's archery results according to the archery score rules and the shooting image information of the arrow target; use a split -screen technology to perform a split screen display; according to the facial expression information, action posture information and the athlete's archery results according to the athlete's scheduled time. Determine the results of the archery skills, and the combination of the emotional analysis model of the neural network to obtain the emotional analysis results of the athlete. The invention of the Internet archery uses data processing methods, devices and systems. It can interconnect the scene scenes and data of the archery scenes in various places, so that athletes can understand the real -time conditions of different venues, improve data transmission efficiency and user experience, and save manpower and material resources.</v>
      </c>
      <c r="D3716" s="6" t="s">
        <v>10379</v>
      </c>
      <c r="E3716" s="4" t="str">
        <f ca="1">IFERROR(__xludf.DUMMYFUNCTION("GOOGLETRANSLATE(D3716,""auto"",""en"")"),"Data processing methods, devices and systems of Internet archery")</f>
        <v>Data processing methods, devices and systems of Internet archery</v>
      </c>
    </row>
    <row r="3717" spans="1:5" ht="15" x14ac:dyDescent="0.25">
      <c r="A3717" s="5" t="s">
        <v>10380</v>
      </c>
      <c r="B3717" s="6" t="s">
        <v>10381</v>
      </c>
      <c r="C3717" s="3" t="str">
        <f ca="1">IFERROR(__xludf.DUMMYFUNCTION("GOOGLETRANSLATE(B3717,""auto"",""en"")"),"The present invention discloses an interactive output method and robots for robots. Methods include: receiving multi -modal input data and analyzing, determining whether there is currently existing sports events that can be used as a topic; when there is "&amp;"a sports event that can be used as a topic, it is determined whether the sports events have not been carried out or in progress but have not ended. Sports events have not yet been carried out or are underway, but before the end, obtaining multi -dimension"&amp;"al sample data related to the sports events; analyzing the sample data, and comprehensively the multi -dimensional analysis results of the sample data predict the prediction results of the sports event; Interacting with users with sports events as a topic"&amp;", among them, the predicted results are exported multi -mode to the user. Compared with the existing technology, according to the method of the present invention, it can greatly increase the user's willingness to interact and improve the user experience o"&amp;"f human -computer interaction.")</f>
        <v>The present invention discloses an interactive output method and robots for robots. Methods include: receiving multi -modal input data and analyzing, determining whether there is currently existing sports events that can be used as a topic; when there is a sports event that can be used as a topic, it is determined whether the sports events have not been carried out or in progress but have not ended. Sports events have not yet been carried out or are underway, but before the end, obtaining multi -dimensional sample data related to the sports events; analyzing the sample data, and comprehensively the multi -dimensional analysis results of the sample data predict the prediction results of the sports event; Interacting with users with sports events as a topic, among them, the predicted results are exported multi -mode to the user. Compared with the existing technology, according to the method of the present invention, it can greatly increase the user's willingness to interact and improve the user experience of human -computer interaction.</v>
      </c>
      <c r="D3717" s="6" t="s">
        <v>10382</v>
      </c>
      <c r="E3717" s="4" t="str">
        <f ca="1">IFERROR(__xludf.DUMMYFUNCTION("GOOGLETRANSLATE(D3717,""auto"",""en"")"),"A method for interactive output for robots and robots")</f>
        <v>A method for interactive output for robots and robots</v>
      </c>
    </row>
    <row r="3718" spans="1:5" ht="15" x14ac:dyDescent="0.25">
      <c r="A3718" s="5" t="s">
        <v>10383</v>
      </c>
      <c r="B3718" s="6" t="s">
        <v>10384</v>
      </c>
      <c r="C3718" s="3" t="str">
        <f ca="1">IFERROR(__xludf.DUMMYFUNCTION("GOOGLETRANSLATE(B3718,""auto"",""en"")"),"A low -power program reconstruction method was disclosed. According to one aspect of the present invention, the program reconstruction method executed in the computing device includes the following steps: analyze the target program and select the program "&amp;"code or function of the power consumption equal to or greater than the preset power as a conversion target; based on the preset replacement list of the list The registered information is replaced by a program code or function using a program code or funct"&amp;"ion that is less than the standard power.
  National R &amp; D Plan for supporting the invention
  Task identification MT262732016 departments name culture, sports and tourism research and management institutions Korean copyright committee research projec"&amp;"t name copyright technology development project research project name name based on software resource efficiency optimization mobile and IoT equipment copyright technology framework development
  Contribution rate 1/1 Regulatory agency Initial T Researc"&amp;"h 2016.07.01 ~ 2018.12.31")</f>
        <v>A low -power program reconstruction method was disclosed. According to one aspect of the present invention, the program reconstruction method executed in the computing device includes the following steps: analyze the target program and select the program code or function of the power consumption equal to or greater than the preset power as a conversion target; based on the preset replacement list of the list The registered information is replaced by a program code or function using a program code or function that is less than the standard power.
  National R &amp; D Plan for supporting the invention
  Task identification MT262732016 departments name culture, sports and tourism research and management institutions Korean copyright committee research project name copyright technology development project research project name name based on software resource efficiency optimization mobile and IoT equipment copyright technology framework development
  Contribution rate 1/1 Regulatory agency Initial T Research 2016.07.01 ~ 2018.12.31</v>
      </c>
      <c r="D3718" s="6" t="s">
        <v>10385</v>
      </c>
      <c r="E3718" s="4" t="str">
        <f ca="1">IFERROR(__xludf.DUMMYFUNCTION("GOOGLETRANSLATE(D3718,""auto"",""en"")"),"How to reconstruct the program to achieve low power consumption")</f>
        <v>How to reconstruct the program to achieve low power consumption</v>
      </c>
    </row>
    <row r="3719" spans="1:5" ht="15" x14ac:dyDescent="0.25">
      <c r="A3719" s="5" t="s">
        <v>10386</v>
      </c>
      <c r="B3719" s="6" t="s">
        <v>10387</v>
      </c>
      <c r="C3719" s="3" t="str">
        <f ca="1">IFERROR(__xludf.DUMMYFUNCTION("GOOGLETRANSLATE(B3719,""auto"",""en"")"),"The invention involves an O2O fugitive tracking game system and methods based on the Internet of Things connecting the real world and the online world. The invention consists of server 20 and at least two or more clients 10. Client 10 communicates with th"&amp;"e client 10 through the IETF HTTP/CoAP protocol. Tracking the game system, the server 20 connects the real world and the virtual world through the HTTP/CoAP protocol, communicates with the client 10. Each client 10 can choose to be one of the hunters and "&amp;"fugitives. In addition, each client 10 obtains the location information of the GPS and transmits it to the server 20, the server 20 obtains the location information of the two users corresponding to each client 10 to determine the mutual distance, calcula"&amp;"te whether the hunter and fugitive are pre -pre -pre -pre -pre -pre -pre -pre -pre -pre -pre -pre -pre -pre -pre -pre -pre -pre -pre -pre -pre -pre -pre -pre -pre -pre -pre -pre -preningting The scope is close, and the chaser has won the game, and the cha"&amp;"se can continue the game. As a result, due to the popularity of smartphones recently, the number of mobile game users is rapidly increasing. In addition, in the case of research on virtual reality games using sensor networks, the position of users in the "&amp;"real world is to determine the GPS of smartphones to determine Essence By providing a virtual reality tracking game system based on the Internet of Things, the system obtains information and tracks users in the virtual space based on the mobile Internet. "&amp;"It provides the effect that helps the Internet of Things development-tracking games based on virtual reality, combined with reality And the virtual world. In addition, by designing a smartphone location information, we can track the mobile game of common "&amp;"users by catching and seeking. Two users in the real world divide their roles into hunters and fugitives, and locate each other through the GPS of smartphones. Phone. There is an effect of a virtual reality tracking game based on the Internet of Things, w"&amp;"hich can track and capture. In addition, with the development of mobile games recently, in the reality of the virtual reality game of hybrid real world and the virtual world, a mobile tracking game using smartphone GPS location information is provided. Th"&amp;"e effect it provides can contribute to develop virtual reality games connecting the world.")</f>
        <v>The invention involves an O2O fugitive tracking game system and methods based on the Internet of Things connecting the real world and the online world. The invention consists of server 20 and at least two or more clients 10. Client 10 communicates with the client 10 through the IETF HTTP/CoAP protocol. Tracking the game system, the server 20 connects the real world and the virtual world through the HTTP/CoAP protocol, communicates with the client 10. Each client 10 can choose to be one of the hunters and fugitives. In addition, each client 10 obtains the location information of the GPS and transmits it to the server 20, the server 20 obtains the location information of the two users corresponding to each client 10 to determine the mutual distance, calculate whether the hunter and fugitive are pre -pre -pre -pre -pre -pre -pre -pre -pre -pre -pre -pre -pre -pre -pre -pre -pre -pre -pre -pre -pre -pre -pre -pre -pre -pre -pre -pre -preningting The scope is close, and the chaser has won the game, and the chase can continue the game. As a result, due to the popularity of smartphones recently, the number of mobile game users is rapidly increasing. In addition, in the case of research on virtual reality games using sensor networks, the position of users in the real world is to determine the GPS of smartphones to determine Essence By providing a virtual reality tracking game system based on the Internet of Things, the system obtains information and tracks users in the virtual space based on the mobile Internet. It provides the effect that helps the Internet of Things development-tracking games based on virtual reality, combined with reality And the virtual world. In addition, by designing a smartphone location information, we can track the mobile game of common users by catching and seeking. Two users in the real world divide their roles into hunters and fugitives, and locate each other through the GPS of smartphones. Phone. There is an effect of a virtual reality tracking game based on the Internet of Things, which can track and capture. In addition, with the development of mobile games recently, in the reality of the virtual reality game of hybrid real world and the virtual world, a mobile tracking game using smartphone GPS location information is provided. The effect it provides can contribute to develop virtual reality games connecting the world.</v>
      </c>
      <c r="D3719" s="6" t="s">
        <v>10388</v>
      </c>
      <c r="E3719" s="4" t="str">
        <f ca="1">IFERROR(__xludf.DUMMYFUNCTION("GOOGLETRANSLATE(D3719,""auto"",""en"")"),"The Internet -based O2O fugitive tracking game system and methods connecting the Internet of Things based on the Internet of Things")</f>
        <v>The Internet -based O2O fugitive tracking game system and methods connecting the Internet of Things based on the Internet of Things</v>
      </c>
    </row>
    <row r="3720" spans="1:5" ht="15" x14ac:dyDescent="0.25">
      <c r="A3720" s="5" t="s">
        <v>10389</v>
      </c>
      <c r="B3720" s="6" t="s">
        <v>10390</v>
      </c>
      <c r="C3720" s="3" t="str">
        <f ca="1">IFERROR(__xludf.DUMMYFUNCTION("GOOGLETRANSLATE(B3720,""auto"",""en"")"),"This utility model opens up a machine -learning -based knee force detection device, including the application terminal and the monitoring device with binding bands on both sides. Control modules connected to the pressure sensor, acceleration sensor, and i"&amp;"mpact sensor. The control module connects the data transmission module through the data cache module; the data transmission module transmits the data to the application terminal. This practical new type of detection device can automatically collect the at"&amp;"hlete's knee stress information, realize real -time remote monitoring of knee force, no manual detection and record results, saving manpower, and more accurate test results; For force status recognition, it can eliminate the differences in the project typ"&amp;"e, age, athletes, and motion status of the athletes, and truly tailor it for each monitoring object to achieve precise and effective knee force detection purposes.")</f>
        <v>This utility model opens up a machine -learning -based knee force detection device, including the application terminal and the monitoring device with binding bands on both sides. Control modules connected to the pressure sensor, acceleration sensor, and impact sensor. The control module connects the data transmission module through the data cache module; the data transmission module transmits the data to the application terminal. This practical new type of detection device can automatically collect the athlete's knee stress information, realize real -time remote monitoring of knee force, no manual detection and record results, saving manpower, and more accurate test results; For force status recognition, it can eliminate the differences in the project type, age, athletes, and motion status of the athletes, and truly tailor it for each monitoring object to achieve precise and effective knee force detection purposes.</v>
      </c>
      <c r="D3720" s="6" t="s">
        <v>10391</v>
      </c>
      <c r="E3720" s="4" t="str">
        <f ca="1">IFERROR(__xludf.DUMMYFUNCTION("GOOGLETRANSLATE(D3720,""auto"",""en"")"),"A knee force detection device based on machine learning")</f>
        <v>A knee force detection device based on machine learning</v>
      </c>
    </row>
    <row r="3721" spans="1:5" ht="15" x14ac:dyDescent="0.25">
      <c r="A3721" s="5" t="s">
        <v>10392</v>
      </c>
      <c r="B3721" s="6" t="s">
        <v>10393</v>
      </c>
      <c r="C3721" s="3" t="str">
        <f ca="1">IFERROR(__xludf.DUMMYFUNCTION("GOOGLETRANSLATE(B3721,""auto"",""en"")"),"The present invention is a technical field of sports competition, which involves a sports competition management system based on the Internet of Things; the technical problem solved is to provide a full informationization and integrate a variety of separa"&amp;"tion of traditional sports event management modules together, saving, saving, saving, saving The sports competition management system that has been manpower and improves the operating efficiency of the game; the technical solution adopted is: the Sports c"&amp;"ompetition management system based on the Internet of Things, including: registration subsystem: the registration information for receiving and managing the relevant personnel of the competition; System: It is used to arrange information about each game a"&amp;"nd manage the results of the competition; the referee subsystem: used to control and manage the game process to score the athlete's competition; The public understands the game in real time; management subsystems: used to maintain basic information of the"&amp;" management system; the present invention is suitable for sports.")</f>
        <v>The present invention is a technical field of sports competition, which involves a sports competition management system based on the Internet of Things; the technical problem solved is to provide a full informationization and integrate a variety of separation of traditional sports event management modules together, saving, saving, saving, saving The sports competition management system that has been manpower and improves the operating efficiency of the game; the technical solution adopted is: the Sports competition management system based on the Internet of Things, including: registration subsystem: the registration information for receiving and managing the relevant personnel of the competition; System: It is used to arrange information about each game and manage the results of the competition; the referee subsystem: used to control and manage the game process to score the athlete's competition; The public understands the game in real time; management subsystems: used to maintain basic information of the management system; the present invention is suitable for sports.</v>
      </c>
      <c r="D3721" s="6" t="s">
        <v>10394</v>
      </c>
      <c r="E3721" s="4" t="str">
        <f ca="1">IFERROR(__xludf.DUMMYFUNCTION("GOOGLETRANSLATE(D3721,""auto"",""en"")"),"Sports management system based on the Internet of Things")</f>
        <v>Sports management system based on the Internet of Things</v>
      </c>
    </row>
    <row r="3722" spans="1:5" ht="15" x14ac:dyDescent="0.25">
      <c r="A3722" s="5" t="s">
        <v>10395</v>
      </c>
      <c r="B3722" s="6" t="s">
        <v>10396</v>
      </c>
      <c r="C3722" s="3" t="str">
        <f ca="1">IFERROR(__xludf.DUMMYFUNCTION("GOOGLETRANSLATE(B3722,""auto"",""en"")"),"The present invention involves a human -computer interaction system applied to a smart fitness vehicle, including: human -machine interaction module to realize human -machine interaction. During the training process, users adjust the resistance in real ti"&amp;"me through the human -computer interaction module; Control unit, detect the pedal speed signal and pedal resistance signal, output control signal to the electromagnetic resistance incident device; heart rate detection and sending unit, collect the user's "&amp;"heart rate value and send it to the human -computer interaction module through the communication module; data storage data storage; data storage Module and communication module. The invention also disclosed a human -computer interaction method applied to "&amp;"the human -computer interaction system applied to a smart fitness car. The present invention realizes real -time regulation resistance in the true sense, so that the trainer trains in a constant merit, so that the effectiveness of the training is greatly "&amp;"improved. At the same time, the present invention makes the training more scientific, making simple fitness make exercise exercises. Interesting, inspiring the training interest of the trainer, making the training persistently persistent.")</f>
        <v>The present invention involves a human -computer interaction system applied to a smart fitness vehicle, including: human -machine interaction module to realize human -machine interaction. During the training process, users adjust the resistance in real time through the human -computer interaction module; Control unit, detect the pedal speed signal and pedal resistance signal, output control signal to the electromagnetic resistance incident device; heart rate detection and sending unit, collect the user's heart rate value and send it to the human -computer interaction module through the communication module; data storage data storage; data storage Module and communication module. The invention also disclosed a human -computer interaction method applied to the human -computer interaction system applied to a smart fitness car. The present invention realizes real -time regulation resistance in the true sense, so that the trainer trains in a constant merit, so that the effectiveness of the training is greatly improved. At the same time, the present invention makes the training more scientific, making simple fitness make exercise exercises. Interesting, inspiring the training interest of the trainer, making the training persistently persistent.</v>
      </c>
      <c r="D3722" s="6" t="s">
        <v>10397</v>
      </c>
      <c r="E3722" s="4" t="str">
        <f ca="1">IFERROR(__xludf.DUMMYFUNCTION("GOOGLETRANSLATE(D3722,""auto"",""en"")"),"A human -computer interaction system and method applied to smart fitness cars")</f>
        <v>A human -computer interaction system and method applied to smart fitness cars</v>
      </c>
    </row>
    <row r="3723" spans="1:5" ht="15" x14ac:dyDescent="0.25">
      <c r="A3723" s="5" t="s">
        <v>10398</v>
      </c>
      <c r="B3723" s="6" t="s">
        <v>10399</v>
      </c>
      <c r="C3723" s="3" t="str">
        <f ca="1">IFERROR(__xludf.DUMMYFUNCTION("GOOGLETRANSLATE(B3723,""auto"",""en"")"),"Sports facilities appointment and control methods include: Appointment requests to receive information containing sports facilities from the user terminal receiving sports facilities and information in use time, and based on the appointment request for ap"&amp;"pointment to make appointments, start from the user terminal receiving sports to start using facilities, use sports facilities to use sports facilities The Internet of Things terminal provided in China monitors the use of sports facilities during use and "&amp;"end the use of sports facilities from the user terminal. Including the steps of receiving requests and the use of the use of sports facilities monitored, statistics are used to use the resource usage of sports facilities during the use time.")</f>
        <v>Sports facilities appointment and control methods include: Appointment requests to receive information containing sports facilities from the user terminal receiving sports facilities and information in use time, and based on the appointment request for appointment to make appointments, start from the user terminal receiving sports to start using facilities, use sports facilities to use sports facilities The Internet of Things terminal provided in China monitors the use of sports facilities during use and end the use of sports facilities from the user terminal. Including the steps of receiving requests and the use of the use of sports facilities monitored, statistics are used to use the resource usage of sports facilities during the use time.</v>
      </c>
      <c r="D3723" s="6" t="s">
        <v>10400</v>
      </c>
      <c r="E3723" s="4" t="str">
        <f ca="1">IFERROR(__xludf.DUMMYFUNCTION("GOOGLETRANSLATE(D3723,""auto"",""en"")"),"Consider the reservation and control methods of weather information, the reservation and control system of sports facilities")</f>
        <v>Consider the reservation and control methods of weather information, the reservation and control system of sports facilities</v>
      </c>
    </row>
    <row r="3724" spans="1:5" ht="15" x14ac:dyDescent="0.25">
      <c r="A3724" s="5" t="s">
        <v>10401</v>
      </c>
      <c r="B3724" s="6" t="s">
        <v>10402</v>
      </c>
      <c r="C3724" s="3" t="str">
        <f ca="1">IFERROR(__xludf.DUMMYFUNCTION("GOOGLETRANSLATE(B3724,""auto"",""en"")"),"This device discloses an emergency device that detects deep water in the swimming pool, including the Internet of Things vibration detection module, sound sampling module, motion detection module, display alarm module; The signal input terminal, the signa"&amp;"l output terminal of the sound sampling module connects the signal input terminal of the motion detection module, the signal output terminal of the motion detection module connects the signal input terminal of the alarm module; Circuit composition, sound "&amp;"sampling module consists of microphones and amplifier circuits. The motion detection module is composed of an acceleration sensor. The alarm module is composed of a speaker and display.")</f>
        <v>This device discloses an emergency device that detects deep water in the swimming pool, including the Internet of Things vibration detection module, sound sampling module, motion detection module, display alarm module; The signal input terminal, the signal output terminal of the sound sampling module connects the signal input terminal of the motion detection module, the signal output terminal of the motion detection module connects the signal input terminal of the alarm module; Circuit composition, sound sampling module consists of microphones and amplifier circuits. The motion detection module is composed of an acceleration sensor. The alarm module is composed of a speaker and display.</v>
      </c>
      <c r="D3724" s="6" t="s">
        <v>10403</v>
      </c>
      <c r="E3724" s="4" t="str">
        <f ca="1">IFERROR(__xludf.DUMMYFUNCTION("GOOGLETRANSLATE(D3724,""auto"",""en"")"),"A emergency device that detects dangerous in deep water in the swimming pool")</f>
        <v>A emergency device that detects dangerous in deep water in the swimming pool</v>
      </c>
    </row>
    <row r="3725" spans="1:5" ht="15" x14ac:dyDescent="0.25">
      <c r="A3725" s="5" t="s">
        <v>10404</v>
      </c>
      <c r="B3725" s="6" t="s">
        <v>10405</v>
      </c>
      <c r="C3725" s="3" t="str">
        <f ca="1">IFERROR(__xludf.DUMMYFUNCTION("GOOGLETRANSLATE(B3725,""auto"",""en"")"),"This device discloses a safety device that automatically monitor water temperature changes during swimming, including IoT liquid detection modules, temperature detection modules, data processing modules, information sharing modules; The signal input termi"&amp;"nal, the signal output terminal of the temperature detection module connects the signal input terminal of the data processing module, the signal output terminal of the data processing module connects the signal input terminal of the information sharing mo"&amp;"dule; The temperature detection module consists of the temperature measurement sensor and network connector. The data processing module consists of the filtering and the amplifier circuit. The information sharing module consists of a wireless Internet acc"&amp;"ess device.")</f>
        <v>This device discloses a safety device that automatically monitor water temperature changes during swimming, including IoT liquid detection modules, temperature detection modules, data processing modules, information sharing modules; The signal input terminal, the signal output terminal of the temperature detection module connects the signal input terminal of the data processing module, the signal output terminal of the data processing module connects the signal input terminal of the information sharing module; The temperature detection module consists of the temperature measurement sensor and network connector. The data processing module consists of the filtering and the amplifier circuit. The information sharing module consists of a wireless Internet access device.</v>
      </c>
      <c r="D3725" s="6" t="s">
        <v>10406</v>
      </c>
      <c r="E3725" s="4" t="str">
        <f ca="1">IFERROR(__xludf.DUMMYFUNCTION("GOOGLETRANSLATE(D3725,""auto"",""en"")"),"A safety device that automatically monitor water temperature changes in swimming exercise")</f>
        <v>A safety device that automatically monitor water temperature changes in swimming exercise</v>
      </c>
    </row>
    <row r="3726" spans="1:5" ht="15" x14ac:dyDescent="0.25">
      <c r="A3726" s="5" t="s">
        <v>10407</v>
      </c>
      <c r="B3726" s="6" t="s">
        <v>10408</v>
      </c>
      <c r="C3726" s="3" t="str">
        <f ca="1">IFERROR(__xludf.DUMMYFUNCTION("GOOGLETRANSLATE(B3726,""auto"",""en"")"),"A swimming pool debris cleaning device and method, which provides a high -resolution camera that can be photographed in the mixed objects in the pool water, transmits the image to the computer, and locks the debris to be cleaned by manually on the compute"&amp;"r screen. The motion trajectory of the debris and real -time three -dimensional coordinates were passed on to a laser transmitter. Laser transmitters emit laser and clean up the corresponding debris through the laser guidelines. This device and method eff"&amp;"ectively avoid the shortcomings of the traditional one after the water of the entire swimming pool is released before cleaning the larger miscellaneous objects. At the same time, the combination of image recognition technology and laser can be used. It is"&amp;" convenient to display it to facilitate measures to remove the debris in time.")</f>
        <v>A swimming pool debris cleaning device and method, which provides a high -resolution camera that can be photographed in the mixed objects in the pool water, transmits the image to the computer, and locks the debris to be cleaned by manually on the computer screen. The motion trajectory of the debris and real -time three -dimensional coordinates were passed on to a laser transmitter. Laser transmitters emit laser and clean up the corresponding debris through the laser guidelines. This device and method effectively avoid the shortcomings of the traditional one after the water of the entire swimming pool is released before cleaning the larger miscellaneous objects. At the same time, the combination of image recognition technology and laser can be used. It is convenient to display it to facilitate measures to remove the debris in time.</v>
      </c>
      <c r="D3726" s="6" t="s">
        <v>10409</v>
      </c>
      <c r="E3726" s="4" t="str">
        <f ca="1">IFERROR(__xludf.DUMMYFUNCTION("GOOGLETRANSLATE(D3726,""auto"",""en"")"),"A cleaning device and method of debris in the swimming pool")</f>
        <v>A cleaning device and method of debris in the swimming pool</v>
      </c>
    </row>
    <row r="3727" spans="1:5" ht="15" x14ac:dyDescent="0.25">
      <c r="A3727" s="5" t="s">
        <v>10410</v>
      </c>
      <c r="B3727" s="6" t="s">
        <v>10411</v>
      </c>
      <c r="C3727" s="3" t="str">
        <f ca="1">IFERROR(__xludf.DUMMYFUNCTION("GOOGLETRANSLATE(B3727,""auto"",""en"")"),"A IoT swimming system, including the Internet of Things swimming cap and control center, which includes the IoT swimming hat includes swimming hats, waterproof layers, protective layers, and fixed rings. The instrument, alarm device, and set on the vertic"&amp;"al wall of the lane; the waterproof layer is located on the back of the back of the swimming hat, which is equipped with an RFID electronic label in the waterproof layer; The protective layer is equipped with soft materials; the fixed ring is located in t"&amp;"he inside of the swimmer body. Adopting such a design can make the blind person independently judge the opportunity to turn around. The structure is simple and safer to use.")</f>
        <v>A IoT swimming system, including the Internet of Things swimming cap and control center, which includes the IoT swimming hat includes swimming hats, waterproof layers, protective layers, and fixed rings. The instrument, alarm device, and set on the vertical wall of the lane; the waterproof layer is located on the back of the back of the swimming hat, which is equipped with an RFID electronic label in the waterproof layer; The protective layer is equipped with soft materials; the fixed ring is located in the inside of the swimmer body. Adopting such a design can make the blind person independently judge the opportunity to turn around. The structure is simple and safer to use.</v>
      </c>
      <c r="D3727" s="6" t="s">
        <v>10412</v>
      </c>
      <c r="E3727" s="4" t="str">
        <f ca="1">IFERROR(__xludf.DUMMYFUNCTION("GOOGLETRANSLATE(D3727,""auto"",""en"")"),"A blind use of the Internet of Things swimming system")</f>
        <v>A blind use of the Internet of Things swimming system</v>
      </c>
    </row>
    <row r="3728" spans="1:5" ht="15" x14ac:dyDescent="0.25">
      <c r="A3728" s="5" t="s">
        <v>10413</v>
      </c>
      <c r="B3728" s="6" t="s">
        <v>10414</v>
      </c>
      <c r="C3728" s="3" t="str">
        <f ca="1">IFERROR(__xludf.DUMMYFUNCTION("GOOGLETRANSLATE(B3728,""auto"",""en"")"),"This utility model belongs to the field of fitness body monitoring technology. Specifically, it is a physical monitoring system based on the Internet of Things and big data analysis. The practical new type of physical monitoring system based on the Intern"&amp;"et of Things and big data analysis is composed of physical measurement data collection subsystems and physical measurement data analysis processing subsystems. The test equipment detector includes the push -up number of sensors, the front flexion sensor, "&amp;"the quantity of the sitting sitting, the weight sensor, the height sensor, the lung activity sensor, the reaction time single -chip module, the single -foot standing time machine clock module and the second -step experimental heartbeat sensor. The design "&amp;"of this utility model based on the Internet and big data analysis system design is simple and reasonable, and can minimize artificial operations, making physical monitoring results more scientific and reliable, and good promotion and application value.")</f>
        <v>This utility model belongs to the field of fitness body monitoring technology. Specifically, it is a physical monitoring system based on the Internet of Things and big data analysis. The practical new type of physical monitoring system based on the Internet of Things and big data analysis is composed of physical measurement data collection subsystems and physical measurement data analysis processing subsystems. The test equipment detector includes the push -up number of sensors, the front flexion sensor, the quantity of the sitting sitting, the weight sensor, the height sensor, the lung activity sensor, the reaction time single -chip module, the single -foot standing time machine clock module and the second -step experimental heartbeat sensor. The design of this utility model based on the Internet and big data analysis system design is simple and reasonable, and can minimize artificial operations, making physical monitoring results more scientific and reliable, and good promotion and application value.</v>
      </c>
      <c r="D3728" s="6" t="s">
        <v>10415</v>
      </c>
      <c r="E3728" s="4" t="str">
        <f ca="1">IFERROR(__xludf.DUMMYFUNCTION("GOOGLETRANSLATE(D3728,""auto"",""en"")"),"A physical monitoring system based on the Internet of Things and big data analysis")</f>
        <v>A physical monitoring system based on the Internet of Things and big data analysis</v>
      </c>
    </row>
    <row r="3729" spans="1:5" ht="15" x14ac:dyDescent="0.25">
      <c r="A3729" s="5" t="s">
        <v>10416</v>
      </c>
      <c r="B3729" s="6" t="s">
        <v>10417</v>
      </c>
      <c r="C3729" s="3" t="str">
        <f ca="1">IFERROR(__xludf.DUMMYFUNCTION("GOOGLETRANSLATE(B3729,""auto"",""en"")"),"Provide health activities for participants in the conference call, which can include the location data of the location of the positioning of the participants associated with the conference call. You can predict the participation of the participants who wa"&amp;"nt to participate in the conference call based on the received data and location data. You can receive sensor data associated with the participants, and the sensor data includes at least the current physiological data associated with the participants. Can"&amp;" identify the fitness goals of participants. Based on predictive participation levels, sensor data and participants' fitness goals, the exercise of participants can be performed during the conference call. You can send notification signals to participants"&amp;" to perform exercises.")</f>
        <v>Provide health activities for participants in the conference call, which can include the location data of the location of the positioning of the participants associated with the conference call. You can predict the participation of the participants who want to participate in the conference call based on the received data and location data. You can receive sensor data associated with the participants, and the sensor data includes at least the current physiological data associated with the participants. Can identify the fitness goals of participants. Based on predictive participation levels, sensor data and participants' fitness goals, the exercise of participants can be performed during the conference call. You can send notification signals to participants to perform exercises.</v>
      </c>
      <c r="D3729" s="6" t="s">
        <v>10418</v>
      </c>
      <c r="E3729" s="4" t="str">
        <f ca="1">IFERROR(__xludf.DUMMYFUNCTION("GOOGLETRANSLATE(D3729,""auto"",""en"")"),"The health activity of participants during the conference of machine learning optimization")</f>
        <v>The health activity of participants during the conference of machine learning optimization</v>
      </c>
    </row>
    <row r="3730" spans="1:5" ht="15" x14ac:dyDescent="0.25">
      <c r="A3730" s="5" t="s">
        <v>10419</v>
      </c>
      <c r="B3730" s="6" t="s">
        <v>10420</v>
      </c>
      <c r="C3730" s="3" t="str">
        <f ca="1">IFERROR(__xludf.DUMMYFUNCTION("GOOGLETRANSLATE(B3730,""auto"",""en"")"),"[Question] Objectively evaluate the performance and performance of athletes in exercise.
  Solution: Get a series of actions during the exercise as action data. Then, based on the player's location relationship and other conditions, extract the part to "&amp;"be evaluated (action) to be evaluated. After that, the classified machine learning is used to identify the corresponding actions corresponding to the drama and performance to be evaluated, and it is used for extraction. Then apply the return machine learn"&amp;"ing to the action of identification to evaluate the maturity of the game or performance. In this process, the classification machine learning and regression machine learning use a common feature vector. Through this, drama and performance can be objective"&amp;"ly and accurately evaluated.
  【Selection Figure】 Figure 1")</f>
        <v>[Question] Objectively evaluate the performance and performance of athletes in exercise.
  Solution: Get a series of actions during the exercise as action data. Then, based on the player's location relationship and other conditions, extract the part to be evaluated (action) to be evaluated. After that, the classified machine learning is used to identify the corresponding actions corresponding to the drama and performance to be evaluated, and it is used for extraction. Then apply the return machine learning to the action of identification to evaluate the maturity of the game or performance. In this process, the classification machine learning and regression machine learning use a common feature vector. Through this, drama and performance can be objectively and accurately evaluated.
  【Selection Figure】 Figure 1</v>
      </c>
      <c r="D3730" s="6" t="s">
        <v>10421</v>
      </c>
      <c r="E3730" s="4" t="str">
        <f ca="1">IFERROR(__xludf.DUMMYFUNCTION("GOOGLETRANSLATE(D3730,""auto"",""en"")"),"Electrical Movement Evaluation System")</f>
        <v>Electrical Movement Evaluation System</v>
      </c>
    </row>
    <row r="3731" spans="1:5" ht="15" x14ac:dyDescent="0.25">
      <c r="A3731" s="5" t="s">
        <v>10422</v>
      </c>
      <c r="B3731" s="6" t="s">
        <v>10423</v>
      </c>
      <c r="C3731" s="3" t="str">
        <f ca="1">IFERROR(__xludf.DUMMYFUNCTION("GOOGLETRANSLATE(B3731,""auto"",""en"")"),"The present invention involves a system and method of providing voice and videos using IoT devices to use the IoT device. It combines PTT terminals and IoT devices through the network to form a control session between PTT terminal and IoT device. ; Media "&amp;"server, which is used to combine with PTT terminals and IoT devices to form media sessions between PTT terminals and IoT devices; manage the server for the overall operation of the management system and PTT terminal and IoT devices. Among them, the PTT te"&amp;"rminal or IoT device provides a system that provides audio and videos to provide audio and video through the formation of control sessions formed by the service server, and provides a system that uses IoT devices to provide audio and video. Signal.")</f>
        <v>The present invention involves a system and method of providing voice and videos using IoT devices to use the IoT device. It combines PTT terminals and IoT devices through the network to form a control session between PTT terminal and IoT device. ; Media server, which is used to combine with PTT terminals and IoT devices to form media sessions between PTT terminals and IoT devices; manage the server for the overall operation of the management system and PTT terminal and IoT devices. Among them, the PTT terminal or IoT device provides a system that provides audio and videos to provide audio and video through the formation of control sessions formed by the service server, and provides a system that uses IoT devices to provide audio and video. Signal.</v>
      </c>
      <c r="D3731" s="6" t="s">
        <v>10424</v>
      </c>
      <c r="E3731" s="4" t="str">
        <f ca="1">IFERROR(__xludf.DUMMYFUNCTION("GOOGLETRANSLATE(D3731,""auto"",""en"")"),"Systems and methods to provide voice and video with IoT devices")</f>
        <v>Systems and methods to provide voice and video with IoT devices</v>
      </c>
    </row>
    <row r="3732" spans="1:5" ht="15" x14ac:dyDescent="0.25">
      <c r="A3732" s="5" t="s">
        <v>10425</v>
      </c>
      <c r="B3732" s="6" t="s">
        <v>10426</v>
      </c>
      <c r="C3732" s="3" t="str">
        <f ca="1">IFERROR(__xludf.DUMMYFUNCTION("GOOGLETRANSLATE(B3732,""auto"",""en"")"),"This utility model opens an artificial intelligence basketball venue, including the two supporting columns that the bottom plate and the vertical installed on the bottom plate, which is set on the supporting pillar with an operating board. There is a sola"&amp;"r plate on the top of the box, which is fixed with a basket frame at the front of the control box, which is set with a visual sensor at the bottom of the basket frame. The module, which is set on the bottom plate with a three -point area, which is install"&amp;"ed with multiple infrared detectors installed on the three districts. Intelligent improvement, communicate with the signal of the peripherals with wireless communication modules, can facilitate understanding of the activities on the basketball court, can "&amp;"open the display screen, play specific information through the operating board, design novel design, and it is worth promoting.")</f>
        <v>This utility model opens an artificial intelligence basketball venue, including the two supporting columns that the bottom plate and the vertical installed on the bottom plate, which is set on the supporting pillar with an operating board. There is a solar plate on the top of the box, which is fixed with a basket frame at the front of the control box, which is set with a visual sensor at the bottom of the basket frame. The module, which is set on the bottom plate with a three -point area, which is installed with multiple infrared detectors installed on the three districts. Intelligent improvement, communicate with the signal of the peripherals with wireless communication modules, can facilitate understanding of the activities on the basketball court, can open the display screen, play specific information through the operating board, design novel design, and it is worth promoting.</v>
      </c>
      <c r="D3732" s="6" t="s">
        <v>7075</v>
      </c>
      <c r="E3732" s="4" t="str">
        <f ca="1">IFERROR(__xludf.DUMMYFUNCTION("GOOGLETRANSLATE(D3732,""auto"",""en"")"),"A kind of artificial intelligence basketball venue")</f>
        <v>A kind of artificial intelligence basketball venue</v>
      </c>
    </row>
    <row r="3733" spans="1:5" ht="15" x14ac:dyDescent="0.25">
      <c r="A3733" s="5" t="s">
        <v>10427</v>
      </c>
      <c r="B3733" s="6" t="s">
        <v>10428</v>
      </c>
      <c r="C3733" s="3" t="str">
        <f ca="1">IFERROR(__xludf.DUMMYFUNCTION("GOOGLETRANSLATE(B3733,""auto"",""en"")"),"This utility model revealed an artificial intelligence table tennis table, including the four support pillars of the workbench and the lower end of the workbench. The folding board is locked by locking the buckle. The four corners on the workbench are equ"&amp;"ipped with a transparent block, which is equipped with an infrared detector in the transparent block. Cooperate with each other, the workbench is equipped with a PLC processor, which is connected to the electrical connection between the signal receiver an"&amp;"d the PLC processor. There is an operating board on one side. The electrical connection of the operating board and the PLC processor can well meet the pursuit of modern people's pursuit of smart products, which greatly enhances the functionality of the ta"&amp;"ble tennis table and the entire structure design is reasonable.")</f>
        <v>This utility model revealed an artificial intelligence table tennis table, including the four support pillars of the workbench and the lower end of the workbench. The folding board is locked by locking the buckle. The four corners on the workbench are equipped with a transparent block, which is equipped with an infrared detector in the transparent block. Cooperate with each other, the workbench is equipped with a PLC processor, which is connected to the electrical connection between the signal receiver and the PLC processor. There is an operating board on one side. The electrical connection of the operating board and the PLC processor can well meet the pursuit of modern people's pursuit of smart products, which greatly enhances the functionality of the table tennis table and the entire structure design is reasonable.</v>
      </c>
      <c r="D3733" s="6" t="s">
        <v>10429</v>
      </c>
      <c r="E3733" s="4" t="str">
        <f ca="1">IFERROR(__xludf.DUMMYFUNCTION("GOOGLETRANSLATE(D3733,""auto"",""en"")"),"A kind of artificial intelligence table tennis table")</f>
        <v>A kind of artificial intelligence table tennis table</v>
      </c>
    </row>
    <row r="3734" spans="1:5" ht="15" x14ac:dyDescent="0.25">
      <c r="A3734" s="5" t="s">
        <v>10430</v>
      </c>
      <c r="B3734" s="6" t="s">
        <v>10431</v>
      </c>
      <c r="C3734" s="3" t="str">
        <f ca="1">IFERROR(__xludf.DUMMYFUNCTION("GOOGLETRANSLATE(B3734,""auto"",""en"")"),"This utility model opens an artificial intelligence table tennis racket, including the bottom plate and the handle connected to the bottom plate. The signal transmitter and the temperature controller are connected to the PLC processor. The handle is set o"&amp;"n the handle with the fingerprint induction and the USB socket. There is a air outlet, which is coordinated with the air outlet and the temperature controller, which is installed with a power supply at the connection between the handle and the bottom plat"&amp;"e. There are multiple fixed rods in the bottom plate. Placement, and a pressure sensor installed at the intersection. The two ends of the horizontal fixed rod are installed with a gravity sensor. The pressure sensor and the gravity sensor are matched with"&amp;" the signal receiver. Can bring better exercise experience to users.")</f>
        <v>This utility model opens an artificial intelligence table tennis racket, including the bottom plate and the handle connected to the bottom plate. The signal transmitter and the temperature controller are connected to the PLC processor. The handle is set on the handle with the fingerprint induction and the USB socket. There is a air outlet, which is coordinated with the air outlet and the temperature controller, which is installed with a power supply at the connection between the handle and the bottom plate. There are multiple fixed rods in the bottom plate. Placement, and a pressure sensor installed at the intersection. The two ends of the horizontal fixed rod are installed with a gravity sensor. The pressure sensor and the gravity sensor are matched with the signal receiver. Can bring better exercise experience to users.</v>
      </c>
      <c r="D3734" s="6" t="s">
        <v>10432</v>
      </c>
      <c r="E3734" s="4" t="str">
        <f ca="1">IFERROR(__xludf.DUMMYFUNCTION("GOOGLETRANSLATE(D3734,""auto"",""en"")"),"A kind of artificial intelligence table tennis racket")</f>
        <v>A kind of artificial intelligence table tennis racket</v>
      </c>
    </row>
    <row r="3735" spans="1:5" ht="15" x14ac:dyDescent="0.25">
      <c r="A3735" s="5" t="s">
        <v>10433</v>
      </c>
      <c r="B3735" s="6" t="s">
        <v>10434</v>
      </c>
      <c r="C3735" s="3" t="str">
        <f ca="1">IFERROR(__xludf.DUMMYFUNCTION("GOOGLETRANSLATE(B3735,""auto"",""en"")"),"This utility model opens an artificial intelligence plastic runway, including the runway body, which is composed of two direct running parts and two bending parts. There is an operating screen at the front end of the control board, which is fixed on the t"&amp;"op of the control board with a solar board. Cooperate with solar panels, the two bending parts are installed with speed measuringrs, which are filled with two -layer rubber layers in the runway body, and the two -layer rubber layer is installed with a for"&amp;"ce measurement. All connect to the signal receiver signal. For data broadcasting through the broadcaster, you can clearly understand the length of the athlete's running and whether the safety of the runway body is guaranteed. The design is novel and worth"&amp;" promoting.")</f>
        <v>This utility model opens an artificial intelligence plastic runway, including the runway body, which is composed of two direct running parts and two bending parts. There is an operating screen at the front end of the control board, which is fixed on the top of the control board with a solar board. Cooperate with solar panels, the two bending parts are installed with speed measuringrs, which are filled with two -layer rubber layers in the runway body, and the two -layer rubber layer is installed with a force measurement. All connect to the signal receiver signal. For data broadcasting through the broadcaster, you can clearly understand the length of the athlete's running and whether the safety of the runway body is guaranteed. The design is novel and worth promoting.</v>
      </c>
      <c r="D3735" s="6" t="s">
        <v>10435</v>
      </c>
      <c r="E3735" s="4" t="str">
        <f ca="1">IFERROR(__xludf.DUMMYFUNCTION("GOOGLETRANSLATE(D3735,""auto"",""en"")"),"A kind of artificial intelligence plastic runway")</f>
        <v>A kind of artificial intelligence plastic runway</v>
      </c>
    </row>
    <row r="3736" spans="1:5" ht="15" x14ac:dyDescent="0.25">
      <c r="A3736" s="5" t="s">
        <v>10436</v>
      </c>
      <c r="B3736" s="6" t="s">
        <v>10437</v>
      </c>
      <c r="C3736" s="3" t="str">
        <f ca="1">IFERROR(__xludf.DUMMYFUNCTION("GOOGLETRANSLATE(B3736,""auto"",""en"")"),"This utility model opens an artificial intelligence tennis racket, including the racket body, the mesh surface fixed on the racket body, and the handle connected to the lower end of the racket body. A gravity sensor is installed with the mesh surface. The"&amp;" bottom position of the racket body is set with a USB socket. The connection between the handle and the racket body is fixed with a control box. Internal electrical connection has a signal receiver, a signal processor and a temperature controller, which h"&amp;"as a battery of the electrical connection of the signal receiver. There is a row of holes that fix the back cover at the bottom of the handle. It is used to modern intelligent technology on the traditional tennis racket. The design is humanized. The intel"&amp;"ligent display is very timely, and the technical movements of the athletes are analyzed well.")</f>
        <v>This utility model opens an artificial intelligence tennis racket, including the racket body, the mesh surface fixed on the racket body, and the handle connected to the lower end of the racket body. A gravity sensor is installed with the mesh surface. The bottom position of the racket body is set with a USB socket. The connection between the handle and the racket body is fixed with a control box. Internal electrical connection has a signal receiver, a signal processor and a temperature controller, which has a battery of the electrical connection of the signal receiver. There is a row of holes that fix the back cover at the bottom of the handle. It is used to modern intelligent technology on the traditional tennis racket. The design is humanized. The intelligent display is very timely, and the technical movements of the athletes are analyzed well.</v>
      </c>
      <c r="D3736" s="6" t="s">
        <v>10438</v>
      </c>
      <c r="E3736" s="4" t="str">
        <f ca="1">IFERROR(__xludf.DUMMYFUNCTION("GOOGLETRANSLATE(D3736,""auto"",""en"")"),"A kind of artificial intelligence tennis racket")</f>
        <v>A kind of artificial intelligence tennis racket</v>
      </c>
    </row>
    <row r="3737" spans="1:5" ht="15" x14ac:dyDescent="0.25">
      <c r="A3737" s="5" t="s">
        <v>10439</v>
      </c>
      <c r="B3737" s="6" t="s">
        <v>10440</v>
      </c>
      <c r="C3737" s="3" t="str">
        <f ca="1">IFERROR(__xludf.DUMMYFUNCTION("GOOGLETRANSLATE(B3737,""auto"",""en"")"),"This utility model revealed an artificial intelligence basketball, including the sphere. There are four grooves on the sphere. There are pressure sensors and displacement sensors in the groove. The displacement sensor is installed in the middle of the pre"&amp;"ssure sensor. Electrical appliances, the position of the power supply and the groove corresponding to one -to -one correspondence, a circuit board is installed in the sphere. The circuit board and the power supply are connected through the signal transmis"&amp;"sion pipe. The circuit board is equipped with a signal receiver and a digital signal processor, a signal receiver, a signal receiver. Connect to the digital signal processor through the digital converter. The electrical connection of the digital signal pr"&amp;"ocessor has an wireless communication module, the pressure sensor and the displacement sensor for the sensation of the shooting pressure and the measurement of the basketball displacement. Digital signals are processed by digital signal processors, which "&amp;"helps improve the basketball technology of the athletes and enhance the interest of the athletes for basketball.")</f>
        <v>This utility model revealed an artificial intelligence basketball, including the sphere. There are four grooves on the sphere. There are pressure sensors and displacement sensors in the groove. The displacement sensor is installed in the middle of the pressure sensor. Electrical appliances, the position of the power supply and the groove corresponding to one -to -one correspondence, a circuit board is installed in the sphere. The circuit board and the power supply are connected through the signal transmission pipe. The circuit board is equipped with a signal receiver and a digital signal processor, a signal receiver, a signal receiver. Connect to the digital signal processor through the digital converter. The electrical connection of the digital signal processor has an wireless communication module, the pressure sensor and the displacement sensor for the sensation of the shooting pressure and the measurement of the basketball displacement. Digital signals are processed by digital signal processors, which helps improve the basketball technology of the athletes and enhance the interest of the athletes for basketball.</v>
      </c>
      <c r="D3737" s="6" t="s">
        <v>10441</v>
      </c>
      <c r="E3737" s="4" t="str">
        <f ca="1">IFERROR(__xludf.DUMMYFUNCTION("GOOGLETRANSLATE(D3737,""auto"",""en"")"),"A artificial intelligence basketball")</f>
        <v>A artificial intelligence basketball</v>
      </c>
    </row>
    <row r="3738" spans="1:5" ht="15" x14ac:dyDescent="0.25">
      <c r="A3738" s="5" t="s">
        <v>10442</v>
      </c>
      <c r="B3738" s="6" t="s">
        <v>10443</v>
      </c>
      <c r="C3738" s="3" t="str">
        <f ca="1">IFERROR(__xludf.DUMMYFUNCTION("GOOGLETRANSLATE(B3738,""auto"",""en"")"),"This utility model discloses an electromagnetic control fitness car with Bluetooth function, including: lying on the stand -up board and the fitness vehicle body, which includes the body of the fitness vehicle, the base, the magnetic control flywheel box,"&amp;" the Bluetooth receiver and the handbars; The Bluetooth receiver is set on the magnetic control flywheel box, which is connected to the magnetic control component and speed sensor in the magnetic control flywheel; On the base, the bottom end of the handle"&amp;"bars is fixed to connect the elastic rope. The elastic rope passes through the guide wheel and is fixed to the bottom of the base. Digital timer, the digital timer is connected to the Bluetooth receiver, and the elastic rope is affixed with sensor. This u"&amp;"tility model enriches the function of fitness vehicles, improves human -computer interaction and use fun, and also reduces the production cost of fitness cars.")</f>
        <v>This utility model discloses an electromagnetic control fitness car with Bluetooth function, including: lying on the stand -up board and the fitness vehicle body, which includes the body of the fitness vehicle, the base, the magnetic control flywheel box, the Bluetooth receiver and the handbars; The Bluetooth receiver is set on the magnetic control flywheel box, which is connected to the magnetic control component and speed sensor in the magnetic control flywheel; On the base, the bottom end of the handlebars is fixed to connect the elastic rope. The elastic rope passes through the guide wheel and is fixed to the bottom of the base. Digital timer, the digital timer is connected to the Bluetooth receiver, and the elastic rope is affixed with sensor. This utility model enriches the function of fitness vehicles, improves human -computer interaction and use fun, and also reduces the production cost of fitness cars.</v>
      </c>
      <c r="D3738" s="6" t="s">
        <v>10444</v>
      </c>
      <c r="E3738" s="4" t="str">
        <f ca="1">IFERROR(__xludf.DUMMYFUNCTION("GOOGLETRANSLATE(D3738,""auto"",""en"")"),"An electromagnetic control fitness car with Bluetooth function")</f>
        <v>An electromagnetic control fitness car with Bluetooth function</v>
      </c>
    </row>
    <row r="3739" spans="1:5" ht="15" x14ac:dyDescent="0.25">
      <c r="A3739" s="5" t="s">
        <v>10445</v>
      </c>
      <c r="B3739" s="6" t="s">
        <v>10446</v>
      </c>
      <c r="C3739" s="3" t="str">
        <f ca="1">IFERROR(__xludf.DUMMYFUNCTION("GOOGLETRANSLATE(B3739,""auto"",""en"")"),"This utility model revealed an artificial intelligence football, including the sphere, including the gravity measurement ring, hexagonal frame and signal board. The position is installed with a displacement sensor, and multiple elastic circles are also in"&amp;"stalled on the hexagonal frame. The elastic ring is fixed around the outside of the solar power supply block. The signal board is installed in the sphere. The digital modular converter, digital signal processor, memory and Bluetooth transceiver, the four "&amp;"corners of the signal board are connected to a buffer pad through the connection block. The digital processing of the signal can more quickly analyze the sports trajectory of football. The analysis results are stored by the memory, and the processing resu"&amp;"lts are transmitted to the background by the Bluetooth transceiver. The connector can closely connect the signal board with the buffer pad, which will not shake the parts and be extremely practical.")</f>
        <v>This utility model revealed an artificial intelligence football, including the sphere, including the gravity measurement ring, hexagonal frame and signal board. The position is installed with a displacement sensor, and multiple elastic circles are also installed on the hexagonal frame. The elastic ring is fixed around the outside of the solar power supply block. The signal board is installed in the sphere. The digital modular converter, digital signal processor, memory and Bluetooth transceiver, the four corners of the signal board are connected to a buffer pad through the connection block. The digital processing of the signal can more quickly analyze the sports trajectory of football. The analysis results are stored by the memory, and the processing results are transmitted to the background by the Bluetooth transceiver. The connector can closely connect the signal board with the buffer pad, which will not shake the parts and be extremely practical.</v>
      </c>
      <c r="D3739" s="6" t="s">
        <v>438</v>
      </c>
      <c r="E3739" s="4" t="str">
        <f ca="1">IFERROR(__xludf.DUMMYFUNCTION("GOOGLETRANSLATE(D3739,""auto"",""en"")"),"A kind of artificial intelligence football")</f>
        <v>A kind of artificial intelligence football</v>
      </c>
    </row>
    <row r="3740" spans="1:5" ht="15" x14ac:dyDescent="0.25">
      <c r="A3740" s="5" t="s">
        <v>10447</v>
      </c>
      <c r="B3740" s="6" t="s">
        <v>10448</v>
      </c>
      <c r="C3740" s="3" t="str">
        <f ca="1">IFERROR(__xludf.DUMMYFUNCTION("GOOGLETRANSLATE(B3740,""auto"",""en"")"),"1. The name of the product in this exterior: Robot (Zhihui Xia).
 2. The purpose of designing products in appearance: suitable for the teaching and development of multi -disciplinary in many fields such as robot vision, sensor information processing, ar"&amp;"tificial intelligence, gait planning, sports control, network and communication, human -machine interface, etc. Competition, monitoring, comprehensive services, and accompanying entertainment.
 3. The main point of the design is: the shape of the produc"&amp;"t.
 4. Pictures or photos that can best show design: stereo.
 5. The main view, overwhelming view, and the letter A in the stereo map represents the screen.")</f>
        <v>1. The name of the product in this exterior: Robot (Zhihui Xia).
 2. The purpose of designing products in appearance: suitable for the teaching and development of multi -disciplinary in many fields such as robot vision, sensor information processing, artificial intelligence, gait planning, sports control, network and communication, human -machine interface, etc. Competition, monitoring, comprehensive services, and accompanying entertainment.
 3. The main point of the design is: the shape of the product.
 4. Pictures or photos that can best show design: stereo.
 5. The main view, overwhelming view, and the letter A in the stereo map represents the screen.</v>
      </c>
      <c r="D3740" s="6" t="s">
        <v>10449</v>
      </c>
      <c r="E3740" s="4" t="str">
        <f ca="1">IFERROR(__xludf.DUMMYFUNCTION("GOOGLETRANSLATE(D3740,""auto"",""en"")"),"Robot (Zhihui)")</f>
        <v>Robot (Zhihui)</v>
      </c>
    </row>
    <row r="3741" spans="1:5" ht="15" x14ac:dyDescent="0.25">
      <c r="A3741" s="5" t="s">
        <v>10450</v>
      </c>
      <c r="B3741" s="6" t="s">
        <v>10451</v>
      </c>
      <c r="C3741" s="3" t="str">
        <f ca="1">IFERROR(__xludf.DUMMYFUNCTION("GOOGLETRANSLATE(B3741,""auto"",""en"")"),"This utility model involves an IoT -based visual sports network fitness platform to build a virtual fitness environment to realize the interaction and sharing of fitness equipment fitness information. On it, it is used to collect the physical movement dat"&amp;"a of the athlete; wireless network: including the connected relay and gateway, the physical movement data of the athletes on the sports equipment is transmitted to the relay through the ZigBee protocol, and the gateway will use the ZigBee of the relay dea"&amp;"ler ZigBee The protocol is converted to the TCP/IP protocol and communicates with the Internet; Cloud Server: Obtain the physical movement data of the athletes through the Internet to record the fitness index data of the athletes. Compared with the existi"&amp;"ng technology, this utility model has the advantages of distributed wireless transmission and simulation virtual environment.")</f>
        <v>This utility model involves an IoT -based visual sports network fitness platform to build a virtual fitness environment to realize the interaction and sharing of fitness equipment fitness information. On it, it is used to collect the physical movement data of the athlete; wireless network: including the connected relay and gateway, the physical movement data of the athletes on the sports equipment is transmitted to the relay through the ZigBee protocol, and the gateway will use the ZigBee of the relay dealer ZigBee The protocol is converted to the TCP/IP protocol and communicates with the Internet; Cloud Server: Obtain the physical movement data of the athletes through the Internet to record the fitness index data of the athletes. Compared with the existing technology, this utility model has the advantages of distributed wireless transmission and simulation virtual environment.</v>
      </c>
      <c r="D3741" s="6" t="s">
        <v>10452</v>
      </c>
      <c r="E3741" s="4" t="str">
        <f ca="1">IFERROR(__xludf.DUMMYFUNCTION("GOOGLETRANSLATE(D3741,""auto"",""en"")"),"A visualized sports network fitness platform based on the Internet of Things")</f>
        <v>A visualized sports network fitness platform based on the Internet of Things</v>
      </c>
    </row>
    <row r="3742" spans="1:5" ht="15" x14ac:dyDescent="0.25">
      <c r="A3742" s="5" t="s">
        <v>10453</v>
      </c>
      <c r="B3742" s="6" t="s">
        <v>10454</v>
      </c>
      <c r="C3742" s="3" t="str">
        <f ca="1">IFERROR(__xludf.DUMMYFUNCTION("GOOGLETRANSLATE(B3742,""auto"",""en"")"),"The present invention disclosed a marathon management method based on athlete number recognition, including the steps of the number area positioning: gray -based processing, using morphological treatment for marginal detection, and based on the form and c"&amp;"olor characteristics of the athlete number image. Regional screening, accurately locate the athlete number area; the steps of the character segmentation; the step of character recognition: the divided characters are extracted for characteristics, and the "&amp;"character recognition is performed as the input vector support for the vector machine. Realize the effective automatic detection and recognition of athletes, thereby completing the automatic management of marathon photos.")</f>
        <v>The present invention disclosed a marathon management method based on athlete number recognition, including the steps of the number area positioning: gray -based processing, using morphological treatment for marginal detection, and based on the form and color characteristics of the athlete number image. Regional screening, accurately locate the athlete number area; the steps of the character segmentation; the step of character recognition: the divided characters are extracted for characteristics, and the character recognition is performed as the input vector support for the vector machine. Realize the effective automatic detection and recognition of athletes, thereby completing the automatic management of marathon photos.</v>
      </c>
      <c r="D3742" s="6" t="s">
        <v>10455</v>
      </c>
      <c r="E3742" s="4" t="str">
        <f ca="1">IFERROR(__xludf.DUMMYFUNCTION("GOOGLETRANSLATE(D3742,""auto"",""en"")"),"Marathon based on athlete number recognition of the athlete number recognition method")</f>
        <v>Marathon based on athlete number recognition of the athlete number recognition method</v>
      </c>
    </row>
    <row r="3743" spans="1:5" ht="15" x14ac:dyDescent="0.25">
      <c r="A3743" s="5" t="s">
        <v>10456</v>
      </c>
      <c r="B3743" s="6" t="s">
        <v>10457</v>
      </c>
      <c r="C3743" s="3" t="str">
        <f ca="1">IFERROR(__xludf.DUMMYFUNCTION("GOOGLETRANSLATE(B3743,""auto"",""en"")"),"本实用新型公开了一种具有NB‑IOT通信功能的运动数据采集器，包括GNSS单元、微控制器、NB‑IOT通信单元、电源管理单元、电池、动作识别单元、心率监测单元，GNSS单元与Microcomputers are connected; the heart rate monitoring unit is connected to the microcontroller; the action recognition unit transmits the athlete's movement action mo"&amp;"de to the microcontroller; the microcontroller sends the received data to the NB through the NB‑ioT communication unit to NB物 IoT narrow belt IoT base station, battery provides power supply to power management unit, and the power management unit provides "&amp;"power to microcontroller. This utility model is low -cost, low -power consumption, and can collect, storage, and analyze the heart rate, steps, stations, movement speed, movement distance, running posture, geographical location information (can be drawn, "&amp;"heat diagram) and other data of athletes. It provides great help for sports training.")</f>
        <v>本实用新型公开了一种具有NB‑IOT通信功能的运动数据采集器，包括GNSS单元、微控制器、NB‑IOT通信单元、电源管理单元、电池、动作识别单元、心率监测单元，GNSS单元与Microcomputers are connected; the heart rate monitoring unit is connected to the microcontroller; the action recognition unit transmits the athlete's movement action mode to the microcontroller; the microcontroller sends the received data to the NB through the NB‑ioT communication unit to NB物 IoT narrow belt IoT base station, battery provides power supply to power management unit, and the power management unit provides power to microcontroller. This utility model is low -cost, low -power consumption, and can collect, storage, and analyze the heart rate, steps, stations, movement speed, movement distance, running posture, geographical location information (can be drawn, heat diagram) and other data of athletes. It provides great help for sports training.</v>
      </c>
      <c r="D3743" s="6" t="s">
        <v>10458</v>
      </c>
      <c r="E3743" s="4" t="str">
        <f ca="1">IFERROR(__xludf.DUMMYFUNCTION("GOOGLETRANSLATE(D3743,""auto"",""en"")"),"A sports data collector with NBtiot communication function")</f>
        <v>A sports data collector with NBtiot communication function</v>
      </c>
    </row>
    <row r="3744" spans="1:5" ht="15" x14ac:dyDescent="0.25">
      <c r="A3744" s="5" t="s">
        <v>10459</v>
      </c>
      <c r="B3744" s="6" t="s">
        <v>10460</v>
      </c>
      <c r="C3744" s="3" t="str">
        <f ca="1">IFERROR(__xludf.DUMMYFUNCTION("GOOGLETRANSLATE(B3744,""auto"",""en"")"),"The present invention involves the field of virtual reality, and a multi -functional virtual reality spatial ball has been disclosed. This multi -functional virtual real space ball includes a display system, human action capture system, and human -compute"&amp;"r interaction. The cooperation of the virtual reality space system of the system and human -computer interaction can produce an independent virtual world space, so that people can do any land action on the space ball (except for the action of swimming, cl"&amp;"imbing, and the air). When installing seats and security measures or replace space balls with special cockpits, various driving activities can be performed.")</f>
        <v>The present invention involves the field of virtual reality, and a multi -functional virtual reality spatial ball has been disclosed. This multi -functional virtual real space ball includes a display system, human action capture system, and human -computer interaction. The cooperation of the virtual reality space system of the system and human -computer interaction can produce an independent virtual world space, so that people can do any land action on the space ball (except for the action of swimming, climbing, and the air). When installing seats and security measures or replace space balls with special cockpits, various driving activities can be performed.</v>
      </c>
      <c r="D3744" s="6" t="s">
        <v>10461</v>
      </c>
      <c r="E3744" s="4" t="str">
        <f ca="1">IFERROR(__xludf.DUMMYFUNCTION("GOOGLETRANSLATE(D3744,""auto"",""en"")"),"Multi -functional virtual reality spatial ball")</f>
        <v>Multi -functional virtual reality spatial ball</v>
      </c>
    </row>
    <row r="3745" spans="1:5" ht="15" x14ac:dyDescent="0.25">
      <c r="A3745" s="5" t="s">
        <v>10462</v>
      </c>
      <c r="B3745" s="6" t="s">
        <v>10463</v>
      </c>
      <c r="C3745" s="3" t="str">
        <f ca="1">IFERROR(__xludf.DUMMYFUNCTION("GOOGLETRANSLATE(B3745,""auto"",""en"")"),"[0001] The present invention involves an accessory device that uses the IoT (IoT) (IoT), which is more specific. In addition to automatic storage, stars related information stars also verify the ID of each electronic accessory through external communicati"&amp;"on networks, and execute management functions, such as updating information related to the star, and allowing or refusing data or systems based on the authorized access rights or rejection of data or systems access. It involves the use of the Internet's a"&amp;"uxiliary equipment.")</f>
        <v>[0001] The present invention involves an accessory device that uses the IoT (IoT) (IoT), which is more specific. In addition to automatic storage, stars related information stars also verify the ID of each electronic accessory through external communication networks, and execute management functions, such as updating information related to the star, and allowing or refusing data or systems based on the authorized access rights or rejection of data or systems access. It involves the use of the Internet's auxiliary equipment.</v>
      </c>
      <c r="D3745" s="6" t="s">
        <v>10464</v>
      </c>
      <c r="E3745" s="4" t="str">
        <f ca="1">IFERROR(__xludf.DUMMYFUNCTION("GOOGLETRANSLATE(D3745,""auto"",""en"")"),"Utilize the accessible equipment of the Internet of Things")</f>
        <v>Utilize the accessible equipment of the Internet of Things</v>
      </c>
    </row>
    <row r="3746" spans="1:5" ht="15" x14ac:dyDescent="0.25">
      <c r="A3746" s="5" t="s">
        <v>10465</v>
      </c>
      <c r="B3746" s="6" t="s">
        <v>10466</v>
      </c>
      <c r="C3746" s="3" t="str">
        <f ca="1">IFERROR(__xludf.DUMMYFUNCTION("GOOGLETRANSLATE(B3746,""auto"",""en"")"),"According to a method of automatic classification of fitness exercise in the embodiment of the present invention, including (A) users with wearable equipment equipped with a three -axis acceleration sensor are wearing a three -axis acceleration derivative"&amp;" model collected during fitness exercise. The average value and standard difference and the corresponding fitness types are classified as the learning data of neural network algorithms, and the type of fitness movement is classified according to numerical"&amp;" values; Replace the timeline to the frequency axis, analyze the three -axis acceleration value collected, and determine the representative value of a time window, that is, a cycle of fitness exercise; The axis acceleration average and standard deviation "&amp;"values; (E) Classify the acceleration of the acceleration in the step (d) along the average value of each axis and the standard deviation. Use the exported classification model The type includes steps.")</f>
        <v>According to a method of automatic classification of fitness exercise in the embodiment of the present invention, including (A) users with wearable equipment equipped with a three -axis acceleration sensor are wearing a three -axis acceleration derivative model collected during fitness exercise. The average value and standard difference and the corresponding fitness types are classified as the learning data of neural network algorithms, and the type of fitness movement is classified according to numerical values; Replace the timeline to the frequency axis, analyze the three -axis acceleration value collected, and determine the representative value of a time window, that is, a cycle of fitness exercise; The axis acceleration average and standard deviation values; (E) Classify the acceleration of the acceleration in the step (d) along the average value of each axis and the standard deviation. Use the exported classification model The type includes steps.</v>
      </c>
      <c r="D3746" s="6" t="s">
        <v>10467</v>
      </c>
      <c r="E3746" s="4" t="str">
        <f ca="1">IFERROR(__xludf.DUMMYFUNCTION("GOOGLETRANSLATE(D3746,""auto"",""en"")"),"Invention name Fitness Sports type automatic classification method and device")</f>
        <v>Invention name Fitness Sports type automatic classification method and device</v>
      </c>
    </row>
    <row r="3747" spans="1:5" ht="15" x14ac:dyDescent="0.25">
      <c r="A3747" s="5" t="s">
        <v>10468</v>
      </c>
      <c r="B3747" s="6" t="s">
        <v>518</v>
      </c>
      <c r="C3747" s="3" t="str">
        <f ca="1">IFERROR(__xludf.DUMMYFUNCTION("GOOGLETRANSLATE(B3747,""auto"",""en"")"),"-")</f>
        <v>-</v>
      </c>
      <c r="D3747" s="6" t="s">
        <v>10469</v>
      </c>
      <c r="E3747" s="4" t="str">
        <f ca="1">IFERROR(__xludf.DUMMYFUNCTION("GOOGLETRANSLATE(D3747,""auto"",""en"")"),"In -depth learning of Socrate's coach control data stream")</f>
        <v>In -depth learning of Socrate's coach control data stream</v>
      </c>
    </row>
    <row r="3748" spans="1:5" ht="15" x14ac:dyDescent="0.25">
      <c r="A3748" s="5" t="s">
        <v>10470</v>
      </c>
      <c r="B3748" s="6" t="s">
        <v>10471</v>
      </c>
      <c r="C3748" s="3" t="str">
        <f ca="1">IFERROR(__xludf.DUMMYFUNCTION("GOOGLETRANSLATE(B3748,""auto"",""en"")"),"The present invention disclosed a smart tennis pick -up robot based on image recognition. It uses the visual recognition system to accurately image recognition of tennis to avoid picking up misunderstandings by misjudgment. Through the intelligent control"&amp;" of the central control system, the robot movement, picking and unloading of the robot, which improves the efficiency of picking up the ball. In addition, there are three types of control mode of the present invention, including automatic mode, semi -auto"&amp;"matic mode, and full manual mode. Users can choose the appropriate control mode to operate robots according to the actual situation, which greatly improves the flexibility of use.")</f>
        <v>The present invention disclosed a smart tennis pick -up robot based on image recognition. It uses the visual recognition system to accurately image recognition of tennis to avoid picking up misunderstandings by misjudgment. Through the intelligent control of the central control system, the robot movement, picking and unloading of the robot, which improves the efficiency of picking up the ball. In addition, there are three types of control mode of the present invention, including automatic mode, semi -automatic mode, and full manual mode. Users can choose the appropriate control mode to operate robots according to the actual situation, which greatly improves the flexibility of use.</v>
      </c>
      <c r="D3748" s="6" t="s">
        <v>10472</v>
      </c>
      <c r="E3748" s="4" t="str">
        <f ca="1">IFERROR(__xludf.DUMMYFUNCTION("GOOGLETRANSLATE(D3748,""auto"",""en"")"),"A smart tennis pick -up robot based on image recognition")</f>
        <v>A smart tennis pick -up robot based on image recognition</v>
      </c>
    </row>
    <row r="3749" spans="1:5" ht="15" x14ac:dyDescent="0.25">
      <c r="A3749" s="5" t="s">
        <v>10473</v>
      </c>
      <c r="B3749" s="6" t="s">
        <v>10474</v>
      </c>
      <c r="C3749" s="3" t="str">
        <f ca="1">IFERROR(__xludf.DUMMYFUNCTION("GOOGLETRANSLATE(B3749,""auto"",""en"")"),"The trainer's excess human -machine interaction system provided by this utility model, including task processing unit, sensor, display interaction interface, and non -Air power system. The task processing unit is responsible for the information fusion and"&amp;" functional implementation of sensor data. The logical processing control of the interface function and action; the sensor is responsible for collecting processing and sending basic data and parameters, and performing basic functions and actions; displayi"&amp;"ng the input control of the interactive interface is responsible for drawing and displaying and direct interactive interaction; Display interaction interfaces directly to realize the human -computer interaction with pilots. The excess human -machine inter"&amp;"action system of this utility model and open -minded coaching machine, through the interactive design of the extra -stop human -computer, perform data extra transmission scheduling, excess display control, meet the human -machine interaction needs of diff"&amp;"erent tasks of the pilot, increase the flight and training of the aircraft, increase the aircraft's flight and training Safety, suitable for coaching machines with different uses.")</f>
        <v>The trainer's excess human -machine interaction system provided by this utility model, including task processing unit, sensor, display interaction interface, and non -Air power system. The task processing unit is responsible for the information fusion and functional implementation of sensor data. The logical processing control of the interface function and action; the sensor is responsible for collecting processing and sending basic data and parameters, and performing basic functions and actions; displaying the input control of the interactive interface is responsible for drawing and displaying and direct interactive interaction; Display interaction interfaces directly to realize the human -computer interaction with pilots. The excess human -machine interaction system of this utility model and open -minded coaching machine, through the interactive design of the extra -stop human -computer, perform data extra transmission scheduling, excess display control, meet the human -machine interaction needs of different tasks of the pilot, increase the flight and training of the aircraft, increase the aircraft's flight and training Safety, suitable for coaching machines with different uses.</v>
      </c>
      <c r="D3749" s="6" t="s">
        <v>10475</v>
      </c>
      <c r="E3749" s="4" t="str">
        <f ca="1">IFERROR(__xludf.DUMMYFUNCTION("GOOGLETRANSLATE(D3749,""auto"",""en"")"),"Coach machine excess human -machine interaction system")</f>
        <v>Coach machine excess human -machine interaction system</v>
      </c>
    </row>
    <row r="3750" spans="1:5" ht="15" x14ac:dyDescent="0.25">
      <c r="A3750" s="5" t="s">
        <v>10476</v>
      </c>
      <c r="B3750" s="6" t="s">
        <v>10477</v>
      </c>
      <c r="C3750" s="3" t="str">
        <f ca="1">IFERROR(__xludf.DUMMYFUNCTION("GOOGLETRANSLATE(B3750,""auto"",""en"")"),"The excess human -machine interaction system provided by the present invention, including task processing unit, sensor, display interaction interface, and non -Air power system. The task processing unit is responsible for the information fusion and functi"&amp;"onal implementation of sensor data. The logical processing control of the function and action; the sensor is responsible for collecting processing and sending basic data and parameters, and performing basic functions and actions; the display interface is "&amp;"responsible for the input control of the map and the display and direct interaction; Display the interactive interface directly to realize the human -computer interaction with pilots. The excess human -machine interaction system of the coaching machine op"&amp;"enings of the present invention. Through the excess human -computer interconnection design, the data excess transmission scheduling is performed, and the excess display control is displayed to meet the human -machine interaction needs of different tasks o"&amp;"f the pilot. Sex, suitable for coaching machines with different uses.")</f>
        <v>The excess human -machine interaction system provided by the present invention, including task processing unit, sensor, display interaction interface, and non -Air power system. The task processing unit is responsible for the information fusion and functional implementation of sensor data. The logical processing control of the function and action; the sensor is responsible for collecting processing and sending basic data and parameters, and performing basic functions and actions; the display interface is responsible for the input control of the map and the display and direct interaction; Display the interactive interface directly to realize the human -computer interaction with pilots. The excess human -machine interaction system of the coaching machine openings of the present invention. Through the excess human -computer interconnection design, the data excess transmission scheduling is performed, and the excess display control is displayed to meet the human -machine interaction needs of different tasks of the pilot. Sex, suitable for coaching machines with different uses.</v>
      </c>
      <c r="D3750" s="6" t="s">
        <v>10475</v>
      </c>
      <c r="E3750" s="4" t="str">
        <f ca="1">IFERROR(__xludf.DUMMYFUNCTION("GOOGLETRANSLATE(D3750,""auto"",""en"")"),"Coach machine excess human -machine interaction system")</f>
        <v>Coach machine excess human -machine interaction system</v>
      </c>
    </row>
    <row r="3751" spans="1:5" ht="15" x14ac:dyDescent="0.25">
      <c r="A3751" s="5" t="s">
        <v>10478</v>
      </c>
      <c r="B3751" s="6" t="s">
        <v>10479</v>
      </c>
      <c r="C3751" s="3" t="str">
        <f ca="1">IFERROR(__xludf.DUMMYFUNCTION("GOOGLETRANSLATE(B3751,""auto"",""en"")"),"This utility model involves a fire emergency somatosensory training device for groundwater power stations, which are characterized by: omnidirectional treadmill, flame effect simulation device, VR glasses, VR hosts, and VR handles. Trainers wear VR glasse"&amp;"s to enter the virtual fire scene. The mobile data of omnidirectional treadmill collection trainers and transmitted it to the VR host to control the characters in the virtual environment, realize virtual scene human machine interaction through the VR hand"&amp;"le, and combine the flame effect simulation device to experience the flames, so that the trainers are virtual in virtual In the environment, human -computer interactions are performed in the environment, and the physical feelings brought by the real fire "&amp;"experience experience.")</f>
        <v>This utility model involves a fire emergency somatosensory training device for groundwater power stations, which are characterized by: omnidirectional treadmill, flame effect simulation device, VR glasses, VR hosts, and VR handles. Trainers wear VR glasses to enter the virtual fire scene. The mobile data of omnidirectional treadmill collection trainers and transmitted it to the VR host to control the characters in the virtual environment, realize virtual scene human machine interaction through the VR handle, and combine the flame effect simulation device to experience the flames, so that the trainers are virtual in virtual In the environment, human -computer interactions are performed in the environment, and the physical feelings brought by the real fire experience experience.</v>
      </c>
      <c r="D3751" s="6" t="s">
        <v>10480</v>
      </c>
      <c r="E3751" s="4" t="str">
        <f ca="1">IFERROR(__xludf.DUMMYFUNCTION("GOOGLETRANSLATE(D3751,""auto"",""en"")"),"A kind of groundwater power station fire emergency somatosensory training device")</f>
        <v>A kind of groundwater power station fire emergency somatosensory training device</v>
      </c>
    </row>
    <row r="3752" spans="1:5" ht="15" x14ac:dyDescent="0.25">
      <c r="A3752" s="5" t="s">
        <v>10481</v>
      </c>
      <c r="B3752" s="6" t="s">
        <v>10482</v>
      </c>
      <c r="C3752" s="3" t="str">
        <f ca="1">IFERROR(__xludf.DUMMYFUNCTION("GOOGLETRANSLATE(B3752,""auto"",""en"")"),"The present invention involves a kind of groundwater power station fire emergency somatosensory training device, which is characterized by: omnidirectional treadmill, flame effect simulation device, VR glasses, VR hosts, and VR handles. The trainers wear "&amp;"VR glasses into the virtual fire scene. Collect the movement data of the trainer to the treadmill and transmit it to the VR host to control the character movement in the virtual environment, realize virtual scene human machine interaction through the VR h"&amp;"andle, and combine the flame effect simulation device to experience the flame In the middle of human -computer interactions such as fire extinguishing, escape, and other physical feelings brought about by the real fire experience experience.")</f>
        <v>The present invention involves a kind of groundwater power station fire emergency somatosensory training device, which is characterized by: omnidirectional treadmill, flame effect simulation device, VR glasses, VR hosts, and VR handles. The trainers wear VR glasses into the virtual fire scene. Collect the movement data of the trainer to the treadmill and transmit it to the VR host to control the character movement in the virtual environment, realize virtual scene human machine interaction through the VR handle, and combine the flame effect simulation device to experience the flame In the middle of human -computer interactions such as fire extinguishing, escape, and other physical feelings brought about by the real fire experience experience.</v>
      </c>
      <c r="D3752" s="6" t="s">
        <v>10480</v>
      </c>
      <c r="E3752" s="4" t="str">
        <f ca="1">IFERROR(__xludf.DUMMYFUNCTION("GOOGLETRANSLATE(D3752,""auto"",""en"")"),"A kind of groundwater power station fire emergency somatosensory training device")</f>
        <v>A kind of groundwater power station fire emergency somatosensory training device</v>
      </c>
    </row>
    <row r="3753" spans="1:5" ht="15" x14ac:dyDescent="0.25">
      <c r="A3753" s="5" t="s">
        <v>10483</v>
      </c>
      <c r="B3753" s="6" t="s">
        <v>10484</v>
      </c>
      <c r="C3753" s="3" t="str">
        <f ca="1">IFERROR(__xludf.DUMMYFUNCTION("GOOGLETRANSLATE(B3753,""auto"",""en"")"),"The present invention proposes a waterproof action capture system for sports training, including: one or more action capture devices for monitoring action information of one or more parts; communication relay device is used to receive one or more more The"&amp;" movement information of the part, and monitor the physical condition information and the environmental information of the object in real time; the processor is used to receive the action information, physical condition information and environmental infor"&amp;"mation of one or more parts, and get the complete capture object of the action capture object. Sports attitude and complete exercise information; servers to process big data processing, cloud computing, deep learning and data mining of the complete motion"&amp;" posture and complete motion information of the action capture objects to obtain the optimized information of the complete sports attitude and complete sports information. The invention can simulate and analyze the actual movement of the human body, reali"&amp;"ze the advantages of action capture and action, and has the advantages of high accuracy, low cost, high convenience, and strong applicability.")</f>
        <v>The present invention proposes a waterproof action capture system for sports training, including: one or more action capture devices for monitoring action information of one or more parts; communication relay device is used to receive one or more more The movement information of the part, and monitor the physical condition information and the environmental information of the object in real time; the processor is used to receive the action information, physical condition information and environmental information of one or more parts, and get the complete capture object of the action capture object. Sports attitude and complete exercise information; servers to process big data processing, cloud computing, deep learning and data mining of the complete motion posture and complete motion information of the action capture objects to obtain the optimized information of the complete sports attitude and complete sports information. The invention can simulate and analyze the actual movement of the human body, realize the advantages of action capture and action, and has the advantages of high accuracy, low cost, high convenience, and strong applicability.</v>
      </c>
      <c r="D3753" s="6" t="s">
        <v>10485</v>
      </c>
      <c r="E3753" s="4" t="str">
        <f ca="1">IFERROR(__xludf.DUMMYFUNCTION("GOOGLETRANSLATE(D3753,""auto"",""en"")"),"Waterproof action capture system for sports training")</f>
        <v>Waterproof action capture system for sports training</v>
      </c>
    </row>
    <row r="3754" spans="1:5" ht="15" x14ac:dyDescent="0.25">
      <c r="A3754" s="5" t="s">
        <v>10486</v>
      </c>
      <c r="B3754" s="6" t="s">
        <v>10487</v>
      </c>
      <c r="C3754" s="3" t="str">
        <f ca="1">IFERROR(__xludf.DUMMYFUNCTION("GOOGLETRANSLATE(B3754,""auto"",""en"")"),"The present invention involves an automatic measurement system and method that uses the IoT -based heterogeneous sports equipment platform. The invention, health cubes and mobile devices for Bluetooth BLE pairing; and a healthy cube connected to one of th"&amp;"e personal or different types of exercise equipment; health cube receiving sports type information from mobile devices, extraction and receiving sports type information The preset algorithm of each axis that matches, and then the number of movements detec"&amp;"ted by the acceleration sensor based on the algorithm of each shaft. The Arduino board generates a counting -based motion measurement data and provides the generating measurement data to the mobile device; it may be provided. Therefore, it provides the ef"&amp;"fect of monitoring the amount of motion through health cube. Health cube is a healthy measurement equipment that can measure the amount of exercise by connecting to the body or various sports equipment, and the motion measurement data collected by it. In "&amp;"addition, when the invention performs various indoor exercises, the amount of exercise is automatically stored and manage without manual recording the amount of exercise, thereby providing the effect of increasing user sports habits and increasing exercis"&amp;"e. In other words, the present invention can be easily used at home or indoors without the actual registration of the gym or other sports facilities, and can be used by connecting or disassembling existing sports equipment without the need to buy health c"&amp;"are products. Even if you have only one health cube, it is a measuring device. Through the mobile application of mobile devices, you can see the amount of motion of different motion equipment at a glance, and through the system that shares the amount of e"&amp;"xercise with acquaintances, it will trigger a competitive spirit with acquaintances. can be improved")</f>
        <v>The present invention involves an automatic measurement system and method that uses the IoT -based heterogeneous sports equipment platform. The invention, health cubes and mobile devices for Bluetooth BLE pairing; and a healthy cube connected to one of the personal or different types of exercise equipment; health cube receiving sports type information from mobile devices, extraction and receiving sports type information The preset algorithm of each axis that matches, and then the number of movements detected by the acceleration sensor based on the algorithm of each shaft. The Arduino board generates a counting -based motion measurement data and provides the generating measurement data to the mobile device; it may be provided. Therefore, it provides the effect of monitoring the amount of motion through health cube. Health cube is a healthy measurement equipment that can measure the amount of exercise by connecting to the body or various sports equipment, and the motion measurement data collected by it. In addition, when the invention performs various indoor exercises, the amount of exercise is automatically stored and manage without manual recording the amount of exercise, thereby providing the effect of increasing user sports habits and increasing exercise. In other words, the present invention can be easily used at home or indoors without the actual registration of the gym or other sports facilities, and can be used by connecting or disassembling existing sports equipment without the need to buy health care products. Even if you have only one health cube, it is a measuring device. Through the mobile application of mobile devices, you can see the amount of motion of different motion equipment at a glance, and through the system that shares the amount of exercise with acquaintances, it will trigger a competitive spirit with acquaintances. can be improved</v>
      </c>
      <c r="D3754" s="6" t="s">
        <v>10488</v>
      </c>
      <c r="E3754" s="4" t="str">
        <f ca="1">IFERROR(__xludf.DUMMYFUNCTION("GOOGLETRANSLATE(D3754,""auto"",""en"")"),"Use the IoT -based heterogeneous sports equipment platform for automatic measurement system")</f>
        <v>Use the IoT -based heterogeneous sports equipment platform for automatic measurement system</v>
      </c>
    </row>
    <row r="3755" spans="1:5" ht="15" x14ac:dyDescent="0.25">
      <c r="A3755" s="5" t="s">
        <v>10489</v>
      </c>
      <c r="B3755" s="6" t="s">
        <v>10490</v>
      </c>
      <c r="C3755" s="3" t="str">
        <f ca="1">IFERROR(__xludf.DUMMYFUNCTION("GOOGLETRANSLATE(B3755,""auto"",""en"")"),"The game or game uses the combination of SMS and USSD, where the player or participants try to identify specific words, phrases, brands and/or sentences based on the displayed image. If the player or participants can solve the displayed images, these spec"&amp;"ific words, phrases, brands and/or sentences will form or spell out or spell a meaningful word, phrase, brand and/or sentence that is meaningful to players or participants. When the player feels that they are right, they send their answers to USSD to part"&amp;"icipate in the previous SMS competition. The correct entries or entries will win various prizes provided at the given time, such as money or cash, calls, calls, calls, calls, calls, calls, calls Time, mobile or mobile phone data and electronic products. T"&amp;"he winning mobile phone or mobile phone number must accurately guess the meaning of the image. These images can also be used to promote one or more brands that authorize their products or brands to promote or market them, whether it is directly or indirec"&amp;"tly using the system.")</f>
        <v>The game or game uses the combination of SMS and USSD, where the player or participants try to identify specific words, phrases, brands and/or sentences based on the displayed image. If the player or participants can solve the displayed images, these specific words, phrases, brands and/or sentences will form or spell out or spell a meaningful word, phrase, brand and/or sentence that is meaningful to players or participants. When the player feels that they are right, they send their answers to USSD to participate in the previous SMS competition. The correct entries or entries will win various prizes provided at the given time, such as money or cash, calls, calls, calls, calls, calls, calls, calls Time, mobile or mobile phone data and electronic products. The winning mobile phone or mobile phone number must accurately guess the meaning of the image. These images can also be used to promote one or more brands that authorize their products or brands to promote or market them, whether it is directly or indirectly using the system.</v>
      </c>
      <c r="D3755" s="6" t="s">
        <v>10491</v>
      </c>
      <c r="E3755" s="4" t="str">
        <f ca="1">IFERROR(__xludf.DUMMYFUNCTION("GOOGLETRANSLATE(D3755,""auto"",""en"")"),"Short message")</f>
        <v>Short message</v>
      </c>
    </row>
    <row r="3756" spans="1:5" ht="15" x14ac:dyDescent="0.25">
      <c r="A3756" s="5" t="s">
        <v>10492</v>
      </c>
      <c r="B3756" s="6" t="s">
        <v>10493</v>
      </c>
      <c r="C3756" s="3" t="str">
        <f ca="1">IFERROR(__xludf.DUMMYFUNCTION("GOOGLETRANSLATE(B3756,""auto"",""en"")"),"A method is released. This method involves receiving GPS data from the user's individual portable training equipment when crossing the off -road section of electronic maps and instructing the user's heart rate related data during exercise. Use the data th"&amp;"at represents the health overview of the user to process the location and heart rate data of each user traversed throughout the paragraph. Results The data was used to determine the normalized cost associated with this paragraph, and the difficulty of cro"&amp;"ssing this paragraph. Cost data is generated by neural networks. The final cost data of different sections in the network network is used to generate route suggestions for users based on the required exercise strength and fitness level.")</f>
        <v>A method is released. This method involves receiving GPS data from the user's individual portable training equipment when crossing the off -road section of electronic maps and instructing the user's heart rate related data during exercise. Use the data that represents the health overview of the user to process the location and heart rate data of each user traversed throughout the paragraph. Results The data was used to determine the normalized cost associated with this paragraph, and the difficulty of crossing this paragraph. Cost data is generated by neural networks. The final cost data of different sections in the network network is used to generate route suggestions for users based on the required exercise strength and fitness level.</v>
      </c>
      <c r="D3756" s="6" t="s">
        <v>10494</v>
      </c>
      <c r="E3756" s="4" t="str">
        <f ca="1">IFERROR(__xludf.DUMMYFUNCTION("GOOGLETRANSLATE(D3756,""auto"",""en"")"),"Methods and devices used to create a way to generate a route that spans electronic maps")</f>
        <v>Methods and devices used to create a way to generate a route that spans electronic maps</v>
      </c>
    </row>
    <row r="3757" spans="1:5" ht="15" x14ac:dyDescent="0.25">
      <c r="A3757" s="5" t="s">
        <v>10495</v>
      </c>
      <c r="B3757" s="6" t="s">
        <v>10496</v>
      </c>
      <c r="C3757" s="3" t="str">
        <f ca="1">IFERROR(__xludf.DUMMYFUNCTION("GOOGLETRANSLATE(B3757,""auto"",""en"")"),"A treadmill, including the treadmill body (1) and the remote control body (2), the treadmill body (1) with a control device (11) and the wireless signal receiver (12); There are wireless signal transmitters (21), processor (22), voice receiving device (23"&amp;"), and voice recognition device (24); voice receiving device (23) and voice recognition device (24) Electric connection, voice receiving device (23 23 ) Receive the voice instructions from the user and generate electrical signals. The voice recognition de"&amp;"vice (24) receives the electrical signal and analyzes the electrical signal and processs the generating voice information; Device (24) Electric connection; processor (22) receives the voice information and sends it to the wireless signal receiver (12) thr"&amp;"ough the wireless signal transmitter (21); the control device (11) and the wireless signal receiver (12) electric Connect, the corresponding work is performed according to the signal control of the wireless signal receiver (12) receiving.")</f>
        <v>A treadmill, including the treadmill body (1) and the remote control body (2), the treadmill body (1) with a control device (11) and the wireless signal receiver (12); There are wireless signal transmitters (21), processor (22), voice receiving device (23), and voice recognition device (24); voice receiving device (23) and voice recognition device (24) Electric connection, voice receiving device (23 23 ) Receive the voice instructions from the user and generate electrical signals. The voice recognition device (24) receives the electrical signal and analyzes the electrical signal and processs the generating voice information; Device (24) Electric connection; processor (22) receives the voice information and sends it to the wireless signal receiver (12) through the wireless signal transmitter (21); the control device (11) and the wireless signal receiver (12) electric Connect, the corresponding work is performed according to the signal control of the wireless signal receiver (12) receiving.</v>
      </c>
      <c r="D3757" s="6" t="s">
        <v>10497</v>
      </c>
      <c r="E3757" s="4" t="str">
        <f ca="1">IFERROR(__xludf.DUMMYFUNCTION("GOOGLETRANSLATE(D3757,""auto"",""en"")"),"treadmill")</f>
        <v>treadmill</v>
      </c>
    </row>
    <row r="3758" spans="1:5" ht="15" x14ac:dyDescent="0.25">
      <c r="A3758" s="5" t="s">
        <v>10498</v>
      </c>
      <c r="B3758" s="6" t="s">
        <v>10499</v>
      </c>
      <c r="C3758" s="3" t="str">
        <f ca="1">IFERROR(__xludf.DUMMYFUNCTION("GOOGLETRANSLATE(B3758,""auto"",""en"")"),"The invention uses deep learning algorithms to notify the picture of food calories through smartphone applications, and transmits various information through applications that can consume calories, and has established an offline network. A model for provi"&amp;"ding exercise services for fitness clubs. More specifically, using deep learning algorithms using big data, and finding the same types and quantities of food in advance by using photos used by customers. 1 Califier, it tells you the calories consumed by f"&amp;"ood, when the average weight index exceeds the average weight index, by calculating the calories consumed and consumed, the warning information and various information that can consume calories, that is, video and document data it provides a program. It p"&amp;"rovides a program. Come to exercise the characters provided by the application. If you want to exercise offline, you can use the GPS of a smartphone to provide the information you want to the sports center and fitness club closest to your current location"&amp;", such as sports, place, price, etc. If you want to exercise or receive personal training in the fitness club, you can book and exercise the place where the customer is connected to the place where the health service provides health services in advance. P"&amp;"rovide a calorie management system and provide information so that you can do it.")</f>
        <v>The invention uses deep learning algorithms to notify the picture of food calories through smartphone applications, and transmits various information through applications that can consume calories, and has established an offline network. A model for providing exercise services for fitness clubs. More specifically, using deep learning algorithms using big data, and finding the same types and quantities of food in advance by using photos used by customers. 1 Califier, it tells you the calories consumed by food, when the average weight index exceeds the average weight index, by calculating the calories consumed and consumed, the warning information and various information that can consume calories, that is, video and document data it provides a program. It provides a program. Come to exercise the characters provided by the application. If you want to exercise offline, you can use the GPS of a smartphone to provide the information you want to the sports center and fitness club closest to your current location, such as sports, place, price, etc. If you want to exercise or receive personal training in the fitness club, you can book and exercise the place where the customer is connected to the place where the health service provides health services in advance. Provide a calorie management system and provide information so that you can do it.</v>
      </c>
      <c r="D3758" s="6" t="s">
        <v>10500</v>
      </c>
      <c r="E3758" s="4" t="str">
        <f ca="1">IFERROR(__xludf.DUMMYFUNCTION("GOOGLETRANSLATE(D3758,""auto"",""en"")"),"O2O method calorie management system, used to use deep learning algorithms for calorie measurement and consumption of calorie recognition")</f>
        <v>O2O method calorie management system, used to use deep learning algorithms for calorie measurement and consumption of calorie recognition</v>
      </c>
    </row>
    <row r="3759" spans="1:5" ht="15" x14ac:dyDescent="0.25">
      <c r="A3759" s="5" t="s">
        <v>10501</v>
      </c>
      <c r="B3759" s="6" t="s">
        <v>10502</v>
      </c>
      <c r="C3759" s="3" t="str">
        <f ca="1">IFERROR(__xludf.DUMMYFUNCTION("GOOGLETRANSLATE(B3759,""auto"",""en"")"),"A treadmill, including the body (1) and the voice receiving module (2), the voice recognition module (3), the central control module (4) and the function module (5). Voice receiving module (2) Receive the voice instructions from the runner and generate an"&amp;" electrical signal. The voice recognition module (3) receiving the voice signal issued by the voice receiving module (2), and analyze and process the generating voice information on the electrical signal; center control The module (4) receives voice infor"&amp;"mation and generates control instructions, function modules (5) receive control instructions, and perform corresponding functions according to the control instruction.")</f>
        <v>A treadmill, including the body (1) and the voice receiving module (2), the voice recognition module (3), the central control module (4) and the function module (5). Voice receiving module (2) Receive the voice instructions from the runner and generate an electrical signal. The voice recognition module (3) receiving the voice signal issued by the voice receiving module (2), and analyze and process the generating voice information on the electrical signal; center control The module (4) receives voice information and generates control instructions, function modules (5) receive control instructions, and perform corresponding functions according to the control instruction.</v>
      </c>
      <c r="D3759" s="6" t="s">
        <v>10497</v>
      </c>
      <c r="E3759" s="4" t="str">
        <f ca="1">IFERROR(__xludf.DUMMYFUNCTION("GOOGLETRANSLATE(D3759,""auto"",""en"")"),"treadmill")</f>
        <v>treadmill</v>
      </c>
    </row>
    <row r="3760" spans="1:5" ht="15" x14ac:dyDescent="0.25">
      <c r="A3760" s="5" t="s">
        <v>10503</v>
      </c>
      <c r="B3760" s="6" t="s">
        <v>10504</v>
      </c>
      <c r="C3760" s="3" t="str">
        <f ca="1">IFERROR(__xludf.DUMMYFUNCTION("GOOGLETRANSLATE(B3760,""auto"",""en"")"),"The present invention disclosed a type of coal suppression device, including the chassis shell. The upper end of the chassis shell has an independent hydraulic system and a workbench at the lower end. In the middle of the upper surface, the lower edge of "&amp;"the lower end surface of the independent hydraulic system is connected to the upper edge of the upper surface of the upper plate through the horizontal quasi -column. The pillar connection mold, the lower edge of the mold is installed on the surface of th"&amp;"e workbench through the mold fixing valve. This type of coal suppression device can regulate monitoring in real time during the suppression -type coal process. It uses hand -in -one operation to enhance human -computer interaction and simple operation. Th"&amp;"e hydraulic system and electrical system are set in the chassis shell. Small occupation of coal that can achieve continuity and accuracy can be achieved.")</f>
        <v>The present invention disclosed a type of coal suppression device, including the chassis shell. The upper end of the chassis shell has an independent hydraulic system and a workbench at the lower end. In the middle of the upper surface, the lower edge of the lower end surface of the independent hydraulic system is connected to the upper edge of the upper surface of the upper plate through the horizontal quasi -column. The pillar connection mold, the lower edge of the mold is installed on the surface of the workbench through the mold fixing valve. This type of coal suppression device can regulate monitoring in real time during the suppression -type coal process. It uses hand -in -one operation to enhance human -computer interaction and simple operation. The hydraulic system and electrical system are set in the chassis shell. Small occupation of coal that can achieve continuity and accuracy can be achieved.</v>
      </c>
      <c r="D3760" s="6" t="s">
        <v>10505</v>
      </c>
      <c r="E3760" s="4" t="str">
        <f ca="1">IFERROR(__xludf.DUMMYFUNCTION("GOOGLETRANSLATE(D3760,""auto"",""en"")"),"A type of coal suppression device")</f>
        <v>A type of coal suppression device</v>
      </c>
    </row>
    <row r="3761" spans="1:5" ht="15" x14ac:dyDescent="0.25">
      <c r="A3761" s="5" t="s">
        <v>10506</v>
      </c>
      <c r="B3761" s="6" t="s">
        <v>10507</v>
      </c>
      <c r="C3761" s="3" t="str">
        <f ca="1">IFERROR(__xludf.DUMMYFUNCTION("GOOGLETRANSLATE(B3761,""auto"",""en"")"),"A ball image recognition method and its system, realized in the sports game or training of football, basketball or volleyball, accurately capture the sports trajectory of the ball through image monitoring and identification technology Information such as "&amp;"continuous movement posture during the athletes, providing a reference for athletes' scientific training. System equipment includes special balls, special cameras, analysis terminals, wireless mobile base stations, and mobile power. The advantages of the "&amp;"present invention adopt image detection technology, image recognition technology, wireless transmission technology, and data analysis technology. It can be achieved in the spinning trajectory, sports speed, and ball movement process of special balls durin"&amp;"g football, basketball or volleyball games or training. Real -time monitoring of information such as changes trajectory and athlete movement.")</f>
        <v>A ball image recognition method and its system, realized in the sports game or training of football, basketball or volleyball, accurately capture the sports trajectory of the ball through image monitoring and identification technology Information such as continuous movement posture during the athletes, providing a reference for athletes' scientific training. System equipment includes special balls, special cameras, analysis terminals, wireless mobile base stations, and mobile power. The advantages of the present invention adopt image detection technology, image recognition technology, wireless transmission technology, and data analysis technology. It can be achieved in the spinning trajectory, sports speed, and ball movement process of special balls during football, basketball or volleyball games or training. Real -time monitoring of information such as changes trajectory and athlete movement.</v>
      </c>
      <c r="D3761" s="6" t="s">
        <v>10508</v>
      </c>
      <c r="E3761" s="4" t="str">
        <f ca="1">IFERROR(__xludf.DUMMYFUNCTION("GOOGLETRANSLATE(D3761,""auto"",""en"")"),"A ball image recognition method and its system")</f>
        <v>A ball image recognition method and its system</v>
      </c>
    </row>
    <row r="3762" spans="1:5" ht="15" x14ac:dyDescent="0.25">
      <c r="A3762" s="5" t="s">
        <v>10509</v>
      </c>
      <c r="B3762" s="6" t="s">
        <v>10510</v>
      </c>
      <c r="C3762" s="3" t="str">
        <f ca="1">IFERROR(__xludf.DUMMYFUNCTION("GOOGLETRANSLATE(B3762,""auto"",""en"")"),"The invention announces a data processing device for display and product sales methods, which belongs to the field of cultural sports and e -commerce, and is suitable for modern network platforms and websites. The invention is to report the online sales o"&amp;"f products through modern network platforms and websites through the Internet, mobile Internet, the Internet of Things and other modern network platforms and websites to report live broadcasts and use e -commerce -related methods with goods and services. "&amp;"Let the audience and netizens accompany the rhythm of the activity and the ups and downs of the event when viewing the content of the activity, and the audience will immediately provide the online purchase function or related links of related products in "&amp;"the passion. At the same time, the successful holding of this activity has also increased the popularity of the website to a new level that can even achieve the goal of successfully shaping a famous website. The beneficial social effect is very obvious.")</f>
        <v>The invention announces a data processing device for display and product sales methods, which belongs to the field of cultural sports and e -commerce, and is suitable for modern network platforms and websites. The invention is to report the online sales of products through modern network platforms and websites through the Internet, mobile Internet, the Internet of Things and other modern network platforms and websites to report live broadcasts and use e -commerce -related methods with goods and services. Let the audience and netizens accompany the rhythm of the activity and the ups and downs of the event when viewing the content of the activity, and the audience will immediately provide the online purchase function or related links of related products in the passion. At the same time, the successful holding of this activity has also increased the popularity of the website to a new level that can even achieve the goal of successfully shaping a famous website. The beneficial social effect is very obvious.</v>
      </c>
      <c r="D3762" s="6" t="s">
        <v>10511</v>
      </c>
      <c r="E3762" s="4" t="str">
        <f ca="1">IFERROR(__xludf.DUMMYFUNCTION("GOOGLETRANSLATE(D3762,""auto"",""en"")"),"A data processing device for the sales method of the event and the sales method of the product")</f>
        <v>A data processing device for the sales method of the event and the sales method of the product</v>
      </c>
    </row>
    <row r="3763" spans="1:5" ht="15" x14ac:dyDescent="0.25">
      <c r="A3763" s="5" t="s">
        <v>10512</v>
      </c>
      <c r="B3763" s="6" t="s">
        <v>10513</v>
      </c>
      <c r="C3763" s="3" t="str">
        <f ca="1">IFERROR(__xludf.DUMMYFUNCTION("GOOGLETRANSLATE(B3763,""auto"",""en"")"),"1. The name of the product in this exterior: a mobile phone with a graphical interface.
 2. The purpose of designing products in this exterior: The design of the product in this exterior is used for running procedures, communicating, and human -machine "&amp;"interaction.
 3. The interface purpose of designing the product in this exterior: the graphic user interface of the main view of the product is used to display the song situation in the music cache library. In the display of the user's running, such as "&amp;"the length of running, distance, and step frequency information, the played music is displayed below the interface.
 4. The design of the design of the product in this exterior: lies in the graphic interface and content in the screen.
 5. The most imp"&amp;"ortant picture or photo of the design design of this appearance: main view.")</f>
        <v>1. The name of the product in this exterior: a mobile phone with a graphical interface.
 2. The purpose of designing products in this exterior: The design of the product in this exterior is used for running procedures, communicating, and human -machine interaction.
 3. The interface purpose of designing the product in this exterior: the graphic user interface of the main view of the product is used to display the song situation in the music cache library. In the display of the user's running, such as the length of running, distance, and step frequency information, the played music is displayed below the interface.
 4. The design of the design of the product in this exterior: lies in the graphic interface and content in the screen.
 5. The most important picture or photo of the design design of this appearance: main view.</v>
      </c>
      <c r="D3763" s="6" t="s">
        <v>10514</v>
      </c>
      <c r="E3763" s="4" t="str">
        <f ca="1">IFERROR(__xludf.DUMMYFUNCTION("GOOGLETRANSLATE(D3763,""auto"",""en"")"),"Mobile phone with graphical interface")</f>
        <v>Mobile phone with graphical interface</v>
      </c>
    </row>
    <row r="3764" spans="1:5" ht="15" x14ac:dyDescent="0.25">
      <c r="A3764" s="5" t="s">
        <v>10515</v>
      </c>
      <c r="B3764" s="6" t="s">
        <v>10516</v>
      </c>
      <c r="C3764" s="3" t="str">
        <f ca="1">IFERROR(__xludf.DUMMYFUNCTION("GOOGLETRANSLATE(B3764,""auto"",""en"")"),"The present invention involves a multi -functional fitness machine that can conduct a variety of different exercises on the whole body. More specifically, the present invention involves a power tower machine specifically. Among them, users use the combina"&amp;"tion of users' weight (gym) and variable flexible bands to provide additional help or resistance.
  The advanced power tower that is disclosed here combines the layout of multiple handles, various pulleys, elastic ropes and steel wires. These ropes and "&amp;"wire are connected to a special belt worn by the user. The elastic rope depends on the anchor point from the top or bottom pulley, which helps or resistance to users who exercise. A set of sensors, processors, and Bluetooth transmission units are integrat"&amp;"ed on the power tower, and the performance indicators of multiple exercise performance indicators are processed, transmitted, processed, and manages by special mobile applications provided by virtual coach functions.
  In addition, through the Internet "&amp;"connection, mobile applications provide the IoT (Internet of Things) concepts, which can compete with other users using the same machine and mobile applications.")</f>
        <v>The present invention involves a multi -functional fitness machine that can conduct a variety of different exercises on the whole body. More specifically, the present invention involves a power tower machine specifically. Among them, users use the combination of users' weight (gym) and variable flexible bands to provide additional help or resistance.
  The advanced power tower that is disclosed here combines the layout of multiple handles, various pulleys, elastic ropes and steel wires. These ropes and wire are connected to a special belt worn by the user. The elastic rope depends on the anchor point from the top or bottom pulley, which helps or resistance to users who exercise. A set of sensors, processors, and Bluetooth transmission units are integrated on the power tower, and the performance indicators of multiple exercise performance indicators are processed, transmitted, processed, and manages by special mobile applications provided by virtual coach functions.
  In addition, through the Internet connection, mobile applications provide the IoT (Internet of Things) concepts, which can compete with other users using the same machine and mobile applications.</v>
      </c>
      <c r="D3764" s="6" t="s">
        <v>10517</v>
      </c>
      <c r="E3764" s="4" t="str">
        <f ca="1">IFERROR(__xludf.DUMMYFUNCTION("GOOGLETRANSLATE(D3764,""auto"",""en"")"),"Motion machine")</f>
        <v>Motion machine</v>
      </c>
    </row>
    <row r="3765" spans="1:5" ht="15" x14ac:dyDescent="0.25">
      <c r="A3765" s="5" t="s">
        <v>10518</v>
      </c>
      <c r="B3765" s="6" t="s">
        <v>10519</v>
      </c>
      <c r="C3765" s="3" t="str">
        <f ca="1">IFERROR(__xludf.DUMMYFUNCTION("GOOGLETRANSLATE(B3765,""auto"",""en"")"),"The present invention disclosed a group movement monitoring system, which is characterized by: this group's sports monitoring system consists of 3 parts: including sports bracelets, data collection terminals, and back -end cloud storage equipment; the imp"&amp;"lementation of the invention can enhance young people Physical quality; use high -tech means (reading and learning light monitoring) to protect the vision of young people; use high -tech means (sports testing) to quantify and supervise the sports of indiv"&amp;"idual students; use high -tech means (Internet of Things and big data) Traveling statistics from the movement of all students; improve the school's characteristics.")</f>
        <v>The present invention disclosed a group movement monitoring system, which is characterized by: this group's sports monitoring system consists of 3 parts: including sports bracelets, data collection terminals, and back -end cloud storage equipment; the implementation of the invention can enhance young people Physical quality; use high -tech means (reading and learning light monitoring) to protect the vision of young people; use high -tech means (sports testing) to quantify and supervise the sports of individual students; use high -tech means (Internet of Things and big data) Traveling statistics from the movement of all students; improve the school's characteristics.</v>
      </c>
      <c r="D3765" s="6" t="s">
        <v>10520</v>
      </c>
      <c r="E3765" s="4" t="str">
        <f ca="1">IFERROR(__xludf.DUMMYFUNCTION("GOOGLETRANSLATE(D3765,""auto"",""en"")"),"Group sports monitoring system")</f>
        <v>Group sports monitoring system</v>
      </c>
    </row>
    <row r="3766" spans="1:5" ht="15" x14ac:dyDescent="0.25">
      <c r="A3766" s="5" t="s">
        <v>10521</v>
      </c>
      <c r="B3766" s="6" t="s">
        <v>10522</v>
      </c>
      <c r="C3766" s="3" t="str">
        <f ca="1">IFERROR(__xludf.DUMMYFUNCTION("GOOGLETRANSLATE(B3766,""auto"",""en"")"),"This practical new type of intelligent fitness equipment that can be wireless charging, including: fitness equipment, wireless charging intelligent patch and wireless charging launch end, which can be removed from wireless charging intelligent patch and t"&amp;"he fitness equipment. The charging intelligent patch includes wireless IoT modules, batteries and wireless charging receiving terminals, which include the processor, sensor and wireless network transceiver, which collects the gravity acceleration and move"&amp;"ment of the fitness equipment during the use of fitness equipment. Information such as times, remaining power, and other information, the wireless charging transmission end is connected to the power supply, when the wireless charging receiving end is clos"&amp;"e to the wireless charging transmitted end, it will be charged wirelessly from the power supply to the battery. This utility model realizes the convenient wireless charging of fitness equipment and the use of intelligent monitoring fitness equipment, over"&amp;"coming the problem of charging demand for existing fitness equipment, facilitating daily maintenance and use, saving costs, strong practicality, and protecting the environment to protect the environment. The role.")</f>
        <v>This practical new type of intelligent fitness equipment that can be wireless charging, including: fitness equipment, wireless charging intelligent patch and wireless charging launch end, which can be removed from wireless charging intelligent patch and the fitness equipment. The charging intelligent patch includes wireless IoT modules, batteries and wireless charging receiving terminals, which include the processor, sensor and wireless network transceiver, which collects the gravity acceleration and movement of the fitness equipment during the use of fitness equipment. Information such as times, remaining power, and other information, the wireless charging transmission end is connected to the power supply, when the wireless charging receiving end is close to the wireless charging transmitted end, it will be charged wirelessly from the power supply to the battery. This utility model realizes the convenient wireless charging of fitness equipment and the use of intelligent monitoring fitness equipment, overcoming the problem of charging demand for existing fitness equipment, facilitating daily maintenance and use, saving costs, strong practicality, and protecting the environment to protect the environment. The role.</v>
      </c>
      <c r="D3766" s="6" t="s">
        <v>10523</v>
      </c>
      <c r="E3766" s="4" t="str">
        <f ca="1">IFERROR(__xludf.DUMMYFUNCTION("GOOGLETRANSLATE(D3766,""auto"",""en"")"),"Wireless charging intelligent fitness equipment")</f>
        <v>Wireless charging intelligent fitness equipment</v>
      </c>
    </row>
    <row r="3767" spans="1:5" ht="15" x14ac:dyDescent="0.25">
      <c r="A3767" s="5" t="s">
        <v>10524</v>
      </c>
      <c r="B3767" s="6" t="s">
        <v>10525</v>
      </c>
      <c r="C3767" s="3" t="str">
        <f ca="1">IFERROR(__xludf.DUMMYFUNCTION("GOOGLETRANSLATE(B3767,""auto"",""en"")"),"The invention provides an interactive guidance system based on the Internet of Things, which has unique sound output for installation. According to the invention, the Internet of Things -based interactive guidance system with unique sound output is tradit"&amp;"ional instruments such as drum/long drums/gag piano/Datin, western musical instruments such as flute/violin/wind piano/wind piano, various biology, local specialty products , Waves and devices that reflect the same natural phenomenon, the structure is fix"&amp;"ed in support to attract tourists' attention, as well as specific spaces, such as general buildings, architectural structures, government offices, department stores, sports centers, museums, libraries, Parks, Parks And Trail is set in the entrance area to"&amp;" automatically identify people entering a specific space, output the unique sound of the corresponding device characteristics, output various voice greeting information/voice guidance information, different from the traditional guidance system. Due to dyn"&amp;"amic and three -dimensional visitor guidance, it may become possible. It has technical characteristics that can attract interest and interest in visitors. The IoT -based interactive guidance system that is used for the device with unique sound output base"&amp;"d on the present invention includes the main framework of the entrance area of ​​a specific space; the fixture fixed on the main frame 10; the structural sound setting module 30 Set and store the structural sound corresponding to the features of structure"&amp;" 20. Guide information setting module 40 to set the guidance information provided to visiting visitors entering a specific space entrance area; visitors recognition module 50, installed within the main frame 10, determine whether the visitors enter the se"&amp;"t visitors recognition area, and when the visitors enter Calculate the visitor to enter the relevant information; connect with the visitors recognition module 50, through the visitor's entry to the receiver to enter the relevant information, and generate "&amp;"the output sound information corresponding to the relevant information of the relevant information. It is installed on the main frame 10 and is configured to include sound output module 70. The sound output module 70 receives the output sound information "&amp;"of the corresponding sound generated module 60 from the visitor to the visitor and outputs it to the outside.")</f>
        <v>The invention provides an interactive guidance system based on the Internet of Things, which has unique sound output for installation. According to the invention, the Internet of Things -based interactive guidance system with unique sound output is traditional instruments such as drum/long drums/gag piano/Datin, western musical instruments such as flute/violin/wind piano/wind piano, various biology, local specialty products , Waves and devices that reflect the same natural phenomenon, the structure is fixed in support to attract tourists' attention, as well as specific spaces, such as general buildings, architectural structures, government offices, department stores, sports centers, museums, libraries, Parks, Parks And Trail is set in the entrance area to automatically identify people entering a specific space, output the unique sound of the corresponding device characteristics, output various voice greeting information/voice guidance information, different from the traditional guidance system. Due to dynamic and three -dimensional visitor guidance, it may become possible. It has technical characteristics that can attract interest and interest in visitors. The IoT -based interactive guidance system that is used for the device with unique sound output based on the present invention includes the main framework of the entrance area of ​​a specific space; the fixture fixed on the main frame 10; the structural sound setting module 30 Set and store the structural sound corresponding to the features of structure 20. Guide information setting module 40 to set the guidance information provided to visiting visitors entering a specific space entrance area; visitors recognition module 50, installed within the main frame 10, determine whether the visitors enter the set visitors recognition area, and when the visitors enter Calculate the visitor to enter the relevant information; connect with the visitors recognition module 50, through the visitor's entry to the receiver to enter the relevant information, and generate the output sound information corresponding to the relevant information of the relevant information. It is installed on the main frame 10 and is configured to include sound output module 70. The sound output module 70 receives the output sound information of the corresponding sound generated module 60 from the visitor to the visitor and outputs it to the outside.</v>
      </c>
      <c r="D3767" s="6" t="s">
        <v>10526</v>
      </c>
      <c r="E3767" s="4" t="str">
        <f ca="1">IFERROR(__xludf.DUMMYFUNCTION("GOOGLETRANSLATE(D3767,""auto"",""en"")"),"Based on the Internet of Things interactive guidance system, there is a unique installation sound output")</f>
        <v>Based on the Internet of Things interactive guidance system, there is a unique installation sound output</v>
      </c>
    </row>
    <row r="3768" spans="1:5" ht="15" x14ac:dyDescent="0.25">
      <c r="A3768" s="5" t="s">
        <v>10527</v>
      </c>
      <c r="B3768" s="6" t="s">
        <v>10528</v>
      </c>
      <c r="C3768" s="3" t="str">
        <f ca="1">IFERROR(__xludf.DUMMYFUNCTION("GOOGLETRANSLATE(B3768,""auto"",""en"")"),"The IoT -based aircraft simulator used to simplify the aircraft simulator configuration based on the present invention includes the cockpit system installed with a line -changing unit (LRU), the host system connected to the LRU by the Internet of Things, "&amp;"and the host system through objects through object systems The connection to the host system is connected to the host system. Since it includes the coaching seat system that sends and receives data through the system, it can omit the configuration of the "&amp;"input/output system and eliminate traditional complex cables. Therefore Sex, as well as the efficiency and cost of operations, have a reduction effect.")</f>
        <v>The IoT -based aircraft simulator used to simplify the aircraft simulator configuration based on the present invention includes the cockpit system installed with a line -changing unit (LRU), the host system connected to the LRU by the Internet of Things, and the host system through objects through object systems The connection to the host system is connected to the host system. Since it includes the coaching seat system that sends and receives data through the system, it can omit the configuration of the input/output system and eliminate traditional complex cables. Therefore Sex, as well as the efficiency and cost of operations, have a reduction effect.</v>
      </c>
      <c r="D3768" s="6" t="s">
        <v>10529</v>
      </c>
      <c r="E3768" s="4" t="str">
        <f ca="1">IFERROR(__xludf.DUMMYFUNCTION("GOOGLETRANSLATE(D3768,""auto"",""en"")"),"Aircraft simulator based on the Internet of Things")</f>
        <v>Aircraft simulator based on the Internet of Things</v>
      </c>
    </row>
    <row r="3769" spans="1:5" ht="15" x14ac:dyDescent="0.25">
      <c r="A3769" s="5" t="s">
        <v>10530</v>
      </c>
      <c r="B3769" s="6" t="s">
        <v>10531</v>
      </c>
      <c r="C3769" s="3" t="str">
        <f ca="1">IFERROR(__xludf.DUMMYFUNCTION("GOOGLETRANSLATE(B3769,""auto"",""en"")"),"The present invention involves multiple online games and it provides multiple online games. According to the embodiment of the present invention, multiplayer online game servers include environmental information collection units, which collect and execute"&amp;" multi -human online games with multiple clients of game driving related environmental information; The environmental quality related to the client game operation; artificial intelligence execution unit, is used to implement pre -manufactured artificial i"&amp;"ntelligence based on the determined environmental quality. Among them, the artificial intelligence execution unit is configured as when the environmental quality of the critical time is determined, at multiple clients on multiple clients, Operate the role"&amp;" of the game. Move in the game in the game with the free client that did not enter the input in the predetermined period and at least one corresponding game character in the disconnected client of the multi -online game server within the scheduled time pe"&amp;"riod with the communication between the multi -online game server. running")</f>
        <v>The present invention involves multiple online games and it provides multiple online games. According to the embodiment of the present invention, multiplayer online game servers include environmental information collection units, which collect and execute multi -human online games with multiple clients of game driving related environmental information; The environmental quality related to the client game operation; artificial intelligence execution unit, is used to implement pre -manufactured artificial intelligence based on the determined environmental quality. Among them, the artificial intelligence execution unit is configured as when the environmental quality of the critical time is determined, at multiple clients on multiple clients, Operate the role of the game. Move in the game in the game with the free client that did not enter the input in the predetermined period and at least one corresponding game character in the disconnected client of the multi -online game server within the scheduled time period with the communication between the multi -online game server. running</v>
      </c>
      <c r="D3769" s="6" t="s">
        <v>10532</v>
      </c>
      <c r="E3769" s="4" t="str">
        <f ca="1">IFERROR(__xludf.DUMMYFUNCTION("GOOGLETRANSLATE(D3769,""auto"",""en"")"),"Multiple online game servers and methods to provide multiple online game services")</f>
        <v>Multiple online game servers and methods to provide multiple online game services</v>
      </c>
    </row>
    <row r="3770" spans="1:5" ht="15" x14ac:dyDescent="0.25">
      <c r="A3770" s="5" t="s">
        <v>10533</v>
      </c>
      <c r="B3770" s="6" t="s">
        <v>10534</v>
      </c>
      <c r="C3770" s="3" t="str">
        <f ca="1">IFERROR(__xludf.DUMMYFUNCTION("GOOGLETRANSLATE(B3770,""auto"",""en"")"),"The invention involves a desktop game management system in the casinos with multiple game tables, including: game record device, which will record the game of the game on the game table; The image analysis of the image; and the control device, which ident"&amp;"ifies the position, type and quantity of the bargaining chip of the player on the game table through the image analysis device. Essence Form, each player is provided with a designated identification number, which can associate the chips with the identific"&amp;"ation number of the player who bet the chip, and the control device also has a function that can recognize the position. Technology, the number of chips, types and quantities of players bet in each game, identify the total number and history of the total "&amp;"bets of each game, and identify the number and history of each player's betting chips at the time of each game. The scheduled number of games has passed.")</f>
        <v>The invention involves a desktop game management system in the casinos with multiple game tables, including: game record device, which will record the game of the game on the game table; The image analysis of the image; and the control device, which identifies the position, type and quantity of the bargaining chip of the player on the game table through the image analysis device. Essence Form, each player is provided with a designated identification number, which can associate the chips with the identification number of the player who bet the chip, and the control device also has a function that can recognize the position. Technology, the number of chips, types and quantities of players bet in each game, identify the total number and history of the total bets of each game, and identify the number and history of each player's betting chips at the time of each game. The scheduled number of games has passed.</v>
      </c>
      <c r="D3770" s="6" t="s">
        <v>10535</v>
      </c>
      <c r="E3770" s="4" t="str">
        <f ca="1">IFERROR(__xludf.DUMMYFUNCTION("GOOGLETRANSLATE(D3770,""auto"",""en"")"),"Casino fraud detection system")</f>
        <v>Casino fraud detection system</v>
      </c>
    </row>
    <row r="3771" spans="1:5" ht="15" x14ac:dyDescent="0.25">
      <c r="A3771" s="5" t="s">
        <v>10536</v>
      </c>
      <c r="B3771" s="6" t="s">
        <v>10537</v>
      </c>
      <c r="C3771" s="3" t="str">
        <f ca="1">IFERROR(__xludf.DUMMYFUNCTION("GOOGLETRANSLATE(B3771,""auto"",""en"")"),"This utility model opens up a smart basketball training system based on the Internet of Things. It is composed of smart basketball training uniforms and smart basketball data analysis centers. The smart basketball training suit includes three -axis gravit"&amp;"y acceleration sensor, three -axis gyroscope, and Three -axis magnetic meter, modulus converter, signal conditioning circuit, microprocessor module, power supply and wireless communication module; the smart basketball data analysis center includes wireles"&amp;"s gateway, cloud server, personal mobile monitoring terminal one, and individual mobile monitoring Terminal two. This utility model has the advantages of simple structure, humanization, professionalism, etc., and can analyze and guide the trainer of baske"&amp;"tball training. When the trainer is trained, the technical movement data of the trainer will be generated in real time. It is obtained by the professional analysis of the trainer's technical actions, which can effectively guide the technical techniques of"&amp;" basketball trainers, standardize the technical movements of the trainer, and help traineers improve the level of basketball.")</f>
        <v>This utility model opens up a smart basketball training system based on the Internet of Things. It is composed of smart basketball training uniforms and smart basketball data analysis centers. The smart basketball training suit includes three -axis gravity acceleration sensor, three -axis gyroscope, and Three -axis magnetic meter, modulus converter, signal conditioning circuit, microprocessor module, power supply and wireless communication module; the smart basketball data analysis center includes wireless gateway, cloud server, personal mobile monitoring terminal one, and individual mobile monitoring Terminal two. This utility model has the advantages of simple structure, humanization, professionalism, etc., and can analyze and guide the trainer of basketball training. When the trainer is trained, the technical movement data of the trainer will be generated in real time. It is obtained by the professional analysis of the trainer's technical actions, which can effectively guide the technical techniques of basketball trainers, standardize the technical movements of the trainer, and help traineers improve the level of basketball.</v>
      </c>
      <c r="D3771" s="6" t="s">
        <v>10538</v>
      </c>
      <c r="E3771" s="4" t="str">
        <f ca="1">IFERROR(__xludf.DUMMYFUNCTION("GOOGLETRANSLATE(D3771,""auto"",""en"")"),"Intelligent basketball training system based on the Internet of Things")</f>
        <v>Intelligent basketball training system based on the Internet of Things</v>
      </c>
    </row>
    <row r="3772" spans="1:5" ht="15" x14ac:dyDescent="0.25">
      <c r="A3772" s="5" t="s">
        <v>10539</v>
      </c>
      <c r="B3772" s="6" t="s">
        <v>10540</v>
      </c>
      <c r="C3772" s="3" t="str">
        <f ca="1">IFERROR(__xludf.DUMMYFUNCTION("GOOGLETRANSLATE(B3772,""auto"",""en"")"),"The invention disclosed a smart basketball training system based on the Internet of Things. It is composed of smart basketball training uniforms and smart basketball data analysis centers. Axial magnetic composition, mold converter, signal conditioning ci"&amp;"rcuit, microprocessor module, power supply and wireless communication module; the smart basketball data analysis center includes wireless gateway, cloud server, personal mobile monitoring terminal one, and individual mobile monitoring terminals two. The p"&amp;"resent invention has the advantages of simple structure, humanity, professionalism, etc., and can analyze and guide the trainer of basketball training. When the trainer is trained, the technical movement data of the trainer will be generated in real time."&amp;" The professional analysis of the trainer's technical actions can effectively guide the technical of basketball trainers, standardize the technical movements of the trainer, and help traineers improve the level of basketball.")</f>
        <v>The invention disclosed a smart basketball training system based on the Internet of Things. It is composed of smart basketball training uniforms and smart basketball data analysis centers. Axial magnetic composition, mold converter, signal conditioning circuit, microprocessor module, power supply and wireless communication module; the smart basketball data analysis center includes wireless gateway, cloud server, personal mobile monitoring terminal one, and individual mobile monitoring terminals two. The present invention has the advantages of simple structure, humanity, professionalism, etc., and can analyze and guide the trainer of basketball training. When the trainer is trained, the technical movement data of the trainer will be generated in real time. The professional analysis of the trainer's technical actions can effectively guide the technical of basketball trainers, standardize the technical movements of the trainer, and help traineers improve the level of basketball.</v>
      </c>
      <c r="D3772" s="6" t="s">
        <v>10538</v>
      </c>
      <c r="E3772" s="4" t="str">
        <f ca="1">IFERROR(__xludf.DUMMYFUNCTION("GOOGLETRANSLATE(D3772,""auto"",""en"")"),"Intelligent basketball training system based on the Internet of Things")</f>
        <v>Intelligent basketball training system based on the Internet of Things</v>
      </c>
    </row>
    <row r="3773" spans="1:5" ht="15" x14ac:dyDescent="0.25">
      <c r="A3773" s="5" t="s">
        <v>10541</v>
      </c>
      <c r="B3773" s="6" t="s">
        <v>10542</v>
      </c>
      <c r="C3773" s="3" t="str">
        <f ca="1">IFERROR(__xludf.DUMMYFUNCTION("GOOGLETRANSLATE(B3773,""auto"",""en"")"),"The present invention provides a smart data processing system for fitness equipment, including sensors, signal pre -processing modules, data storage modules, A/D modules, USB interface chips, PIC intelligent processing chips, input and output devices and "&amp;"output equipment, the output end of the sensor, the output end of the sensor Connected to the input terminal of the signal pre -processing module, the output end of the signal pre -processing module is connected to the input terminal of the A/D module, th"&amp;"e output end of the A/D module is connected to the input terminal of the PIC intelligent processing chip, the output of the PIC intelligent processing chip output The end of the end is connected to the input terminal of the output device. The PIC intellig"&amp;"ent processing chip is also connected to the USB interface chip, data storage module, and input and output device. The present invention uses PIC intelligent processing chips to record and analyze the collected data, realize human -machine interaction fun"&amp;"ctions, and intelligently enables the existing fitness to be intelligent, and facilitate the fitness of the fitness to view their fitness historical data.")</f>
        <v>The present invention provides a smart data processing system for fitness equipment, including sensors, signal pre -processing modules, data storage modules, A/D modules, USB interface chips, PIC intelligent processing chips, input and output devices and output equipment, the output end of the sensor, the output end of the sensor Connected to the input terminal of the signal pre -processing module, the output end of the signal pre -processing module is connected to the input terminal of the A/D module, the output end of the A/D module is connected to the input terminal of the PIC intelligent processing chip, the output of the PIC intelligent processing chip output The end of the end is connected to the input terminal of the output device. The PIC intelligent processing chip is also connected to the USB interface chip, data storage module, and input and output device. The present invention uses PIC intelligent processing chips to record and analyze the collected data, realize human -machine interaction functions, and intelligently enables the existing fitness to be intelligent, and facilitate the fitness of the fitness to view their fitness historical data.</v>
      </c>
      <c r="D3773" s="6" t="s">
        <v>10543</v>
      </c>
      <c r="E3773" s="4" t="str">
        <f ca="1">IFERROR(__xludf.DUMMYFUNCTION("GOOGLETRANSLATE(D3773,""auto"",""en"")"),"A smart data processing system for a fitness equipment")</f>
        <v>A smart data processing system for a fitness equipment</v>
      </c>
    </row>
    <row r="3774" spans="1:5" ht="15" x14ac:dyDescent="0.25">
      <c r="A3774" s="5" t="s">
        <v>10544</v>
      </c>
      <c r="B3774" s="6" t="s">
        <v>10545</v>
      </c>
      <c r="C3774" s="3" t="str">
        <f ca="1">IFERROR(__xludf.DUMMYFUNCTION("GOOGLETRANSLATE(B3774,""auto"",""en"")"),"1. The name of the product in this exterior: beverage self -lifting machine (Internet of Things 1).
 2. The purpose of designing products in this exterior: The design of the product in this exterior is used for an automatic sales machine for beverage in"&amp;" a stadium and public fitness venues, and the beverage self -lifted machine (Internet of Things 1).
 3. The design of the design of the product in this exterior: the shape of the beverage self -lifting machine (IoT 1).
 4. It can most indicate picture"&amp;"s or photos of design design in this appearance: stereo.")</f>
        <v>1. The name of the product in this exterior: beverage self -lifting machine (Internet of Things 1).
 2. The purpose of designing products in this exterior: The design of the product in this exterior is used for an automatic sales machine for beverage in a stadium and public fitness venues, and the beverage self -lifted machine (Internet of Things 1).
 3. The design of the design of the product in this exterior: the shape of the beverage self -lifting machine (IoT 1).
 4. It can most indicate pictures or photos of design design in this appearance: stereo.</v>
      </c>
      <c r="D3774" s="6" t="s">
        <v>10546</v>
      </c>
      <c r="E3774" s="4" t="str">
        <f ca="1">IFERROR(__xludf.DUMMYFUNCTION("GOOGLETRANSLATE(D3774,""auto"",""en"")"),"Beverage self -lifting machine (Internet of Things 1)")</f>
        <v>Beverage self -lifting machine (Internet of Things 1)</v>
      </c>
    </row>
    <row r="3775" spans="1:5" ht="15" x14ac:dyDescent="0.25">
      <c r="A3775" s="5" t="s">
        <v>10547</v>
      </c>
      <c r="B3775" s="6" t="s">
        <v>10548</v>
      </c>
      <c r="C3775" s="3" t="str">
        <f ca="1">IFERROR(__xludf.DUMMYFUNCTION("GOOGLETRANSLATE(B3775,""auto"",""en"")"),"The invention involves the field of flight control, and a remote control method of drone is disclosed. In the embodiment of the present invention, there are at least one type of drone apps installed on the remote control remote control of the remote contr"&amp;"ol drone, and different applications correspond to different types of drone types; When starting one of the drones, load the configuration file according to the startup application; where the configuration file contains the location information of the vir"&amp;"tual operation keys that controls the drone in the human -machine interaction interface; Human -machine interaction interface; collect the user's operating information of the physical operation keys; convert the operating information of the physical opera"&amp;"ting key into a touch signal of the virtual operating key in the human -machine interaction interface, and transform the conversion touch signal conversion Send to the drone to control the command to control the control command of the drone. The embodimen"&amp;"t of the present invention can achieve remote control of a variety of drones without any transformation of drones.")</f>
        <v>The invention involves the field of flight control, and a remote control method of drone is disclosed. In the embodiment of the present invention, there are at least one type of drone apps installed on the remote control remote control of the remote control drone, and different applications correspond to different types of drone types; When starting one of the drones, load the configuration file according to the startup application; where the configuration file contains the location information of the virtual operation keys that controls the drone in the human -machine interaction interface; Human -machine interaction interface; collect the user's operating information of the physical operation keys; convert the operating information of the physical operating key into a touch signal of the virtual operating key in the human -machine interaction interface, and transform the conversion touch signal conversion Send to the drone to control the command to control the control command of the drone. The embodiment of the present invention can achieve remote control of a variety of drones without any transformation of drones.</v>
      </c>
      <c r="D3775" s="6" t="s">
        <v>10549</v>
      </c>
      <c r="E3775" s="4" t="str">
        <f ca="1">IFERROR(__xludf.DUMMYFUNCTION("GOOGLETRANSLATE(D3775,""auto"",""en"")"),"A remote control method and remote control device for drones")</f>
        <v>A remote control method and remote control device for drones</v>
      </c>
    </row>
    <row r="3776" spans="1:5" ht="15" x14ac:dyDescent="0.25">
      <c r="A3776" s="5" t="s">
        <v>10550</v>
      </c>
      <c r="B3776" s="6" t="s">
        <v>10551</v>
      </c>
      <c r="C3776" s="3" t="str">
        <f ca="1">IFERROR(__xludf.DUMMYFUNCTION("GOOGLETRANSLATE(B3776,""auto"",""en"")"),"An artificial intelligence automatic speed regulating treadmill includes: lower framework, which forms the lower part of the treadmill, which is extended along the front and rear directions of the treadmill by the artificial intelligence automatic speed; "&amp;"The upper part of the upright main body is equipped with a manual control department for display windows and the speed of manual control of users; driving the motor, which is formed on one side of the lower frame; the rotating belt is wrapped in the front"&amp;" and rear rollers of the lower framework. , Driven by the driver motor and repeatedly rotated; the lower support board, its support is installed in the lower frame of the subordinate, installed below the upper side of the rotating belt, the overall shape;"&amp;" the sensor department; It processs the signal entered from the sensor department, confirms the identity of the user who gives the ID, and stores the moving information of the user who confirms the identity.")</f>
        <v>An artificial intelligence automatic speed regulating treadmill includes: lower framework, which forms the lower part of the treadmill, which is extended along the front and rear directions of the treadmill by the artificial intelligence automatic speed; The upper part of the upright main body is equipped with a manual control department for display windows and the speed of manual control of users; driving the motor, which is formed on one side of the lower frame; the rotating belt is wrapped in the front and rear rollers of the lower framework. , Driven by the driver motor and repeatedly rotated; the lower support board, its support is installed in the lower frame of the subordinate, installed below the upper side of the rotating belt, the overall shape; the sensor department; It processs the signal entered from the sensor department, confirms the identity of the user who gives the ID, and stores the moving information of the user who confirms the identity.</v>
      </c>
      <c r="D3776" s="6" t="s">
        <v>2184</v>
      </c>
      <c r="E3776" s="4" t="str">
        <f ca="1">IFERROR(__xludf.DUMMYFUNCTION("GOOGLETRANSLATE(D3776,""auto"",""en"")"),"Artificial intelligence automatic speed adjustment treadmill")</f>
        <v>Artificial intelligence automatic speed adjustment treadmill</v>
      </c>
    </row>
    <row r="3777" spans="1:5" ht="15" x14ac:dyDescent="0.25">
      <c r="A3777" s="5" t="s">
        <v>10552</v>
      </c>
      <c r="B3777" s="6" t="s">
        <v>10553</v>
      </c>
      <c r="C3777" s="3" t="str">
        <f ca="1">IFERROR(__xludf.DUMMYFUNCTION("GOOGLETRANSLATE(B3777,""auto"",""en"")"),"An automatic dusher of a badminton porn, including the inhaled stations, image judgment stations, mobile adjustment stations and molding stations set on the conveyor belt, and the conveyor adjustment station, mobile adjustment station, mobile adjustment s"&amp;"tation, mobile adjustment station, and drainage. The set chain belt, with multiple clamp heads on the two chains. The automatic module of this utility model of badminton wool sheet adopts an automatic conveyor belt, combined with image judgment and feathe"&amp;"r adjustment components. After the judgment of the image recognition software, the feathers are adjusted by adjusting the grill. Made of badminton has the advantages of steady flight trajectory.")</f>
        <v>An automatic dusher of a badminton porn, including the inhaled stations, image judgment stations, mobile adjustment stations and molding stations set on the conveyor belt, and the conveyor adjustment station, mobile adjustment station, mobile adjustment station, mobile adjustment station, and drainage. The set chain belt, with multiple clamp heads on the two chains. The automatic module of this utility model of badminton wool sheet adopts an automatic conveyor belt, combined with image judgment and feather adjustment components. After the judgment of the image recognition software, the feathers are adjusted by adjusting the grill. Made of badminton has the advantages of steady flight trajectory.</v>
      </c>
      <c r="D3777" s="6" t="s">
        <v>10554</v>
      </c>
      <c r="E3777" s="4" t="str">
        <f ca="1">IFERROR(__xludf.DUMMYFUNCTION("GOOGLETRANSLATE(D3777,""auto"",""en"")"),"An automatic molding machine for a badminton hairboard")</f>
        <v>An automatic molding machine for a badminton hairboard</v>
      </c>
    </row>
    <row r="3778" spans="1:5" ht="15" x14ac:dyDescent="0.25">
      <c r="A3778" s="5" t="s">
        <v>10555</v>
      </c>
      <c r="B3778" s="6" t="s">
        <v>10556</v>
      </c>
      <c r="C3778" s="3" t="str">
        <f ca="1">IFERROR(__xludf.DUMMYFUNCTION("GOOGLETRANSLATE(B3778,""auto"",""en"")"),"An automatic dusher of a badminton porn, including the inhaled stations, image judgment stations, mobile adjustment stations and molding stations set on the conveyor belt, and the conveyor adjustment station, mobile adjustment station, mobile adjustment s"&amp;"tation, mobile adjustment station, and drainage. The set chain belt, with multiple clamp heads on the two chains. The automatic molding machine of the badminton film of the present invention adopts an automatic conveyor belt, with image judgment and feath"&amp;"er adjustment components. After the judgment of the image recognition software, the feathers are adjusted by adjusting the grill. Complete badminton has the advantages of steady flight trajectory.")</f>
        <v>An automatic dusher of a badminton porn, including the inhaled stations, image judgment stations, mobile adjustment stations and molding stations set on the conveyor belt, and the conveyor adjustment station, mobile adjustment station, mobile adjustment station, mobile adjustment station, and drainage. The set chain belt, with multiple clamp heads on the two chains. The automatic molding machine of the badminton film of the present invention adopts an automatic conveyor belt, with image judgment and feather adjustment components. After the judgment of the image recognition software, the feathers are adjusted by adjusting the grill. Complete badminton has the advantages of steady flight trajectory.</v>
      </c>
      <c r="D3778" s="6" t="s">
        <v>10554</v>
      </c>
      <c r="E3778" s="4" t="str">
        <f ca="1">IFERROR(__xludf.DUMMYFUNCTION("GOOGLETRANSLATE(D3778,""auto"",""en"")"),"An automatic molding machine for a badminton hairboard")</f>
        <v>An automatic molding machine for a badminton hairboard</v>
      </c>
    </row>
    <row r="3779" spans="1:5" ht="15" x14ac:dyDescent="0.25">
      <c r="A3779" s="5" t="s">
        <v>10557</v>
      </c>
      <c r="B3779" s="6" t="s">
        <v>10558</v>
      </c>
      <c r="C3779" s="3" t="str">
        <f ca="1">IFERROR(__xludf.DUMMYFUNCTION("GOOGLETRANSLATE(B3779,""auto"",""en"")"),"This utility model provides an intelligent competitive trail based on IoT technology, including trails, LED indicators and intelligent interactive controllers; multiple LED indicator lights are evenly distributed in the trail according to the length of th"&amp;"e trail; each LED indicator light is between the LED indicator lights Communication connection; intelligent interactive controller set at the starting point of the trail, and communicate with each other with each LED indicator to control each LED indicato"&amp;"r light opening mode. After selecting the motion mode in the intelligent interactive controller, the LED indicator is turned on one by one according to the set time according to different motion modes. The athletes refer to the speed of the LED indicator "&amp;"in the process of running, and the LED indicator lights. Competition to achieve the purpose of intuitive and accurate understanding of your own movement.")</f>
        <v>This utility model provides an intelligent competitive trail based on IoT technology, including trails, LED indicators and intelligent interactive controllers; multiple LED indicator lights are evenly distributed in the trail according to the length of the trail; each LED indicator light is between the LED indicator lights Communication connection; intelligent interactive controller set at the starting point of the trail, and communicate with each other with each LED indicator to control each LED indicator light opening mode. After selecting the motion mode in the intelligent interactive controller, the LED indicator is turned on one by one according to the set time according to different motion modes. The athletes refer to the speed of the LED indicator in the process of running, and the LED indicator lights. Competition to achieve the purpose of intuitive and accurate understanding of your own movement.</v>
      </c>
      <c r="D3779" s="6" t="s">
        <v>10559</v>
      </c>
      <c r="E3779" s="4" t="str">
        <f ca="1">IFERROR(__xludf.DUMMYFUNCTION("GOOGLETRANSLATE(D3779,""auto"",""en"")"),"A intelligent competitive trail based on IoT technology")</f>
        <v>A intelligent competitive trail based on IoT technology</v>
      </c>
    </row>
    <row r="3780" spans="1:5" ht="15" x14ac:dyDescent="0.25">
      <c r="A3780" s="5" t="s">
        <v>10560</v>
      </c>
      <c r="B3780" s="6" t="s">
        <v>10561</v>
      </c>
      <c r="C3780" s="3" t="str">
        <f ca="1">IFERROR(__xludf.DUMMYFUNCTION("GOOGLETRANSLATE(B3780,""auto"",""en"")"),"During the on -site competitive activities such as sports competitions or non -on -site media demonstrations, a enhanced user experience structure is provided through smooth, rich and personalized information flow. Users with users with an application com"&amp;"ponent can experience the content, activity, and automatic synchronization of the entity, activity and time in the live competition that are watching. This is achieved by applying logic at least input and physical/activity/time based on the continuous rec"&amp;"ognition of at least natural language processing technology. Through the automatic recognition of on -site competitions, teams, stadiums, players, etc., and highly related content on the second user equipment, the media of the media on the event of the ev"&amp;"ent on the first user device present Object that is interacting.")</f>
        <v>During the on -site competitive activities such as sports competitions or non -on -site media demonstrations, a enhanced user experience structure is provided through smooth, rich and personalized information flow. Users with users with an application component can experience the content, activity, and automatic synchronization of the entity, activity and time in the live competition that are watching. This is achieved by applying logic at least input and physical/activity/time based on the continuous recognition of at least natural language processing technology. Through the automatic recognition of on -site competitions, teams, stadiums, players, etc., and highly related content on the second user equipment, the media of the media on the event of the event on the first user device present Object that is interacting.</v>
      </c>
      <c r="D3780" s="6" t="s">
        <v>10562</v>
      </c>
      <c r="E3780" s="4" t="str">
        <f ca="1">IFERROR(__xludf.DUMMYFUNCTION("GOOGLETRANSLATE(D3780,""auto"",""en"")"),"Enhanced experience of media demonstration activities")</f>
        <v>Enhanced experience of media demonstration activities</v>
      </c>
    </row>
    <row r="3781" spans="1:5" ht="15" x14ac:dyDescent="0.25">
      <c r="A3781" s="5" t="s">
        <v>10563</v>
      </c>
      <c r="B3781" s="6" t="s">
        <v>10564</v>
      </c>
      <c r="C3781" s="3" t="str">
        <f ca="1">IFERROR(__xludf.DUMMYFUNCTION("GOOGLETRANSLATE(B3781,""auto"",""en"")"),"A person's fall risk can be determined based on machine learning algorithms. The falling risk information can be used to notify the person's falling risk of the person's fall. This information can be used to monitor and track changes in the risk of fallin"&amp;"g risks affected by health, lifestyle behavior or medical changes. In addition, the risk of falling risk can help individuals be more careful in the days when they fall. The risk of falling can be estimated to use a machine learning algorithm. The algorit"&amp;"hm can process data from the load sensor by calculating the basic and high -end intermittent balance model (PEM) stability indicator.")</f>
        <v>A person's fall risk can be determined based on machine learning algorithms. The falling risk information can be used to notify the person's falling risk of the person's fall. This information can be used to monitor and track changes in the risk of falling risks affected by health, lifestyle behavior or medical changes. In addition, the risk of falling risk can help individuals be more careful in the days when they fall. The risk of falling can be estimated to use a machine learning algorithm. The algorithm can process data from the load sensor by calculating the basic and high -end intermittent balance model (PEM) stability indicator.</v>
      </c>
      <c r="D3781" s="6" t="s">
        <v>4580</v>
      </c>
      <c r="E3781" s="4" t="str">
        <f ca="1">IFERROR(__xludf.DUMMYFUNCTION("GOOGLETRANSLATE(D3781,""auto"",""en"")"),"Use machine learning algorithm to identify the risk of falling down")</f>
        <v>Use machine learning algorithm to identify the risk of falling down</v>
      </c>
    </row>
    <row r="3782" spans="1:5" ht="15" x14ac:dyDescent="0.25">
      <c r="A3782" s="5" t="s">
        <v>10565</v>
      </c>
      <c r="B3782" s="6" t="s">
        <v>10564</v>
      </c>
      <c r="C3782" s="3" t="str">
        <f ca="1">IFERROR(__xludf.DUMMYFUNCTION("GOOGLETRANSLATE(B3782,""auto"",""en"")"),"A person's fall risk can be determined based on machine learning algorithms. The falling risk information can be used to notify the person's falling risk of the person's fall. This information can be used to monitor and track changes in the risk of fallin"&amp;"g risks affected by health, lifestyle behavior or medical changes. In addition, the risk of falling risk can help individuals be more careful in the days when they fall. The risk of falling can be estimated to use a machine learning algorithm. The algorit"&amp;"hm can process data from the load sensor by calculating the basic and high -end intermittent balance model (PEM) stability indicator.")</f>
        <v>A person's fall risk can be determined based on machine learning algorithms. The falling risk information can be used to notify the person's falling risk of the person's fall. This information can be used to monitor and track changes in the risk of falling risks affected by health, lifestyle behavior or medical changes. In addition, the risk of falling risk can help individuals be more careful in the days when they fall. The risk of falling can be estimated to use a machine learning algorithm. The algorithm can process data from the load sensor by calculating the basic and high -end intermittent balance model (PEM) stability indicator.</v>
      </c>
      <c r="D3782" s="6" t="s">
        <v>4580</v>
      </c>
      <c r="E3782" s="4" t="str">
        <f ca="1">IFERROR(__xludf.DUMMYFUNCTION("GOOGLETRANSLATE(D3782,""auto"",""en"")"),"Use machine learning algorithm to identify the risk of falling down")</f>
        <v>Use machine learning algorithm to identify the risk of falling down</v>
      </c>
    </row>
    <row r="3783" spans="1:5" ht="15" x14ac:dyDescent="0.25">
      <c r="A3783" s="5" t="s">
        <v>10566</v>
      </c>
      <c r="B3783" s="6" t="s">
        <v>8050</v>
      </c>
      <c r="C3783" s="3" t="str">
        <f ca="1">IFERROR(__xludf.DUMMYFUNCTION("GOOGLETRANSLATE(B3783,""auto"",""en"")"),"A person's fall risk can be determined based on machine learning algorithms. Poor risk information can be used to notify individuals and/or third -party monitoring personnel (such as doctors, physical therapists, private coaches, etc.). This information c"&amp;"an be used to monitor and track changes in the risk of falling risks affected by health, lifestyle behavior or medical changes. In addition, the risk of falling risk can help individuals more careful in the days when the risk of falling is higher. You can"&amp;" use machine learning algorithms to estimate the risk of falling. The algorithm can process data from the load sensor by calculating the basic and high -end interruption balance model (PEM) stability indicator.")</f>
        <v>A person's fall risk can be determined based on machine learning algorithms. Poor risk information can be used to notify individuals and/or third -party monitoring personnel (such as doctors, physical therapists, private coaches, etc.). This information can be used to monitor and track changes in the risk of falling risks affected by health, lifestyle behavior or medical changes. In addition, the risk of falling risk can help individuals more careful in the days when the risk of falling is higher. You can use machine learning algorithms to estimate the risk of falling. The algorithm can process data from the load sensor by calculating the basic and high -end interruption balance model (PEM) stability indicator.</v>
      </c>
      <c r="D3783" s="6" t="s">
        <v>4580</v>
      </c>
      <c r="E3783" s="4" t="str">
        <f ca="1">IFERROR(__xludf.DUMMYFUNCTION("GOOGLETRANSLATE(D3783,""auto"",""en"")"),"Use machine learning algorithm to identify the risk of falling down")</f>
        <v>Use machine learning algorithm to identify the risk of falling down</v>
      </c>
    </row>
    <row r="3784" spans="1:5" ht="15" x14ac:dyDescent="0.25">
      <c r="A3784" s="5" t="s">
        <v>10567</v>
      </c>
      <c r="B3784" s="6" t="s">
        <v>10568</v>
      </c>
      <c r="C3784" s="3" t="str">
        <f ca="1">IFERROR(__xludf.DUMMYFUNCTION("GOOGLETRANSLATE(B3784,""auto"",""en"")"),"A person's fall risk can be determined based on machine learning algorithms. The fall risk information can be used to notify the person and/or monitor the person's risk of falling risk of the person's fall. This information can be used to monitor and trac"&amp;"k changes in the risk of falling, which may be affected by the health status, lifestyle behavior or medical changes. In addition, the risk of falling risk can help individuals more careful in the days when the risk of falling is higher. The risk of fallin"&amp;"g can be estimated to use a machine learning algorithm. The algorithm can process data from the load sensor by calculating the basic and high -end intermittent balance model (PEM) stability indicator.")</f>
        <v>A person's fall risk can be determined based on machine learning algorithms. The fall risk information can be used to notify the person and/or monitor the person's risk of falling risk of the person's fall. This information can be used to monitor and track changes in the risk of falling, which may be affected by the health status, lifestyle behavior or medical changes. In addition, the risk of falling risk can help individuals more careful in the days when the risk of falling is higher. The risk of falling can be estimated to use a machine learning algorithm. The algorithm can process data from the load sensor by calculating the basic and high -end intermittent balance model (PEM) stability indicator.</v>
      </c>
      <c r="D3784" s="6" t="s">
        <v>10569</v>
      </c>
      <c r="E3784" s="4" t="str">
        <f ca="1">IFERROR(__xludf.DUMMYFUNCTION("GOOGLETRANSLATE(D3784,""auto"",""en"")"),"Methods, systems, and devices for determining the stability of human posture and risk of falling down")</f>
        <v>Methods, systems, and devices for determining the stability of human posture and risk of falling down</v>
      </c>
    </row>
    <row r="3785" spans="1:5" ht="15" x14ac:dyDescent="0.25">
      <c r="A3785" s="5" t="s">
        <v>10570</v>
      </c>
      <c r="B3785" s="6" t="s">
        <v>4579</v>
      </c>
      <c r="C3785" s="3" t="str">
        <f ca="1">IFERROR(__xludf.DUMMYFUNCTION("GOOGLETRANSLATE(B3785,""auto"",""en"")"),"You can determine the risk of people's fall based on machine learning algorithms. You can use the fall risk information to inform the person and/or third -party monitoring personnel (such as doctors, physiotherapists, private coaches, etc.). This informat"&amp;"ion can be used to monitor and track changes that may be affected by changes in health, lifestyle or medical care. In addition, the risk of falling risk can help individuals be more careful in their risks when they fall. You can use machine learning algor"&amp;"ithms to estimate the risk of falling. The machine learning algorithm can process data from the load sensor by calculating the basic and high -end intermittent balance model (PEM) stability measurement.")</f>
        <v>You can determine the risk of people's fall based on machine learning algorithms. You can use the fall risk information to inform the person and/or third -party monitoring personnel (such as doctors, physiotherapists, private coaches, etc.). This information can be used to monitor and track changes that may be affected by changes in health, lifestyle or medical care. In addition, the risk of falling risk can help individuals be more careful in their risks when they fall. You can use machine learning algorithms to estimate the risk of falling. The machine learning algorithm can process data from the load sensor by calculating the basic and high -end intermittent balance model (PEM) stability measurement.</v>
      </c>
      <c r="D3785" s="6" t="s">
        <v>4580</v>
      </c>
      <c r="E3785" s="4" t="str">
        <f ca="1">IFERROR(__xludf.DUMMYFUNCTION("GOOGLETRANSLATE(D3785,""auto"",""en"")"),"Use machine learning algorithm to identify the risk of falling down")</f>
        <v>Use machine learning algorithm to identify the risk of falling down</v>
      </c>
    </row>
    <row r="3786" spans="1:5" ht="15" x14ac:dyDescent="0.25">
      <c r="A3786" s="5" t="s">
        <v>10571</v>
      </c>
      <c r="B3786" s="6" t="s">
        <v>4579</v>
      </c>
      <c r="C3786" s="3" t="str">
        <f ca="1">IFERROR(__xludf.DUMMYFUNCTION("GOOGLETRANSLATE(B3786,""auto"",""en"")"),"You can determine the risk of people's fall based on machine learning algorithms. You can use the fall risk information to inform the person and/or third -party monitoring personnel (such as doctors, physiotherapists, private coaches, etc.). This informat"&amp;"ion can be used to monitor and track changes that may be affected by changes in health, lifestyle or medical care. In addition, the risk of falling risk can help individuals be more careful in their risks when they fall. You can use machine learning algor"&amp;"ithms to estimate the risk of falling. The machine learning algorithm can process data from the load sensor by calculating the basic and high -end intermittent balance model (PEM) stability measurement.")</f>
        <v>You can determine the risk of people's fall based on machine learning algorithms. You can use the fall risk information to inform the person and/or third -party monitoring personnel (such as doctors, physiotherapists, private coaches, etc.). This information can be used to monitor and track changes that may be affected by changes in health, lifestyle or medical care. In addition, the risk of falling risk can help individuals be more careful in their risks when they fall. You can use machine learning algorithms to estimate the risk of falling. The machine learning algorithm can process data from the load sensor by calculating the basic and high -end intermittent balance model (PEM) stability measurement.</v>
      </c>
      <c r="D3786" s="6" t="s">
        <v>4580</v>
      </c>
      <c r="E3786" s="4" t="str">
        <f ca="1">IFERROR(__xludf.DUMMYFUNCTION("GOOGLETRANSLATE(D3786,""auto"",""en"")"),"Use machine learning algorithm to identify the risk of falling down")</f>
        <v>Use machine learning algorithm to identify the risk of falling down</v>
      </c>
    </row>
    <row r="3787" spans="1:5" ht="15" x14ac:dyDescent="0.25">
      <c r="A3787" s="5" t="s">
        <v>10572</v>
      </c>
      <c r="B3787" s="6" t="s">
        <v>10564</v>
      </c>
      <c r="C3787" s="3" t="str">
        <f ca="1">IFERROR(__xludf.DUMMYFUNCTION("GOOGLETRANSLATE(B3787,""auto"",""en"")"),"A person's fall risk can be determined based on machine learning algorithms. The falling risk information can be used to notify the person's falling risk of the person's fall. This information can be used to monitor and track changes in the risk of fallin"&amp;"g risks affected by health, lifestyle behavior or medical changes. In addition, the risk of falling risk can help individuals be more careful in the days when they fall. The risk of falling can be estimated to use a machine learning algorithm. The algorit"&amp;"hm can process data from the load sensor by calculating the basic and high -end intermittent balance model (PEM) stability indicator.")</f>
        <v>A person's fall risk can be determined based on machine learning algorithms. The falling risk information can be used to notify the person's falling risk of the person's fall. This information can be used to monitor and track changes in the risk of falling risks affected by health, lifestyle behavior or medical changes. In addition, the risk of falling risk can help individuals be more careful in the days when they fall. The risk of falling can be estimated to use a machine learning algorithm. The algorithm can process data from the load sensor by calculating the basic and high -end intermittent balance model (PEM) stability indicator.</v>
      </c>
      <c r="D3787" s="6" t="s">
        <v>4580</v>
      </c>
      <c r="E3787" s="4" t="str">
        <f ca="1">IFERROR(__xludf.DUMMYFUNCTION("GOOGLETRANSLATE(D3787,""auto"",""en"")"),"Use machine learning algorithm to identify the risk of falling down")</f>
        <v>Use machine learning algorithm to identify the risk of falling down</v>
      </c>
    </row>
    <row r="3788" spans="1:5" ht="15" x14ac:dyDescent="0.25">
      <c r="A3788" s="5" t="s">
        <v>10573</v>
      </c>
      <c r="B3788" s="6" t="s">
        <v>10574</v>
      </c>
      <c r="C3788" s="3" t="str">
        <f ca="1">IFERROR(__xludf.DUMMYFUNCTION("GOOGLETRANSLATE(B3788,""auto"",""en"")"),"The invention discloses a machine vision -based ball -based smart robotic coach and referee system. It belongs to the field of machine vision, including machine visual subsystems, video recording subsystems, racing subsystems, training subsystems, human -"&amp;"machine interaction subsystems, cloud storage storage Systems and client systems; the present invention can make a precise judgment of the ball trajectory in the ball competition, which is convenient for the referee. At the same time, data statistical ana"&amp;"lysis and training level analysis are more convenient and practical.")</f>
        <v>The invention discloses a machine vision -based ball -based smart robotic coach and referee system. It belongs to the field of machine vision, including machine visual subsystems, video recording subsystems, racing subsystems, training subsystems, human -machine interaction subsystems, cloud storage storage Systems and client systems; the present invention can make a precise judgment of the ball trajectory in the ball competition, which is convenient for the referee. At the same time, data statistical analysis and training level analysis are more convenient and practical.</v>
      </c>
      <c r="D3788" s="6" t="s">
        <v>10575</v>
      </c>
      <c r="E3788" s="4" t="str">
        <f ca="1">IFERROR(__xludf.DUMMYFUNCTION("GOOGLETRANSLATE(D3788,""auto"",""en"")"),"Ball -based smart robotic coach and referee system based on machine vision")</f>
        <v>Ball -based smart robotic coach and referee system based on machine vision</v>
      </c>
    </row>
    <row r="3789" spans="1:5" ht="15" x14ac:dyDescent="0.25">
      <c r="A3789" s="5" t="s">
        <v>10576</v>
      </c>
      <c r="B3789" s="6" t="s">
        <v>10577</v>
      </c>
      <c r="C3789" s="3" t="str">
        <f ca="1">IFERROR(__xludf.DUMMYFUNCTION("GOOGLETRANSLATE(B3789,""auto"",""en"")"),"The invention is a flexible film -based screen or lighting device with a stack structure or a single -layer structure. Layers (41A-D, 51A-E, 61A-D, 81-85, 86A-C, 87A-C) preferably use transparent polymers, solar plate layers (82) with screen structures ca"&amp;"n be directly collected. By using different quantities of LED layers, different resolution can be obtained. You can use the framework (12) and the connection device (64, 67A), and the special connection principle can enable the selection layer and/or adja"&amp;"cent module (11, 20) of a single module (11, 20) to electrical coupling The present invention can be used for any plane or non -plane shape, and can be used as a single -sided (80A, 80C) or double -sided (80B, 80D, 80E) LED screen or lighting device, such"&amp;" as: as information screens, transportation information tools, advertising, advertising Platform, construction media surface, stadium and various entertainment purposes. Wireless and IoT connection devices can be provided in the device.")</f>
        <v>The invention is a flexible film -based screen or lighting device with a stack structure or a single -layer structure. Layers (41A-D, 51A-E, 61A-D, 81-85, 86A-C, 87A-C) preferably use transparent polymers, solar plate layers (82) with screen structures can be directly collected. By using different quantities of LED layers, different resolution can be obtained. You can use the framework (12) and the connection device (64, 67A), and the special connection principle can enable the selection layer and/or adjacent module (11, 20) of a single module (11, 20) to electrical coupling The present invention can be used for any plane or non -plane shape, and can be used as a single -sided (80A, 80C) or double -sided (80B, 80D, 80E) LED screen or lighting device, such as: as information screens, transportation information tools, advertising, advertising Platform, construction media surface, stadium and various entertainment purposes. Wireless and IoT connection devices can be provided in the device.</v>
      </c>
      <c r="D3789" s="6" t="s">
        <v>10578</v>
      </c>
      <c r="E3789" s="4" t="str">
        <f ca="1">IFERROR(__xludf.DUMMYFUNCTION("GOOGLETRANSLATE(D3789,""auto"",""en"")"),"LED screen or lighting device with flexible thin film structure")</f>
        <v>LED screen or lighting device with flexible thin film structure</v>
      </c>
    </row>
    <row r="3790" spans="1:5" ht="15" x14ac:dyDescent="0.25">
      <c r="A3790" s="5" t="s">
        <v>10579</v>
      </c>
      <c r="B3790" s="6" t="s">
        <v>10580</v>
      </c>
      <c r="C3790" s="3" t="str">
        <f ca="1">IFERROR(__xludf.DUMMYFUNCTION("GOOGLETRANSLATE(B3790,""auto"",""en"")"),"A system and method for identifying and timing athletes during the time sports event. The athletes use image recognition technology to take time to athletes. Among them, one or more images of athletes taken by cameras (106A, 106B, or 106C) were stamped wi"&amp;"th time stamps to generate athletes' completion time during sports events. By comparing one of the images that will be taken during the sports event, the athlete is compared with the athlete's personal data image.")</f>
        <v>A system and method for identifying and timing athletes during the time sports event. The athletes use image recognition technology to take time to athletes. Among them, one or more images of athletes taken by cameras (106A, 106B, or 106C) were stamped with time stamps to generate athletes' completion time during sports events. By comparing one of the images that will be taken during the sports event, the athlete is compared with the athlete's personal data image.</v>
      </c>
      <c r="D3790" s="6" t="s">
        <v>10581</v>
      </c>
      <c r="E3790" s="4" t="str">
        <f ca="1">IFERROR(__xludf.DUMMYFUNCTION("GOOGLETRANSLATE(D3790,""auto"",""en"")"),"Systems and methods used for event timing and photography")</f>
        <v>Systems and methods used for event timing and photography</v>
      </c>
    </row>
    <row r="3791" spans="1:5" ht="15" x14ac:dyDescent="0.25">
      <c r="A3791" s="5" t="s">
        <v>10582</v>
      </c>
      <c r="B3791" s="6" t="s">
        <v>10583</v>
      </c>
      <c r="C3791" s="3" t="str">
        <f ca="1">IFERROR(__xludf.DUMMYFUNCTION("GOOGLETRANSLATE(B3791,""auto"",""en"")"),"The invention is a flexible film -based screen or lighting device with a stack structure or a single -layer structure. Transparent polymers are preferably used for different layers, and energy can be collected directly through the solar plate layer of the"&amp;" screen structure. Different resolution can be obtained by using different numbers with LEDs. You can use the framework and the connection device, and the special connection principle enables the selection layer of a single module and the selection layer "&amp;"of/or the adjacent module. The present invention can be used for any plane or non -flat shape, and can be used as a single or double -sided LED screen or lighting device, such as as information screen, traffic information means, advertising platforms, con"&amp;"struction media surfaces, stadiums and various entertainment purposes Essence Wireless and IoT connection devices can be provided in the device.")</f>
        <v>The invention is a flexible film -based screen or lighting device with a stack structure or a single -layer structure. Transparent polymers are preferably used for different layers, and energy can be collected directly through the solar plate layer of the screen structure. Different resolution can be obtained by using different numbers with LEDs. You can use the framework and the connection device, and the special connection principle enables the selection layer of a single module and the selection layer of/or the adjacent module. The present invention can be used for any plane or non -flat shape, and can be used as a single or double -sided LED screen or lighting device, such as as information screen, traffic information means, advertising platforms, construction media surfaces, stadiums and various entertainment purposes Essence Wireless and IoT connection devices can be provided in the device.</v>
      </c>
      <c r="D3791" s="6" t="s">
        <v>10578</v>
      </c>
      <c r="E3791" s="4" t="str">
        <f ca="1">IFERROR(__xludf.DUMMYFUNCTION("GOOGLETRANSLATE(D3791,""auto"",""en"")"),"LED screen or lighting device with flexible thin film structure")</f>
        <v>LED screen or lighting device with flexible thin film structure</v>
      </c>
    </row>
    <row r="3792" spans="1:5" ht="15" x14ac:dyDescent="0.25">
      <c r="A3792" s="5" t="s">
        <v>10584</v>
      </c>
      <c r="B3792" s="6" t="s">
        <v>10585</v>
      </c>
      <c r="C3792" s="3" t="str">
        <f ca="1">IFERROR(__xludf.DUMMYFUNCTION("GOOGLETRANSLATE(B3792,""auto"",""en"")"),"The invention is a flexible film -based screen or lighting device with a stack structure or a single -layer structure. Transparent polymers are preferred for layers (41A-D, 51A-E, 61A-D, 81-85, 86A-C, 87A-C), and can collect energy directly through the so"&amp;"lar panel layer (82) of the screen structure. Different resolution can be obtained by using different numbers with LEDs. You can use the framework (12) and the connection device (64, 67A), and the special connection principle enables the selection layer a"&amp;"nd/or adjacent module (11, 20) of a single module (11, 20) to electrical coupling combination The present invention can be used for any plane or non -plane shape, and can be used as a single -sided (80A, 80C) or double -sided (80B, 80D, 80E) LED screen or"&amp;" lighting device, such as: as information screens, transportation information means, advertising, advertising Platform, construction media surface, stadium and various entertainment purposes. Wireless and IoT connection devices can be provided in the devi"&amp;"ce.")</f>
        <v>The invention is a flexible film -based screen or lighting device with a stack structure or a single -layer structure. Transparent polymers are preferred for layers (41A-D, 51A-E, 61A-D, 81-85, 86A-C, 87A-C), and can collect energy directly through the solar panel layer (82) of the screen structure. Different resolution can be obtained by using different numbers with LEDs. You can use the framework (12) and the connection device (64, 67A), and the special connection principle enables the selection layer and/or adjacent module (11, 20) of a single module (11, 20) to electrical coupling combination The present invention can be used for any plane or non -plane shape, and can be used as a single -sided (80A, 80C) or double -sided (80B, 80D, 80E) LED screen or lighting device, such as: as information screens, transportation information means, advertising, advertising Platform, construction media surface, stadium and various entertainment purposes. Wireless and IoT connection devices can be provided in the device.</v>
      </c>
      <c r="D3792" s="6" t="s">
        <v>10578</v>
      </c>
      <c r="E3792" s="4" t="str">
        <f ca="1">IFERROR(__xludf.DUMMYFUNCTION("GOOGLETRANSLATE(D3792,""auto"",""en"")"),"LED screen or lighting device with flexible thin film structure")</f>
        <v>LED screen or lighting device with flexible thin film structure</v>
      </c>
    </row>
    <row r="3793" spans="1:5" ht="15" x14ac:dyDescent="0.25">
      <c r="A3793" s="5" t="s">
        <v>10586</v>
      </c>
      <c r="B3793" s="6" t="s">
        <v>10577</v>
      </c>
      <c r="C3793" s="3" t="str">
        <f ca="1">IFERROR(__xludf.DUMMYFUNCTION("GOOGLETRANSLATE(B3793,""auto"",""en"")"),"The invention is a flexible film -based screen or lighting device with a stack structure or a single -layer structure. Layers (41A-D, 51A-E, 61A-D, 81-85, 86A-C, 87A-C) preferably use transparent polymers, solar plate layers (82) with screen structures ca"&amp;"n be directly collected. By using different quantities of LED layers, different resolution can be obtained. You can use the framework (12) and the connection device (64, 67A), and the special connection principle can enable the selection layer and/or adja"&amp;"cent module (11, 20) of a single module (11, 20) to electrical coupling The present invention can be used for any plane or non -plane shape, and can be used as a single -sided (80A, 80C) or double -sided (80B, 80D, 80E) LED screen or lighting device, such"&amp;" as: as information screens, transportation information tools, advertising, advertising Platform, construction media surface, stadium and various entertainment purposes. Wireless and IoT connection devices can be provided in the device.")</f>
        <v>The invention is a flexible film -based screen or lighting device with a stack structure or a single -layer structure. Layers (41A-D, 51A-E, 61A-D, 81-85, 86A-C, 87A-C) preferably use transparent polymers, solar plate layers (82) with screen structures can be directly collected. By using different quantities of LED layers, different resolution can be obtained. You can use the framework (12) and the connection device (64, 67A), and the special connection principle can enable the selection layer and/or adjacent module (11, 20) of a single module (11, 20) to electrical coupling The present invention can be used for any plane or non -plane shape, and can be used as a single -sided (80A, 80C) or double -sided (80B, 80D, 80E) LED screen or lighting device, such as: as information screens, transportation information tools, advertising, advertising Platform, construction media surface, stadium and various entertainment purposes. Wireless and IoT connection devices can be provided in the device.</v>
      </c>
      <c r="D3793" s="6" t="s">
        <v>10578</v>
      </c>
      <c r="E3793" s="4" t="str">
        <f ca="1">IFERROR(__xludf.DUMMYFUNCTION("GOOGLETRANSLATE(D3793,""auto"",""en"")"),"LED screen or lighting device with flexible thin film structure")</f>
        <v>LED screen or lighting device with flexible thin film structure</v>
      </c>
    </row>
    <row r="3794" spans="1:5" ht="15" x14ac:dyDescent="0.25">
      <c r="A3794" s="5" t="s">
        <v>10587</v>
      </c>
      <c r="B3794" s="6" t="s">
        <v>10577</v>
      </c>
      <c r="C3794" s="3" t="str">
        <f ca="1">IFERROR(__xludf.DUMMYFUNCTION("GOOGLETRANSLATE(B3794,""auto"",""en"")"),"The invention is a flexible film -based screen or lighting device with a stack structure or a single -layer structure. Layers (41A-D, 51A-E, 61A-D, 81-85, 86A-C, 87A-C) preferably use transparent polymers, solar plate layers (82) with screen structures ca"&amp;"n be directly collected. By using different quantities of LED layers, different resolution can be obtained. You can use the framework (12) and the connection device (64, 67A), and the special connection principle can enable the selection layer and/or adja"&amp;"cent module (11, 20) of a single module (11, 20) to electrical coupling The present invention can be used for any plane or non -plane shape, and can be used as a single -sided (80A, 80C) or double -sided (80B, 80D, 80E) LED screen or lighting device, such"&amp;" as: as information screens, transportation information tools, advertising, advertising Platform, construction media surface, stadium and various entertainment purposes. Wireless and IoT connection devices can be provided in the device.")</f>
        <v>The invention is a flexible film -based screen or lighting device with a stack structure or a single -layer structure. Layers (41A-D, 51A-E, 61A-D, 81-85, 86A-C, 87A-C) preferably use transparent polymers, solar plate layers (82) with screen structures can be directly collected. By using different quantities of LED layers, different resolution can be obtained. You can use the framework (12) and the connection device (64, 67A), and the special connection principle can enable the selection layer and/or adjacent module (11, 20) of a single module (11, 20) to electrical coupling The present invention can be used for any plane or non -plane shape, and can be used as a single -sided (80A, 80C) or double -sided (80B, 80D, 80E) LED screen or lighting device, such as: as information screens, transportation information tools, advertising, advertising Platform, construction media surface, stadium and various entertainment purposes. Wireless and IoT connection devices can be provided in the device.</v>
      </c>
      <c r="D3794" s="6" t="s">
        <v>10588</v>
      </c>
      <c r="E3794" s="4" t="str">
        <f ca="1">IFERROR(__xludf.DUMMYFUNCTION("GOOGLETRANSLATE(D3794,""auto"",""en"")"),"LED screen or lighting equipment with flexible thin film structure")</f>
        <v>LED screen or lighting equipment with flexible thin film structure</v>
      </c>
    </row>
    <row r="3795" spans="1:5" ht="15" x14ac:dyDescent="0.25">
      <c r="A3795" s="5" t="s">
        <v>10589</v>
      </c>
      <c r="B3795" s="6" t="s">
        <v>10577</v>
      </c>
      <c r="C3795" s="3" t="str">
        <f ca="1">IFERROR(__xludf.DUMMYFUNCTION("GOOGLETRANSLATE(B3795,""auto"",""en"")"),"The invention is a flexible film -based screen or lighting device with a stack structure or a single -layer structure. Layers (41A-D, 51A-E, 61A-D, 81-85, 86A-C, 87A-C) preferably use transparent polymers, solar plate layers (82) with screen structures ca"&amp;"n be directly collected. By using different quantities of LED layers, different resolution can be obtained. You can use the framework (12) and the connection device (64, 67A), and the special connection principle can enable the selection layer and/or adja"&amp;"cent module (11, 20) of a single module (11, 20) to electrical coupling The present invention can be used for any plane or non -plane shape, and can be used as a single -sided (80A, 80C) or double -sided (80B, 80D, 80E) LED screen or lighting device, such"&amp;" as: as information screens, transportation information tools, advertising, advertising Platform, construction media surface, stadium and various entertainment purposes. Wireless and IoT connection devices can be provided in the device.")</f>
        <v>The invention is a flexible film -based screen or lighting device with a stack structure or a single -layer structure. Layers (41A-D, 51A-E, 61A-D, 81-85, 86A-C, 87A-C) preferably use transparent polymers, solar plate layers (82) with screen structures can be directly collected. By using different quantities of LED layers, different resolution can be obtained. You can use the framework (12) and the connection device (64, 67A), and the special connection principle can enable the selection layer and/or adjacent module (11, 20) of a single module (11, 20) to electrical coupling The present invention can be used for any plane or non -plane shape, and can be used as a single -sided (80A, 80C) or double -sided (80B, 80D, 80E) LED screen or lighting device, such as: as information screens, transportation information tools, advertising, advertising Platform, construction media surface, stadium and various entertainment purposes. Wireless and IoT connection devices can be provided in the device.</v>
      </c>
      <c r="D3795" s="6" t="s">
        <v>10590</v>
      </c>
      <c r="E3795" s="4" t="str">
        <f ca="1">IFERROR(__xludf.DUMMYFUNCTION("GOOGLETRANSLATE(D3795,""auto"",""en"")"),"Flexible film structure LED light or lighting device")</f>
        <v>Flexible film structure LED light or lighting device</v>
      </c>
    </row>
    <row r="3796" spans="1:5" ht="15" x14ac:dyDescent="0.25">
      <c r="A3796" s="5" t="s">
        <v>10591</v>
      </c>
      <c r="B3796" s="6" t="s">
        <v>10592</v>
      </c>
      <c r="C3796" s="3" t="str">
        <f ca="1">IFERROR(__xludf.DUMMYFUNCTION("GOOGLETRANSLATE(B3796,""auto"",""en"")"),"The present invention provides a simple, efficient and secure installation and method setting of treadmill parameters. The device includes: treadmill fingerprint extraction module, treadmill network communication module, remote fingerprint analysis module"&amp;", remote parameter generation management module, treadmill control module, treadmill human machine interactive module. The technical effect of the present invention is: there is only one button setting device described in the current invention. The boot a"&amp;"nd parameter settings are completed in one step to avoid the misunderstanding of the athletes, but also provides a scientific movement through remote parameter generation management management. Guidance.")</f>
        <v>The present invention provides a simple, efficient and secure installation and method setting of treadmill parameters. The device includes: treadmill fingerprint extraction module, treadmill network communication module, remote fingerprint analysis module, remote parameter generation management module, treadmill control module, treadmill human machine interactive module. The technical effect of the present invention is: there is only one button setting device described in the current invention. The boot and parameter settings are completed in one step to avoid the misunderstanding of the athletes, but also provides a scientific movement through remote parameter generation management management. Guidance.</v>
      </c>
      <c r="D3796" s="6" t="s">
        <v>10593</v>
      </c>
      <c r="E3796" s="4" t="str">
        <f ca="1">IFERROR(__xludf.DUMMYFUNCTION("GOOGLETRANSLATE(D3796,""auto"",""en"")"),"A device and method of a treadmill parameter setting")</f>
        <v>A device and method of a treadmill parameter setting</v>
      </c>
    </row>
    <row r="3797" spans="1:5" ht="15" x14ac:dyDescent="0.25">
      <c r="A3797" s="5" t="s">
        <v>10594</v>
      </c>
      <c r="B3797" s="6" t="s">
        <v>10595</v>
      </c>
      <c r="C3797" s="3" t="str">
        <f ca="1">IFERROR(__xludf.DUMMYFUNCTION("GOOGLETRANSLATE(B3797,""auto"",""en"")"),"1. Design product name: Humanoid robot. 2. The purpose of designing products in this exterior: Not only for robotics, sensor information processing, artificial intelligence, gait planning, sports control, network and communication, human -machine interfac"&amp;"e and other fields and multi -disciplinary teaching and development. Robot competition, service and entertainment. 3. The main point of the design is: the shape of the product. 4. Pictures or photos that can best show design: stereo.")</f>
        <v>1. Design product name: Humanoid robot. 2. The purpose of designing products in this exterior: Not only for robotics, sensor information processing, artificial intelligence, gait planning, sports control, network and communication, human -machine interface and other fields and multi -disciplinary teaching and development. Robot competition, service and entertainment. 3. The main point of the design is: the shape of the product. 4. Pictures or photos that can best show design: stereo.</v>
      </c>
      <c r="D3797" s="6" t="s">
        <v>10596</v>
      </c>
      <c r="E3797" s="4" t="str">
        <f ca="1">IFERROR(__xludf.DUMMYFUNCTION("GOOGLETRANSLATE(D3797,""auto"",""en"")"),"Humanoid robot")</f>
        <v>Humanoid robot</v>
      </c>
    </row>
    <row r="3798" spans="1:5" ht="15" x14ac:dyDescent="0.25">
      <c r="A3798" s="5" t="s">
        <v>10597</v>
      </c>
      <c r="B3798" s="6" t="s">
        <v>10598</v>
      </c>
      <c r="C3798" s="3" t="str">
        <f ca="1">IFERROR(__xludf.DUMMYFUNCTION("GOOGLETRANSLATE(B3798,""auto"",""en"")"),"[Project] The photos of the participants (shooting images) taken in marathon and other activities, reduce the transmission time by inhibiting the reduction of the operating rate of the server and reducing the size of the image file to be transmitted. Imag"&amp;"e transmission equipment, image recognition devices, image transmission methods, image recognition methods and image processing can receive the identification results according to the number of images of the image by comparison and confirmation of the ima"&amp;"ge and the number of images that are transmitted by image recognition.
  Category code: A1 image transmission device detects the image data is saved, reads the image data, converts the read image data to the motion image of each scheduled number, and tr"&amp;"ansmits the motion image to the cloud computer. The image recognition equipment in the cloud computer according to the instruction of the image transmission device, according to the image data received from the image transmission device, while expanding t"&amp;"he cloud virtual computer horizontally, the image recognition processing Essence Go to image transmission equipment. send to 
  【Selection Figure】 Figure 1")</f>
        <v>[Project] The photos of the participants (shooting images) taken in marathon and other activities, reduce the transmission time by inhibiting the reduction of the operating rate of the server and reducing the size of the image file to be transmitted. Image transmission equipment, image recognition devices, image transmission methods, image recognition methods and image processing can receive the identification results according to the number of images of the image by comparison and confirmation of the image and the number of images that are transmitted by image recognition.
  Category code: A1 image transmission device detects the image data is saved, reads the image data, converts the read image data to the motion image of each scheduled number, and transmits the motion image to the cloud computer. The image recognition equipment in the cloud computer according to the instruction of the image transmission device, according to the image data received from the image transmission device, while expanding the cloud virtual computer horizontally, the image recognition processing Essence Go to image transmission equipment. send to 
  【Selection Figure】 Figure 1</v>
      </c>
      <c r="D3798" s="6" t="s">
        <v>10599</v>
      </c>
      <c r="E3798" s="4" t="str">
        <f ca="1">IFERROR(__xludf.DUMMYFUNCTION("GOOGLETRANSLATE(D3798,""auto"",""en"")"),"Image transmission device, image recognition device, image transmission method, image recognition method and image processing system")</f>
        <v>Image transmission device, image recognition device, image transmission method, image recognition method and image processing system</v>
      </c>
    </row>
    <row r="3799" spans="1:5" ht="15" x14ac:dyDescent="0.25">
      <c r="A3799" s="5" t="s">
        <v>10600</v>
      </c>
      <c r="B3799" s="6" t="s">
        <v>10601</v>
      </c>
      <c r="C3799" s="3" t="str">
        <f ca="1">IFERROR(__xludf.DUMMYFUNCTION("GOOGLETRANSLATE(B3799,""auto"",""en"")"),"This utility model opens a basketball competition control system based on the Internet of Things, including a single -chip module, a power module, LCD display module, voice alarm module, and wireless module connected to the single -chip microcomputer. The"&amp;" LCD display module includes the time display interface and the score display interface. The real -time score information is sent to the large dot matrix display. The circuit is simple, the cost is low, the accuracy and efficiency of the control are also "&amp;"high, the stability is good, easy to operate, and it shows intuitive. In terms of solving the basic functions of basketball games, it is more intelligent and humane.")</f>
        <v>This utility model opens a basketball competition control system based on the Internet of Things, including a single -chip module, a power module, LCD display module, voice alarm module, and wireless module connected to the single -chip microcomputer. The LCD display module includes the time display interface and the score display interface. The real -time score information is sent to the large dot matrix display. The circuit is simple, the cost is low, the accuracy and efficiency of the control are also high, the stability is good, easy to operate, and it shows intuitive. In terms of solving the basic functions of basketball games, it is more intelligent and humane.</v>
      </c>
      <c r="D3799" s="6" t="s">
        <v>10602</v>
      </c>
      <c r="E3799" s="4" t="str">
        <f ca="1">IFERROR(__xludf.DUMMYFUNCTION("GOOGLETRANSLATE(D3799,""auto"",""en"")"),"IoT -based basketball competition control system")</f>
        <v>IoT -based basketball competition control system</v>
      </c>
    </row>
    <row r="3800" spans="1:5" ht="15" x14ac:dyDescent="0.25">
      <c r="A3800" s="5" t="s">
        <v>10603</v>
      </c>
      <c r="B3800" s="6" t="s">
        <v>10604</v>
      </c>
      <c r="C3800" s="3" t="str">
        <f ca="1">IFERROR(__xludf.DUMMYFUNCTION("GOOGLETRANSLATE(B3800,""auto"",""en"")"),"The present invention discloses a table tennis referee training system. It is characterized by: including 3D scene modules, microprocessors, sound alarm modules, standard action database modules, Kinect action collection modules and standard action compar"&amp;"ison modules, action demonstration modules, systems, systems Set the unit, the output of the 3D scenario module is connected to the input terminal of the microprocessor. The input terminal is connected, the output of the standard action database module is"&amp;" connected to the input terminal of the standard action comparison module, and the output terminal of the standard action comparison module is connected to the input terminal of the microprocessor. The table tennis referee training system is the applicati"&amp;"on of IoT technology in the field of table tennis referee training. It integrates 3D virtual technology, IoT technology, action capture technology, and motion -catching analysis technology.")</f>
        <v>The present invention discloses a table tennis referee training system. It is characterized by: including 3D scene modules, microprocessors, sound alarm modules, standard action database modules, Kinect action collection modules and standard action comparison modules, action demonstration modules, systems, systems Set the unit, the output of the 3D scenario module is connected to the input terminal of the microprocessor. The input terminal is connected, the output of the standard action database module is connected to the input terminal of the standard action comparison module, and the output terminal of the standard action comparison module is connected to the input terminal of the microprocessor. The table tennis referee training system is the application of IoT technology in the field of table tennis referee training. It integrates 3D virtual technology, IoT technology, action capture technology, and motion -catching analysis technology.</v>
      </c>
      <c r="D3800" s="6" t="s">
        <v>10605</v>
      </c>
      <c r="E3800" s="4" t="str">
        <f ca="1">IFERROR(__xludf.DUMMYFUNCTION("GOOGLETRANSLATE(D3800,""auto"",""en"")"),"A Table Tennis Magazine Training System")</f>
        <v>A Table Tennis Magazine Training System</v>
      </c>
    </row>
    <row r="3801" spans="1:5" ht="15" x14ac:dyDescent="0.25">
      <c r="A3801" s="5" t="s">
        <v>10606</v>
      </c>
      <c r="B3801" s="6" t="s">
        <v>10607</v>
      </c>
      <c r="C3801" s="3" t="str">
        <f ca="1">IFERROR(__xludf.DUMMYFUNCTION("GOOGLETRANSLATE(B3801,""auto"",""en"")"),"The Internet of Things is intelligent with learning, work and fitness chairs, which belongs to daily necessities. Including: chair legs, chair surfaces, handrails, back, back -to -back adjustment agencies, the improvement is: hinge crane on the front and "&amp;"edges of the chair surface, install stepping rollers or pedals on the lower end of the boom, the lower part of the stepping roller or pedal or the lower part of the rod and the chair surface of the chair surface Connect the rear connection pull spring. Th"&amp;"ere are one or several massage rolling rollers on the back of the body on the back. The back -up angle adjustment mechanism consists of the assembly shell, manual adjustment rod, control gear, adjusting the rod back springs, and back to the snail spring a"&amp;"t the assembly shell, manual adjustment rod, control gear, adjustment rod. The overweight and timeout prompt device consisting of pressure sensors, human sensors, voice chips, wireless communication modules, and intelligent control chips. The useful new t"&amp;"ype of beneficial effect is to improve the degree of comfort and can do fitness exercises on it to avoid sitting over time. Deepen the obese people's attention to weight. It is beneficial to improve the quality of learning and work and relieve fatigue, an"&amp;"d meets the needs of modern learning and work.")</f>
        <v>The Internet of Things is intelligent with learning, work and fitness chairs, which belongs to daily necessities. Including: chair legs, chair surfaces, handrails, back, back -to -back adjustment agencies, the improvement is: hinge crane on the front and edges of the chair surface, install stepping rollers or pedals on the lower end of the boom, the lower part of the stepping roller or pedal or the lower part of the rod and the chair surface of the chair surface Connect the rear connection pull spring. There are one or several massage rolling rollers on the back of the body on the back. The back -up angle adjustment mechanism consists of the assembly shell, manual adjustment rod, control gear, adjusting the rod back springs, and back to the snail spring at the assembly shell, manual adjustment rod, control gear, adjustment rod. The overweight and timeout prompt device consisting of pressure sensors, human sensors, voice chips, wireless communication modules, and intelligent control chips. The useful new type of beneficial effect is to improve the degree of comfort and can do fitness exercises on it to avoid sitting over time. Deepen the obese people's attention to weight. It is beneficial to improve the quality of learning and work and relieve fatigue, and meets the needs of modern learning and work.</v>
      </c>
      <c r="D3801" s="6" t="s">
        <v>10608</v>
      </c>
      <c r="E3801" s="4" t="str">
        <f ca="1">IFERROR(__xludf.DUMMYFUNCTION("GOOGLETRANSLATE(D3801,""auto"",""en"")"),"The Internet of Things intelligent multi -use learning, work fitness sitting chairs")</f>
        <v>The Internet of Things intelligent multi -use learning, work fitness sitting chairs</v>
      </c>
    </row>
    <row r="3802" spans="1:5" ht="15" x14ac:dyDescent="0.25">
      <c r="A3802" s="5" t="s">
        <v>10609</v>
      </c>
      <c r="B3802" s="6" t="s">
        <v>10610</v>
      </c>
      <c r="C3802" s="3" t="str">
        <f ca="1">IFERROR(__xludf.DUMMYFUNCTION("GOOGLETRANSLATE(B3802,""auto"",""en"")"),"This utility model opens a type of coal suppression device, including the chassis shell. The upper end of the chassis shell is set with an independent hydraulic system, and the lower end is equipped with a workbench. In the middle of the upper surface, th"&amp;"e lower edge of the lower end of the independent hydraulic system is connected to the upper edge of the upper surface of the upper plate through the horizontal quasi -column. The iron column connects the mold, and the lower edge of the mold is installed o"&amp;"n the surface of the workbench through the mold fixing valve. This type of coal suppression device can regulate monitoring in real time during the suppression -type coal process. It uses hand -in -one operation to enhance human -computer interaction and s"&amp;"imple operation. The hydraulic system and electrical system are set in the chassis shell. Small occupation of coal that can achieve continuity and accuracy can be achieved.")</f>
        <v>This utility model opens a type of coal suppression device, including the chassis shell. The upper end of the chassis shell is set with an independent hydraulic system, and the lower end is equipped with a workbench. In the middle of the upper surface, the lower edge of the lower end of the independent hydraulic system is connected to the upper edge of the upper surface of the upper plate through the horizontal quasi -column. The iron column connects the mold, and the lower edge of the mold is installed on the surface of the workbench through the mold fixing valve. This type of coal suppression device can regulate monitoring in real time during the suppression -type coal process. It uses hand -in -one operation to enhance human -computer interaction and simple operation. The hydraulic system and electrical system are set in the chassis shell. Small occupation of coal that can achieve continuity and accuracy can be achieved.</v>
      </c>
      <c r="D3802" s="6" t="s">
        <v>10505</v>
      </c>
      <c r="E3802" s="4" t="str">
        <f ca="1">IFERROR(__xludf.DUMMYFUNCTION("GOOGLETRANSLATE(D3802,""auto"",""en"")"),"A type of coal suppression device")</f>
        <v>A type of coal suppression device</v>
      </c>
    </row>
    <row r="3803" spans="1:5" ht="15" x14ac:dyDescent="0.25">
      <c r="A3803" s="5" t="s">
        <v>10611</v>
      </c>
      <c r="B3803" s="6" t="s">
        <v>10612</v>
      </c>
      <c r="C3803" s="3" t="str">
        <f ca="1">IFERROR(__xludf.DUMMYFUNCTION("GOOGLETRANSLATE(B3803,""auto"",""en"")"),"The present invention provides a fitness assistance method and device based on image recognition, which includes fitness auxiliary methods: obtaining the user's muscle image; identification The user's muscle state and the user's basic information are dete"&amp;"rmined to be suitable for the fitness content of the user, and feedback the fitness content to the user. Based on image recognition -based fitness assistance methods and devices based on the embodiment of the present invention and determine the user's mus"&amp;"cle status by identifying the user's muscle images. The user's muscle state determines the personalized fitness content suitable for users. And it can help users' fitness in a targeted manner, and users can achieve better fitness effects.")</f>
        <v>The present invention provides a fitness assistance method and device based on image recognition, which includes fitness auxiliary methods: obtaining the user's muscle image; identification The user's muscle state and the user's basic information are determined to be suitable for the fitness content of the user, and feedback the fitness content to the user. Based on image recognition -based fitness assistance methods and devices based on the embodiment of the present invention and determine the user's muscle status by identifying the user's muscle images. The user's muscle state determines the personalized fitness content suitable for users. And it can help users' fitness in a targeted manner, and users can achieve better fitness effects.</v>
      </c>
      <c r="D3803" s="6" t="s">
        <v>10613</v>
      </c>
      <c r="E3803" s="4" t="str">
        <f ca="1">IFERROR(__xludf.DUMMYFUNCTION("GOOGLETRANSLATE(D3803,""auto"",""en"")"),"Fitness auxiliary methods and devices based on image recognition")</f>
        <v>Fitness auxiliary methods and devices based on image recognition</v>
      </c>
    </row>
    <row r="3804" spans="1:5" ht="15" x14ac:dyDescent="0.25">
      <c r="A3804" s="5" t="s">
        <v>10614</v>
      </c>
      <c r="B3804" s="6" t="s">
        <v>10615</v>
      </c>
      <c r="C3804" s="3" t="str">
        <f ca="1">IFERROR(__xludf.DUMMYFUNCTION("GOOGLETRANSLATE(B3804,""auto"",""en"")"),"In the case of using a smart toy with a built -in toys (400), when the execution command is processed by the voice recognition command to control the internal sensor and physical exercise equipment, the voice recognition supported by Android supported by "&amp;"the voice command from the smartphone After the function is recognized, the recognition result value is transmitted to the toy platform (400) through the wireless Wi-Fi. When the toy design device (200) on the PC is set, the Wi-Fi inside the Toy Connector"&amp;" (300) device- Including information about how to access and process voice recognition servers through FI.")</f>
        <v>In the case of using a smart toy with a built -in toys (400), when the execution command is processed by the voice recognition command to control the internal sensor and physical exercise equipment, the voice recognition supported by Android supported by the voice command from the smartphone After the function is recognized, the recognition result value is transmitted to the toy platform (400) through the wireless Wi-Fi. When the toy design device (200) on the PC is set, the Wi-Fi inside the Toy Connector (300) device- Including information about how to access and process voice recognition servers through FI.</v>
      </c>
      <c r="D3804" s="6" t="s">
        <v>10616</v>
      </c>
      <c r="E3804" s="4" t="str">
        <f ca="1">IFERROR(__xludf.DUMMYFUNCTION("GOOGLETRANSLATE(D3804,""auto"",""en"")"),"Control method of using voice recognition smart toys")</f>
        <v>Control method of using voice recognition smart toys</v>
      </c>
    </row>
    <row r="3805" spans="1:5" ht="15" x14ac:dyDescent="0.25">
      <c r="A3805" s="5" t="s">
        <v>10617</v>
      </c>
      <c r="B3805" s="6" t="s">
        <v>6645</v>
      </c>
      <c r="C3805" s="3" t="str">
        <f ca="1">IFERROR(__xludf.DUMMYFUNCTION("GOOGLETRANSLATE(B3805,""auto"",""en"")"),"This article describes the methods and systems for refereeing or auxiliary referees used to make baseball or softball games. The position of the hit area is determined according to the video image of the hitter standing next to the home base. The position"&amp;" of the ball moved to the hitter and the position of the strike stick held by the hitter is automatically tracked by a computer vision based on the video image captured by at least two cameras with different positions. In addition, whether the position of"&amp;" the ball is intersecting with the hit area, and whether the hitter really tries to wave the ball into the ball, there is an autonomous judgment, and at least one in these judgments, there is an autonomous judgment whether the ""strike"" or ""ball"". In a"&amp;"ddition, whether to automatically output the instructions of ""hitting"" or ""ball"".")</f>
        <v>This article describes the methods and systems for refereeing or auxiliary referees used to make baseball or softball games. The position of the hit area is determined according to the video image of the hitter standing next to the home base. The position of the ball moved to the hitter and the position of the strike stick held by the hitter is automatically tracked by a computer vision based on the video image captured by at least two cameras with different positions. In addition, whether the position of the ball is intersecting with the hit area, and whether the hitter really tries to wave the ball into the ball, there is an autonomous judgment, and at least one in these judgments, there is an autonomous judgment whether the "strike" or "ball". In addition, whether to automatically output the instructions of "hitting" or "ball".</v>
      </c>
      <c r="D3805" s="6" t="s">
        <v>2652</v>
      </c>
      <c r="E3805" s="4" t="str">
        <f ca="1">IFERROR(__xludf.DUMMYFUNCTION("GOOGLETRANSLATE(D3805,""auto"",""en"")"),"Use a computer vision to automatically or assist the referee on baseball games")</f>
        <v>Use a computer vision to automatically or assist the referee on baseball games</v>
      </c>
    </row>
    <row r="3806" spans="1:5" ht="15" x14ac:dyDescent="0.25">
      <c r="A3806" s="5" t="s">
        <v>10618</v>
      </c>
      <c r="B3806" s="6" t="s">
        <v>10619</v>
      </c>
      <c r="C3806" s="3" t="str">
        <f ca="1">IFERROR(__xludf.DUMMYFUNCTION("GOOGLETRANSLATE(B3806,""auto"",""en"")"),"A number plate recognition method based on the support vector machine, including the following steps: 1) Get the number plate image i1; 2) the color pre -processing of the image, get gray image i4; , Get the edge image i5; 4) The digital area rectangular "&amp;"frame of the edge image i5 is determined to obtain the contour set containing the number 5) The outline set of each digital outline combined with the original image i1 to identify the trained digital classifiers to obtain the specific specific number. The"&amp;" present invention can replace traditional artificial classification, improve the classification speed of marathon photos, and at the same time has strong adaptability to the flexible material of the number plate and maintain a high recognition rate.")</f>
        <v>A number plate recognition method based on the support vector machine, including the following steps: 1) Get the number plate image i1; 2) the color pre -processing of the image, get gray image i4; , Get the edge image i5; 4) The digital area rectangular frame of the edge image i5 is determined to obtain the contour set containing the number 5) The outline set of each digital outline combined with the original image i1 to identify the trained digital classifiers to obtain the specific specific number. The present invention can replace traditional artificial classification, improve the classification speed of marathon photos, and at the same time has strong adaptability to the flexible material of the number plate and maintain a high recognition rate.</v>
      </c>
      <c r="D3806" s="6" t="s">
        <v>10620</v>
      </c>
      <c r="E3806" s="4" t="str">
        <f ca="1">IFERROR(__xludf.DUMMYFUNCTION("GOOGLETRANSLATE(D3806,""auto"",""en"")"),"A number plate recognition method based on support vector machine")</f>
        <v>A number plate recognition method based on support vector machine</v>
      </c>
    </row>
    <row r="3807" spans="1:5" ht="15" x14ac:dyDescent="0.25">
      <c r="A3807" s="5" t="s">
        <v>10621</v>
      </c>
      <c r="B3807" s="6" t="s">
        <v>10622</v>
      </c>
      <c r="C3807" s="3" t="str">
        <f ca="1">IFERROR(__xludf.DUMMYFUNCTION("GOOGLETRANSLATE(B3807,""auto"",""en"")"),"The present invention has disclosed a beating entertainment and fitness machine, including chassis, support plates, control boxes, lighting boards, which are connected to the side of the chassis vertically. There are also LED lamps that are arranged evenl"&amp;"y, the LED lamp on the chassis is parallel to each other with the LED lamp tube on the support plate. The LED lamp tube on the chassis is covered with transparent pedals. There are four on the upper surface of the pedal. The gravity sensing area, the cont"&amp;"rol box is leaning on the back of the support plate as a whole, the control display area of ​​the control box is set in the front of the support board, the control box control display area is equipped with touch screen, control buttons and USB sockets. Th"&amp;"e luminous board is connected to the support. The upper end of the board, and there is a direction indicator on the luminous board. The invention realizes the human -computer interaction in the beating fitness activities, which is conducive to the health "&amp;"of users and enhances the fun of exercise.")</f>
        <v>The present invention has disclosed a beating entertainment and fitness machine, including chassis, support plates, control boxes, lighting boards, which are connected to the side of the chassis vertically. There are also LED lamps that are arranged evenly, the LED lamp on the chassis is parallel to each other with the LED lamp tube on the support plate. The LED lamp tube on the chassis is covered with transparent pedals. There are four on the upper surface of the pedal. The gravity sensing area, the control box is leaning on the back of the support plate as a whole, the control display area of ​​the control box is set in the front of the support board, the control box control display area is equipped with touch screen, control buttons and USB sockets. The luminous board is connected to the support. The upper end of the board, and there is a direction indicator on the luminous board. The invention realizes the human -computer interaction in the beating fitness activities, which is conducive to the health of users and enhances the fun of exercise.</v>
      </c>
      <c r="D3807" s="6" t="s">
        <v>10623</v>
      </c>
      <c r="E3807" s="4" t="str">
        <f ca="1">IFERROR(__xludf.DUMMYFUNCTION("GOOGLETRANSLATE(D3807,""auto"",""en"")"),"A beating entertainment and fitness machine")</f>
        <v>A beating entertainment and fitness machine</v>
      </c>
    </row>
    <row r="3808" spans="1:5" ht="15" x14ac:dyDescent="0.25">
      <c r="A3808" s="5" t="s">
        <v>10624</v>
      </c>
      <c r="B3808" s="6" t="s">
        <v>10625</v>
      </c>
      <c r="C3808" s="3" t="str">
        <f ca="1">IFERROR(__xludf.DUMMYFUNCTION("GOOGLETRANSLATE(B3808,""auto"",""en"")"),"The present invention proposes a virtual reality fitness system based on smartphones and the Internet of Things, including: smartphones, VR glasses racks, sports APPs, fitness devices; smartphones can be used as VR glasses display and data processors. The"&amp;" VR glasses rack is used to watch the virtual reality scenario use with smartphones; the motion APP is a smartphone application, which can provide users with virtual reality scenarios and control it. The common exercise in the virtual reality scene can al"&amp;"so simulate the fitness equipment calls to display the user's sports data and control the function of the fitness equipment; the fitness equipment is used for user motion use; Mobile phones are easy to achieve and simply saving space, which can effectivel"&amp;"y enhance people's movement enthusiasm.")</f>
        <v>The present invention proposes a virtual reality fitness system based on smartphones and the Internet of Things, including: smartphones, VR glasses racks, sports APPs, fitness devices; smartphones can be used as VR glasses display and data processors. The VR glasses rack is used to watch the virtual reality scenario use with smartphones; the motion APP is a smartphone application, which can provide users with virtual reality scenarios and control it. The common exercise in the virtual reality scene can also simulate the fitness equipment calls to display the user's sports data and control the function of the fitness equipment; the fitness equipment is used for user motion use; Mobile phones are easy to achieve and simply saving space, which can effectively enhance people's movement enthusiasm.</v>
      </c>
      <c r="D3808" s="6" t="s">
        <v>10626</v>
      </c>
      <c r="E3808" s="4" t="str">
        <f ca="1">IFERROR(__xludf.DUMMYFUNCTION("GOOGLETRANSLATE(D3808,""auto"",""en"")"),"Virtual reality fitness system based on smartphones and the Internet of Things")</f>
        <v>Virtual reality fitness system based on smartphones and the Internet of Things</v>
      </c>
    </row>
    <row r="3809" spans="1:5" ht="15" x14ac:dyDescent="0.25">
      <c r="A3809" s="5" t="s">
        <v>10627</v>
      </c>
      <c r="B3809" s="6" t="s">
        <v>10628</v>
      </c>
      <c r="C3809" s="3" t="str">
        <f ca="1">IFERROR(__xludf.DUMMYFUNCTION("GOOGLETRANSLATE(B3809,""auto"",""en"")"),"The present invention disclosed a sports video lens classification method based on deep convolutional neural networks, including the following steps: 1) to divide the lens of existing football videos. Each lens is a continuous image sequence taken by a ce"&amp;"rtain camera. Select 3 to 10 key frame images from each lens fragment, and label each image on the lens category to construct the training sample set; The network includes: five convolutional layers, three full connection layers; 3) training samples in st"&amp;"ep 1) in step 2) The depth convolutional neural network model described in step 2) is trained, and the training of convolutional neural networks is used As a classification algorithm, the regression adjusts the network parameters of the CNN to the communi"&amp;"cation algorithm after using the error; 4) Use step 3) Test the test sample set of the training samples by using step 3) The training sample set of the final image is output.")</f>
        <v>The present invention disclosed a sports video lens classification method based on deep convolutional neural networks, including the following steps: 1) to divide the lens of existing football videos. Each lens is a continuous image sequence taken by a certain camera. Select 3 to 10 key frame images from each lens fragment, and label each image on the lens category to construct the training sample set; The network includes: five convolutional layers, three full connection layers; 3) training samples in step 1) in step 2) The depth convolutional neural network model described in step 2) is trained, and the training of convolutional neural networks is used As a classification algorithm, the regression adjusts the network parameters of the CNN to the communication algorithm after using the error; 4) Use step 3) Test the test sample set of the training samples by using step 3) The training sample set of the final image is output.</v>
      </c>
      <c r="D3809" s="6" t="s">
        <v>10629</v>
      </c>
      <c r="E3809" s="4" t="str">
        <f ca="1">IFERROR(__xludf.DUMMYFUNCTION("GOOGLETRANSLATE(D3809,""auto"",""en"")"),"A sports video lens classification method based on deep convolutional neural network")</f>
        <v>A sports video lens classification method based on deep convolutional neural network</v>
      </c>
    </row>
    <row r="3810" spans="1:5" ht="15" x14ac:dyDescent="0.25">
      <c r="A3810" s="5" t="s">
        <v>10630</v>
      </c>
      <c r="B3810" s="6" t="s">
        <v>10631</v>
      </c>
      <c r="C3810" s="3" t="str">
        <f ca="1">IFERROR(__xludf.DUMMYFUNCTION("GOOGLETRANSLATE(B3810,""auto"",""en"")"),"The present invention disclosed a method of multiple face tracking of the athletes in sports videos, including the following steps: pre -training convolutional neural networks for face recognition; lens segmentation of input videos, selecting all close -v"&amp;"iew lens clips; Perform face detection of each image in the close -up lens to get face detection response; related face detection response to form trajectory fragments; according to the space -time information restrictions between trajectory clips, genera"&amp;"te training samples; Siamese or Triplet network fine -tuned the pre -trained convolutional neural network; use the fine -tuning convolutional neural network to extract the characteristics of each face image; all trajectory fragments are associated in laye"&amp;"red hierarchies, and the face movement of adult faces. The method described in the present invention, collect training samples online from the video to be tracked, fine -tuned the pre -trained convolutional neural network, so as to learn more about the fa"&amp;"cial features of human face online, and then use this feature track.")</f>
        <v>The present invention disclosed a method of multiple face tracking of the athletes in sports videos, including the following steps: pre -training convolutional neural networks for face recognition; lens segmentation of input videos, selecting all close -view lens clips; Perform face detection of each image in the close -up lens to get face detection response; related face detection response to form trajectory fragments; according to the space -time information restrictions between trajectory clips, generate training samples; Siamese or Triplet network fine -tuned the pre -trained convolutional neural network; use the fine -tuning convolutional neural network to extract the characteristics of each face image; all trajectory fragments are associated in layered hierarchies, and the face movement of adult faces. The method described in the present invention, collect training samples online from the video to be tracked, fine -tuned the pre -trained convolutional neural network, so as to learn more about the facial features of human face online, and then use this feature track.</v>
      </c>
      <c r="D3810" s="6" t="s">
        <v>10632</v>
      </c>
      <c r="E3810" s="4" t="str">
        <f ca="1">IFERROR(__xludf.DUMMYFUNCTION("GOOGLETRANSLATE(D3810,""auto"",""en"")"),"A way of doing multiple faces tracking of participants in sports videos")</f>
        <v>A way of doing multiple faces tracking of participants in sports videos</v>
      </c>
    </row>
    <row r="3811" spans="1:5" ht="15" x14ac:dyDescent="0.25">
      <c r="A3811" s="5" t="s">
        <v>10633</v>
      </c>
      <c r="B3811" s="6" t="s">
        <v>10634</v>
      </c>
      <c r="C3811" s="3" t="str">
        <f ca="1">IFERROR(__xludf.DUMMYFUNCTION("GOOGLETRANSLATE(B3811,""auto"",""en"")"),"This patent application involves the invention of the automated system that is designed to train and improve the application technology in the football game. The invention field is for the electromechanical parts related to special software and hardware, "&amp;"for training aspirations and professionals, and in the field of entertainment. The invention imagines a PLC (1) of the control process (2). The PLC is equipped with a CPU (3). In addition to the connection to an input unit (4) and an output unit (5), the "&amp;"CPU is also compared with A input unit (4) communicates with an output unit (5). Memory instructions (6) and human -machine interface (7), where the entire activation order of the device is certain, including at least one goal or hit element (8) of the pl"&amp;"ayer, which can be a simple square or multiple health (9 ) Arena (8B); According to the system, it provides at least one ball launcher (10), which is performed by a device (11) controlled by PLC (1). The present invention also imagines a training structur"&amp;"e itself. It is composed of a metal structure with a ball launcher, a device defined as one or more ball targets, and a sensor system for detecting the ball. As shown in Figure 2, completed through human -computer interaction (7), at least one institution"&amp;" that is integrated in each ball transmitter (10) is integrated to release the ball (12) alone; the system includes steps composed of a common action step. Order operation.")</f>
        <v>This patent application involves the invention of the automated system that is designed to train and improve the application technology in the football game. The invention field is for the electromechanical parts related to special software and hardware, for training aspirations and professionals, and in the field of entertainment. The invention imagines a PLC (1) of the control process (2). The PLC is equipped with a CPU (3). In addition to the connection to an input unit (4) and an output unit (5), the CPU is also compared with A input unit (4) communicates with an output unit (5). Memory instructions (6) and human -machine interface (7), where the entire activation order of the device is certain, including at least one goal or hit element (8) of the player, which can be a simple square or multiple health (9 ) Arena (8B); According to the system, it provides at least one ball launcher (10), which is performed by a device (11) controlled by PLC (1). The present invention also imagines a training structure itself. It is composed of a metal structure with a ball launcher, a device defined as one or more ball targets, and a sensor system for detecting the ball. As shown in Figure 2, completed through human -computer interaction (7), at least one institution that is integrated in each ball transmitter (10) is integrated to release the ball (12) alone; the system includes steps composed of a common action step. Order operation.</v>
      </c>
      <c r="D3811" s="6" t="s">
        <v>10635</v>
      </c>
      <c r="E3811" s="4" t="str">
        <f ca="1">IFERROR(__xludf.DUMMYFUNCTION("GOOGLETRANSLATE(D3811,""auto"",""en"")"),"Automation systems and processes for training and improvement of football competition technology")</f>
        <v>Automation systems and processes for training and improvement of football competition technology</v>
      </c>
    </row>
    <row r="3812" spans="1:5" ht="15" x14ac:dyDescent="0.25">
      <c r="A3812" s="5" t="s">
        <v>10636</v>
      </c>
      <c r="B3812" s="6" t="s">
        <v>10637</v>
      </c>
      <c r="C3812" s="3" t="str">
        <f ca="1">IFERROR(__xludf.DUMMYFUNCTION("GOOGLETRANSLATE(B3812,""auto"",""en"")"),"A method to map IoT devices to the smart city resource model. The resource objects in the smart city resource model include display resource objects, control resource objects, and event resource objects. For the two levels: the device objects in the Inter"&amp;"net of Things gateway and the smart city resource model mapping: The Internet of Things gateway is an IoT device in the real world. The equipment object is the object of the software system virtual world. Methods, these operation methods will be mapped to"&amp;" the specific operations of IoT devices. One device object can correspond to one to multiple IoT devices; equipment objects and resource objects are mapped: The resource object in the resource model is based on the smart city field. Resource abstract pack"&amp;"aging, there is a mapping relationship with the device object. A device object can correspond to multiple resource objects, and the mapping rules are configured by mapping files.")</f>
        <v>A method to map IoT devices to the smart city resource model. The resource objects in the smart city resource model include display resource objects, control resource objects, and event resource objects. For the two levels: the device objects in the Internet of Things gateway and the smart city resource model mapping: The Internet of Things gateway is an IoT device in the real world. The equipment object is the object of the software system virtual world. Methods, these operation methods will be mapped to the specific operations of IoT devices. One device object can correspond to one to multiple IoT devices; equipment objects and resource objects are mapped: The resource object in the resource model is based on the smart city field. Resource abstract packaging, there is a mapping relationship with the device object. A device object can correspond to multiple resource objects, and the mapping rules are configured by mapping files.</v>
      </c>
      <c r="D3812" s="6" t="s">
        <v>10638</v>
      </c>
      <c r="E3812" s="4" t="str">
        <f ca="1">IFERROR(__xludf.DUMMYFUNCTION("GOOGLETRANSLATE(D3812,""auto"",""en"")"),"A method to map IoT devices to smart city resource models")</f>
        <v>A method to map IoT devices to smart city resource models</v>
      </c>
    </row>
    <row r="3813" spans="1:5" ht="15" x14ac:dyDescent="0.25">
      <c r="A3813" s="5" t="s">
        <v>10639</v>
      </c>
      <c r="B3813" s="6" t="s">
        <v>10640</v>
      </c>
      <c r="C3813" s="3" t="str">
        <f ca="1">IFERROR(__xludf.DUMMYFUNCTION("GOOGLETRANSLATE(B3813,""auto"",""en"")"),"The present invention disclosed a method of bubble fluidized bed modeling based on bubbles and granules. This method includes: (1) Statistically calculate the ritual motion of the bubble bed particles calculated, and establish a random model of the Markov"&amp;" chain of the granules; Create a bubble random development model for the emergence of bubbles, exercise and grown -up; (3) use the baseball cap model of the bubble -shaped shape to couple with the random model of the pellet Markov process and the bubbles,"&amp;" and establish a random model of the bubble fluidized bed particles. The method of the present invention solves the shortcomings of the pure granules Markov process that cannot reflect the influence of bubble information and its impact on the motion of th"&amp;"e particles. Under the premise of ensuring the accuracy of the motion of the bubble bed particles, the calculation load is greatly reduced and the calculation speed is improved.")</f>
        <v>The present invention disclosed a method of bubble fluidized bed modeling based on bubbles and granules. This method includes: (1) Statistically calculate the ritual motion of the bubble bed particles calculated, and establish a random model of the Markov chain of the granules; Create a bubble random development model for the emergence of bubbles, exercise and grown -up; (3) use the baseball cap model of the bubble -shaped shape to couple with the random model of the pellet Markov process and the bubbles, and establish a random model of the bubble fluidized bed particles. The method of the present invention solves the shortcomings of the pure granules Markov process that cannot reflect the influence of bubble information and its impact on the motion of the particles. Under the premise of ensuring the accuracy of the motion of the bubble bed particles, the calculation load is greatly reduced and the calculation speed is improved.</v>
      </c>
      <c r="D3813" s="6" t="s">
        <v>10641</v>
      </c>
      <c r="E3813" s="4" t="str">
        <f ca="1">IFERROR(__xludf.DUMMYFUNCTION("GOOGLETRANSLATE(D3813,""auto"",""en"")"),"A method of bubble fluidized bed modeling based on bubbles and particles randomly movement")</f>
        <v>A method of bubble fluidized bed modeling based on bubbles and particles randomly movement</v>
      </c>
    </row>
    <row r="3814" spans="1:5" ht="15" x14ac:dyDescent="0.25">
      <c r="A3814" s="5" t="s">
        <v>10642</v>
      </c>
      <c r="B3814" s="6" t="s">
        <v>10643</v>
      </c>
      <c r="C3814" s="3" t="str">
        <f ca="1">IFERROR(__xludf.DUMMYFUNCTION("GOOGLETRANSLATE(B3814,""auto"",""en"")"),"1. The name of the product in this exterior: the graphic user interface for the mobile phone.
 2. The purpose of designing products in this exterior: This design product is used to display sports events information; the bottom of the main screen shows t"&amp;"he game card, the game card shows the ""management card"" touch button and the ""add card"" touch button; The ""Management Card"" touch button in the view shows the changing status of the changing state after the human -computer interconnection operation "&amp;"(such as the click operation). ""After the touch button is performed by human -machine interaction (such as click operation), the changing state Figure 2 is displayed.
 3. The design of the design of the product in this exterior: lies in the graphic use"&amp;"r interface in the screen.
 4. The most important picture or photo of the design design of this appearance: main view.")</f>
        <v>1. The name of the product in this exterior: the graphic user interface for the mobile phone.
 2. The purpose of designing products in this exterior: This design product is used to display sports events information; the bottom of the main screen shows the game card, the game card shows the "management card" touch button and the "add card" touch button; The "Management Card" touch button in the view shows the changing status of the changing state after the human -computer interconnection operation (such as the click operation). "After the touch button is performed by human -machine interaction (such as click operation), the changing state Figure 2 is displayed.
 3. The design of the design of the product in this exterior: lies in the graphic user interface in the screen.
 4. The most important picture or photo of the design design of this appearance: main view.</v>
      </c>
      <c r="D3814" s="6" t="s">
        <v>7563</v>
      </c>
      <c r="E3814" s="4" t="str">
        <f ca="1">IFERROR(__xludf.DUMMYFUNCTION("GOOGLETRANSLATE(D3814,""auto"",""en"")"),"The graphic user interface used for mobile phones")</f>
        <v>The graphic user interface used for mobile phones</v>
      </c>
    </row>
    <row r="3815" spans="1:5" ht="15" x14ac:dyDescent="0.25">
      <c r="A3815" s="5" t="s">
        <v>10644</v>
      </c>
      <c r="B3815" s="6" t="s">
        <v>10645</v>
      </c>
      <c r="C3815" s="3" t="str">
        <f ca="1">IFERROR(__xludf.DUMMYFUNCTION("GOOGLETRANSLATE(B3815,""auto"",""en"")"),"1. The name of the product in this exterior: the graphic user interface for the mobile phone.
 2. The purpose of designing products in this exterior: The design of the product in this exterior is used to display the information of pictures or videos, pr"&amp;"oviding event information on the main view; the ""hotspot"" touch button in the upper left corner of the main view view; (As if the gesture is sliding down), display the change state Figure 1, and the change status Figure 1 provides a search box under the"&amp;" ""hot"" touch button; Status Figure 2, changes status Figure 2 provides labels of the event channel; changing state Figure 2 After the human -computer interaction (such as the ""Serie A"" event in the label) display the change status 3, the change state "&amp;"diagram 3 provides and clicks, which provides and clicks. Sports information related to the event channel (such as event information/news information, etc.); if you click the ""+"" touch button in the label 2 in the change state Figure 2, display the chan"&amp;"ge status of the change state. Other event channels (such as golf, Olympic Games, World Cup, etc.).
 3. The design of the design of the product in this exterior: lies in the graphic user interface in the screen.
 4. The most important picture or photo"&amp;" of the design design of this appearance: main view.")</f>
        <v>1. The name of the product in this exterior: the graphic user interface for the mobile phone.
 2. The purpose of designing products in this exterior: The design of the product in this exterior is used to display the information of pictures or videos, providing event information on the main view; the "hotspot" touch button in the upper left corner of the main view view; (As if the gesture is sliding down), display the change state Figure 1, and the change status Figure 1 provides a search box under the "hot" touch button; Status Figure 2, changes status Figure 2 provides labels of the event channel; changing state Figure 2 After the human -computer interaction (such as the "Serie A" event in the label) display the change status 3, the change state diagram 3 provides and clicks, which provides and clicks. Sports information related to the event channel (such as event information/news information, etc.); if you click the "+" touch button in the label 2 in the change state Figure 2, display the change status of the change state. Other event channels (such as golf, Olympic Games, World Cup, etc.).
 3. The design of the design of the product in this exterior: lies in the graphic user interface in the screen.
 4. The most important picture or photo of the design design of this appearance: main view.</v>
      </c>
      <c r="D3815" s="6" t="s">
        <v>7563</v>
      </c>
      <c r="E3815" s="4" t="str">
        <f ca="1">IFERROR(__xludf.DUMMYFUNCTION("GOOGLETRANSLATE(D3815,""auto"",""en"")"),"The graphic user interface used for mobile phones")</f>
        <v>The graphic user interface used for mobile phones</v>
      </c>
    </row>
    <row r="3816" spans="1:5" ht="15" x14ac:dyDescent="0.25">
      <c r="A3816" s="5" t="s">
        <v>10646</v>
      </c>
      <c r="B3816" s="6" t="s">
        <v>10647</v>
      </c>
      <c r="C3816" s="3" t="str">
        <f ca="1">IFERROR(__xludf.DUMMYFUNCTION("GOOGLETRANSLATE(B3816,""auto"",""en"")"),"The present invention involves a IoT CCTV device for swimming pools and swimming pool management methods using the device. In the present invention, the first cam 11 is formed on the upper buoyancy hemisphere 14. Under the control of the control unit 17, "&amp;"the first cam 11 is based on the rotation shooting direction of the upper buoyancy hemisphere 14 according to the rotary shooting of the upper buoyancy hemisphere 14; Erxiu 12 is formed at the end of the conical extension extended downward extension of th"&amp;"e lower floating body 13 to shoot the lower part of the swimming pool; and control the sending/receiving unit 17a to take the image of the first camera 11 and the second camera 12 through close range through close range Wireless communication is sent to t"&amp;"he administrator's mobile phone and sets a threshold for external setting through vibration sensor 17B. Control unit 17 to control the launch/receiving unit 17A to detect the above vibration, detect the flow of water outside the pool through the flow sens"&amp;"or 17C, and transmit it to the administrator's mobile phone through close -range wireless communication; it is characterized by it. In this way, it can not only notify the management personnel emergency situations by detecting the measurement information "&amp;"in the pool, such as pool flow, sound, and vibration signals, but when emergency situations occur, it can be installed in the pool, taking photos inside and outside the pool, provided providing providing photos and provided them with Provide managers with"&amp;" the effect of video, allowing managers to take action immediately.")</f>
        <v>The present invention involves a IoT CCTV device for swimming pools and swimming pool management methods using the device. In the present invention, the first cam 11 is formed on the upper buoyancy hemisphere 14. Under the control of the control unit 17, the first cam 11 is based on the rotation shooting direction of the upper buoyancy hemisphere 14 according to the rotary shooting of the upper buoyancy hemisphere 14; Erxiu 12 is formed at the end of the conical extension extended downward extension of the lower floating body 13 to shoot the lower part of the swimming pool; and control the sending/receiving unit 17a to take the image of the first camera 11 and the second camera 12 through close range through close range Wireless communication is sent to the administrator's mobile phone and sets a threshold for external setting through vibration sensor 17B. Control unit 17 to control the launch/receiving unit 17A to detect the above vibration, detect the flow of water outside the pool through the flow sensor 17C, and transmit it to the administrator's mobile phone through close -range wireless communication; it is characterized by it. In this way, it can not only notify the management personnel emergency situations by detecting the measurement information in the pool, such as pool flow, sound, and vibration signals, but when emergency situations occur, it can be installed in the pool, taking photos inside and outside the pool, provided providing providing photos and provided them with Provide managers with the effect of video, allowing managers to take action immediately.</v>
      </c>
      <c r="D3816" s="6" t="s">
        <v>10648</v>
      </c>
      <c r="E3816" s="4" t="str">
        <f ca="1">IFERROR(__xludf.DUMMYFUNCTION("GOOGLETRANSLATE(D3816,""auto"",""en"")"),"Invention name swimming pool IPCCTV device and swimming pool management method using the device")</f>
        <v>Invention name swimming pool IPCCTV device and swimming pool management method using the device</v>
      </c>
    </row>
    <row r="3817" spans="1:5" ht="15" x14ac:dyDescent="0.25">
      <c r="A3817" s="5" t="s">
        <v>10649</v>
      </c>
      <c r="B3817" s="6" t="s">
        <v>10650</v>
      </c>
      <c r="C3817" s="3" t="str">
        <f ca="1">IFERROR(__xludf.DUMMYFUNCTION("GOOGLETRANSLATE(B3817,""auto"",""en"")"),"The 3D graphered -shaped vra.arar -type power -based sports conference is multi -table, which is the field of graphene technology. The disassembly of the present invention is convenient for one thing and multi -purpose, that is, all kinds of manpower in a"&amp;"ny floor -to -site vertical fitness device produces any physical movements. A formal rotating small iron rim short iron rod, the stick gradually hit the corresponding fixed car pedal charger with universal adhesion than steel hard -resistant high -tempera"&amp;"ture graphne gallene gallery membrane pressure board Power generation, convert the energy consumed by human movement into electrical energy; and 70 cm in the steel column of the stroke vertical fitness device in the 3D printing, the horizontal saw is cut "&amp;"on the same size super steel sleeve. After the cap is tight, you can exercise. When you do n’t put on it, you can use the table tennis table for multiple uses. Its enthusiasts obtain a revolutionary perception, extensive practice, exploring laws, and deve"&amp;"lopment theories in the wearing equipment of VR virtual reality AR augmented reality. Adaptation to the World Internet of Things era has achieved good beneficial results.")</f>
        <v>The 3D graphered -shaped vra.arar -type power -based sports conference is multi -table, which is the field of graphene technology. The disassembly of the present invention is convenient for one thing and multi -purpose, that is, all kinds of manpower in any floor -to -site vertical fitness device produces any physical movements. A formal rotating small iron rim short iron rod, the stick gradually hit the corresponding fixed car pedal charger with universal adhesion than steel hard -resistant high -temperature graphne gallene gallery membrane pressure board Power generation, convert the energy consumed by human movement into electrical energy; and 70 cm in the steel column of the stroke vertical fitness device in the 3D printing, the horizontal saw is cut on the same size super steel sleeve. After the cap is tight, you can exercise. When you do n’t put on it, you can use the table tennis table for multiple uses. Its enthusiasts obtain a revolutionary perception, extensive practice, exploring laws, and development theories in the wearing equipment of VR virtual reality AR augmented reality. Adaptation to the World Internet of Things era has achieved good beneficial results.</v>
      </c>
      <c r="D3817" s="6" t="s">
        <v>10651</v>
      </c>
      <c r="E3817" s="4" t="str">
        <f ca="1">IFERROR(__xludf.DUMMYFUNCTION("GOOGLETRANSLATE(D3817,""auto"",""en"")"),"3D printed graphene -shaped VR.AR -type power generation sports conference multi -use table")</f>
        <v>3D printed graphene -shaped VR.AR -type power generation sports conference multi -use table</v>
      </c>
    </row>
    <row r="3818" spans="1:5" ht="15" x14ac:dyDescent="0.25">
      <c r="A3818" s="5" t="s">
        <v>10652</v>
      </c>
      <c r="B3818" s="6" t="s">
        <v>10653</v>
      </c>
      <c r="C3818" s="3" t="str">
        <f ca="1">IFERROR(__xludf.DUMMYFUNCTION("GOOGLETRANSLATE(B3818,""auto"",""en"")"),"This practical new embodiment provides a treadmill, which involves the field of fitness equipment technology. The purpose of achievement is to achieve the working status of voice control treadmills. The main technical solutions are: the runner includes th"&amp;"e body, voice receiving module, voice recognition module, central control module and functional module. The voice receiving module is used to receive the voice instructions from the runner and generate a electrical signal; the voice recognition module is "&amp;"set on the body, the voice recognition module is connected to the voice receiving module, which is used to receive the electrical signal issued by the voice receiving module, and to the electrical signal Analyze and process the generating voice informatio"&amp;"n; the central control module is set on the body, and the central control module is connected to the electrical connection of the voice recognition module to receive the voice information generated by the voice recognition module, and the control instruct"&amp;"ion is generated according to the voice information generation; the functional module and the center control The module is connected to receive the control instruction generated by the module generated by the center, and executes the corresponding functio"&amp;"ns according to the control instruction.")</f>
        <v>This practical new embodiment provides a treadmill, which involves the field of fitness equipment technology. The purpose of achievement is to achieve the working status of voice control treadmills. The main technical solutions are: the runner includes the body, voice receiving module, voice recognition module, central control module and functional module. The voice receiving module is used to receive the voice instructions from the runner and generate a electrical signal; the voice recognition module is set on the body, the voice recognition module is connected to the voice receiving module, which is used to receive the electrical signal issued by the voice receiving module, and to the electrical signal Analyze and process the generating voice information; the central control module is set on the body, and the central control module is connected to the electrical connection of the voice recognition module to receive the voice information generated by the voice recognition module, and the control instruction is generated according to the voice information generation; the functional module and the center control The module is connected to receive the control instruction generated by the module generated by the center, and executes the corresponding functions according to the control instruction.</v>
      </c>
      <c r="D3818" s="6" t="s">
        <v>10497</v>
      </c>
      <c r="E3818" s="4" t="str">
        <f ca="1">IFERROR(__xludf.DUMMYFUNCTION("GOOGLETRANSLATE(D3818,""auto"",""en"")"),"treadmill")</f>
        <v>treadmill</v>
      </c>
    </row>
    <row r="3819" spans="1:5" ht="15" x14ac:dyDescent="0.25">
      <c r="A3819" s="5" t="s">
        <v>10654</v>
      </c>
      <c r="B3819" s="6" t="s">
        <v>10655</v>
      </c>
      <c r="C3819" s="3" t="str">
        <f ca="1">IFERROR(__xludf.DUMMYFUNCTION("GOOGLETRANSLATE(B3819,""auto"",""en"")"),"This utility model opens an artificial intelligence simulation football and interactive toy. It is an interactive toy. Toys include players' parts and goals and goalkeeper. Connect, the microphone and the first driver motor are connected to the first smar"&amp;"t chip. The goal and goalkeeper components include positioning sensors and secondary drive motors, and the second -drive motor is connected with the goalkeeper power; Drive the driver rod to complete the shooting action, and under the action of positionin"&amp;"g the sensor, the second -drive motor can drive goalkeeper to the position corresponding to the football according to the real -time position of the football, thereby blocking the football into the goal. In some cases, football It can also avoid the goalk"&amp;"eeper entering the goal, which can effectively meet people's appreciation needs for shooting in football, and toys are better interactive.")</f>
        <v>This utility model opens an artificial intelligence simulation football and interactive toy. It is an interactive toy. Toys include players' parts and goals and goalkeeper. Connect, the microphone and the first driver motor are connected to the first smart chip. The goal and goalkeeper components include positioning sensors and secondary drive motors, and the second -drive motor is connected with the goalkeeper power; Drive the driver rod to complete the shooting action, and under the action of positioning the sensor, the second -drive motor can drive goalkeeper to the position corresponding to the football according to the real -time position of the football, thereby blocking the football into the goal. In some cases, football It can also avoid the goalkeeper entering the goal, which can effectively meet people's appreciation needs for shooting in football, and toys are better interactive.</v>
      </c>
      <c r="D3819" s="6" t="s">
        <v>10656</v>
      </c>
      <c r="E3819" s="4" t="str">
        <f ca="1">IFERROR(__xludf.DUMMYFUNCTION("GOOGLETRANSLATE(D3819,""auto"",""en"")"),"Artificial Intelligence Simulation Football Interactive Toys")</f>
        <v>Artificial Intelligence Simulation Football Interactive Toys</v>
      </c>
    </row>
    <row r="3820" spans="1:5" ht="15" x14ac:dyDescent="0.25">
      <c r="A3820" s="5" t="s">
        <v>10657</v>
      </c>
      <c r="B3820" s="6" t="s">
        <v>10658</v>
      </c>
      <c r="C3820" s="3" t="str">
        <f ca="1">IFERROR(__xludf.DUMMYFUNCTION("GOOGLETRANSLATE(B3820,""auto"",""en"")"),"This practical new embodiment provides a treadmill, which involves the field of fitness equipment technology. The purpose of its achievement is to improve the efficiency of users sending control instructions to the treadmill. The main technical solutions "&amp;"adopted are: the treadmill includes a control device and a wireless signal receiver on the treadmill ontology; the remote control body is equipped with wireless signal transmitters, processors, voice receiving modules, and voice recognition modules; voice"&amp;" receiving modules; voice receiving modules Receive the voice instructions from the user and generate electrical signals; the electrical connection of the voice receiving module and the voice recognition module is used to receive the electrical signal and"&amp;" analyze the electrical signal and process the generating voice information; Connect; processor is used to receive voice information and send it to a wireless signal receiver through wireless signal transmitter after processing; control the electrical con"&amp;"nection of the control device and the wireless signal receiver for the signal control of the signal receiver received by the wireless signal receiver, Essence")</f>
        <v>This practical new embodiment provides a treadmill, which involves the field of fitness equipment technology. The purpose of its achievement is to improve the efficiency of users sending control instructions to the treadmill. The main technical solutions adopted are: the treadmill includes a control device and a wireless signal receiver on the treadmill ontology; the remote control body is equipped with wireless signal transmitters, processors, voice receiving modules, and voice recognition modules; voice receiving modules; voice receiving modules Receive the voice instructions from the user and generate electrical signals; the electrical connection of the voice receiving module and the voice recognition module is used to receive the electrical signal and analyze the electrical signal and process the generating voice information; Connect; processor is used to receive voice information and send it to a wireless signal receiver through wireless signal transmitter after processing; control the electrical connection of the control device and the wireless signal receiver for the signal control of the signal receiver received by the wireless signal receiver, Essence</v>
      </c>
      <c r="D3820" s="6" t="s">
        <v>10497</v>
      </c>
      <c r="E3820" s="4" t="str">
        <f ca="1">IFERROR(__xludf.DUMMYFUNCTION("GOOGLETRANSLATE(D3820,""auto"",""en"")"),"treadmill")</f>
        <v>treadmill</v>
      </c>
    </row>
    <row r="3821" spans="1:5" ht="15" x14ac:dyDescent="0.25">
      <c r="A3821" s="5" t="s">
        <v>10659</v>
      </c>
      <c r="B3821" s="6" t="s">
        <v>10660</v>
      </c>
      <c r="C3821" s="3" t="str">
        <f ca="1">IFERROR(__xludf.DUMMYFUNCTION("GOOGLETRANSLATE(B3821,""auto"",""en"")"),"Provides solutions for the exciting part of the video in sports videos at the mobile computing device. The wonderful part of the mobile computing device uses the trained feature model to extract visual characteristics from each video frame of sports video"&amp;"s and use the trained detection model to detect the wonderful part of the video frame based on the visual characteristics of the video frame. Feature models and detection models use convolutional neural networks on large -scale videos to train to generate"&amp;" levels of types and pair of frame symbols. Based on this test, the wonderful part of the detection module generates a wonderful part of each video frame for sports videos and presents the exciting part of the score to users who are computing devices. The"&amp;" real -time exciting test data collected by the mobile computing device is dynamically updated to update the feature model and the detection model.")</f>
        <v>Provides solutions for the exciting part of the video in sports videos at the mobile computing device. The wonderful part of the mobile computing device uses the trained feature model to extract visual characteristics from each video frame of sports videos and use the trained detection model to detect the wonderful part of the video frame based on the visual characteristics of the video frame. Feature models and detection models use convolutional neural networks on large -scale videos to train to generate levels of types and pair of frame symbols. Based on this test, the wonderful part of the detection module generates a wonderful part of each video frame for sports videos and presents the exciting part of the score to users who are computing devices. The real -time exciting test data collected by the mobile computing device is dynamically updated to update the feature model and the detection model.</v>
      </c>
      <c r="D3821" s="6" t="s">
        <v>10661</v>
      </c>
      <c r="E3821" s="4" t="str">
        <f ca="1">IFERROR(__xludf.DUMMYFUNCTION("GOOGLETRANSLATE(D3821,""auto"",""en"")"),"For the wonderful part of the sports video for mobile computing equipment")</f>
        <v>For the wonderful part of the sports video for mobile computing equipment</v>
      </c>
    </row>
    <row r="3822" spans="1:5" ht="15" x14ac:dyDescent="0.25">
      <c r="A3822" s="5" t="s">
        <v>10662</v>
      </c>
      <c r="B3822" s="6" t="s">
        <v>10663</v>
      </c>
      <c r="C3822" s="3" t="str">
        <f ca="1">IFERROR(__xludf.DUMMYFUNCTION("GOOGLETRANSLATE(B3822,""auto"",""en"")"),"Even if part of the identification goal is outside the image, the identification target can be detected.
  Category code: A1 image recognition device can create a larger extension image 11 than the blank area of ​​the predetermined image data around the"&amp;" shooting image 1. If a person is too close to the camera, a portion of Portrait 5 will be protruding from the images of the shooting. However, the image recognition device sets a large detection window 3E including a blank area 10 to detect the prominent"&amp;" area. Image 4E is taken from extended image 11. Window image 4E is the image of the body 5, although the prominent part of Human 5 is missing. The image recognition device stores a large number of reference images 7, assuming the various states of people"&amp;" 8 (the position and posture of the hands and feet (the position and posture of the hands and feet are different in each posture of walking, running, jumping, and sitting down). The image recognition device extract features from the window image 4E, and c"&amp;"ompares them with the features of the reference image 7 to identify the character image 5.
  【Selection Figure】 Figure 2")</f>
        <v>Even if part of the identification goal is outside the image, the identification target can be detected.
  Category code: A1 image recognition device can create a larger extension image 11 than the blank area of ​​the predetermined image data around the shooting image 1. If a person is too close to the camera, a portion of Portrait 5 will be protruding from the images of the shooting. However, the image recognition device sets a large detection window 3E including a blank area 10 to detect the prominent area. Image 4E is taken from extended image 11. Window image 4E is the image of the body 5, although the prominent part of Human 5 is missing. The image recognition device stores a large number of reference images 7, assuming the various states of people 8 (the position and posture of the hands and feet (the position and posture of the hands and feet are different in each posture of walking, running, jumping, and sitting down). The image recognition device extract features from the window image 4E, and compares them with the features of the reference image 7 to identify the character image 5.
  【Selection Figure】 Figure 2</v>
      </c>
      <c r="D3822" s="6" t="s">
        <v>10226</v>
      </c>
      <c r="E3822" s="4" t="str">
        <f ca="1">IFERROR(__xludf.DUMMYFUNCTION("GOOGLETRANSLATE(D3822,""auto"",""en"")"),"Image recognition device and image recognition program")</f>
        <v>Image recognition device and image recognition program</v>
      </c>
    </row>
    <row r="3823" spans="1:5" ht="15" x14ac:dyDescent="0.25">
      <c r="A3823" s="5" t="s">
        <v>10664</v>
      </c>
      <c r="B3823" s="6" t="s">
        <v>10665</v>
      </c>
      <c r="C3823" s="3" t="str">
        <f ca="1">IFERROR(__xludf.DUMMYFUNCTION("GOOGLETRANSLATE(B3823,""auto"",""en"")"),"Relying on the development of mobile Internet technology, mobile intelligent device technology, IoT technology and online game technology, various technologies have developed a kind of technology for players to use mobile phones, tablets and other portabl"&amp;"e Internet smart devices , Trading, competition, and competition multiplayer online game system. The virtual MMORPG, RPG, action, shooting, strategy, puzzle and other online game modes can be used in the real world. It can also be used to enhance or even "&amp;"replace some existing live -action games, sports, and expand training. It can also be further assisted Effective work and social activities.")</f>
        <v>Relying on the development of mobile Internet technology, mobile intelligent device technology, IoT technology and online game technology, various technologies have developed a kind of technology for players to use mobile phones, tablets and other portable Internet smart devices , Trading, competition, and competition multiplayer online game system. The virtual MMORPG, RPG, action, shooting, strategy, puzzle and other online game modes can be used in the real world. It can also be used to enhance or even replace some existing live -action games, sports, and expand training. It can also be further assisted Effective work and social activities.</v>
      </c>
      <c r="D3823" s="6" t="s">
        <v>10666</v>
      </c>
      <c r="E3823" s="4" t="str">
        <f ca="1">IFERROR(__xludf.DUMMYFUNCTION("GOOGLETRANSLATE(D3823,""auto"",""en"")"),"Real real life online game system based on mobile Internet")</f>
        <v>Real real life online game system based on mobile Internet</v>
      </c>
    </row>
    <row r="3824" spans="1:5" ht="15" x14ac:dyDescent="0.25">
      <c r="A3824" s="5" t="s">
        <v>10667</v>
      </c>
      <c r="B3824" s="6" t="s">
        <v>10668</v>
      </c>
      <c r="C3824" s="3" t="str">
        <f ca="1">IFERROR(__xludf.DUMMYFUNCTION("GOOGLETRANSLATE(B3824,""auto"",""en"")"),"The present invention provides a intelligent test robot system. Its intelligent robot an instant operation platform is connected to store the storage module for the storage test script. The operation platform connects the signal output unit and the image "&amp;"input unit, respectively, and further connect the network communication module to connect the remote control table computer. When the operating platform automatically performs testing according to the test script, such as power switch, keyboard input stri"&amp;"ng, mouse cursor movement, click, etc., you can send instructions to the test object through the signal output unit The image output is returned to the operating platform, and then automatically graphically recognizes the captured image based on the image"&amp;" recognition instruction in the test script. In addition, the long -range console computer can control multiple intelligent robot bodies through the Internet, and perform automatic testing processes simultaneously, which will help shorten the test time, r"&amp;"educe costs, and further improve the overall production efficiency.")</f>
        <v>The present invention provides a intelligent test robot system. Its intelligent robot an instant operation platform is connected to store the storage module for the storage test script. The operation platform connects the signal output unit and the image input unit, respectively, and further connect the network communication module to connect the remote control table computer. When the operating platform automatically performs testing according to the test script, such as power switch, keyboard input string, mouse cursor movement, click, etc., you can send instructions to the test object through the signal output unit The image output is returned to the operating platform, and then automatically graphically recognizes the captured image based on the image recognition instruction in the test script. In addition, the long -range console computer can control multiple intelligent robot bodies through the Internet, and perform automatic testing processes simultaneously, which will help shorten the test time, reduce costs, and further improve the overall production efficiency.</v>
      </c>
      <c r="D3824" s="6" t="s">
        <v>10669</v>
      </c>
      <c r="E3824" s="4" t="str">
        <f ca="1">IFERROR(__xludf.DUMMYFUNCTION("GOOGLETRANSLATE(D3824,""auto"",""en"")"),"Intelligent test robot system")</f>
        <v>Intelligent test robot system</v>
      </c>
    </row>
    <row r="3825" spans="1:5" ht="15" x14ac:dyDescent="0.25">
      <c r="A3825" s="5" t="s">
        <v>10670</v>
      </c>
      <c r="B3825" s="6" t="s">
        <v>10671</v>
      </c>
      <c r="C3825" s="3" t="str">
        <f ca="1">IFERROR(__xludf.DUMMYFUNCTION("GOOGLETRANSLATE(B3825,""auto"",""en"")"),"The present invention involves a device that detects the health of the racer in a race race.
  Due to the nature of racing, racers cannot breathe clean air in high -temperature racing, compete fiercely, and it is difficult to judge their health. Therefo"&amp;"re, real -time control from external.
  The racing 10 of the Wireless IoT will be sent to the control room with the data collected by the bio -signal sensor 11 and 12 on the racer. In real time, the health status of the racer is grasped in real time, an"&amp;"d the emergency response is actively prepared.
  In addition, the data of the racer's current heartbeat 23 combined with ECG sensor 11 has become a means to further increase the interest of audiences for sports broadcasts.
  Practical new model 20-201"&amp;"7-0003407")</f>
        <v>The present invention involves a device that detects the health of the racer in a race race.
  Due to the nature of racing, racers cannot breathe clean air in high -temperature racing, compete fiercely, and it is difficult to judge their health. Therefore, real -time control from external.
  The racing 10 of the Wireless IoT will be sent to the control room with the data collected by the bio -signal sensor 11 and 12 on the racer. In real time, the health status of the racer is grasped in real time, and the emergency response is actively prepared.
  In addition, the data of the racer's current heartbeat 23 combined with ECG sensor 11 has become a means to further increase the interest of audiences for sports broadcasts.
  Practical new model 20-2017-0003407</v>
      </c>
      <c r="D3825" s="6" t="s">
        <v>10672</v>
      </c>
      <c r="E3825" s="4" t="str">
        <f ca="1">IFERROR(__xludf.DUMMYFUNCTION("GOOGLETRANSLATE(D3825,""auto"",""en"")"),"Car-racer biological signal wireless control device")</f>
        <v>Car-racer biological signal wireless control device</v>
      </c>
    </row>
    <row r="3826" spans="1:5" ht="15" x14ac:dyDescent="0.25">
      <c r="A3826" s="5" t="s">
        <v>10673</v>
      </c>
      <c r="B3826" s="6" t="s">
        <v>10674</v>
      </c>
      <c r="C3826" s="3" t="str">
        <f ca="1">IFERROR(__xludf.DUMMYFUNCTION("GOOGLETRANSLATE(B3826,""auto"",""en"")"),"A foldable treadmill based on the Internet of Things technology, including the chassis; the armrest and supporting frame connected to the chain; the manual controller; the infrared detector connected to the bottom frame; Action sensor; human -machine inte"&amp;"raction system; human -machine interaction system includes embedded processors, memory, video module and heart rate detection module, SD card/CF card interface, USB interface, Ethernet or WIFI transmission interface; the chain includes includes The longit"&amp;"udinal beams are located on both sides. The longitudinal beam includes a fixed beam located at the near -supporting frame. It is located at the folding beam far away from the support frame and the fixed beam. The two ends are connected to the folding beam"&amp;"s on both sides; the handrail includes a fixed seat connected to the chain, the vertical rod of the disassembly connected by the lower end and the fixed seat, and the armrest rod connected to the upper end of the vertical rod; Lock bolt.")</f>
        <v>A foldable treadmill based on the Internet of Things technology, including the chassis; the armrest and supporting frame connected to the chain; the manual controller; the infrared detector connected to the bottom frame; Action sensor; human -machine interaction system; human -machine interaction system includes embedded processors, memory, video module and heart rate detection module, SD card/CF card interface, USB interface, Ethernet or WIFI transmission interface; the chain includes includes The longitudinal beams are located on both sides. The longitudinal beam includes a fixed beam located at the near -supporting frame. It is located at the folding beam far away from the support frame and the fixed beam. The two ends are connected to the folding beams on both sides; the handrail includes a fixed seat connected to the chain, the vertical rod of the disassembly connected by the lower end and the fixed seat, and the armrest rod connected to the upper end of the vertical rod; Lock bolt.</v>
      </c>
      <c r="D3826" s="6" t="s">
        <v>10675</v>
      </c>
      <c r="E3826" s="4" t="str">
        <f ca="1">IFERROR(__xludf.DUMMYFUNCTION("GOOGLETRANSLATE(D3826,""auto"",""en"")"),"Foldable runner -based treadmill based on IoT technology")</f>
        <v>Foldable runner -based treadmill based on IoT technology</v>
      </c>
    </row>
    <row r="3827" spans="1:5" ht="15" x14ac:dyDescent="0.25">
      <c r="A3827" s="5" t="s">
        <v>10676</v>
      </c>
      <c r="B3827" s="6" t="s">
        <v>10677</v>
      </c>
      <c r="C3827" s="3" t="str">
        <f ca="1">IFERROR(__xludf.DUMMYFUNCTION("GOOGLETRANSLATE(B3827,""auto"",""en"")"),"At least part of the path and/or direction of the athlete's handheld handheld motion appliances use two or more cameras to track. Use at least two different cameras with different positions to obtain video images of at least two groups of swinging handhel"&amp;"ls. Identify the motion area in the video image, and identify the recognition part of the handheld motion appliance in the sports area (eg, the head) in the 2D space. Based on this, each moment in multiple moments that wave the handheld motion appliances,"&amp;" recognize the possible positions of the recognition part in 3D space. At least the 3D trajectory of the segmented part of the motion appliance (e.g., the head) is based on the possible positions in the 3D space of the head in the head of the head.")</f>
        <v>At least part of the path and/or direction of the athlete's handheld handheld motion appliances use two or more cameras to track. Use at least two different cameras with different positions to obtain video images of at least two groups of swinging handhells. Identify the motion area in the video image, and identify the recognition part of the handheld motion appliance in the sports area (eg, the head) in the 2D space. Based on this, each moment in multiple moments that wave the handheld motion appliances, recognize the possible positions of the recognition part in 3D space. At least the 3D trajectory of the segmented part of the motion appliance (e.g., the head) is based on the possible positions in the 3D space of the head in the head of the head.</v>
      </c>
      <c r="D3827" s="6" t="s">
        <v>2320</v>
      </c>
      <c r="E3827" s="4" t="str">
        <f ca="1">IFERROR(__xludf.DUMMYFUNCTION("GOOGLETRANSLATE(D3827,""auto"",""en"")"),"Use a computer visual tracking handheld sports appliance")</f>
        <v>Use a computer visual tracking handheld sports appliance</v>
      </c>
    </row>
    <row r="3828" spans="1:5" ht="15" x14ac:dyDescent="0.25">
      <c r="A3828" s="5" t="s">
        <v>10678</v>
      </c>
      <c r="B3828" s="6" t="s">
        <v>10679</v>
      </c>
      <c r="C3828" s="3" t="str">
        <f ca="1">IFERROR(__xludf.DUMMYFUNCTION("GOOGLETRANSLATE(B3828,""auto"",""en"")"),"The invention provides a moderate price, friendly and reliable equipment and methods that can timely detect swimmers who encounter danger or people falling into the surface water. This product can be used for any type of surface water, such as ponds or sw"&amp;"imming pools. A high -performance intelligent measurement sensor may be an advanced ""fish detector"" sensor that continuously monitor real -time swimming. The data from the measuring sensor is analyzed by algorithm. The measuring sensor floats on the wat"&amp;"er and is autonomous due to energy collection. Data are sent to the Internet through the Internet of Things, Bluetooth or WiFi wirelessly or directly to devices equipped with microprocessors, such as tablets or smartphones. After processing, hearing or vi"&amp;"sual alarm signal can be issued.")</f>
        <v>The invention provides a moderate price, friendly and reliable equipment and methods that can timely detect swimmers who encounter danger or people falling into the surface water. This product can be used for any type of surface water, such as ponds or swimming pools. A high -performance intelligent measurement sensor may be an advanced "fish detector" sensor that continuously monitor real -time swimming. The data from the measuring sensor is analyzed by algorithm. The measuring sensor floats on the water and is autonomous due to energy collection. Data are sent to the Internet through the Internet of Things, Bluetooth or WiFi wirelessly or directly to devices equipped with microprocessors, such as tablets or smartphones. After processing, hearing or visual alarm signal can be issued.</v>
      </c>
      <c r="D3828" s="6" t="s">
        <v>10680</v>
      </c>
      <c r="E3828" s="4" t="str">
        <f ca="1">IFERROR(__xludf.DUMMYFUNCTION("GOOGLETRANSLATE(D3828,""auto"",""en"")"),"Swimming pool alarm system")</f>
        <v>Swimming pool alarm system</v>
      </c>
    </row>
    <row r="3829" spans="1:5" ht="15" x14ac:dyDescent="0.25">
      <c r="A3829" s="5" t="s">
        <v>10681</v>
      </c>
      <c r="B3829" s="6" t="s">
        <v>10682</v>
      </c>
      <c r="C3829" s="3" t="str">
        <f ca="1">IFERROR(__xludf.DUMMYFUNCTION("GOOGLETRANSLATE(B3829,""auto"",""en"")"),"Provides a solution for real -time detection of video in sports videos at the mobile computing device. The highlight detection module of the mobile computing device uses the training feature model of the training to extract visual characteristics from eac"&amp;"h video frame of sports video, and use the trained detection model to detect the highlights of the video frame based on the visual characteristics of the extracted video frame. Feature models and detection models are trained using convolutional neural net"&amp;"works on large video corpus libraries to generate category levels and form -paired frame feature vectors. Based on this detection, the highlight detection module generates a highlight score for each video frame of sports videos, and presents the highlight"&amp;" score to users of the computing device. The real -time high -gloss detection data of the feature model and detection model based on mobile computing devices is dynamically updated.")</f>
        <v>Provides a solution for real -time detection of video in sports videos at the mobile computing device. The highlight detection module of the mobile computing device uses the training feature model of the training to extract visual characteristics from each video frame of sports video, and use the trained detection model to detect the highlights of the video frame based on the visual characteristics of the extracted video frame. Feature models and detection models are trained using convolutional neural networks on large video corpus libraries to generate category levels and form -paired frame feature vectors. Based on this detection, the highlight detection module generates a highlight score for each video frame of sports videos, and presents the highlight score to users of the computing device. The real -time high -gloss detection data of the feature model and detection model based on mobile computing devices is dynamically updated.</v>
      </c>
      <c r="D3829" s="6" t="s">
        <v>10683</v>
      </c>
      <c r="E3829" s="4" t="str">
        <f ca="1">IFERROR(__xludf.DUMMYFUNCTION("GOOGLETRANSLATE(D3829,""auto"",""en"")"),"Movement video collection of mobile computing devices")</f>
        <v>Movement video collection of mobile computing devices</v>
      </c>
    </row>
    <row r="3830" spans="1:5" ht="15" x14ac:dyDescent="0.25">
      <c r="A3830" s="5" t="s">
        <v>10684</v>
      </c>
      <c r="B3830" s="6" t="s">
        <v>10685</v>
      </c>
      <c r="C3830" s="3" t="str">
        <f ca="1">IFERROR(__xludf.DUMMYFUNCTION("GOOGLETRANSLATE(B3830,""auto"",""en"")"),"This practical new model discloses a fitness key, including key stalks and key bodies. The key stalk is provided with: a single machine chip; one vibration sensor, which is used to induct the user's walking steps, and sends the information to the single -"&amp;"chip machine chip; a display screen is used to display information under the control of the single -chip micro chip; and the information; and the information; and the information; and A button battery is used to supply power for the power consumption devi"&amp;"ce in the keystone. There are several buttons on the key handle to interact with users to interact with users to switch the information displayed in the display screen. One or more cooperation in the button can achieve one or more in the function of displ"&amp;"aying the current time, adjustment display time, switch vibration sensor, and control of the stubborn startup. The display screen has fluorescent function. Compared with the existing technology, people can let people look at the fitness situation through "&amp;"their own keys when exercising fitness, record the number of exercise steps in real time, or view time at any time to maintain the concept of time.")</f>
        <v>This practical new model discloses a fitness key, including key stalks and key bodies. The key stalk is provided with: a single machine chip; one vibration sensor, which is used to induct the user's walking steps, and sends the information to the single -chip machine chip; a display screen is used to display information under the control of the single -chip micro chip; and the information; and the information; and the information; and A button battery is used to supply power for the power consumption device in the keystone. There are several buttons on the key handle to interact with users to interact with users to switch the information displayed in the display screen. One or more cooperation in the button can achieve one or more in the function of displaying the current time, adjustment display time, switch vibration sensor, and control of the stubborn startup. The display screen has fluorescent function. Compared with the existing technology, people can let people look at the fitness situation through their own keys when exercising fitness, record the number of exercise steps in real time, or view time at any time to maintain the concept of time.</v>
      </c>
      <c r="D3830" s="6" t="s">
        <v>10686</v>
      </c>
      <c r="E3830" s="4" t="str">
        <f ca="1">IFERROR(__xludf.DUMMYFUNCTION("GOOGLETRANSLATE(D3830,""auto"",""en"")"),"A fitness key")</f>
        <v>A fitness key</v>
      </c>
    </row>
    <row r="3831" spans="1:5" ht="15" x14ac:dyDescent="0.25">
      <c r="A3831" s="5" t="s">
        <v>10687</v>
      </c>
      <c r="B3831" s="6" t="s">
        <v>10688</v>
      </c>
      <c r="C3831" s="3" t="str">
        <f ca="1">IFERROR(__xludf.DUMMYFUNCTION("GOOGLETRANSLATE(B3831,""auto"",""en"")"),"A foldable treadmill, including the chassis; the front roller and the rear drum; the runner; the driver of the motor; the driver of the motor; Controller; infrared detector connected to the chain; left -handed sensor and right -handed sensor connected to "&amp;"the supporting frame; human -machine interaction system connected to the chain; human -machine interaction system includes embedded processors; through memory interfaces; through memory interfaces Reservoir connected to an embedded processor; video module"&amp;" and heart rate detection module connected to the embedded processor through the I/O interface, SD card/CF card interface, USB interface, Ethernet or WIFI transmission interface; human -computer interaction; The system is connected to the driver's control"&amp;"ler, the slope of the treadmill, the infrared detector, the left -handed sensor, and the right -handed sensor.")</f>
        <v>A foldable treadmill, including the chassis; the front roller and the rear drum; the runner; the driver of the motor; the driver of the motor; Controller; infrared detector connected to the chain; left -handed sensor and right -handed sensor connected to the supporting frame; human -machine interaction system connected to the chain; human -machine interaction system includes embedded processors; through memory interfaces; through memory interfaces Reservoir connected to an embedded processor; video module and heart rate detection module connected to the embedded processor through the I/O interface, SD card/CF card interface, USB interface, Ethernet or WIFI transmission interface; human -computer interaction; The system is connected to the driver's controller, the slope of the treadmill, the infrared detector, the left -handed sensor, and the right -handed sensor.</v>
      </c>
      <c r="D3831" s="6" t="s">
        <v>10689</v>
      </c>
      <c r="E3831" s="4" t="str">
        <f ca="1">IFERROR(__xludf.DUMMYFUNCTION("GOOGLETRANSLATE(D3831,""auto"",""en"")"),"A foldable treadmill")</f>
        <v>A foldable treadmill</v>
      </c>
    </row>
    <row r="3832" spans="1:5" ht="15" x14ac:dyDescent="0.25">
      <c r="A3832" s="5" t="s">
        <v>10690</v>
      </c>
      <c r="B3832" s="6" t="s">
        <v>10691</v>
      </c>
      <c r="C3832" s="3" t="str">
        <f ca="1">IFERROR(__xludf.DUMMYFUNCTION("GOOGLETRANSLATE(B3832,""auto"",""en"")"),"The present invention disclosed a special pet dog swimsuit system, including a swimsuit, inflatable device, system controllers and eye -catching caps used in the pet dog body shape. There is a safe filling bag in the swimsuit. The high -voltage solenoid v"&amp;"alve and the high -voltage gas cylinder are connected to form an inflatable device. The inflatable device is connected from a waterproof wire to an embedded intelligent processing module in the system controller, and then connected from the waterproof wir"&amp;"e to the drowning sensor and waterproof glasses in the eyeplas of the eyes; The swimsuit is made of graphene; the eyes of the nursing probe are equipped with a voice recognition module; the waterproof glasses are also equipped with an ultrasonic ranging m"&amp;"eter. The present invention is suitable for pet dog swimming and life -saving. It is practical, stable, and easy to promote.")</f>
        <v>The present invention disclosed a special pet dog swimsuit system, including a swimsuit, inflatable device, system controllers and eye -catching caps used in the pet dog body shape. There is a safe filling bag in the swimsuit. The high -voltage solenoid valve and the high -voltage gas cylinder are connected to form an inflatable device. The inflatable device is connected from a waterproof wire to an embedded intelligent processing module in the system controller, and then connected from the waterproof wire to the drowning sensor and waterproof glasses in the eyeplas of the eyes; The swimsuit is made of graphene; the eyes of the nursing probe are equipped with a voice recognition module; the waterproof glasses are also equipped with an ultrasonic ranging meter. The present invention is suitable for pet dog swimming and life -saving. It is practical, stable, and easy to promote.</v>
      </c>
      <c r="D3832" s="6" t="s">
        <v>10692</v>
      </c>
      <c r="E3832" s="4" t="str">
        <f ca="1">IFERROR(__xludf.DUMMYFUNCTION("GOOGLETRANSLATE(D3832,""auto"",""en"")"),"Pet Dog Swimming System")</f>
        <v>Pet Dog Swimming System</v>
      </c>
    </row>
    <row r="3833" spans="1:5" ht="15" x14ac:dyDescent="0.25">
      <c r="A3833" s="5" t="s">
        <v>10693</v>
      </c>
      <c r="B3833" s="6" t="s">
        <v>10694</v>
      </c>
      <c r="C3833" s="3" t="str">
        <f ca="1">IFERROR(__xludf.DUMMYFUNCTION("GOOGLETRANSLATE(B3833,""auto"",""en"")"),"Provides methods for the implementation of the computer implementation of the wonderful part of the video in sports videos and storage non -transient computers readable storage media that can be executed by the exciting computer program instructions used "&amp;"in sports videos. The wonderful part of the video video is part of sports videos and indicates important events captured in sports videos. Evaluate audio streams associated with sports videos, for example, the loudness and length of the audio flow. Video "&amp;"fragments of sports videos based on the assessment of audio flow. Each selected video clip represents a wonderful candidate for the video of sports videos. Trained audio classification models are used to identify the voice mode in the audio stream associa"&amp;"ted with each selected video fragment. The comparison of the collection of the recognition video mode and the expectations of the expectations, select one or more video fragments as a wonderful part of the video video.")</f>
        <v>Provides methods for the implementation of the computer implementation of the wonderful part of the video in sports videos and storage non -transient computers readable storage media that can be executed by the exciting computer program instructions used in sports videos. The wonderful part of the video video is part of sports videos and indicates important events captured in sports videos. Evaluate audio streams associated with sports videos, for example, the loudness and length of the audio flow. Video fragments of sports videos based on the assessment of audio flow. Each selected video clip represents a wonderful candidate for the video of sports videos. Trained audio classification models are used to identify the voice mode in the audio stream associated with each selected video fragment. The comparison of the collection of the recognition video mode and the expectations of the expectations, select one or more video fragments as a wonderful part of the video video.</v>
      </c>
      <c r="D3833" s="6" t="s">
        <v>10695</v>
      </c>
      <c r="E3833" s="4" t="str">
        <f ca="1">IFERROR(__xludf.DUMMYFUNCTION("GOOGLETRANSLATE(D3833,""auto"",""en"")"),"Based on voice recognition and detection of wonderful parts of sports videos")</f>
        <v>Based on voice recognition and detection of wonderful parts of sports videos</v>
      </c>
    </row>
    <row r="3834" spans="1:5" ht="15" x14ac:dyDescent="0.25">
      <c r="A3834" s="5" t="s">
        <v>10696</v>
      </c>
      <c r="B3834" s="6" t="s">
        <v>10697</v>
      </c>
      <c r="C3834" s="3" t="str">
        <f ca="1">IFERROR(__xludf.DUMMYFUNCTION("GOOGLETRANSLATE(B3834,""auto"",""en"")"),"Provides a solution for the wonderful clips of video for sports videos. Wonderful video of sports videos is part of sports videos, indicating important events captured in sports videos. Evaluate audio flow associated with sports videos, such as the length"&amp;" of the loudness and loudness of the audio stream part. Video fragments of sports videos based on audio stream evaluation. Each selected video clip represents a wonderful candidate for video video. The trained audio classification model is used to identif"&amp;"y the voice mode in the audio stream related to each selected video fragment. Based on the comparison of recognition video mode and a set of expected voice mode, select one or more video fragments as video highlights for sports videos.")</f>
        <v>Provides a solution for the wonderful clips of video for sports videos. Wonderful video of sports videos is part of sports videos, indicating important events captured in sports videos. Evaluate audio flow associated with sports videos, such as the length of the loudness and loudness of the audio stream part. Video fragments of sports videos based on audio stream evaluation. Each selected video clip represents a wonderful candidate for video video. The trained audio classification model is used to identify the voice mode in the audio stream related to each selected video fragment. Based on the comparison of recognition video mode and a set of expected voice mode, select one or more video fragments as video highlights for sports videos.</v>
      </c>
      <c r="D3834" s="6" t="s">
        <v>10698</v>
      </c>
      <c r="E3834" s="4" t="str">
        <f ca="1">IFERROR(__xludf.DUMMYFUNCTION("GOOGLETRANSLATE(D3834,""auto"",""en"")"),"Based on voice recognition detection, exciting sports video")</f>
        <v>Based on voice recognition detection, exciting sports video</v>
      </c>
    </row>
    <row r="3835" spans="1:5" ht="15" x14ac:dyDescent="0.25">
      <c r="A3835" s="5" t="s">
        <v>10699</v>
      </c>
      <c r="B3835" s="6" t="s">
        <v>10700</v>
      </c>
      <c r="C3835" s="3" t="str">
        <f ca="1">IFERROR(__xludf.DUMMYFUNCTION("GOOGLETRANSLATE(B3835,""auto"",""en"")"),"A treadmill based on the Internet of Things technology, including the chassis; the front roller and rear tube connected to the bottom; the runner connected to the front roller and the rear drum; the driver motor connected to the front roller; The slope li"&amp;"fting mechanism connected to the chain connection; the supporting frame connected to the leader in front of the front roller, the infrared detector, manual controller, left -handed sensor, right -handed sensor connected to the supporting frame; and the bo"&amp;"ttom movement sensor; and the bottom The human -computer interaction system of the frame connection; the human -machine interaction system includes an embedded processor; the memory connected to the embedded processor through the memory interface; Heart r"&amp;"ate detection module, SD card/CF card interface, USB interface, Ethernet or WIFI transmission interface; human -machine interaction system and driver controller, treadmill slope lifting mechanism, infrared detector, left -handed sensor and right -handed s"&amp;"ensor sensor Communication connection.")</f>
        <v>A treadmill based on the Internet of Things technology, including the chassis; the front roller and rear tube connected to the bottom; the runner connected to the front roller and the rear drum; the driver motor connected to the front roller; The slope lifting mechanism connected to the chain connection; the supporting frame connected to the leader in front of the front roller, the infrared detector, manual controller, left -handed sensor, right -handed sensor connected to the supporting frame; and the bottom movement sensor; and the bottom The human -computer interaction system of the frame connection; the human -machine interaction system includes an embedded processor; the memory connected to the embedded processor through the memory interface; Heart rate detection module, SD card/CF card interface, USB interface, Ethernet or WIFI transmission interface; human -machine interaction system and driver controller, treadmill slope lifting mechanism, infrared detector, left -handed sensor and right -handed sensor sensor Communication connection.</v>
      </c>
      <c r="D3835" s="6" t="s">
        <v>10701</v>
      </c>
      <c r="E3835" s="4" t="str">
        <f ca="1">IFERROR(__xludf.DUMMYFUNCTION("GOOGLETRANSLATE(D3835,""auto"",""en"")"),"A treadmill based on IoT technology")</f>
        <v>A treadmill based on IoT technology</v>
      </c>
    </row>
    <row r="3836" spans="1:5" ht="15" x14ac:dyDescent="0.25">
      <c r="A3836" s="5" t="s">
        <v>10702</v>
      </c>
      <c r="B3836" s="6" t="s">
        <v>10703</v>
      </c>
      <c r="C3836" s="3" t="str">
        <f ca="1">IFERROR(__xludf.DUMMYFUNCTION("GOOGLETRANSLATE(B3836,""auto"",""en"")"),"A system and method of using voice analysis to identify damaged brain function (such as mild trauma brain damage). In a sample, athletes who participated in boxing games after each game recorded records on the equipment. In one case, vowels are separated "&amp;"from the recording, extracted acoustics, and used to train several types of machine learning algorithms to predict whether the athletes are encephalically.")</f>
        <v>A system and method of using voice analysis to identify damaged brain function (such as mild trauma brain damage). In a sample, athletes who participated in boxing games after each game recorded records on the equipment. In one case, vowels are separated from the recording, extracted acoustics, and used to train several types of machine learning algorithms to predict whether the athletes are encephalically.</v>
      </c>
      <c r="D3836" s="6" t="s">
        <v>10704</v>
      </c>
      <c r="E3836" s="4" t="str">
        <f ca="1">IFERROR(__xludf.DUMMYFUNCTION("GOOGLETRANSLATE(D3836,""auto"",""en"")"),"Use the system and method of mild trauma brain injury with isolation vowels")</f>
        <v>Use the system and method of mild trauma brain injury with isolation vowels</v>
      </c>
    </row>
    <row r="3837" spans="1:5" ht="15" x14ac:dyDescent="0.25">
      <c r="A3837" s="5" t="s">
        <v>10705</v>
      </c>
      <c r="B3837" s="6" t="s">
        <v>10706</v>
      </c>
      <c r="C3837" s="3" t="str">
        <f ca="1">IFERROR(__xludf.DUMMYFUNCTION("GOOGLETRANSLATE(B3837,""auto"",""en"")"),"This utility model discloses a man -machine interaction function with game and massage, including intelligent grip balls to collect, record and analyze the data of grip data and ball position changes, operate smart terminal games, and pass through the sma"&amp;"rt terminal, and pass through the smart terminal, and pass the through the smart terminal, and pass the through the smart terminal, and pass the through the smart terminal. The grip size and frequency control the massage strength and frequency of the supp"&amp;"orting massage patch to achieve human -machine interaction; massage patch, use it to support the human body massage with intelligent grip balls, receive control signals sent by intelligent grip balls, realize social interaction Essence Among them, the int"&amp;"elligent grip ball and massage patch are equipped with internal hardware circuits. The cost of sensor adopted by this patent is low, but it can meet the input requirements of most game commands, and can support most mobile games, computers and TVs small g"&amp;"ames. Because of its small and easy -to -carry, most people can combine fitness and games when playing games while working or studying.")</f>
        <v>This utility model discloses a man -machine interaction function with game and massage, including intelligent grip balls to collect, record and analyze the data of grip data and ball position changes, operate smart terminal games, and pass through the smart terminal, and pass through the smart terminal, and pass the through the smart terminal, and pass the through the smart terminal, and pass the through the smart terminal. The grip size and frequency control the massage strength and frequency of the supporting massage patch to achieve human -machine interaction; massage patch, use it to support the human body massage with intelligent grip balls, receive control signals sent by intelligent grip balls, realize social interaction Essence Among them, the intelligent grip ball and massage patch are equipped with internal hardware circuits. The cost of sensor adopted by this patent is low, but it can meet the input requirements of most game commands, and can support most mobile games, computers and TVs small games. Because of its small and easy -to -carry, most people can combine fitness and games when playing games while working or studying.</v>
      </c>
      <c r="D3837" s="6" t="s">
        <v>10707</v>
      </c>
      <c r="E3837" s="4" t="str">
        <f ca="1">IFERROR(__xludf.DUMMYFUNCTION("GOOGLETRANSLATE(D3837,""auto"",""en"")"),"A device with human -computer interaction functions with game and massage")</f>
        <v>A device with human -computer interaction functions with game and massage</v>
      </c>
    </row>
    <row r="3838" spans="1:5" ht="15" x14ac:dyDescent="0.25">
      <c r="A3838" s="5" t="s">
        <v>10708</v>
      </c>
      <c r="B3838" s="6" t="s">
        <v>10709</v>
      </c>
      <c r="C3838" s="3" t="str">
        <f ca="1">IFERROR(__xludf.DUMMYFUNCTION("GOOGLETRANSLATE(B3838,""auto"",""en"")"),"The present invention discloses a man -machine interaction function with games and massage, including intelligent grip balls to collect, record and analyze data from the data of grip data and ball position, operate the smart terminal game, and use the gri"&amp;"p power through grip power The mass and frequency control the massage of the massage patch to realize the human -machine interaction; the massage patch is used for the use of the human body massage with the smart grip ball, receiving the control signal se"&amp;"nt by the intelligent grip ball, and realizing social interaction. Among them, the intelligent grip ball and massage patch are equipped with internal hardware circuits. The cost of sensor adopted by this patent is low, but it can meet the input requiremen"&amp;"ts of most game commands, and can support most mobile games, computers and TVs small games. Because of its small and easy -to -carry, most people can combine fitness and games when playing games while working or studying.")</f>
        <v>The present invention discloses a man -machine interaction function with games and massage, including intelligent grip balls to collect, record and analyze data from the data of grip data and ball position, operate the smart terminal game, and use the grip power through grip power The mass and frequency control the massage of the massage patch to realize the human -machine interaction; the massage patch is used for the use of the human body massage with the smart grip ball, receiving the control signal sent by the intelligent grip ball, and realizing social interaction. Among them, the intelligent grip ball and massage patch are equipped with internal hardware circuits. The cost of sensor adopted by this patent is low, but it can meet the input requirements of most game commands, and can support most mobile games, computers and TVs small games. Because of its small and easy -to -carry, most people can combine fitness and games when playing games while working or studying.</v>
      </c>
      <c r="D3838" s="6" t="s">
        <v>10707</v>
      </c>
      <c r="E3838" s="4" t="str">
        <f ca="1">IFERROR(__xludf.DUMMYFUNCTION("GOOGLETRANSLATE(D3838,""auto"",""en"")"),"A device with human -computer interaction functions with game and massage")</f>
        <v>A device with human -computer interaction functions with game and massage</v>
      </c>
    </row>
    <row r="3839" spans="1:5" ht="15" x14ac:dyDescent="0.25">
      <c r="A3839" s="5" t="s">
        <v>10710</v>
      </c>
      <c r="B3839" s="6" t="s">
        <v>10711</v>
      </c>
      <c r="C3839" s="3" t="str">
        <f ca="1">IFERROR(__xludf.DUMMYFUNCTION("GOOGLETRANSLATE(B3839,""auto"",""en"")"),"The present invention disclosed a fitness game implementation method based on the virtual reality fitness game system. The virtual reality fitness game system includes the Kinect sensor, Oculus Rift DK2 virtual reality glasses and treadmills, and the soft"&amp;"ware is client and server. composition. DK2 virtual reality glasses play the game and enter the virtual immersion. The sensor capture the user's limb head movement to the computer. At the same time, the treadmill transmits the user's mileage speed to the "&amp;"computer. The invention uses DK2 virtual reality glasses and Kinect sensors to achieve human -machine interaction and achieve the dual purpose of exercise and entertainment.")</f>
        <v>The present invention disclosed a fitness game implementation method based on the virtual reality fitness game system. The virtual reality fitness game system includes the Kinect sensor, Oculus Rift DK2 virtual reality glasses and treadmills, and the software is client and server. composition. DK2 virtual reality glasses play the game and enter the virtual immersion. The sensor capture the user's limb head movement to the computer. At the same time, the treadmill transmits the user's mileage speed to the computer. The invention uses DK2 virtual reality glasses and Kinect sensors to achieve human -machine interaction and achieve the dual purpose of exercise and entertainment.</v>
      </c>
      <c r="D3839" s="6" t="s">
        <v>10712</v>
      </c>
      <c r="E3839" s="4" t="str">
        <f ca="1">IFERROR(__xludf.DUMMYFUNCTION("GOOGLETRANSLATE(D3839,""auto"",""en"")"),"A fitness game implementation method based on virtual reality fitness game system")</f>
        <v>A fitness game implementation method based on virtual reality fitness game system</v>
      </c>
    </row>
    <row r="3840" spans="1:5" ht="15" x14ac:dyDescent="0.25">
      <c r="A3840" s="5" t="s">
        <v>10713</v>
      </c>
      <c r="B3840" s="6" t="s">
        <v>10714</v>
      </c>
      <c r="C3840" s="3" t="str">
        <f ca="1">IFERROR(__xludf.DUMMYFUNCTION("GOOGLETRANSLATE(B3840,""auto"",""en"")"),"A portable treadmill based on the Internet of Things technology, including the chain; the front and rear drums connected to the chain; the runner connected to the front and rear drums; The slope lifting mechanism of the treadmill connecting the chain conn"&amp;"ection; the supporting frame connected to the leader in front of the front roller, the infrared detector, manual controller, left -handed sensor, right -handed sensor connected to the supporting frame;连接的人机交互系统；所述底架包括可伸缩的纵梁，带动纵梁伸缩的电动推杆或电液推杆，与纵梁连接的承带滚筒、第一改"&amp;"向滚筒、连接杆、 Push the connecting rod and connect to the roller with the push link connection to the guide slot of the second change of the roller sliding; the first end is connected to the connection rod, and the other end is connected to the supporting rod t"&amp;"o slide the connection. Support board; the two ends of the second change to the roller are connected to the longitudinal beams on both sides.")</f>
        <v>A portable treadmill based on the Internet of Things technology, including the chain; the front and rear drums connected to the chain; the runner connected to the front and rear drums; The slope lifting mechanism of the treadmill connecting the chain connection; the supporting frame connected to the leader in front of the front roller, the infrared detector, manual controller, left -handed sensor, right -handed sensor connected to the supporting frame;连接的人机交互系统；所述底架包括可伸缩的纵梁，带动纵梁伸缩的电动推杆或电液推杆，与纵梁连接的承带滚筒、第一改向滚筒、连接杆、 Push the connecting rod and connect to the roller with the push link connection to the guide slot of the second change of the roller sliding; the first end is connected to the connection rod, and the other end is connected to the supporting rod to slide the connection. Support board; the two ends of the second change to the roller are connected to the longitudinal beams on both sides.</v>
      </c>
      <c r="D3840" s="6" t="s">
        <v>10715</v>
      </c>
      <c r="E3840" s="4" t="str">
        <f ca="1">IFERROR(__xludf.DUMMYFUNCTION("GOOGLETRANSLATE(D3840,""auto"",""en"")"),"Portable treadmill based on IoT technology")</f>
        <v>Portable treadmill based on IoT technology</v>
      </c>
    </row>
    <row r="3841" spans="1:5" ht="15" x14ac:dyDescent="0.25">
      <c r="A3841" s="5" t="s">
        <v>10716</v>
      </c>
      <c r="B3841" s="6" t="s">
        <v>10717</v>
      </c>
      <c r="C3841" s="3" t="str">
        <f ca="1">IFERROR(__xludf.DUMMYFUNCTION("GOOGLETRANSLATE(B3841,""auto"",""en"")"),"An electric treadmill, including the chassis; the front roller and rear tube connected to the chain; the runner connected to the front roller and the rear drum; ; The slope lift mechanism of the treadmill connected to the champion; the supporting frame co"&amp;"nnected to the leading chain in front of the front roller; The manual controller connected to the supporting frame; the Wi-Fi/Bluetooth device connected to the charger; the left-handed sensor and right-handed sensor connected to the supporting frame; ; Th"&amp;"e human-machine interaction system is connected to the driver's controller, the slope lifting mechanism of the treadmill, the infrared detector, the Wi-Fi/Bluetooth device, the left-handed sensor and the right-hand action sensor. The controller and the sl"&amp;"ope of the treadmill are connected.")</f>
        <v>An electric treadmill, including the chassis; the front roller and rear tube connected to the chain; the runner connected to the front roller and the rear drum; ; The slope lift mechanism of the treadmill connected to the champion; the supporting frame connected to the leading chain in front of the front roller; The manual controller connected to the supporting frame; the Wi-Fi/Bluetooth device connected to the charger; the left-handed sensor and right-handed sensor connected to the supporting frame; ; The human-machine interaction system is connected to the driver's controller, the slope lifting mechanism of the treadmill, the infrared detector, the Wi-Fi/Bluetooth device, the left-handed sensor and the right-hand action sensor. The controller and the slope of the treadmill are connected.</v>
      </c>
      <c r="D3841" s="6" t="s">
        <v>10718</v>
      </c>
      <c r="E3841" s="4" t="str">
        <f ca="1">IFERROR(__xludf.DUMMYFUNCTION("GOOGLETRANSLATE(D3841,""auto"",""en"")"),"A electric treadmill")</f>
        <v>A electric treadmill</v>
      </c>
    </row>
    <row r="3842" spans="1:5" ht="15" x14ac:dyDescent="0.25">
      <c r="A3842" s="5" t="s">
        <v>10719</v>
      </c>
      <c r="B3842" s="6" t="s">
        <v>10714</v>
      </c>
      <c r="C3842" s="3" t="str">
        <f ca="1">IFERROR(__xludf.DUMMYFUNCTION("GOOGLETRANSLATE(B3842,""auto"",""en"")"),"A portable treadmill based on the Internet of Things technology, including the chain; the front and rear drums connected to the chain; the runner connected to the front and rear drums; The slope lifting mechanism of the treadmill connecting the chain conn"&amp;"ection; the supporting frame connected to the leader in front of the front roller, the infrared detector, manual controller, left -handed sensor, right -handed sensor connected to the supporting frame;连接的人机交互系统；所述底架包括可伸缩的纵梁，带动纵梁伸缩的电动推杆或电液推杆，与纵梁连接的承带滚筒、第一改"&amp;"向滚筒、连接杆、 Push the connecting rod and connect to the roller with the push link connection to the guide slot of the second change of the roller sliding; the first end is connected to the connection rod, and the other end is connected to the supporting rod t"&amp;"o slide the connection. Support board; the two ends of the second change to the roller are connected to the longitudinal beams on both sides.")</f>
        <v>A portable treadmill based on the Internet of Things technology, including the chain; the front and rear drums connected to the chain; the runner connected to the front and rear drums; The slope lifting mechanism of the treadmill connecting the chain connection; the supporting frame connected to the leader in front of the front roller, the infrared detector, manual controller, left -handed sensor, right -handed sensor connected to the supporting frame;连接的人机交互系统；所述底架包括可伸缩的纵梁，带动纵梁伸缩的电动推杆或电液推杆，与纵梁连接的承带滚筒、第一改向滚筒、连接杆、 Push the connecting rod and connect to the roller with the push link connection to the guide slot of the second change of the roller sliding; the first end is connected to the connection rod, and the other end is connected to the supporting rod to slide the connection. Support board; the two ends of the second change to the roller are connected to the longitudinal beams on both sides.</v>
      </c>
      <c r="D3842" s="6" t="s">
        <v>10720</v>
      </c>
      <c r="E3842" s="4" t="str">
        <f ca="1">IFERROR(__xludf.DUMMYFUNCTION("GOOGLETRANSLATE(D3842,""auto"",""en"")"),"A portable treadmill based on IoT technology")</f>
        <v>A portable treadmill based on IoT technology</v>
      </c>
    </row>
    <row r="3843" spans="1:5" ht="15" x14ac:dyDescent="0.25">
      <c r="A3843" s="5" t="s">
        <v>10721</v>
      </c>
      <c r="B3843" s="6" t="s">
        <v>10722</v>
      </c>
      <c r="C3843" s="3" t="str">
        <f ca="1">IFERROR(__xludf.DUMMYFUNCTION("GOOGLETRANSLATE(B3843,""auto"",""en"")"),"The present invention disclosed a life signs, systems and methods applied to the life signs of the pool, and belongs to the Internet of Things technology. The life signs monitoring device includes: the first receiving module, which is used to receive the "&amp;"first parameter obtained by the smart bracelet worn on the wrist of the swimmer. The RSSI of the signal and the position of the two reference nodes, the two reference nodes are two reference nodes in multiple reference nodes set on the side of the swimmin"&amp;"g pool at a set distance; According to the two reference nodes, the position of the RSSI and reference nodes of the two reference nodes based on the smart bracelet, and the position of the reference node, calculate the position of the swimmer; the output "&amp;"module is used to output the position of the swimmer, and the alarm of the swimmer is alarmed when the pulse of the swimmer exceeds the setting range Essence The invention effectively avoids death and economic losses.")</f>
        <v>The present invention disclosed a life signs, systems and methods applied to the life signs of the pool, and belongs to the Internet of Things technology. The life signs monitoring device includes: the first receiving module, which is used to receive the first parameter obtained by the smart bracelet worn on the wrist of the swimmer. The RSSI of the signal and the position of the two reference nodes, the two reference nodes are two reference nodes in multiple reference nodes set on the side of the swimming pool at a set distance; According to the two reference nodes, the position of the RSSI and reference nodes of the two reference nodes based on the smart bracelet, and the position of the reference node, calculate the position of the swimmer; the output module is used to output the position of the swimmer, and the alarm of the swimmer is alarmed when the pulse of the swimmer exceeds the setting range Essence The invention effectively avoids death and economic losses.</v>
      </c>
      <c r="D3843" s="6" t="s">
        <v>10723</v>
      </c>
      <c r="E3843" s="4" t="str">
        <f ca="1">IFERROR(__xludf.DUMMYFUNCTION("GOOGLETRANSLATE(D3843,""auto"",""en"")"),"A life signs, systems and methods applied to the pool life -saving life signs, systems and methods")</f>
        <v>A life signs, systems and methods applied to the pool life -saving life signs, systems and methods</v>
      </c>
    </row>
    <row r="3844" spans="1:5" ht="15" x14ac:dyDescent="0.25">
      <c r="A3844" s="5" t="s">
        <v>10724</v>
      </c>
      <c r="B3844" s="6" t="s">
        <v>10725</v>
      </c>
      <c r="C3844" s="3" t="str">
        <f ca="1">IFERROR(__xludf.DUMMYFUNCTION("GOOGLETRANSLATE(B3844,""auto"",""en"")"),"The present invention is suitable for the field of telecommunications technology. It provides a method and system for interactive interaction of smart treadmills through the Internet of Things. Data and second data are sent to the cloud server through the"&amp;" wireless network, which contains the second logo of the second smart treadmill, which contains the first logo of the first smart treadmill; The first data and the second data are sent to the second data to the first smart treadmill according to the secon"&amp;"d logo, and the first data is sent to the second smart treadmill according to the first logo; the first smart running The machine interacts with the second smart treadmill according to the second data, and the second smart treadmill interacts with the fir"&amp;"st smart treadmill based on the first data. Implementation of the embodiments of the present invention can make running fitness more reasonable and more fun.")</f>
        <v>The present invention is suitable for the field of telecommunications technology. It provides a method and system for interactive interaction of smart treadmills through the Internet of Things. Data and second data are sent to the cloud server through the wireless network, which contains the second logo of the second smart treadmill, which contains the first logo of the first smart treadmill; The first data and the second data are sent to the second data to the first smart treadmill according to the second logo, and the first data is sent to the second smart treadmill according to the first logo; the first smart running The machine interacts with the second smart treadmill according to the second data, and the second smart treadmill interacts with the first smart treadmill based on the first data. Implementation of the embodiments of the present invention can make running fitness more reasonable and more fun.</v>
      </c>
      <c r="D3844" s="6" t="s">
        <v>10726</v>
      </c>
      <c r="E3844" s="4" t="str">
        <f ca="1">IFERROR(__xludf.DUMMYFUNCTION("GOOGLETRANSLATE(D3844,""auto"",""en"")"),"A method and system for interacting with the Internet of Things through the Internet of Things")</f>
        <v>A method and system for interacting with the Internet of Things through the Internet of Things</v>
      </c>
    </row>
    <row r="3845" spans="1:5" ht="15" x14ac:dyDescent="0.25">
      <c r="A3845" s="5" t="s">
        <v>10727</v>
      </c>
      <c r="B3845" s="6" t="s">
        <v>10728</v>
      </c>
      <c r="C3845" s="3" t="str">
        <f ca="1">IFERROR(__xludf.DUMMYFUNCTION("GOOGLETRANSLATE(B3845,""auto"",""en"")"),"After the first generation of the first candidate solution was evaluated and before the evaluation was completed, the system could determine the number of participants of the first championship from the first candidate solution. The system can determine w"&amp;"hether each of the participants in the first candidate solution have been evaluated. In response to each of the participants in the first number of championships, each of them has been evaluated. The system can determine the first or more winners of the c"&amp;"hampionship, and determine whether the first number of the first or more winners is higher than that of the first or more winners. Proper threshold. In response to the determination of the first number higher than the predetermined threshold, the system c"&amp;"an determine the second generation of the second candidate solution, and at least part of the secondary candidate solution based on the first or more winners.")</f>
        <v>After the first generation of the first candidate solution was evaluated and before the evaluation was completed, the system could determine the number of participants of the first championship from the first candidate solution. The system can determine whether each of the participants in the first candidate solution have been evaluated. In response to each of the participants in the first number of championships, each of them has been evaluated. The system can determine the first or more winners of the championship, and determine whether the first number of the first or more winners is higher than that of the first or more winners. Proper threshold. In response to the determination of the first number higher than the predetermined threshold, the system can determine the second generation of the second candidate solution, and at least part of the secondary candidate solution based on the first or more winners.</v>
      </c>
      <c r="D3845" s="6" t="s">
        <v>10729</v>
      </c>
      <c r="E3845" s="4" t="str">
        <f ca="1">IFERROR(__xludf.DUMMYFUNCTION("GOOGLETRANSLATE(D3845,""auto"",""en"")"),"Early generation individuals accelerated genetic algorithms")</f>
        <v>Early generation individuals accelerated genetic algorithms</v>
      </c>
    </row>
    <row r="3846" spans="1:5" ht="15" x14ac:dyDescent="0.25">
      <c r="A3846" s="5" t="s">
        <v>10730</v>
      </c>
      <c r="B3846" s="6" t="s">
        <v>10731</v>
      </c>
      <c r="C3846" s="3" t="str">
        <f ca="1">IFERROR(__xludf.DUMMYFUNCTION("GOOGLETRANSLATE(B3846,""auto"",""en"")"),"The present invention involves the field of human -computer interaction technology, especially a kind of ideological football game console, which mainly includes ideas, football robots, stadiums, goals and football. With the first wireless communication m"&amp;"odule, the brain wave module collects the player's brain wave strength strength, the motion sensor collects the player's head posture, the brain wave module and the athlete sensor transfer the collected signals to the input of the first control unit The o"&amp;"utput terminal of the first control unit is connected to the first wireless communication module; the football robot includes the second wireless communication module, the second control unit, the walking mechanism, and the ejection device. A wireless com"&amp;"munication module wireless connection, the input terminal of the second control unit connects to the second wireless communication module, and its output is connected to the walking mechanism and the ejection device, respectively.")</f>
        <v>The present invention involves the field of human -computer interaction technology, especially a kind of ideological football game console, which mainly includes ideas, football robots, stadiums, goals and football. With the first wireless communication module, the brain wave module collects the player's brain wave strength strength, the motion sensor collects the player's head posture, the brain wave module and the athlete sensor transfer the collected signals to the input of the first control unit The output terminal of the first control unit is connected to the first wireless communication module; the football robot includes the second wireless communication module, the second control unit, the walking mechanism, and the ejection device. A wireless communication module wireless connection, the input terminal of the second control unit connects to the second wireless communication module, and its output is connected to the walking mechanism and the ejection device, respectively.</v>
      </c>
      <c r="D3846" s="6" t="s">
        <v>10732</v>
      </c>
      <c r="E3846" s="4" t="str">
        <f ca="1">IFERROR(__xludf.DUMMYFUNCTION("GOOGLETRANSLATE(D3846,""auto"",""en"")"),"Ideas football game console")</f>
        <v>Ideas football game console</v>
      </c>
    </row>
    <row r="3847" spans="1:5" ht="15" x14ac:dyDescent="0.25">
      <c r="A3847" s="5" t="s">
        <v>10733</v>
      </c>
      <c r="B3847" s="6" t="s">
        <v>10734</v>
      </c>
      <c r="C3847" s="3" t="str">
        <f ca="1">IFERROR(__xludf.DUMMYFUNCTION("GOOGLETRANSLATE(B3847,""auto"",""en"")"),"The present invention involves a video -based basketball detection method and device, which includes: recursive convolutional neural network model based on convolutional neural networks and recursive neural networks; The picture in the picture library has"&amp;" labels that include timing information and goal logo information; based on the sample sets of the samples, the recursive convolutional neural network model is trained; The recursive convolutional neural network model processing the extracted image is pro"&amp;"cessed to obtain the output vector; according to the output vectors of recursive convolutional neural networks to determine whether there is a goal in the current basketball video. The present invention can accurately detect whether basketball scores base"&amp;"d on video.")</f>
        <v>The present invention involves a video -based basketball detection method and device, which includes: recursive convolutional neural network model based on convolutional neural networks and recursive neural networks; The picture in the picture library has labels that include timing information and goal logo information; based on the sample sets of the samples, the recursive convolutional neural network model is trained; The recursive convolutional neural network model processing the extracted image is processed to obtain the output vector; according to the output vectors of recursive convolutional neural networks to determine whether there is a goal in the current basketball video. The present invention can accurately detect whether basketball scores based on video.</v>
      </c>
      <c r="D3847" s="6" t="s">
        <v>10735</v>
      </c>
      <c r="E3847" s="4" t="str">
        <f ca="1">IFERROR(__xludf.DUMMYFUNCTION("GOOGLETRANSLATE(D3847,""auto"",""en"")"),"A video -based basketball goal detection method and device")</f>
        <v>A video -based basketball goal detection method and device</v>
      </c>
    </row>
    <row r="3848" spans="1:5" ht="15" x14ac:dyDescent="0.25">
      <c r="A3848" s="5" t="s">
        <v>10736</v>
      </c>
      <c r="B3848" s="6" t="s">
        <v>10737</v>
      </c>
      <c r="C3848" s="3" t="str">
        <f ca="1">IFERROR(__xludf.DUMMYFUNCTION("GOOGLETRANSLATE(B3848,""auto"",""en"")"),"The present invention provides a smart watch and the best speed acquisition method. Smart watches integrating running status detection, analysis, and feedback can provide the most real -time running suggestions for the majority of running enthusiasts. Sma"&amp;"rt watches can obtain human heart rate data, current running speed, energy consumption data, wind speed and other information through the sensor on the watch, and then calculate the two optimal running speeds through two different running speeds. In the c"&amp;"alculation, the genetic algorithm and BFGS algorithm are used to find excellence to improve the accuracy of the model calculation. Finally, the two optimal running speeds are processed to obtain the final best running speed. The calculation of the best ru"&amp;"nning speed of the present invention is more objective through two running speed calculation models, and the final result is more objective according to the weighted processing. Among them, the genetic algorithm and the BFGS algorithm are added to find th"&amp;"e best. Accuracy.")</f>
        <v>The present invention provides a smart watch and the best speed acquisition method. Smart watches integrating running status detection, analysis, and feedback can provide the most real -time running suggestions for the majority of running enthusiasts. Smart watches can obtain human heart rate data, current running speed, energy consumption data, wind speed and other information through the sensor on the watch, and then calculate the two optimal running speeds through two different running speeds. In the calculation, the genetic algorithm and BFGS algorithm are used to find excellence to improve the accuracy of the model calculation. Finally, the two optimal running speeds are processed to obtain the final best running speed. The calculation of the best running speed of the present invention is more objective through two running speed calculation models, and the final result is more objective according to the weighted processing. Among them, the genetic algorithm and the BFGS algorithm are added to find the best. Accuracy.</v>
      </c>
      <c r="D3848" s="6" t="s">
        <v>10738</v>
      </c>
      <c r="E3848" s="4" t="str">
        <f ca="1">IFERROR(__xludf.DUMMYFUNCTION("GOOGLETRANSLATE(D3848,""auto"",""en"")"),"A sports smart watch and the best running speed acquisition method")</f>
        <v>A sports smart watch and the best running speed acquisition method</v>
      </c>
    </row>
    <row r="3849" spans="1:5" ht="15" x14ac:dyDescent="0.25">
      <c r="A3849" s="5" t="s">
        <v>10739</v>
      </c>
      <c r="B3849" s="6" t="s">
        <v>10740</v>
      </c>
      <c r="C3849" s="3" t="str">
        <f ca="1">IFERROR(__xludf.DUMMYFUNCTION("GOOGLETRANSLATE(B3849,""auto"",""en"")"),"Examples provide a group of group -based diet plan systems and methods for creating a candidate diet plan based on pre -selected composition lists. The diet plan system can create a parental diet plan based on one or more recipes with one or more pre -sel"&amp;"ected components. You can create a sub -diet plan by randomly crossing the recipes included in the parent diet plan. Children's diet plans can be scored according to the genetic algorithm, such as fitness function. This algorithm considers the cost, waste"&amp;", flavor compatibility, preparation time and shelf life of raw materials. The diet plan system can use a cognitive system with natural language processing ability to generate new recipes based on waste or flavor compatibility. The sub -diet plan with the "&amp;"highest adaptation score can be used as the next analysis of the father's diet plan. After the iteration of the predetermined times, the system can output the candidate diet plan.")</f>
        <v>Examples provide a group of group -based diet plan systems and methods for creating a candidate diet plan based on pre -selected composition lists. The diet plan system can create a parental diet plan based on one or more recipes with one or more pre -selected components. You can create a sub -diet plan by randomly crossing the recipes included in the parent diet plan. Children's diet plans can be scored according to the genetic algorithm, such as fitness function. This algorithm considers the cost, waste, flavor compatibility, preparation time and shelf life of raw materials. The diet plan system can use a cognitive system with natural language processing ability to generate new recipes based on waste or flavor compatibility. The sub -diet plan with the highest adaptation score can be used as the next analysis of the father's diet plan. After the iteration of the predetermined times, the system can output the candidate diet plan.</v>
      </c>
      <c r="D3849" s="6" t="s">
        <v>10741</v>
      </c>
      <c r="E3849" s="4" t="str">
        <f ca="1">IFERROR(__xludf.DUMMYFUNCTION("GOOGLETRANSLATE(D3849,""auto"",""en"")"),"The diet plan system and method based on the generation group")</f>
        <v>The diet plan system and method based on the generation group</v>
      </c>
    </row>
    <row r="3850" spans="1:5" ht="15" x14ac:dyDescent="0.25">
      <c r="A3850" s="5" t="s">
        <v>10742</v>
      </c>
      <c r="B3850" s="6" t="s">
        <v>10743</v>
      </c>
      <c r="C3850" s="3" t="str">
        <f ca="1">IFERROR(__xludf.DUMMYFUNCTION("GOOGLETRANSLATE(B3850,""auto"",""en"")"),"The present invention involves a treadmill with a three -phase AC asynchronous motor speed control system. It belongs to the in the field of motor control, including the main circuit, the lower machine control circuit, and the upper machine control circui"&amp;"t. Reverse circuit; lower machine control circuit, including the lower machine microprocessor, current detection circuit, voltage detection circuit, speed detection circuit, fixed voltage detection circuit, and fixed current detection circuit; Keyboard, h"&amp;"eart rate detection circuit and LCD display circuit. The present invention is mainly for the needs of civil treadmill speed adjustment and human -computer interaction interface. According to the characteristics of the treadmill, the heart rate detection c"&amp;"ircuit, hand -control keyboard and LCD display circuit have been added. No need to increase any module to display the function of the current heart rate and manual adjustment speed of the user, it can greatly reduce the volume of the treadmill and save co"&amp;"sts.")</f>
        <v>The present invention involves a treadmill with a three -phase AC asynchronous motor speed control system. It belongs to the in the field of motor control, including the main circuit, the lower machine control circuit, and the upper machine control circuit. Reverse circuit; lower machine control circuit, including the lower machine microprocessor, current detection circuit, voltage detection circuit, speed detection circuit, fixed voltage detection circuit, and fixed current detection circuit; Keyboard, heart rate detection circuit and LCD display circuit. The present invention is mainly for the needs of civil treadmill speed adjustment and human -computer interaction interface. According to the characteristics of the treadmill, the heart rate detection circuit, hand -control keyboard and LCD display circuit have been added. No need to increase any module to display the function of the current heart rate and manual adjustment speed of the user, it can greatly reduce the volume of the treadmill and save costs.</v>
      </c>
      <c r="D3850" s="6" t="s">
        <v>10744</v>
      </c>
      <c r="E3850" s="4" t="str">
        <f ca="1">IFERROR(__xludf.DUMMYFUNCTION("GOOGLETRANSLATE(D3850,""auto"",""en"")"),"A treadmill use three -phase AC asynchronous motor speed control system")</f>
        <v>A treadmill use three -phase AC asynchronous motor speed control system</v>
      </c>
    </row>
    <row r="3851" spans="1:5" ht="15" x14ac:dyDescent="0.25">
      <c r="A3851" s="5" t="s">
        <v>10745</v>
      </c>
      <c r="B3851" s="6" t="s">
        <v>10746</v>
      </c>
      <c r="C3851" s="3" t="str">
        <f ca="1">IFERROR(__xludf.DUMMYFUNCTION("GOOGLETRANSLATE(B3851,""auto"",""en"")"),"Provides a system and method for aggregation, classification, and enriching social media. Machine learning technology and automatic analysis are implemented for posts aggregated from different social media websites. The source of these posts is the offici"&amp;"al account of public figures, brands and commercial entities that are popular or performed well. The posts are divided into two levels. By classify the source by first according to the identity category (such as musicians, actors, athletes, miscellaneous "&amp;"celebrities, news and lifestyle, brand or commercial entities), so as to better organize the post to different summaries In the middle, the post itself is divided into music, videos, photos, upcoming activities, specific locations, concerts, news and life"&amp;"style, and community interaction. Organizing posts can be enhanced and enriched by adding hyperlinks, modifying the appearance, and integration with calendar or maps.")</f>
        <v>Provides a system and method for aggregation, classification, and enriching social media. Machine learning technology and automatic analysis are implemented for posts aggregated from different social media websites. The source of these posts is the official account of public figures, brands and commercial entities that are popular or performed well. The posts are divided into two levels. By classify the source by first according to the identity category (such as musicians, actors, athletes, miscellaneous celebrities, news and lifestyle, brand or commercial entities), so as to better organize the post to different summaries In the middle, the post itself is divided into music, videos, photos, upcoming activities, specific locations, concerts, news and lifestyle, and community interaction. Organizing posts can be enhanced and enriched by adding hyperlinks, modifying the appearance, and integration with calendar or maps.</v>
      </c>
      <c r="D3851" s="6" t="s">
        <v>10747</v>
      </c>
      <c r="E3851" s="4" t="str">
        <f ca="1">IFERROR(__xludf.DUMMYFUNCTION("GOOGLETRANSLATE(D3851,""auto"",""en"")"),"Systems and methods for aggregation, classification, and rich social media posts published by the monitoring author")</f>
        <v>Systems and methods for aggregation, classification, and rich social media posts published by the monitoring author</v>
      </c>
    </row>
    <row r="3852" spans="1:5" ht="15" x14ac:dyDescent="0.25">
      <c r="A3852" s="5" t="s">
        <v>10748</v>
      </c>
      <c r="B3852" s="6" t="s">
        <v>10749</v>
      </c>
      <c r="C3852" s="3" t="str">
        <f ca="1">IFERROR(__xludf.DUMMYFUNCTION("GOOGLETRANSLATE(B3852,""auto"",""en"")"),"This utility model involves a treadmill with a three -phase AC asynchronous motor speed control system, which is the field of motor control, including the main circuit, the lower machine control circuit, and the upper machine control circuit. And the inve"&amp;"rter circuit; the lower machine control circuit includes the micro -processor of the lower machine, the current detection circuit, the voltage detection circuit, the speed detection circuit, the stator voltage detection circuit, and the stator current det"&amp;"ection circuit. Control keyboard, heart rate detection circuit and LCD display circuit. The utility model is mainly aimed at the needs of the speed adjustment of civil treadmills and human -machine interaction interfaces. According to the characteristics "&amp;"of the treadmill, the heart rate detection circuit, hand -control keyboard and LCD display The circuit can display the user's current heart rate and manual adjustment speed without adding any module, which can largely reduce the volume of the treadmill an"&amp;"d save costs.")</f>
        <v>This utility model involves a treadmill with a three -phase AC asynchronous motor speed control system, which is the field of motor control, including the main circuit, the lower machine control circuit, and the upper machine control circuit. And the inverter circuit; the lower machine control circuit includes the micro -processor of the lower machine, the current detection circuit, the voltage detection circuit, the speed detection circuit, the stator voltage detection circuit, and the stator current detection circuit. Control keyboard, heart rate detection circuit and LCD display circuit. The utility model is mainly aimed at the needs of the speed adjustment of civil treadmills and human -machine interaction interfaces. According to the characteristics of the treadmill, the heart rate detection circuit, hand -control keyboard and LCD display The circuit can display the user's current heart rate and manual adjustment speed without adding any module, which can largely reduce the volume of the treadmill and save costs.</v>
      </c>
      <c r="D3852" s="6" t="s">
        <v>10744</v>
      </c>
      <c r="E3852" s="4" t="str">
        <f ca="1">IFERROR(__xludf.DUMMYFUNCTION("GOOGLETRANSLATE(D3852,""auto"",""en"")"),"A treadmill use three -phase AC asynchronous motor speed control system")</f>
        <v>A treadmill use three -phase AC asynchronous motor speed control system</v>
      </c>
    </row>
    <row r="3853" spans="1:5" ht="15" x14ac:dyDescent="0.25">
      <c r="A3853" s="5" t="s">
        <v>10750</v>
      </c>
      <c r="B3853" s="6" t="s">
        <v>10751</v>
      </c>
      <c r="C3853" s="3" t="str">
        <f ca="1">IFERROR(__xludf.DUMMYFUNCTION("GOOGLETRANSLATE(B3853,""auto"",""en"")"),"A display device, including the display unit, at least one flying unit connected to the display unit, the location information receiving unit of the current location information of the display device, the sensor unit for obtaining the user information, th"&amp;"e flying control unit display of the display device for the display device, acquisition, obtaining the display device, acquisition, and obtaining. The posture information information information acquisition unit of the display device, the main control uni"&amp;"t of the overall operation of each component of the display device, the attitude of the attitude of the angle of the display device or the display of the display device or display The input component, power unit, obstacle detection unit, connecting at lea"&amp;"st one flying unit and the joint robotic by the connection to the display unit and the display device connector of the communication module, as well as connectors of the display unit and display device.")</f>
        <v>A display device, including the display unit, at least one flying unit connected to the display unit, the location information receiving unit of the current location information of the display device, the sensor unit for obtaining the user information, the flying control unit display of the display device for the display device, acquisition, obtaining the display device, acquisition, and obtaining. The posture information information information acquisition unit of the display device, the main control unit of the overall operation of each component of the display device, the attitude of the attitude of the angle of the display device or the display of the display device or display The input component, power unit, obstacle detection unit, connecting at least one flying unit and the joint robotic by the connection to the display unit and the display device connector of the communication module, as well as connectors of the display unit and display device.</v>
      </c>
      <c r="D3853" s="6" t="s">
        <v>10752</v>
      </c>
      <c r="E3853" s="4" t="str">
        <f ca="1">IFERROR(__xludf.DUMMYFUNCTION("GOOGLETRANSLATE(D3853,""auto"",""en"")"),"Flight display device")</f>
        <v>Flight display device</v>
      </c>
    </row>
    <row r="3854" spans="1:5" ht="15" x14ac:dyDescent="0.25">
      <c r="A3854" s="5" t="s">
        <v>10753</v>
      </c>
      <c r="B3854" s="6" t="s">
        <v>10754</v>
      </c>
      <c r="C3854" s="3" t="str">
        <f ca="1">IFERROR(__xludf.DUMMYFUNCTION("GOOGLETRANSLATE(B3854,""auto"",""en"")"),"This utility model involves the intelligent technology field of fitness equipment, especially a multi -functional real -world magnetic control bicycle, including the base, which is set on the base with two pedals. The motion wheel shell on the base, with "&amp;"seats and handles on the sports wheels shell, which is located between the handle of the handle. And the supporting rod connected to the aversion of the athletes, there is a 3D display at the top of the support rod; this utility model collection data visu"&amp;"alization, scene authenticization, intelligent interaction, and wirelessization To greatly meet user needs.")</f>
        <v>This utility model involves the intelligent technology field of fitness equipment, especially a multi -functional real -world magnetic control bicycle, including the base, which is set on the base with two pedals. The motion wheel shell on the base, with seats and handles on the sports wheels shell, which is located between the handle of the handle. And the supporting rod connected to the aversion of the athletes, there is a 3D display at the top of the support rod; this utility model collection data visualization, scene authenticization, intelligent interaction, and wirelessization To greatly meet user needs.</v>
      </c>
      <c r="D3854" s="6" t="s">
        <v>10755</v>
      </c>
      <c r="E3854" s="4" t="str">
        <f ca="1">IFERROR(__xludf.DUMMYFUNCTION("GOOGLETRANSLATE(D3854,""auto"",""en"")"),"A multi -functional real -world magnetic control bicycle")</f>
        <v>A multi -functional real -world magnetic control bicycle</v>
      </c>
    </row>
    <row r="3855" spans="1:5" ht="15" x14ac:dyDescent="0.25">
      <c r="A3855" s="5" t="s">
        <v>10756</v>
      </c>
      <c r="B3855" s="6" t="s">
        <v>10757</v>
      </c>
      <c r="C3855" s="3" t="str">
        <f ca="1">IFERROR(__xludf.DUMMYFUNCTION("GOOGLETRANSLATE(B3855,""auto"",""en"")"),"This device disclosed the Jianghe swimming safety device based on the Internet of Things sensor. It belongs to the field of electronics, including the IoT personnel test module in polluting water, whether there is a judgment module that swimmers approach,"&amp;" whether the IoT water quality sensor monitoring module, and whether the water quality is suitable for swimming. Judgment module, computing platform signal processing module, IoT security label and alarm module worn by swimmers. The main function of this "&amp;"device is to encounter water pollution areas when swimming in rivers and lakes. The pollution state is detected through the Internet of Things water sensor in the waters and sent to the alarm equipment near the area near the area to remind the risk aversi"&amp;"on Essence")</f>
        <v>This device disclosed the Jianghe swimming safety device based on the Internet of Things sensor. It belongs to the field of electronics, including the IoT personnel test module in polluting water, whether there is a judgment module that swimmers approach, whether the IoT water quality sensor monitoring module, and whether the water quality is suitable for swimming. Judgment module, computing platform signal processing module, IoT security label and alarm module worn by swimmers. The main function of this device is to encounter water pollution areas when swimming in rivers and lakes. The pollution state is detected through the Internet of Things water sensor in the waters and sent to the alarm equipment near the area near the area to remind the risk aversion Essence</v>
      </c>
      <c r="D3855" s="6" t="s">
        <v>10758</v>
      </c>
      <c r="E3855" s="4" t="str">
        <f ca="1">IFERROR(__xludf.DUMMYFUNCTION("GOOGLETRANSLATE(D3855,""auto"",""en"")"),"River swimming security device based on the Internet of Things sensor")</f>
        <v>River swimming security device based on the Internet of Things sensor</v>
      </c>
    </row>
    <row r="3856" spans="1:5" ht="15" x14ac:dyDescent="0.25">
      <c r="A3856" s="5" t="s">
        <v>10759</v>
      </c>
      <c r="B3856" s="6" t="s">
        <v>6582</v>
      </c>
      <c r="C3856" s="3" t="str">
        <f ca="1">IFERROR(__xludf.DUMMYFUNCTION("GOOGLETRANSLATE(B3856,""auto"",""en"")"),"A system and method of the most meaningful multimedia content predicting users, including in response to the user's request requesting multimedia operation and enable the sensing equipment on the user's device, in response to multimedia operations, perfor"&amp;"m multimedia operation, identify behavior and substantially in the multimedia content of multimedia content. The interactive prompts of users and sensing equipment during multimedia operations are updated from the multimedia content collection of multimed"&amp;"ia content represented by identification and interaction tips, and the updated recommendations are presented to users.")</f>
        <v>A system and method of the most meaningful multimedia content predicting users, including in response to the user's request requesting multimedia operation and enable the sensing equipment on the user's device, in response to multimedia operations, perform multimedia operation, identify behavior and substantially in the multimedia content of multimedia content. The interactive prompts of users and sensing equipment during multimedia operations are updated from the multimedia content collection of multimedia content represented by identification and interaction tips, and the updated recommendations are presented to users.</v>
      </c>
      <c r="D3856" s="6" t="s">
        <v>6583</v>
      </c>
      <c r="E3856" s="4" t="str">
        <f ca="1">IFERROR(__xludf.DUMMYFUNCTION("GOOGLETRANSLATE(D3856,""auto"",""en"")"),"Content recommendation system and method based on user behavior")</f>
        <v>Content recommendation system and method based on user behavior</v>
      </c>
    </row>
    <row r="3857" spans="1:5" ht="15" x14ac:dyDescent="0.25">
      <c r="A3857" s="5" t="s">
        <v>10760</v>
      </c>
      <c r="B3857" s="6" t="s">
        <v>10757</v>
      </c>
      <c r="C3857" s="3" t="str">
        <f ca="1">IFERROR(__xludf.DUMMYFUNCTION("GOOGLETRANSLATE(B3857,""auto"",""en"")"),"This device disclosed the Jianghe swimming safety device based on the Internet of Things sensor. It belongs to the field of electronics, including the IoT personnel test module in polluting water, whether there is a judgment module that swimmers approach,"&amp;" whether the IoT water quality sensor monitoring module, and whether the water quality is suitable for swimming. Judgment module, computing platform signal processing module, IoT security label and alarm module worn by swimmers. The main function of this "&amp;"device is to encounter water pollution areas when swimming in rivers and lakes. The pollution state is detected through the Internet of Things water sensor in the waters and sent to the alarm equipment near the area near the area to remind the risk aversi"&amp;"on Essence")</f>
        <v>This device disclosed the Jianghe swimming safety device based on the Internet of Things sensor. It belongs to the field of electronics, including the IoT personnel test module in polluting water, whether there is a judgment module that swimmers approach, whether the IoT water quality sensor monitoring module, and whether the water quality is suitable for swimming. Judgment module, computing platform signal processing module, IoT security label and alarm module worn by swimmers. The main function of this device is to encounter water pollution areas when swimming in rivers and lakes. The pollution state is detected through the Internet of Things water sensor in the waters and sent to the alarm equipment near the area near the area to remind the risk aversion Essence</v>
      </c>
      <c r="D3857" s="6" t="s">
        <v>10758</v>
      </c>
      <c r="E3857" s="4" t="str">
        <f ca="1">IFERROR(__xludf.DUMMYFUNCTION("GOOGLETRANSLATE(D3857,""auto"",""en"")"),"River swimming security device based on the Internet of Things sensor")</f>
        <v>River swimming security device based on the Internet of Things sensor</v>
      </c>
    </row>
    <row r="3858" spans="1:5" ht="15" x14ac:dyDescent="0.25">
      <c r="A3858" s="5" t="s">
        <v>10761</v>
      </c>
      <c r="B3858" s="6" t="s">
        <v>10762</v>
      </c>
      <c r="C3858" s="3" t="str">
        <f ca="1">IFERROR(__xludf.DUMMYFUNCTION("GOOGLETRANSLATE(B3858,""auto"",""en"")"),"The invention is an human -computer interaction system about fitness equipment, including: action collection devices and smart digital processing equipment; action collection devices are used to generate action collection signals and transmit them to the "&amp;"smart digital processing devices; The processing device includes: digital signal processing module and display module; digital signal processing module is used to receive action collection signals transmitted by the action collection module, and calculate"&amp;" the movement signal of the action to obtain the amount of movement; the display module is used to display the current motion Status screen. The invention can easily convert traditional fitness equipment into a fitness system for human -computer interacti"&amp;"on, which greatly improves the experience of traditional fitness equipment.")</f>
        <v>The invention is an human -computer interaction system about fitness equipment, including: action collection devices and smart digital processing equipment; action collection devices are used to generate action collection signals and transmit them to the smart digital processing devices; The processing device includes: digital signal processing module and display module; digital signal processing module is used to receive action collection signals transmitted by the action collection module, and calculate the movement signal of the action to obtain the amount of movement; the display module is used to display the current motion Status screen. The invention can easily convert traditional fitness equipment into a fitness system for human -computer interaction, which greatly improves the experience of traditional fitness equipment.</v>
      </c>
      <c r="D3858" s="6" t="s">
        <v>10763</v>
      </c>
      <c r="E3858" s="4" t="str">
        <f ca="1">IFERROR(__xludf.DUMMYFUNCTION("GOOGLETRANSLATE(D3858,""auto"",""en"")"),"A human -machine interaction system")</f>
        <v>A human -machine interaction system</v>
      </c>
    </row>
    <row r="3859" spans="1:5" ht="15" x14ac:dyDescent="0.25">
      <c r="A3859" s="5" t="s">
        <v>10764</v>
      </c>
      <c r="B3859" s="6" t="s">
        <v>10765</v>
      </c>
      <c r="C3859" s="3" t="str">
        <f ca="1">IFERROR(__xludf.DUMMYFUNCTION("GOOGLETRANSLATE(B3859,""auto"",""en"")"),"The present invention involves a device and method of calculating table ball scores through image recognition.
  According to the calculation method of billiard scores of the present invention, the image including the table ball table is received. Twist"&amp;" images make the billiard table included in the image with a predetermined shape and divided the table ball area from a distorted image. Get the steps of obtaining the table of the table ball table; the steps of the billiard test, the billiards in the bil"&amp;"liard image; the test steps, the coordinates of the detected billiards have changed with the time of time, and the game time of the billiard game is classified. The score calculation step is to determine whether the billiards collide with each other throu"&amp;"gh the coordinates of the billiards detected during the analysis bureau time, and calculate the score of this bureau based on the judgment results.")</f>
        <v>The present invention involves a device and method of calculating table ball scores through image recognition.
  According to the calculation method of billiard scores of the present invention, the image including the table ball table is received. Twist images make the billiard table included in the image with a predetermined shape and divided the table ball area from a distorted image. Get the steps of obtaining the table of the table ball table; the steps of the billiard test, the billiards in the billiard image; the test steps, the coordinates of the detected billiards have changed with the time of time, and the game time of the billiard game is classified. The score calculation step is to determine whether the billiards collide with each other through the coordinates of the billiards detected during the analysis bureau time, and calculate the score of this bureau based on the judgment results.</v>
      </c>
      <c r="D3859" s="6" t="s">
        <v>10766</v>
      </c>
      <c r="E3859" s="4" t="str">
        <f ca="1">IFERROR(__xludf.DUMMYFUNCTION("GOOGLETRANSLATE(D3859,""auto"",""en"")"),"Billiard score calculation device and method")</f>
        <v>Billiard score calculation device and method</v>
      </c>
    </row>
    <row r="3860" spans="1:5" ht="15" x14ac:dyDescent="0.25">
      <c r="A3860" s="5" t="s">
        <v>10767</v>
      </c>
      <c r="B3860" s="6" t="s">
        <v>10768</v>
      </c>
      <c r="C3860" s="3" t="str">
        <f ca="1">IFERROR(__xludf.DUMMYFUNCTION("GOOGLETRANSLATE(B3860,""auto"",""en"")"),"The present invention provides a human -machine interaction system with a fitness action correction function, including video collection equipment for capturing user fitness action. Video collection equipment is connected to the video collection card, vid"&amp;"eo collection card is used to digit the number of video collection card output card output After the signal is processed and analyzed, the action processing module recorded the correct fitness action module will be connected. The action processing module "&amp;"and the contrast analysis are used to find out the insufficient main control server. The image generation module is connected to the projector that projected the comparison image generated by the image generation module. The projection curtain cloth used "&amp;"by the projector will be compared to the user. Compared with the existing technology, the present invention compares the physical fitness movement of the correct fitness through shooting records, and compares the real -time fitness movement with the corre"&amp;"ct fitness action recorded before, and compares the results to the user through the form of the image to help users correct the fitness action in real time.")</f>
        <v>The present invention provides a human -machine interaction system with a fitness action correction function, including video collection equipment for capturing user fitness action. Video collection equipment is connected to the video collection card, video collection card is used to digit the number of video collection card output card output After the signal is processed and analyzed, the action processing module recorded the correct fitness action module will be connected. The action processing module and the contrast analysis are used to find out the insufficient main control server. The image generation module is connected to the projector that projected the comparison image generated by the image generation module. The projection curtain cloth used by the projector will be compared to the user. Compared with the existing technology, the present invention compares the physical fitness movement of the correct fitness through shooting records, and compares the real -time fitness movement with the correct fitness action recorded before, and compares the results to the user through the form of the image to help users correct the fitness action in real time.</v>
      </c>
      <c r="D3860" s="6" t="s">
        <v>10769</v>
      </c>
      <c r="E3860" s="4" t="str">
        <f ca="1">IFERROR(__xludf.DUMMYFUNCTION("GOOGLETRANSLATE(D3860,""auto"",""en"")"),"A human -computer interaction system with fitness action correction function")</f>
        <v>A human -computer interaction system with fitness action correction function</v>
      </c>
    </row>
    <row r="3861" spans="1:5" ht="15" x14ac:dyDescent="0.25">
      <c r="A3861" s="5" t="s">
        <v>10770</v>
      </c>
      <c r="B3861" s="6" t="s">
        <v>10771</v>
      </c>
      <c r="C3861" s="3" t="str">
        <f ca="1">IFERROR(__xludf.DUMMYFUNCTION("GOOGLETRANSLATE(B3861,""auto"",""en"")"),"The present invention is a human -machine interaction method about fitness equipment. The method includes the following steps: Step 1. Movement: Collect action and transmit the action collection signal to the digital processing device; , And calculate the"&amp;" action collection signal to obtain the amount of exercise; step 3. Image display: Show the current motion status picture of the current amount of exercise parameters. The invention can easily convert traditional fitness equipment into a fitness system fo"&amp;"r human -computer interaction, which greatly improves the experience of traditional fitness equipment.")</f>
        <v>The present invention is a human -machine interaction method about fitness equipment. The method includes the following steps: Step 1. Movement: Collect action and transmit the action collection signal to the digital processing device; , And calculate the action collection signal to obtain the amount of exercise; step 3. Image display: Show the current motion status picture of the current amount of exercise parameters. The invention can easily convert traditional fitness equipment into a fitness system for human -computer interaction, which greatly improves the experience of traditional fitness equipment.</v>
      </c>
      <c r="D3861" s="6" t="s">
        <v>10772</v>
      </c>
      <c r="E3861" s="4" t="str">
        <f ca="1">IFERROR(__xludf.DUMMYFUNCTION("GOOGLETRANSLATE(D3861,""auto"",""en"")"),"A human -computer interaction method and its system")</f>
        <v>A human -computer interaction method and its system</v>
      </c>
    </row>
    <row r="3862" spans="1:5" ht="15" x14ac:dyDescent="0.25">
      <c r="A3862" s="5" t="s">
        <v>10773</v>
      </c>
      <c r="B3862" s="6" t="s">
        <v>10774</v>
      </c>
      <c r="C3862" s="3" t="str">
        <f ca="1">IFERROR(__xludf.DUMMYFUNCTION("GOOGLETRANSLATE(B3862,""auto"",""en"")"),"A timing system and timing method based on the Internet of Things swimming shop movement, including radio frequency label modules with unique identifiers (1); information collection module placed on both ends of the lane (2), each information collection m"&amp;"odule (2) pass through The first radio frequency reader is transmitted to the server by read the unique identifier; The results query module (4) and the grade display (5). The system sets the information collection module at both ends of the lane (2), and"&amp;" uses the first radio frequency reader to obtain the radio frequency label module of the swimmer (1) of the swimmer. Swimming scores can also record the results of all swimmers in the swimming pool at the same time; the per capita use is low and the timin"&amp;"g accuracy is high, which can well meet the timing needs of various swimming venues in the indoor and outdoor.")</f>
        <v>A timing system and timing method based on the Internet of Things swimming shop movement, including radio frequency label modules with unique identifiers (1); information collection module placed on both ends of the lane (2), each information collection module (2) pass through The first radio frequency reader is transmitted to the server by read the unique identifier; The results query module (4) and the grade display (5). The system sets the information collection module at both ends of the lane (2), and uses the first radio frequency reader to obtain the radio frequency label module of the swimmer (1) of the swimmer. Swimming scores can also record the results of all swimmers in the swimming pool at the same time; the per capita use is low and the timing accuracy is high, which can well meet the timing needs of various swimming venues in the indoor and outdoor.</v>
      </c>
      <c r="D3862" s="6" t="s">
        <v>10775</v>
      </c>
      <c r="E3862" s="4" t="str">
        <f ca="1">IFERROR(__xludf.DUMMYFUNCTION("GOOGLETRANSLATE(D3862,""auto"",""en"")"),"The timing system and timing method of swimming stadium -based swimming stadiums based on the Internet of Things")</f>
        <v>The timing system and timing method of swimming stadium -based swimming stadiums based on the Internet of Things</v>
      </c>
    </row>
    <row r="3863" spans="1:5" ht="15" x14ac:dyDescent="0.25">
      <c r="A3863" s="5" t="s">
        <v>10776</v>
      </c>
      <c r="B3863" s="6" t="s">
        <v>10777</v>
      </c>
      <c r="C3863" s="3" t="str">
        <f ca="1">IFERROR(__xludf.DUMMYFUNCTION("GOOGLETRANSLATE(B3863,""auto"",""en"")"),"The present invention disclosed a sports fitness management system based on IoT technology, including video collection modules, life signs collection modules, motion status collection modules, central processors, three -dimensional generation modules, vir"&amp;"tual operators, virtual sensors, human -machine operation Module. The invention can monitor the body and movement of the athletes through different sensors, and simulate the monitoring data through the simulation model, data analysis, evaluation, and stor"&amp;"age. The monitoring effect is good and more comprehensive.")</f>
        <v>The present invention disclosed a sports fitness management system based on IoT technology, including video collection modules, life signs collection modules, motion status collection modules, central processors, three -dimensional generation modules, virtual operators, virtual sensors, human -machine operation Module. The invention can monitor the body and movement of the athletes through different sensors, and simulate the monitoring data through the simulation model, data analysis, evaluation, and storage. The monitoring effect is good and more comprehensive.</v>
      </c>
      <c r="D3863" s="6" t="s">
        <v>10778</v>
      </c>
      <c r="E3863" s="4" t="str">
        <f ca="1">IFERROR(__xludf.DUMMYFUNCTION("GOOGLETRANSLATE(D3863,""auto"",""en"")"),"A sports fitness management system based on IoT technology")</f>
        <v>A sports fitness management system based on IoT technology</v>
      </c>
    </row>
    <row r="3864" spans="1:5" ht="15" x14ac:dyDescent="0.25">
      <c r="A3864" s="5" t="s">
        <v>10779</v>
      </c>
      <c r="B3864" s="6" t="s">
        <v>10780</v>
      </c>
      <c r="C3864" s="3" t="str">
        <f ca="1">IFERROR(__xludf.DUMMYFUNCTION("GOOGLETRANSLATE(B3864,""auto"",""en"")"),"The present invention disclosed a smart terminal based on group long -distance running management based on the Internet of Things technology, including power modules, ISO14443 card reading modules, LCD display modules, wireless modules, temperature and hu"&amp;"midity modules, PM2.5 modules, PIXY camera modules, network modules, No. 1 One controller module; the present invention can easily, quickly and effective records of the time and place of cards for each running participant. You can accurately calculate the"&amp;" mileage and speed of running, and make real -time updates of data. Reduced a lot of manpower and material resources.")</f>
        <v>The present invention disclosed a smart terminal based on group long -distance running management based on the Internet of Things technology, including power modules, ISO14443 card reading modules, LCD display modules, wireless modules, temperature and humidity modules, PM2.5 modules, PIXY camera modules, network modules, No. 1 One controller module; the present invention can easily, quickly and effective records of the time and place of cards for each running participant. You can accurately calculate the mileage and speed of running, and make real -time updates of data. Reduced a lot of manpower and material resources.</v>
      </c>
      <c r="D3864" s="6" t="s">
        <v>10781</v>
      </c>
      <c r="E3864" s="4" t="str">
        <f ca="1">IFERROR(__xludf.DUMMYFUNCTION("GOOGLETRANSLATE(D3864,""auto"",""en"")"),"A smart terminal based on group long -distance running management based on IoT technology")</f>
        <v>A smart terminal based on group long -distance running management based on IoT technology</v>
      </c>
    </row>
    <row r="3865" spans="1:5" ht="15" x14ac:dyDescent="0.25">
      <c r="A3865" s="5" t="s">
        <v>10782</v>
      </c>
      <c r="B3865" s="6" t="s">
        <v>10783</v>
      </c>
      <c r="C3865" s="3" t="str">
        <f ca="1">IFERROR(__xludf.DUMMYFUNCTION("GOOGLETRANSLATE(B3865,""auto"",""en"")"),"This utility model discloses a group of group long -distance running management smart terminal based on the Internet of Things technology, including power modules, ISO14443 card reading modules, liquid crystal display modules, wireless modules, temperatur"&amp;"e and humidity modules, PM2.5 modules, Pixy camera modules, network modules, network modules, network modules, network modules, network modules, network modules, network modules, network modules, network modules, network modules, network modules, network "&amp;"modules, network modules, network modules, network modules, network modules, network modules, network modules, network modules, network modules, network modules, network modules, network modules, network modules, network modules, network modules. The firs"&amp;"t controller module; this practical new model can easily, quickly and effective records of each running participant's card swiping time and place to swipe the card. You can accurately calculate the mileage and speed of running, and perform real -time upda"&amp;"tes of data. At the same time as improving efficiency and efficiency Effectively reduce a large amount of manpower and material resources.")</f>
        <v>This utility model discloses a group of group long -distance running management smart terminal based on the Internet of Things technology, including power modules, ISO14443 card reading modules, liquid crystal display modules, wireless modules, temperature and humidity modules, PM2.5 modules, Pixy camera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network modules. The first controller module; this practical new model can easily, quickly and effective records of each running participant's card swiping time and place to swipe the card. You can accurately calculate the mileage and speed of running, and perform real -time updates of data. At the same time as improving efficiency and efficiency Effectively reduce a large amount of manpower and material resources.</v>
      </c>
      <c r="D3865" s="6" t="s">
        <v>10784</v>
      </c>
      <c r="E3865" s="4" t="str">
        <f ca="1">IFERROR(__xludf.DUMMYFUNCTION("GOOGLETRANSLATE(D3865,""auto"",""en"")"),"Group long -distance running management intelligent terminal based on IoT technology")</f>
        <v>Group long -distance running management intelligent terminal based on IoT technology</v>
      </c>
    </row>
    <row r="3866" spans="1:5" ht="15" x14ac:dyDescent="0.25">
      <c r="A3866" s="5" t="s">
        <v>10785</v>
      </c>
      <c r="B3866" s="6" t="s">
        <v>10786</v>
      </c>
      <c r="C3866" s="3" t="str">
        <f ca="1">IFERROR(__xludf.DUMMYFUNCTION("GOOGLETRANSLATE(B3866,""auto"",""en"")"),"The present invention is suitable for the field of data processing and provides a method of controlling a treadmill through voice, which includes: treadmills receive the sound from users through microphones; treadmills recognize the sound recognition as t"&amp;"ext through voice recognition procedures; running The machine converts the text into instructions through the interactive control program; the device corresponding to the treadmill will receive and execute the instruction. Examples of the present inventio"&amp;"n, the treadmill receives the voice from the user through the microphone, recognizes the sound as text through the voice recognition program, converts the text into instructions through the interactive control program. The voice is made to achieve differe"&amp;"nt functions, which is convenient for users to use different functions of treadmills when running.")</f>
        <v>The present invention is suitable for the field of data processing and provides a method of controlling a treadmill through voice, which includes: treadmills receive the sound from users through microphones; treadmills recognize the sound recognition as text through voice recognition procedures; running The machine converts the text into instructions through the interactive control program; the device corresponding to the treadmill will receive and execute the instruction. Examples of the present invention, the treadmill receives the voice from the user through the microphone, recognizes the sound as text through the voice recognition program, converts the text into instructions through the interactive control program. The voice is made to achieve different functions, which is convenient for users to use different functions of treadmills when running.</v>
      </c>
      <c r="D3866" s="6" t="s">
        <v>10787</v>
      </c>
      <c r="E3866" s="4" t="str">
        <f ca="1">IFERROR(__xludf.DUMMYFUNCTION("GOOGLETRANSLATE(D3866,""auto"",""en"")"),"A method and device that controls the treadmill through voice")</f>
        <v>A method and device that controls the treadmill through voice</v>
      </c>
    </row>
    <row r="3867" spans="1:5" ht="15" x14ac:dyDescent="0.25">
      <c r="A3867" s="5" t="s">
        <v>10788</v>
      </c>
      <c r="B3867" s="6" t="s">
        <v>10789</v>
      </c>
      <c r="C3867" s="3" t="str">
        <f ca="1">IFERROR(__xludf.DUMMYFUNCTION("GOOGLETRANSLATE(B3867,""auto"",""en"")"),"The present invention disclosed a smart vehicle driving training system, which consists of a intelligent control system and a intelligent control driver coaching car. The two cooperate and work together. The intelligent control system is divided into inte"&amp;"lligent control background general control systems and intelligent control vehicle -carrier division systems. The intelligent control background general control system and the intelligent control vehicle -mounted division system are connected through the "&amp;"information network. The beneficial technical effects of the present invention are: change the existing driver training mode, upgrade the existing driving training vehicle to intelligent tools, and use the human -machine interaction system to perform voic"&amp;"e and dynamic dynamics through the human -machine interaction system during the driving process. Image assistance help; a large number of high -tech equipment and Internet information sharing technology, creatively proposed the interconnection solution fo"&amp;"r vehicle driving learning, increased the intelligent auxiliary control and data storage function of remote server, and combined the driving data of the students through the intelligent system with the background operator. The review is comprehensively ju"&amp;"dged.")</f>
        <v>The present invention disclosed a smart vehicle driving training system, which consists of a intelligent control system and a intelligent control driver coaching car. The two cooperate and work together. The intelligent control system is divided into intelligent control background general control systems and intelligent control vehicle -carrier division systems. The intelligent control background general control system and the intelligent control vehicle -mounted division system are connected through the information network. The beneficial technical effects of the present invention are: change the existing driver training mode, upgrade the existing driving training vehicle to intelligent tools, and use the human -machine interaction system to perform voice and dynamic dynamics through the human -machine interaction system during the driving process. Image assistance help; a large number of high -tech equipment and Internet information sharing technology, creatively proposed the interconnection solution for vehicle driving learning, increased the intelligent auxiliary control and data storage function of remote server, and combined the driving data of the students through the intelligent system with the background operator. The review is comprehensively judged.</v>
      </c>
      <c r="D3867" s="6" t="s">
        <v>10790</v>
      </c>
      <c r="E3867" s="4" t="str">
        <f ca="1">IFERROR(__xludf.DUMMYFUNCTION("GOOGLETRANSLATE(D3867,""auto"",""en"")"),"A smart vehicle driving training system")</f>
        <v>A smart vehicle driving training system</v>
      </c>
    </row>
    <row r="3868" spans="1:5" ht="15" x14ac:dyDescent="0.25">
      <c r="A3868" s="5" t="s">
        <v>10791</v>
      </c>
      <c r="B3868" s="6" t="s">
        <v>10792</v>
      </c>
      <c r="C3868" s="3" t="str">
        <f ca="1">IFERROR(__xludf.DUMMYFUNCTION("GOOGLETRANSLATE(B3868,""auto"",""en"")"),"The present invention provides an electric treadmill control system and step counting method. Among them, the system includes two parts: the runner side module and the cloud module; the runner side module has functions such as uploading data, receiving da"&amp;"ta, status judgment, and step counting. The server module has the function of receiving data, machine learning, distribution of data, and storage data; cloud server modules include at least one database and machine learning module. The cooperation between"&amp;" the two can achieve more accurate, more economical and smarter step counting solutions.")</f>
        <v>The present invention provides an electric treadmill control system and step counting method. Among them, the system includes two parts: the runner side module and the cloud module; the runner side module has functions such as uploading data, receiving data, status judgment, and step counting. The server module has the function of receiving data, machine learning, distribution of data, and storage data; cloud server modules include at least one database and machine learning module. The cooperation between the two can achieve more accurate, more economical and smarter step counting solutions.</v>
      </c>
      <c r="D3868" s="6" t="s">
        <v>10793</v>
      </c>
      <c r="E3868" s="4" t="str">
        <f ca="1">IFERROR(__xludf.DUMMYFUNCTION("GOOGLETRANSLATE(D3868,""auto"",""en"")"),"Electric treadmill control system and step counting method")</f>
        <v>Electric treadmill control system and step counting method</v>
      </c>
    </row>
    <row r="3869" spans="1:5" ht="15" x14ac:dyDescent="0.25">
      <c r="A3869" s="5" t="s">
        <v>10794</v>
      </c>
      <c r="B3869" s="6" t="s">
        <v>10795</v>
      </c>
      <c r="C3869" s="3" t="str">
        <f ca="1">IFERROR(__xludf.DUMMYFUNCTION("GOOGLETRANSLATE(B3869,""auto"",""en"")"),"The present invention involves a multifunctional smart treadmill, including the treadmill body. The treadmill body is installed with sensor modules, voice recognition modules, signal processing modules and displays. Mystery such as inconvenience and poor "&amp;"security adjustment parameters in the manual regulation allows users to send voice instructions according to their needs to regulate the running state of the runner, to detect and adjust the operating parameters, and display the user's movement situation,"&amp;" and display the user's movement situation. On the display, once the sensor feels any abnormalities, the treadmill will immediately decelerate the operation; compared with the existing technology, the present invention not only ensures the safety of users"&amp;", but also enables users to enjoy the entertainment of multimedia and enjoy fitness. The online guidance of coaches can be applied to various people, so that the functions and values ​​of the runner can be greatly improved.")</f>
        <v>The present invention involves a multifunctional smart treadmill, including the treadmill body. The treadmill body is installed with sensor modules, voice recognition modules, signal processing modules and displays. Mystery such as inconvenience and poor security adjustment parameters in the manual regulation allows users to send voice instructions according to their needs to regulate the running state of the runner, to detect and adjust the operating parameters, and display the user's movement situation, and display the user's movement situation. On the display, once the sensor feels any abnormalities, the treadmill will immediately decelerate the operation; compared with the existing technology, the present invention not only ensures the safety of users, but also enables users to enjoy the entertainment of multimedia and enjoy fitness. The online guidance of coaches can be applied to various people, so that the functions and values ​​of the runner can be greatly improved.</v>
      </c>
      <c r="D3869" s="6" t="s">
        <v>10796</v>
      </c>
      <c r="E3869" s="4" t="str">
        <f ca="1">IFERROR(__xludf.DUMMYFUNCTION("GOOGLETRANSLATE(D3869,""auto"",""en"")"),"Multifunctional smart treadmill")</f>
        <v>Multifunctional smart treadmill</v>
      </c>
    </row>
    <row r="3870" spans="1:5" ht="15" x14ac:dyDescent="0.25">
      <c r="A3870" s="5" t="s">
        <v>10797</v>
      </c>
      <c r="B3870" s="6" t="s">
        <v>10798</v>
      </c>
      <c r="C3870" s="3" t="str">
        <f ca="1">IFERROR(__xludf.DUMMYFUNCTION("GOOGLETRANSLATE(B3870,""auto"",""en"")"),"The invention disclosed a smart lifting basketball rack based on the Internet of Things, including rebounds, main brackets, baskets, bases, lifting devices, control devices and smart mobile terminals. The basket is set on the front side of the rebound, an"&amp;"d the power device is set at the lower end of the main bracket, which is set at the lower end of the lifting device. The output of the intelligent mobile terminal is connected to the input terminal of the controller through the wireless signal receiving a"&amp;"nd receiving module. The power module is connected to the power of the control device and the lift device respectively. The present invention can fulfill the fully automated of the basketball rack, which is convenient for cleaning and maintenance, and is "&amp;"suitable for people of various ages.")</f>
        <v>The invention disclosed a smart lifting basketball rack based on the Internet of Things, including rebounds, main brackets, baskets, bases, lifting devices, control devices and smart mobile terminals. The basket is set on the front side of the rebound, and the power device is set at the lower end of the main bracket, which is set at the lower end of the lifting device. The output of the intelligent mobile terminal is connected to the input terminal of the controller through the wireless signal receiving and receiving module. The power module is connected to the power of the control device and the lift device respectively. The present invention can fulfill the fully automated of the basketball rack, which is convenient for cleaning and maintenance, and is suitable for people of various ages.</v>
      </c>
      <c r="D3870" s="6" t="s">
        <v>2137</v>
      </c>
      <c r="E3870" s="4" t="str">
        <f ca="1">IFERROR(__xludf.DUMMYFUNCTION("GOOGLETRANSLATE(D3870,""auto"",""en"")"),"A smart lifting basketball rack based on the Internet of Things")</f>
        <v>A smart lifting basketball rack based on the Internet of Things</v>
      </c>
    </row>
    <row r="3871" spans="1:5" ht="15" x14ac:dyDescent="0.25">
      <c r="A3871" s="5" t="s">
        <v>10799</v>
      </c>
      <c r="B3871" s="6" t="s">
        <v>10800</v>
      </c>
      <c r="C3871" s="3" t="str">
        <f ca="1">IFERROR(__xludf.DUMMYFUNCTION("GOOGLETRANSLATE(B3871,""auto"",""en"")"),"The invention disclosed a smart ranging treadmill based on the Internet of Things, including running platforms, processing devices and smart mobile terminals, and a cover set at the front of the running table, and the base set at the lower end of the cove"&amp;"r, and settled at the guardian guardian. The support rod on both sides of the cover, the console set on the upper end of the support rod, and the armrests set on the back side of the console. The inner side of the console is set with an infrared ranging m"&amp;"eter. The lower end of the cover is set with a power module, which is connected to the input terminal of the output terminal processing device of the infrared rangefinder. The processing device is connected to the two -way connection between the smart mob"&amp;"ile terminal. The present invention can keep users in a suitable running position, reduce damage to the treadmill and damage to the user itself, and reduce the damage rate and cost of the treadmill.")</f>
        <v>The invention disclosed a smart ranging treadmill based on the Internet of Things, including running platforms, processing devices and smart mobile terminals, and a cover set at the front of the running table, and the base set at the lower end of the cover, and settled at the guardian guardian. The support rod on both sides of the cover, the console set on the upper end of the support rod, and the armrests set on the back side of the console. The inner side of the console is set with an infrared ranging meter. The lower end of the cover is set with a power module, which is connected to the input terminal of the output terminal processing device of the infrared rangefinder. The processing device is connected to the two -way connection between the smart mobile terminal. The present invention can keep users in a suitable running position, reduce damage to the treadmill and damage to the user itself, and reduce the damage rate and cost of the treadmill.</v>
      </c>
      <c r="D3871" s="6" t="s">
        <v>10801</v>
      </c>
      <c r="E3871" s="4" t="str">
        <f ca="1">IFERROR(__xludf.DUMMYFUNCTION("GOOGLETRANSLATE(D3871,""auto"",""en"")"),"A smart ranging runner based on the Internet of Things")</f>
        <v>A smart ranging runner based on the Internet of Things</v>
      </c>
    </row>
    <row r="3872" spans="1:5" ht="15" x14ac:dyDescent="0.25">
      <c r="A3872" s="5" t="s">
        <v>10802</v>
      </c>
      <c r="B3872" s="6" t="s">
        <v>10803</v>
      </c>
      <c r="C3872" s="3" t="str">
        <f ca="1">IFERROR(__xludf.DUMMYFUNCTION("GOOGLETRANSLATE(B3872,""auto"",""en"")"),"This utility model opens up a intelligent lifting basketball rack based on the Internet of Things, including rebounds, main brackets, baskets, bases, lifting devices, control devices and smart mobile terminals. The basket is set on the front side of the r"&amp;"ebound, the power device is set at the lower end of the main bracket, the base is set at the lower end of the lifting device, the control device includes the controller, the wireless signal receiving module, the driver module and the power module. The out"&amp;"put of the smart mobile terminal is connected to the input terminal of the controller through the wireless signal receiving and receiving module. The output of the controller is connected to the input terminal of the driver module. The power module is con"&amp;"nected to the power of the control device and the lift device respectively. This utility model can fulfill the fully automated of basketball racks, facilitate cleaning and maintenance, and is suitable for people of various ages.")</f>
        <v>This utility model opens up a intelligent lifting basketball rack based on the Internet of Things, including rebounds, main brackets, baskets, bases, lifting devices, control devices and smart mobile terminals. The basket is set on the front side of the rebound, the power device is set at the lower end of the main bracket, the base is set at the lower end of the lifting device, the control device includes the controller, the wireless signal receiving module, the driver module and the power module. The output of the smart mobile terminal is connected to the input terminal of the controller through the wireless signal receiving and receiving module. The output of the controller is connected to the input terminal of the driver module. The power module is connected to the power of the control device and the lift device respectively. This utility model can fulfill the fully automated of basketball racks, facilitate cleaning and maintenance, and is suitable for people of various ages.</v>
      </c>
      <c r="D3872" s="6" t="s">
        <v>2137</v>
      </c>
      <c r="E3872" s="4" t="str">
        <f ca="1">IFERROR(__xludf.DUMMYFUNCTION("GOOGLETRANSLATE(D3872,""auto"",""en"")"),"A smart lifting basketball rack based on the Internet of Things")</f>
        <v>A smart lifting basketball rack based on the Internet of Things</v>
      </c>
    </row>
    <row r="3873" spans="1:5" ht="15" x14ac:dyDescent="0.25">
      <c r="A3873" s="5" t="s">
        <v>10804</v>
      </c>
      <c r="B3873" s="6" t="s">
        <v>10805</v>
      </c>
      <c r="C3873" s="3" t="str">
        <f ca="1">IFERROR(__xludf.DUMMYFUNCTION("GOOGLETRANSLATE(B3873,""auto"",""en"")"),"This utility model opens up a intelligent ranging treadmill based on the Internet of Things, including running, processing devices and smart mobile terminals, and a cover set at the front of the running table, and the base set at the lower end of the cove"&amp;"r, and it is set at the bottom of the sheet. The support rod on both sides of the cover, the console set on the upper end of the support rod, and the armrests set on the back side of the console. The inner side of the console is set with an infrared rangi"&amp;"ng meter. The lower end of the cover is set with a power module, which is connected to the input terminal of the output of the infrared ranging meter. The processing device is connected with the smart mobile terminal. This practical new model can keep use"&amp;"rs in a suitable running position, reduce damage to the treadmill and damage to the user itself, and reduce the damage rate and cost of the treadmill.")</f>
        <v>This utility model opens up a intelligent ranging treadmill based on the Internet of Things, including running, processing devices and smart mobile terminals, and a cover set at the front of the running table, and the base set at the lower end of the cover, and it is set at the bottom of the sheet. The support rod on both sides of the cover, the console set on the upper end of the support rod, and the armrests set on the back side of the console. The inner side of the console is set with an infrared ranging meter. The lower end of the cover is set with a power module, which is connected to the input terminal of the output of the infrared ranging meter. The processing device is connected with the smart mobile terminal. This practical new model can keep users in a suitable running position, reduce damage to the treadmill and damage to the user itself, and reduce the damage rate and cost of the treadmill.</v>
      </c>
      <c r="D3873" s="6" t="s">
        <v>10801</v>
      </c>
      <c r="E3873" s="4" t="str">
        <f ca="1">IFERROR(__xludf.DUMMYFUNCTION("GOOGLETRANSLATE(D3873,""auto"",""en"")"),"A smart ranging runner based on the Internet of Things")</f>
        <v>A smart ranging runner based on the Internet of Things</v>
      </c>
    </row>
    <row r="3874" spans="1:5" ht="15" x14ac:dyDescent="0.25">
      <c r="A3874" s="5" t="s">
        <v>10806</v>
      </c>
      <c r="B3874" s="6" t="s">
        <v>10807</v>
      </c>
      <c r="C3874" s="3" t="str">
        <f ca="1">IFERROR(__xludf.DUMMYFUNCTION("GOOGLETRANSLATE(B3874,""auto"",""en"")"),"The present invention involves a fitness system based on QR code and image recognition technology, including mobile APP, cloud data center and QR code on fitness equipment or fitness equipment. Among them, the cloud data center has a QR code recognition p"&amp;"rocessor and image Recognize the processor. It can enable users to master the correct usage methods when using fitness equipment, and save the cost and time problem of asking fitness coaches. At the same time, because they can quickly locate fitness equip"&amp;"ment, they also avoid repeatedly searching for relevant information.问题，使使用者能够不费时不费力的掌握避免了使用错误的动作伤到自己身体或是损伤健身器械的问题，解决健身器械使用率偏低及盲目性问题，帮助健身人士合理有效的选择与Use fitness equipment to improve the scientific and professionalism of fitness, and to realize the scientific"&amp;" nature of fitness equipment.")</f>
        <v>The present invention involves a fitness system based on QR code and image recognition technology, including mobile APP, cloud data center and QR code on fitness equipment or fitness equipment. Among them, the cloud data center has a QR code recognition processor and image Recognize the processor. It can enable users to master the correct usage methods when using fitness equipment, and save the cost and time problem of asking fitness coaches. At the same time, because they can quickly locate fitness equipment, they also avoid repeatedly searching for relevant information.问题，使使用者能够不费时不费力的掌握避免了使用错误的动作伤到自己身体或是损伤健身器械的问题，解决健身器械使用率偏低及盲目性问题，帮助健身人士合理有效的选择与Use fitness equipment to improve the scientific and professionalism of fitness, and to realize the scientific nature of fitness equipment.</v>
      </c>
      <c r="D3874" s="6" t="s">
        <v>10808</v>
      </c>
      <c r="E3874" s="4" t="str">
        <f ca="1">IFERROR(__xludf.DUMMYFUNCTION("GOOGLETRANSLATE(D3874,""auto"",""en"")"),"Fitness systems and use methods based on QR code and image recognition technology")</f>
        <v>Fitness systems and use methods based on QR code and image recognition technology</v>
      </c>
    </row>
    <row r="3875" spans="1:5" ht="15" x14ac:dyDescent="0.25">
      <c r="A3875" s="5" t="s">
        <v>10809</v>
      </c>
      <c r="B3875" s="6" t="s">
        <v>10810</v>
      </c>
      <c r="C3875" s="3" t="str">
        <f ca="1">IFERROR(__xludf.DUMMYFUNCTION("GOOGLETRANSLATE(B3875,""auto"",""en"")"),"The present invention involves a rowing of a rowing training device for a soft -driving environment. Including load control unit, paddle unit, seat unit, virtual display unit, the load control unit consists of a soft teaser, motor bracket, torque motor an"&amp;"d guide wheel; The paddle bracket connection of the ball hinge mechanism; the seat unit consists of seats, guide rails, stretch spring and foot pedal; virtual display unit is mainly composed of display screens. The present invention uses the load control "&amp;"unit to simulate the resistance of motion, and pass the load to the paddle by softly to simulate the motion resistance that the paddle is moved in the water. The modular design of the rowing training device is convenient for transportation and installatio"&amp;"n; the use of Roumo as a transmission element is comfortable and safe during training; through virtual display units, the interactiveness and entertainment of training are improved. The invention has a simple structure and a small quality volume, which ca"&amp;"n be used for sports training in space officers in space.")</f>
        <v>The present invention involves a rowing of a rowing training device for a soft -driving environment. Including load control unit, paddle unit, seat unit, virtual display unit, the load control unit consists of a soft teaser, motor bracket, torque motor and guide wheel; The paddle bracket connection of the ball hinge mechanism; the seat unit consists of seats, guide rails, stretch spring and foot pedal; virtual display unit is mainly composed of display screens. The present invention uses the load control unit to simulate the resistance of motion, and pass the load to the paddle by softly to simulate the motion resistance that the paddle is moved in the water. The modular design of the rowing training device is convenient for transportation and installation; the use of Roumo as a transmission element is comfortable and safe during training; through virtual display units, the interactiveness and entertainment of training are improved. The invention has a simple structure and a small quality volume, which can be used for sports training in space officers in space.</v>
      </c>
      <c r="D3875" s="6" t="s">
        <v>10811</v>
      </c>
      <c r="E3875" s="4" t="str">
        <f ca="1">IFERROR(__xludf.DUMMYFUNCTION("GOOGLETRANSLATE(D3875,""auto"",""en"")"),"A kind of soft -driving astronauts for a weight -loss environment")</f>
        <v>A kind of soft -driving astronauts for a weight -loss environment</v>
      </c>
    </row>
    <row r="3876" spans="1:5" ht="15" x14ac:dyDescent="0.25">
      <c r="A3876" s="5" t="s">
        <v>10812</v>
      </c>
      <c r="B3876" s="6" t="s">
        <v>10813</v>
      </c>
      <c r="C3876" s="3" t="str">
        <f ca="1">IFERROR(__xludf.DUMMYFUNCTION("GOOGLETRANSLATE(B3876,""auto"",""en"")"),"The present invention involves a training method, including load control unit, paddle unit, seat unit, virtual display unit. It consists of paddle and paddle brackets, and the paddle is connected through the paddle bracket of the ball hinge mechanism; the"&amp;" seat unit consists of a seat, guide rail, stretching spring and foot pedal; the virtual display unit is mainly composed of the display. The present invention uses the load control unit to simulate the resistance of motion, and pass the load to the paddle"&amp;" by softly to simulate the motion resistance that the paddle is moved in the water. The modular design of the rowing training device is convenient for transportation and installation; the use of Roumo as a transmission element is comfortable and safe duri"&amp;"ng training; through virtual display units, the interactiveness and entertainment of training are improved. The invention has a simple structure and a small quality volume, which can be used for sports training in space officers in space.")</f>
        <v>The present invention involves a training method, including load control unit, paddle unit, seat unit, virtual display unit. It consists of paddle and paddle brackets, and the paddle is connected through the paddle bracket of the ball hinge mechanism; the seat unit consists of a seat, guide rail, stretching spring and foot pedal; the virtual display unit is mainly composed of the display. The present invention uses the load control unit to simulate the resistance of motion, and pass the load to the paddle by softly to simulate the motion resistance that the paddle is moved in the water. The modular design of the rowing training device is convenient for transportation and installation; the use of Roumo as a transmission element is comfortable and safe during training; through virtual display units, the interactiveness and entertainment of training are improved. The invention has a simple structure and a small quality volume, which can be used for sports training in space officers in space.</v>
      </c>
      <c r="D3876" s="6" t="s">
        <v>10814</v>
      </c>
      <c r="E3876" s="4" t="str">
        <f ca="1">IFERROR(__xludf.DUMMYFUNCTION("GOOGLETRANSLATE(D3876,""auto"",""en"")"),"How to use a soft -driving astronaut boat rowing trainer for the weight -loss environment")</f>
        <v>How to use a soft -driving astronaut boat rowing trainer for the weight -loss environment</v>
      </c>
    </row>
    <row r="3877" spans="1:5" ht="15" x14ac:dyDescent="0.25">
      <c r="A3877" s="5" t="s">
        <v>10815</v>
      </c>
      <c r="B3877" s="6" t="s">
        <v>10816</v>
      </c>
      <c r="C3877" s="3" t="str">
        <f ca="1">IFERROR(__xludf.DUMMYFUNCTION("GOOGLETRANSLATE(B3877,""auto"",""en"")"),"The invention discloses a panoramic -viewing multi -camera calibration rod recognition system and method, which belongs to the field of image measurement and computer vision. The recognition system and method establishes a panoramic surrounding multi -cam"&amp;"era calibration system based on six table tennis lampshade LED lamp lamps. It proposes a multi -camera 3D identification algorithm for the new type of calibration. In Visual? C. The OpenCV platform has achieved three calibration image recognition in three"&amp;" different environments such as outdoor, indoor lighting and turning lights during the day. The use of common line theory and the minimum two -degree method is eliminated. The adaptability tracking of exercise goals in the environment effectively improves"&amp;" the accuracy, robustness and flexibility of the camera calibration.")</f>
        <v>The invention discloses a panoramic -viewing multi -camera calibration rod recognition system and method, which belongs to the field of image measurement and computer vision. The recognition system and method establishes a panoramic surrounding multi -camera calibration system based on six table tennis lampshade LED lamp lamps. It proposes a multi -camera 3D identification algorithm for the new type of calibration. In Visual? C. The OpenCV platform has achieved three calibration image recognition in three different environments such as outdoor, indoor lighting and turning lights during the day. The use of common line theory and the minimum two -degree method is eliminated. The adaptability tracking of exercise goals in the environment effectively improves the accuracy, robustness and flexibility of the camera calibration.</v>
      </c>
      <c r="D3877" s="6" t="s">
        <v>10817</v>
      </c>
      <c r="E3877" s="4" t="str">
        <f ca="1">IFERROR(__xludf.DUMMYFUNCTION("GOOGLETRANSLATE(D3877,""auto"",""en"")"),"An identification system and method of panoramic viewing multi -camera calibration stick")</f>
        <v>An identification system and method of panoramic viewing multi -camera calibration stick</v>
      </c>
    </row>
    <row r="3878" spans="1:5" ht="15" x14ac:dyDescent="0.25">
      <c r="A3878" s="5" t="s">
        <v>10818</v>
      </c>
      <c r="B3878" s="6" t="s">
        <v>10819</v>
      </c>
      <c r="C3878" s="3" t="str">
        <f ca="1">IFERROR(__xludf.DUMMYFUNCTION("GOOGLETRANSLATE(B3878,""auto"",""en"")"),"This utility model involves the field of fitness equipment technology, especially a treadmill with voice recognition function, including treadmill fuselage; it also includes voice input modules, contextual recognition modules, control modules and implemen"&amp;"tation modules set on the treadmill body Essence The voice input module is connected to the language recognition module, the conceptual recognition module is connected to the control module, and the control module is connected to the implementation module"&amp;". This utility model has a voice recognition function, and controls the working status of the treadmill by identifying voice information.")</f>
        <v>This utility model involves the field of fitness equipment technology, especially a treadmill with voice recognition function, including treadmill fuselage; it also includes voice input modules, contextual recognition modules, control modules and implementation modules set on the treadmill body Essence The voice input module is connected to the language recognition module, the conceptual recognition module is connected to the control module, and the control module is connected to the implementation module. This utility model has a voice recognition function, and controls the working status of the treadmill by identifying voice information.</v>
      </c>
      <c r="D3878" s="6" t="s">
        <v>10820</v>
      </c>
      <c r="E3878" s="4" t="str">
        <f ca="1">IFERROR(__xludf.DUMMYFUNCTION("GOOGLETRANSLATE(D3878,""auto"",""en"")"),"A treadmill with a voice recognition function")</f>
        <v>A treadmill with a voice recognition function</v>
      </c>
    </row>
    <row r="3879" spans="1:5" ht="15" x14ac:dyDescent="0.25">
      <c r="A3879" s="5" t="s">
        <v>10821</v>
      </c>
      <c r="B3879" s="6" t="s">
        <v>10822</v>
      </c>
      <c r="C3879" s="3" t="str">
        <f ca="1">IFERROR(__xludf.DUMMYFUNCTION("GOOGLETRANSLATE(B3879,""auto"",""en"")"),"The present invention has disclosed a virtual reality training system based on immersive input and output equipment. The trainees can be completely immersed in virtual scenes, and through natural methods such as gestures, walking, and running , And then c"&amp;"omplete the preset training program. This system consists of output equipment such as headset display, omnidirectional treadmill, action capture and other output equipment, computer and supporting training software. Among them, the headset display can pro"&amp;"vide a complete visual immersion experience, omnidirectional treadmill, action capture The device can map the tracer's action in reality to the virtual objects in the virtual scene, and operate the system through natural interaction. Compared with traditi"&amp;"onal training methods, the training system proposed by the present invention can enable trainees to immerse themselves in the virtual mine environment where they are close to the real virtual mine, obtain the same training experience as the scene, and fin"&amp;"ally achieve the effect of on -site training.")</f>
        <v>The present invention has disclosed a virtual reality training system based on immersive input and output equipment. The trainees can be completely immersed in virtual scenes, and through natural methods such as gestures, walking, and running , And then complete the preset training program. This system consists of output equipment such as headset display, omnidirectional treadmill, action capture and other output equipment, computer and supporting training software. Among them, the headset display can provide a complete visual immersion experience, omnidirectional treadmill, action capture The device can map the tracer's action in reality to the virtual objects in the virtual scene, and operate the system through natural interaction. Compared with traditional training methods, the training system proposed by the present invention can enable trainees to immerse themselves in the virtual mine environment where they are close to the real virtual mine, obtain the same training experience as the scene, and finally achieve the effect of on -site training.</v>
      </c>
      <c r="D3879" s="6" t="s">
        <v>10823</v>
      </c>
      <c r="E3879" s="4" t="str">
        <f ca="1">IFERROR(__xludf.DUMMYFUNCTION("GOOGLETRANSLATE(D3879,""auto"",""en"")"),"A mineral virtual reality training system based on immersive input and output equipment")</f>
        <v>A mineral virtual reality training system based on immersive input and output equipment</v>
      </c>
    </row>
    <row r="3880" spans="1:5" ht="15" x14ac:dyDescent="0.25">
      <c r="A3880" s="5" t="s">
        <v>10824</v>
      </c>
      <c r="B3880" s="6" t="s">
        <v>10825</v>
      </c>
      <c r="C3880" s="3" t="str">
        <f ca="1">IFERROR(__xludf.DUMMYFUNCTION("GOOGLETRANSLATE(B3880,""auto"",""en"")"),"1. The name of the product designed this product: wearable device with a graphical user interface. 2. The purpose of designing products in this exterior: Wearable devices in this design can be used as accessories, watches, jewelry or electronic devices, a"&amp;"nd the wearable device can be used to run programs and/or communication. 3. The design of the design of the product in this exterior: the graphic user interface content in the product screen, the rest are commonly designed. 4. The most important picture o"&amp;"r photo of the design design of this appearance: main view. 5. The designed graphic user interface is the function of human -computer interaction and realizing wearable devices. For example, the graphic user interface of design 1 main view is the informat"&amp;"ion display interface, including multiple ring progress bar. Different progress bars can show different data corresponding to users according to the perception of user movements, such as walking data, running data, running, running Data, etc. This interfa"&amp;"ce defaults to the user without progress. When the user exercises for a certain time, the graphic user interface of the design 1 interface changes is present. Among them, the progress of the interface progress bar shows the current progress of the user. A"&amp;"t the end of the movement, the graphic user interface of the design 1 interface changes in Figure 2, where the progress displayed by the interface is full of progress bar. The graphic user interface shown in this design can also be used on computers, tabl"&amp;"ets, mobile phones, etc.")</f>
        <v>1. The name of the product designed this product: wearable device with a graphical user interface. 2. The purpose of designing products in this exterior: Wearable devices in this design can be used as accessories, watches, jewelry or electronic devices, and the wearable device can be used to run programs and/or communication. 3. The design of the design of the product in this exterior: the graphic user interface content in the product screen, the rest are commonly designed. 4. The most important picture or photo of the design design of this appearance: main view. 5. The designed graphic user interface is the function of human -computer interaction and realizing wearable devices. For example, the graphic user interface of design 1 main view is the information display interface, including multiple ring progress bar. Different progress bars can show different data corresponding to users according to the perception of user movements, such as walking data, running data, running, running Data, etc. This interface defaults to the user without progress. When the user exercises for a certain time, the graphic user interface of the design 1 interface changes is present. Among them, the progress of the interface progress bar shows the current progress of the user. At the end of the movement, the graphic user interface of the design 1 interface changes in Figure 2, where the progress displayed by the interface is full of progress bar. The graphic user interface shown in this design can also be used on computers, tablets, mobile phones, etc.</v>
      </c>
      <c r="D3880" s="6" t="s">
        <v>10826</v>
      </c>
      <c r="E3880" s="4" t="str">
        <f ca="1">IFERROR(__xludf.DUMMYFUNCTION("GOOGLETRANSLATE(D3880,""auto"",""en"")"),"Wearable device with graphical user interface")</f>
        <v>Wearable device with graphical user interface</v>
      </c>
    </row>
    <row r="3881" spans="1:5" ht="15" x14ac:dyDescent="0.25">
      <c r="A3881" s="5" t="s">
        <v>10827</v>
      </c>
      <c r="B3881" s="6" t="s">
        <v>10828</v>
      </c>
      <c r="C3881" s="3" t="str">
        <f ca="1">IFERROR(__xludf.DUMMYFUNCTION("GOOGLETRANSLATE(B3881,""auto"",""en"")"),"A pedestrian detection method based on the infrared night smart vehicle. This method includes the following steps. First, use smooth filtering method and morphological processing technology to input infrared image sequences to go noise processing; through"&amp;" pixel -based vertical projection method, capture input images The pedestrian pre -selected area in the sequence, extract interesting areas from the pedestrian pre -selected area according to the pedestrian geometric special symbol; extract infrared image"&amp;" multi -level two -value mode characteristics to describe interest areas; use the support vector machine algorithm training pedestrian classifier model; use this classification to use this classification Instrument model judges interested areas as target "&amp;"pedestrians or backgrounds. Compared with the existing technology, this method effectively improves the robustness of pedestrian classifiers; not only can detect upright pedestrians in motion such as static, walking or running, but also suitable for detec"&amp;"ting the human body of cycling or motorcycles, and press here Methods The system can be applied to obstacles to detect obstacles such as unmanned smart vehicles, wheel robots, etc.")</f>
        <v>A pedestrian detection method based on the infrared night smart vehicle. This method includes the following steps. First, use smooth filtering method and morphological processing technology to input infrared image sequences to go noise processing; through pixel -based vertical projection method, capture input images The pedestrian pre -selected area in the sequence, extract interesting areas from the pedestrian pre -selected area according to the pedestrian geometric special symbol; extract infrared image multi -level two -value mode characteristics to describe interest areas; use the support vector machine algorithm training pedestrian classifier model; use this classification to use this classification Instrument model judges interested areas as target pedestrians or backgrounds. Compared with the existing technology, this method effectively improves the robustness of pedestrian classifiers; not only can detect upright pedestrians in motion such as static, walking or running, but also suitable for detecting the human body of cycling or motorcycles, and press here Methods The system can be applied to obstacles to detect obstacles such as unmanned smart vehicles, wheel robots, etc.</v>
      </c>
      <c r="D3881" s="6" t="s">
        <v>10829</v>
      </c>
      <c r="E3881" s="4" t="str">
        <f ca="1">IFERROR(__xludf.DUMMYFUNCTION("GOOGLETRANSLATE(D3881,""auto"",""en"")"),"A method of pedestrian testing in front of the infrared night smart vehicle")</f>
        <v>A method of pedestrian testing in front of the infrared night smart vehicle</v>
      </c>
    </row>
    <row r="3882" spans="1:5" ht="15" x14ac:dyDescent="0.25">
      <c r="A3882" s="5" t="s">
        <v>10830</v>
      </c>
      <c r="B3882" s="6" t="s">
        <v>10831</v>
      </c>
      <c r="C3882" s="3" t="str">
        <f ca="1">IFERROR(__xludf.DUMMYFUNCTION("GOOGLETRANSLATE(B3882,""auto"",""en"")"),"The present invention disclosed the implementation method of the mission -oriented power scheduling concentrated console, including the following steps: the normal four aspects of power system power, transmission, power distribution, and power consumption"&amp;", as well as the normal indicators of safety, high quality, economy, and environmental protection. The task of adjustment and abnormal disposal is guided, and the daily control business view of the dispatcher is constructed; the execution unit of each con"&amp;"trol business is decomposed into one or more control function subsystems; The console allows the console to call the specific control function of the control function subsystem; the man -machine interaction interface of the full -business view design sche"&amp;"duling the full -business view design scheduling and controlling the full -business view of the full -business view; building a security certification system to ensure the safety of control. The invention enabled the dispatcher to complete the daily work "&amp;"of the power grid control and surveillance, planning, abnormal disposal, and management audit under the unified operating desk, and realized the ""one -stop"" scheduling centralized console.")</f>
        <v>The present invention disclosed the implementation method of the mission -oriented power scheduling concentrated console, including the following steps: the normal four aspects of power system power, transmission, power distribution, and power consumption, as well as the normal indicators of safety, high quality, economy, and environmental protection. The task of adjustment and abnormal disposal is guided, and the daily control business view of the dispatcher is constructed; the execution unit of each control business is decomposed into one or more control function subsystems; The console allows the console to call the specific control function of the control function subsystem; the man -machine interaction interface of the full -business view design scheduling the full -business view design scheduling and controlling the full -business view of the full -business view; building a security certification system to ensure the safety of control. The invention enabled the dispatcher to complete the daily work of the power grid control and surveillance, planning, abnormal disposal, and management audit under the unified operating desk, and realized the "one -stop" scheduling centralized console.</v>
      </c>
      <c r="D3882" s="6" t="s">
        <v>10832</v>
      </c>
      <c r="E3882" s="4" t="str">
        <f ca="1">IFERROR(__xludf.DUMMYFUNCTION("GOOGLETRANSLATE(D3882,""auto"",""en"")"),"Mission -oriented power scheduling concentration console implementation method")</f>
        <v>Mission -oriented power scheduling concentration console implementation method</v>
      </c>
    </row>
    <row r="3883" spans="1:5" ht="15" x14ac:dyDescent="0.25">
      <c r="A3883" s="5" t="s">
        <v>10833</v>
      </c>
      <c r="B3883" s="6" t="s">
        <v>10834</v>
      </c>
      <c r="C3883" s="3" t="str">
        <f ca="1">IFERROR(__xludf.DUMMYFUNCTION("GOOGLETRANSLATE(B3883,""auto"",""en"")"),"This utility model involves the field of machinery and equipment technology, and specifically involves a new type of hanging ring competitive bionic intelligent robot. The upper end of the support base is fixed with a triangle support frame. The upper end"&amp;" of the triangular supporting rack is connected to the robot through connecting a boom, the left and right shoulder and hip -hop steering gear on the left, right, and right sides. The lower end of the robot is set with a pair of leg driving machine, and t"&amp;"he lower end of the leg driving turbine is connected to a mechanical leg; the front of the robot body has a sound card, and the main board of the robot's body is equipped with a control motherboard. According to the characteristics of hanging ring sports,"&amp;" it is equipped with a ring sports simulation equipment to complete the effective combination of robots and sports devices. It is flexible and standardized, and it is also suitable for the imitation robots used in sports in sports competitions and scienti"&amp;"fic research.")</f>
        <v>This utility model involves the field of machinery and equipment technology, and specifically involves a new type of hanging ring competitive bionic intelligent robot. The upper end of the support base is fixed with a triangle support frame. The upper end of the triangular supporting rack is connected to the robot through connecting a boom, the left and right shoulder and hip -hop steering gear on the left, right, and right sides. The lower end of the robot is set with a pair of leg driving machine, and the lower end of the leg driving turbine is connected to a mechanical leg; the front of the robot body has a sound card, and the main board of the robot's body is equipped with a control motherboard. According to the characteristics of hanging ring sports, it is equipped with a ring sports simulation equipment to complete the effective combination of robots and sports devices. It is flexible and standardized, and it is also suitable for the imitation robots used in sports in sports competitions and scientific research.</v>
      </c>
      <c r="D3883" s="6" t="s">
        <v>10835</v>
      </c>
      <c r="E3883" s="4" t="str">
        <f ca="1">IFERROR(__xludf.DUMMYFUNCTION("GOOGLETRANSLATE(D3883,""auto"",""en"")"),"A new type of hanging ring bionic bionic smart robot")</f>
        <v>A new type of hanging ring bionic bionic smart robot</v>
      </c>
    </row>
    <row r="3884" spans="1:5" ht="15" x14ac:dyDescent="0.25">
      <c r="A3884" s="5" t="s">
        <v>10836</v>
      </c>
      <c r="B3884" s="6" t="s">
        <v>10837</v>
      </c>
      <c r="C3884" s="3" t="str">
        <f ca="1">IFERROR(__xludf.DUMMYFUNCTION("GOOGLETRANSLATE(B3884,""auto"",""en"")"),"The invention discloses a football game auxiliary system that involves the field of artificial intelligence technology to solve the problem of low efficiency and easy mistakes in the existing technologies. The present invention provides a football game au"&amp;"xiliary system includes: the coaching side to send personnel requests to the server; the referee to receive the referee's penalty instructions and synchronize the described penalty instructions to Prompting the game of the server; the monitoring terminal "&amp;"is used to monitor the game and send real -time monitoring data to the server; The penalty instructions are described and the penalty instructions are synchronized to the coach end, and the monitoring data is received and the referee will send the contest"&amp;" situation to the referee.")</f>
        <v>The invention discloses a football game auxiliary system that involves the field of artificial intelligence technology to solve the problem of low efficiency and easy mistakes in the existing technologies. The present invention provides a football game auxiliary system includes: the coaching side to send personnel requests to the server; the referee to receive the referee's penalty instructions and synchronize the described penalty instructions to Prompting the game of the server; the monitoring terminal is used to monitor the game and send real -time monitoring data to the server; The penalty instructions are described and the penalty instructions are synchronized to the coach end, and the monitoring data is received and the referee will send the contest situation to the referee.</v>
      </c>
      <c r="D3884" s="6" t="s">
        <v>10838</v>
      </c>
      <c r="E3884" s="4" t="str">
        <f ca="1">IFERROR(__xludf.DUMMYFUNCTION("GOOGLETRANSLATE(D3884,""auto"",""en"")"),"A football game auxiliary system")</f>
        <v>A football game auxiliary system</v>
      </c>
    </row>
    <row r="3885" spans="1:5" ht="15" x14ac:dyDescent="0.25">
      <c r="A3885" s="5" t="s">
        <v>10839</v>
      </c>
      <c r="B3885" s="6" t="s">
        <v>10840</v>
      </c>
      <c r="C3885" s="3" t="str">
        <f ca="1">IFERROR(__xludf.DUMMYFUNCTION("GOOGLETRANSLATE(B3885,""auto"",""en"")"),"The invention is a computer application field, which specifically involves a solution to the multi -layer genetic algorithm -based curling competition design method based on multi -layer genetic algorithms. The present invention includes: coding; initial "&amp;"population generation; calculating the adaptation functional value of each individual in the species according to the adaptation function. Compared with the previous method of solving the automatic design of the curling competition scheme, the present inv"&amp;"ention can definitely find the optimal solution of the problem, to meet the complicated and interrelated conditions of the curling competition, solve the optimal solution or the optimal solution in the previous method. Find the problem of the optimal solu"&amp;"tion efficiency. This method is simple to achieve, and it can quickly design a combination that meets its harsh constraints according to the different situations of the curling competition. Implementation efficiency can meet the actual requirements.")</f>
        <v>The invention is a computer application field, which specifically involves a solution to the multi -layer genetic algorithm -based curling competition design method based on multi -layer genetic algorithms. The present invention includes: coding; initial population generation; calculating the adaptation functional value of each individual in the species according to the adaptation function. Compared with the previous method of solving the automatic design of the curling competition scheme, the present invention can definitely find the optimal solution of the problem, to meet the complicated and interrelated conditions of the curling competition, solve the optimal solution or the optimal solution in the previous method. Find the problem of the optimal solution efficiency. This method is simple to achieve, and it can quickly design a combination that meets its harsh constraints according to the different situations of the curling competition. Implementation efficiency can meet the actual requirements.</v>
      </c>
      <c r="D3885" s="6" t="s">
        <v>10841</v>
      </c>
      <c r="E3885" s="4" t="str">
        <f ca="1">IFERROR(__xludf.DUMMYFUNCTION("GOOGLETRANSLATE(D3885,""auto"",""en"")"),"A curling competition combination design method based on multi -layer genetic algorithm")</f>
        <v>A curling competition combination design method based on multi -layer genetic algorithm</v>
      </c>
    </row>
    <row r="3886" spans="1:5" ht="15" x14ac:dyDescent="0.25">
      <c r="A3886" s="5" t="s">
        <v>10842</v>
      </c>
      <c r="B3886" s="6" t="s">
        <v>10843</v>
      </c>
      <c r="C3886" s="3" t="str">
        <f ca="1">IFERROR(__xludf.DUMMYFUNCTION("GOOGLETRANSLATE(B3886,""auto"",""en"")"),"This utility model involves a multi -screen intelligent networking motion display device, including a micro -control unit and the I/O interface unit connected to it, a communication unit for connecting the terminal device, the fitness module setting unit,"&amp;" and the plural to detect the human body to detect the human body The infrared transmission circuit in the motion state is with infrared receiving circuit; the I/O interface unit connects the keyboard interface circuit and the number of display screens th"&amp;"at display different contents. This utility model extends the concept of multi -display to sports fitness equipment. When watching the fitness content in multiple display, it can enhance the confidence of a person using a sports equipment, and the device "&amp;"can be used with the Internet of Things display.")</f>
        <v>This utility model involves a multi -screen intelligent networking motion display device, including a micro -control unit and the I/O interface unit connected to it, a communication unit for connecting the terminal device, the fitness module setting unit, and the plural to detect the human body to detect the human body The infrared transmission circuit in the motion state is with infrared receiving circuit; the I/O interface unit connects the keyboard interface circuit and the number of display screens that display different contents. This utility model extends the concept of multi -display to sports fitness equipment. When watching the fitness content in multiple display, it can enhance the confidence of a person using a sports equipment, and the device can be used with the Internet of Things display.</v>
      </c>
      <c r="D3886" s="6" t="s">
        <v>10844</v>
      </c>
      <c r="E3886" s="4" t="str">
        <f ca="1">IFERROR(__xludf.DUMMYFUNCTION("GOOGLETRANSLATE(D3886,""auto"",""en"")"),"Multi -screen intelligent networking sports display device")</f>
        <v>Multi -screen intelligent networking sports display device</v>
      </c>
    </row>
    <row r="3887" spans="1:5" ht="15" x14ac:dyDescent="0.25">
      <c r="A3887" s="5" t="s">
        <v>10845</v>
      </c>
      <c r="B3887" s="6" t="s">
        <v>10846</v>
      </c>
      <c r="C3887" s="3" t="str">
        <f ca="1">IFERROR(__xludf.DUMMYFUNCTION("GOOGLETRANSLATE(B3887,""auto"",""en"")"),"一种新型的爬杆竞技仿人智能机器人结构，它涉及机器人技术领域；它包含头部、肩膀、上臂、下臂、胯部、膝盖、小腿、脚掌、身体前壳、身体后壳、主板、 Sound cards, batteries, moving arc metal pieces, static arc metal pieces, jagged feet bottom plates, body, wrist; the motherboard is installed on the back bracket of the body, and the "&amp;"sound card is installed on the body's chest bracket; the battery installation of the battery installation Between the two connecting panels of the body; the lower end of the lower arm is connected through the wrist and the grab; Set up a steering gear tha"&amp;"t controls the movement. A new type of new type of new type of new type of new type of climbing rod is imitating human intelligent robot structure, which increases the function of the wrist grasp and completes the effective contact and combination of robo"&amp;"ts and objects. Anti -human robots used in competitions and scientific research.")</f>
        <v>一种新型的爬杆竞技仿人智能机器人结构，它涉及机器人技术领域；它包含头部、肩膀、上臂、下臂、胯部、膝盖、小腿、脚掌、身体前壳、身体后壳、主板、 Sound cards, batteries, moving arc metal pieces, static arc metal pieces, jagged feet bottom plates, body, wrist; the motherboard is installed on the back bracket of the body, and the sound card is installed on the body's chest bracket; the battery installation of the battery installation Between the two connecting panels of the body; the lower end of the lower arm is connected through the wrist and the grab; Set up a steering gear that controls the movement. A new type of new type of new type of new type of new type of climbing rod is imitating human intelligent robot structure, which increases the function of the wrist grasp and completes the effective contact and combination of robots and objects. Anti -human robots used in competitions and scientific research.</v>
      </c>
      <c r="D3887" s="6" t="s">
        <v>10847</v>
      </c>
      <c r="E3887" s="4" t="str">
        <f ca="1">IFERROR(__xludf.DUMMYFUNCTION("GOOGLETRANSLATE(D3887,""auto"",""en"")"),"A new type of climbing rod competition imitation human intelligent robot structure")</f>
        <v>A new type of climbing rod competition imitation human intelligent robot structure</v>
      </c>
    </row>
    <row r="3888" spans="1:5" ht="15" x14ac:dyDescent="0.25">
      <c r="A3888" s="5" t="s">
        <v>10848</v>
      </c>
      <c r="B3888" s="6" t="s">
        <v>10849</v>
      </c>
      <c r="C3888" s="3" t="str">
        <f ca="1">IFERROR(__xludf.DUMMYFUNCTION("GOOGLETRANSLATE(B3888,""auto"",""en"")"),"一种新型的球类竞技仿人智能机器人结构，它涉及机器人技术领域；它包含头部、肩膀、上臂、下臂、胯部、膝盖、小腿、脚掌、身体前壳、身体后壳、主板、 Sound card, battery, wrist steering gear, palm baffle, wrist baffle, fixed metal piece, body; the lower end of the lower arm is connected through the wrist engine with a grip; Composit"&amp;"ion of the film; the surrounding palm baffle is connected to several fixed metal pieces; the lower end of the wrist is connected to the wrist baffle. The climbing rod is imitated in intelligent robots described in this practical new model, which increases"&amp;" the function of the wrist grabbing, which can grasp the ball -shaped objects, and complete the effective contact and combination of robots and objects. Sports competitions and imitation robots used in scientific research.")</f>
        <v>一种新型的球类竞技仿人智能机器人结构，它涉及机器人技术领域；它包含头部、肩膀、上臂、下臂、胯部、膝盖、小腿、脚掌、身体前壳、身体后壳、主板、 Sound card, battery, wrist steering gear, palm baffle, wrist baffle, fixed metal piece, body; the lower end of the lower arm is connected through the wrist engine with a grip; Composition of the film; the surrounding palm baffle is connected to several fixed metal pieces; the lower end of the wrist is connected to the wrist baffle. The climbing rod is imitated in intelligent robots described in this practical new model, which increases the function of the wrist grabbing, which can grasp the ball -shaped objects, and complete the effective contact and combination of robots and objects. Sports competitions and imitation robots used in scientific research.</v>
      </c>
      <c r="D3888" s="6" t="s">
        <v>10850</v>
      </c>
      <c r="E3888" s="4" t="str">
        <f ca="1">IFERROR(__xludf.DUMMYFUNCTION("GOOGLETRANSLATE(D3888,""auto"",""en"")"),"A new type of ball competition imitation human intelligent robot structure")</f>
        <v>A new type of ball competition imitation human intelligent robot structure</v>
      </c>
    </row>
    <row r="3889" spans="1:5" ht="15" x14ac:dyDescent="0.25">
      <c r="A3889" s="5" t="s">
        <v>10851</v>
      </c>
      <c r="B3889" s="6" t="s">
        <v>10852</v>
      </c>
      <c r="C3889" s="3" t="str">
        <f ca="1">IFERROR(__xludf.DUMMYFUNCTION("GOOGLETRANSLATE(B3889,""auto"",""en"")"),"This utility model opens a rowing outdoor fitness bicycle electronic system, including human information detection module, cycling status detection module, communication module, human -machine interaction module and energy storage module. The key is that "&amp;"the human information detection module is detected by the heart rate and the temperature sensor in real time, the rider's heart rate and body temperature; the cycling state detection module is motion of the fitness vehicle and fitness in real -time detect"&amp;"ion of rotation, sliding, and swinging sensors; Communicate with the PC terminal; the human -machine interaction module mainly includes touch screens and speakers. The cyclist can set a fitness plan through the touch screen. The speaker can play music dur"&amp;"ing the cycling process. Phase the battery with solar or fitness. The relevant module information processing and exchange are completed by the CPU. The electronic system can last for a long time, achieving better human -car interaction, and further enhanc"&amp;"es the entertainment and fitness effects of fitness cars.")</f>
        <v>This utility model opens a rowing outdoor fitness bicycle electronic system, including human information detection module, cycling status detection module, communication module, human -machine interaction module and energy storage module. The key is that the human information detection module is detected by the heart rate and the temperature sensor in real time, the rider's heart rate and body temperature; the cycling state detection module is motion of the fitness vehicle and fitness in real -time detection of rotation, sliding, and swinging sensors; Communicate with the PC terminal; the human -machine interaction module mainly includes touch screens and speakers. The cyclist can set a fitness plan through the touch screen. The speaker can play music during the cycling process. Phase the battery with solar or fitness. The relevant module information processing and exchange are completed by the CPU. The electronic system can last for a long time, achieving better human -car interaction, and further enhances the entertainment and fitness effects of fitness cars.</v>
      </c>
      <c r="D3889" s="6" t="s">
        <v>10853</v>
      </c>
      <c r="E3889" s="4" t="str">
        <f ca="1">IFERROR(__xludf.DUMMYFUNCTION("GOOGLETRANSLATE(D3889,""auto"",""en"")"),"A rowing outdoor fitness bicycle electronic system")</f>
        <v>A rowing outdoor fitness bicycle electronic system</v>
      </c>
    </row>
    <row r="3890" spans="1:5" ht="15" x14ac:dyDescent="0.25">
      <c r="A3890" s="5" t="s">
        <v>10854</v>
      </c>
      <c r="B3890" s="6" t="s">
        <v>10855</v>
      </c>
      <c r="C3890" s="3" t="str">
        <f ca="1">IFERROR(__xludf.DUMMYFUNCTION("GOOGLETRANSLATE(B3890,""auto"",""en"")"),"A method to mix the fictional environment with real events, including the following steps: A) Provide at least one gamified fictional content source; b) search and filter content from one or more news sources; c) Through the application of machine learnin"&amp;"g algorithm application application In the content, convert the retrieved content into game data format; d) Merge/mix between the fiction and the conversion content, and generate it accordingly Response game events; e) provided the generated events to the"&amp;" user through the user interface to allow the user to select at least one of the possible response.")</f>
        <v>A method to mix the fictional environment with real events, including the following steps: A) Provide at least one gamified fictional content source; b) search and filter content from one or more news sources; c) Through the application of machine learning algorithm application application In the content, convert the retrieved content into game data format; d) Merge/mix between the fiction and the conversion content, and generate it accordingly Response game events; e) provided the generated events to the user through the user interface to allow the user to select at least one of the possible response.</v>
      </c>
      <c r="D3890" s="6" t="s">
        <v>10856</v>
      </c>
      <c r="E3890" s="4" t="str">
        <f ca="1">IFERROR(__xludf.DUMMYFUNCTION("GOOGLETRANSLATE(D3890,""auto"",""en"")"),"A sports game platform")</f>
        <v>A sports game platform</v>
      </c>
    </row>
    <row r="3891" spans="1:5" ht="15" x14ac:dyDescent="0.25">
      <c r="A3891" s="5" t="s">
        <v>10857</v>
      </c>
      <c r="B3891" s="6" t="s">
        <v>10858</v>
      </c>
      <c r="C3891" s="3" t="str">
        <f ca="1">IFERROR(__xludf.DUMMYFUNCTION("GOOGLETRANSLATE(B3891,""auto"",""en"")"),"Provides a system for studying movements. Computing device [10] with a processor [20], acceleration meter [11], gyroscope [12], magnetometer [13] and the storage/computer readable medium that communicates with each other [30]. The computing device [10] ca"&amp;"n be based on real -time exercise data of the initial motion data sensing, classification, identification, and/or quantitative motion targets classified according to the sports library [32]. Sports data is processed as a specific motion unit. Computing de"&amp;"vices [10] can use machine learning algorithms to ""train"" and ""learning"". Computing equipment [10] can be used in many industries, including the fitness industry, where the computing equipment [10] can be used with wearable technology.")</f>
        <v>Provides a system for studying movements. Computing device [10] with a processor [20], acceleration meter [11], gyroscope [12], magnetometer [13] and the storage/computer readable medium that communicates with each other [30]. The computing device [10] can be based on real -time exercise data of the initial motion data sensing, classification, identification, and/or quantitative motion targets classified according to the sports library [32]. Sports data is processed as a specific motion unit. Computing devices [10] can use machine learning algorithms to "train" and "learning". Computing equipment [10] can be used in many industries, including the fitness industry, where the computing equipment [10] can be used with wearable technology.</v>
      </c>
      <c r="D3891" s="6" t="s">
        <v>10859</v>
      </c>
      <c r="E3891" s="4" t="str">
        <f ca="1">IFERROR(__xludf.DUMMYFUNCTION("GOOGLETRANSLATE(D3891,""auto"",""en"")"),"Systems, equipment and methods related to sports data")</f>
        <v>Systems, equipment and methods related to sports data</v>
      </c>
    </row>
    <row r="3892" spans="1:5" ht="15" x14ac:dyDescent="0.25">
      <c r="A3892" s="5" t="s">
        <v>10860</v>
      </c>
      <c r="B3892" s="6" t="s">
        <v>10858</v>
      </c>
      <c r="C3892" s="3" t="str">
        <f ca="1">IFERROR(__xludf.DUMMYFUNCTION("GOOGLETRANSLATE(B3892,""auto"",""en"")"),"Provides a system for studying movements. Computing device [10] with a processor [20], acceleration meter [11], gyroscope [12], magnetometer [13] and the storage/computer readable medium that communicates with each other [30]. The computing device [10] ca"&amp;"n be based on real -time exercise data of the initial motion data sensing, classification, identification, and/or quantitative motion targets classified according to the sports library [32]. Sports data is processed as a specific motion unit. Computing de"&amp;"vices [10] can use machine learning algorithms to ""train"" and ""learning"". Computing equipment [10] can be used in many industries, including the fitness industry, where the computing equipment [10] can be used with wearable technology.")</f>
        <v>Provides a system for studying movements. Computing device [10] with a processor [20], acceleration meter [11], gyroscope [12], magnetometer [13] and the storage/computer readable medium that communicates with each other [30]. The computing device [10] can be based on real -time exercise data of the initial motion data sensing, classification, identification, and/or quantitative motion targets classified according to the sports library [32]. Sports data is processed as a specific motion unit. Computing devices [10] can use machine learning algorithms to "train" and "learning". Computing equipment [10] can be used in many industries, including the fitness industry, where the computing equipment [10] can be used with wearable technology.</v>
      </c>
      <c r="D3892" s="6" t="s">
        <v>10859</v>
      </c>
      <c r="E3892" s="4" t="str">
        <f ca="1">IFERROR(__xludf.DUMMYFUNCTION("GOOGLETRANSLATE(D3892,""auto"",""en"")"),"Systems, equipment and methods related to sports data")</f>
        <v>Systems, equipment and methods related to sports data</v>
      </c>
    </row>
    <row r="3893" spans="1:5" ht="15" x14ac:dyDescent="0.25">
      <c r="A3893" s="5" t="s">
        <v>10861</v>
      </c>
      <c r="B3893" s="6" t="s">
        <v>10862</v>
      </c>
      <c r="C3893" s="3" t="str">
        <f ca="1">IFERROR(__xludf.DUMMYFUNCTION("GOOGLETRANSLATE(B3893,""auto"",""en"")"),"Provides a system for studying movements. There is a processor [10] computing device [10], acceleration meter [11], a gyroscope [12], a magnetic meter [13], and the storage/computer readable media [30] communicate with each other. The real -time motion da"&amp;"ta of the initial motion data sensing, classification, identification, and/or quantitative motion targets can be processed according to the initial motion data sensing, classification, identification, and/or quantitative motion targets in the motion libra"&amp;"ry [32]. Computing device [10] may use machine learning algorithms for ""training"" and ""learning"". Computing equipment [10] can be used in many industries, including the fitness industry, where the computing equipment [10] can be used with wearable tec"&amp;"hnology.")</f>
        <v>Provides a system for studying movements. There is a processor [10] computing device [10], acceleration meter [11], a gyroscope [12], a magnetic meter [13], and the storage/computer readable media [30] communicate with each other. The real -time motion data of the initial motion data sensing, classification, identification, and/or quantitative motion targets can be processed according to the initial motion data sensing, classification, identification, and/or quantitative motion targets in the motion library [32]. Computing device [10] may use machine learning algorithms for "training" and "learning". Computing equipment [10] can be used in many industries, including the fitness industry, where the computing equipment [10] can be used with wearable technology.</v>
      </c>
      <c r="D3893" s="6" t="s">
        <v>10859</v>
      </c>
      <c r="E3893" s="4" t="str">
        <f ca="1">IFERROR(__xludf.DUMMYFUNCTION("GOOGLETRANSLATE(D3893,""auto"",""en"")"),"Systems, equipment and methods related to sports data")</f>
        <v>Systems, equipment and methods related to sports data</v>
      </c>
    </row>
    <row r="3894" spans="1:5" ht="15" x14ac:dyDescent="0.25">
      <c r="A3894" s="5" t="s">
        <v>10863</v>
      </c>
      <c r="B3894" s="6" t="s">
        <v>10864</v>
      </c>
      <c r="C3894" s="3" t="str">
        <f ca="1">IFERROR(__xludf.DUMMYFUNCTION("GOOGLETRANSLATE(B3894,""auto"",""en"")"),"Provides a system for studying movements. Computing devices [10] have mutually communication processors [20], acceleration meter [11], gyroscope [12], magnetic meter [13], and storage device/computer readable medium [30]. Computing device [10] can be sens"&amp;"ing, classified, qualitative, or quantified the real -time motion data of mobile targets in the classification data in the sports library [32]. Sports data is treated as a specific motion unit. Computing equipment [10] can use machine learning algorithms "&amp;"for ""training"" and ""learning"". Computing equipment [10] can be used in many industries, including the fitness industry, and computing equipment [10] in this industry can be used with wearable technology.")</f>
        <v>Provides a system for studying movements. Computing devices [10] have mutually communication processors [20], acceleration meter [11], gyroscope [12], magnetic meter [13], and storage device/computer readable medium [30]. Computing device [10] can be sensing, classified, qualitative, or quantified the real -time motion data of mobile targets in the classification data in the sports library [32]. Sports data is treated as a specific motion unit. Computing equipment [10] can use machine learning algorithms for "training" and "learning". Computing equipment [10] can be used in many industries, including the fitness industry, and computing equipment [10] in this industry can be used with wearable technology.</v>
      </c>
      <c r="D3894" s="6" t="s">
        <v>10162</v>
      </c>
      <c r="E3894" s="4" t="str">
        <f ca="1">IFERROR(__xludf.DUMMYFUNCTION("GOOGLETRANSLATE(D3894,""auto"",""en"")"),"Systems, equipment and methods related to sports data")</f>
        <v>Systems, equipment and methods related to sports data</v>
      </c>
    </row>
    <row r="3895" spans="1:5" ht="15" x14ac:dyDescent="0.25">
      <c r="A3895" s="5" t="s">
        <v>10865</v>
      </c>
      <c r="B3895" s="6" t="s">
        <v>10161</v>
      </c>
      <c r="C3895" s="3" t="str">
        <f ca="1">IFERROR(__xludf.DUMMYFUNCTION("GOOGLETRANSLATE(B3895,""auto"",""en"")"),"Provides a system for studying movements. A computing device [10] processor [20], acceleration meter [11], gyroscope [12], magnetometer [13], and storage/computer readable medium [30]. The computing device [10] can sensor, classification, limit, and/or qu"&amp;"antitative motion targets based on the initial motion data classified in the sports library [32]. Sports data is processed as a specific motion unit. Computing equipment [10] can use machine learning algorithms for ""training"" and ""learning"". Computing"&amp;" equipment [10] can be used in many industries, including the fitness industry, where the computing equipment [10] can be used with wearable technology.")</f>
        <v>Provides a system for studying movements. A computing device [10] processor [20], acceleration meter [11], gyroscope [12], magnetometer [13], and storage/computer readable medium [30]. The computing device [10] can sensor, classification, limit, and/or quantitative motion targets based on the initial motion data classified in the sports library [32]. Sports data is processed as a specific motion unit. Computing equipment [10] can use machine learning algorithms for "training" and "learning". Computing equipment [10] can be used in many industries, including the fitness industry, where the computing equipment [10] can be used with wearable technology.</v>
      </c>
      <c r="D3895" s="6" t="s">
        <v>10859</v>
      </c>
      <c r="E3895" s="4" t="str">
        <f ca="1">IFERROR(__xludf.DUMMYFUNCTION("GOOGLETRANSLATE(D3895,""auto"",""en"")"),"Systems, equipment and methods related to sports data")</f>
        <v>Systems, equipment and methods related to sports data</v>
      </c>
    </row>
    <row r="3896" spans="1:5" ht="15" x14ac:dyDescent="0.25">
      <c r="A3896" s="5" t="s">
        <v>10866</v>
      </c>
      <c r="B3896" s="6" t="s">
        <v>10867</v>
      </c>
      <c r="C3896" s="3" t="str">
        <f ca="1">IFERROR(__xludf.DUMMYFUNCTION("GOOGLETRANSLATE(B3896,""auto"",""en"")"),"Multi -sensor systems for exercise and cognition of rehabilitation and interaction of disabled people. The system allows different human -machine interaction modes to achieve treatment, providing a variety of interactive modes for people with different di"&amp;"sability, so it has a significant advantage compared to other existing methods. The system can adapt to the needs of each patient through the training process; in this way, the system effectively combines the available sensors and allows definition of its"&amp;" own gestures for each sensor and patients. The system provides the following interactive modes: posture and physical posture, sound, touch, gaze position, posture and gesture. Multi -sensor system integrates a series of applications that can achieve pati"&amp;"ent rehabilitation through virtual reality applications and 3D interfaces: virtual entity operation, predictive text, and guidance drawing.")</f>
        <v>Multi -sensor systems for exercise and cognition of rehabilitation and interaction of disabled people. The system allows different human -machine interaction modes to achieve treatment, providing a variety of interactive modes for people with different disability, so it has a significant advantage compared to other existing methods. The system can adapt to the needs of each patient through the training process; in this way, the system effectively combines the available sensors and allows definition of its own gestures for each sensor and patients. The system provides the following interactive modes: posture and physical posture, sound, touch, gaze position, posture and gesture. Multi -sensor system integrates a series of applications that can achieve patient rehabilitation through virtual reality applications and 3D interfaces: virtual entity operation, predictive text, and guidance drawing.</v>
      </c>
      <c r="D3896" s="6" t="s">
        <v>10868</v>
      </c>
      <c r="E3896" s="4" t="str">
        <f ca="1">IFERROR(__xludf.DUMMYFUNCTION("GOOGLETRANSLATE(D3896,""auto"",""en"")"),"Multi -sensor system for rehabilitation and interaction of disabled people.")</f>
        <v>Multi -sensor system for rehabilitation and interaction of disabled people.</v>
      </c>
    </row>
    <row r="3897" spans="1:5" ht="15" x14ac:dyDescent="0.25">
      <c r="A3897" s="5" t="s">
        <v>10869</v>
      </c>
      <c r="B3897" s="6" t="s">
        <v>10870</v>
      </c>
      <c r="C3897" s="3" t="str">
        <f ca="1">IFERROR(__xludf.DUMMYFUNCTION("GOOGLETRANSLATE(B3897,""auto"",""en"")"),"The ""Running Rap -down"" method includes calculating the operating estimation of the useful range of the useful characteristic value range of voice activity detection (VAD), and nitens the features by mapping the features to the required range. The range"&amp;" of running scope includes the operational estimation of the minimum value and maximum value of the VAD feature, and the characteristic value of the original range is mapped to the required range by mapping the original range. Optional selection of at lea"&amp;"st one changes in the running of the smooth coefficient with the maximum and maximum value of the orientation bias. The normalized VAD feature parameters are used to train machine learning algorithms to detect voice activities, and use the trained machine"&amp;" learning algorithm to isolate or enhance the audio data voice component.")</f>
        <v>The "Running Rap -down" method includes calculating the operating estimation of the useful range of the useful characteristic value range of voice activity detection (VAD), and nitens the features by mapping the features to the required range. The range of running scope includes the operational estimation of the minimum value and maximum value of the VAD feature, and the characteristic value of the original range is mapped to the required range by mapping the original range. Optional selection of at least one changes in the running of the smooth coefficient with the maximum and maximum value of the orientation bias. The normalized VAD feature parameters are used to train machine learning algorithms to detect voice activities, and use the trained machine learning algorithm to isolate or enhance the audio data voice component.</v>
      </c>
      <c r="D3897" s="6" t="s">
        <v>10871</v>
      </c>
      <c r="E3897" s="4" t="str">
        <f ca="1">IFERROR(__xludf.DUMMYFUNCTION("GOOGLETRANSLATE(D3897,""auto"",""en"")"),"Use the native network voice activity detection of the radio range of running range")</f>
        <v>Use the native network voice activity detection of the radio range of running range</v>
      </c>
    </row>
    <row r="3898" spans="1:5" ht="15" x14ac:dyDescent="0.25">
      <c r="A3898" s="5" t="s">
        <v>10872</v>
      </c>
      <c r="B3898" s="6" t="s">
        <v>10870</v>
      </c>
      <c r="C3898" s="3" t="str">
        <f ca="1">IFERROR(__xludf.DUMMYFUNCTION("GOOGLETRANSLATE(B3898,""auto"",""en"")"),"The ""Running Rap -down"" method includes calculating the operating estimation of the useful range of the useful characteristic value range of voice activity detection (VAD), and nitens the features by mapping the features to the required range. The range"&amp;" of running scope includes the operational estimation of the minimum value and maximum value of the VAD feature, and the characteristic value of the original range is mapped to the required range by mapping the original range. Optional selection of at lea"&amp;"st one changes in the running of the smooth coefficient with the maximum and maximum value of the orientation bias. The normalized VAD feature parameters are used to train machine learning algorithms to detect voice activities, and use the trained machine"&amp;" learning algorithm to isolate or enhance the audio data voice component.")</f>
        <v>The "Running Rap -down" method includes calculating the operating estimation of the useful range of the useful characteristic value range of voice activity detection (VAD), and nitens the features by mapping the features to the required range. The range of running scope includes the operational estimation of the minimum value and maximum value of the VAD feature, and the characteristic value of the original range is mapped to the required range by mapping the original range. Optional selection of at least one changes in the running of the smooth coefficient with the maximum and maximum value of the orientation bias. The normalized VAD feature parameters are used to train machine learning algorithms to detect voice activities, and use the trained machine learning algorithm to isolate or enhance the audio data voice component.</v>
      </c>
      <c r="D3898" s="6" t="s">
        <v>10871</v>
      </c>
      <c r="E3898" s="4" t="str">
        <f ca="1">IFERROR(__xludf.DUMMYFUNCTION("GOOGLETRANSLATE(D3898,""auto"",""en"")"),"Use the native network voice activity detection of the radio range of running range")</f>
        <v>Use the native network voice activity detection of the radio range of running range</v>
      </c>
    </row>
    <row r="3899" spans="1:5" ht="15" x14ac:dyDescent="0.25">
      <c r="A3899" s="5" t="s">
        <v>10873</v>
      </c>
      <c r="B3899" s="6" t="s">
        <v>10874</v>
      </c>
      <c r="C3899" s="3" t="str">
        <f ca="1">IFERROR(__xludf.DUMMYFUNCTION("GOOGLETRANSLATE(B3899,""auto"",""en"")"),"The present invention disclosed a method that improves the accuracy of the recommendation system. First of all, three data sets are constructed, and then the data sets constructed are used to apply the Gaussian hybrid distribution model based on the Gauss"&amp;"ian mixed distribution. Without label data, obtaining each coach set, and the original labelless data of the coaches to be marked with the label data of other sub -concentrations, iterates to update the label of the original original original labelless da"&amp;"ta, and finally output the final recommendation results. This method enables the recommendation system to effectively confront the scoring noise, obtain good robustness, and improve the accuracy of recommendation. In addition, the problem of cold start ca"&amp;"n be effectively relieved.")</f>
        <v>The present invention disclosed a method that improves the accuracy of the recommendation system. First of all, three data sets are constructed, and then the data sets constructed are used to apply the Gaussian hybrid distribution model based on the Gaussian mixed distribution. Without label data, obtaining each coach set, and the original labelless data of the coaches to be marked with the label data of other sub -concentrations, iterates to update the label of the original original original labelless data, and finally output the final recommendation results. This method enables the recommendation system to effectively confront the scoring noise, obtain good robustness, and improve the accuracy of recommendation. In addition, the problem of cold start can be effectively relieved.</v>
      </c>
      <c r="D3899" s="6" t="s">
        <v>10875</v>
      </c>
      <c r="E3899" s="4" t="str">
        <f ca="1">IFERROR(__xludf.DUMMYFUNCTION("GOOGLETRANSLATE(D3899,""auto"",""en"")"),"A method to improve the accuracy of the recommendation system")</f>
        <v>A method to improve the accuracy of the recommendation system</v>
      </c>
    </row>
    <row r="3900" spans="1:5" ht="15" x14ac:dyDescent="0.25">
      <c r="A3900" s="5" t="s">
        <v>10876</v>
      </c>
      <c r="B3900" s="6" t="s">
        <v>10877</v>
      </c>
      <c r="C3900" s="3" t="str">
        <f ca="1">IFERROR(__xludf.DUMMYFUNCTION("GOOGLETRANSLATE(B3900,""auto"",""en"")"),"The present invention disclose a high -strength intelligent anti -theft door, including: door frame, door body, and door lock. It is characterized by: connecting fork around the door frame, and the door frame is fixed with the overall pouring of the wall "&amp;"through the connection fork; The door body described by thickened explosion -proof materials is made of overall suppression. There is a monitoring device and an automatic alarm system on the door body. The monitoring device and the automatic alarm system "&amp;"are connected to the client through the Internet of Things. The electronic door lock, the electronic door lock is opened by the IP based on the code. The present invention uses the door frame and the wall as a whole to fix the fixed forming. The structure"&amp;" of the IoT controls door locks is controlled by the Internet of Things, and the structure of automatic monitoring induction anti -theft door is realized. The Internet of Things in the smart home is united, which facilitates users' overall control over ho"&amp;"me furnishings, thereby improving the anti -theft function of the home.")</f>
        <v>The present invention disclose a high -strength intelligent anti -theft door, including: door frame, door body, and door lock. It is characterized by: connecting fork around the door frame, and the door frame is fixed with the overall pouring of the wall through the connection fork; The door body described by thickened explosion -proof materials is made of overall suppression. There is a monitoring device and an automatic alarm system on the door body. The monitoring device and the automatic alarm system are connected to the client through the Internet of Things. The electronic door lock, the electronic door lock is opened by the IP based on the code. The present invention uses the door frame and the wall as a whole to fix the fixed forming. The structure of the IoT controls door locks is controlled by the Internet of Things, and the structure of automatic monitoring induction anti -theft door is realized. The Internet of Things in the smart home is united, which facilitates users' overall control over home furnishings, thereby improving the anti -theft function of the home.</v>
      </c>
      <c r="D3900" s="6" t="s">
        <v>10878</v>
      </c>
      <c r="E3900" s="4" t="str">
        <f ca="1">IFERROR(__xludf.DUMMYFUNCTION("GOOGLETRANSLATE(D3900,""auto"",""en"")"),"High -intensity intelligent anti -theft door")</f>
        <v>High -intensity intelligent anti -theft door</v>
      </c>
    </row>
    <row r="3901" spans="1:5" ht="15" x14ac:dyDescent="0.25">
      <c r="A3901" s="5" t="s">
        <v>10879</v>
      </c>
      <c r="B3901" s="6" t="s">
        <v>10880</v>
      </c>
      <c r="C3901" s="3" t="str">
        <f ca="1">IFERROR(__xludf.DUMMYFUNCTION("GOOGLETRANSLATE(B3901,""auto"",""en"")"),"The present invention discloses a intelligent fat -reducing treadmill and its fitness guidance. Its characteristics include: body fat rate measurement module, motor heart rate measurement module, control processing module, human -machine interactive modul"&amp;"e, power module and treadmill subject. The present invention can provide compatible fat -reducing exercise solutions for different users, thereby achieving more humane and intelligent fitness purposes.")</f>
        <v>The present invention discloses a intelligent fat -reducing treadmill and its fitness guidance. Its characteristics include: body fat rate measurement module, motor heart rate measurement module, control processing module, human -machine interactive module, power module and treadmill subject. The present invention can provide compatible fat -reducing exercise solutions for different users, thereby achieving more humane and intelligent fitness purposes.</v>
      </c>
      <c r="D3901" s="6" t="s">
        <v>10881</v>
      </c>
      <c r="E3901" s="4" t="str">
        <f ca="1">IFERROR(__xludf.DUMMYFUNCTION("GOOGLETRANSLATE(D3901,""auto"",""en"")"),"A intelligent fat -reducing treadmill and its fitness guidance method")</f>
        <v>A intelligent fat -reducing treadmill and its fitness guidance method</v>
      </c>
    </row>
    <row r="3902" spans="1:5" ht="15" x14ac:dyDescent="0.25">
      <c r="A3902" s="5" t="s">
        <v>10882</v>
      </c>
      <c r="B3902" s="6" t="s">
        <v>10883</v>
      </c>
      <c r="C3902" s="3" t="str">
        <f ca="1">IFERROR(__xludf.DUMMYFUNCTION("GOOGLETRANSLATE(B3902,""auto"",""en"")"),"This utility model discloses an IoT monitoring and automatic control system based on the Internet of Things, including: carbon dioxide sensor, air temperature and humidity sensor, soil temperature and humidity sensor, light degree sensor, network module, "&amp;"human -machine interaction terminal, single -chip microcomputer IC1. This utility type collects data through various types of sensors, and connects the data output terminal through the signal processing module's signal amplifier, signal converter and sing"&amp;"le -chip microcomputer IC1, and then process and judge its data through a single -chip microcomputer IC1. The processing module is executed, and real -time related data is uploaded to the remote server through the network module. The specific operators ca"&amp;"n remotely participate in control and data record analysis through the human -machine interaction terminal. This utility model adopts the Internet of Things technology. Staff can be placed thousands of miles away to understand and control the agricultural"&amp;" site environment, which greatly reduces the labor intensity of staff, improves operational efficiency, improves user experience, and achieves accurate control of agricultural facilities for users. The standardized management of the production process pro"&amp;"vides a good way.")</f>
        <v>This utility model discloses an IoT monitoring and automatic control system based on the Internet of Things, including: carbon dioxide sensor, air temperature and humidity sensor, soil temperature and humidity sensor, light degree sensor, network module, human -machine interaction terminal, single -chip microcomputer IC1. This utility type collects data through various types of sensors, and connects the data output terminal through the signal processing module's signal amplifier, signal converter and single -chip microcomputer IC1, and then process and judge its data through a single -chip microcomputer IC1. The processing module is executed, and real -time related data is uploaded to the remote server through the network module. The specific operators can remotely participate in control and data record analysis through the human -machine interaction terminal. This utility model adopts the Internet of Things technology. Staff can be placed thousands of miles away to understand and control the agricultural site environment, which greatly reduces the labor intensity of staff, improves operational efficiency, improves user experience, and achieves accurate control of agricultural facilities for users. The standardized management of the production process provides a good way.</v>
      </c>
      <c r="D3902" s="6" t="s">
        <v>10884</v>
      </c>
      <c r="E3902" s="4" t="str">
        <f ca="1">IFERROR(__xludf.DUMMYFUNCTION("GOOGLETRANSLATE(D3902,""auto"",""en"")"),"Greenhouse monitoring and automatic control system based on the Internet of Things")</f>
        <v>Greenhouse monitoring and automatic control system based on the Internet of Things</v>
      </c>
    </row>
    <row r="3903" spans="1:5" ht="15" x14ac:dyDescent="0.25">
      <c r="A3903" s="5" t="s">
        <v>10885</v>
      </c>
      <c r="B3903" s="6" t="s">
        <v>10886</v>
      </c>
      <c r="C3903" s="3" t="str">
        <f ca="1">IFERROR(__xludf.DUMMYFUNCTION("GOOGLETRANSLATE(B3903,""auto"",""en"")"),"This utility model provides a stable Internet of Things electronic scale, including the base, the tray and control unit, which is installed on the upper end of the base of the tray. The control unit is installed inside the base, which includes the central"&amp;" control chip, miniature computing chip, storage, and Bluetooth information transmission module; compared with the existing technology, this utility model has the following useful effects: the weighing effect is good, the weight effect is good, and the we"&amp;"ight effect is good. Performance stable; by increasing the central control chip and Bluetooth information transmission module, the physical weight after fitness can be sent to software such as the circle of friends; when people use electronic scales and n"&amp;"eed a lot of data, they can directly calculate the calculation directly through calculation The display screen and the calculator control button are calculated. It is convenient to use, easy to operate, good stability, and high reliability.")</f>
        <v>This utility model provides a stable Internet of Things electronic scale, including the base, the tray and control unit, which is installed on the upper end of the base of the tray. The control unit is installed inside the base, which includes the central control chip, miniature computing chip, storage, and Bluetooth information transmission module; compared with the existing technology, this utility model has the following useful effects: the weighing effect is good, the weight effect is good, and the weight effect is good. Performance stable; by increasing the central control chip and Bluetooth information transmission module, the physical weight after fitness can be sent to software such as the circle of friends; when people use electronic scales and need a lot of data, they can directly calculate the calculation directly through calculation The display screen and the calculator control button are calculated. It is convenient to use, easy to operate, good stability, and high reliability.</v>
      </c>
      <c r="D3903" s="6" t="s">
        <v>10887</v>
      </c>
      <c r="E3903" s="4" t="str">
        <f ca="1">IFERROR(__xludf.DUMMYFUNCTION("GOOGLETRANSLATE(D3903,""auto"",""en"")"),"A stable performance of the Internet of Things electronic scale")</f>
        <v>A stable performance of the Internet of Things electronic scale</v>
      </c>
    </row>
    <row r="3904" spans="1:5" ht="15" x14ac:dyDescent="0.25">
      <c r="A3904" s="5" t="s">
        <v>10888</v>
      </c>
      <c r="B3904" s="6" t="s">
        <v>10889</v>
      </c>
      <c r="C3904" s="3" t="str">
        <f ca="1">IFERROR(__xludf.DUMMYFUNCTION("GOOGLETRANSLATE(B3904,""auto"",""en"")"),"This utility model provides a intelligent fitness mirror that involves the field of mirror, including the main body of the mirror. There are display screens, integrated motherboards, and somatosensory cameras on the main body of the mirror. Electric conne"&amp;"ction; the integrated motherboard has a data processing module, and the integrated motherboard has a standard image signal; the somatosensory camera is used to collect real -time image signals in the area, and the real -time image signal is sent to the da"&amp;"ta processing module; the data processing module is used to receive real -time images Signals; compare the real -time image signal and standard image signal, obtain the comparison results, and give voice or text prompts through the display screen. Effects"&amp;", fitness is no longer restricted by the venue. It enhances the fun of fitness through human -computer interaction and further improves the physical fitness of users.")</f>
        <v>This utility model provides a intelligent fitness mirror that involves the field of mirror, including the main body of the mirror. There are display screens, integrated motherboards, and somatosensory cameras on the main body of the mirror. Electric connection; the integrated motherboard has a data processing module, and the integrated motherboard has a standard image signal; the somatosensory camera is used to collect real -time image signals in the area, and the real -time image signal is sent to the data processing module; the data processing module is used to receive real -time images Signals; compare the real -time image signal and standard image signal, obtain the comparison results, and give voice or text prompts through the display screen. Effects, fitness is no longer restricted by the venue. It enhances the fun of fitness through human -computer interaction and further improves the physical fitness of users.</v>
      </c>
      <c r="D3904" s="6" t="s">
        <v>10890</v>
      </c>
      <c r="E3904" s="4" t="str">
        <f ca="1">IFERROR(__xludf.DUMMYFUNCTION("GOOGLETRANSLATE(D3904,""auto"",""en"")"),"Smart fitness mirror")</f>
        <v>Smart fitness mirror</v>
      </c>
    </row>
    <row r="3905" spans="1:5" ht="15" x14ac:dyDescent="0.25">
      <c r="A3905" s="5" t="s">
        <v>10891</v>
      </c>
      <c r="B3905" s="6" t="s">
        <v>10892</v>
      </c>
      <c r="C3905" s="3" t="str">
        <f ca="1">IFERROR(__xludf.DUMMYFUNCTION("GOOGLETRANSLATE(B3905,""auto"",""en"")"),"1. Design product name: IoT treadmill. 2. Design product use in this exterior: You can collect fitness equipment for runners' steps, speed, running time, running distance, calorie consumption and other fitness equipment in real time. 3. Design points for "&amp;"design: The shape of the Internet of Things treadmill. 4. Pictures or photos that can best show design: stereo. 5. omitting views, viewing views.")</f>
        <v>1. Design product name: IoT treadmill. 2. Design product use in this exterior: You can collect fitness equipment for runners' steps, speed, running time, running distance, calorie consumption and other fitness equipment in real time. 3. Design points for design: The shape of the Internet of Things treadmill. 4. Pictures or photos that can best show design: stereo. 5. omitting views, viewing views.</v>
      </c>
      <c r="D3905" s="6" t="s">
        <v>10893</v>
      </c>
      <c r="E3905" s="4" t="str">
        <f ca="1">IFERROR(__xludf.DUMMYFUNCTION("GOOGLETRANSLATE(D3905,""auto"",""en"")"),"IoT runner")</f>
        <v>IoT runner</v>
      </c>
    </row>
    <row r="3906" spans="1:5" ht="15" x14ac:dyDescent="0.25">
      <c r="A3906" s="5" t="s">
        <v>10894</v>
      </c>
      <c r="B3906" s="6" t="s">
        <v>10895</v>
      </c>
      <c r="C3906" s="3" t="str">
        <f ca="1">IFERROR(__xludf.DUMMYFUNCTION("GOOGLETRANSLATE(B3906,""auto"",""en"")"),"This utility model involves an intelligent networking treadmill, including the base. There is a motor cavity in the upper part of the base. There is a runway at the front of the motor cavity. There are some matrix high -speed high -definition image recogn"&amp;"ition devices on the left side of the side plate. There are baffles in the back end of the motor cavity. The upper part of the baffle is equipped with a device cavity. There are armrests on the left and right sides of the front end of the equipment cavity"&amp;". The type of touch display can be connected to the LCD tablet. The camera is set with the upper part of the touch display, and the WiFi module is set on the right side of the camera. There are start switches and fingerprint recognition on the left and ri"&amp;"ght sides of the lower part of the touch display. This utility model can effectively improve the effect of treadmill use, intelligently perceive the speed of runners, and facilitate the use of the treadmill for running training and multi -player online co"&amp;"mpetitions to facilitate intelligent control and improve the effect of use, and facilitate use according to needs.")</f>
        <v>This utility model involves an intelligent networking treadmill, including the base. There is a motor cavity in the upper part of the base. There is a runway at the front of the motor cavity. There are some matrix high -speed high -definition image recognition devices on the left side of the side plate. There are baffles in the back end of the motor cavity. The upper part of the baffle is equipped with a device cavity. There are armrests on the left and right sides of the front end of the equipment cavity. The type of touch display can be connected to the LCD tablet. The camera is set with the upper part of the touch display, and the WiFi module is set on the right side of the camera. There are start switches and fingerprint recognition on the left and right sides of the lower part of the touch display. This utility model can effectively improve the effect of treadmill use, intelligently perceive the speed of runners, and facilitate the use of the treadmill for running training and multi -player online competitions to facilitate intelligent control and improve the effect of use, and facilitate use according to needs.</v>
      </c>
      <c r="D3906" s="6" t="s">
        <v>10896</v>
      </c>
      <c r="E3906" s="4" t="str">
        <f ca="1">IFERROR(__xludf.DUMMYFUNCTION("GOOGLETRANSLATE(D3906,""auto"",""en"")"),"Intelligent networking treadmill")</f>
        <v>Intelligent networking treadmill</v>
      </c>
    </row>
    <row r="3907" spans="1:5" ht="15" x14ac:dyDescent="0.25">
      <c r="A3907" s="5" t="s">
        <v>10897</v>
      </c>
      <c r="B3907" s="6" t="s">
        <v>10898</v>
      </c>
      <c r="C3907" s="3" t="str">
        <f ca="1">IFERROR(__xludf.DUMMYFUNCTION("GOOGLETRANSLATE(B3907,""auto"",""en"")"),"The automatic voice recognition (ASR) system is adapted to the alien words by detecting multiple words and the same phonetic sequence and determining the context of the first matching discourse (that is, voice similar words with different meanings, such a"&amp;"s the censors and sensors). The knowledge map can indicate the distance between words and the shortest distance to choose. The context may be sports events, media elements or other TV or Internet content (Figure 1).")</f>
        <v>The automatic voice recognition (ASR) system is adapted to the alien words by detecting multiple words and the same phonetic sequence and determining the context of the first matching discourse (that is, voice similar words with different meanings, such as the censors and sensors). The knowledge map can indicate the distance between words and the shortest distance to choose. The context may be sports events, media elements or other TV or Internet content (Figure 1).</v>
      </c>
      <c r="D3907" s="6" t="s">
        <v>10899</v>
      </c>
      <c r="E3907" s="4" t="str">
        <f ca="1">IFERROR(__xludf.DUMMYFUNCTION("GOOGLETRANSLATE(D3907,""auto"",""en"")"),"Execute ASR systems and methods when the existence of the alien diagram")</f>
        <v>Execute ASR systems and methods when the existence of the alien diagram</v>
      </c>
    </row>
    <row r="3908" spans="1:5" ht="15" x14ac:dyDescent="0.25">
      <c r="A3908" s="5" t="s">
        <v>10900</v>
      </c>
      <c r="B3908" s="6" t="s">
        <v>10901</v>
      </c>
      <c r="C3908" s="3" t="str">
        <f ca="1">IFERROR(__xludf.DUMMYFUNCTION("GOOGLETRANSLATE(B3908,""auto"",""en"")"),"This utility model involves an IoT -based intelligent boatman, including the kayak machine (40), cloud server (10), intermediate router (20), smart mobile terminal (41), and controller (42), control The device (42) is connected to the kayak machine (40), "&amp;"the cloud server (10), the smart mobile terminal (41), and the controller (42) are connected to the middle router (20), respectively, and the controller (42) will pass the movement information. The intermediate router (20) is transmitted into the Internet"&amp;", and the information is transmitted to the intelligent mobile terminal (41). The intelligent mobile terminal (41) checks the user fitness situation, obtain the fitness solution and guidance through the cloud server (10). Compared with the existing techno"&amp;"logy, this utility model has the advantages of low software development costs, strong immersion, convenient use, entertainment and scientificity.")</f>
        <v>This utility model involves an IoT -based intelligent boatman, including the kayak machine (40), cloud server (10), intermediate router (20), smart mobile terminal (41), and controller (42), control The device (42) is connected to the kayak machine (40), the cloud server (10), the smart mobile terminal (41), and the controller (42) are connected to the middle router (20), respectively, and the controller (42) will pass the movement information. The intermediate router (20) is transmitted into the Internet, and the information is transmitted to the intelligent mobile terminal (41). The intelligent mobile terminal (41) checks the user fitness situation, obtain the fitness solution and guidance through the cloud server (10). Compared with the existing technology, this utility model has the advantages of low software development costs, strong immersion, convenient use, entertainment and scientificity.</v>
      </c>
      <c r="D3908" s="6" t="s">
        <v>10902</v>
      </c>
      <c r="E3908" s="4" t="str">
        <f ca="1">IFERROR(__xludf.DUMMYFUNCTION("GOOGLETRANSLATE(D3908,""auto"",""en"")"),"A intelligent kayak machine based on the Internet of Things")</f>
        <v>A intelligent kayak machine based on the Internet of Things</v>
      </c>
    </row>
    <row r="3909" spans="1:5" ht="15" x14ac:dyDescent="0.25">
      <c r="A3909" s="5" t="s">
        <v>10903</v>
      </c>
      <c r="B3909" s="6" t="s">
        <v>10904</v>
      </c>
      <c r="C3909" s="3" t="str">
        <f ca="1">IFERROR(__xludf.DUMMYFUNCTION("GOOGLETRANSLATE(B3909,""auto"",""en"")"),"One method includes information associated with the operation status of multiple devices. Each device includes: controller; controller accessable memory; coupling to the bus of the controller; the sensor circuit can operate coupled operatingly coupled To "&amp;"the bus, the sensor circuit generates measurement information representing environmental conditions. This method also includes at least part of the information generating prediction model based on this information; and at least partly exported code based "&amp;"on the predicted model, where each code corresponds to the individual operating status of the device detected. Generating prediction models include: training artificial neural networks; and/or prediction analysis, especially using machine learning and dat"&amp;"a mining.")</f>
        <v>One method includes information associated with the operation status of multiple devices. Each device includes: controller; controller accessable memory; coupling to the bus of the controller; the sensor circuit can operate coupled operatingly coupled To the bus, the sensor circuit generates measurement information representing environmental conditions. This method also includes at least part of the information generating prediction model based on this information; and at least partly exported code based on the predicted model, where each code corresponds to the individual operating status of the device detected. Generating prediction models include: training artificial neural networks; and/or prediction analysis, especially using machine learning and data mining.</v>
      </c>
      <c r="D3909" s="6" t="s">
        <v>10905</v>
      </c>
      <c r="E3909" s="4" t="str">
        <f ca="1">IFERROR(__xludf.DUMMYFUNCTION("GOOGLETRANSLATE(D3909,""auto"",""en"")"),"detector")</f>
        <v>detector</v>
      </c>
    </row>
    <row r="3910" spans="1:5" ht="15" x14ac:dyDescent="0.25">
      <c r="A3910" s="5" t="s">
        <v>10906</v>
      </c>
      <c r="B3910" s="6" t="s">
        <v>10907</v>
      </c>
      <c r="C3910" s="3" t="str">
        <f ca="1">IFERROR(__xludf.DUMMYFUNCTION("GOOGLETRANSLATE(B3910,""auto"",""en"")"),"This utility model involves a family fitness station based on the Internet of Things, including a demolition of installed stations. There is a self -power generation bicycle on the left position of the demolition of the installed station rack. There is a "&amp;"multimedia display with a foldable treadmill, which is equipped with a position of self -power generation bicycles and foldable treadmills; the front position of the demolition of the station frame is equipped with a load -bearing guide rod. The guide rod"&amp;" is connected with its sliding; the top position of the disassembly of the station frame is provided with a single bar, a sandbag suspension, a mobile gimbal and a camera. Dumbbell frame, below the dumbbell frame is equipped with a folding bench press mul"&amp;"ti -purpose stool; the other side of the disassembly of the standing stand is equipped with a height standard and adjustable height touches; There are steps and weight scales; the disassembly and loading station has a heavy block guide rod and a heavy blo"&amp;"ck and connected to the guidance pulley through the glue steel wire. There is an electric push rod connected to a heavy block. The useful new type of beneficial effect is: to implement the new national strategy; ""National Fitness"" provides a scientific,"&amp;" convenient, safe, and comprehensive fitness equipment, compared with other fitness exercises, family fitness stations have more comprehensive fitness effects in addition to more comprehensive fitness effects It has the effect of shaping the Chinese body "&amp;"from the beginning of the doll.")</f>
        <v>This utility model involves a family fitness station based on the Internet of Things, including a demolition of installed stations. There is a self -power generation bicycle on the left position of the demolition of the installed station rack. There is a multimedia display with a foldable treadmill, which is equipped with a position of self -power generation bicycles and foldable treadmills; the front position of the demolition of the station frame is equipped with a load -bearing guide rod. The guide rod is connected with its sliding; the top position of the disassembly of the station frame is provided with a single bar, a sandbag suspension, a mobile gimbal and a camera. Dumbbell frame, below the dumbbell frame is equipped with a folding bench press multi -purpose stool; the other side of the disassembly of the standing stand is equipped with a height standard and adjustable height touches; There are steps and weight scales; the disassembly and loading station has a heavy block guide rod and a heavy block and connected to the guidance pulley through the glue steel wire. There is an electric push rod connected to a heavy block. The useful new type of beneficial effect is: to implement the new national strategy; "National Fitness" provides a scientific, convenient, safe, and comprehensive fitness equipment, compared with other fitness exercises, family fitness stations have more comprehensive fitness effects in addition to more comprehensive fitness effects It has the effect of shaping the Chinese body from the beginning of the doll.</v>
      </c>
      <c r="D3910" s="6" t="s">
        <v>10908</v>
      </c>
      <c r="E3910" s="4" t="str">
        <f ca="1">IFERROR(__xludf.DUMMYFUNCTION("GOOGLETRANSLATE(D3910,""auto"",""en"")"),"Family fitness station based on the Internet of Things")</f>
        <v>Family fitness station based on the Internet of Things</v>
      </c>
    </row>
    <row r="3911" spans="1:5" ht="15" x14ac:dyDescent="0.25">
      <c r="A3911" s="5" t="s">
        <v>10909</v>
      </c>
      <c r="B3911" s="6" t="s">
        <v>10910</v>
      </c>
      <c r="C3911" s="3" t="str">
        <f ca="1">IFERROR(__xludf.DUMMYFUNCTION("GOOGLETRANSLATE(B3911,""auto"",""en"")"),"The present invention involves a family fitness station based on the Internet of Things, including demolition and installed stations. There is a self -power generation bicycle on the left position of the demolition of the installed station rack. There is "&amp;"a multimedia display screen with a foldable treadmill, which is equipped with a position of self -power generation bicycles and foldable treadmills; a load -bearing guide rod on the front position of the disassembly and loading station racks, 20 sets of l"&amp;"oaded push rods on a load -bearing shot. The pole is connected to its sliding; the top position of the disassembly of the station frame is provided with a single bar, a sandbag suspension, a mobile gimbal and a camera, and a double bar below the horizonta"&amp;"l bar. On the under the shelf, there is a folding bench press multi -purpose stool below the dumbbell frame; the other side of the disassembly of the standing stand is equipped with a height scale and adjustable height touches. The beneficial effect of th"&amp;"e present invention is to implement the new national strategy; ""National Fitness"" provides a scientific, convenient, safe, and comprehensive fitness equipment.")</f>
        <v>The present invention involves a family fitness station based on the Internet of Things, including demolition and installed stations. There is a self -power generation bicycle on the left position of the demolition of the installed station rack. There is a multimedia display screen with a foldable treadmill, which is equipped with a position of self -power generation bicycles and foldable treadmills; a load -bearing guide rod on the front position of the disassembly and loading station racks, 20 sets of loaded push rods on a load -bearing shot. The pole is connected to its sliding; the top position of the disassembly of the station frame is provided with a single bar, a sandbag suspension, a mobile gimbal and a camera, and a double bar below the horizontal bar. On the under the shelf, there is a folding bench press multi -purpose stool below the dumbbell frame; the other side of the disassembly of the standing stand is equipped with a height scale and adjustable height touches. The beneficial effect of the present invention is to implement the new national strategy; "National Fitness" provides a scientific, convenient, safe, and comprehensive fitness equipment.</v>
      </c>
      <c r="D3911" s="6" t="s">
        <v>10911</v>
      </c>
      <c r="E3911" s="4" t="str">
        <f ca="1">IFERROR(__xludf.DUMMYFUNCTION("GOOGLETRANSLATE(D3911,""auto"",""en"")"),"A family fitness station based on the Internet of Things")</f>
        <v>A family fitness station based on the Internet of Things</v>
      </c>
    </row>
    <row r="3912" spans="1:5" ht="15" x14ac:dyDescent="0.25">
      <c r="A3912" s="5" t="s">
        <v>10912</v>
      </c>
      <c r="B3912" s="6" t="s">
        <v>10913</v>
      </c>
      <c r="C3912" s="3" t="str">
        <f ca="1">IFERROR(__xludf.DUMMYFUNCTION("GOOGLETRANSLATE(B3912,""auto"",""en"")"),"The present invention involves a group of Wi‑Fi IoT equipment grouping collective control systems and methods based on MAC address, which forms several Wi‑Fi IoT devices to form several equipment groups through groups; each equipment group has a local uni"&amp;"que group. MAC address, uniquely identify the device group; multiple Wi‑Fi Internet of Things main control device; each main control device will be paired with the MAC address of a group MAC address of the device group as the target address to send inform"&amp;"ation, and the device group is to the device group. All the controlled devices in the middle are synchronous control or synchronous data transmission. The present invention can use the MAC address of the Wi‑Fi IoT device with similar functions to perform "&amp;"group operations with a group of MAC addresses, which can reduce the number of data packets, simplify the control process, and speed up the reaction speed of the controlled device.")</f>
        <v>The present invention involves a group of Wi‑Fi IoT equipment grouping collective control systems and methods based on MAC address, which forms several Wi‑Fi IoT devices to form several equipment groups through groups; each equipment group has a local unique group. MAC address, uniquely identify the device group; multiple Wi‑Fi Internet of Things main control device; each main control device will be paired with the MAC address of a group MAC address of the device group as the target address to send information, and the device group is to the device group. All the controlled devices in the middle are synchronous control or synchronous data transmission. The present invention can use the MAC address of the Wi‑Fi IoT device with similar functions to perform group operations with a group of MAC addresses, which can reduce the number of data packets, simplify the control process, and speed up the reaction speed of the controlled device.</v>
      </c>
      <c r="D3912" s="6" t="s">
        <v>10914</v>
      </c>
      <c r="E3912" s="4" t="str">
        <f ca="1">IFERROR(__xludf.DUMMYFUNCTION("GOOGLETRANSLATE(D3912,""auto"",""en"")"),"Multi-Wi-Fi IoT equipment grouping collective control system and method based on group MAC address")</f>
        <v>Multi-Wi-Fi IoT equipment grouping collective control system and method based on group MAC address</v>
      </c>
    </row>
    <row r="3913" spans="1:5" ht="15" x14ac:dyDescent="0.25">
      <c r="A3913" s="5" t="s">
        <v>10915</v>
      </c>
      <c r="B3913" s="6" t="s">
        <v>10916</v>
      </c>
      <c r="C3913" s="3" t="str">
        <f ca="1">IFERROR(__xludf.DUMMYFUNCTION("GOOGLETRANSLATE(B3913,""auto"",""en"")"),"The invention disclosed a robot movement control method. First use the Myo arm ring to detect the acceleration signal, attitude signal and muscle signal of the arm movement, transmit these signal data to the computer or smartphone or tablet through Blueto"&amp;"oth, and then use the program on the computer or smartphone or tablet. The data analysis and restore the gesture signal, and then control the motor or steering gear in the robot system through a single -chip microcomputer. The present invention uses biome"&amp;"dicarium to control gesture, human -computer interaction is friendly, and environmental noise is not easy to interfere with it. The processor requirements are also low. There is no need to install additional cameras. The cost is low and the recognition ra"&amp;"te is high. In addition, the use of SEMG has the advantages of non -invasiveness, non -invasive trauma, and simple operation. It has important practical value in clinical medicine, human -computer function, rehabilitation medicine, and physical education.")</f>
        <v>The invention disclosed a robot movement control method. First use the Myo arm ring to detect the acceleration signal, attitude signal and muscle signal of the arm movement, transmit these signal data to the computer or smartphone or tablet through Bluetooth, and then use the program on the computer or smartphone or tablet. The data analysis and restore the gesture signal, and then control the motor or steering gear in the robot system through a single -chip microcomputer. The present invention uses biomedicarium to control gesture, human -computer interaction is friendly, and environmental noise is not easy to interfere with it. The processor requirements are also low. There is no need to install additional cameras. The cost is low and the recognition rate is high. In addition, the use of SEMG has the advantages of non -invasiveness, non -invasive trauma, and simple operation. It has important practical value in clinical medicine, human -computer function, rehabilitation medicine, and physical education.</v>
      </c>
      <c r="D3913" s="6" t="s">
        <v>10917</v>
      </c>
      <c r="E3913" s="4" t="str">
        <f ca="1">IFERROR(__xludf.DUMMYFUNCTION("GOOGLETRANSLATE(D3913,""auto"",""en"")"),"A method of robot movement control method")</f>
        <v>A method of robot movement control method</v>
      </c>
    </row>
    <row r="3914" spans="1:5" ht="15" x14ac:dyDescent="0.25">
      <c r="A3914" s="5" t="s">
        <v>10918</v>
      </c>
      <c r="B3914" s="6" t="s">
        <v>10919</v>
      </c>
      <c r="C3914" s="3" t="str">
        <f ca="1">IFERROR(__xludf.DUMMYFUNCTION("GOOGLETRANSLATE(B3914,""auto"",""en"")"),"During the on -site competitive activities such as sports competitions or non -on -site media demonstrations, a enhanced user experience structure is provided through smooth, rich and personalized information flow. Users with users with an application com"&amp;"ponent can experience the content, activity, and automatic synchronization of the entity, activity and time in the live competition that are watching. This is achieved through different inputs and physical/activity/time combination application logic based"&amp;" on continuous recognition of natural language processing technology. Through the automatic recognition of on -site competitions, teams, stadiums, players, etc., and highly related content on the second user equipment, the media of the media on the event "&amp;"of the event on the first user device present Object that is interacting.")</f>
        <v>During the on -site competitive activities such as sports competitions or non -on -site media demonstrations, a enhanced user experience structure is provided through smooth, rich and personalized information flow. Users with users with an application component can experience the content, activity, and automatic synchronization of the entity, activity and time in the live competition that are watching. This is achieved through different inputs and physical/activity/time combination application logic based on continuous recognition of natural language processing technology. Through the automatic recognition of on -site competitions, teams, stadiums, players, etc., and highly related content on the second user equipment, the media of the media on the event of the event on the first user device present Object that is interacting.</v>
      </c>
      <c r="D3914" s="6" t="s">
        <v>10562</v>
      </c>
      <c r="E3914" s="4" t="str">
        <f ca="1">IFERROR(__xludf.DUMMYFUNCTION("GOOGLETRANSLATE(D3914,""auto"",""en"")"),"Enhanced experience of media demonstration activities")</f>
        <v>Enhanced experience of media demonstration activities</v>
      </c>
    </row>
    <row r="3915" spans="1:5" ht="15" x14ac:dyDescent="0.25">
      <c r="A3915" s="5" t="s">
        <v>10920</v>
      </c>
      <c r="B3915" s="6" t="s">
        <v>10921</v>
      </c>
      <c r="C3915" s="3" t="str">
        <f ca="1">IFERROR(__xludf.DUMMYFUNCTION("GOOGLETRANSLATE(B3915,""auto"",""en"")"),"Signals representing local events and/or status are captured on mobile devices, and are used by machine learning systems to identify user behavior patterns and forecast them to automatically start applications, start applications in -application activitie"&amp;"s, or perform other operations. Local signals can include location information such as geographical fence intersections; alarm settings; use network connections, such as Wi-Fi, Honeycomb and Bluetooth®; device status, such as battery power, charging statu"&amp;"s, and lock screen status; indicating that equipment users may be driving , Walking, running, or standing device movement; audio routing, such as headphones in use; remote test data from other devices; and application status, including startup and applica"&amp;"tion activities. Support the feedback cycle, where the machine learning system can use feedback from users as part of the learning process to adjust and adjust the prediction of the system to improve the correlation of forecasting.")</f>
        <v>Signals representing local events and/or status are captured on mobile devices, and are used by machine learning systems to identify user behavior patterns and forecast them to automatically start applications, start applications in -application activities, or perform other operations. Local signals can include location information such as geographical fence intersections; alarm settings; use network connections, such as Wi-Fi, Honeycomb and Bluetooth®; device status, such as battery power, charging status, and lock screen status; indicating that equipment users may be driving , Walking, running, or standing device movement; audio routing, such as headphones in use; remote test data from other devices; and application status, including startup and application activities. Support the feedback cycle, where the machine learning system can use feedback from users as part of the learning process to adjust and adjust the prediction of the system to improve the correlation of forecasting.</v>
      </c>
      <c r="D3915" s="6" t="s">
        <v>10922</v>
      </c>
      <c r="E3915" s="4" t="str">
        <f ca="1">IFERROR(__xludf.DUMMYFUNCTION("GOOGLETRANSLATE(D3915,""auto"",""en"")"),"Behavior recognition and automation of using mobile devices")</f>
        <v>Behavior recognition and automation of using mobile devices</v>
      </c>
    </row>
    <row r="3916" spans="1:5" ht="15" x14ac:dyDescent="0.25">
      <c r="A3916" s="5" t="s">
        <v>10923</v>
      </c>
      <c r="B3916" s="6" t="s">
        <v>10924</v>
      </c>
      <c r="C3916" s="3" t="str">
        <f ca="1">IFERROR(__xludf.DUMMYFUNCTION("GOOGLETRANSLATE(B3916,""auto"",""en"")"),"This utility model provides a football auxiliary training robot based on image recognition omnidirectional moving. It has the driver chassis and camera set. Step motor, the output shaft of the four -step motor is facing outward and each connects a double "&amp;"-row universal wheel; the camera includes at least four at least four of the interval between the top frame and the radiation -like interval between the top frame and the radiation -like interval. The camera, the top frame is fixed on the chain frame thro"&amp;"ugh the connecting rod; the four -step motor and the at least four cameras are connected to the same control chip.")</f>
        <v>This utility model provides a football auxiliary training robot based on image recognition omnidirectional moving. It has the driver chassis and camera set. Step motor, the output shaft of the four -step motor is facing outward and each connects a double -row universal wheel; the camera includes at least four at least four of the interval between the top frame and the radiation -like interval between the top frame and the radiation -like interval. The camera, the top frame is fixed on the chain frame through the connecting rod; the four -step motor and the at least four cameras are connected to the same control chip.</v>
      </c>
      <c r="D3916" s="6" t="s">
        <v>10925</v>
      </c>
      <c r="E3916" s="4" t="str">
        <f ca="1">IFERROR(__xludf.DUMMYFUNCTION("GOOGLETRANSLATE(D3916,""auto"",""en"")"),"Based on image recognition omnidirectional football basketball auxiliary training robots")</f>
        <v>Based on image recognition omnidirectional football basketball auxiliary training robots</v>
      </c>
    </row>
    <row r="3917" spans="1:5" ht="15" x14ac:dyDescent="0.25">
      <c r="A3917" s="5" t="s">
        <v>10926</v>
      </c>
      <c r="B3917" s="6" t="s">
        <v>10927</v>
      </c>
      <c r="C3917" s="3" t="str">
        <f ca="1">IFERROR(__xludf.DUMMYFUNCTION("GOOGLETRANSLATE(B3917,""auto"",""en"")"),"The present invention provides a foot basketball auxiliary training robot based on image recognition omnidirectional. There are four steps of driving chassis and camera group, including the chassis and the horizontally arranged intervals of radiation on t"&amp;"he chain to the bottom frame. Enter the motor, the output axis of the four -step motor facing outward and each connects a double -row universal wheel; the camera group includes the top frame and at least four cameras arranged by the radiation -like interv"&amp;"al on the top frame. The top frame is fixed on the chain frame through the connecting rod; the four -step motor and the at least four cameras are connected to the same control chip.")</f>
        <v>The present invention provides a foot basketball auxiliary training robot based on image recognition omnidirectional. There are four steps of driving chassis and camera group, including the chassis and the horizontally arranged intervals of radiation on the chain to the bottom frame. Enter the motor, the output axis of the four -step motor facing outward and each connects a double -row universal wheel; the camera group includes the top frame and at least four cameras arranged by the radiation -like interval on the top frame. The top frame is fixed on the chain frame through the connecting rod; the four -step motor and the at least four cameras are connected to the same control chip.</v>
      </c>
      <c r="D3917" s="6" t="s">
        <v>10925</v>
      </c>
      <c r="E3917" s="4" t="str">
        <f ca="1">IFERROR(__xludf.DUMMYFUNCTION("GOOGLETRANSLATE(D3917,""auto"",""en"")"),"Based on image recognition omnidirectional football basketball auxiliary training robots")</f>
        <v>Based on image recognition omnidirectional football basketball auxiliary training robots</v>
      </c>
    </row>
    <row r="3918" spans="1:5" ht="15" x14ac:dyDescent="0.25">
      <c r="A3918" s="5" t="s">
        <v>10928</v>
      </c>
      <c r="B3918" s="6" t="s">
        <v>10929</v>
      </c>
      <c r="C3918" s="3" t="str">
        <f ca="1">IFERROR(__xludf.DUMMYFUNCTION("GOOGLETRANSLATE(B3918,""auto"",""en"")"),"This utility model opens a high -intensity intelligent anti -theft door, including: door frame, door body, and door lock. It is characterized by: connecting forks around the door frame, and the door frame is fixed with the overall pouring of the wall thro"&amp;"ugh the connection fork; The door body is compressed by thickened explosion -proof materials. It has a monitoring device and an automatic alarm system on the door body. The monitoring device and the automatic alarm system are connected to the client throu"&amp;"gh the Internet of Things. For the electronic door lock, the electronic door lock is authorized by IP based on the code. This utility model adopts a fixed forming of the door frame and the wall as a whole. The structure of the IoT controls door locks is c"&amp;"ontrolled by the Internet of Things, and the structure of automatic monitoring induction anti -theft door is achieved. Combined with the Internet of Things in the smart home, which is convenient for users to control the overall gymnastics of the home, the"&amp;"reby improving the anti -theft function of the home.")</f>
        <v>This utility model opens a high -intensity intelligent anti -theft door, including: door frame, door body, and door lock. It is characterized by: connecting forks around the door frame, and the door frame is fixed with the overall pouring of the wall through the connection fork; The door body is compressed by thickened explosion -proof materials. It has a monitoring device and an automatic alarm system on the door body. The monitoring device and the automatic alarm system are connected to the client through the Internet of Things. For the electronic door lock, the electronic door lock is authorized by IP based on the code. This utility model adopts a fixed forming of the door frame and the wall as a whole. The structure of the IoT controls door locks is controlled by the Internet of Things, and the structure of automatic monitoring induction anti -theft door is achieved. Combined with the Internet of Things in the smart home, which is convenient for users to control the overall gymnastics of the home, thereby improving the anti -theft function of the home.</v>
      </c>
      <c r="D3918" s="6" t="s">
        <v>10878</v>
      </c>
      <c r="E3918" s="4" t="str">
        <f ca="1">IFERROR(__xludf.DUMMYFUNCTION("GOOGLETRANSLATE(D3918,""auto"",""en"")"),"High -intensity intelligent anti -theft door")</f>
        <v>High -intensity intelligent anti -theft door</v>
      </c>
    </row>
    <row r="3919" spans="1:5" ht="15" x14ac:dyDescent="0.25">
      <c r="A3919" s="5" t="s">
        <v>10930</v>
      </c>
      <c r="B3919" s="6" t="s">
        <v>10931</v>
      </c>
      <c r="C3919" s="3" t="str">
        <f ca="1">IFERROR(__xludf.DUMMYFUNCTION("GOOGLETRANSLATE(B3919,""auto"",""en"")"),"1. The name of the product in this exterior: the display device with a graphical user interface. 2. The purpose of designing products in this exterior: The design of the product in this exterior is used for action imitation learning. 3. The design of the "&amp;"design of the product in this exterior: lies in the graphic user interface content in the screen. 4. The most important picture or photo of the design design of this appearance: main view. 5. Small viewing view: posterior view, overwhelming view, and retr"&amp;"y view are very visible parts. 6. By displaying the display of the display device, showing the action teaching video (such as fitness and gymnastics, square dance, inter -work, dance) and camera real -time video recording learners imitate learning videos,"&amp;" so that learners can compare the action video of action teaching videos Make real -time imitation learning and correcting error movements. After the interface of the main view of the interface, the interface state changes are displayed after the human -c"&amp;"omputer interaction. For details of the interface state change diagram, see the interface changes. Refer to Figure 1 and the interface change status reference Figure 2.")</f>
        <v>1. The name of the product in this exterior: the display device with a graphical user interface. 2. The purpose of designing products in this exterior: The design of the product in this exterior is used for action imitation learning. 3. The design of the design of the product in this exterior: lies in the graphic user interface content in the screen. 4. The most important picture or photo of the design design of this appearance: main view. 5. Small viewing view: posterior view, overwhelming view, and retry view are very visible parts. 6. By displaying the display of the display device, showing the action teaching video (such as fitness and gymnastics, square dance, inter -work, dance) and camera real -time video recording learners imitate learning videos, so that learners can compare the action video of action teaching videos Make real -time imitation learning and correcting error movements. After the interface of the main view of the interface, the interface state changes are displayed after the human -computer interaction. For details of the interface state change diagram, see the interface changes. Refer to Figure 1 and the interface change status reference Figure 2.</v>
      </c>
      <c r="D3919" s="6" t="s">
        <v>10932</v>
      </c>
      <c r="E3919" s="4" t="str">
        <f ca="1">IFERROR(__xludf.DUMMYFUNCTION("GOOGLETRANSLATE(D3919,""auto"",""en"")"),"Display device with graphical user interface")</f>
        <v>Display device with graphical user interface</v>
      </c>
    </row>
    <row r="3920" spans="1:5" ht="15" x14ac:dyDescent="0.25">
      <c r="A3920" s="5" t="s">
        <v>10933</v>
      </c>
      <c r="B3920" s="6" t="s">
        <v>10934</v>
      </c>
      <c r="C3920" s="3" t="str">
        <f ca="1">IFERROR(__xludf.DUMMYFUNCTION("GOOGLETRANSLATE(B3920,""auto"",""en"")"),"The present invention is a kind of pigeon -based smart reporting system and method based on the mobile Internet of Things. It is a variety of functional instructions and controlling in a combination of pigeons. Instrument -User terminal -The mobile Intern"&amp;"et of Things self -organized integrated platform between the user terminal -center terminals, autonomous interconnection, and coordinated perception. The invention is uploaded, downloaded, downloaded, pigeons registration, electronic ring number confirmat"&amp;"ion verification and rewriting, and generating competition dynamic ID numbers, data information uploading, downloading, pigeons returned to the nest to report to the nests , Calculation, ranking, statistics, real -time release and SMS notification as the "&amp;"main line. After reading the pigeon collector at the pigeon collection of the atomic electronic label worn by the pigeons, automatically rewritten, generate a new game dynamic ID number and upload it Go to the central data interactive platform and central"&amp;" terminal system database to prevent cheating by copying electronic labels.")</f>
        <v>The present invention is a kind of pigeon -based smart reporting system and method based on the mobile Internet of Things. It is a variety of functional instructions and controlling in a combination of pigeons. Instrument -User terminal -The mobile Internet of Things self -organized integrated platform between the user terminal -center terminals, autonomous interconnection, and coordinated perception. The invention is uploaded, downloaded, downloaded, pigeons registration, electronic ring number confirmation verification and rewriting, and generating competition dynamic ID numbers, data information uploading, downloading, pigeons returned to the nest to report to the nests , Calculation, ranking, statistics, real -time release and SMS notification as the main line. After reading the pigeon collector at the pigeon collection of the atomic electronic label worn by the pigeons, automatically rewritten, generate a new game dynamic ID number and upload it Go to the central data interactive platform and central terminal system database to prevent cheating by copying electronic labels.</v>
      </c>
      <c r="D3920" s="6" t="s">
        <v>10935</v>
      </c>
      <c r="E3920" s="4" t="str">
        <f ca="1">IFERROR(__xludf.DUMMYFUNCTION("GOOGLETRANSLATE(D3920,""auto"",""en"")"),"Pigeon Smart Reporting System and Methods based on the mobile Internet of Things")</f>
        <v>Pigeon Smart Reporting System and Methods based on the mobile Internet of Things</v>
      </c>
    </row>
    <row r="3921" spans="1:5" ht="15" x14ac:dyDescent="0.25">
      <c r="A3921" s="5" t="s">
        <v>10936</v>
      </c>
      <c r="B3921" s="6" t="s">
        <v>10937</v>
      </c>
      <c r="C3921" s="3" t="str">
        <f ca="1">IFERROR(__xludf.DUMMYFUNCTION("GOOGLETRANSLATE(B3921,""auto"",""en"")"),"According to the embodiment of the present invention, the display unit of the embodiment of the present invention obtains the display unit, at least one flight unit connected to the display unit, and the location information receiver equipment and user in"&amp;"formation automatic control display of the information receiving device and user information of the information about the current location of the display. The sensor unit for equipment flight, automatically control the flight control unit of the equipment"&amp;" flight, obtain the posture information acquisition unit of the posture of the device, the main controller controls the overall operation of each component, and the posture compensation unit of the display of the display device or the display unit angle a"&amp;"ngle , The vibration system unit and the display device include identifying the user's voice and providing a voice recognition unit main control unit for receiving information, receiving the input information and providing the information to the communica"&amp;"tion module of the main control unit, and the information entered to the communication module. The joint institutions of the flight unit, the connection display unit, the connection unit and the connection unit of the display unit and the display device.")</f>
        <v>According to the embodiment of the present invention, the display unit of the embodiment of the present invention obtains the display unit, at least one flight unit connected to the display unit, and the location information receiver equipment and user information automatic control display of the information receiving device and user information of the information about the current location of the display. The sensor unit for equipment flight, automatically control the flight control unit of the equipment flight, obtain the posture information acquisition unit of the posture of the device, the main controller controls the overall operation of each component, and the posture compensation unit of the display of the display device or the display unit angle angle , The vibration system unit and the display device include identifying the user's voice and providing a voice recognition unit main control unit for receiving information, receiving the input information and providing the information to the communication module of the main control unit, and the information entered to the communication module. The joint institutions of the flight unit, the connection display unit, the connection unit and the connection unit of the display unit and the display device.</v>
      </c>
      <c r="D3921" s="6" t="s">
        <v>10938</v>
      </c>
      <c r="E3921" s="4" t="str">
        <f ca="1">IFERROR(__xludf.DUMMYFUNCTION("GOOGLETRANSLATE(D3921,""auto"",""en"")"),"Flight indicator")</f>
        <v>Flight indicator</v>
      </c>
    </row>
    <row r="3922" spans="1:5" ht="15" x14ac:dyDescent="0.25">
      <c r="A3922" s="5" t="s">
        <v>10939</v>
      </c>
      <c r="B3922" s="6" t="s">
        <v>10940</v>
      </c>
      <c r="C3922" s="3" t="str">
        <f ca="1">IFERROR(__xludf.DUMMYFUNCTION("GOOGLETRANSLATE(B3922,""auto"",""en"")"),"The present invention proposes a method of self -selling service robots based on semantic understanding and answering programming. It mainly includes, first, machine -learning -based GROUNDING technology. The grouping problem simply summarizes how the rob"&amp;"ot corresponds to the real environment of the user's language in academic words. The specific method is divided into three steps: the first step is the semantic analysis of the language, and the technical point is the combination of digital linear models "&amp;"and PCCG. The second step is the acquisition of the environment, and the main point of technology is the calculation of the LineMod object recognition and space. The third step is to combine the results of these first two steps with LAMBDA rules to calcul"&amp;"ate the products referred to the end user language. Second, the planning task planning. Most of the previous planning technologies used the linguistic knowledge base for language processing, so that when the setting of different environmental settings, th"&amp;"e ability to weaken planning will be weakened. Therefore, this part of the technical solution will be introduced to the environmental state in the grouping results, and at the same time, the ASP reasoning mechanism is used to calculate the action series.")</f>
        <v>The present invention proposes a method of self -selling service robots based on semantic understanding and answering programming. It mainly includes, first, machine -learning -based GROUNDING technology. The grouping problem simply summarizes how the robot corresponds to the real environment of the user's language in academic words. The specific method is divided into three steps: the first step is the semantic analysis of the language, and the technical point is the combination of digital linear models and PCCG. The second step is the acquisition of the environment, and the main point of technology is the calculation of the LineMod object recognition and space. The third step is to combine the results of these first two steps with LAMBDA rules to calculate the products referred to the end user language. Second, the planning task planning. Most of the previous planning technologies used the linguistic knowledge base for language processing, so that when the setting of different environmental settings, the ability to weaken planning will be weakened. Therefore, this part of the technical solution will be introduced to the environmental state in the grouping results, and at the same time, the ASP reasoning mechanism is used to calculate the action series.</v>
      </c>
      <c r="D3922" s="6" t="s">
        <v>10941</v>
      </c>
      <c r="E3922" s="4" t="str">
        <f ca="1">IFERROR(__xludf.DUMMYFUNCTION("GOOGLETRANSLATE(D3922,""auto"",""en"")"),"Service Robot Autonomous Sales method based on semantic understanding and answering programming")</f>
        <v>Service Robot Autonomous Sales method based on semantic understanding and answering programming</v>
      </c>
    </row>
    <row r="3923" spans="1:5" ht="15" x14ac:dyDescent="0.25">
      <c r="A3923" s="5" t="s">
        <v>10942</v>
      </c>
      <c r="B3923" s="6" t="s">
        <v>10943</v>
      </c>
      <c r="C3923" s="3" t="str">
        <f ca="1">IFERROR(__xludf.DUMMYFUNCTION("GOOGLETRANSLATE(B3923,""auto"",""en"")"),"The present invention provides a karaoke system, etc. When they enjoy the karaoke singing in the form of a game, multiple users allow multiple users to competitions fairly based on the scoring results of singing results.
  The Kara OK system 10 has the "&amp;"configuration of songs with a unified singing level by using the scoring results of each user during the Karao OK competition and the past scoring history of the selected song. In particular, when the karaoke mode starts, the first song of the karaoke sys"&amp;"tem 10 first recognizes the first song, and in each order, the scoring results of all users who use the reference songs that recommend song extraction process will average results on average Essence While modifying the score, it has the configuration of s"&amp;"ongs recommended for each user during the combat mode of Karao OK battle based on the first song.
  【Selection Figure】 Figure 1")</f>
        <v>The present invention provides a karaoke system, etc. When they enjoy the karaoke singing in the form of a game, multiple users allow multiple users to competitions fairly based on the scoring results of singing results.
  The Kara OK system 10 has the configuration of songs with a unified singing level by using the scoring results of each user during the Karao OK competition and the past scoring history of the selected song. In particular, when the karaoke mode starts, the first song of the karaoke system 10 first recognizes the first song, and in each order, the scoring results of all users who use the reference songs that recommend song extraction process will average results on average Essence While modifying the score, it has the configuration of songs recommended for each user during the combat mode of Karao OK battle based on the first song.
  【Selection Figure】 Figure 1</v>
      </c>
      <c r="D3923" s="6" t="s">
        <v>10944</v>
      </c>
      <c r="E3923" s="4" t="str">
        <f ca="1">IFERROR(__xludf.DUMMYFUNCTION("GOOGLETRANSLATE(D3923,""auto"",""en"")"),"Music recommendation system and program")</f>
        <v>Music recommendation system and program</v>
      </c>
    </row>
    <row r="3924" spans="1:5" ht="15" x14ac:dyDescent="0.25">
      <c r="A3924" s="5" t="s">
        <v>10945</v>
      </c>
      <c r="B3924" s="6" t="s">
        <v>10682</v>
      </c>
      <c r="C3924" s="3" t="str">
        <f ca="1">IFERROR(__xludf.DUMMYFUNCTION("GOOGLETRANSLATE(B3924,""auto"",""en"")"),"Provides a solution for real -time detection of video in sports videos at the mobile computing device. The highlight detection module of the mobile computing device uses the training feature model of the training to extract visual characteristics from eac"&amp;"h video frame of sports video, and use the trained detection model to detect the highlights of the video frame based on the visual characteristics of the extracted video frame. Feature models and detection models are trained using convolutional neural net"&amp;"works on large video corpus libraries to generate category levels and form -paired frame feature vectors. Based on this detection, the highlight detection module generates a highlight score for each video frame of sports videos, and presents the highlight"&amp;" score to users of the computing device. The real -time high -gloss detection data of the feature model and detection model based on mobile computing devices is dynamically updated.")</f>
        <v>Provides a solution for real -time detection of video in sports videos at the mobile computing device. The highlight detection module of the mobile computing device uses the training feature model of the training to extract visual characteristics from each video frame of sports video, and use the trained detection model to detect the highlights of the video frame based on the visual characteristics of the extracted video frame. Feature models and detection models are trained using convolutional neural networks on large video corpus libraries to generate category levels and form -paired frame feature vectors. Based on this detection, the highlight detection module generates a highlight score for each video frame of sports videos, and presents the highlight score to users of the computing device. The real -time high -gloss detection data of the feature model and detection model based on mobile computing devices is dynamically updated.</v>
      </c>
      <c r="D3924" s="6" t="s">
        <v>10683</v>
      </c>
      <c r="E3924" s="4" t="str">
        <f ca="1">IFERROR(__xludf.DUMMYFUNCTION("GOOGLETRANSLATE(D3924,""auto"",""en"")"),"Movement video collection of mobile computing devices")</f>
        <v>Movement video collection of mobile computing devices</v>
      </c>
    </row>
    <row r="3925" spans="1:5" ht="15" x14ac:dyDescent="0.25">
      <c r="A3925" s="5" t="s">
        <v>10946</v>
      </c>
      <c r="B3925" s="6" t="s">
        <v>10947</v>
      </c>
      <c r="C3925" s="3" t="str">
        <f ca="1">IFERROR(__xludf.DUMMYFUNCTION("GOOGLETRANSLATE(B3925,""auto"",""en"")"),"The present invention disclosed a method of indoor human behavior recognition method, which includes the following steps: to obtain the three -dimensional skeleton information of the human body based on the Kinect device; extract the three -dimensional sk"&amp;"eleton characteristics of each video; train the characteristics of the three -dimensional skeleton to describe the characteristics, where the training is trained. The steps are to learn the features online dictionary first, and then analyze the sparse mai"&amp;"n component. Finally, the multi -task large boundary neighboring algorithm and linear support vector machine are classified for training features; the three -dimensional skeleton characteristics of the test video are extracted; Recently, the neighboring a"&amp;"lgorithm and linear support vector machine are classified to obtain feature descriptions, and the training feature collection and testing features are made to make the best judgment. The invention has extensive application prospects in smart video monitor"&amp;"ing, patient monitoring systems, human -computer interaction, virtual reality, smart home, smart security and athlete assistance training, strong feasibility and socioeconomic benefits.")</f>
        <v>The present invention disclosed a method of indoor human behavior recognition method, which includes the following steps: to obtain the three -dimensional skeleton information of the human body based on the Kinect device; extract the three -dimensional skeleton characteristics of each video; train the characteristics of the three -dimensional skeleton to describe the characteristics, where the training is trained. The steps are to learn the features online dictionary first, and then analyze the sparse main component. Finally, the multi -task large boundary neighboring algorithm and linear support vector machine are classified for training features; the three -dimensional skeleton characteristics of the test video are extracted; Recently, the neighboring algorithm and linear support vector machine are classified to obtain feature descriptions, and the training feature collection and testing features are made to make the best judgment. The invention has extensive application prospects in smart video monitoring, patient monitoring systems, human -computer interaction, virtual reality, smart home, smart security and athlete assistance training, strong feasibility and socioeconomic benefits.</v>
      </c>
      <c r="D3925" s="6" t="s">
        <v>10948</v>
      </c>
      <c r="E3925" s="4" t="str">
        <f ca="1">IFERROR(__xludf.DUMMYFUNCTION("GOOGLETRANSLATE(D3925,""auto"",""en"")"),"An indoor human behavior recognition method")</f>
        <v>An indoor human behavior recognition method</v>
      </c>
    </row>
    <row r="3926" spans="1:5" ht="15" x14ac:dyDescent="0.25">
      <c r="A3926" s="5" t="s">
        <v>10949</v>
      </c>
      <c r="B3926" s="6" t="s">
        <v>10950</v>
      </c>
      <c r="C3926" s="3" t="str">
        <f ca="1">IFERROR(__xludf.DUMMYFUNCTION("GOOGLETRANSLATE(B3926,""auto"",""en"")"),"The invention uses a fuzzy support vector machine to achieve various behaviors (including normal behaviors, such as standing, walking, running, up and down stairs, and abnormal behavior, such as falling), which is mainly used to eliminate the isolation po"&amp;"ints and noise in the sample points. The impact of points on the classification effect improves the accuracy of behavior recognition. The main contents of the realization of behavior recognition are: First, the three -axis acceleration meter is used to ac"&amp;"hieve the collection of behavior data. Use synthetic acceleration to extract feature values, and extract the average value of the synthetic acceleration, the difference, energy, and arbitrary coefficient between the two dimensions in 3D data, and obtain a"&amp;" six -dimensional feature vector. Second, calculate the affiliation of each sample point to the category. Third, the structure of the classification model is used to use fuzzy support vector machines. Fourth, the online stage realizes the recognition of h"&amp;"uman behavior.")</f>
        <v>The invention uses a fuzzy support vector machine to achieve various behaviors (including normal behaviors, such as standing, walking, running, up and down stairs, and abnormal behavior, such as falling), which is mainly used to eliminate the isolation points and noise in the sample points. The impact of points on the classification effect improves the accuracy of behavior recognition. The main contents of the realization of behavior recognition are: First, the three -axis acceleration meter is used to achieve the collection of behavior data. Use synthetic acceleration to extract feature values, and extract the average value of the synthetic acceleration, the difference, energy, and arbitrary coefficient between the two dimensions in 3D data, and obtain a six -dimensional feature vector. Second, calculate the affiliation of each sample point to the category. Third, the structure of the classification model is used to use fuzzy support vector machines. Fourth, the online stage realizes the recognition of human behavior.</v>
      </c>
      <c r="D3926" s="6" t="s">
        <v>10951</v>
      </c>
      <c r="E3926" s="4" t="str">
        <f ca="1">IFERROR(__xludf.DUMMYFUNCTION("GOOGLETRANSLATE(D3926,""auto"",""en"")"),"A behavioral recognition method based on fuzzy support vector machine")</f>
        <v>A behavioral recognition method based on fuzzy support vector machine</v>
      </c>
    </row>
    <row r="3927" spans="1:5" ht="15" x14ac:dyDescent="0.25">
      <c r="A3927" s="5" t="s">
        <v>10952</v>
      </c>
      <c r="B3927" s="6" t="s">
        <v>10953</v>
      </c>
      <c r="C3927" s="3" t="str">
        <f ca="1">IFERROR(__xludf.DUMMYFUNCTION("GOOGLETRANSLATE(B3927,""auto"",""en"")"),"This utility model opens up a fitness data supervision system based on the Internet of Things and cloud computing. It is composed of the fitness data supervision center and multiple fitness monitors. Composition with server and fitness databases, the fitn"&amp;"ess monitors include wireless communication modules, motion status monitors, energy consumption monitors, fitness guides, card readers, motion equipment regulators and microprocessors. This utility model has the characteristics of simple structure, intell"&amp;"igence, digitalization, humanization, security and reliability, etc., and can realize the movement status and energy consumption of the athletes in real time. Calculate and deal with it, so as to put forward each fitness person, with targeted, personalize"&amp;"d and scientific fitness guidance.")</f>
        <v>This utility model opens up a fitness data supervision system based on the Internet of Things and cloud computing. It is composed of the fitness data supervision center and multiple fitness monitors. Composition with server and fitness databases, the fitness monitors include wireless communication modules, motion status monitors, energy consumption monitors, fitness guides, card readers, motion equipment regulators and microprocessors. This utility model has the characteristics of simple structure, intelligence, digitalization, humanization, security and reliability, etc., and can realize the movement status and energy consumption of the athletes in real time. Calculate and deal with it, so as to put forward each fitness person, with targeted, personalized and scientific fitness guidance.</v>
      </c>
      <c r="D3927" s="6" t="s">
        <v>9539</v>
      </c>
      <c r="E3927" s="4" t="str">
        <f ca="1">IFERROR(__xludf.DUMMYFUNCTION("GOOGLETRANSLATE(D3927,""auto"",""en"")"),"Fitness data supervision system based on the Internet of Things and cloud computing")</f>
        <v>Fitness data supervision system based on the Internet of Things and cloud computing</v>
      </c>
    </row>
    <row r="3928" spans="1:5" ht="15" x14ac:dyDescent="0.25">
      <c r="A3928" s="5" t="s">
        <v>10954</v>
      </c>
      <c r="B3928" s="6" t="s">
        <v>10955</v>
      </c>
      <c r="C3928" s="3" t="str">
        <f ca="1">IFERROR(__xludf.DUMMYFUNCTION("GOOGLETRANSLATE(B3928,""auto"",""en"")"),"This utility model discloses an electric shake bleaching fitness based on the intelligent control and monitoring of the Internet of Things, including electric shake swinging fitness with a swing vibration system to provide sports data, fitness device inte"&amp;"lligent device monitoring sports data, cloud server analysis and calculation data, mobile phones, mobile phones, mobile phones, mobile phones The APP shows the sports effect and remote wireless control switch in real time. The structure of the IoT intelli"&amp;"gent device of the fitness utensils is to supply power from the municipal power supply and collect the motion data through the electronic gyroscope module. Send from the WiFi module to the cloud server; the fitness device cloud server has a self -edited c"&amp;"loud computing program, calculates the fitness indicators, is displayed on the mobile phone APP of the two systems of Android or Apple, and the remote control is turned on and turned off; Swing up fitness device sports data intelligent monitoring and coll"&amp;"ection, scientific evaluation of fitness effects, and transmitting the function of wireless control opening and shutdown on the mobile APP in real time.")</f>
        <v>This utility model discloses an electric shake bleaching fitness based on the intelligent control and monitoring of the Internet of Things, including electric shake swinging fitness with a swing vibration system to provide sports data, fitness device intelligent device monitoring sports data, cloud server analysis and calculation data, mobile phones, mobile phones, mobile phones, mobile phones The APP shows the sports effect and remote wireless control switch in real time. The structure of the IoT intelligent device of the fitness utensils is to supply power from the municipal power supply and collect the motion data through the electronic gyroscope module. Send from the WiFi module to the cloud server; the fitness device cloud server has a self -edited cloud computing program, calculates the fitness indicators, is displayed on the mobile phone APP of the two systems of Android or Apple, and the remote control is turned on and turned off; Swing up fitness device sports data intelligent monitoring and collection, scientific evaluation of fitness effects, and transmitting the function of wireless control opening and shutdown on the mobile APP in real time.</v>
      </c>
      <c r="D3928" s="6" t="s">
        <v>10956</v>
      </c>
      <c r="E3928" s="4" t="str">
        <f ca="1">IFERROR(__xludf.DUMMYFUNCTION("GOOGLETRANSLATE(D3928,""auto"",""en"")"),"An electric shake bleaching fitness device based on intelligent control and monitoring of the Internet of Things")</f>
        <v>An electric shake bleaching fitness device based on intelligent control and monitoring of the Internet of Things</v>
      </c>
    </row>
    <row r="3929" spans="1:5" ht="15" x14ac:dyDescent="0.25">
      <c r="A3929" s="5" t="s">
        <v>10957</v>
      </c>
      <c r="B3929" s="6" t="s">
        <v>10958</v>
      </c>
      <c r="C3929" s="3" t="str">
        <f ca="1">IFERROR(__xludf.DUMMYFUNCTION("GOOGLETRANSLATE(B3929,""auto"",""en"")"),"The present invention disclosed an electric shake bleaching fitness based on the intelligent control and monitoring of the Internet of Things, including electric shake swinging fitness with a swing vibration system to provide sports data, fitness device i"&amp;"ntelligent device monitoring sports data, cloud server analysis and calculation data, mobile phone APP, mobile phone APP, mobile phone APP Real -time showing the motion effects and remote wireless control switching. The structure of the IoT intelligent de"&amp;"vice of the fitness utensils is to supply power from the municipal power supply and collect the motion data through the electronic gyroscope module. WiFi module is sent to the cloud server; the fitness device cloud server has a self -edited cloud computin"&amp;"g program in the cloud server to calculate various sports and fitness indicators, displayed on the mobile apps of the two systems of Android or Apple, and remotely control the switch; The invention realizes the intelligent monitoring and collection of the"&amp;" motion data of the electrometer, scientific evaluation of fitness effects, and transmitting the function of wireless control opening and shutdown on the user's mobile phone APP.")</f>
        <v>The present invention disclosed an electric shake bleaching fitness based on the intelligent control and monitoring of the Internet of Things, including electric shake swinging fitness with a swing vibration system to provide sports data, fitness device intelligent device monitoring sports data, cloud server analysis and calculation data, mobile phone APP, mobile phone APP, mobile phone APP Real -time showing the motion effects and remote wireless control switching. The structure of the IoT intelligent device of the fitness utensils is to supply power from the municipal power supply and collect the motion data through the electronic gyroscope module. WiFi module is sent to the cloud server; the fitness device cloud server has a self -edited cloud computing program in the cloud server to calculate various sports and fitness indicators, displayed on the mobile apps of the two systems of Android or Apple, and remotely control the switch; The invention realizes the intelligent monitoring and collection of the motion data of the electrometer, scientific evaluation of fitness effects, and transmitting the function of wireless control opening and shutdown on the user's mobile phone APP.</v>
      </c>
      <c r="D3929" s="6" t="s">
        <v>10956</v>
      </c>
      <c r="E3929" s="4" t="str">
        <f ca="1">IFERROR(__xludf.DUMMYFUNCTION("GOOGLETRANSLATE(D3929,""auto"",""en"")"),"An electric shake bleaching fitness device based on intelligent control and monitoring of the Internet of Things")</f>
        <v>An electric shake bleaching fitness device based on intelligent control and monitoring of the Internet of Things</v>
      </c>
    </row>
    <row r="3930" spans="1:5" ht="15" x14ac:dyDescent="0.25">
      <c r="A3930" s="5" t="s">
        <v>10959</v>
      </c>
      <c r="B3930" s="6" t="s">
        <v>10960</v>
      </c>
      <c r="C3930" s="3" t="str">
        <f ca="1">IFERROR(__xludf.DUMMYFUNCTION("GOOGLETRANSLATE(B3930,""auto"",""en"")"),"This utility model opens up a smart digital treadmill based on the Internet of Things. It is composed of smart treadmills and motion monitors. The smart treadmill includes wireless communication modules, microprocessors, pressure sensors, heart rate senso"&amp;"rs, energy, energy, energy, energy, energy, energy, energy, energy, energy, energy, energy, energy, energy, energy, energy, energy, energy, energy, energy, energy, energy, energy, energy, energy, energy, energy, energy, energy, energy, energy, energy, ene"&amp;"rgy, energy, energy, energy, energy, energy, energy, energy, energy, energy, energy, energy, energy, energy, energy, energy, energy, energy, energy, energy, energy, energy, energy, energy, energy, energy, energy, energy, energy, energy, energy, energy, en"&amp;"ergy, energy, energy, energy, energy, energy, energy, energy, energy, energy, energy, energy, energy, energy, energy, Sensors, infrared safety sensors, lifts, and driving motors, the motion monitors include wireless gateway, intelligent monitor and RFID r"&amp;"eader. The intelligent digital treadmill based on the Internet of Things has the advantages of simple structure, intelligence, humanization, scientificization and other advantages. It is convenient, diverse, interactive, safe and reliable. Provide a fitne"&amp;"ss person with an intelligent, humanized, safe and comfortable fitness.")</f>
        <v>This utility model opens up a smart digital treadmill based on the Internet of Things. It is composed of smart treadmills and motion monitors. The smart treadmill includes wireless communication modules, microprocessors, pressure sensors, heart rate sensors,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energy, Sensors, infrared safety sensors, lifts, and driving motors, the motion monitors include wireless gateway, intelligent monitor and RFID reader. The intelligent digital treadmill based on the Internet of Things has the advantages of simple structure, intelligence, humanization, scientificization and other advantages. It is convenient, diverse, interactive, safe and reliable. Provide a fitness person with an intelligent, humanized, safe and comfortable fitness.</v>
      </c>
      <c r="D3930" s="6" t="s">
        <v>10961</v>
      </c>
      <c r="E3930" s="4" t="str">
        <f ca="1">IFERROR(__xludf.DUMMYFUNCTION("GOOGLETRANSLATE(D3930,""auto"",""en"")"),"Intelligent digital treadmill based on the Internet of Things")</f>
        <v>Intelligent digital treadmill based on the Internet of Things</v>
      </c>
    </row>
    <row r="3931" spans="1:5" ht="15" x14ac:dyDescent="0.25">
      <c r="A3931" s="5" t="s">
        <v>10962</v>
      </c>
      <c r="B3931" s="6" t="s">
        <v>10963</v>
      </c>
      <c r="C3931" s="3" t="str">
        <f ca="1">IFERROR(__xludf.DUMMYFUNCTION("GOOGLETRANSLATE(B3931,""auto"",""en"")"),"1. The name of the product design products: wearable devices with graphical user interface. 2. The purpose of designing products in this exterior: It is used as a wearable device, which is used for running programs and/or communication. 3. The design poin"&amp;"ts of this design: The graphical user interface displayed on the display. 4. The purpose of the graphical user interface: The human -computer interaction of the graphic user interface can be achieved by contacting and/or operation of the display. The grap"&amp;"hic user interface can be used to indicate physical exercise, fitness and/or health indicators, so as to thus Implement product function. 5. The picture or photo that can mostly show the design of the design: the graphic user interface amplify the picture"&amp;". 6. The displayed graphics user interface can also be used for computers, tablets or mobile phones.")</f>
        <v>1. The name of the product design products: wearable devices with graphical user interface. 2. The purpose of designing products in this exterior: It is used as a wearable device, which is used for running programs and/or communication. 3. The design points of this design: The graphical user interface displayed on the display. 4. The purpose of the graphical user interface: The human -computer interaction of the graphic user interface can be achieved by contacting and/or operation of the display. The graphic user interface can be used to indicate physical exercise, fitness and/or health indicators, so as to thus Implement product function. 5. The picture or photo that can mostly show the design of the design: the graphic user interface amplify the picture. 6. The displayed graphics user interface can also be used for computers, tablets or mobile phones.</v>
      </c>
      <c r="D3931" s="6" t="s">
        <v>10964</v>
      </c>
      <c r="E3931" s="4" t="str">
        <f ca="1">IFERROR(__xludf.DUMMYFUNCTION("GOOGLETRANSLATE(D3931,""auto"",""en"")"),"Wearable device with graphical user interface")</f>
        <v>Wearable device with graphical user interface</v>
      </c>
    </row>
    <row r="3932" spans="1:5" ht="15" x14ac:dyDescent="0.25">
      <c r="A3932" s="5" t="s">
        <v>10965</v>
      </c>
      <c r="B3932" s="6" t="s">
        <v>10966</v>
      </c>
      <c r="C3932" s="3" t="str">
        <f ca="1">IFERROR(__xludf.DUMMYFUNCTION("GOOGLETRANSLATE(B3932,""auto"",""en"")"),"1. The name of the product designed this product is ""wearable device with graphical user interface"". 2. The design of the product is used as a wearable device. Wearable devices can be used as accessories, watches, jewelry or electronic devices, and can "&amp;"be used for running programs and/or communication. 3. The design of the design of the design is the graphical user interface displayed on the product display. 4. Graphic user interface is used for human -computer interaction and implementation of wearable"&amp;" devices. For example, by touching the graphical user interface on the screen or triging the graphical user interface by operating the device, the fitness application software is activated. 5. Specify the interface amplification map in the main vision map"&amp;" for publishing patent communiqués. 6. Graphic user interface can also be used on computers, tablets, mobile phones, etc.")</f>
        <v>1. The name of the product designed this product is "wearable device with graphical user interface". 2. The design of the product is used as a wearable device. Wearable devices can be used as accessories, watches, jewelry or electronic devices, and can be used for running programs and/or communication. 3. The design of the design of the design is the graphical user interface displayed on the product display. 4. Graphic user interface is used for human -computer interaction and implementation of wearable devices. For example, by touching the graphical user interface on the screen or triging the graphical user interface by operating the device, the fitness application software is activated. 5. Specify the interface amplification map in the main vision map for publishing patent communiqués. 6. Graphic user interface can also be used on computers, tablets, mobile phones, etc.</v>
      </c>
      <c r="D3932" s="6" t="s">
        <v>10964</v>
      </c>
      <c r="E3932" s="4" t="str">
        <f ca="1">IFERROR(__xludf.DUMMYFUNCTION("GOOGLETRANSLATE(D3932,""auto"",""en"")"),"Wearable device with graphical user interface")</f>
        <v>Wearable device with graphical user interface</v>
      </c>
    </row>
    <row r="3933" spans="1:5" ht="15" x14ac:dyDescent="0.25">
      <c r="A3933" s="5" t="s">
        <v>10967</v>
      </c>
      <c r="B3933" s="6" t="s">
        <v>10968</v>
      </c>
      <c r="C3933" s="3" t="str">
        <f ca="1">IFERROR(__xludf.DUMMYFUNCTION("GOOGLETRANSLATE(B3933,""auto"",""en"")"),"1. The name of the product designed this product is ""wearable device with graphical user interface"". 2. The design of the product is used as a wearable device. Wearable devices can be used as accessories, watches, jewelry or electronic devices, and can "&amp;"be used for running programs and/or communication. 3. The design of the design of the design is the graphical user interface displayed on the product display. 4. Graphic user interface is used for human -computer interaction and implementation of wearable"&amp;" devices. For example, when people reach the goal of exercise, fitness or health, the graphic user interface is displayed and prompted. 5. Specify the interface amplification map in the main vision map for publishing patent communiqués. 6. Graphic user in"&amp;"terface can also be used on computers, tablets, mobile phones, etc.")</f>
        <v>1. The name of the product designed this product is "wearable device with graphical user interface". 2. The design of the product is used as a wearable device. Wearable devices can be used as accessories, watches, jewelry or electronic devices, and can be used for running programs and/or communication. 3. The design of the design of the design is the graphical user interface displayed on the product display. 4. Graphic user interface is used for human -computer interaction and implementation of wearable devices. For example, when people reach the goal of exercise, fitness or health, the graphic user interface is displayed and prompted. 5. Specify the interface amplification map in the main vision map for publishing patent communiqués. 6. Graphic user interface can also be used on computers, tablets, mobile phones, etc.</v>
      </c>
      <c r="D3933" s="6" t="s">
        <v>10964</v>
      </c>
      <c r="E3933" s="4" t="str">
        <f ca="1">IFERROR(__xludf.DUMMYFUNCTION("GOOGLETRANSLATE(D3933,""auto"",""en"")"),"Wearable device with graphical user interface")</f>
        <v>Wearable device with graphical user interface</v>
      </c>
    </row>
    <row r="3934" spans="1:5" ht="15" x14ac:dyDescent="0.25">
      <c r="A3934" s="5" t="s">
        <v>10969</v>
      </c>
      <c r="B3934" s="6" t="s">
        <v>10966</v>
      </c>
      <c r="C3934" s="3" t="str">
        <f ca="1">IFERROR(__xludf.DUMMYFUNCTION("GOOGLETRANSLATE(B3934,""auto"",""en"")"),"1. The name of the product designed this product is ""wearable device with graphical user interface"". 2. The design of the product is used as a wearable device. Wearable devices can be used as accessories, watches, jewelry or electronic devices, and can "&amp;"be used for running programs and/or communication. 3. The design of the design of the design is the graphical user interface displayed on the product display. 4. Graphic user interface is used for human -computer interaction and implementation of wearable"&amp;" devices. For example, by touching the graphical user interface on the screen or triging the graphical user interface by operating the device, the fitness application software is activated. 5. Specify the interface amplification map in the main vision map"&amp;" for publishing patent communiqués. 6. Graphic user interface can also be used on computers, tablets, mobile phones, etc.")</f>
        <v>1. The name of the product designed this product is "wearable device with graphical user interface". 2. The design of the product is used as a wearable device. Wearable devices can be used as accessories, watches, jewelry or electronic devices, and can be used for running programs and/or communication. 3. The design of the design of the design is the graphical user interface displayed on the product display. 4. Graphic user interface is used for human -computer interaction and implementation of wearable devices. For example, by touching the graphical user interface on the screen or triging the graphical user interface by operating the device, the fitness application software is activated. 5. Specify the interface amplification map in the main vision map for publishing patent communiqués. 6. Graphic user interface can also be used on computers, tablets, mobile phones, etc.</v>
      </c>
      <c r="D3934" s="6" t="s">
        <v>10964</v>
      </c>
      <c r="E3934" s="4" t="str">
        <f ca="1">IFERROR(__xludf.DUMMYFUNCTION("GOOGLETRANSLATE(D3934,""auto"",""en"")"),"Wearable device with graphical user interface")</f>
        <v>Wearable device with graphical user interface</v>
      </c>
    </row>
    <row r="3935" spans="1:5" ht="15" x14ac:dyDescent="0.25">
      <c r="A3935" s="5" t="s">
        <v>10970</v>
      </c>
      <c r="B3935" s="6" t="s">
        <v>10971</v>
      </c>
      <c r="C3935" s="3" t="str">
        <f ca="1">IFERROR(__xludf.DUMMYFUNCTION("GOOGLETRANSLATE(B3935,""auto"",""en"")"),"1. The name of the product design products: wearable devices with graphical user interface. 2. The purpose of designing products in this exterior: used as a wearable device example, wearable device is used for running programs and/or communication. 3. The"&amp;" design points of this design: The graphical user interface displayed on the display. 4. The purpose of the graphical user interface: The human -computer interaction of the wearable device can be used through the contact and/or operation of the display to"&amp;" realize the human -computer interaction of the wearable device; , To achieve product function. 5. The picture or photo that can mostly show the design of the design: the graphic user interface amplify the picture. 6. The displayed graphics user interface"&amp;" can also be used for computers, tablets or mobile phones.")</f>
        <v>1. The name of the product design products: wearable devices with graphical user interface. 2. The purpose of designing products in this exterior: used as a wearable device example, wearable device is used for running programs and/or communication. 3. The design points of this design: The graphical user interface displayed on the display. 4. The purpose of the graphical user interface: The human -computer interaction of the wearable device can be used through the contact and/or operation of the display to realize the human -computer interaction of the wearable device; , To achieve product function. 5. The picture or photo that can mostly show the design of the design: the graphic user interface amplify the picture. 6. The displayed graphics user interface can also be used for computers, tablets or mobile phones.</v>
      </c>
      <c r="D3935" s="6" t="s">
        <v>10964</v>
      </c>
      <c r="E3935" s="4" t="str">
        <f ca="1">IFERROR(__xludf.DUMMYFUNCTION("GOOGLETRANSLATE(D3935,""auto"",""en"")"),"Wearable device with graphical user interface")</f>
        <v>Wearable device with graphical user interface</v>
      </c>
    </row>
    <row r="3936" spans="1:5" ht="15" x14ac:dyDescent="0.25">
      <c r="A3936" s="5" t="s">
        <v>10972</v>
      </c>
      <c r="B3936" s="6" t="s">
        <v>10973</v>
      </c>
      <c r="C3936" s="3" t="str">
        <f ca="1">IFERROR(__xludf.DUMMYFUNCTION("GOOGLETRANSLATE(B3936,""auto"",""en"")"),"1. The name of the product design products: wearable devices with graphical user interface. 2. The purpose of designing products in this exterior: It is used as a wearable device, which is used for running programs and/or communication. 3. The design poin"&amp;"ts of this design: The graphical user interface displayed on the display. 4. The purpose of the graphical user interface: The human -computer interaction of the wearable device can be used through the contact and/or operation of the display to realize the"&amp;" human -computer interaction of the wearable device; , To achieve product function. 5. The picture or photo that can most indicate the design of the design: Design 1 graphic user interface zoom in the picture. 6. Basic Design: Design 1.7. The displayed us"&amp;"er interface displayed can also be used for computers, tablets or mobile phones. 8. Request the color of the graphical user interface of the design 1, especially the differentiated color tone.")</f>
        <v>1. The name of the product design products: wearable devices with graphical user interface. 2. The purpose of designing products in this exterior: It is used as a wearable device, which is used for running programs and/or communication. 3. The design points of this design: The graphical user interface displayed on the display. 4. The purpose of the graphical user interface: The human -computer interaction of the wearable device can be used through the contact and/or operation of the display to realize the human -computer interaction of the wearable device; , To achieve product function. 5. The picture or photo that can most indicate the design of the design: Design 1 graphic user interface zoom in the picture. 6. Basic Design: Design 1.7. The displayed user interface displayed can also be used for computers, tablets or mobile phones. 8. Request the color of the graphical user interface of the design 1, especially the differentiated color tone.</v>
      </c>
      <c r="D3936" s="6" t="s">
        <v>10964</v>
      </c>
      <c r="E3936" s="4" t="str">
        <f ca="1">IFERROR(__xludf.DUMMYFUNCTION("GOOGLETRANSLATE(D3936,""auto"",""en"")"),"Wearable device with graphical user interface")</f>
        <v>Wearable device with graphical user interface</v>
      </c>
    </row>
    <row r="3937" spans="1:5" ht="15" x14ac:dyDescent="0.25">
      <c r="A3937" s="5" t="s">
        <v>10974</v>
      </c>
      <c r="B3937" s="6" t="s">
        <v>10975</v>
      </c>
      <c r="C3937" s="3" t="str">
        <f ca="1">IFERROR(__xludf.DUMMYFUNCTION("GOOGLETRANSLATE(B3937,""auto"",""en"")"),"The extraction device includes a processor that executes the program. This process includes parts or all of sports competitions corresponding to the time for the time of the audio data obtained from sports collection. The game shows a relatively loud soun"&amp;"d, or the time period of the audio data shows greater sound than a specific loudness.")</f>
        <v>The extraction device includes a processor that executes the program. This process includes parts or all of sports competitions corresponding to the time for the time of the audio data obtained from sports collection. The game shows a relatively loud sound, or the time period of the audio data shows greater sound than a specific loudness.</v>
      </c>
      <c r="D3937" s="6" t="s">
        <v>10976</v>
      </c>
      <c r="E3937" s="4" t="str">
        <f ca="1">IFERROR(__xludf.DUMMYFUNCTION("GOOGLETRANSLATE(D3937,""auto"",""en"")"),"Extract method and device")</f>
        <v>Extract method and device</v>
      </c>
    </row>
    <row r="3938" spans="1:5" ht="15" x14ac:dyDescent="0.25">
      <c r="A3938" s="5" t="s">
        <v>10977</v>
      </c>
      <c r="B3938" s="6" t="s">
        <v>10975</v>
      </c>
      <c r="C3938" s="3" t="str">
        <f ca="1">IFERROR(__xludf.DUMMYFUNCTION("GOOGLETRANSLATE(B3938,""auto"",""en"")"),"The extraction device includes a processor that executes the program. This process includes parts or all of sports competitions corresponding to the time for the time of the audio data obtained from sports collection. The game shows a relatively loud soun"&amp;"d, or the time period of the audio data shows greater sound than a specific loudness.")</f>
        <v>The extraction device includes a processor that executes the program. This process includes parts or all of sports competitions corresponding to the time for the time of the audio data obtained from sports collection. The game shows a relatively loud sound, or the time period of the audio data shows greater sound than a specific loudness.</v>
      </c>
      <c r="D3938" s="6" t="s">
        <v>10976</v>
      </c>
      <c r="E3938" s="4" t="str">
        <f ca="1">IFERROR(__xludf.DUMMYFUNCTION("GOOGLETRANSLATE(D3938,""auto"",""en"")"),"Extract method and device")</f>
        <v>Extract method and device</v>
      </c>
    </row>
    <row r="3939" spans="1:5" ht="15" x14ac:dyDescent="0.25">
      <c r="A3939" s="5" t="s">
        <v>10978</v>
      </c>
      <c r="B3939" s="6" t="s">
        <v>10979</v>
      </c>
      <c r="C3939" s="3" t="str">
        <f ca="1">IFERROR(__xludf.DUMMYFUNCTION("GOOGLETRANSLATE(B3939,""auto"",""en"")"),"The invention disclosed the visual processing human -machine interaction projection method based on Android, including the following steps: Android device to access the projector through the HDMI interface, and the projection instrument projects the Andro"&amp;"id interface to the plane in real time. Based on the embedded visual processing Real -time equipment collects the image of the fingers on the screen to find out the outline of the spots; the finger coordinates that are effective after filtering; the embed"&amp;"ded visual processing device is connected to the Android device through the USB interface; The finger coordinates obtained by the device to manipulate the operating interface of Android devices in real time. The methods and systems of the present inventio"&amp;"n have the advantages of disconnecting the operation, lightness, free operation, and strong physical operation.")</f>
        <v>The invention disclosed the visual processing human -machine interaction projection method based on Android, including the following steps: Android device to access the projector through the HDMI interface, and the projection instrument projects the Android interface to the plane in real time. Based on the embedded visual processing Real -time equipment collects the image of the fingers on the screen to find out the outline of the spots; the finger coordinates that are effective after filtering; the embedded visual processing device is connected to the Android device through the USB interface; The finger coordinates obtained by the device to manipulate the operating interface of Android devices in real time. The methods and systems of the present invention have the advantages of disconnecting the operation, lightness, free operation, and strong physical operation.</v>
      </c>
      <c r="D3939" s="6" t="s">
        <v>10980</v>
      </c>
      <c r="E3939" s="4" t="str">
        <f ca="1">IFERROR(__xludf.DUMMYFUNCTION("GOOGLETRANSLATE(D3939,""auto"",""en"")"),"Visual processing method and system based on Android -based visual process")</f>
        <v>Visual processing method and system based on Android -based visual process</v>
      </c>
    </row>
    <row r="3940" spans="1:5" ht="15" x14ac:dyDescent="0.25">
      <c r="A3940" s="5" t="s">
        <v>10981</v>
      </c>
      <c r="B3940" s="6" t="s">
        <v>10982</v>
      </c>
      <c r="C3940" s="3" t="str">
        <f ca="1">IFERROR(__xludf.DUMMYFUNCTION("GOOGLETRANSLATE(B3940,""auto"",""en"")"),"This utility model opens a visual processing human -machine interaction projection system based on Android, including Android equipment, microcontrollers, projectors, cameras installed with infrared filter, and infrared laser tubes. Among them The project"&amp;"or is connected, the microcontroller is connected to the camera with an infrared filter, and the infrared laser tube is set on the side side of the predetermined area of ​​the projector projection. This practical new projection system has the advantages o"&amp;"f separation of the host operation, lightweight, free operation, and strong sense of physical operation.")</f>
        <v>This utility model opens a visual processing human -machine interaction projection system based on Android, including Android equipment, microcontrollers, projectors, cameras installed with infrared filter, and infrared laser tubes. Among them The projector is connected, the microcontroller is connected to the camera with an infrared filter, and the infrared laser tube is set on the side side of the predetermined area of ​​the projector projection. This practical new projection system has the advantages of separation of the host operation, lightweight, free operation, and strong sense of physical operation.</v>
      </c>
      <c r="D3940" s="6" t="s">
        <v>10983</v>
      </c>
      <c r="E3940" s="4" t="str">
        <f ca="1">IFERROR(__xludf.DUMMYFUNCTION("GOOGLETRANSLATE(D3940,""auto"",""en"")"),"Visual processing human machine interaction projection system based on Android")</f>
        <v>Visual processing human machine interaction projection system based on Android</v>
      </c>
    </row>
    <row r="3941" spans="1:5" ht="15" x14ac:dyDescent="0.25">
      <c r="A3941" s="5" t="s">
        <v>10984</v>
      </c>
      <c r="B3941" s="6" t="s">
        <v>10985</v>
      </c>
      <c r="C3941" s="3" t="str">
        <f ca="1">IFERROR(__xludf.DUMMYFUNCTION("GOOGLETRANSLATE(B3941,""auto"",""en"")"),"The present invention involves a method and equipment for load protection, control, and simulation. It is used for data and energy security transmission. , Industry 4.0, Cyber-PHYSICAL device, high performance computing, cloud computing, mobility B. Vehic"&amp;"le, swimming equipment, aircraft, drone, launch server and/or transmitted data to be transmitted at least one, energy generates at least one to generate at least one energy generated by energy generates at least one. Virtual machine (VM) and/or virtual ne"&amp;"twork (VN), in a set of static rules, dynamic parameters, probability, ranking, trading as Z. B. Stop, control, suspend, or continue to send data and power after the VM and/or Vn execute. After receiving data and power from the target system, after perfor"&amp;"ming local actions, VM and/or Vn are then deleted and/or not for further processing. Especially independent deletion. Control through group intelligence, self -sufficient system, bionic integrated distribution functions, intermediary functions, simulation"&amp;" (SI), such as B. Prevent communication, communication and energy supply interruption.")</f>
        <v>The present invention involves a method and equipment for load protection, control, and simulation. It is used for data and energy security transmission. , Industry 4.0, Cyber-PHYSICAL device, high performance computing, cloud computing, mobility B. Vehicle, swimming equipment, aircraft, drone, launch server and/or transmitted data to be transmitted at least one, energy generates at least one to generate at least one energy generated by energy generates at least one. Virtual machine (VM) and/or virtual network (VN), in a set of static rules, dynamic parameters, probability, ranking, trading as Z. B. Stop, control, suspend, or continue to send data and power after the VM and/or Vn execute. After receiving data and power from the target system, after performing local actions, VM and/or Vn are then deleted and/or not for further processing. Especially independent deletion. Control through group intelligence, self -sufficient system, bionic integrated distribution functions, intermediary functions, simulation (SI), such as B. Prevent communication, communication and energy supply interruption.</v>
      </c>
      <c r="D3941" s="6" t="s">
        <v>10986</v>
      </c>
      <c r="E3941" s="4" t="str">
        <f ca="1">IFERROR(__xludf.DUMMYFUNCTION("GOOGLETRANSLATE(D3941,""auto"",""en"")"),"Data security transmission and expansion, overload protection control in Yunhe Cloud Computing")</f>
        <v>Data security transmission and expansion, overload protection control in Yunhe Cloud Computing</v>
      </c>
    </row>
    <row r="3942" spans="1:5" ht="15" x14ac:dyDescent="0.25">
      <c r="A3942" s="5" t="s">
        <v>10987</v>
      </c>
      <c r="B3942" s="6" t="s">
        <v>10988</v>
      </c>
      <c r="C3942" s="3" t="str">
        <f ca="1">IFERROR(__xludf.DUMMYFUNCTION("GOOGLETRANSLATE(B3942,""auto"",""en"")"),"Athlete's starting ability test device and test method. With the development of modern sports and the improvement of competitive levels, time factor is increasingly attracted by coaches, athletes and sports scientists, and the research on the speed of res"&amp;"ponse has occupied an important position. A athlete starting capability test device, which composition includes: host (1), the host is equipped with input circuit (2), the input circuit connecting the single -chip microcomputer controller (3), and the sin"&amp;"gle -chip computer controller connection Output circuit (4) Human -machine interactive circuit (5), the host is equipped with a power supply circuit (6). The present invention is used for athletes' startup ability test.")</f>
        <v>Athlete's starting ability test device and test method. With the development of modern sports and the improvement of competitive levels, time factor is increasingly attracted by coaches, athletes and sports scientists, and the research on the speed of response has occupied an important position. A athlete starting capability test device, which composition includes: host (1), the host is equipped with input circuit (2), the input circuit connecting the single -chip microcomputer controller (3), and the single -chip computer controller connection Output circuit (4) Human -machine interactive circuit (5), the host is equipped with a power supply circuit (6). The present invention is used for athletes' startup ability test.</v>
      </c>
      <c r="D3942" s="6" t="s">
        <v>10989</v>
      </c>
      <c r="E3942" s="4" t="str">
        <f ca="1">IFERROR(__xludf.DUMMYFUNCTION("GOOGLETRANSLATE(D3942,""auto"",""en"")"),"Athlete starting ability test device and test method")</f>
        <v>Athlete starting ability test device and test method</v>
      </c>
    </row>
    <row r="3943" spans="1:5" ht="15" x14ac:dyDescent="0.25">
      <c r="A3943" s="5" t="s">
        <v>10990</v>
      </c>
      <c r="B3943" s="6" t="s">
        <v>10991</v>
      </c>
      <c r="C3943" s="3" t="str">
        <f ca="1">IFERROR(__xludf.DUMMYFUNCTION("GOOGLETRANSLATE(B3943,""auto"",""en"")"),"Provides a solution for the wonderful clips of video for sports videos. Wonderful video of sports videos is part of sports videos, indicating important events captured in sports videos. Evaluate audio flow associated with sports videos, such as the length"&amp;" of the loudness and loudness of the audio stream part. Video fragments of sports videos based on audio stream evaluation. Each selected video clip represents a wonderful candidate for video video. The trained audio classification model is used to identif"&amp;"y the voice mode in the audio stream related to each selected video fragment. Based on the comparison of recognition video mode and a set of expected voice mode, select one or more video fragments as video highlights for sports videos.")</f>
        <v>Provides a solution for the wonderful clips of video for sports videos. Wonderful video of sports videos is part of sports videos, indicating important events captured in sports videos. Evaluate audio flow associated with sports videos, such as the length of the loudness and loudness of the audio stream part. Video fragments of sports videos based on audio stream evaluation. Each selected video clip represents a wonderful candidate for video video. The trained audio classification model is used to identify the voice mode in the audio stream related to each selected video fragment. Based on the comparison of recognition video mode and a set of expected voice mode, select one or more video fragments as video highlights for sports videos.</v>
      </c>
      <c r="D3943" s="6" t="s">
        <v>10698</v>
      </c>
      <c r="E3943" s="4" t="str">
        <f ca="1">IFERROR(__xludf.DUMMYFUNCTION("GOOGLETRANSLATE(D3943,""auto"",""en"")"),"Based on voice recognition detection, exciting sports video")</f>
        <v>Based on voice recognition detection, exciting sports video</v>
      </c>
    </row>
    <row r="3944" spans="1:5" ht="15" x14ac:dyDescent="0.25">
      <c r="A3944" s="5" t="s">
        <v>10992</v>
      </c>
      <c r="B3944" s="6" t="s">
        <v>10993</v>
      </c>
      <c r="C3944" s="3" t="str">
        <f ca="1">IFERROR(__xludf.DUMMYFUNCTION("GOOGLETRANSLATE(B3944,""auto"",""en"")"),"The scoring control panel is provided, allowing players to operate the display content of the score with the same burden on the game without paying the player from the game.
  According to the scoring control panel of the present invention, when the reg"&amp;"istration command matched with the word recognition device recognition was detected, the instructions were issued to change the display content based on the registration command that matched with the detected words, created and output. Therefore, the refe"&amp;"ree can operate the display of the score with the voice -free voice input/output device input by the voice input/output device you wear, so they can move their sight from the competition without burdening the participants. You can operate the display cont"&amp;"ent of the division without any operation.
  【Selection Figure】 Figure 1")</f>
        <v>The scoring control panel is provided, allowing players to operate the display content of the score with the same burden on the game without paying the player from the game.
  According to the scoring control panel of the present invention, when the registration command matched with the word recognition device recognition was detected, the instructions were issued to change the display content based on the registration command that matched with the detected words, created and output. Therefore, the referee can operate the display of the score with the voice -free voice input/output device input by the voice input/output device you wear, so they can move their sight from the competition without burdening the participants. You can operate the display content of the division without any operation.
  【Selection Figure】 Figure 1</v>
      </c>
      <c r="D3944" s="6" t="s">
        <v>10994</v>
      </c>
      <c r="E3944" s="4" t="str">
        <f ca="1">IFERROR(__xludf.DUMMYFUNCTION("GOOGLETRANSLATE(D3944,""auto"",""en"")"),"Brave voice operating system, scoring card operation panel and scoring card voice operation method")</f>
        <v>Brave voice operating system, scoring card operation panel and scoring card voice operation method</v>
      </c>
    </row>
    <row r="3945" spans="1:5" ht="15" x14ac:dyDescent="0.25">
      <c r="A3945" s="5" t="s">
        <v>10995</v>
      </c>
      <c r="B3945" s="6" t="s">
        <v>10996</v>
      </c>
      <c r="C3945" s="3" t="str">
        <f ca="1">IFERROR(__xludf.DUMMYFUNCTION("GOOGLETRANSLATE(B3945,""auto"",""en"")"),"The invention involves a video and treadmill linkage system based on the Internet of Things, including: treadmill main body, treadmill on -board control board, wireless transmission unit, APP application and sports video library; Part of the treadmill; th"&amp;"e APP application is installed on a tablet, smartphone or smart TV; sports video inventory is placed in the cloud. The wireless transmission unit is connected to the treadmill on the treadmill on the line, and the APP applications installed on a tablet, s"&amp;"martphone or smart TV are connected through wireless ways; APP applications read the video of sports video library through the Internet. Data; Start the speed of running machines and APP applications. The speed of the APP application reads the treadmill. "&amp;"According to the current speed of the treadmill, control sports videos to play the speed on tablet, smartphones or smart TVs The entertainment of a treadmill.")</f>
        <v>The invention involves a video and treadmill linkage system based on the Internet of Things, including: treadmill main body, treadmill on -board control board, wireless transmission unit, APP application and sports video library; Part of the treadmill; the APP application is installed on a tablet, smartphone or smart TV; sports video inventory is placed in the cloud. The wireless transmission unit is connected to the treadmill on the treadmill on the line, and the APP applications installed on a tablet, smartphone or smart TV are connected through wireless ways; APP applications read the video of sports video library through the Internet. Data; Start the speed of running machines and APP applications. The speed of the APP application reads the treadmill. According to the current speed of the treadmill, control sports videos to play the speed on tablet, smartphones or smart TVs The entertainment of a treadmill.</v>
      </c>
      <c r="D3945" s="6" t="s">
        <v>10997</v>
      </c>
      <c r="E3945" s="4" t="str">
        <f ca="1">IFERROR(__xludf.DUMMYFUNCTION("GOOGLETRANSLATE(D3945,""auto"",""en"")"),"A network -based video and treadmill linkage system")</f>
        <v>A network -based video and treadmill linkage system</v>
      </c>
    </row>
    <row r="3946" spans="1:5" ht="15" x14ac:dyDescent="0.25">
      <c r="A3946" s="5" t="s">
        <v>10998</v>
      </c>
      <c r="B3946" s="6" t="s">
        <v>10999</v>
      </c>
      <c r="C3946" s="3" t="str">
        <f ca="1">IFERROR(__xludf.DUMMYFUNCTION("GOOGLETRANSLATE(B3946,""auto"",""en"")"),"The present invention disclosed a system and method of intelligent monitoring of indoor fitness equipment based on the Internet of Things and the display of mobile phone app display, including the IoT implementation system, the fitness of the Internet of "&amp;"Things, the fitness device cloud server, and the mobile exercise app immediately. The structure of the IoT Smart Box of the Institute is to supply power by charging lithium batteries, collecting kinetic energy data through the electronic gyroscope module,"&amp;" the central processing module is converted into a digital signal, the WIFI module is sent to the cloud server, and the fitness device cloud server has a self -edited cloud computing computing cloud computing. The program, by accepting the signal from the"&amp;" smart box and the physical parameters from the user, shows the fitness effect by the immediately exercise APP after operation; the APP is divided into two system versions of Android and Apple to show sports data and effects in real time. The invention re"&amp;"alizes the functions of intelligent monitoring and collection of indoor fitness equipment sports data, scientific evaluation of fitness effects, and real -time transmission to the user's mobile phone app.")</f>
        <v>The present invention disclosed a system and method of intelligent monitoring of indoor fitness equipment based on the Internet of Things and the display of mobile phone app display, including the IoT implementation system, the fitness of the Internet of Things, the fitness device cloud server, and the mobile exercise app immediately. The structure of the IoT Smart Box of the Institute is to supply power by charging lithium batteries, collecting kinetic energy data through the electronic gyroscope module, the central processing module is converted into a digital signal, the WIFI module is sent to the cloud server, and the fitness device cloud server has a self -edited cloud computing computing cloud computing. The program, by accepting the signal from the smart box and the physical parameters from the user, shows the fitness effect by the immediately exercise APP after operation; the APP is divided into two system versions of Android and Apple to show sports data and effects in real time. The invention realizes the functions of intelligent monitoring and collection of indoor fitness equipment sports data, scientific evaluation of fitness effects, and real -time transmission to the user's mobile phone app.</v>
      </c>
      <c r="D3946" s="6" t="s">
        <v>11000</v>
      </c>
      <c r="E3946" s="4" t="str">
        <f ca="1">IFERROR(__xludf.DUMMYFUNCTION("GOOGLETRANSLATE(D3946,""auto"",""en"")"),"Intelligent monitoring of indoor fitness equipment based on the Internet of Things and mobile phone APP display systems and methods")</f>
        <v>Intelligent monitoring of indoor fitness equipment based on the Internet of Things and mobile phone APP display systems and methods</v>
      </c>
    </row>
    <row r="3947" spans="1:5" ht="15" x14ac:dyDescent="0.25">
      <c r="A3947" s="5" t="s">
        <v>11001</v>
      </c>
      <c r="B3947" s="6" t="s">
        <v>11002</v>
      </c>
      <c r="C3947" s="3" t="str">
        <f ca="1">IFERROR(__xludf.DUMMYFUNCTION("GOOGLETRANSLATE(B3947,""auto"",""en"")"),"The invention disclosed a smart horse riding machine fitness with the function of IoT sports data monitoring, including the Monurable Monitoring and Transmission of Movement Movement of the Internet of Things, the Internet -based data and human parameter "&amp;"interaction, and the operation fitness effect of the cloud server. The implementation system and method of sports data and fun interface design, and the working principle of smart horse -riding machine fitness device. The structure of the IoT intelligent "&amp;"device of the fitness utensils is to collect motion data through the electronic gyroscope module, and the central processing module converts the data into a digital signal, and the WiFi module is sent to the fitness device cloud server; there is a self -e"&amp;"dited cloud computing in the cloud server. The program is calculated according to the receiving data to produce a variety of fitness effects, and it is displayed on the mobile app of the two systems of Android or Apple; the present invention has realized "&amp;"the intelligent collection of the sports data of the horse -riding machine, scientific evaluation of fitness effects, and real -time display in users in real time. Functions on mobile apps.")</f>
        <v>The invention disclosed a smart horse riding machine fitness with the function of IoT sports data monitoring, including the Monurable Monitoring and Transmission of Movement Movement of the Internet of Things, the Internet -based data and human parameter interaction, and the operation fitness effect of the cloud server. The implementation system and method of sports data and fun interface design, and the working principle of smart horse -riding machine fitness device. The structure of the IoT intelligent device of the fitness utensils is to collect motion data through the electronic gyroscope module, and the central processing module converts the data into a digital signal, and the WiFi module is sent to the fitness device cloud server; there is a self -edited cloud computing in the cloud server. The program is calculated according to the receiving data to produce a variety of fitness effects, and it is displayed on the mobile app of the two systems of Android or Apple; the present invention has realized the intelligent collection of the sports data of the horse -riding machine, scientific evaluation of fitness effects, and real -time display in users in real time. Functions on mobile apps.</v>
      </c>
      <c r="D3947" s="6" t="s">
        <v>11003</v>
      </c>
      <c r="E3947" s="4" t="str">
        <f ca="1">IFERROR(__xludf.DUMMYFUNCTION("GOOGLETRANSLATE(D3947,""auto"",""en"")"),"Smart horse riding machine fitness with IoT sports data monitoring function")</f>
        <v>Smart horse riding machine fitness with IoT sports data monitoring function</v>
      </c>
    </row>
    <row r="3948" spans="1:5" ht="15" x14ac:dyDescent="0.25">
      <c r="A3948" s="5" t="s">
        <v>11004</v>
      </c>
      <c r="B3948" s="6" t="s">
        <v>11005</v>
      </c>
      <c r="C3948" s="3" t="str">
        <f ca="1">IFERROR(__xludf.DUMMYFUNCTION("GOOGLETRANSLATE(B3948,""auto"",""en"")"),"The present invention provides a stadium intelligent micro -shrinking vehicle teaching device. In the device: the car body as a carrier, visual sensor, GPS, and laser radar for information collection and positioning, power, and steering drive systems are "&amp;"used to perform decision -making of the main processor. , The feedback system feedbacks the current speed information to the main controller. The human -machine interaction system is used to monitor and manage the current operating status in real time. Th"&amp;"e battery pack provides power supply. The communication equipment is used to monitor and remotely manage the main controller. The emergency switch is used for emergency systems for emergency systems. Motion and parking, the main processor is used for info"&amp;"rmation fusion, scene analysis and image processing and decision -making and controlling steering, power -driven system, and priority to accept external emergency parking instructions. The present invention is conducive to the teaching and exploring resea"&amp;"rch of driverless vehicle technology, and at the same time conducive to the promotion of quality sports robotics, and realizing the integration of teaching and quality sports.")</f>
        <v>The present invention provides a stadium intelligent micro -shrinking vehicle teaching device. In the device: the car body as a carrier, visual sensor, GPS, and laser radar for information collection and positioning, power, and steering drive systems are used to perform decision -making of the main processor. , The feedback system feedbacks the current speed information to the main controller. The human -machine interaction system is used to monitor and manage the current operating status in real time. The battery pack provides power supply. The communication equipment is used to monitor and remotely manage the main controller. The emergency switch is used for emergency systems for emergency systems. Motion and parking, the main processor is used for information fusion, scene analysis and image processing and decision -making and controlling steering, power -driven system, and priority to accept external emergency parking instructions. The present invention is conducive to the teaching and exploring research of driverless vehicle technology, and at the same time conducive to the promotion of quality sports robotics, and realizing the integration of teaching and quality sports.</v>
      </c>
      <c r="D3948" s="6" t="s">
        <v>11006</v>
      </c>
      <c r="E3948" s="4" t="str">
        <f ca="1">IFERROR(__xludf.DUMMYFUNCTION("GOOGLETRANSLATE(D3948,""auto"",""en"")"),"A stadium intelligent micro -shrinking vehicle teaching device")</f>
        <v>A stadium intelligent micro -shrinking vehicle teaching device</v>
      </c>
    </row>
    <row r="3949" spans="1:5" ht="15" x14ac:dyDescent="0.25">
      <c r="A3949" s="5" t="s">
        <v>11007</v>
      </c>
      <c r="B3949" s="6" t="s">
        <v>11008</v>
      </c>
      <c r="C3949" s="3" t="str">
        <f ca="1">IFERROR(__xludf.DUMMYFUNCTION("GOOGLETRANSLATE(B3949,""auto"",""en"")"),"This utility model involves an independent power supply lighting controlled by the infrared power saving device in the fitness venue and the power supply of the power supply outside the place and the lighting of the power supply outside the place and exce"&amp;"ed the national standards specified in the national standards of the ""Safety General Requirements of Outdoor Fitness Equipment"" Value and the voice system that meets people's fitness and entertainment listening to broadcasting requirements, including in"&amp;"frared power switches, voice synthesis and voice recognition broadcasting machines, speakers, and independent power supply to lighting and mosquitoes controlled by infrared power -saving devices in fitness equipment and fitness venues The solar power gene"&amp;"ration device and the municipal power supply device outside the monitoring device and the power supply outside the site enhance the entertainment and effectiveness of fitness, and achieve the best effect of saving electricity.")</f>
        <v>This utility model involves an independent power supply lighting controlled by the infrared power saving device in the fitness venue and the power supply of the power supply outside the place and the lighting of the power supply outside the place and exceed the national standards specified in the national standards of the "Safety General Requirements of Outdoor Fitness Equipment" Value and the voice system that meets people's fitness and entertainment listening to broadcasting requirements, including infrared power switches, voice synthesis and voice recognition broadcasting machines, speakers, and independent power supply to lighting and mosquitoes controlled by infrared power -saving devices in fitness equipment and fitness venues The solar power generation device and the municipal power supply device outside the monitoring device and the power supply outside the site enhance the entertainment and effectiveness of fitness, and achieve the best effect of saving electricity.</v>
      </c>
      <c r="D3949" s="6" t="s">
        <v>11009</v>
      </c>
      <c r="E3949" s="4" t="str">
        <f ca="1">IFERROR(__xludf.DUMMYFUNCTION("GOOGLETRANSLATE(D3949,""auto"",""en"")"),"The voice system of fitness equipment and fitness places")</f>
        <v>The voice system of fitness equipment and fitness places</v>
      </c>
    </row>
    <row r="3950" spans="1:5" ht="15" x14ac:dyDescent="0.25">
      <c r="A3950" s="5" t="s">
        <v>11010</v>
      </c>
      <c r="B3950" s="6" t="s">
        <v>11011</v>
      </c>
      <c r="C3950" s="3" t="str">
        <f ca="1">IFERROR(__xludf.DUMMYFUNCTION("GOOGLETRANSLATE(B3950,""auto"",""en"")"),"The present invention involves an independent power supply lighting controlled by the infrared power -saving device in the fitness venue and the lighting of the power supply point outside the place of power. And the voice system that meets people's fitnes"&amp;"s and entertainment listening to the broadcasting requirements, including infrared power saving switches, voice synthesis and voice recognition broadcasting machines, speakers, and independent power supply and mosquito seductives controlled by infrared po"&amp;"wer saving devices in the fitness equipment and fitness venues And the solar power generation device of the monitoring device and the municipal power distribution device supplied outside the place, enhance the entertainment and effectiveness of fitness, a"&amp;"nd achieve the best effect of saving electricity.")</f>
        <v>The present invention involves an independent power supply lighting controlled by the infrared power -saving device in the fitness venue and the lighting of the power supply point outside the place of power. And the voice system that meets people's fitness and entertainment listening to the broadcasting requirements, including infrared power saving switches, voice synthesis and voice recognition broadcasting machines, speakers, and independent power supply and mosquito seductives controlled by infrared power saving devices in the fitness equipment and fitness venues And the solar power generation device of the monitoring device and the municipal power distribution device supplied outside the place, enhance the entertainment and effectiveness of fitness, and achieve the best effect of saving electricity.</v>
      </c>
      <c r="D3950" s="6" t="s">
        <v>11009</v>
      </c>
      <c r="E3950" s="4" t="str">
        <f ca="1">IFERROR(__xludf.DUMMYFUNCTION("GOOGLETRANSLATE(D3950,""auto"",""en"")"),"The voice system of fitness equipment and fitness places")</f>
        <v>The voice system of fitness equipment and fitness places</v>
      </c>
    </row>
    <row r="3951" spans="1:5" ht="15" x14ac:dyDescent="0.25">
      <c r="A3951" s="5" t="s">
        <v>11012</v>
      </c>
      <c r="B3951" s="6" t="s">
        <v>11013</v>
      </c>
      <c r="C3951" s="3" t="str">
        <f ca="1">IFERROR(__xludf.DUMMYFUNCTION("GOOGLETRANSLATE(B3951,""auto"",""en"")"),"A fitness venue solar voice lighting device, including voice device cards, inverters, voice synthesis and voice recognition broadcasting machines, infrared power switches, speakers, small power -loaded connection cables, independent power supply, and inde"&amp;"pendent power supply in the fitness venue Solar power devices and venues of the internal electrical appliances inside the lighting and voice device cards to the solar power generation device and the municipal power distribution device of the electrical ap"&amp;"pliances inside the voice device brand, which is convenient for the installation environment, types, quantities and area of ​​the site of the fitness equipment for fitness venues. The number and location of the installation of voice device cards are condu"&amp;"cive to promoting civilized fitness and product promotion.")</f>
        <v>A fitness venue solar voice lighting device, including voice device cards, inverters, voice synthesis and voice recognition broadcasting machines, infrared power switches, speakers, small power -loaded connection cables, independent power supply, and independent power supply in the fitness venue Solar power devices and venues of the internal electrical appliances inside the lighting and voice device cards to the solar power generation device and the municipal power distribution device of the electrical appliances inside the voice device brand, which is convenient for the installation environment, types, quantities and area of ​​the site of the fitness equipment for fitness venues. The number and location of the installation of voice device cards are conducive to promoting civilized fitness and product promotion.</v>
      </c>
      <c r="D3951" s="6" t="s">
        <v>11014</v>
      </c>
      <c r="E3951" s="4" t="str">
        <f ca="1">IFERROR(__xludf.DUMMYFUNCTION("GOOGLETRANSLATE(D3951,""auto"",""en"")"),"Fitness venue solar voice lighting device")</f>
        <v>Fitness venue solar voice lighting device</v>
      </c>
    </row>
    <row r="3952" spans="1:5" ht="15" x14ac:dyDescent="0.25">
      <c r="A3952" s="5" t="s">
        <v>11015</v>
      </c>
      <c r="B3952" s="6" t="s">
        <v>11016</v>
      </c>
      <c r="C3952" s="3" t="str">
        <f ca="1">IFERROR(__xludf.DUMMYFUNCTION("GOOGLETRANSLATE(B3952,""auto"",""en"")"),"The present invention involves an independent power supply in the fitness venue to meet and exceed the national standards specified in the national standards of the ""Safety General Requirements for Outdoor Fitness Equipment"" and the voice lighting devic"&amp;"e that meets the requirements of the people's fitness and entertainment, including the fitness venue Voice devices, inverters, voice synthesis and voice recognition broadcasting machines, infrared electricity switches, speakers, small power consumption ca"&amp;"bles, independent power supply to lighting and voice device internal electrical solar power generation devices and electrical appliances The solar power generation device and the municipal power distribution device of the electrical electrical electrical "&amp;"appliances inside the voice installation brand outside the place are convenient for the number and location of the voice device license plate of the voice device according to the installation environment, types, quantities, and site area of ​​fitness equi"&amp;"pment. Fitness and product promotion.")</f>
        <v>The present invention involves an independent power supply in the fitness venue to meet and exceed the national standards specified in the national standards of the "Safety General Requirements for Outdoor Fitness Equipment" and the voice lighting device that meets the requirements of the people's fitness and entertainment, including the fitness venue Voice devices, inverters, voice synthesis and voice recognition broadcasting machines, infrared electricity switches, speakers, small power consumption cables, independent power supply to lighting and voice device internal electrical solar power generation devices and electrical appliances The solar power generation device and the municipal power distribution device of the electrical electrical electrical appliances inside the voice installation brand outside the place are convenient for the number and location of the voice device license plate of the voice device according to the installation environment, types, quantities, and site area of ​​fitness equipment. Fitness and product promotion.</v>
      </c>
      <c r="D3952" s="6" t="s">
        <v>11014</v>
      </c>
      <c r="E3952" s="4" t="str">
        <f ca="1">IFERROR(__xludf.DUMMYFUNCTION("GOOGLETRANSLATE(D3952,""auto"",""en"")"),"Fitness venue solar voice lighting device")</f>
        <v>Fitness venue solar voice lighting device</v>
      </c>
    </row>
    <row r="3953" spans="1:5" ht="15" x14ac:dyDescent="0.25">
      <c r="A3953" s="5" t="s">
        <v>11017</v>
      </c>
      <c r="B3953" s="6" t="s">
        <v>11018</v>
      </c>
      <c r="C3953" s="3" t="str">
        <f ca="1">IFERROR(__xludf.DUMMYFUNCTION("GOOGLETRANSLATE(B3953,""auto"",""en"")"),"A kind of fitness car, including frame (1); armrests connected to the frame (1) (2); the pedal (5) and the flywheel (4) connected to the frame (1) on the frame (1) (1) ); Magnetic control device installed on the frame (1); sitting stool (6) connected to t"&amp;"he frame (1); human -machine interaction control system (3), the magnetic control device has The regulator and magnet component, the regulator is used to regulate the distance between the magnetic component and the flywheel (4) to realize the magnetic fie"&amp;"ld of different strengths (4) to cut the control of the control movement; (4) Transmission connection; the stool has a horizontal movement and vertical lifting mechanism connected to the frame (1) connection; Embedded processor, detection module, and driv"&amp;"er module; human -machine interaction module, RFID read and writing module, storage module connected to the embedded processor.")</f>
        <v>A kind of fitness car, including frame (1); armrests connected to the frame (1) (2); the pedal (5) and the flywheel (4) connected to the frame (1) on the frame (1) (1) ); Magnetic control device installed on the frame (1); sitting stool (6) connected to the frame (1); human -machine interaction control system (3), the magnetic control device has The regulator and magnet component, the regulator is used to regulate the distance between the magnetic component and the flywheel (4) to realize the magnetic field of different strengths (4) to cut the control of the control movement; (4) Transmission connection; the stool has a horizontal movement and vertical lifting mechanism connected to the frame (1) connection; Embedded processor, detection module, and driver module; human -machine interaction module, RFID read and writing module, storage module connected to the embedded processor.</v>
      </c>
      <c r="D3953" s="6" t="s">
        <v>11019</v>
      </c>
      <c r="E3953" s="4" t="str">
        <f ca="1">IFERROR(__xludf.DUMMYFUNCTION("GOOGLETRANSLATE(D3953,""auto"",""en"")"),"Back -back fitness car")</f>
        <v>Back -back fitness car</v>
      </c>
    </row>
    <row r="3954" spans="1:5" ht="15" x14ac:dyDescent="0.25">
      <c r="A3954" s="5" t="s">
        <v>11020</v>
      </c>
      <c r="B3954" s="6" t="s">
        <v>11021</v>
      </c>
      <c r="C3954" s="3" t="str">
        <f ca="1">IFERROR(__xludf.DUMMYFUNCTION("GOOGLETRANSLATE(B3954,""auto"",""en"")"),"A vertical fitness vehicle, including frame (1); armrests (2), pedal (5), and flywheel (4) connected to the frame (1); The magnetic control device on the frame (1) on the frame (1); the bench (6) with a sliding connection with the frame (1); The distance "&amp;"between the flywheel (4) to realize the magnetic field of different strengths (4) to cut the flywheel (4); the pedal (5) is connected with the flywheel (4) transmission; 1) Connected telescope mechanism; the human -machine interaction control system (3) i"&amp;"ncludes industrial control machines; embedded processors, detection modules, and driving modules connected to the industrial control machine; Interactive module, RFID read and write module, storage module.")</f>
        <v>A vertical fitness vehicle, including frame (1); armrests (2), pedal (5), and flywheel (4) connected to the frame (1); The magnetic control device on the frame (1) on the frame (1); the bench (6) with a sliding connection with the frame (1); The distance between the flywheel (4) to realize the magnetic field of different strengths (4) to cut the flywheel (4); the pedal (5) is connected with the flywheel (4) transmission; 1) Connected telescope mechanism; the human -machine interaction control system (3) includes industrial control machines; embedded processors, detection modules, and driving modules connected to the industrial control machine; Interactive module, RFID read and write module, storage module.</v>
      </c>
      <c r="D3954" s="6" t="s">
        <v>11022</v>
      </c>
      <c r="E3954" s="4" t="str">
        <f ca="1">IFERROR(__xludf.DUMMYFUNCTION("GOOGLETRANSLATE(D3954,""auto"",""en"")"),"A vertical fitness car")</f>
        <v>A vertical fitness car</v>
      </c>
    </row>
    <row r="3955" spans="1:5" ht="15" x14ac:dyDescent="0.25">
      <c r="A3955" s="5" t="s">
        <v>11023</v>
      </c>
      <c r="B3955" s="6" t="s">
        <v>11024</v>
      </c>
      <c r="C3955" s="3" t="str">
        <f ca="1">IFERROR(__xludf.DUMMYFUNCTION("GOOGLETRANSLATE(B3955,""auto"",""en"")"),"This utility model discloses a traffic intelligent management system during the road race around the Internet of Things. It includes cloud servers, remote control terminals, first communication modules, speakers, second communication modules, signal contr"&amp;"ol modules and traffic signal light sets; The signal control module is connected to a quartz crystal oscillator. Its useful effect is that when there is a sports event in the stadium, the traffic management department can control the terminal through remo"&amp;"te control and send a corresponding control signal. The entire system adopts the cloud server to concentrate all the traffic management of the city, the whole province, and even the country to the cloud server, so that the traffic intelligent management s"&amp;"ystem of the Internet of Things -based on the road around the stadium around the Internet is only working at the competition. After the end, the signal control module will adjust the control mode in a timely manner, which does not affect the normal traffi"&amp;"c conditions during non -race.")</f>
        <v>This utility model discloses a traffic intelligent management system during the road race around the Internet of Things. It includes cloud servers, remote control terminals, first communication modules, speakers, second communication modules, signal control modules and traffic signal light sets; The signal control module is connected to a quartz crystal oscillator. Its useful effect is that when there is a sports event in the stadium, the traffic management department can control the terminal through remote control and send a corresponding control signal. The entire system adopts the cloud server to concentrate all the traffic management of the city, the whole province, and even the country to the cloud server, so that the traffic intelligent management system of the Internet of Things -based on the road around the stadium around the Internet is only working at the competition. After the end, the signal control module will adjust the control mode in a timely manner, which does not affect the normal traffic conditions during non -race.</v>
      </c>
      <c r="D3955" s="6" t="s">
        <v>11025</v>
      </c>
      <c r="E3955" s="4" t="str">
        <f ca="1">IFERROR(__xludf.DUMMYFUNCTION("GOOGLETRANSLATE(D3955,""auto"",""en"")"),"Transportation intelligent management system based on road race around the Internet of Things")</f>
        <v>Transportation intelligent management system based on road race around the Internet of Things</v>
      </c>
    </row>
    <row r="3956" spans="1:5" ht="15" x14ac:dyDescent="0.25">
      <c r="A3956" s="5" t="s">
        <v>11026</v>
      </c>
      <c r="B3956" s="6" t="s">
        <v>11027</v>
      </c>
      <c r="C3956" s="3" t="str">
        <f ca="1">IFERROR(__xludf.DUMMYFUNCTION("GOOGLETRANSLATE(B3956,""auto"",""en"")"),"The present invention involves a device and method of auxiliary users using fitness equipment. Operating module with the user, the output end of the image recognition processing module is connected to the multimedia output module; the image recognition pr"&amp;"ocessing module receives the image collected by the camera module, and measures the action angle of the human joint formation during exercise, and then compares the angle and angle of the action and the action angle and the angle of action and The target "&amp;"angle, finally determine whether the user exercise the action has reached the standard and obtain the comparison result; the display screen displayed the image, target perspective, and action angle of the camera module. The user adjusts action.")</f>
        <v>The present invention involves a device and method of auxiliary users using fitness equipment. Operating module with the user, the output end of the image recognition processing module is connected to the multimedia output module; the image recognition processing module receives the image collected by the camera module, and measures the action angle of the human joint formation during exercise, and then compares the angle and angle of the action and the action angle and the angle of action and The target angle, finally determine whether the user exercise the action has reached the standard and obtain the comparison result; the display screen displayed the image, target perspective, and action angle of the camera module. The user adjusts action.</v>
      </c>
      <c r="D3956" s="6" t="s">
        <v>11028</v>
      </c>
      <c r="E3956" s="4" t="str">
        <f ca="1">IFERROR(__xludf.DUMMYFUNCTION("GOOGLETRANSLATE(D3956,""auto"",""en"")"),"A assistant user uses the installation and method of using fitness equipment")</f>
        <v>A assistant user uses the installation and method of using fitness equipment</v>
      </c>
    </row>
    <row r="3957" spans="1:5" ht="15" x14ac:dyDescent="0.25">
      <c r="A3957" s="5" t="s">
        <v>11029</v>
      </c>
      <c r="B3957" s="6" t="s">
        <v>11030</v>
      </c>
      <c r="C3957" s="3" t="str">
        <f ca="1">IFERROR(__xludf.DUMMYFUNCTION("GOOGLETRANSLATE(B3957,""auto"",""en"")"),"The present invention discloses a basketball automatic serve and automatic serve. A pair of turntables are set at both ends of the basketball exit of the basketball channel. The first motor control. The first motor controls the control unit; the human -ma"&amp;"chine interactive unit sets multiple serve gears, and the user will enter the human computer interconnection unit according to the direction direction and type of serve in actual use to control the above -mentioned demand in the human computer interconnec"&amp;"tion unit to control the control unit to control the control unit to control it to control the control unit to control it to control the control unit to control it to control the control unit to control it to control the control unit to control it to cont"&amp;"rol the control unit to control it to control the control unit to control it to control the control unit to control it to control the control unit to control it to control the control unit to control the control unit to control it to control the control u"&amp;"nit to control it to control the control unit to control it to control the control unit to control it to control the control unit to control the control unit to control it to control the control unit to control it to control the control unit to control it"&amp;" to control the control unit to control the control unit to control it to control the control unit to control it to control the control unit to control it to control the control. The unit can control the serving direction and the speed of the serve of the"&amp;" basketball automatic serving device according to the user's needs. The present invention can simulate the passage of athletes. It can control the speed of serve, fast flight speed, and high efficiency of ball practice. At the same time, the present inven"&amp;"tion also has a shot count unit, which can effectively count the user's shooting data and display it through the touch screen. The user can accurately understand his shooting situation in a timely manner to conduct targeted practice.")</f>
        <v>The present invention discloses a basketball automatic serve and automatic serve. A pair of turntables are set at both ends of the basketball exit of the basketball channel. The first motor control. The first motor controls the control unit; the human -machine interactive unit sets multiple serve gears, and the user will enter the human computer interconnection unit according to the direction direction and type of serve in actual use to control the above -mentioned demand in the human computer interconnection unit to control the control unit to control the control unit to control it to control the control unit to control it to control the control unit to control it to control the control unit to control it to control the control unit to control it to control the control unit to control it to control the control unit to control it to control the control unit to control it to control the control unit to control it to control the control unit to control the control unit to control it to control the control unit to control it to control the control unit to control it to control the control unit to control it to control the control unit to control the control unit to control it to control the control unit to control it to control the control unit to control it to control the control unit to control the control unit to control it to control the control unit to control it to control the control unit to control it to control the control. The unit can control the serving direction and the speed of the serve of the basketball automatic serving device according to the user's needs. The present invention can simulate the passage of athletes. It can control the speed of serve, fast flight speed, and high efficiency of ball practice. At the same time, the present invention also has a shot count unit, which can effectively count the user's shooting data and display it through the touch screen. The user can accurately understand his shooting situation in a timely manner to conduct targeted practice.</v>
      </c>
      <c r="D3957" s="6" t="s">
        <v>11031</v>
      </c>
      <c r="E3957" s="4" t="str">
        <f ca="1">IFERROR(__xludf.DUMMYFUNCTION("GOOGLETRANSLATE(D3957,""auto"",""en"")"),"A basketball automatic serve and automatic serve method")</f>
        <v>A basketball automatic serve and automatic serve method</v>
      </c>
    </row>
    <row r="3958" spans="1:5" ht="15" x14ac:dyDescent="0.25">
      <c r="A3958" s="5" t="s">
        <v>11032</v>
      </c>
      <c r="B3958" s="6" t="s">
        <v>11033</v>
      </c>
      <c r="C3958" s="3" t="str">
        <f ca="1">IFERROR(__xludf.DUMMYFUNCTION("GOOGLETRANSLATE(B3958,""auto"",""en"")"),"The welding ball information record department 25 is set on the upper surface of the volleyball board 16 of the welding ball supply in the component installation machine. The first pick -up of the configuration, the number of configurations, and position "&amp;"of the relevant information of the relevant information is recorded on the upper surface of the welding ball information record department 25 in the form of code, such as barcodes or QR codes. The reading and setting of the welding ball information is to "&amp;"automatically read and set the migrant image of the welding ball information by using the label imaging set on the component installation machine with a 25 imaging and executing code of the code.")</f>
        <v>The welding ball information record department 25 is set on the upper surface of the volleyball board 16 of the welding ball supply in the component installation machine. The first pick -up of the configuration, the number of configurations, and position of the relevant information of the relevant information is recorded on the upper surface of the welding ball information record department 25 in the form of code, such as barcodes or QR codes. The reading and setting of the welding ball information is to automatically read and set the migrant image of the welding ball information by using the label imaging set on the component installation machine with a 25 imaging and executing code of the code.</v>
      </c>
      <c r="D3958" s="6" t="s">
        <v>11034</v>
      </c>
      <c r="E3958" s="4" t="str">
        <f ca="1">IFERROR(__xludf.DUMMYFUNCTION("GOOGLETRANSLATE(D3958,""auto"",""en"")"),"Tin Ball feeding machine tin ball ball information management system")</f>
        <v>Tin Ball feeding machine tin ball ball information management system</v>
      </c>
    </row>
    <row r="3959" spans="1:5" ht="15" x14ac:dyDescent="0.25">
      <c r="A3959" s="5" t="s">
        <v>11035</v>
      </c>
      <c r="B3959" s="6" t="s">
        <v>11033</v>
      </c>
      <c r="C3959" s="3" t="str">
        <f ca="1">IFERROR(__xludf.DUMMYFUNCTION("GOOGLETRANSLATE(B3959,""auto"",""en"")"),"The welding ball information record department 25 is set on the upper surface of the volleyball board 16 of the welding ball supply in the component installation machine. The first pick -up of the configuration, the number of configurations, and position "&amp;"of the relevant information of the relevant information is recorded on the upper surface of the welding ball information record department 25 in the form of code, such as barcodes or QR codes. The reading and setting of the welding ball information is to "&amp;"automatically read and set the migrant image of the welding ball information by using the label imaging set on the component installation machine with a 25 imaging and executing code of the code.")</f>
        <v>The welding ball information record department 25 is set on the upper surface of the volleyball board 16 of the welding ball supply in the component installation machine. The first pick -up of the configuration, the number of configurations, and position of the relevant information of the relevant information is recorded on the upper surface of the welding ball information record department 25 in the form of code, such as barcodes or QR codes. The reading and setting of the welding ball information is to automatically read and set the migrant image of the welding ball information by using the label imaging set on the component installation machine with a 25 imaging and executing code of the code.</v>
      </c>
      <c r="D3959" s="6" t="s">
        <v>11036</v>
      </c>
      <c r="E3959" s="4" t="str">
        <f ca="1">IFERROR(__xludf.DUMMYFUNCTION("GOOGLETRANSLATE(D3959,""auto"",""en"")"),"Legal information management system")</f>
        <v>Legal information management system</v>
      </c>
    </row>
    <row r="3960" spans="1:5" ht="15" x14ac:dyDescent="0.25">
      <c r="A3960" s="5" t="s">
        <v>11037</v>
      </c>
      <c r="B3960" s="6" t="s">
        <v>11038</v>
      </c>
      <c r="C3960" s="3" t="str">
        <f ca="1">IFERROR(__xludf.DUMMYFUNCTION("GOOGLETRANSLATE(B3960,""auto"",""en"")"),"This article revealed the technology and system that uses one or more smart sensors to evaluate the exercise performance of users in the fitness system. The intelligent sensor includes at least one camera -based sensor that is configured to detect the ima"&amp;"ge data of the user. The fitness system can include fixed exercise equipment, storage of personal information about users, and at least part of the processor based on personal information about users. The fitness system can also include one or more sensor"&amp;"s to monitor the physical condition of the user, and the fuzzy system comes from one or more sensors based on at least part of the II and II). The fitness system can therefore provide real -time and constructive feedback on user exercise performance based"&amp;" on sensory data.")</f>
        <v>This article revealed the technology and system that uses one or more smart sensors to evaluate the exercise performance of users in the fitness system. The intelligent sensor includes at least one camera -based sensor that is configured to detect the image data of the user. The fitness system can include fixed exercise equipment, storage of personal information about users, and at least part of the processor based on personal information about users. The fitness system can also include one or more sensors to monitor the physical condition of the user, and the fuzzy system comes from one or more sensors based on at least part of the II and II). The fitness system can therefore provide real -time and constructive feedback on user exercise performance based on sensory data.</v>
      </c>
      <c r="D3960" s="6" t="s">
        <v>11039</v>
      </c>
      <c r="E3960" s="4" t="str">
        <f ca="1">IFERROR(__xludf.DUMMYFUNCTION("GOOGLETRANSLATE(D3960,""auto"",""en"")"),"Evaluation and feedback based on motion performance based on fuzzy logic")</f>
        <v>Evaluation and feedback based on motion performance based on fuzzy logic</v>
      </c>
    </row>
    <row r="3961" spans="1:5" ht="15" x14ac:dyDescent="0.25">
      <c r="A3961" s="5" t="s">
        <v>11040</v>
      </c>
      <c r="B3961" s="6" t="s">
        <v>11041</v>
      </c>
      <c r="C3961" s="3" t="str">
        <f ca="1">IFERROR(__xludf.DUMMYFUNCTION("GOOGLETRANSLATE(B3961,""auto"",""en"")"),"This article reveals technology and systems used to evaluate users' exercise performance by using one or more intelligent sensors, including camera -based sensors that are configured to detect the user's image data. At least one -based sensor can be insta"&amp;"lled on any appropriate structure, including fixed exercise equipment. Systems including camera -based sensors can also include storage stored in memory and being executed by one or more processors to determine the performance evaluation module of the use"&amp;"r's exercise performance based on the detected image data. The output module can output the evaluation of the performance status or instructions to take corrective measures. The fitness machine can therefore provide real -time and constructive feedback on"&amp;" user exercise performance based on sensory data and vague logic and other forms of intelligent software.")</f>
        <v>This article reveals technology and systems used to evaluate users' exercise performance by using one or more intelligent sensors, including camera -based sensors that are configured to detect the user's image data. At least one -based sensor can be installed on any appropriate structure, including fixed exercise equipment. Systems including camera -based sensors can also include storage stored in memory and being executed by one or more processors to determine the performance evaluation module of the user's exercise performance based on the detected image data. The output module can output the evaluation of the performance status or instructions to take corrective measures. The fitness machine can therefore provide real -time and constructive feedback on user exercise performance based on sensory data and vague logic and other forms of intelligent software.</v>
      </c>
      <c r="D3961" s="6" t="s">
        <v>11042</v>
      </c>
      <c r="E3961" s="4" t="str">
        <f ca="1">IFERROR(__xludf.DUMMYFUNCTION("GOOGLETRANSLATE(D3961,""auto"",""en"")"),"Movement performance evaluation and feedback based on sensors")</f>
        <v>Movement performance evaluation and feedback based on sensors</v>
      </c>
    </row>
    <row r="3962" spans="1:5" ht="15" x14ac:dyDescent="0.25">
      <c r="A3962" s="5" t="s">
        <v>11043</v>
      </c>
      <c r="B3962" s="6" t="s">
        <v>11044</v>
      </c>
      <c r="C3962" s="3" t="str">
        <f ca="1">IFERROR(__xludf.DUMMYFUNCTION("GOOGLETRANSLATE(B3962,""auto"",""en"")"),"The present invention disclosed a multifunctional cycle sink of fish swimming, including rectangular sink bodies. Among them, the sink body is separated from the segmentation layer to connect to the water channel to connect the upper section and the lower"&amp;" layer of water; There are sub -warehouse boards that separate the upper water sinks into a constant -cut surface water sink and a variable -faced water tank wedge -shaped board; a front isolation network near the wedge -shaped tip of the warehouse board;"&amp;" a rectifier plate near the front ends of the front isolation mesh; There is a rear isolation network near the base; the observation window on both sides of the upper sink is provided. Under the driving of the propeller, the water flow passes through the "&amp;"lower layer sink, and after reaching the rectification plate, the two tunnels that form a constant and transformed surface under the action of the split plate and form the warehouse. The test can be observed by observing the window, or you can use compute"&amp;"r vision to observe the behavior of fish. Therefore, the invention can simulate the advantages of different sections, intuitive reliability, and stable layer flow.")</f>
        <v>The present invention disclosed a multifunctional cycle sink of fish swimming, including rectangular sink bodies. Among them, the sink body is separated from the segmentation layer to connect to the water channel to connect the upper section and the lower layer of water; There are sub -warehouse boards that separate the upper water sinks into a constant -cut surface water sink and a variable -faced water tank wedge -shaped board; a front isolation network near the wedge -shaped tip of the warehouse board; a rectifier plate near the front ends of the front isolation mesh; There is a rear isolation network near the base; the observation window on both sides of the upper sink is provided. Under the driving of the propeller, the water flow passes through the lower layer sink, and after reaching the rectification plate, the two tunnels that form a constant and transformed surface under the action of the split plate and form the warehouse. The test can be observed by observing the window, or you can use computer vision to observe the behavior of fish. Therefore, the invention can simulate the advantages of different sections, intuitive reliability, and stable layer flow.</v>
      </c>
      <c r="D3962" s="6" t="s">
        <v>11045</v>
      </c>
      <c r="E3962" s="4" t="str">
        <f ca="1">IFERROR(__xludf.DUMMYFUNCTION("GOOGLETRANSLATE(D3962,""auto"",""en"")"),"Fish Swimming Multifunctional Cycle Sink")</f>
        <v>Fish Swimming Multifunctional Cycle Sink</v>
      </c>
    </row>
    <row r="3963" spans="1:5" ht="15" x14ac:dyDescent="0.25">
      <c r="A3963" s="5" t="s">
        <v>11046</v>
      </c>
      <c r="B3963" s="6" t="s">
        <v>11038</v>
      </c>
      <c r="C3963" s="3" t="str">
        <f ca="1">IFERROR(__xludf.DUMMYFUNCTION("GOOGLETRANSLATE(B3963,""auto"",""en"")"),"This article revealed the technology and system that uses one or more smart sensors to evaluate the exercise performance of users in the fitness system. The intelligent sensor includes at least one camera -based sensor that is configured to detect the ima"&amp;"ge data of the user. The fitness system can include fixed exercise equipment, storage of personal information about users, and at least part of the processor based on personal information about users. The fitness system can also include one or more sensor"&amp;"s to monitor the physical condition of the user, and the fuzzy system comes from one or more sensors based on at least part of the II and II). The fitness system can therefore provide real -time and constructive feedback on user exercise performance based"&amp;" on sensory data.")</f>
        <v>This article revealed the technology and system that uses one or more smart sensors to evaluate the exercise performance of users in the fitness system. The intelligent sensor includes at least one camera -based sensor that is configured to detect the image data of the user. The fitness system can include fixed exercise equipment, storage of personal information about users, and at least part of the processor based on personal information about users. The fitness system can also include one or more sensors to monitor the physical condition of the user, and the fuzzy system comes from one or more sensors based on at least part of the II and II). The fitness system can therefore provide real -time and constructive feedback on user exercise performance based on sensory data.</v>
      </c>
      <c r="D3963" s="6" t="s">
        <v>11047</v>
      </c>
      <c r="E3963" s="4" t="str">
        <f ca="1">IFERROR(__xludf.DUMMYFUNCTION("GOOGLETRANSLATE(D3963,""auto"",""en"")"),"Evaluation and feedback based on motion performance based on fuzzy logic")</f>
        <v>Evaluation and feedback based on motion performance based on fuzzy logic</v>
      </c>
    </row>
    <row r="3964" spans="1:5" ht="15" x14ac:dyDescent="0.25">
      <c r="A3964" s="5" t="s">
        <v>11048</v>
      </c>
      <c r="B3964" s="6" t="s">
        <v>11049</v>
      </c>
      <c r="C3964" s="3" t="str">
        <f ca="1">IFERROR(__xludf.DUMMYFUNCTION("GOOGLETRANSLATE(B3964,""auto"",""en"")"),"This article is a technology and system that is used to evaluate the user's exercise performance by using one or more smart sensors. The intelligent sensor includes at least one camera -based sensor configured to detect the user's image data. At least one"&amp;" camera -based sensor can be installed on any appropriate structure, including a fixed exercise device. Systems including camera -based sensors can also include storage stored in memory and can be executed by one or more processors to determine the perfor"&amp;"mance evaluation module of the user's exercise performance based on the detected image data. The output module can output the evaluation of the performance conditions of the exercise or take a instruction of corrective measures. The fitness machine can pr"&amp;"ovide real -time and constructive feedback based on sensory data and vague logic and other forms of intelligent software.")</f>
        <v>This article is a technology and system that is used to evaluate the user's exercise performance by using one or more smart sensors. The intelligent sensor includes at least one camera -based sensor configured to detect the user's image data. At least one camera -based sensor can be installed on any appropriate structure, including a fixed exercise device. Systems including camera -based sensors can also include storage stored in memory and can be executed by one or more processors to determine the performance evaluation module of the user's exercise performance based on the detected image data. The output module can output the evaluation of the performance conditions of the exercise or take a instruction of corrective measures. The fitness machine can provide real -time and constructive feedback based on sensory data and vague logic and other forms of intelligent software.</v>
      </c>
      <c r="D3964" s="6" t="s">
        <v>11042</v>
      </c>
      <c r="E3964" s="4" t="str">
        <f ca="1">IFERROR(__xludf.DUMMYFUNCTION("GOOGLETRANSLATE(D3964,""auto"",""en"")"),"Movement performance evaluation and feedback based on sensors")</f>
        <v>Movement performance evaluation and feedback based on sensors</v>
      </c>
    </row>
    <row r="3965" spans="1:5" ht="15" x14ac:dyDescent="0.25">
      <c r="A3965" s="5" t="s">
        <v>11050</v>
      </c>
      <c r="B3965" s="6" t="s">
        <v>11051</v>
      </c>
      <c r="C3965" s="3" t="str">
        <f ca="1">IFERROR(__xludf.DUMMYFUNCTION("GOOGLETRANSLATE(B3965,""auto"",""en"")"),"The present invention applies the prospects of behavioral economics to the game artificial intelligence technology, and the decisions and behaviors of non -player characters (NPC: Non Player Characters, hereinafter referred to as NPC) are close to the act"&amp;"ual selection model and behavior mode of human beings. We provide a dynamic terrain analysis of the NPC decision -making method based on the theory of dynamic terrain analysis based on the prospect theory. NPC's mobile target point algorithm. By making di"&amp;"fferent decisions of the NPC, thereby inducing various NPC behaviors, so that the three -dimensional and intelligent design of the game becomes possible, increase the immersion and game interest of game users, especially in real -time strategic games. The"&amp;" technical characteristics can be effectively applied to sports games to improve the quality of the game.")</f>
        <v>The present invention applies the prospects of behavioral economics to the game artificial intelligence technology, and the decisions and behaviors of non -player characters (NPC: Non Player Characters, hereinafter referred to as NPC) are close to the actual selection model and behavior mode of human beings. We provide a dynamic terrain analysis of the NPC decision -making method based on the theory of dynamic terrain analysis based on the prospect theory. NPC's mobile target point algorithm. By making different decisions of the NPC, thereby inducing various NPC behaviors, so that the three -dimensional and intelligent design of the game becomes possible, increase the immersion and game interest of game users, especially in real -time strategic games. The technical characteristics can be effectively applied to sports games to improve the quality of the game.</v>
      </c>
      <c r="D3965" s="6" t="s">
        <v>11052</v>
      </c>
      <c r="E3965" s="4" t="str">
        <f ca="1">IFERROR(__xludf.DUMMYFUNCTION("GOOGLETRANSLATE(D3965,""auto"",""en"")"),"NPC decision modeling method based on dynamic terrain analysis based on foreground theory")</f>
        <v>NPC decision modeling method based on dynamic terrain analysis based on foreground theory</v>
      </c>
    </row>
    <row r="3966" spans="1:5" ht="15" x14ac:dyDescent="0.25">
      <c r="A3966" s="5" t="s">
        <v>11053</v>
      </c>
      <c r="B3966" s="6" t="s">
        <v>11054</v>
      </c>
      <c r="C3966" s="3" t="str">
        <f ca="1">IFERROR(__xludf.DUMMYFUNCTION("GOOGLETRANSLATE(B3966,""auto"",""en"")"),"1. A method to determine the level of artificial intelligence levels of agricultural technology and technology, including the problem of the questions raised by the experts based on the Turing test and evaluation of the technical equipment and the answer "&amp;"received from the technical equipment. For evaluation, even if the example network is used, the equipment and training device connected according to the principle of dual -three -links are trained according to this principle, and the reference problem of "&amp;"artificial intelligence levels for agricultural technology equipment is created according to this principle. The reference problem is scored, and with the increase of the complexity of the reference problem, the level of the level system of the reference "&amp;"problem will increase and evaluate the intelligent level equipment of the technical personnel. D has continuity. In order to continue the research, the options that provide positive results are selected. The more test steps passed by the technical device,"&amp;" the higher the level of artificial intelligence in the technical device. 2. A kind of agricultural technology equipment artificial intelligence level judgment device, including network machines, is characterized by the device, including testing devices, "&amp;"logical units, and intelligent level evaluation units. ,,")</f>
        <v>1. A method to determine the level of artificial intelligence levels of agricultural technology and technology, including the problem of the questions raised by the experts based on the Turing test and evaluation of the technical equipment and the answer received from the technical equipment. For evaluation, even if the example network is used, the equipment and training device connected according to the principle of dual -three -links are trained according to this principle, and the reference problem of artificial intelligence levels for agricultural technology equipment is created according to this principle. The reference problem is scored, and with the increase of the complexity of the reference problem, the level of the level system of the reference problem will increase and evaluate the intelligent level equipment of the technical personnel. D has continuity. In order to continue the research, the options that provide positive results are selected. The more test steps passed by the technical device, the higher the level of artificial intelligence in the technical device. 2. A kind of agricultural technology equipment artificial intelligence level judgment device, including network machines, is characterized by the device, including testing devices, logical units, and intelligent level evaluation units. ,,</v>
      </c>
      <c r="D3966" s="6" t="s">
        <v>11055</v>
      </c>
      <c r="E3966" s="4" t="str">
        <f ca="1">IFERROR(__xludf.DUMMYFUNCTION("GOOGLETRANSLATE(D3966,""auto"",""en"")"),"Methods and devices for determining the level of artificial intelligence in agricultural technology equipment")</f>
        <v>Methods and devices for determining the level of artificial intelligence in agricultural technology equipment</v>
      </c>
    </row>
    <row r="3967" spans="1:5" ht="15" x14ac:dyDescent="0.25">
      <c r="A3967" s="5" t="s">
        <v>11056</v>
      </c>
      <c r="B3967" s="6" t="s">
        <v>11057</v>
      </c>
      <c r="C3967" s="3" t="str">
        <f ca="1">IFERROR(__xludf.DUMMYFUNCTION("GOOGLETRANSLATE(B3967,""auto"",""en"")"),"The invention is a fitness management system that forms a network through AP (Access Point) in the fitness area, and data communication is used between fitness management through fitness management. Among them The application is a user terminal installed "&amp;"with a guardian program. Its identification of the signal of the beacon and controlling the NFC device and fitness management application is started. The labels installed at the entrance of the fitness zone are regularly played by the signal of the beacon"&amp;"; at least one fitness device installed in the fitness area is combined with each NFC tag. Identify the signal of identifying the label under the non -activity state of the management application. When determining that the user terminal enters the user fi"&amp;"tness area of ​​the user terminal, activates the fitness management application and the NFC device in the non -activated state, so as to perform the server and the user terminal between the server and the user terminal During the data communication, the a"&amp;"ctivation status of the fitness management application When the user terminal recognizes the signal of the beacon, it is determined to be an exit signal for the user's fitness area. Enter the signal IoT sent by the server, from the preset exercise plan in"&amp;"formation from the fitness server, displayed on the screen of the user terminal, send exit signal information to the fitness server, the management application switch to the activation state when converting to non -activity state discontinued when it is d"&amp;"iscontinued when converted to non -activity state It previously involved a (Internet of Things) fitness management system. According to the present invention, providing users using fitness centers with the history and exercise plan information of the fitn"&amp;"ess center can effectively implement the training of the plan and the use of information management of the fitness center, and the fitness center can also be used by each user and the fitness of each user. The use of information can provide a fitness mana"&amp;"gement system based on the Internet of Things (IoT) that can plan and effectively manage and effectively manage the schedule for users.")</f>
        <v>The invention is a fitness management system that forms a network through AP (Access Point) in the fitness area, and data communication is used between fitness management through fitness management. Among them The application is a user terminal installed with a guardian program. Its identification of the signal of the beacon and controlling the NFC device and fitness management application is started. The labels installed at the entrance of the fitness zone are regularly played by the signal of the beacon; at least one fitness device installed in the fitness area is combined with each NFC tag. Identify the signal of identifying the label under the non -activity state of the management application. When determining that the user terminal enters the user fitness area of ​​the user terminal, activates the fitness management application and the NFC device in the non -activated state, so as to perform the server and the user terminal between the server and the user terminal During the data communication, the activation status of the fitness management application When the user terminal recognizes the signal of the beacon, it is determined to be an exit signal for the user's fitness area. Enter the signal IoT sent by the server, from the preset exercise plan information from the fitness server, displayed on the screen of the user terminal, send exit signal information to the fitness server, the management application switch to the activation state when converting to non -activity state discontinued when it is discontinued when converted to non -activity state It previously involved a (Internet of Things) fitness management system. According to the present invention, providing users using fitness centers with the history and exercise plan information of the fitness center can effectively implement the training of the plan and the use of information management of the fitness center, and the fitness center can also be used by each user and the fitness of each user. The use of information can provide a fitness management system based on the Internet of Things (IoT) that can plan and effectively manage and effectively manage the schedule for users.</v>
      </c>
      <c r="D3967" s="6" t="s">
        <v>11058</v>
      </c>
      <c r="E3967" s="4" t="str">
        <f ca="1">IFERROR(__xludf.DUMMYFUNCTION("GOOGLETRANSLATE(D3967,""auto"",""en"")"),"Fitness management system based on the Internet of Things")</f>
        <v>Fitness management system based on the Internet of Things</v>
      </c>
    </row>
    <row r="3968" spans="1:5" ht="15" x14ac:dyDescent="0.25">
      <c r="A3968" s="5" t="s">
        <v>11059</v>
      </c>
      <c r="B3968" s="6" t="s">
        <v>11060</v>
      </c>
      <c r="C3968" s="3" t="str">
        <f ca="1">IFERROR(__xludf.DUMMYFUNCTION("GOOGLETRANSLATE(B3968,""auto"",""en"")"),"The invention involves a wonderful sports video detection method driven by an audio emotion. The method of the present invention makes full use of the audio information in the video file. First, the two -stage audio emotional perception technology perceiv"&amp;"es the senior emotional semantics in the audio; in the first stage, the audio classifier based on the layered binary tree supports vector machine is constructed. The underlying audio feature recognizes the middle layer emotional type; in the second stage,"&amp;" the use of audio emotional mapping technology is mapped from the medium audio type to obtain the high -level emotional semantics type. After obtaining the high -level emotional semantics Based on the audio emotional fluctuation sequence, it is combined w"&amp;"ith mute and excited emotional semantics to locate wonderful events. The method of the present invention is simple. It uses audio emotions to detect the wonderful events of sports video from semantics. The extraordinary sports videos that are extracted ar"&amp;"e more exciting and effective for users.")</f>
        <v>The invention involves a wonderful sports video detection method driven by an audio emotion. The method of the present invention makes full use of the audio information in the video file. First, the two -stage audio emotional perception technology perceives the senior emotional semantics in the audio; in the first stage, the audio classifier based on the layered binary tree supports vector machine is constructed. The underlying audio feature recognizes the middle layer emotional type; in the second stage, the use of audio emotional mapping technology is mapped from the medium audio type to obtain the high -level emotional semantics type. After obtaining the high -level emotional semantics Based on the audio emotional fluctuation sequence, it is combined with mute and excited emotional semantics to locate wonderful events. The method of the present invention is simple. It uses audio emotions to detect the wonderful events of sports video from semantics. The extraordinary sports videos that are extracted are more exciting and effective for users.</v>
      </c>
      <c r="D3968" s="6" t="s">
        <v>11061</v>
      </c>
      <c r="E3968" s="4" t="str">
        <f ca="1">IFERROR(__xludf.DUMMYFUNCTION("GOOGLETRANSLATE(D3968,""auto"",""en"")"),"A wonderful event extraction method of sports video driven by audio emotional drive")</f>
        <v>A wonderful event extraction method of sports video driven by audio emotional drive</v>
      </c>
    </row>
    <row r="3969" spans="1:5" ht="15" x14ac:dyDescent="0.25">
      <c r="A3969" s="5" t="s">
        <v>11062</v>
      </c>
      <c r="B3969" s="6" t="s">
        <v>11063</v>
      </c>
      <c r="C3969" s="3" t="str">
        <f ca="1">IFERROR(__xludf.DUMMYFUNCTION("GOOGLETRANSLATE(B3969,""auto"",""en"")"),"The invention involves a smart swimming system based on the Internet of Things and artificial intelligence. The intelligent swimming system based on the Internet of Things and artificial intelligence can prevent drowning accidents through intelligent swim"&amp;"ming bracelets and intelligent monitoring life systems, and it is easy to locate and rescue. The smart swimming bracelets, intelligent monitoring life systems, cloud platforms, and mobile clients worn by swimmers can develop corresponding exercise plans f"&amp;"or different swimmers.")</f>
        <v>The invention involves a smart swimming system based on the Internet of Things and artificial intelligence. The intelligent swimming system based on the Internet of Things and artificial intelligence can prevent drowning accidents through intelligent swimming bracelets and intelligent monitoring life systems, and it is easy to locate and rescue. The smart swimming bracelets, intelligent monitoring life systems, cloud platforms, and mobile clients worn by swimmers can develop corresponding exercise plans for different swimmers.</v>
      </c>
      <c r="D3969" s="6" t="s">
        <v>11064</v>
      </c>
      <c r="E3969" s="4" t="str">
        <f ca="1">IFERROR(__xludf.DUMMYFUNCTION("GOOGLETRANSLATE(D3969,""auto"",""en"")"),"Intelligent swimming system based on the Internet of Things and artificial intelligence")</f>
        <v>Intelligent swimming system based on the Internet of Things and artificial intelligence</v>
      </c>
    </row>
    <row r="3970" spans="1:5" ht="15" x14ac:dyDescent="0.25">
      <c r="A3970" s="5" t="s">
        <v>11065</v>
      </c>
      <c r="B3970" s="6" t="s">
        <v>11066</v>
      </c>
      <c r="C3970" s="3" t="str">
        <f ca="1">IFERROR(__xludf.DUMMYFUNCTION("GOOGLETRANSLATE(B3970,""auto"",""en"")"),"The present invention provides a wonderful sports event reminder device and method, which is suitable for connecting a TV to watch sports events. This device includes video acquisition modules, image recognition modules, and reminders. Save the video mate"&amp;"rial; the image recognition module conducts semantic analysis of the video flow and audio stream of the video material, and analyzes and determine whether the video screen is a wonderful lens that the user loves. If it is, the image recognition module sen"&amp;"ds a reminder signal; After the reminder signal, monitor the user's heart rate and determine whether the user is in a sleep state. If it is, the reminder module issues reminders.")</f>
        <v>The present invention provides a wonderful sports event reminder device and method, which is suitable for connecting a TV to watch sports events. This device includes video acquisition modules, image recognition modules, and reminders. Save the video material; the image recognition module conducts semantic analysis of the video flow and audio stream of the video material, and analyzes and determine whether the video screen is a wonderful lens that the user loves. If it is, the image recognition module sends a reminder signal; After the reminder signal, monitor the user's heart rate and determine whether the user is in a sleep state. If it is, the reminder module issues reminders.</v>
      </c>
      <c r="D3970" s="6" t="s">
        <v>11067</v>
      </c>
      <c r="E3970" s="4" t="str">
        <f ca="1">IFERROR(__xludf.DUMMYFUNCTION("GOOGLETRANSLATE(D3970,""auto"",""en"")"),"Reminder device and method of wonderful sports events")</f>
        <v>Reminder device and method of wonderful sports events</v>
      </c>
    </row>
    <row r="3971" spans="1:5" ht="15" x14ac:dyDescent="0.25">
      <c r="A3971" s="5" t="s">
        <v>11068</v>
      </c>
      <c r="B3971" s="6" t="s">
        <v>11069</v>
      </c>
      <c r="C3971" s="3" t="str">
        <f ca="1">IFERROR(__xludf.DUMMYFUNCTION("GOOGLETRANSLATE(B3971,""auto"",""en"")"),"Automatic voice recognition method, this method includes the following steps:
  Receive voice signals (10, 30),,
  Divide the voice signal into a time window,
  For each time window;
  Determine the acoustic parameters of the v"&amp;"oice signal in the window (31 to 36), and identify the voice features from acoustic parameters (51) to generate the voice characteristics sequence for the voice signal,
  By determining the instability scores of each time point in the rhyme feature"&amp;" sequence, divide the rhyme feature sequence into a regional sequence (13);
  Determine the jitter score by comparing the characteristics of the extraction at a time point and the features extracted before that point point, and return to the config"&amp;"urable milliseconds; To identify stable areas and unstable areas, the unstable zone is between the stable area (65); and compare the regional sequence with the vocabulary entry containing the voice fragment sequence in the storage dictionary to identify o"&amp;"ne or more in the voice signal One word (14, 15, 16); Among them, for a vocabulary bar, it includes the voice paragraph description of a word; match the stable area with the vocabulary bar voice fragment The voice characteristics of the existence determin"&amp;"e the punishment of each voice characteristics; yes
  For each voice features in unstable areas, the vocabulary strips that are aligned with the stable area on each side of the unstable area to determine the voice characteristics of the voice fragm"&amp;"ent to determine the punishment of the unstable area. Punishment to contribute to match the score; yes
  Calculate the score of the competition based on the determined penalty.")</f>
        <v>Automatic voice recognition method, this method includes the following steps:
  Receive voice signals (10, 30),,
  Divide the voice signal into a time window,
  For each time window;
  Determine the acoustic parameters of the voice signal in the window (31 to 36), and identify the voice features from acoustic parameters (51) to generate the voice characteristics sequence for the voice signal,
  By determining the instability scores of each time point in the rhyme feature sequence, divide the rhyme feature sequence into a regional sequence (13);
  Determine the jitter score by comparing the characteristics of the extraction at a time point and the features extracted before that point point, and return to the configurable milliseconds; To identify stable areas and unstable areas, the unstable zone is between the stable area (65); and compare the regional sequence with the vocabulary entry containing the voice fragment sequence in the storage dictionary to identify one or more in the voice signal One word (14, 15, 16); Among them, for a vocabulary bar, it includes the voice paragraph description of a word; match the stable area with the vocabulary bar voice fragment The voice characteristics of the existence determine the punishment of each voice characteristics; yes
  For each voice features in unstable areas, the vocabulary strips that are aligned with the stable area on each side of the unstable area to determine the voice characteristics of the voice fragment to determine the punishment of the unstable area. Punishment to contribute to match the score; yes
  Calculate the score of the competition based on the determined penalty.</v>
      </c>
      <c r="D3971" s="6" t="s">
        <v>11070</v>
      </c>
      <c r="E3971" s="4" t="str">
        <f ca="1">IFERROR(__xludf.DUMMYFUNCTION("GOOGLETRANSLATE(D3971,""auto"",""en"")"),"Methods and devices of automatic voice recognition")</f>
        <v>Methods and devices of automatic voice recognition</v>
      </c>
    </row>
    <row r="3972" spans="1:5" ht="15" x14ac:dyDescent="0.25">
      <c r="A3972" s="5" t="s">
        <v>11071</v>
      </c>
      <c r="B3972" s="6" t="s">
        <v>11072</v>
      </c>
      <c r="C3972" s="3" t="str">
        <f ca="1">IFERROR(__xludf.DUMMYFUNCTION("GOOGLETRANSLATE(B3972,""auto"",""en"")"),"This utility model discloses a score timing system based on the Internet of Things, including the radio frequency label module with unique identifiers; the information collection module placed on both ends of the lane, each information collection module p"&amp;"asses through the first radio frequency reader from swimming from swimming. The RF label module of the person reads the unique identifier; the unique identifier of the Readed RF label module is transmitted to the server through the first communication sub"&amp;" -module; and the grade query module and the score display. This utility type is set up on both ends of the tideor lane and uses the first radio frequency reader to obtain the identifier of the radio frequency label module worn by swimmers. The swimming s"&amp;"core corresponding to the radio frequency tag module is uniformly recorded by the server. Swimming results; per capita use costs can be ignored, and the timing accuracy can reach 0.01s, so as to meet the timing needs of various swimming venues of indoor a"&amp;"nd outdoor.")</f>
        <v>This utility model discloses a score timing system based on the Internet of Things, including the radio frequency label module with unique identifiers; the information collection module placed on both ends of the lane, each information collection module passes through the first radio frequency reader from swimming from swimming. The RF label module of the person reads the unique identifier; the unique identifier of the Readed RF label module is transmitted to the server through the first communication sub -module; and the grade query module and the score display. This utility type is set up on both ends of the tideor lane and uses the first radio frequency reader to obtain the identifier of the radio frequency label module worn by swimmers. The swimming score corresponding to the radio frequency tag module is uniformly recorded by the server. Swimming results; per capita use costs can be ignored, and the timing accuracy can reach 0.01s, so as to meet the timing needs of various swimming venues of indoor and outdoor.</v>
      </c>
      <c r="D3972" s="6" t="s">
        <v>11073</v>
      </c>
      <c r="E3972" s="4" t="str">
        <f ca="1">IFERROR(__xludf.DUMMYFUNCTION("GOOGLETRANSLATE(D3972,""auto"",""en"")"),"Swimming Palace Movement Time System based on the Internet of Things")</f>
        <v>Swimming Palace Movement Time System based on the Internet of Things</v>
      </c>
    </row>
    <row r="3973" spans="1:5" ht="15" x14ac:dyDescent="0.25">
      <c r="A3973" s="5" t="s">
        <v>11074</v>
      </c>
      <c r="B3973" s="6" t="s">
        <v>11075</v>
      </c>
      <c r="C3973" s="3" t="str">
        <f ca="1">IFERROR(__xludf.DUMMYFUNCTION("GOOGLETRANSLATE(B3973,""auto"",""en"")"),"The invention disclosed a timing system and time method based on the Internet of Things swimming stadium movement, including the radio frequency label module with unique identifier; the information collection module placed on both ends of the lane, each i"&amp;"nformation collection module passed the first RF reader through the first RF reader Read the unique identifier from the radio frequency label module worn by swimmers; transfer the unique identifier of the Readed RF label module to the server through the f"&amp;"irst communication submucting module; and the grade query module and the grade display. By setting up an information collection module at both ends of the lane, the present invention uses the first radio frequency reader to obtain the identifier of the ra"&amp;"dio frequency label module worn by the swimmer. The swimming score corresponding to the radio frequency label module is uniformly recorded through the server. The grades of the person; the per capita use cost can be ignored, and the timing accuracy can re"&amp;"ach 0.01s, which can well meet the timing needs of various swimming stadiums in the indoor and outside.")</f>
        <v>The invention disclosed a timing system and time method based on the Internet of Things swimming stadium movement, including the radio frequency label module with unique identifier; the information collection module placed on both ends of the lane, each information collection module passed the first RF reader through the first RF reader Read the unique identifier from the radio frequency label module worn by swimmers; transfer the unique identifier of the Readed RF label module to the server through the first communication submucting module; and the grade query module and the grade display. By setting up an information collection module at both ends of the lane, the present invention uses the first radio frequency reader to obtain the identifier of the radio frequency label module worn by the swimmer. The swimming score corresponding to the radio frequency label module is uniformly recorded through the server. The grades of the person; the per capita use cost can be ignored, and the timing accuracy can reach 0.01s, which can well meet the timing needs of various swimming stadiums in the indoor and outside.</v>
      </c>
      <c r="D3973" s="6" t="s">
        <v>10775</v>
      </c>
      <c r="E3973" s="4" t="str">
        <f ca="1">IFERROR(__xludf.DUMMYFUNCTION("GOOGLETRANSLATE(D3973,""auto"",""en"")"),"The timing system and timing method of swimming stadium -based swimming stadiums based on the Internet of Things")</f>
        <v>The timing system and timing method of swimming stadium -based swimming stadiums based on the Internet of Things</v>
      </c>
    </row>
    <row r="3974" spans="1:5" ht="15" x14ac:dyDescent="0.25">
      <c r="A3974" s="5" t="s">
        <v>11076</v>
      </c>
      <c r="B3974" s="6" t="s">
        <v>11077</v>
      </c>
      <c r="C3974" s="3" t="str">
        <f ca="1">IFERROR(__xludf.DUMMYFUNCTION("GOOGLETRANSLATE(B3974,""auto"",""en"")"),"This utility model involves a Chinese character -based template pen. There is a pair of guide rails in the base, which is fixed on a pair of guide; the main axis is fixed on the auxiliary seat fixing film; There is a rotary chassis on the upper fix, and t"&amp;"he turntable is buckled in the rotary chassis; the turntable is fixed with a base; the arm fixing plate is fixed on the raising track; One end is fixed with hinges, and the hinge is hinged with the grip. This practical new type has abandoned the method of"&amp;" writing characters in traditional copybooks. It adopts the traditional mode of teacher handle and teach teaching to practice characters to achieve an immersive experience; the design institution uses multiple flexible return institutions, so that the pro"&amp;"cess of teaching practice in teaching is used Among the details of each stroke, the entire equipment can be controlled by artificial intelligence. It can simulate different styles of different fonts according to the customized system.")</f>
        <v>This utility model involves a Chinese character -based template pen. There is a pair of guide rails in the base, which is fixed on a pair of guide; the main axis is fixed on the auxiliary seat fixing film; There is a rotary chassis on the upper fix, and the turntable is buckled in the rotary chassis; the turntable is fixed with a base; the arm fixing plate is fixed on the raising track; One end is fixed with hinges, and the hinge is hinged with the grip. This practical new type has abandoned the method of writing characters in traditional copybooks. It adopts the traditional mode of teacher handle and teach teaching to practice characters to achieve an immersive experience; the design institution uses multiple flexible return institutions, so that the process of teaching practice in teaching is used Among the details of each stroke, the entire equipment can be controlled by artificial intelligence. It can simulate different styles of different fonts according to the customized system.</v>
      </c>
      <c r="D3974" s="6" t="s">
        <v>11078</v>
      </c>
      <c r="E3974" s="4" t="str">
        <f ca="1">IFERROR(__xludf.DUMMYFUNCTION("GOOGLETRANSLATE(D3974,""auto"",""en"")"),"A Chinese word -based template pen")</f>
        <v>A Chinese word -based template pen</v>
      </c>
    </row>
    <row r="3975" spans="1:5" ht="15" x14ac:dyDescent="0.25">
      <c r="A3975" s="5" t="s">
        <v>11079</v>
      </c>
      <c r="B3975" s="6" t="s">
        <v>11080</v>
      </c>
      <c r="C3975" s="3" t="str">
        <f ca="1">IFERROR(__xludf.DUMMYFUNCTION("GOOGLETRANSLATE(B3975,""auto"",""en"")"),"A computer implementation system and method for lightweight identity verification in the Internet of Things data newspaper provides a stable identity verification scheme based on two endpoints that shared pre-sharing secrets. In the present invention, a s"&amp;"ecurity mechanism that integrates authentication and key management is used. This provides mutual certification, which is characterized by providing pre -shared secrets to the endpoint of the system during the preparation stage, and provides client databa"&amp;"ses on the server side for client recognition. The system includes random number generators for generating random numbers and key generators for generating secret keys and session keys. Random numbers and keys are only valid during the session, so it help"&amp;"s to provide cross -session security authentication.
  The system can also adapt to the transmission layer protocol, such as DTLS and integrated into the application layer protocol, such as the restricted device Coap.")</f>
        <v>A computer implementation system and method for lightweight identity verification in the Internet of Things data newspaper provides a stable identity verification scheme based on two endpoints that shared pre-sharing secrets. In the present invention, a security mechanism that integrates authentication and key management is used. This provides mutual certification, which is characterized by providing pre -shared secrets to the endpoint of the system during the preparation stage, and provides client databases on the server side for client recognition. The system includes random number generators for generating random numbers and key generators for generating secret keys and session keys. Random numbers and keys are only valid during the session, so it helps to provide cross -session security authentication.
  The system can also adapt to the transmission layer protocol, such as DTLS and integrated into the application layer protocol, such as the restricted device Coap.</v>
      </c>
      <c r="D3975" s="6" t="s">
        <v>11081</v>
      </c>
      <c r="E3975" s="4" t="str">
        <f ca="1">IFERROR(__xludf.DUMMYFUNCTION("GOOGLETRANSLATE(D3975,""auto"",""en"")"),"The computer implementation system and method of lightweight authentication in the Internet of Things database transmission")</f>
        <v>The computer implementation system and method of lightweight authentication in the Internet of Things database transmission</v>
      </c>
    </row>
    <row r="3976" spans="1:5" ht="15" x14ac:dyDescent="0.25">
      <c r="A3976" s="5" t="s">
        <v>11082</v>
      </c>
      <c r="B3976" s="6" t="s">
        <v>11083</v>
      </c>
      <c r="C3976" s="3" t="str">
        <f ca="1">IFERROR(__xludf.DUMMYFUNCTION("GOOGLETRANSLATE(B3976,""auto"",""en"")"),"This device provides an IoT device that uses the intelligent network terminal apartment in entertainment. It belongs to the fields of electronics and wireless communication, including treadmills, heart rate, and blood pressure meter modules, smart TV or s"&amp;"mart set -top box modules, and Internet modules. The main function of this device is to connect the treadmill, heart rate, and blood pressure meter, etc., connect with smart TVs or smart set -top boxes, and then interconnect with the same user in the Inte"&amp;"rnet through the Internet. In a certain period of time, the competition. Various data are transmitted to each other through wireless networks and presented on the TV screen. The image of the person on the treadmill can be presented on the road or the edge"&amp;" of the field with the similar dynamics of the treadmill to increase the fun of exercise.")</f>
        <v>This device provides an IoT device that uses the intelligent network terminal apartment in entertainment. It belongs to the fields of electronics and wireless communication, including treadmills, heart rate, and blood pressure meter modules, smart TV or smart set -top box modules, and Internet modules. The main function of this device is to connect the treadmill, heart rate, and blood pressure meter, etc., connect with smart TVs or smart set -top boxes, and then interconnect with the same user in the Internet through the Internet. In a certain period of time, the competition. Various data are transmitted to each other through wireless networks and presented on the TV screen. The image of the person on the treadmill can be presented on the road or the edge of the field with the similar dynamics of the treadmill to increase the fun of exercise.</v>
      </c>
      <c r="D3976" s="6" t="s">
        <v>11084</v>
      </c>
      <c r="E3976" s="4" t="str">
        <f ca="1">IFERROR(__xludf.DUMMYFUNCTION("GOOGLETRANSLATE(D3976,""auto"",""en"")"),"Application of intelligent network terminals to exercise in entertainment IoT devices")</f>
        <v>Application of intelligent network terminals to exercise in entertainment IoT devices</v>
      </c>
    </row>
    <row r="3977" spans="1:5" ht="15" x14ac:dyDescent="0.25">
      <c r="A3977" s="5" t="s">
        <v>11085</v>
      </c>
      <c r="B3977" s="6" t="s">
        <v>10580</v>
      </c>
      <c r="C3977" s="3" t="str">
        <f ca="1">IFERROR(__xludf.DUMMYFUNCTION("GOOGLETRANSLATE(B3977,""auto"",""en"")"),"A system and method for identifying and timing athletes during the time sports event. The athletes use image recognition technology to take time to athletes. Among them, one or more images of athletes taken by cameras (106A, 106B, or 106C) were stamped wi"&amp;"th time stamps to generate athletes' completion time during sports events. By comparing one of the images that will be taken during the sports event, the athlete is compared with the athlete's personal data image.")</f>
        <v>A system and method for identifying and timing athletes during the time sports event. The athletes use image recognition technology to take time to athletes. Among them, one or more images of athletes taken by cameras (106A, 106B, or 106C) were stamped with time stamps to generate athletes' completion time during sports events. By comparing one of the images that will be taken during the sports event, the athlete is compared with the athlete's personal data image.</v>
      </c>
      <c r="D3977" s="6" t="s">
        <v>10581</v>
      </c>
      <c r="E3977" s="4" t="str">
        <f ca="1">IFERROR(__xludf.DUMMYFUNCTION("GOOGLETRANSLATE(D3977,""auto"",""en"")"),"Systems and methods used for event timing and photography")</f>
        <v>Systems and methods used for event timing and photography</v>
      </c>
    </row>
    <row r="3978" spans="1:5" ht="15" x14ac:dyDescent="0.25">
      <c r="A3978" s="5" t="s">
        <v>11086</v>
      </c>
      <c r="B3978" s="6" t="s">
        <v>10580</v>
      </c>
      <c r="C3978" s="3" t="str">
        <f ca="1">IFERROR(__xludf.DUMMYFUNCTION("GOOGLETRANSLATE(B3978,""auto"",""en"")"),"A system and method for identifying and timing athletes during the time sports event. The athletes use image recognition technology to take time to athletes. Among them, one or more images of athletes taken by cameras (106A, 106B, or 106C) were stamped wi"&amp;"th time stamps to generate athletes' completion time during sports events. By comparing one of the images that will be taken during the sports event, the athlete is compared with the athlete's personal data image.")</f>
        <v>A system and method for identifying and timing athletes during the time sports event. The athletes use image recognition technology to take time to athletes. Among them, one or more images of athletes taken by cameras (106A, 106B, or 106C) were stamped with time stamps to generate athletes' completion time during sports events. By comparing one of the images that will be taken during the sports event, the athlete is compared with the athlete's personal data image.</v>
      </c>
      <c r="D3978" s="6" t="s">
        <v>10581</v>
      </c>
      <c r="E3978" s="4" t="str">
        <f ca="1">IFERROR(__xludf.DUMMYFUNCTION("GOOGLETRANSLATE(D3978,""auto"",""en"")"),"Systems and methods used for event timing and photography")</f>
        <v>Systems and methods used for event timing and photography</v>
      </c>
    </row>
    <row r="3979" spans="1:5" ht="15" x14ac:dyDescent="0.25">
      <c r="A3979" s="5" t="s">
        <v>11087</v>
      </c>
      <c r="B3979" s="6" t="s">
        <v>11088</v>
      </c>
      <c r="C3979" s="3" t="str">
        <f ca="1">IFERROR(__xludf.DUMMYFUNCTION("GOOGLETRANSLATE(B3979,""auto"",""en"")"),"This utility model involves an IoT device that applies smart network terminals in entertainment. It belongs to the fields of electronics and wireless communications, including treadmills, heart rate, blood pressure meter modules, smart TV or smart set -to"&amp;"p box modules, Internet Module. The main function of this device is to connect the treadmill, heart rate, and blood pressure meter, etc., connect with smart TVs or smart set -top boxes, and then interconnect with the same user in the Internet through the "&amp;"Internet. In a certain period of time, the competition. Various data are transmitted to each other through wireless networks and presented on the TV screen. The image of the person on the treadmill can be presented on the road or the edge of the field wit"&amp;"h the similar dynamics of the treadmill to increase the fun of exercise.")</f>
        <v>This utility model involves an IoT device that applies smart network terminals in entertainment. It belongs to the fields of electronics and wireless communications, including treadmills, heart rate, blood pressure meter modules, smart TV or smart set -top box modules, Internet Module. The main function of this device is to connect the treadmill, heart rate, and blood pressure meter, etc., connect with smart TVs or smart set -top boxes, and then interconnect with the same user in the Internet through the Internet. In a certain period of time, the competition. Various data are transmitted to each other through wireless networks and presented on the TV screen. The image of the person on the treadmill can be presented on the road or the edge of the field with the similar dynamics of the treadmill to increase the fun of exercise.</v>
      </c>
      <c r="D3979" s="6" t="s">
        <v>11084</v>
      </c>
      <c r="E3979" s="4" t="str">
        <f ca="1">IFERROR(__xludf.DUMMYFUNCTION("GOOGLETRANSLATE(D3979,""auto"",""en"")"),"Application of intelligent network terminals to exercise in entertainment IoT devices")</f>
        <v>Application of intelligent network terminals to exercise in entertainment IoT devices</v>
      </c>
    </row>
    <row r="3980" spans="1:5" ht="15" x14ac:dyDescent="0.25">
      <c r="A3980" s="5" t="s">
        <v>11089</v>
      </c>
      <c r="B3980" s="6" t="s">
        <v>11090</v>
      </c>
      <c r="C3980" s="3" t="str">
        <f ca="1">IFERROR(__xludf.DUMMYFUNCTION("GOOGLETRANSLATE(B3980,""auto"",""en"")"),"It provides systems and methods for identifying and timing athletes used during the time sports event. Athletes were used to use image recognition technology. Among them, one or more images of athletes captured by cameras (106A, 106B, or 106C) were captur"&amp;"ed during sports events. Time stamp to generate athlete's completion time. By comparing one of the images obtained during the sports event, the athletes are compared with the athlete's personal data image.
  【Selection Figure】 Figure 2")</f>
        <v>It provides systems and methods for identifying and timing athletes used during the time sports event. Athletes were used to use image recognition technology. Among them, one or more images of athletes captured by cameras (106A, 106B, or 106C) were captured during sports events. Time stamp to generate athlete's completion time. By comparing one of the images obtained during the sports event, the athletes are compared with the athlete's personal data image.
  【Selection Figure】 Figure 2</v>
      </c>
      <c r="D3980" s="6" t="s">
        <v>10581</v>
      </c>
      <c r="E3980" s="4" t="str">
        <f ca="1">IFERROR(__xludf.DUMMYFUNCTION("GOOGLETRANSLATE(D3980,""auto"",""en"")"),"Systems and methods used for event timing and photography")</f>
        <v>Systems and methods used for event timing and photography</v>
      </c>
    </row>
    <row r="3981" spans="1:5" ht="15" x14ac:dyDescent="0.25">
      <c r="A3981" s="5" t="s">
        <v>11091</v>
      </c>
      <c r="B3981" s="6" t="s">
        <v>10580</v>
      </c>
      <c r="C3981" s="3" t="str">
        <f ca="1">IFERROR(__xludf.DUMMYFUNCTION("GOOGLETRANSLATE(B3981,""auto"",""en"")"),"A system and method for identifying and timing athletes during the time sports event. The athletes use image recognition technology to take time to athletes. Among them, one or more images of athletes taken by cameras (106A, 106B, or 106C) were stamped wi"&amp;"th time stamps to generate athletes' completion time during sports events. By comparing one of the images that will be taken during the sports event, the athlete is compared with the athlete's personal data image.")</f>
        <v>A system and method for identifying and timing athletes during the time sports event. The athletes use image recognition technology to take time to athletes. Among them, one or more images of athletes taken by cameras (106A, 106B, or 106C) were stamped with time stamps to generate athletes' completion time during sports events. By comparing one of the images that will be taken during the sports event, the athlete is compared with the athlete's personal data image.</v>
      </c>
      <c r="D3981" s="6" t="s">
        <v>10581</v>
      </c>
      <c r="E3981" s="4" t="str">
        <f ca="1">IFERROR(__xludf.DUMMYFUNCTION("GOOGLETRANSLATE(D3981,""auto"",""en"")"),"Systems and methods used for event timing and photography")</f>
        <v>Systems and methods used for event timing and photography</v>
      </c>
    </row>
    <row r="3982" spans="1:5" ht="15" x14ac:dyDescent="0.25">
      <c r="A3982" s="5" t="s">
        <v>11092</v>
      </c>
      <c r="B3982" s="6" t="s">
        <v>11093</v>
      </c>
      <c r="C3982" s="3" t="str">
        <f ca="1">IFERROR(__xludf.DUMMYFUNCTION("GOOGLETRANSLATE(B3982,""auto"",""en"")"),"A system and method for identifying and timing athletes during the time sports event. The athletes use image recognition technology to timing the athletes. Among them, one or more images (106 A, 106 B, or 106 C) taken by athletes taken by cameras during t"&amp;"he sports event have a time stamp to generate the time for the athletes. By comparing one of the images that will be taken during the sports event, the athlete is compared with the athlete's personal data image.")</f>
        <v>A system and method for identifying and timing athletes during the time sports event. The athletes use image recognition technology to timing the athletes. Among them, one or more images (106 A, 106 B, or 106 C) taken by athletes taken by cameras during the sports event have a time stamp to generate the time for the athletes. By comparing one of the images that will be taken during the sports event, the athlete is compared with the athlete's personal data image.</v>
      </c>
      <c r="D3982" s="6" t="s">
        <v>10581</v>
      </c>
      <c r="E3982" s="4" t="str">
        <f ca="1">IFERROR(__xludf.DUMMYFUNCTION("GOOGLETRANSLATE(D3982,""auto"",""en"")"),"Systems and methods used for event timing and photography")</f>
        <v>Systems and methods used for event timing and photography</v>
      </c>
    </row>
    <row r="3983" spans="1:5" ht="15" x14ac:dyDescent="0.25">
      <c r="A3983" s="5" t="s">
        <v>11094</v>
      </c>
      <c r="B3983" s="6" t="s">
        <v>11095</v>
      </c>
      <c r="C3983" s="3" t="str">
        <f ca="1">IFERROR(__xludf.DUMMYFUNCTION("GOOGLETRANSLATE(B3983,""auto"",""en"")"),"A system and method for identifying and timing athletes during the time sports event. Using image recognition technology to take timely time for athletes. Among them, one or more athlete images taken by cameras (106A, 106B, or 106C) during sports events w"&amp;"ere stamped with time stamps to generate athletes' completion time. By comparing one of the images that will be taken during the sports event, the athlete is compared with the athlete's personal data image.")</f>
        <v>A system and method for identifying and timing athletes during the time sports event. Using image recognition technology to take timely time for athletes. Among them, one or more athlete images taken by cameras (106A, 106B, or 106C) during sports events were stamped with time stamps to generate athletes' completion time. By comparing one of the images that will be taken during the sports event, the athlete is compared with the athlete's personal data image.</v>
      </c>
      <c r="D3983" s="6" t="s">
        <v>10581</v>
      </c>
      <c r="E3983" s="4" t="str">
        <f ca="1">IFERROR(__xludf.DUMMYFUNCTION("GOOGLETRANSLATE(D3983,""auto"",""en"")"),"Systems and methods used for event timing and photography")</f>
        <v>Systems and methods used for event timing and photography</v>
      </c>
    </row>
    <row r="3984" spans="1:5" ht="15" x14ac:dyDescent="0.25">
      <c r="A3984" s="5" t="s">
        <v>11096</v>
      </c>
      <c r="B3984" s="6" t="s">
        <v>11097</v>
      </c>
      <c r="C3984" s="3" t="str">
        <f ca="1">IFERROR(__xludf.DUMMYFUNCTION("GOOGLETRANSLATE(B3984,""auto"",""en"")"),"A system that is used to identify and timed athletes during the time sports event that athletes participates in. This system includes:
  Camera (106), which is configured to capture the athlete's video editing when the athletes pass through the photo ar"&amp;"ea (118);
  The competition timer (120) is configured as the timing company operation, for sports competitions;
  Media database for storing images (104); and
  The processor (102), the configuration is:
  Pre -match images before the start of spo"&amp;"rts events (110), and
  Athletes stored in the media database wearing images of clothing on the game during the sports event;
  Among them, the processor (102) uses image recognition technology to compare the image before the event (110) with the imag"&amp;"e containing the athletes of the athletes.
  Associate the athlete's name and age with the image taken during sports events; and
  Related the target time with the athletes.")</f>
        <v>A system that is used to identify and timed athletes during the time sports event that athletes participates in. This system includes:
  Camera (106), which is configured to capture the athlete's video editing when the athletes pass through the photo area (118);
  The competition timer (120) is configured as the timing company operation, for sports competitions;
  Media database for storing images (104); and
  The processor (102), the configuration is:
  Pre -match images before the start of sports events (110), and
  Athletes stored in the media database wearing images of clothing on the game during the sports event;
  Among them, the processor (102) uses image recognition technology to compare the image before the event (110) with the image containing the athletes of the athletes.
  Associate the athlete's name and age with the image taken during sports events; and
  Related the target time with the athletes.</v>
      </c>
      <c r="D3984" s="6" t="s">
        <v>11098</v>
      </c>
      <c r="E3984" s="4" t="str">
        <f ca="1">IFERROR(__xludf.DUMMYFUNCTION("GOOGLETRANSLATE(D3984,""auto"",""en"")"),"The system for measuring time and shooting events")</f>
        <v>The system for measuring time and shooting events</v>
      </c>
    </row>
    <row r="3985" spans="1:5" ht="15" x14ac:dyDescent="0.25">
      <c r="A3985" s="5" t="s">
        <v>11099</v>
      </c>
      <c r="B3985" s="6" t="s">
        <v>11100</v>
      </c>
      <c r="C3985" s="3" t="str">
        <f ca="1">IFERROR(__xludf.DUMMYFUNCTION("GOOGLETRANSLATE(B3985,""auto"",""en"")"),"This device provides virtual game devices for the application of smart network terminals through stereo vision and vibration, including table tennis rackets and LED light emitting modules, vibration modules, camera modules, stereo visual modules, audio mo"&amp;"dules. The main function of this device is to place two LED light -emitting modules on the table tennis racket by placing two camera modules on the client. Through space computer vision technology, the position of the racket and the orientation of the rac"&amp;"ket surface. On the other hand, by calculating the location of space table tennis, if it collides with table tennis rackets. The vibration module installed on the table tennis racket will produce a vibration feel. At the same time, the audio device module"&amp;" emits audio. The same sound will also emit on the desktop according to the speed and angle of table tennis, which can form a real scene of a double game.")</f>
        <v>This device provides virtual game devices for the application of smart network terminals through stereo vision and vibration, including table tennis rackets and LED light emitting modules, vibration modules, camera modules, stereo visual modules, audio modules. The main function of this device is to place two LED light -emitting modules on the table tennis racket by placing two camera modules on the client. Through space computer vision technology, the position of the racket and the orientation of the racket surface. On the other hand, by calculating the location of space table tennis, if it collides with table tennis rackets. The vibration module installed on the table tennis racket will produce a vibration feel. At the same time, the audio device module emits audio. The same sound will also emit on the desktop according to the speed and angle of table tennis, which can form a real scene of a double game.</v>
      </c>
      <c r="D3985" s="6" t="s">
        <v>11101</v>
      </c>
      <c r="E3985" s="4" t="str">
        <f ca="1">IFERROR(__xludf.DUMMYFUNCTION("GOOGLETRANSLATE(D3985,""auto"",""en"")"),"The virtual game device implemented by the intelligent network terminal through stereo vision and oscillator")</f>
        <v>The virtual game device implemented by the intelligent network terminal through stereo vision and oscillator</v>
      </c>
    </row>
    <row r="3986" spans="1:5" ht="15" x14ac:dyDescent="0.25">
      <c r="A3986" s="5" t="s">
        <v>11102</v>
      </c>
      <c r="B3986" s="6" t="s">
        <v>11100</v>
      </c>
      <c r="C3986" s="3" t="str">
        <f ca="1">IFERROR(__xludf.DUMMYFUNCTION("GOOGLETRANSLATE(B3986,""auto"",""en"")"),"This device provides virtual game devices for the application of smart network terminals through stereo vision and vibration, including table tennis rackets and LED light emitting modules, vibration modules, camera modules, stereo visual modules, audio mo"&amp;"dules. The main function of this device is to place two LED light -emitting modules on the table tennis racket by placing two camera modules on the client. Through space computer vision technology, the position of the racket and the orientation of the rac"&amp;"ket surface. On the other hand, by calculating the location of space table tennis, if it collides with table tennis rackets. The vibration module installed on the table tennis racket will produce a vibration feel. At the same time, the audio device module"&amp;" emits audio. The same sound will also emit on the desktop according to the speed and angle of table tennis, which can form a real scene of a double game.")</f>
        <v>This device provides virtual game devices for the application of smart network terminals through stereo vision and vibration, including table tennis rackets and LED light emitting modules, vibration modules, camera modules, stereo visual modules, audio modules. The main function of this device is to place two LED light -emitting modules on the table tennis racket by placing two camera modules on the client. Through space computer vision technology, the position of the racket and the orientation of the racket surface. On the other hand, by calculating the location of space table tennis, if it collides with table tennis rackets. The vibration module installed on the table tennis racket will produce a vibration feel. At the same time, the audio device module emits audio. The same sound will also emit on the desktop according to the speed and angle of table tennis, which can form a real scene of a double game.</v>
      </c>
      <c r="D3986" s="6" t="s">
        <v>11101</v>
      </c>
      <c r="E3986" s="4" t="str">
        <f ca="1">IFERROR(__xludf.DUMMYFUNCTION("GOOGLETRANSLATE(D3986,""auto"",""en"")"),"The virtual game device implemented by the intelligent network terminal through stereo vision and oscillator")</f>
        <v>The virtual game device implemented by the intelligent network terminal through stereo vision and oscillator</v>
      </c>
    </row>
    <row r="3987" spans="1:5" ht="15" x14ac:dyDescent="0.25">
      <c r="A3987" s="5" t="s">
        <v>11103</v>
      </c>
      <c r="B3987" s="6" t="s">
        <v>11104</v>
      </c>
      <c r="C3987" s="3" t="str">
        <f ca="1">IFERROR(__xludf.DUMMYFUNCTION("GOOGLETRANSLATE(B3987,""auto"",""en"")"),"Examples of the present invention disclose a detection method and device for a penalty, corner kick and a free kick, involve the field of computer vision to determine the positioning ball event that occurs in a video fragment consisting of a continuous N "&amp;"-mid -lens image frame. type. In the embodiment of the present invention, for Ren Yizhong lens image frame in the live broadcast of the football game, according to the football field and football area of ​​the middle lens image frame, the football in the "&amp;"middle lens image frame is in football The location information and football size in the lawn area; when the location information of the football in the football field of the football field in the continuous N middle lens image frame has not changed, the "&amp;"football in the football field lawn in the continuous N -long lens image frame is The location information and/or football size in the area determine the type of positioning ball event in the video fragment consisting of a continuous N -mid -lens image fr"&amp;"ame; thereby realizing the above plan.")</f>
        <v>Examples of the present invention disclose a detection method and device for a penalty, corner kick and a free kick, involve the field of computer vision to determine the positioning ball event that occurs in a video fragment consisting of a continuous N -mid -lens image frame. type. In the embodiment of the present invention, for Ren Yizhong lens image frame in the live broadcast of the football game, according to the football field and football area of ​​the middle lens image frame, the football in the middle lens image frame is in football The location information and football size in the lawn area; when the location information of the football in the football field of the football field in the continuous N middle lens image frame has not changed, the football in the football field lawn in the continuous N -long lens image frame is The location information and/or football size in the area determine the type of positioning ball event in the video fragment consisting of a continuous N -mid -lens image frame; thereby realizing the above plan.</v>
      </c>
      <c r="D3987" s="6" t="s">
        <v>11105</v>
      </c>
      <c r="E3987" s="4" t="str">
        <f ca="1">IFERROR(__xludf.DUMMYFUNCTION("GOOGLETRANSLATE(D3987,""auto"",""en"")"),"The detection method and device of a penalty kick, corner kick and free kick keyframe")</f>
        <v>The detection method and device of a penalty kick, corner kick and free kick keyframe</v>
      </c>
    </row>
    <row r="3988" spans="1:5" ht="15" x14ac:dyDescent="0.25">
      <c r="A3988" s="5" t="s">
        <v>11106</v>
      </c>
      <c r="B3988" s="6" t="s">
        <v>11107</v>
      </c>
      <c r="C3988" s="3" t="str">
        <f ca="1">IFERROR(__xludf.DUMMYFUNCTION("GOOGLETRANSLATE(B3988,""auto"",""en"")"),"When the invention is conducting sales forecasts, in addition to the existing simple statistics and artificial intelligence analysis prediction methods, the sales industry -related news, weather, sports, search trends, holidays, commemorative days, rating"&amp;"s, economic indicators, statistics, SNS, SNS Publish the announcement board, grab the comment data as the predicted additional attribute data, create a data set through pre -processing, create a predictive model through the selected algorithm, calculate t"&amp;"he sales prediction value corresponding to the prediction target date, and make the form and the chart with digital numbers in numbers and numbers. Provide sales prediction information in other forms, and improve data sets and prediction models by input v"&amp;"alues ​​that affect sales, such as feedback and events, promotions, peripheral events and exception prediction results. It is characterized by improving the accuracy of forecasting.")</f>
        <v>When the invention is conducting sales forecasts, in addition to the existing simple statistics and artificial intelligence analysis prediction methods, the sales industry -related news, weather, sports, search trends, holidays, commemorative days, ratings, economic indicators, statistics, SNS, SNS Publish the announcement board, grab the comment data as the predicted additional attribute data, create a data set through pre -processing, create a predictive model through the selected algorithm, calculate the sales prediction value corresponding to the prediction target date, and make the form and the chart with digital numbers in numbers and numbers. Provide sales prediction information in other forms, and improve data sets and prediction models by input values ​​that affect sales, such as feedback and events, promotions, peripheral events and exception prediction results. It is characterized by improving the accuracy of forecasting.</v>
      </c>
      <c r="D3988" s="6" t="s">
        <v>11108</v>
      </c>
      <c r="E3988" s="4" t="str">
        <f ca="1">IFERROR(__xludf.DUMMYFUNCTION("GOOGLETRANSLATE(D3988,""auto"",""en"")"),"Sales prediction automation device based on data crawling and manager input")</f>
        <v>Sales prediction automation device based on data crawling and manager input</v>
      </c>
    </row>
    <row r="3989" spans="1:5" ht="15" x14ac:dyDescent="0.25">
      <c r="A3989" s="5" t="s">
        <v>11109</v>
      </c>
      <c r="B3989" s="6" t="s">
        <v>11110</v>
      </c>
      <c r="C3989" s="3" t="str">
        <f ca="1">IFERROR(__xludf.DUMMYFUNCTION("GOOGLETRANSLATE(B3989,""auto"",""en"")"),"This utility model discloses a multi -functional step device in the field of electronic technology, including shells, display, buttons, and processors located inside the shell. The input parameters include the power module, MP3 module, FM module, Bluetoot"&amp;"h module, heart rate monitoring module, human -machine interactive module, gyroscope module and real clock module. Compared with the existing technology, the function of this practical new type of pedestrian measuring device can be comprehensive. You can "&amp;"use the algorithm to learn from the person's step -length, calculate the energy consumed by the runner's exercise, can monitor the heart rate in different states, and automatically generate each historical query each generate. The accurate parameter curve"&amp;" is planted. At the same time, runners can listen to music while running. In addition, the mobile phone application can be simplified by the Bluetooth module. Analysis and guidance service.")</f>
        <v>This utility model discloses a multi -functional step device in the field of electronic technology, including shells, display, buttons, and processors located inside the shell. The input parameters include the power module, MP3 module, FM module, Bluetooth module, heart rate monitoring module, human -machine interactive module, gyroscope module and real clock module. Compared with the existing technology, the function of this practical new type of pedestrian measuring device can be comprehensive. You can use the algorithm to learn from the person's step -length, calculate the energy consumed by the runner's exercise, can monitor the heart rate in different states, and automatically generate each historical query each generate. The accurate parameter curve is planted. At the same time, runners can listen to music while running. In addition, the mobile phone application can be simplified by the Bluetooth module. Analysis and guidance service.</v>
      </c>
      <c r="D3989" s="6" t="s">
        <v>11111</v>
      </c>
      <c r="E3989" s="4" t="str">
        <f ca="1">IFERROR(__xludf.DUMMYFUNCTION("GOOGLETRANSLATE(D3989,""auto"",""en"")"),"A multi -functional stepmeter")</f>
        <v>A multi -functional stepmeter</v>
      </c>
    </row>
    <row r="3990" spans="1:5" ht="15" x14ac:dyDescent="0.25">
      <c r="A3990" s="5" t="s">
        <v>11112</v>
      </c>
      <c r="B3990" s="6" t="s">
        <v>11113</v>
      </c>
      <c r="C3990" s="3" t="str">
        <f ca="1">IFERROR(__xludf.DUMMYFUNCTION("GOOGLETRANSLATE(B3990,""auto"",""en"")"),"The present invention involves the ring design system and method, which involves supporting users of the taste selection unit of the ring flavor selection operation, and the ring model generated by genetic algorithms including gene selection, mating and m"&amp;"utation process in each generation. Including the genetic algorithm execution unit that determines satisfaction according to customer preferences and uses it as a fitness level, generates the ring group to generate the final ring group according to the ge"&amp;"netic algorithm execution unit, and the initial ring model of the database that stores relevant information. Do. According to the present invention, due to the use of genetic algorithm design rings, it can reflect the taste of the user as much as possible"&amp;", improve the diversity of the ring, and minimize the time of design and modeling rings.
  National R &amp; D Plan for supporting the invention
  Homework identification number
  H1807-14-1016
  Buddhist
  Science, information communication technolo"&amp;"gy and future planning department
  Scientific research management professional institution
  National Information Industry Promotion Bureau
  Research project name
  Start the Seoul Agreement
  Research project name
  The contribution rate of"&amp;" backbone talent training to lead the future SoftPIA
  1/1
  organizer 
  Zhongbei University
  Research period
  2012.07.01 ~ 2019.02.28")</f>
        <v>The present invention involves the ring design system and method, which involves supporting users of the taste selection unit of the ring flavor selection operation, and the ring model generated by genetic algorithms including gene selection, mating and mutation process in each generation. Including the genetic algorithm execution unit that determines satisfaction according to customer preferences and uses it as a fitness level, generates the ring group to generate the final ring group according to the genetic algorithm execution unit, and the initial ring model of the database that stores relevant information. Do. According to the present invention, due to the use of genetic algorithm design rings, it can reflect the taste of the user as much as possible, improve the diversity of the ring, and minimize the time of design and modeling rings.
  National R &amp; D Plan for supporting the invention
  Homework identification number
  H1807-14-1016
  Buddhist
  Science, information communication technology and future planning department
  Scientific research management professional institution
  National Information Industry Promotion Bureau
  Research project name
  Start the Seoul Agreement
  Research project name
  The contribution rate of backbone talent training to lead the future SoftPIA
  1/1
  organizer 
  Zhongbei University
  Research period
  2012.07.01 ~ 2019.02.28</v>
      </c>
      <c r="D3990" s="6" t="s">
        <v>11114</v>
      </c>
      <c r="E3990" s="4" t="str">
        <f ca="1">IFERROR(__xludf.DUMMYFUNCTION("GOOGLETRANSLATE(D3990,""auto"",""en"")"),"Ring design system and method")</f>
        <v>Ring design system and method</v>
      </c>
    </row>
    <row r="3991" spans="1:5" ht="15" x14ac:dyDescent="0.25">
      <c r="A3991" s="5" t="s">
        <v>11115</v>
      </c>
      <c r="B3991" s="6" t="s">
        <v>11116</v>
      </c>
      <c r="C3991" s="3" t="str">
        <f ca="1">IFERROR(__xludf.DUMMYFUNCTION("GOOGLETRANSLATE(B3991,""auto"",""en"")"),"The present invention involves a type of ball training robot, especially a robot with a upper body shape of the human body. Its head and trunk are made of synthetic resin, which is covered with protective materials made of elastic materials. The outside, "&amp;"and a hit robot, the head and torso are connected through the first buffer component. Connecting unit units, connect to the main body of the impact unit through the second buffer, and according to external control movement and rotation impact unit; the mo"&amp;"bile unit is installed on the lower surface of the connection unit, controlled by the outside Power sensor, used to detect the force that the link unit is subject to the X and Z direction; the three -dimensional visual sensor is installed above the link u"&amp;"nit and detects deep images; Detect the location and movement of the user, the pixel coordinate value (x, y) and the deep screen processor of each joint are used to extract the value of the distance coordinate (Z) of the user using the image; The mobile u"&amp;"nit keeps the user and the hit unit a certain distance, classify the user's movement status, and then classify the user's movements, and then fight according to the user's movement. It is characterized by the controller, the controller controls the connec"&amp;"ting rod part and the mobile department to do the corresponding actions, and control the link of the connecting part of the rod to adjust the height of the hit. In the direction of impact. As described above, according to the present invention, by providi"&amp;"ng a intelligent training program that can achieve multi -motion and autonomous movement based on real -time sensing, it can improve the efficiency and interest of hitting training. By introducing the concept of intelligent robotics The interest of athlet"&amp;"es who need professional training can also stimulate the interest of young users with lack of training concentration, so that they can play an important role in increasing the general public's participation and interest in the martial arts market.")</f>
        <v>The present invention involves a type of ball training robot, especially a robot with a upper body shape of the human body. Its head and trunk are made of synthetic resin, which is covered with protective materials made of elastic materials. The outside, and a hit robot, the head and torso are connected through the first buffer component. Connecting unit units, connect to the main body of the impact unit through the second buffer, and according to external control movement and rotation impact unit; the mobile unit is installed on the lower surface of the connection unit, controlled by the outside Power sensor, used to detect the force that the link unit is subject to the X and Z direction; the three -dimensional visual sensor is installed above the link unit and detects deep images; Detect the location and movement of the user, the pixel coordinate value (x, y) and the deep screen processor of each joint are used to extract the value of the distance coordinate (Z) of the user using the image; The mobile unit keeps the user and the hit unit a certain distance, classify the user's movement status, and then classify the user's movements, and then fight according to the user's movement. It is characterized by the controller, the controller controls the connecting rod part and the mobile department to do the corresponding actions, and control the link of the connecting part of the rod to adjust the height of the hit. In the direction of impact. As described above, according to the present invention, by providing a intelligent training program that can achieve multi -motion and autonomous movement based on real -time sensing, it can improve the efficiency and interest of hitting training. By introducing the concept of intelligent robotics The interest of athletes who need professional training can also stimulate the interest of young users with lack of training concentration, so that they can play an important role in increasing the general public's participation and interest in the martial arts market.</v>
      </c>
      <c r="D3991" s="6" t="s">
        <v>11117</v>
      </c>
      <c r="E3991" s="4" t="str">
        <f ca="1">IFERROR(__xludf.DUMMYFUNCTION("GOOGLETRANSLATE(D3991,""auto"",""en"")"),"Strike training robot")</f>
        <v>Strike training robot</v>
      </c>
    </row>
    <row r="3992" spans="1:5" ht="15" x14ac:dyDescent="0.25">
      <c r="A3992" s="5" t="s">
        <v>11118</v>
      </c>
      <c r="B3992" s="6" t="s">
        <v>11119</v>
      </c>
      <c r="C3992" s="3" t="str">
        <f ca="1">IFERROR(__xludf.DUMMYFUNCTION("GOOGLETRANSLATE(B3992,""auto"",""en"")"),"Medical coach simulators include multiple analog blood vessels full of conductive currents, such as representing veins or arteries. When using a medical trainer executing program, people insert medical instruments (e.g., needle or surgery knife) into the "&amp;"selected container to make the medical instrument contact the guide current body. Circuit board detects the current of the circuit to create the circuit by detecting the current flowing through the current of medical devices and the conductivity of its co"&amp;"ntact. Software programs executed on the computer exclude any phantom circuits that occur when the conductivity of the previous program that is not in one of the containers. If the resistance of the income circuit exceeds the predetermined threshold, the "&amp;"illusion circuit is detected. Computer visually and/or hearing indicates whether the correct vascular vascular can be pierced or removed by medical devices.")</f>
        <v>Medical coach simulators include multiple analog blood vessels full of conductive currents, such as representing veins or arteries. When using a medical trainer executing program, people insert medical instruments (e.g., needle or surgery knife) into the selected container to make the medical instrument contact the guide current body. Circuit board detects the current of the circuit to create the circuit by detecting the current flowing through the current of medical devices and the conductivity of its contact. Software programs executed on the computer exclude any phantom circuits that occur when the conductivity of the previous program that is not in one of the containers. If the resistance of the income circuit exceeds the predetermined threshold, the illusion circuit is detected. Computer visually and/or hearing indicates whether the correct vascular vascular can be pierced or removed by medical devices.</v>
      </c>
      <c r="D3992" s="6" t="s">
        <v>11120</v>
      </c>
      <c r="E3992" s="4" t="str">
        <f ca="1">IFERROR(__xludf.DUMMYFUNCTION("GOOGLETRANSLATE(D3992,""auto"",""en"")"),"Use the conductivity to detect the simulation blood vessels")</f>
        <v>Use the conductivity to detect the simulation blood vessels</v>
      </c>
    </row>
    <row r="3993" spans="1:5" ht="15" x14ac:dyDescent="0.25">
      <c r="A3993" s="5" t="s">
        <v>11121</v>
      </c>
      <c r="B3993" s="6" t="s">
        <v>11122</v>
      </c>
      <c r="C3993" s="3" t="str">
        <f ca="1">IFERROR(__xludf.DUMMYFUNCTION("GOOGLETRANSLATE(B3993,""auto"",""en"")"),"A voice interactive device is provided, which does not use wireless labels or cameras to perform user certification, and responds to the user's words to answer topics suitable for users.
  A voice interaction system (10), including: voice recognition mo"&amp;"dule (110), used for discourse -based voice data; voice authentication module (120), for the speaker based on the speech recognition; and the speaker based on results recognition. Essence Topic estimation module 130 (for example, sports topics that childr"&amp;"en are interested in, fashion topics that women are interested in) and dialogue generation module 140, which is used to generate discourse content.
  【Selection Figure】 Figure 1")</f>
        <v>A voice interactive device is provided, which does not use wireless labels or cameras to perform user certification, and responds to the user's words to answer topics suitable for users.
  A voice interaction system (10), including: voice recognition module (110), used for discourse -based voice data; voice authentication module (120), for the speaker based on the speech recognition; and the speaker based on results recognition. Essence Topic estimation module 130 (for example, sports topics that children are interested in, fashion topics that women are interested in) and dialogue generation module 140, which is used to generate discourse content.
  【Selection Figure】 Figure 1</v>
      </c>
      <c r="D3993" s="6" t="s">
        <v>11123</v>
      </c>
      <c r="E3993" s="4" t="str">
        <f ca="1">IFERROR(__xludf.DUMMYFUNCTION("GOOGLETRANSLATE(D3993,""auto"",""en"")"),"Oral dialogue device, spoken dialogue system, terminal, spoken dialogue method, and procedures for computers as spoken dialog")</f>
        <v>Oral dialogue device, spoken dialogue system, terminal, spoken dialogue method, and procedures for computers as spoken dialog</v>
      </c>
    </row>
    <row r="3994" spans="1:5" ht="15" x14ac:dyDescent="0.25">
      <c r="A3994" s="5" t="s">
        <v>11124</v>
      </c>
      <c r="B3994" s="6" t="s">
        <v>11125</v>
      </c>
      <c r="C3994" s="3" t="str">
        <f ca="1">IFERROR(__xludf.DUMMYFUNCTION("GOOGLETRANSLATE(B3994,""auto"",""en"")"),"The present invention disclosed a driving school examination and training system, including human face image collection system, image processing system, image recognition system, memory, WIFI receiving module, display, and face image information of studen"&amp;"ts or candidates. The image processing system is used to process pictures collected by the human face image acquisition system. In the display, the examiner or coach can directly obtain the candidate or student information through the monitor. You can con"&amp;"duct the reference staff identity authentication and full identity monitoring of the reference personnel on the road on the road. Certification and full identity monitoring.")</f>
        <v>The present invention disclosed a driving school examination and training system, including human face image collection system, image processing system, image recognition system, memory, WIFI receiving module, display, and face image information of students or candidates. The image processing system is used to process pictures collected by the human face image acquisition system. In the display, the examiner or coach can directly obtain the candidate or student information through the monitor. You can conduct the reference staff identity authentication and full identity monitoring of the reference personnel on the road on the road. Certification and full identity monitoring.</v>
      </c>
      <c r="D3994" s="6" t="s">
        <v>11126</v>
      </c>
      <c r="E3994" s="4" t="str">
        <f ca="1">IFERROR(__xludf.DUMMYFUNCTION("GOOGLETRANSLATE(D3994,""auto"",""en"")"),"A driving school examination and training system")</f>
        <v>A driving school examination and training system</v>
      </c>
    </row>
    <row r="3995" spans="1:5" ht="15" x14ac:dyDescent="0.25">
      <c r="A3995" s="5" t="s">
        <v>11127</v>
      </c>
      <c r="B3995" s="6" t="s">
        <v>518</v>
      </c>
      <c r="C3995" s="3" t="str">
        <f ca="1">IFERROR(__xludf.DUMMYFUNCTION("GOOGLETRANSLATE(B3995,""auto"",""en"")"),"-")</f>
        <v>-</v>
      </c>
      <c r="D3995" s="6" t="s">
        <v>10871</v>
      </c>
      <c r="E3995" s="4" t="str">
        <f ca="1">IFERROR(__xludf.DUMMYFUNCTION("GOOGLETRANSLATE(D3995,""auto"",""en"")"),"Use the native network voice activity detection of the radio range of running range")</f>
        <v>Use the native network voice activity detection of the radio range of running range</v>
      </c>
    </row>
    <row r="3996" spans="1:5" ht="15" x14ac:dyDescent="0.25">
      <c r="A3996" s="5" t="s">
        <v>11128</v>
      </c>
      <c r="B3996" s="6" t="s">
        <v>11129</v>
      </c>
      <c r="C3996" s="3" t="str">
        <f ca="1">IFERROR(__xludf.DUMMYFUNCTION("GOOGLETRANSLATE(B3996,""auto"",""en"")"),"The invention disclosed a tennis motion mode recognition system and methods based on the three -axis acceleration sensor, including information collection units, data processing units, and identification and optimization units. The information collection "&amp;"unit is composed of software units and hardware units. Software and hardware combined with three types of action information of positive pumping, anti -pumping, and deduction; data processing unit mainly includes 4 steps: pre -processing, feature value ex"&amp;"traction, data restructuring, and main component analysis. , Used to screen out effective feature value information; identification and optimization units mainly use particle group algorithms to optimize the parameters of the support vector machine, and t"&amp;"hen use particle group optimization support vector machine recognition movements, thereby improving the accuracy of action information recognition. Essence The present invention collects three action information of the positive, anti -drawing, and deducti"&amp;"on of users in the process of tennis through the three -axis acceleration sensor. After processing and optimization, it can better identify users' actions, enhance human -machine interaction, and can be widely used widely. The field of virtual reality has"&amp;" good application prospects.")</f>
        <v>The invention disclosed a tennis motion mode recognition system and methods based on the three -axis acceleration sensor, including information collection units, data processing units, and identification and optimization units. The information collection unit is composed of software units and hardware units. Software and hardware combined with three types of action information of positive pumping, anti -pumping, and deduction; data processing unit mainly includes 4 steps: pre -processing, feature value extraction, data restructuring, and main component analysis. , Used to screen out effective feature value information; identification and optimization units mainly use particle group algorithms to optimize the parameters of the support vector machine, and then use particle group optimization support vector machine recognition movements, thereby improving the accuracy of action information recognition. Essence The present invention collects three action information of the positive, anti -drawing, and deduction of users in the process of tennis through the three -axis acceleration sensor. After processing and optimization, it can better identify users' actions, enhance human -machine interaction, and can be widely used widely. The field of virtual reality has good application prospects.</v>
      </c>
      <c r="D3996" s="6" t="s">
        <v>11130</v>
      </c>
      <c r="E3996" s="4" t="str">
        <f ca="1">IFERROR(__xludf.DUMMYFUNCTION("GOOGLETRANSLATE(D3996,""auto"",""en"")"),"An identification system and method based on a three -axis acceleration sensor")</f>
        <v>An identification system and method based on a three -axis acceleration sensor</v>
      </c>
    </row>
    <row r="3997" spans="1:5" ht="15" x14ac:dyDescent="0.25">
      <c r="A3997" s="5" t="s">
        <v>11131</v>
      </c>
      <c r="B3997" s="6" t="s">
        <v>11132</v>
      </c>
      <c r="C3997" s="3" t="str">
        <f ca="1">IFERROR(__xludf.DUMMYFUNCTION("GOOGLETRANSLATE(B3997,""auto"",""en"")"),"This utility model is a balanced wood and balance wood detection device with a detection device. Including the brackets of Hengmu and the stent below the ends of the horizontal wood, including the card swiping device, the start trigger device, the end tri"&amp;"gger device, the pressure sensor and the control box. The device is located at the other end of the Hengmu, and the pressure sensor is located at the bottom of the bracket, which is located below the horizontal wood; Control box connection. This utility t"&amp;"ype can be installed on the balance wood, the start trigger device, the end trigger device, the pressure sensor, the control box, the voice broadcaster and the human -computer interaction system. In daily teaching or training The relevant data information"&amp;" of the balance wood can be convenient for teachers or coaches to adjust or formulate training programs based on the situation of each trainer.")</f>
        <v>This utility model is a balanced wood and balance wood detection device with a detection device. Including the brackets of Hengmu and the stent below the ends of the horizontal wood, including the card swiping device, the start trigger device, the end trigger device, the pressure sensor and the control box. The device is located at the other end of the Hengmu, and the pressure sensor is located at the bottom of the bracket, which is located below the horizontal wood; Control box connection. This utility type can be installed on the balance wood, the start trigger device, the end trigger device, the pressure sensor, the control box, the voice broadcaster and the human -computer interaction system. In daily teaching or training The relevant data information of the balance wood can be convenient for teachers or coaches to adjust or formulate training programs based on the situation of each trainer.</v>
      </c>
      <c r="D3997" s="6" t="s">
        <v>11133</v>
      </c>
      <c r="E3997" s="4" t="str">
        <f ca="1">IFERROR(__xludf.DUMMYFUNCTION("GOOGLETRANSLATE(D3997,""auto"",""en"")"),"A balanced wood and balance wood detection device with a detection device")</f>
        <v>A balanced wood and balance wood detection device with a detection device</v>
      </c>
    </row>
    <row r="3998" spans="1:5" ht="15" x14ac:dyDescent="0.25">
      <c r="A3998" s="5" t="s">
        <v>11134</v>
      </c>
      <c r="B3998" s="6" t="s">
        <v>11135</v>
      </c>
      <c r="C3998" s="3" t="str">
        <f ca="1">IFERROR(__xludf.DUMMYFUNCTION("GOOGLETRANSLATE(B3998,""auto"",""en"")"),"本发明涉及一种采用RGBD视觉传感的双拳击球健身交互系统,属于人机交互和数字娱乐技术领域，包括RGBD视觉传感模块1、人体运动跟踪模块3、双拳运动生成模块4、双Boxing analysis module 5, double boxing color ball relationship module 6, color ball generation module 7 and display module 8. Using this system, users do not need to wear any"&amp;" device to play. The system captures the body's movement in real time and calculates the relationship between the double boxing movement and the virtual color ball in the game. Interaction with the game goals achieves the effect of hitting the fitness. Co"&amp;"mpared with the existing technology, the present invention realizes the non -contact interactive fitness game of the human body and the system, and runs the game game throughout the whole process of fitness. A green interaction system.")</f>
        <v>本发明涉及一种采用RGBD视觉传感的双拳击球健身交互系统,属于人机交互和数字娱乐技术领域，包括RGBD视觉传感模块1、人体运动跟踪模块3、双拳运动生成模块4、双Boxing analysis module 5, double boxing color ball relationship module 6, color ball generation module 7 and display module 8. Using this system, users do not need to wear any device to play. The system captures the body's movement in real time and calculates the relationship between the double boxing movement and the virtual color ball in the game. Interaction with the game goals achieves the effect of hitting the fitness. Compared with the existing technology, the present invention realizes the non -contact interactive fitness game of the human body and the system, and runs the game game throughout the whole process of fitness. A green interaction system.</v>
      </c>
      <c r="D3998" s="6" t="s">
        <v>11136</v>
      </c>
      <c r="E3998" s="4" t="str">
        <f ca="1">IFERROR(__xludf.DUMMYFUNCTION("GOOGLETRANSLATE(D3998,""auto"",""en"")"),"Double boxing ball fitness interactive system with RGBD visual sensing")</f>
        <v>Double boxing ball fitness interactive system with RGBD visual sensing</v>
      </c>
    </row>
    <row r="3999" spans="1:5" ht="15" x14ac:dyDescent="0.25">
      <c r="A3999" s="5" t="s">
        <v>11137</v>
      </c>
      <c r="B3999" s="6" t="s">
        <v>11138</v>
      </c>
      <c r="C3999" s="3" t="str">
        <f ca="1">IFERROR(__xludf.DUMMYFUNCTION("GOOGLETRANSLATE(B3999,""auto"",""en"")"),"The invention is a detection field, and a human movement state detection device and method are disclosed. In the embodiments of the present invention, detecting the module of the body through the center of gravity to detect the ups and downs of the human "&amp;"body's center of gravity in the preset three -dimensional coordinate system and the preset angle component threshold can predict whether the human body's movement is normal. During the movement of the user's exercise, the human -machine interaction module"&amp;" can set different threshold data and switch on different people through the human -computer interaction module. It can also display the detected data in real time through the human -machine interaction module. When the data is abnormal When the user's bo"&amp;"dy is abnormal, it is also forced to exercise, which effectively solves the problem that the elderly cannot detect their physical condition during running.")</f>
        <v>The invention is a detection field, and a human movement state detection device and method are disclosed. In the embodiments of the present invention, detecting the module of the body through the center of gravity to detect the ups and downs of the human body's center of gravity in the preset three -dimensional coordinate system and the preset angle component threshold can predict whether the human body's movement is normal. During the movement of the user's exercise, the human -machine interaction module can set different threshold data and switch on different people through the human -computer interaction module. It can also display the detected data in real time through the human -machine interaction module. When the data is abnormal When the user's body is abnormal, it is also forced to exercise, which effectively solves the problem that the elderly cannot detect their physical condition during running.</v>
      </c>
      <c r="D3999" s="6" t="s">
        <v>11139</v>
      </c>
      <c r="E3999" s="4" t="str">
        <f ca="1">IFERROR(__xludf.DUMMYFUNCTION("GOOGLETRANSLATE(D3999,""auto"",""en"")"),"A human movement state detection device and method")</f>
        <v>A human movement state detection device and method</v>
      </c>
    </row>
    <row r="4000" spans="1:5" ht="15" x14ac:dyDescent="0.25">
      <c r="A4000" s="5" t="s">
        <v>11140</v>
      </c>
      <c r="B4000" s="6" t="s">
        <v>11141</v>
      </c>
      <c r="C4000" s="3" t="str">
        <f ca="1">IFERROR(__xludf.DUMMYFUNCTION("GOOGLETRANSLATE(B4000,""auto"",""en"")"),"The present invention disclosed a athletes' movement damage risk warning method. Based on the model proposed by foreign scholars and comprehensively analyzed the movement damage factors of track and field athletes, proposed a track and alert risk of track"&amp;" and field injuries. On the basis of the model, the corresponding factors are selected in the athlete risk early warning database, and a athlete analysis method is used to establish a track and field motion injury risk of warning to the injury factor dyna"&amp;"mic chain quantification model. The invention uses the SOM neural network discrete method to discrete the indicator data; the decision -making form is made with a rough concentration -based clear matrix method. diagnostic result. This method can make more"&amp;" accurate early warning and effectively predict the risk of athletes' sports injury to the occurrence of exercise damage, which is conducive to the treatment and prevention of sports damage.")</f>
        <v>The present invention disclosed a athletes' movement damage risk warning method. Based on the model proposed by foreign scholars and comprehensively analyzed the movement damage factors of track and field athletes, proposed a track and alert risk of track and field injuries. On the basis of the model, the corresponding factors are selected in the athlete risk early warning database, and a athlete analysis method is used to establish a track and field motion injury risk of warning to the injury factor dynamic chain quantification model. The invention uses the SOM neural network discrete method to discrete the indicator data; the decision -making form is made with a rough concentration -based clear matrix method. diagnostic result. This method can make more accurate early warning and effectively predict the risk of athletes' sports injury to the occurrence of exercise damage, which is conducive to the treatment and prevention of sports damage.</v>
      </c>
      <c r="D4000" s="6" t="s">
        <v>11142</v>
      </c>
      <c r="E4000" s="4" t="str">
        <f ca="1">IFERROR(__xludf.DUMMYFUNCTION("GOOGLETRANSLATE(D4000,""auto"",""en"")"),"Athletes of athletes injury risk warning method")</f>
        <v>Athletes of athletes injury risk warning method</v>
      </c>
    </row>
    <row r="4001" spans="1:5" ht="15" x14ac:dyDescent="0.25">
      <c r="A4001" s="5" t="s">
        <v>11143</v>
      </c>
      <c r="B4001" s="6" t="s">
        <v>11144</v>
      </c>
      <c r="C4001" s="3" t="s">
        <v>12416</v>
      </c>
      <c r="D4001" s="6" t="s">
        <v>11145</v>
      </c>
      <c r="E4001" s="4" t="str">
        <f ca="1">IFERROR(__xludf.DUMMYFUNCTION("GOOGLETRANSLATE(D4001,""auto"",""en"")"),"Big followers/popular competitive activities/interests and sports celestial halls/entertainment world")</f>
        <v>Big followers/popular competitive activities/interests and sports celestial halls/entertainment world</v>
      </c>
    </row>
    <row r="4002" spans="1:5" ht="15" x14ac:dyDescent="0.25">
      <c r="A4002" s="5" t="s">
        <v>11146</v>
      </c>
      <c r="B4002" s="6" t="s">
        <v>11147</v>
      </c>
      <c r="C4002" s="3" t="str">
        <f ca="1">IFERROR(__xludf.DUMMYFUNCTION("GOOGLETRANSLATE(B4002,""auto"",""en"")"),"This utility model opens up a Bluetooth music calls, which is characterized by its composition of the fist -nursing body, PCB boards located in the wrist care body, mimether, speakers, miniature vibration motors and batteries connected to PCB boards; The "&amp;"wrist care body is equipped with zipper, and the PCB board is equipped with MCU, 26M crystal, voice recognition chip, Bluetooth chip, Bluetooth antenna, 2.4G band filter, audio power amplifier. This utility model is improved on the basis of traditional wr"&amp;"ist care, which enables it to add Bluetooth played music and Bluetooth to answer mobile phone calls on the basis of the original function. It is especially suitable for playing music with sports melody during sports, and at any time It is simple and pract"&amp;"ical to sense whether the mobile phone calls, which meets the needs of people.")</f>
        <v>This utility model opens up a Bluetooth music calls, which is characterized by its composition of the fist -nursing body, PCB boards located in the wrist care body, mimether, speakers, miniature vibration motors and batteries connected to PCB boards; The wrist care body is equipped with zipper, and the PCB board is equipped with MCU, 26M crystal, voice recognition chip, Bluetooth chip, Bluetooth antenna, 2.4G band filter, audio power amplifier. This utility model is improved on the basis of traditional wrist care, which enables it to add Bluetooth played music and Bluetooth to answer mobile phone calls on the basis of the original function. It is especially suitable for playing music with sports melody during sports, and at any time It is simple and practical to sense whether the mobile phone calls, which meets the needs of people.</v>
      </c>
      <c r="D4002" s="6" t="s">
        <v>11148</v>
      </c>
      <c r="E4002" s="4" t="str">
        <f ca="1">IFERROR(__xludf.DUMMYFUNCTION("GOOGLETRANSLATE(D4002,""auto"",""en"")"),"A Bluetooth music call wrist")</f>
        <v>A Bluetooth music call wrist</v>
      </c>
    </row>
    <row r="4003" spans="1:5" ht="15" x14ac:dyDescent="0.25">
      <c r="A4003" s="5" t="s">
        <v>11149</v>
      </c>
      <c r="B4003" s="6" t="s">
        <v>11150</v>
      </c>
      <c r="C4003" s="3" t="str">
        <f ca="1">IFERROR(__xludf.DUMMYFUNCTION("GOOGLETRANSLATE(B4003,""auto"",""en"")"),"[0001] The present invention involves a kind of competition operation support management system. More specifically, it involves a regular installation of environmental observation devices to measure environmental information on the game venue and a regula"&amp;"r installation of regular installation on the game venue to measure image information to measure image information Image observation device. The game runs and analyzes environmental information, video information and record information from environmental "&amp;"observation equipment and video observation equipment, including analyzing the environmental information and video information from equipment and environmental observation equipment and video observation equipment Regarding a game operation support manage"&amp;"ment system, games that can effectively manage long -distance running can be economically effectively managed.
  National R &amp; D Plan for supporting the invention
  Project recognition number R0002741 department name Industry Communications Resources D"&amp;"epartment Professional Research and Management Institutional Research and Management Group Project Evaluation Group Research Project Name Regional Professional Industrial Cultivation Project Research Project Name is based on the contribution of mobile rem"&amp;"ote event operation support management system of the Internet of Things 1/1 Supervision agency Dream Tech research period 2013.09.01 ~ 2015.08.31")</f>
        <v>[0001] The present invention involves a kind of competition operation support management system. More specifically, it involves a regular installation of environmental observation devices to measure environmental information on the game venue and a regular installation of regular installation on the game venue to measure image information to measure image information Image observation device. The game runs and analyzes environmental information, video information and record information from environmental observation equipment and video observation equipment, including analyzing the environmental information and video information from equipment and environmental observation equipment and video observation equipment Regarding a game operation support management system, games that can effectively manage long -distance running can be economically effectively managed.
  National R &amp; D Plan for supporting the invention
  Project recognition number R0002741 department name Industry Communications Resources Department Professional Research and Management Institutional Research and Management Group Project Evaluation Group Research Project Name Regional Professional Industrial Cultivation Project Research Project Name is based on the contribution of mobile remote event operation support management system of the Internet of Things 1/1 Supervision agency Dream Tech research period 2013.09.01 ~ 2015.08.31</v>
      </c>
      <c r="D4003" s="6" t="s">
        <v>11151</v>
      </c>
      <c r="E4003" s="4" t="str">
        <f ca="1">IFERROR(__xludf.DUMMYFUNCTION("GOOGLETRANSLATE(D4003,""auto"",""en"")"),"Invention name game operation support management system")</f>
        <v>Invention name game operation support management system</v>
      </c>
    </row>
    <row r="4004" spans="1:5" ht="15" x14ac:dyDescent="0.25">
      <c r="A4004" s="5" t="s">
        <v>11152</v>
      </c>
      <c r="B4004" s="6" t="s">
        <v>11153</v>
      </c>
      <c r="C4004" s="3" t="str">
        <f ca="1">IFERROR(__xludf.DUMMYFUNCTION("GOOGLETRANSLATE(B4004,""auto"",""en"")"),"The present invention involves a smart robot that can automatically launch table tennis, including: ball delivery device, shooting device, steering device, and sports car. There are enhanced heads; the shooting devices include gun tunch and electromagneti"&amp;"c ejaculation, cannons connect to the conveyor hoses, electromagnetic rebounders include ontology, ejection rods, and controlled by single -chip machines and relays. The body is located on the connection board; the connecting board is set on the steering "&amp;"device, and the steering device is used to adjust the elevation of the gun tube; the steering device is set on the sports car. The intelligent robots that can automatically launch table tennis provided by the present invention are mainly used by a small e"&amp;"lectromagnetic population with a clever mechanical structure to control the interruption of relays through a single -chip machine to achieve the contraction and ejection of the ejection rod. The cost is low, which is suitable for promoting various small i"&amp;"ntelligent robots, which is strong.")</f>
        <v>The present invention involves a smart robot that can automatically launch table tennis, including: ball delivery device, shooting device, steering device, and sports car. There are enhanced heads; the shooting devices include gun tunch and electromagnetic ejaculation, cannons connect to the conveyor hoses, electromagnetic rebounders include ontology, ejection rods, and controlled by single -chip machines and relays. The body is located on the connection board; the connecting board is set on the steering device, and the steering device is used to adjust the elevation of the gun tube; the steering device is set on the sports car. The intelligent robots that can automatically launch table tennis provided by the present invention are mainly used by a small electromagnetic population with a clever mechanical structure to control the interruption of relays through a single -chip machine to achieve the contraction and ejection of the ejection rod. The cost is low, which is suitable for promoting various small intelligent robots, which is strong.</v>
      </c>
      <c r="D4004" s="6" t="s">
        <v>11154</v>
      </c>
      <c r="E4004" s="4" t="str">
        <f ca="1">IFERROR(__xludf.DUMMYFUNCTION("GOOGLETRANSLATE(D4004,""auto"",""en"")"),"A smart robot that can automatically launch table tennis")</f>
        <v>A smart robot that can automatically launch table tennis</v>
      </c>
    </row>
    <row r="4005" spans="1:5" ht="15" x14ac:dyDescent="0.25">
      <c r="A4005" s="5" t="s">
        <v>11155</v>
      </c>
      <c r="B4005" s="6" t="s">
        <v>11156</v>
      </c>
      <c r="C4005" s="3" t="str">
        <f ca="1">IFERROR(__xludf.DUMMYFUNCTION("GOOGLETRANSLATE(B4005,""auto"",""en"")"),"The invention discloses a wireless interactive data proxy system based on the Internet of Things model, uniformly develops data transmission and interactive applications, and adopts uniform standard data format data. data. The present invention is mainly "&amp;"to formulate data interfaces in standard formats, uniformly use data transmission agents, combine traditional fitness equipment with the Internet of Things technology, establish a healthy interactive sports fitness platform, and reduce the development dif"&amp;"ficulty of the application of interactive health sports platforms. Data transmission bridge.")</f>
        <v>The invention discloses a wireless interactive data proxy system based on the Internet of Things model, uniformly develops data transmission and interactive applications, and adopts uniform standard data format data. data. The present invention is mainly to formulate data interfaces in standard formats, uniformly use data transmission agents, combine traditional fitness equipment with the Internet of Things technology, establish a healthy interactive sports fitness platform, and reduce the development difficulty of the application of interactive health sports platforms. Data transmission bridge.</v>
      </c>
      <c r="D4005" s="6" t="s">
        <v>11157</v>
      </c>
      <c r="E4005" s="4" t="str">
        <f ca="1">IFERROR(__xludf.DUMMYFUNCTION("GOOGLETRANSLATE(D4005,""auto"",""en"")"),"Sports and fitness system based on the Internet of Things model")</f>
        <v>Sports and fitness system based on the Internet of Things model</v>
      </c>
    </row>
    <row r="4006" spans="1:5" ht="15" x14ac:dyDescent="0.25">
      <c r="A4006" s="5" t="s">
        <v>11158</v>
      </c>
      <c r="B4006" s="6" t="s">
        <v>11159</v>
      </c>
      <c r="C4006" s="3" t="str">
        <f ca="1">IFERROR(__xludf.DUMMYFUNCTION("GOOGLETRANSLATE(B4006,""auto"",""en"")"),"The invention involves a human -computer interaction system for traction training devices, including human -computer interaction equipment, which connects the controller of the human -computer interaction equipment to connect the servo motor controller, t"&amp;"ensile sensor, limited sensor and limited sensor and limited sensor, respectively Manual operating panel, the servo motor controller is connected to the servo motor; the human -computer interaction equipment includes the login unit, the database unit, the"&amp;" training unit, the display unit and the input unit. The beneficial effect of the present invention is: The present invention can achieve athletes themselves or training with the help of coaches. By setting different training parameters, the equipment can"&amp;" provide athletes with traction of different directions, size and frequency to meet the athletes' multiple training The needs of the project, the system is suitable for a variety of swimming pools. The system is simple and easy to use.")</f>
        <v>The invention involves a human -computer interaction system for traction training devices, including human -computer interaction equipment, which connects the controller of the human -computer interaction equipment to connect the servo motor controller, tensile sensor, limited sensor and limited sensor and limited sensor, respectively Manual operating panel, the servo motor controller is connected to the servo motor; the human -computer interaction equipment includes the login unit, the database unit, the training unit, the display unit and the input unit. The beneficial effect of the present invention is: The present invention can achieve athletes themselves or training with the help of coaches. By setting different training parameters, the equipment can provide athletes with traction of different directions, size and frequency to meet the athletes' multiple training The needs of the project, the system is suitable for a variety of swimming pools. The system is simple and easy to use.</v>
      </c>
      <c r="D4006" s="6" t="s">
        <v>11160</v>
      </c>
      <c r="E4006" s="4" t="str">
        <f ca="1">IFERROR(__xludf.DUMMYFUNCTION("GOOGLETRANSLATE(D4006,""auto"",""en"")"),"Human -machine interaction system for traction training device")</f>
        <v>Human -machine interaction system for traction training device</v>
      </c>
    </row>
    <row r="4007" spans="1:5" ht="15" x14ac:dyDescent="0.25">
      <c r="A4007" s="5" t="s">
        <v>11161</v>
      </c>
      <c r="B4007" s="6" t="s">
        <v>11162</v>
      </c>
      <c r="C4007" s="3" t="str">
        <f ca="1">IFERROR(__xludf.DUMMYFUNCTION("GOOGLETRANSLATE(B4007,""auto"",""en"")"),"Field: Chemistry. Material: Methods include the residue concentration of protecting the source from pollution, separation of suspension, treatment of reagent treatment, and purifying water with disinfection combinations, and determining high danger (HH) s"&amp;"ubstances. According to the harmful sanitary poison index of the residual concentration (RC) of the main active ingredient (AI) composition (RC), it is related to the known and weak prognostic concentration of the HH substance. Portable water. The precise"&amp;" area is formed and supported by the overall operation: select the disinfection ingredients, determine the RC of all HH substances, determine the constant of the weak prediction concentration into the actual concentration, adjust the supply and reduce the"&amp;" concentration of HH substances, and determine the maximum artificial intelligence RC. The standard for controlling HH material content is that the concentration is lower than the maximum allowable value. Effect: Reduce the consumption of reagents and dis"&amp;"infection ingredients, reduce energy consumption, and use the comprehensive optimization of major AI ingredients to improve the reliability of drinking water quality. 7 CL, before 4")</f>
        <v>Field: Chemistry. Material: Methods include the residue concentration of protecting the source from pollution, separation of suspension, treatment of reagent treatment, and purifying water with disinfection combinations, and determining high danger (HH) substances. According to the harmful sanitary poison index of the residual concentration (RC) of the main active ingredient (AI) composition (RC), it is related to the known and weak prognostic concentration of the HH substance. Portable water. The precise area is formed and supported by the overall operation: select the disinfection ingredients, determine the RC of all HH substances, determine the constant of the weak prediction concentration into the actual concentration, adjust the supply and reduce the concentration of HH substances, and determine the maximum artificial intelligence RC. The standard for controlling HH material content is that the concentration is lower than the maximum allowable value. Effect: Reduce the consumption of reagents and disinfection ingredients, reduce energy consumption, and use the comprehensive optimization of major AI ingredients to improve the reliability of drinking water quality. 7 CL, before 4</v>
      </c>
      <c r="D4007" s="6" t="s">
        <v>11163</v>
      </c>
      <c r="E4007" s="4" t="str">
        <f ca="1">IFERROR(__xludf.DUMMYFUNCTION("GOOGLETRANSLATE(D4007,""auto"",""en"")"),"Long -term residual composite disinfection agent production drinking water technology")</f>
        <v>Long -term residual composite disinfection agent production drinking water technology</v>
      </c>
    </row>
    <row r="4008" spans="1:5" ht="15" x14ac:dyDescent="0.25">
      <c r="A4008" s="5" t="s">
        <v>11164</v>
      </c>
      <c r="B4008" s="6" t="s">
        <v>11165</v>
      </c>
      <c r="C4008" s="3" t="str">
        <f ca="1">IFERROR(__xludf.DUMMYFUNCTION("GOOGLETRANSLATE(B4008,""auto"",""en"")"),"The invention involves a virtual system for booking seats in theaters, stadiums. According to the present invention, the system allows users to create personal accounts and map display modules (MH) to indicate the total number of seats, the color of the s"&amp;"eats is different according to the booking status, and the event module (me) is different. , Booking Module (Mr.) and Cancellation Module (March), users can book and purchase the required seats or cancel the booking, which can be used by other users. Amon"&amp;"g them, the system provides useful information about the location of the booking seat. The seats you want to go are taken in their respective positions.")</f>
        <v>The invention involves a virtual system for booking seats in theaters, stadiums. According to the present invention, the system allows users to create personal accounts and map display modules (MH) to indicate the total number of seats, the color of the seats is different according to the booking status, and the event module (me) is different. , Booking Module (Mr.) and Cancellation Module (March), users can book and purchase the required seats or cancel the booking, which can be used by other users. Among them, the system provides useful information about the location of the booking seat. The seats you want to go are taken in their respective positions.</v>
      </c>
      <c r="D4008" s="6" t="s">
        <v>11166</v>
      </c>
      <c r="E4008" s="4" t="str">
        <f ca="1">IFERROR(__xludf.DUMMYFUNCTION("GOOGLETRANSLATE(D4008,""auto"",""en"")"),"Virtual ticket system")</f>
        <v>Virtual ticket system</v>
      </c>
    </row>
    <row r="4009" spans="1:5" ht="15" x14ac:dyDescent="0.25">
      <c r="A4009" s="5" t="s">
        <v>11167</v>
      </c>
      <c r="B4009" s="6" t="s">
        <v>11168</v>
      </c>
      <c r="C4009" s="3" t="str">
        <f ca="1">IFERROR(__xludf.DUMMYFUNCTION("GOOGLETRANSLATE(B4009,""auto"",""en"")"),"The present invention disclosed a robotic football dynamic decision -making device and method based on the ant colony algorithm, which belongs to the field of artificial intelligence technology. The robotic football dynamic decision -making device include"&amp;"s information monitoring and extraction modules, situation evaluation modules, action decision -making modules, and effect evaluation and feedback modules; , Information about your own and football; use the situation evaluation module to evaluate the situ"&amp;"ation of the court; use the action decision -making module to select the next action plan; use effect assessment and feedback module to compare the expected effect and actual execution effect, update the action plan of the action plan priority. The presen"&amp;"t invention solves the defects of poor dynamic adaptability in the current robotic football game. The decision -making success rate is high. It can dynamically revise its own tactical strategy, improve the effectiveness of tactics and the team's overall o"&amp;"ffensive and defensive capabilities.")</f>
        <v>The present invention disclosed a robotic football dynamic decision -making device and method based on the ant colony algorithm, which belongs to the field of artificial intelligence technology. The robotic football dynamic decision -making device includes information monitoring and extraction modules, situation evaluation modules, action decision -making modules, and effect evaluation and feedback modules; , Information about your own and football; use the situation evaluation module to evaluate the situation of the court; use the action decision -making module to select the next action plan; use effect assessment and feedback module to compare the expected effect and actual execution effect, update the action plan of the action plan priority. The present invention solves the defects of poor dynamic adaptability in the current robotic football game. The decision -making success rate is high. It can dynamically revise its own tactical strategy, improve the effectiveness of tactics and the team's overall offensive and defensive capabilities.</v>
      </c>
      <c r="D4009" s="6" t="s">
        <v>11169</v>
      </c>
      <c r="E4009" s="4" t="str">
        <f ca="1">IFERROR(__xludf.DUMMYFUNCTION("GOOGLETRANSLATE(D4009,""auto"",""en"")"),"A robotic football dynamic decision -making device and method based on the ant colony algorithm")</f>
        <v>A robotic football dynamic decision -making device and method based on the ant colony algorithm</v>
      </c>
    </row>
    <row r="4010" spans="1:5" ht="15" x14ac:dyDescent="0.25">
      <c r="A4010" s="5" t="s">
        <v>11170</v>
      </c>
      <c r="B4010" s="6" t="s">
        <v>11171</v>
      </c>
      <c r="C4010" s="3" t="str">
        <f ca="1">IFERROR(__xludf.DUMMYFUNCTION("GOOGLETRANSLATE(B4010,""auto"",""en"")"),"The invention involves a method of controlling the application with mobile phone voice control software, including voice recognition modules, command recognition modules, and command control modules. Open the voice control software and speak the voice con"&amp;"trol command to the mobile phone. The voice recognition module recognizes whether the sound is recognized by the Internet through the cloud platform of the Internet. The command control the module executes the corresponding mobile phone application of the"&amp;" voice control command. The present invention solves the application of the existing technology to control the applications in the mobile phone to do further specific operations. Users can use the voice control software of the present invention to control"&amp;" the application of the voice control command during the operation process. Make specific detailed voice operation controls on applications in the mobile phone.")</f>
        <v>The invention involves a method of controlling the application with mobile phone voice control software, including voice recognition modules, command recognition modules, and command control modules. Open the voice control software and speak the voice control command to the mobile phone. The voice recognition module recognizes whether the sound is recognized by the Internet through the cloud platform of the Internet. The command control the module executes the corresponding mobile phone application of the voice control command. The present invention solves the application of the existing technology to control the applications in the mobile phone to do further specific operations. Users can use the voice control software of the present invention to control the application of the voice control command during the operation process. Make specific detailed voice operation controls on applications in the mobile phone.</v>
      </c>
      <c r="D4010" s="6" t="s">
        <v>11172</v>
      </c>
      <c r="E4010" s="4" t="str">
        <f ca="1">IFERROR(__xludf.DUMMYFUNCTION("GOOGLETRANSLATE(D4010,""auto"",""en"")"),"Use mobile phone voice control software to control the application specific control method")</f>
        <v>Use mobile phone voice control software to control the application specific control method</v>
      </c>
    </row>
    <row r="4011" spans="1:5" ht="15" x14ac:dyDescent="0.25">
      <c r="A4011" s="5" t="s">
        <v>11173</v>
      </c>
      <c r="B4011" s="6" t="s">
        <v>11174</v>
      </c>
      <c r="C4011" s="3" t="str">
        <f ca="1">IFERROR(__xludf.DUMMYFUNCTION("GOOGLETRANSLATE(B4011,""auto"",""en"")"),"A system and method for identifying and timing athletes (126) during the time sports event. The athlete (126) is used to use image recognition technology to time, and one or more images of athletes who shoot during sports events to generate the completion"&amp;" time of athletes (126). Athletes are compared with the outline images of the athletes by the images taken during sports events (126).")</f>
        <v>A system and method for identifying and timing athletes (126) during the time sports event. The athlete (126) is used to use image recognition technology to time, and one or more images of athletes who shoot during sports events to generate the completion time of athletes (126). Athletes are compared with the outline images of the athletes by the images taken during sports events (126).</v>
      </c>
      <c r="D4011" s="6" t="s">
        <v>11175</v>
      </c>
      <c r="E4011" s="4" t="str">
        <f ca="1">IFERROR(__xludf.DUMMYFUNCTION("GOOGLETRANSLATE(D4011,""auto"",""en"")"),"Event timing and photography systems and methods")</f>
        <v>Event timing and photography systems and methods</v>
      </c>
    </row>
    <row r="4012" spans="1:5" ht="15" x14ac:dyDescent="0.25">
      <c r="A4012" s="5" t="s">
        <v>11176</v>
      </c>
      <c r="B4012" s="6" t="s">
        <v>11177</v>
      </c>
      <c r="C4012" s="3" t="str">
        <f ca="1">IFERROR(__xludf.DUMMYFUNCTION("GOOGLETRANSLATE(B4012,""auto"",""en"")"),"1. The name of the product in appearance: The key to show the bond with the human -machine interaction interface. 2. The purpose of designing products in this exterior: It is mainly used for the keys of fitness massage equipment. 3. Design points for desi"&amp;"gning: The shape, pattern and its combination of the product. 4. Pictures or photos that can most indicate design points: main view. 5. omit other views.")</f>
        <v>1. The name of the product in appearance: The key to show the bond with the human -machine interaction interface. 2. The purpose of designing products in this exterior: It is mainly used for the keys of fitness massage equipment. 3. Design points for designing: The shape, pattern and its combination of the product. 4. Pictures or photos that can most indicate design points: main view. 5. omit other views.</v>
      </c>
      <c r="D4012" s="6" t="s">
        <v>11178</v>
      </c>
      <c r="E4012" s="4" t="str">
        <f ca="1">IFERROR(__xludf.DUMMYFUNCTION("GOOGLETRANSLATE(D4012,""auto"",""en"")"),"The keys with human -machine interaction interface showing the vision board")</f>
        <v>The keys with human -machine interaction interface showing the vision board</v>
      </c>
    </row>
    <row r="4013" spans="1:5" ht="15" x14ac:dyDescent="0.25">
      <c r="A4013" s="5" t="s">
        <v>11179</v>
      </c>
      <c r="B4013" s="6" t="s">
        <v>11180</v>
      </c>
      <c r="C4013" s="3" t="str">
        <f ca="1">IFERROR(__xludf.DUMMYFUNCTION("GOOGLETRANSLATE(B4013,""auto"",""en"")"),"It has proposed an effective device for identifying, measurement (quantitative and qualitative), billing, counting, controlling and monitoring resources. The modules in the device and device have the ability to identify, measure, set the parameters, posit"&amp;"ioning, positioning, resource intelligence, control and monitor similar or different resources in a single or more position. Resources can be solid, liquid, gas or electrical, light, chemistry, electromagnetic, data, voice, multimedia content, etc. or any"&amp;" combinations. Resources, equipment and modules in the device may be connected to each other through wired or wireless or wireless or satellite or optics or any protocol, or thermal or chemical or Internet or any method, or cloud or any combination of its"&amp;"elf. Any module in the device and device can connect, reorganize and interoperate with any third -party system, protocol, products, software and interfaces. Resources can be material, solid, liquid and gaseous, data, voice, multimedia, TV broadcast, infor"&amp;"mation, mobile communication, signal, electrical energy, sound energy, optical energy, chemical energy, any form of energy or any combination of any combination Essence Resources and related variable parameters can be identified and measured in the follow"&amp;"ing ways, measuring transducers, sensors, electronic circuits, thermal, optics, optics, electromagnetic methods, material flowing methods, sensors, photoelectric machinery technology, or any combination of them. The equipment will be generated, print, and"&amp;" upload the bills of resources used in similar or different units. In addition, the equipment may have a built -in modular method and learning system to update its application, self -diagnostic tools and algorithms to optimize resource utilization. All or"&amp;" part of the module in the device can modify the automation integration of the family or office/construction, door control community or corporate construction or hotel service or corporate resource planning, prioritize the use of resources, or enterprises"&amp;" (B2B) or enterprises Consumers (B2C) or enterprises to employees (B2E) or consumers to consumers (C2C) or factories or education institutions campus or traffic signals or street lights or vehicle entertainment systems, hotels, closed communities or hospi"&amp;"tals or institutions or enterprises or enterprises or enterprises Indoor/outdoor stadium or its combination.")</f>
        <v>It has proposed an effective device for identifying, measurement (quantitative and qualitative), billing, counting, controlling and monitoring resources. The modules in the device and device have the ability to identify, measure, set the parameters, positioning, positioning, resource intelligence, control and monitor similar or different resources in a single or more position. Resources can be solid, liquid, gas or electrical, light, chemistry, electromagnetic, data, voice, multimedia content, etc. or any combinations. Resources, equipment and modules in the device may be connected to each other through wired or wireless or wireless or satellite or optics or any protocol, or thermal or chemical or Internet or any method, or cloud or any combination of itself. Any module in the device and device can connect, reorganize and interoperate with any third -party system, protocol, products, software and interfaces. Resources can be material, solid, liquid and gaseous, data, voice, multimedia, TV broadcast, information, mobile communication, signal, electrical energy, sound energy, optical energy, chemical energy, any form of energy or any combination of any combination Essence Resources and related variable parameters can be identified and measured in the following ways, measuring transducers, sensors, electronic circuits, thermal, optics, optics, electromagnetic methods, material flowing methods, sensors, photoelectric machinery technology, or any combination of them. The equipment will be generated, print, and upload the bills of resources used in similar or different units. In addition, the equipment may have a built -in modular method and learning system to update its application, self -diagnostic tools and algorithms to optimize resource utilization. All or part of the module in the device can modify the automation integration of the family or office/construction, door control community or corporate construction or hotel service or corporate resource planning, prioritize the use of resources, or enterprises (B2B) or enterprises Consumers (B2C) or enterprises to employees (B2E) or consumers to consumers (C2C) or factories or education institutions campus or traffic signals or street lights or vehicle entertainment systems, hotels, closed communities or hospitals or institutions or enterprises or enterprises or enterprises Indoor/outdoor stadium or its combination.</v>
      </c>
      <c r="D4013" s="6" t="s">
        <v>11181</v>
      </c>
      <c r="E4013" s="4" t="str">
        <f ca="1">IFERROR(__xludf.DUMMYFUNCTION("GOOGLETRANSLATE(D4013,""auto"",""en"")"),"A device for identification, measurement, counting, billing, control, setting parameters and monitoring of resources")</f>
        <v>A device for identification, measurement, counting, billing, control, setting parameters and monitoring of resources</v>
      </c>
    </row>
    <row r="4014" spans="1:5" ht="15" x14ac:dyDescent="0.25">
      <c r="A4014" s="5" t="s">
        <v>11182</v>
      </c>
      <c r="B4014" s="6" t="s">
        <v>11183</v>
      </c>
      <c r="C4014" s="3" t="str">
        <f ca="1">IFERROR(__xludf.DUMMYFUNCTION("GOOGLETRANSLATE(B4014,""auto"",""en"")"),"The present invention involves a method of generating a fitness running scheme, including the following steps: S1. The speed and heart rate data in the process of collecting sportsman's fitness running; S2. Based on the speed and heart rate data collected"&amp;" by step S1, use the genetic algorithm to the athlete's The fitness running model is settled by parameters to establish the fitness running model of the athlete; S3. Based on the fitness running motion model established by step S2, as well as a given exer"&amp;"cise time and safety and effective heart rate interval parameters, in order to give exercise time for fitness running In the process, the longest time of heart rate falling in the safe and effective heart rate interval is the optimization goal, and the be"&amp;"st sports scheme of the sportsman's fitness running is established. This method can establish a personalized fitness running optimal sports solution for the athletes, thereby providing useful technical means for guiding sportsmen to carry out safe and eff"&amp;"ective fitness running.")</f>
        <v>The present invention involves a method of generating a fitness running scheme, including the following steps: S1. The speed and heart rate data in the process of collecting sportsman's fitness running; S2. Based on the speed and heart rate data collected by step S1, use the genetic algorithm to the athlete's The fitness running model is settled by parameters to establish the fitness running model of the athlete; S3. Based on the fitness running motion model established by step S2, as well as a given exercise time and safety and effective heart rate interval parameters, in order to give exercise time for fitness running In the process, the longest time of heart rate falling in the safe and effective heart rate interval is the optimization goal, and the best sports scheme of the sportsman's fitness running is established. This method can establish a personalized fitness running optimal sports solution for the athletes, thereby providing useful technical means for guiding sportsmen to carry out safe and effective fitness running.</v>
      </c>
      <c r="D4014" s="6" t="s">
        <v>11184</v>
      </c>
      <c r="E4014" s="4" t="str">
        <f ca="1">IFERROR(__xludf.DUMMYFUNCTION("GOOGLETRANSLATE(D4014,""auto"",""en"")"),"A fitness running scheme generation method")</f>
        <v>A fitness running scheme generation method</v>
      </c>
    </row>
    <row r="4015" spans="1:5" ht="15" x14ac:dyDescent="0.25">
      <c r="A4015" s="5" t="s">
        <v>11185</v>
      </c>
      <c r="B4015" s="6" t="s">
        <v>11186</v>
      </c>
      <c r="C4015" s="3" t="str">
        <f ca="1">IFERROR(__xludf.DUMMYFUNCTION("GOOGLETRANSLATE(B4015,""auto"",""en"")"),"This utility model involves an IoT Global loading mechanism. This utility model includes driving motors, promoting mechanisms, two or more sliding rail positioning devices set up on the improvement mechanism, input sliding rails set on the sliding rail po"&amp;"sitioning device, and output slippery output slippery on the sliding rail positioning device. Rail; the advantages of the re -use of the sphere transportation in this utility model, and under the force of the spiral improvement track, central axis, and li"&amp;"mit column during the improvement process, they are in a relatively static and can be perpendicular to the center axis, which simplifies the material Increase the required steps when connected the sphere, thereby reducing energy consumption.")</f>
        <v>This utility model involves an IoT Global loading mechanism. This utility model includes driving motors, promoting mechanisms, two or more sliding rail positioning devices set up on the improvement mechanism, input sliding rails set on the sliding rail positioning device, and output slippery output slippery on the sliding rail positioning device. Rail; the advantages of the re -use of the sphere transportation in this utility model, and under the force of the spiral improvement track, central axis, and limit column during the improvement process, they are in a relatively static and can be perpendicular to the center axis, which simplifies the material Increase the required steps when connected the sphere, thereby reducing energy consumption.</v>
      </c>
      <c r="D4015" s="6" t="s">
        <v>11187</v>
      </c>
      <c r="E4015" s="4" t="str">
        <f ca="1">IFERROR(__xludf.DUMMYFUNCTION("GOOGLETRANSLATE(D4015,""auto"",""en"")"),"An Ido -IoT gangster carrier enhancement mechanism")</f>
        <v>An Ido -IoT gangster carrier enhancement mechanism</v>
      </c>
    </row>
    <row r="4016" spans="1:5" ht="15" x14ac:dyDescent="0.25">
      <c r="A4016" s="5" t="s">
        <v>11188</v>
      </c>
      <c r="B4016" s="6" t="s">
        <v>11189</v>
      </c>
      <c r="C4016" s="3" t="str">
        <f ca="1">IFERROR(__xludf.DUMMYFUNCTION("GOOGLETRANSLATE(B4016,""auto"",""en"")"),"A game device and game methods for language treatment are provided, including social and sports activities to effectively improve the language obstacles of people with pronunciation and fluent obstacles. A game device for verbal treatment includes a voice"&amp;" recognition unit that detects one or more users' voice recognition, detects the action recognition unit of one or more users, and game software, and identifies the voice information and the voice information provided by voice recognition. Action unit. A "&amp;"control unit, including the game process processing unit of the game related to the action information provided by the unit, and the output unit of visual and auditory information related to the game or treatment according to the output signal output sign"&amp;"al output signal output signal output.")</f>
        <v>A game device and game methods for language treatment are provided, including social and sports activities to effectively improve the language obstacles of people with pronunciation and fluent obstacles. A game device for verbal treatment includes a voice recognition unit that detects one or more users' voice recognition, detects the action recognition unit of one or more users, and game software, and identifies the voice information and the voice information provided by voice recognition. Action unit. A control unit, including the game process processing unit of the game related to the action information provided by the unit, and the output unit of visual and auditory information related to the game or treatment according to the output signal output signal output signal output signal output.</v>
      </c>
      <c r="D4016" s="6" t="s">
        <v>11190</v>
      </c>
      <c r="E4016" s="4" t="str">
        <f ca="1">IFERROR(__xludf.DUMMYFUNCTION("GOOGLETRANSLATE(D4016,""auto"",""en"")"),"Game equipment and methods for language treatment")</f>
        <v>Game equipment and methods for language treatment</v>
      </c>
    </row>
    <row r="4017" spans="1:5" ht="15" x14ac:dyDescent="0.25">
      <c r="A4017" s="5" t="s">
        <v>11191</v>
      </c>
      <c r="B4017" s="6" t="s">
        <v>11192</v>
      </c>
      <c r="C4017" s="3" t="str">
        <f ca="1">IFERROR(__xludf.DUMMYFUNCTION("GOOGLETRANSLATE(B4017,""auto"",""en"")"),"The present invention provides a visible and controllable smart home control system and control method. The control system uses the instant image of the smart home appliance captured on the spot to identify the smart home appliance, and then generate the "&amp;"instant instant image or preset image based on the smart home appliance The virtual technical operation interface and/or auxiliary operation interface, and then the user can control smart home appliances; the control system of the present invention uses t"&amp;"he instant image of smart home appliances to identify the smart home appliances that users want to control. Users no longer need to choose from the home appliance menu to choose from Smart appliances that need to be controlled, users can control it as lon"&amp;"g as they can see smart home appliances; the virtual physical operation interface provided by the control system of the present invention is exactly the same as the physical operation interface, so that users have a feeling of direct operation of smart ap"&amp;"pliance entities. Strong sex, convenient operation, good user experience, easy to get started, and even people who are not literate can also be used; in addition, the control system of the present invention can use a portable smart terminal to achieve. Th"&amp;"e equipment is simple, universal, and low cost.")</f>
        <v>The present invention provides a visible and controllable smart home control system and control method. The control system uses the instant image of the smart home appliance captured on the spot to identify the smart home appliance, and then generate the instant instant image or preset image based on the smart home appliance The virtual technical operation interface and/or auxiliary operation interface, and then the user can control smart home appliances; the control system of the present invention uses the instant image of smart home appliances to identify the smart home appliances that users want to control. Users no longer need to choose from the home appliance menu to choose from Smart appliances that need to be controlled, users can control it as long as they can see smart home appliances; the virtual physical operation interface provided by the control system of the present invention is exactly the same as the physical operation interface, so that users have a feeling of direct operation of smart appliance entities. Strong sex, convenient operation, good user experience, easy to get started, and even people who are not literate can also be used; in addition, the control system of the present invention can use a portable smart terminal to achieve. The equipment is simple, universal, and low cost.</v>
      </c>
      <c r="D4017" s="6" t="s">
        <v>11193</v>
      </c>
      <c r="E4017" s="4" t="str">
        <f ca="1">IFERROR(__xludf.DUMMYFUNCTION("GOOGLETRANSLATE(D4017,""auto"",""en"")"),"A visible and controllable smart home control system and control method")</f>
        <v>A visible and controllable smart home control system and control method</v>
      </c>
    </row>
    <row r="4018" spans="1:5" ht="15" x14ac:dyDescent="0.25">
      <c r="A4018" s="5" t="s">
        <v>11194</v>
      </c>
      <c r="B4018" s="6" t="s">
        <v>11195</v>
      </c>
      <c r="C4018" s="3" t="str">
        <f ca="1">IFERROR(__xludf.DUMMYFUNCTION("GOOGLETRANSLATE(B4018,""auto"",""en"")"),"This utility model opens a monochrome self -balanced robot, which belongs to the field of robotics. It is characterized by STM32F103C8T6 as the control core, mainly including power supply voltage voltage circuit, Bluetooth communication circuit, OLED disp"&amp;"lay circuit, gyroscope control circuit, and the F2807S H bridge as the motor. , Drive the optocoupler isolation circuit, use No. 3 football as the monochrome of the robot to achieve a balance on football. Use the OLED screen and Android mobile phone to re"&amp;"alize the human -computer interaction, and communicate through the Bluetooth module. There are controls on the mobile phone control interface: forward, backward, left, right turn, right turn, stop, etc. When the user opens the general switch, the phone wi"&amp;"ll send the instruction through Bluetooth. Keep the robot balance in the process.")</f>
        <v>This utility model opens a monochrome self -balanced robot, which belongs to the field of robotics. It is characterized by STM32F103C8T6 as the control core, mainly including power supply voltage voltage circuit, Bluetooth communication circuit, OLED display circuit, gyroscope control circuit, and the F2807S H bridge as the motor. , Drive the optocoupler isolation circuit, use No. 3 football as the monochrome of the robot to achieve a balance on football. Use the OLED screen and Android mobile phone to realize the human -computer interaction, and communicate through the Bluetooth module. There are controls on the mobile phone control interface: forward, backward, left, right turn, right turn, stop, etc. When the user opens the general switch, the phone will send the instruction through Bluetooth. Keep the robot balance in the process.</v>
      </c>
      <c r="D4018" s="6" t="s">
        <v>11196</v>
      </c>
      <c r="E4018" s="4" t="str">
        <f ca="1">IFERROR(__xludf.DUMMYFUNCTION("GOOGLETRANSLATE(D4018,""auto"",""en"")"),"A monochrome self -balanced robot")</f>
        <v>A monochrome self -balanced robot</v>
      </c>
    </row>
    <row r="4019" spans="1:5" ht="15" x14ac:dyDescent="0.25">
      <c r="A4019" s="5" t="s">
        <v>11197</v>
      </c>
      <c r="B4019" s="6" t="s">
        <v>11198</v>
      </c>
      <c r="C4019" s="3" t="str">
        <f ca="1">IFERROR(__xludf.DUMMYFUNCTION("GOOGLETRANSLATE(B4019,""auto"",""en"")"),"The present invention disclosed a sports rehabilitation treatment treadmill control system. The system comprehensively uses IoT technology. Through wireless Chinese relay network, the evaluation equipment, physiological parameter detection equipment, trea"&amp;"dmills, RFID recognition, and remote servers are organically integrated. Through the evaluation of the patient's physical condition, the doctor can provide treatment suggestions based on the evaluation results, issue a prescription for exercise therapy, a"&amp;"nd control the speed, slope, and treatment time of the treadmill according to the doctor's exercise treatment prescription. The parameter detection circuit that comes with the device can grasp the physical condition of the patient in real time. Once abnor"&amp;"malities occur, the treatment can be stopped to achieve the patient's motion rehabilitation monitoring and treatment, and the patient's recurrence rate and hospitalization rate will be reduced.")</f>
        <v>The present invention disclosed a sports rehabilitation treatment treadmill control system. The system comprehensively uses IoT technology. Through wireless Chinese relay network, the evaluation equipment, physiological parameter detection equipment, treadmills, RFID recognition, and remote servers are organically integrated. Through the evaluation of the patient's physical condition, the doctor can provide treatment suggestions based on the evaluation results, issue a prescription for exercise therapy, and control the speed, slope, and treatment time of the treadmill according to the doctor's exercise treatment prescription. The parameter detection circuit that comes with the device can grasp the physical condition of the patient in real time. Once abnormalities occur, the treatment can be stopped to achieve the patient's motion rehabilitation monitoring and treatment, and the patient's recurrence rate and hospitalization rate will be reduced.</v>
      </c>
      <c r="D4019" s="6" t="s">
        <v>11199</v>
      </c>
      <c r="E4019" s="4" t="str">
        <f ca="1">IFERROR(__xludf.DUMMYFUNCTION("GOOGLETRANSLATE(D4019,""auto"",""en"")"),"Sports rehabilitation treatment of treadmill control system")</f>
        <v>Sports rehabilitation treatment of treadmill control system</v>
      </c>
    </row>
    <row r="4020" spans="1:5" ht="15" x14ac:dyDescent="0.25">
      <c r="A4020" s="5" t="s">
        <v>11200</v>
      </c>
      <c r="B4020" s="6" t="s">
        <v>11201</v>
      </c>
      <c r="C4020" s="3" t="str">
        <f ca="1">IFERROR(__xludf.DUMMYFUNCTION("GOOGLETRANSLATE(B4020,""auto"",""en"")"),"A method of tracking the body site (such as hand) in the capture image, which includes color images in a region to capture (10) to form a set of captured images; identify continuous skin tone areas (12) in one in one In the initial image of the capture im"&amp;"age; define the area of ​​interest (16) containing the skin tone area; extract (18) the image characteristics of the interest area, each image feature is related to one point in the interest area; then, for the first, including the first The continuous im"&amp;"age pair of the first image and the second image. A pair with the image later as the second image: extract (22) image features, each image feature is related to a point in the second image; determine the image features and and and with the second image re"&amp;"lated to the second image (24) In the first image, each interested area related image features; determine the displacement of the matching image characteristics between the first image and the second image; Interested areas (30) In the second image contai"&amp;"ning unrelated matching features; and determine the interest area between the movement direction (34) the first image and the second image.")</f>
        <v>A method of tracking the body site (such as hand) in the capture image, which includes color images in a region to capture (10) to form a set of captured images; identify continuous skin tone areas (12) in one in one In the initial image of the capture image; define the area of ​​interest (16) containing the skin tone area; extract (18) the image characteristics of the interest area, each image feature is related to one point in the interest area; then, for the first, including the first The continuous image pair of the first image and the second image. A pair with the image later as the second image: extract (22) image features, each image feature is related to a point in the second image; determine the image features and and and with the second image related to the second image (24) In the first image, each interested area related image features; determine the displacement of the matching image characteristics between the first image and the second image; Interested areas (30) In the second image containing unrelated matching features; and determine the interest area between the movement direction (34) the first image and the second image.</v>
      </c>
      <c r="D4020" s="6" t="s">
        <v>11202</v>
      </c>
      <c r="E4020" s="4" t="str">
        <f ca="1">IFERROR(__xludf.DUMMYFUNCTION("GOOGLETRANSLATE(D4020,""auto"",""en"")"),"Gesture tracking and classification")</f>
        <v>Gesture tracking and classification</v>
      </c>
    </row>
    <row r="4021" spans="1:5" ht="15" x14ac:dyDescent="0.25">
      <c r="A4021" s="5" t="s">
        <v>11203</v>
      </c>
      <c r="B4021" s="6" t="s">
        <v>11204</v>
      </c>
      <c r="C4021" s="3" t="str">
        <f ca="1">IFERROR(__xludf.DUMMYFUNCTION("GOOGLETRANSLATE(B4021,""auto"",""en"")"),"The present invention involves an automatic control system for automatic manipulation of freight locomotives based on scheduling signals. The automatic manipulation of cargo locomotives is automatically optimized and controlled by the cargo locomotive. In"&amp;"struments and hand/automatic conversion communication devices, the system can obtain real -time information such as automatic control and optimizing real -time control line information and current vehicle speed. In the actual driving, the driver can displ"&amp;"ay the interface and the driver's control table panel through the human -computer interaction interface and the driver's control table panel. The invention can adjust the optimized operating curve of the locomotive based on the temporary scheduling signal"&amp;" of the locomotive to obtain the current optimization target curve; according to the current optimization target curve and current operating status information, real -time self -adaptive control output locomotive control control file sequence.")</f>
        <v>The present invention involves an automatic control system for automatic manipulation of freight locomotives based on scheduling signals. The automatic manipulation of cargo locomotives is automatically optimized and controlled by the cargo locomotive. Instruments and hand/automatic conversion communication devices, the system can obtain real -time information such as automatic control and optimizing real -time control line information and current vehicle speed. In the actual driving, the driver can display the interface and the driver's control table panel through the human -computer interaction interface and the driver's control table panel. The invention can adjust the optimized operating curve of the locomotive based on the temporary scheduling signal of the locomotive to obtain the current optimization target curve; according to the current optimization target curve and current operating status information, real -time self -adaptive control output locomotive control control file sequence.</v>
      </c>
      <c r="D4021" s="6" t="s">
        <v>11205</v>
      </c>
      <c r="E4021" s="4" t="str">
        <f ca="1">IFERROR(__xludf.DUMMYFUNCTION("GOOGLETRANSLATE(D4021,""auto"",""en"")"),"A cargo locomotive -based cargo locomotive automatic manipulation of automatic time optimization control system")</f>
        <v>A cargo locomotive -based cargo locomotive automatic manipulation of automatic time optimization control system</v>
      </c>
    </row>
    <row r="4022" spans="1:5" ht="15" x14ac:dyDescent="0.25">
      <c r="A4022" s="5" t="s">
        <v>11206</v>
      </c>
      <c r="B4022" s="6" t="s">
        <v>11207</v>
      </c>
      <c r="C4022" s="3" t="str">
        <f ca="1">IFERROR(__xludf.DUMMYFUNCTION("GOOGLETRANSLATE(B4022,""auto"",""en"")"),"This utility model opens up a volleyball kick, which involves a sports equipment. It includes human -machine interaction modules, ejection devices, infrared sensors, indicators, motors, beelings, and controllers. The device is connected, and the infrared "&amp;"sensor is set on the edge of the ejection device; the infrared sensor is not less than three, and the spacing between each infrared sensor is 20cm-23cm; the indicator lights are red indicator and yellow indicator light ; The motor is a servo motor. This u"&amp;"tility model of infrared sensors can be scheduled in the ejection device ejection -ejected balls, and the number of balls remaining in the induction device is transmitted to the controller, and the controller re -controls the bee singer and the indicator "&amp;"light to warn. The module is set to control the serve speed of the volleyball kick, which greatly improves the efficiency of people's practice.")</f>
        <v>This utility model opens up a volleyball kick, which involves a sports equipment. It includes human -machine interaction modules, ejection devices, infrared sensors, indicators, motors, beelings, and controllers. The device is connected, and the infrared sensor is set on the edge of the ejection device; the infrared sensor is not less than three, and the spacing between each infrared sensor is 20cm-23cm; the indicator lights are red indicator and yellow indicator light ; The motor is a servo motor. This utility model of infrared sensors can be scheduled in the ejection device ejection -ejected balls, and the number of balls remaining in the induction device is transmitted to the controller, and the controller re -controls the bee singer and the indicator light to warn. The module is set to control the serve speed of the volleyball kick, which greatly improves the efficiency of people's practice.</v>
      </c>
      <c r="D4022" s="6" t="s">
        <v>11208</v>
      </c>
      <c r="E4022" s="4" t="str">
        <f ca="1">IFERROR(__xludf.DUMMYFUNCTION("GOOGLETRANSLATE(D4022,""auto"",""en"")"),"A volleyball kicker")</f>
        <v>A volleyball kicker</v>
      </c>
    </row>
    <row r="4023" spans="1:5" ht="15" x14ac:dyDescent="0.25">
      <c r="A4023" s="5" t="s">
        <v>11209</v>
      </c>
      <c r="B4023" s="6" t="s">
        <v>11210</v>
      </c>
      <c r="C4023" s="3" t="str">
        <f ca="1">IFERROR(__xludf.DUMMYFUNCTION("GOOGLETRANSLATE(B4023,""auto"",""en"")"),"Although at least one candidate solution in the first generation of candidate still needs to be evaluated based on the adaptation function of the optimization problem, multiple candidate solutions are selected from the first -generation candidate solution"&amp;" to participate in the championship. Determine whether it has evaluated each of each of the candidate solutions selected to participate in the championship based on the adaptation function. If they have been evaluated, one or more competitors are selected"&amp;" from multiple candidate solutions in the first generation of candidates. The second -generation candidate's candidate was created based on the genetic operator with one or more of the winners they selected.")</f>
        <v>Although at least one candidate solution in the first generation of candidate still needs to be evaluated based on the adaptation function of the optimization problem, multiple candidate solutions are selected from the first -generation candidate solution to participate in the championship. Determine whether it has evaluated each of each of the candidate solutions selected to participate in the championship based on the adaptation function. If they have been evaluated, one or more competitors are selected from multiple candidate solutions in the first generation of candidates. The second -generation candidate's candidate was created based on the genetic operator with one or more of the winners they selected.</v>
      </c>
      <c r="D4023" s="6" t="s">
        <v>10729</v>
      </c>
      <c r="E4023" s="4" t="str">
        <f ca="1">IFERROR(__xludf.DUMMYFUNCTION("GOOGLETRANSLATE(D4023,""auto"",""en"")"),"Early generation individuals accelerated genetic algorithms")</f>
        <v>Early generation individuals accelerated genetic algorithms</v>
      </c>
    </row>
    <row r="4024" spans="1:5" ht="15" x14ac:dyDescent="0.25">
      <c r="A4024" s="5" t="s">
        <v>11211</v>
      </c>
      <c r="B4024" s="6" t="s">
        <v>11212</v>
      </c>
      <c r="C4024" s="3" t="str">
        <f ca="1">IFERROR(__xludf.DUMMYFUNCTION("GOOGLETRANSLATE(B4024,""auto"",""en"")"),"This application involves methods and systems for adding smart pedals and applications based on computer to provide cycling monitoring and suggestions. This method includes the characteristics of the virtual coach's display of bicycles in the first virtua"&amp;"l bicycle racing section. The characteristics measured by the pedal sensor during the bicycle racing period. Virtual coaches can evaluate the performance of the riders during the cycling, and generate suggestions in the first virtual cycling according to "&amp;"the rider's performance. In addition, virtual coaches can create a second virtual cycling course based on the performance and recommendation of the rider.")</f>
        <v>This application involves methods and systems for adding smart pedals and applications based on computer to provide cycling monitoring and suggestions. This method includes the characteristics of the virtual coach's display of bicycles in the first virtual bicycle racing section. The characteristics measured by the pedal sensor during the bicycle racing period. Virtual coaches can evaluate the performance of the riders during the cycling, and generate suggestions in the first virtual cycling according to the rider's performance. In addition, virtual coaches can create a second virtual cycling course based on the performance and recommendation of the rider.</v>
      </c>
      <c r="D4024" s="6" t="s">
        <v>11213</v>
      </c>
      <c r="E4024" s="4" t="str">
        <f ca="1">IFERROR(__xludf.DUMMYFUNCTION("GOOGLETRANSLATE(D4024,""auto"",""en"")"),"Rider monitoring and recommendation system")</f>
        <v>Rider monitoring and recommendation system</v>
      </c>
    </row>
    <row r="4025" spans="1:5" ht="15" x14ac:dyDescent="0.25">
      <c r="A4025" s="5" t="s">
        <v>11214</v>
      </c>
      <c r="B4025" s="6" t="s">
        <v>11215</v>
      </c>
      <c r="C4025" s="3" t="str">
        <f ca="1">IFERROR(__xludf.DUMMYFUNCTION("GOOGLETRANSLATE(B4025,""auto"",""en"")"),"This application is a method and system that provides cycling monitoring and recommendation for additional intelligent pedals and applications for additional smart pedals and computers. This method includes the characteristics of bicycles displayed by vir"&amp;"tual coaches during the first virtual cycling process, and the characteristics measured by the pedal sensor during cycling. Virtual coaches can evaluate the performance of the rider during the cycling process and generate recommendation of the first virtu"&amp;"al cycling class based on the performance of the rider. In addition, virtual coaches can create a second virtual cycling session based on riding performance and recommendation.")</f>
        <v>This application is a method and system that provides cycling monitoring and recommendation for additional intelligent pedals and applications for additional smart pedals and computers. This method includes the characteristics of bicycles displayed by virtual coaches during the first virtual cycling process, and the characteristics measured by the pedal sensor during cycling. Virtual coaches can evaluate the performance of the rider during the cycling process and generate recommendation of the first virtual cycling class based on the performance of the rider. In addition, virtual coaches can create a second virtual cycling session based on riding performance and recommendation.</v>
      </c>
      <c r="D4025" s="6" t="s">
        <v>11213</v>
      </c>
      <c r="E4025" s="4" t="str">
        <f ca="1">IFERROR(__xludf.DUMMYFUNCTION("GOOGLETRANSLATE(D4025,""auto"",""en"")"),"Rider monitoring and recommendation system")</f>
        <v>Rider monitoring and recommendation system</v>
      </c>
    </row>
    <row r="4026" spans="1:5" ht="15" x14ac:dyDescent="0.25">
      <c r="A4026" s="5" t="s">
        <v>11216</v>
      </c>
      <c r="B4026" s="6" t="s">
        <v>11212</v>
      </c>
      <c r="C4026" s="3" t="str">
        <f ca="1">IFERROR(__xludf.DUMMYFUNCTION("GOOGLETRANSLATE(B4026,""auto"",""en"")"),"This application involves methods and systems for adding smart pedals and applications based on computer to provide cycling monitoring and suggestions. This method includes the characteristics of the virtual coach's display of bicycles in the first virtua"&amp;"l bicycle racing section. The characteristics measured by the pedal sensor during the bicycle racing period. Virtual coaches can evaluate the performance of the riders during the cycling, and generate suggestions in the first virtual cycling according to "&amp;"the rider's performance. In addition, virtual coaches can create a second virtual cycling course based on the performance and recommendation of the rider.")</f>
        <v>This application involves methods and systems for adding smart pedals and applications based on computer to provide cycling monitoring and suggestions. This method includes the characteristics of the virtual coach's display of bicycles in the first virtual bicycle racing section. The characteristics measured by the pedal sensor during the bicycle racing period. Virtual coaches can evaluate the performance of the riders during the cycling, and generate suggestions in the first virtual cycling according to the rider's performance. In addition, virtual coaches can create a second virtual cycling course based on the performance and recommendation of the rider.</v>
      </c>
      <c r="D4026" s="6" t="s">
        <v>11213</v>
      </c>
      <c r="E4026" s="4" t="str">
        <f ca="1">IFERROR(__xludf.DUMMYFUNCTION("GOOGLETRANSLATE(D4026,""auto"",""en"")"),"Rider monitoring and recommendation system")</f>
        <v>Rider monitoring and recommendation system</v>
      </c>
    </row>
    <row r="4027" spans="1:5" ht="15" x14ac:dyDescent="0.25">
      <c r="A4027" s="5" t="s">
        <v>11217</v>
      </c>
      <c r="B4027" s="6" t="s">
        <v>11218</v>
      </c>
      <c r="C4027" s="3" t="str">
        <f ca="1">IFERROR(__xludf.DUMMYFUNCTION("GOOGLETRANSLATE(B4027,""auto"",""en"")"),"This utility model provides a IoT swimming cap involving the field of Internet of Things technology to solve the problem of not being rescued in time for swimming. This utility model includes the hat body and the Internet of Things label set on the hat bo"&amp;"dy. The IoT label is set in the sandwich of the hat body. This utility model reduces physical damage and life safety caused by the inadequate rescue after swimming drowning, and can greatly improve the management level of the swimming pool.")</f>
        <v>This utility model provides a IoT swimming cap involving the field of Internet of Things technology to solve the problem of not being rescued in time for swimming. This utility model includes the hat body and the Internet of Things label set on the hat body. The IoT label is set in the sandwich of the hat body. This utility model reduces physical damage and life safety caused by the inadequate rescue after swimming drowning, and can greatly improve the management level of the swimming pool.</v>
      </c>
      <c r="D4027" s="6" t="s">
        <v>11219</v>
      </c>
      <c r="E4027" s="4" t="str">
        <f ca="1">IFERROR(__xludf.DUMMYFUNCTION("GOOGLETRANSLATE(D4027,""auto"",""en"")"),"IoT")</f>
        <v>IoT</v>
      </c>
    </row>
    <row r="4028" spans="1:5" ht="15" x14ac:dyDescent="0.25">
      <c r="A4028" s="5" t="s">
        <v>11220</v>
      </c>
      <c r="B4028" s="6" t="s">
        <v>11221</v>
      </c>
      <c r="C4028" s="3" t="str">
        <f ca="1">IFERROR(__xludf.DUMMYFUNCTION("GOOGLETRANSLATE(B4028,""auto"",""en"")"),"The present invention involves a Weibo reading probability calculation method based on user forwarding behavior. It is used to calculate in a given time range (T1, T2). A Weibo WX sent by a user H friend is used. TX said that the probability of T1 &lt;TX &lt;T2"&amp;", the probability of being read by the user H, the specific operation steps are as follows: First, in the given time range (T1, T2), find the last Weibo Wi for the user H before the time TX. The original sending time point TI, and the first Weibo WJ of th"&amp;"e user h forwarding the first Weibo WJ after the time TX; at the same time, obtain the repost Ti ′ of the Weibo Wi, and the repost time point T ′ of the Weibo WJ. J. Then, according to the time order of Ti, Ti ′, TJ, and T ′j, the relationship between Ti,"&amp;" Ti ′, TJ, and TNT is divided into 6 cases. Finally, calculate the probability of Weibo WX by the user H in 6 cases. Calculate the reading probability of Weibo based on the user forwarding behavior proposed by the invention based on the user forwarding be"&amp;"havior, which can more accurately measure the user's attributes and facilitate other Weibo applications, such as: recommendation systems, virtual advertising, etc.")</f>
        <v>The present invention involves a Weibo reading probability calculation method based on user forwarding behavior. It is used to calculate in a given time range (T1, T2). A Weibo WX sent by a user H friend is used. TX said that the probability of T1 &lt;TX &lt;T2, the probability of being read by the user H, the specific operation steps are as follows: First, in the given time range (T1, T2), find the last Weibo Wi for the user H before the time TX. The original sending time point TI, and the first Weibo WJ of the user h forwarding the first Weibo WJ after the time TX; at the same time, obtain the repost Ti ′ of the Weibo Wi, and the repost time point T ′ of the Weibo WJ. J. Then, according to the time order of Ti, Ti ′, TJ, and T ′j, the relationship between Ti, Ti ′, TJ, and TNT is divided into 6 cases. Finally, calculate the probability of Weibo WX by the user H in 6 cases. Calculate the reading probability of Weibo based on the user forwarding behavior proposed by the invention based on the user forwarding behavior, which can more accurately measure the user's attributes and facilitate other Weibo applications, such as: recommendation systems, virtual advertising, etc.</v>
      </c>
      <c r="D4028" s="6" t="s">
        <v>11222</v>
      </c>
      <c r="E4028" s="4" t="str">
        <f ca="1">IFERROR(__xludf.DUMMYFUNCTION("GOOGLETRANSLATE(D4028,""auto"",""en"")"),"Method Calculation Method of Weibo reading based on user forwarding behavior")</f>
        <v>Method Calculation Method of Weibo reading based on user forwarding behavior</v>
      </c>
    </row>
    <row r="4029" spans="1:5" ht="15" x14ac:dyDescent="0.25">
      <c r="A4029" s="5" t="s">
        <v>11223</v>
      </c>
      <c r="B4029" s="6" t="s">
        <v>11224</v>
      </c>
      <c r="C4029" s="3" t="str">
        <f ca="1">IFERROR(__xludf.DUMMYFUNCTION("GOOGLETRANSLATE(B4029,""auto"",""en"")"),"This utility model involves the use of chemical or physical properties of the material to test or analyze the material field of materials. It is specifically for a swimming pool water quality evaluation device that applies a swimming pool with a negative "&amp;"neuronic network model. A swimming pool water quality evaluation device that applies to reverse transmission of neural network models includes sampling water pipes (1), solenoid valve (2), and water pump (3), which are characterized by: also include resid"&amp;"ual chlorine determination (41), high -efficiency liquid phase, high -efficiency liquid phase phase, high -efficiency liquid phase phase Chromatography (42), electronic millival meter (43), alkaline measurement meter (44), calcium hardness measurement (45"&amp;"), continuous flow injection analyzer (46), mold/number converter (5), and controller controller (6) The residual chlorine tester (41), etc., through the signal line via a mold/number converter (5) Connect the controller (6). This utility model reduces th"&amp;"e workload of manual evaluation and improves the accuracy and objectivity of evaluation results.")</f>
        <v>This utility model involves the use of chemical or physical properties of the material to test or analyze the material field of materials. It is specifically for a swimming pool water quality evaluation device that applies a swimming pool with a negative neuronic network model. A swimming pool water quality evaluation device that applies to reverse transmission of neural network models includes sampling water pipes (1), solenoid valve (2), and water pump (3), which are characterized by: also include residual chlorine determination (41), high -efficiency liquid phase, high -efficiency liquid phase phase, high -efficiency liquid phase phase Chromatography (42), electronic millival meter (43), alkaline measurement meter (44), calcium hardness measurement (45), continuous flow injection analyzer (46), mold/number converter (5), and controller controller (6) The residual chlorine tester (41), etc., through the signal line via a mold/number converter (5) Connect the controller (6). This utility model reduces the workload of manual evaluation and improves the accuracy and objectivity of evaluation results.</v>
      </c>
      <c r="D4029" s="6" t="s">
        <v>11225</v>
      </c>
      <c r="E4029" s="4" t="str">
        <f ca="1">IFERROR(__xludf.DUMMYFUNCTION("GOOGLETRANSLATE(D4029,""auto"",""en"")"),"Swimming pool water quality evaluation device for reverse transmission of neural network models")</f>
        <v>Swimming pool water quality evaluation device for reverse transmission of neural network models</v>
      </c>
    </row>
    <row r="4030" spans="1:5" ht="15" x14ac:dyDescent="0.25">
      <c r="A4030" s="5" t="s">
        <v>11226</v>
      </c>
      <c r="B4030" s="6" t="s">
        <v>11227</v>
      </c>
      <c r="C4030" s="3" t="str">
        <f ca="1">IFERROR(__xludf.DUMMYFUNCTION("GOOGLETRANSLATE(B4030,""auto"",""en"")"),"The present invention involves the method of testing or analyzing materials with the help of the chemical or physical properties of the material, and specifically the method of evaluating the water quality of the swimming pool in the adverse propagation n"&amp;"eural network model. A method of applying the reverse transmission of neural network models to evaluate the water quality of the swimming pool, including A. Index screening, B. Standard selection, C. Differential classification and D. Model fitting. The p"&amp;"resent invention reduces the workload of manual evaluation and improves the accuracy and objectivity of evaluation results.")</f>
        <v>The present invention involves the method of testing or analyzing materials with the help of the chemical or physical properties of the material, and specifically the method of evaluating the water quality of the swimming pool in the adverse propagation neural network model. A method of applying the reverse transmission of neural network models to evaluate the water quality of the swimming pool, including A. Index screening, B. Standard selection, C. Differential classification and D. Model fitting. The present invention reduces the workload of manual evaluation and improves the accuracy and objectivity of evaluation results.</v>
      </c>
      <c r="D4030" s="6" t="s">
        <v>11228</v>
      </c>
      <c r="E4030" s="4" t="str">
        <f ca="1">IFERROR(__xludf.DUMMYFUNCTION("GOOGLETRANSLATE(D4030,""auto"",""en"")"),"Application of reverse propagation neural network models to evaluate the water quality of swimming pool water")</f>
        <v>Application of reverse propagation neural network models to evaluate the water quality of swimming pool water</v>
      </c>
    </row>
    <row r="4031" spans="1:5" ht="15" x14ac:dyDescent="0.25">
      <c r="A4031" s="5" t="s">
        <v>11229</v>
      </c>
      <c r="B4031" s="6" t="s">
        <v>11230</v>
      </c>
      <c r="C4031" s="3" t="str">
        <f ca="1">IFERROR(__xludf.DUMMYFUNCTION("GOOGLETRANSLATE(B4031,""auto"",""en"")"),"A method and system that provides related marketing opportunities by promoting feedback exchanges in small and large group settings. With the development of mobile and social network technology and the increasing demand for almost real -time feedback from"&amp;" a person's social and online colleagues, the present invention provides users with one or more photos, videos, event information or other forms of forms of sending photos, videos, event information or other forms The group message is the ability to pre -"&amp;"selected groups, each group consists of two or more members. These groups may be large (for example, full of people's stadiums) or small (small classrooms). Each member can receive messages and responds through almost instant communication technology. If "&amp;"necessary, one or more members of one or more preparatory groups can view the message in a fascinating result format and continue the group discussion. In addition, as a part of the user experience, it presents native ads to members, and can participate i"&amp;"n the services of virtual artificial intelligence members in a manner in a way that is conducive to group interaction.")</f>
        <v>A method and system that provides related marketing opportunities by promoting feedback exchanges in small and large group settings. With the development of mobile and social network technology and the increasing demand for almost real -time feedback from a person's social and online colleagues, the present invention provides users with one or more photos, videos, event information or other forms of forms of sending photos, videos, event information or other forms The group message is the ability to pre -selected groups, each group consists of two or more members. These groups may be large (for example, full of people's stadiums) or small (small classrooms). Each member can receive messages and responds through almost instant communication technology. If necessary, one or more members of one or more preparatory groups can view the message in a fascinating result format and continue the group discussion. In addition, as a part of the user experience, it presents native ads to members, and can participate in the services of virtual artificial intelligence members in a manner in a way that is conducive to group interaction.</v>
      </c>
      <c r="D4031" s="6" t="s">
        <v>11231</v>
      </c>
      <c r="E4031" s="4" t="str">
        <f ca="1">IFERROR(__xludf.DUMMYFUNCTION("GOOGLETRANSLATE(D4031,""auto"",""en"")"),"Methods and systems to generate relevant marketing opportunities by promoting feedback exchanges in small and large group environments")</f>
        <v>Methods and systems to generate relevant marketing opportunities by promoting feedback exchanges in small and large group environments</v>
      </c>
    </row>
    <row r="4032" spans="1:5" ht="15" x14ac:dyDescent="0.25">
      <c r="A4032" s="5" t="s">
        <v>11232</v>
      </c>
      <c r="B4032" s="6" t="s">
        <v>11233</v>
      </c>
      <c r="C4032" s="3" t="str">
        <f ca="1">IFERROR(__xludf.DUMMYFUNCTION("GOOGLETRANSLATE(B4032,""auto"",""en"")"),"The present invention disclosed the estimation and behavioral monitoring device and method of the number of underwater fish and shrimp seedlings based on computer vision. The characteristics include the two -way rolling machine and motor of the video coll"&amp;"ection device in the seedling pond, the sampling of different water layers, for the motor for the motor, and used for the motor for the motor. The floating seeds carrying the motor, the video collection device used to collect the seedlings of the seedling"&amp;"s, the steps are as follows: Place the video collection device in the water, and drive the seedlings of seedlings in the seedling pond from the two -way rolling machine and the motor. The seedlings of the seedlings use image processing technology to estim"&amp;"ate the number and density of the seedlings in the entire seedling pool; open the light -induced light source and use the image processing technology to calculate the target swimming speed and group -hearted coordinates to reflect the movement ability and"&amp;" light of the seedlings and light The advantage of temptation is the characteristics of simple structural, wide monitoring, convenient use, and high accuracy, and is suitable for estimating and behavioral monitoring of the number of creatures in the seedl"&amp;"ing of automated aquaculture.")</f>
        <v>The present invention disclosed the estimation and behavioral monitoring device and method of the number of underwater fish and shrimp seedlings based on computer vision. The characteristics include the two -way rolling machine and motor of the video collection device in the seedling pond, the sampling of different water layers, for the motor for the motor, and used for the motor for the motor. The floating seeds carrying the motor, the video collection device used to collect the seedlings of the seedlings, the steps are as follows: Place the video collection device in the water, and drive the seedlings of seedlings in the seedling pond from the two -way rolling machine and the motor. The seedlings of the seedlings use image processing technology to estimate the number and density of the seedlings in the entire seedling pool; open the light -induced light source and use the image processing technology to calculate the target swimming speed and group -hearted coordinates to reflect the movement ability and light of the seedlings and light The advantage of temptation is the characteristics of simple structural, wide monitoring, convenient use, and high accuracy, and is suitable for estimating and behavioral monitoring of the number of creatures in the seedling of automated aquaculture.</v>
      </c>
      <c r="D4032" s="6" t="s">
        <v>11234</v>
      </c>
      <c r="E4032" s="4" t="str">
        <f ca="1">IFERROR(__xludf.DUMMYFUNCTION("GOOGLETRANSLATE(D4032,""auto"",""en"")"),"Estimation and behavioral monitoring device and method of underwater fish and shrimp and crab seedlings based on computer vision")</f>
        <v>Estimation and behavioral monitoring device and method of underwater fish and shrimp and crab seedlings based on computer vision</v>
      </c>
    </row>
    <row r="4033" spans="1:5" ht="15" x14ac:dyDescent="0.25">
      <c r="A4033" s="5" t="s">
        <v>11235</v>
      </c>
      <c r="B4033" s="6" t="s">
        <v>11236</v>
      </c>
      <c r="C4033" s="3" t="str">
        <f ca="1">IFERROR(__xludf.DUMMYFUNCTION("GOOGLETRANSLATE(B4033,""auto"",""en"")"),"The present invention involves a technical field of using oral action to control the terminal of oral action through human -machine interaction equipment that can recognize the movement movement movement of the tongue, the tooth occlusion movement, and th"&amp;"e oral respiratory movement. The human -machine interaction equipment of the present invention is compact, with high control accuracy and sensitivity, small errors, and easy to use. The invention solves the limitations and disadvantages of limb control an"&amp;"d voice intelligent identification and control technology, and has formed an alternative and supplementary effect on the technology of the original operation control terminal. The present invention has increased the participation of people with defects fo"&amp;"r social activities, allowing people with disabled people to control the use of terminals and obtain convenient services brought by human development; they can also allow disabled people to improve employment opportunities by controlling the terminals. Th"&amp;"e present invention also has an effective effect. When the invention is used, you can liberate your hands and let your hands perform other operations or get a rest time. Then enable both hand resources to get better domination and utilization, and achieve"&amp;" the role of efficiency.")</f>
        <v>The present invention involves a technical field of using oral action to control the terminal of oral action through human -machine interaction equipment that can recognize the movement movement movement of the tongue, the tooth occlusion movement, and the oral respiratory movement. The human -machine interaction equipment of the present invention is compact, with high control accuracy and sensitivity, small errors, and easy to use. The invention solves the limitations and disadvantages of limb control and voice intelligent identification and control technology, and has formed an alternative and supplementary effect on the technology of the original operation control terminal. The present invention has increased the participation of people with defects for social activities, allowing people with disabled people to control the use of terminals and obtain convenient services brought by human development; they can also allow disabled people to improve employment opportunities by controlling the terminals. The present invention also has an effective effect. When the invention is used, you can liberate your hands and let your hands perform other operations or get a rest time. Then enable both hand resources to get better domination and utilization, and achieve the role of efficiency.</v>
      </c>
      <c r="D4033" s="6" t="s">
        <v>11237</v>
      </c>
      <c r="E4033" s="4" t="str">
        <f ca="1">IFERROR(__xludf.DUMMYFUNCTION("GOOGLETRANSLATE(D4033,""auto"",""en"")"),"A new human -computer interaction system")</f>
        <v>A new human -computer interaction system</v>
      </c>
    </row>
    <row r="4034" spans="1:5" ht="15" x14ac:dyDescent="0.25">
      <c r="A4034" s="5" t="s">
        <v>11238</v>
      </c>
      <c r="B4034" s="6" t="s">
        <v>11239</v>
      </c>
      <c r="C4034" s="3" t="str">
        <f ca="1">IFERROR(__xludf.DUMMYFUNCTION("GOOGLETRANSLATE(B4034,""auto"",""en"")"),"The present invention announced a genetic algorithm for searching the most dangerous slide noodles, including the following steps: the first step: determine the individual's expression X and the problem of the problem of the problem; the second step: dete"&amp;"rmine the target function and its mathematical description form or quantitativeization Method; Step 3: Determine the search space of individual genotype X and genetic algorithms; Step 4: Determine the corresponding relationship or conversion method of ind"&amp;"ividual genotype X to individual expression X; The target function value f (x) to the converting rules of the individual adaptation Fitness (X); Step 6: Determine the specific operating method of genetic operators such as the selection of operations, cros"&amp;"s -computing, and mutation operations; , Cross -probability PC, mutant probability PM, evolutionary generation NT and other parameters. The algorithm of the present invention can more accurately simulate the biological evolution process in nature, and can"&amp;" realize the mapping from the problem space to the search space (feasible domain).")</f>
        <v>The present invention announced a genetic algorithm for searching the most dangerous slide noodles, including the following steps: the first step: determine the individual's expression X and the problem of the problem of the problem; the second step: determine the target function and its mathematical description form or quantitativeization Method; Step 3: Determine the search space of individual genotype X and genetic algorithms; Step 4: Determine the corresponding relationship or conversion method of individual genotype X to individual expression X; The target function value f (x) to the converting rules of the individual adaptation Fitness (X); Step 6: Determine the specific operating method of genetic operators such as the selection of operations, cross -computing, and mutation operations; , Cross -probability PC, mutant probability PM, evolutionary generation NT and other parameters. The algorithm of the present invention can more accurately simulate the biological evolution process in nature, and can realize the mapping from the problem space to the search space (feasible domain).</v>
      </c>
      <c r="D4034" s="6" t="s">
        <v>11240</v>
      </c>
      <c r="E4034" s="4" t="str">
        <f ca="1">IFERROR(__xludf.DUMMYFUNCTION("GOOGLETRANSLATE(D4034,""auto"",""en"")"),"A genetic algorithm search for the most dangerous slide")</f>
        <v>A genetic algorithm search for the most dangerous slide</v>
      </c>
    </row>
    <row r="4035" spans="1:5" ht="15" x14ac:dyDescent="0.25">
      <c r="A4035" s="5" t="s">
        <v>11241</v>
      </c>
      <c r="B4035" s="6" t="s">
        <v>11242</v>
      </c>
      <c r="C4035" s="3" t="str">
        <f ca="1">IFERROR(__xludf.DUMMYFUNCTION("GOOGLETRANSLATE(B4035,""auto"",""en"")"),"The present invention involves a method and device that matches the game opponent. According to the method of matching the game opponent of the present invention, it includes receiving the first user's game matching information and network information, ga"&amp;"me matching information, and at least one step in the network information. Network information, determine whether the first user is competing with artificial intelligence based on a information. The second user of the opponent, without the user waiting fo"&amp;"r the game, let the first user wait, because it can play, it can improve the immersion or interest of users in the game.")</f>
        <v>The present invention involves a method and device that matches the game opponent. According to the method of matching the game opponent of the present invention, it includes receiving the first user's game matching information and network information, game matching information, and at least one step in the network information. Network information, determine whether the first user is competing with artificial intelligence based on a information. The second user of the opponent, without the user waiting for the game, let the first user wait, because it can play, it can improve the immersion or interest of users in the game.</v>
      </c>
      <c r="D4035" s="6" t="s">
        <v>11243</v>
      </c>
      <c r="E4035" s="4" t="str">
        <f ca="1">IFERROR(__xludf.DUMMYFUNCTION("GOOGLETRANSLATE(D4035,""auto"",""en"")"),"Matching the method and device of the game opponent")</f>
        <v>Matching the method and device of the game opponent</v>
      </c>
    </row>
    <row r="4036" spans="1:5" ht="15" x14ac:dyDescent="0.25">
      <c r="A4036" s="5" t="s">
        <v>11244</v>
      </c>
      <c r="B4036" s="6" t="s">
        <v>11245</v>
      </c>
      <c r="C4036" s="3" t="str">
        <f ca="1">IFERROR(__xludf.DUMMYFUNCTION("GOOGLETRANSLATE(B4036,""auto"",""en"")"),"Sensor configurations in assets (such as chemical refinery, wafer manufacturing and mining industrial processes) are used to monitor the physical operating parameters of assets. The server device can operate to receive the sensor signal 304 in real time. "&amp;"Software products can be operated to analyze sensor data 306 to determine the overall operating efficiency of assets based on the weighted combination of one or more devices from assets. The weight can be determined based on historical data, artificial in"&amp;"telligence or neural networks. The sensor can be wirelessly connected to the server. The system can further detect the equipment failure and determine the maintenance plan. The simulation model 308 is used to identify the recommended adjustment to improve"&amp;" the operating efficiency of assets.")</f>
        <v>Sensor configurations in assets (such as chemical refinery, wafer manufacturing and mining industrial processes) are used to monitor the physical operating parameters of assets. The server device can operate to receive the sensor signal 304 in real time. Software products can be operated to analyze sensor data 306 to determine the overall operating efficiency of assets based on the weighted combination of one or more devices from assets. The weight can be determined based on historical data, artificial intelligence or neural networks. The sensor can be wirelessly connected to the server. The system can further detect the equipment failure and determine the maintenance plan. The simulation model 308 is used to identify the recommended adjustment to improve the operating efficiency of assets.</v>
      </c>
      <c r="D4036" s="6" t="s">
        <v>11246</v>
      </c>
      <c r="E4036" s="4" t="str">
        <f ca="1">IFERROR(__xludf.DUMMYFUNCTION("GOOGLETRANSLATE(D4036,""auto"",""en"")"),"The system and methods for optimizing asset efficiency, as well as the entire system in the facilities")</f>
        <v>The system and methods for optimizing asset efficiency, as well as the entire system in the facilities</v>
      </c>
    </row>
    <row r="4037" spans="1:5" ht="15" x14ac:dyDescent="0.25">
      <c r="A4037" s="5" t="s">
        <v>11247</v>
      </c>
      <c r="B4037" s="6" t="s">
        <v>11248</v>
      </c>
      <c r="C4037" s="3" t="s">
        <v>12417</v>
      </c>
      <c r="D4037" s="6" t="s">
        <v>11249</v>
      </c>
      <c r="E4037" s="4" t="str">
        <f ca="1">IFERROR(__xludf.DUMMYFUNCTION("GOOGLETRANSLATE(D4037,""auto"",""en"")"),"Information flow management")</f>
        <v>Information flow management</v>
      </c>
    </row>
    <row r="4038" spans="1:5" ht="15" x14ac:dyDescent="0.25">
      <c r="A4038" s="5" t="s">
        <v>11250</v>
      </c>
      <c r="B4038" s="6" t="s">
        <v>11251</v>
      </c>
      <c r="C4038" s="3" t="str">
        <f ca="1">IFERROR(__xludf.DUMMYFUNCTION("GOOGLETRANSLATE(B4038,""auto"",""en"")"),"The present invention discloses a control method for the Intelligent Health Supervision Running System based on the Internet of Things. It is characterized by adding a wireless data transmission module and a data early warning management module to the run"&amp;"ner function module, add blood pressure, blood blood pressure, blood in the original data collection module The oxygen data collection function constitutes a new running system, which is connected to the background system server and hospital database syst"&amp;"em through wireless networks. The data recorded by the system is wireless transmission to the background system server and stored in the personal electronic health files in the hospital system to achieve centralized management of user decentralized measur"&amp;"ement data. After each running, users generate data analysis reports to provide users with healthcare Basic data services. Users can use Bluetooth to synchronize the data recorded by the running system to mobile phones, tablets and other devices, and real"&amp;"ize the short -range wireless transmission. The running system can be warned according to the user's heart rate, and users can find problems in time and regulate.")</f>
        <v>The present invention discloses a control method for the Intelligent Health Supervision Running System based on the Internet of Things. It is characterized by adding a wireless data transmission module and a data early warning management module to the runner function module, add blood pressure, blood blood pressure, blood in the original data collection module The oxygen data collection function constitutes a new running system, which is connected to the background system server and hospital database system through wireless networks. The data recorded by the system is wireless transmission to the background system server and stored in the personal electronic health files in the hospital system to achieve centralized management of user decentralized measurement data. After each running, users generate data analysis reports to provide users with healthcare Basic data services. Users can use Bluetooth to synchronize the data recorded by the running system to mobile phones, tablets and other devices, and realize the short -range wireless transmission. The running system can be warned according to the user's heart rate, and users can find problems in time and regulate.</v>
      </c>
      <c r="D4038" s="6" t="s">
        <v>11252</v>
      </c>
      <c r="E4038" s="4" t="str">
        <f ca="1">IFERROR(__xludf.DUMMYFUNCTION("GOOGLETRANSLATE(D4038,""auto"",""en"")"),"A control method of an intelligent health supervision running system based on the Internet of Things")</f>
        <v>A control method of an intelligent health supervision running system based on the Internet of Things</v>
      </c>
    </row>
    <row r="4039" spans="1:5" ht="15" x14ac:dyDescent="0.25">
      <c r="A4039" s="5" t="s">
        <v>11253</v>
      </c>
      <c r="B4039" s="6" t="s">
        <v>11254</v>
      </c>
      <c r="C4039" s="3" t="str">
        <f ca="1">IFERROR(__xludf.DUMMYFUNCTION("GOOGLETRANSLATE(B4039,""auto"",""en"")"),"A new type of synchronous video system based on fitness rowers, including speed detection module, heart rate detection module, ARM data collection and control system, LCD display module, industrial control machine, hand -control keyboard, video collection"&amp;" module and limit switch. Speed ​​detection module, heart rate detection module, video collection module and limit switch are connected to the ARM data collection and control system, respectively. The industrial control machine is connected to the ARM dat"&amp;"a collection and control system. connect. The present invention realizes the intelligent, digital and beautiful human -computer interaction interface of the fitness rowing machine control system, and reduces the disadvantages of many conventional fitness "&amp;"equipment, boring fitness, and lack of interactivity.")</f>
        <v>A new type of synchronous video system based on fitness rowers, including speed detection module, heart rate detection module, ARM data collection and control system, LCD display module, industrial control machine, hand -control keyboard, video collection module and limit switch. Speed ​​detection module, heart rate detection module, video collection module and limit switch are connected to the ARM data collection and control system, respectively. The industrial control machine is connected to the ARM data collection and control system. connect. The present invention realizes the intelligent, digital and beautiful human -computer interaction interface of the fitness rowing machine control system, and reduces the disadvantages of many conventional fitness equipment, boring fitness, and lack of interactivity.</v>
      </c>
      <c r="D4039" s="6" t="s">
        <v>11255</v>
      </c>
      <c r="E4039" s="4" t="str">
        <f ca="1">IFERROR(__xludf.DUMMYFUNCTION("GOOGLETRANSLATE(D4039,""auto"",""en"")"),"A new type of synchronous video system based on a fitness rowder")</f>
        <v>A new type of synchronous video system based on a fitness rowder</v>
      </c>
    </row>
    <row r="4040" spans="1:5" ht="15" x14ac:dyDescent="0.25">
      <c r="A4040" s="5" t="s">
        <v>11256</v>
      </c>
      <c r="B4040" s="6" t="s">
        <v>11257</v>
      </c>
      <c r="C4040" s="3" t="str">
        <f ca="1">IFERROR(__xludf.DUMMYFUNCTION("GOOGLETRANSLATE(B4040,""auto"",""en"")"),"A new type of synchronous video system based on a treadmill, including human -computer interaction system, lower machine control system, detection system, motor drive system and execution system. Formed with Mike, the lower machine control system consists"&amp;" of the lower machine ARM processor and the voice control module. The detection system consists of a video detection module, speed detection module, heart rate detection module and ultrasonic detection module. The driving module is composed of the executi"&amp;"on system. The three -phase AC asynchronous motor and the DC servo motor of the slope control the slope control the system. The present invention uses embedded technology to the treadmill control system, which realizes the intelligent, digital and beautif"&amp;"ul human -computer interaction interface of the treadmill control system, reducing the relatively independent, boring fitness behavior between many conventional fitness equipment, and lack of lack of fitness behavior. Disadvantages such as interaction.")</f>
        <v>A new type of synchronous video system based on a treadmill, including human -computer interaction system, lower machine control system, detection system, motor drive system and execution system. Formed with Mike, the lower machine control system consists of the lower machine ARM processor and the voice control module. The detection system consists of a video detection module, speed detection module, heart rate detection module and ultrasonic detection module. The driving module is composed of the execution system. The three -phase AC asynchronous motor and the DC servo motor of the slope control the slope control the system. The present invention uses embedded technology to the treadmill control system, which realizes the intelligent, digital and beautiful human -computer interaction interface of the treadmill control system, reducing the relatively independent, boring fitness behavior between many conventional fitness equipment, and lack of lack of fitness behavior. Disadvantages such as interaction.</v>
      </c>
      <c r="D4040" s="6" t="s">
        <v>11258</v>
      </c>
      <c r="E4040" s="4" t="str">
        <f ca="1">IFERROR(__xludf.DUMMYFUNCTION("GOOGLETRANSLATE(D4040,""auto"",""en"")"),"A new type of synchronous video system based on a treadmill")</f>
        <v>A new type of synchronous video system based on a treadmill</v>
      </c>
    </row>
    <row r="4041" spans="1:5" ht="15" x14ac:dyDescent="0.25">
      <c r="A4041" s="5" t="s">
        <v>11259</v>
      </c>
      <c r="B4041" s="6" t="s">
        <v>11260</v>
      </c>
      <c r="C4041" s="3" t="str">
        <f ca="1">IFERROR(__xludf.DUMMYFUNCTION("GOOGLETRANSLATE(B4041,""auto"",""en"")"),"The present invention involves fitness equipment treadmill technology. The invention provides the problem of running machines such as treadmill speed in the existing technology, and provides a treadmill system that can achieve voice control, including wir"&amp;"eless header wheat, voice recognition module, wireless signal transmission module and control module. Connect to the voice recognition module, the voice recognition module is connected to the wireless signal transmission module, and the wireless signal tr"&amp;"ansmission module is connected to the control module and the wireless headset, respectively. The present invention can control the running parameters conveniently and quickly through voice control through voice recognition devices and Bluetooth modules th"&amp;"rough voice. At the same time, users can listen to the music through the audio play module to make the motion not boring. Suitable for treadmills that can achieve voice control.")</f>
        <v>The present invention involves fitness equipment treadmill technology. The invention provides the problem of running machines such as treadmill speed in the existing technology, and provides a treadmill system that can achieve voice control, including wireless header wheat, voice recognition module, wireless signal transmission module and control module. Connect to the voice recognition module, the voice recognition module is connected to the wireless signal transmission module, and the wireless signal transmission module is connected to the control module and the wireless headset, respectively. The present invention can control the running parameters conveniently and quickly through voice control through voice recognition devices and Bluetooth modules through voice. At the same time, users can listen to the music through the audio play module to make the motion not boring. Suitable for treadmills that can achieve voice control.</v>
      </c>
      <c r="D4041" s="6" t="s">
        <v>11261</v>
      </c>
      <c r="E4041" s="4" t="str">
        <f ca="1">IFERROR(__xludf.DUMMYFUNCTION("GOOGLETRANSLATE(D4041,""auto"",""en"")"),"Treadmill systems and control methods that can realize voice control")</f>
        <v>Treadmill systems and control methods that can realize voice control</v>
      </c>
    </row>
    <row r="4042" spans="1:5" ht="15" x14ac:dyDescent="0.25">
      <c r="A4042" s="5" t="s">
        <v>11262</v>
      </c>
      <c r="B4042" s="6" t="s">
        <v>11263</v>
      </c>
      <c r="C4042" s="3" t="str">
        <f ca="1">IFERROR(__xludf.DUMMYFUNCTION("GOOGLETRANSLATE(B4042,""auto"",""en"")"),"The invention disclosed a video electronic software that can retrieve the wonderful clips of sports events. The video electronic software included in the operation interface, internal subsystem and database. The operating interface is designed by VC ++ MF"&amp;"C programming. The internal subsystem performs human -computer interaction operations. The internal subsystems include analysis and detection subsystems and extracting retrieval subsystems. The data interaction between the database and internal subsystems"&amp;". The present invention reveals a video electronic software that can retrieve the wonderful clips of sports events. The video electronic software is unique, easy to operate, and can analyze and find the complete sports video data, extract wonderful clip d"&amp;"ata, remove redundant boring data It greatly facilitates people to review the wonderful events at any time.")</f>
        <v>The invention disclosed a video electronic software that can retrieve the wonderful clips of sports events. The video electronic software included in the operation interface, internal subsystem and database. The operating interface is designed by VC ++ MFC programming. The internal subsystem performs human -computer interaction operations. The internal subsystems include analysis and detection subsystems and extracting retrieval subsystems. The data interaction between the database and internal subsystems. The present invention reveals a video electronic software that can retrieve the wonderful clips of sports events. The video electronic software is unique, easy to operate, and can analyze and find the complete sports video data, extract wonderful clip data, remove redundant boring data It greatly facilitates people to review the wonderful events at any time.</v>
      </c>
      <c r="D4042" s="6" t="s">
        <v>11264</v>
      </c>
      <c r="E4042" s="4" t="str">
        <f ca="1">IFERROR(__xludf.DUMMYFUNCTION("GOOGLETRANSLATE(D4042,""auto"",""en"")"),"A video electronic software that can retrieve the wonderful clips of sports events")</f>
        <v>A video electronic software that can retrieve the wonderful clips of sports events</v>
      </c>
    </row>
    <row r="4043" spans="1:5" ht="15" x14ac:dyDescent="0.25">
      <c r="A4043" s="5" t="s">
        <v>11265</v>
      </c>
      <c r="B4043" s="6" t="s">
        <v>11266</v>
      </c>
      <c r="C4043" s="3" t="str">
        <f ca="1">IFERROR(__xludf.DUMMYFUNCTION("GOOGLETRANSLATE(B4043,""auto"",""en"")"),"This utility model involves a digital basket based on the Internet of Things, including the basket circle, which is equipped with a sensor for detecting basketball basket information. The sensor can be installed in the basket and/or the basket On the brac"&amp;"ket of the fixed connection, the installation position of the sensor is usually below the basket, and the detection end of the sensor points to the dunk limited scoring area. This practical new model can automatically detect the various technical data of "&amp;"basketball during the basketball through the basketball. After statistical analysis, the precise shooting technology results are obtained, which is conducive to the athlete's shooting technology summary, the improvement of shooting technology, and based o"&amp;"n their own. The shooting technical characteristics determine the relatively high shooting area, which is conducive to the improvement of the athlete's basketball skills.")</f>
        <v>This utility model involves a digital basket based on the Internet of Things, including the basket circle, which is equipped with a sensor for detecting basketball basket information. The sensor can be installed in the basket and/or the basket On the bracket of the fixed connection, the installation position of the sensor is usually below the basket, and the detection end of the sensor points to the dunk limited scoring area. This practical new model can automatically detect the various technical data of basketball during the basketball through the basketball. After statistical analysis, the precise shooting technology results are obtained, which is conducive to the athlete's shooting technology summary, the improvement of shooting technology, and based on their own. The shooting technical characteristics determine the relatively high shooting area, which is conducive to the improvement of the athlete's basketball skills.</v>
      </c>
      <c r="D4043" s="6" t="s">
        <v>11267</v>
      </c>
      <c r="E4043" s="4" t="str">
        <f ca="1">IFERROR(__xludf.DUMMYFUNCTION("GOOGLETRANSLATE(D4043,""auto"",""en"")"),"Digital basket based on the Internet of Things")</f>
        <v>Digital basket based on the Internet of Things</v>
      </c>
    </row>
    <row r="4044" spans="1:5" ht="15" x14ac:dyDescent="0.25">
      <c r="A4044" s="5" t="s">
        <v>11268</v>
      </c>
      <c r="B4044" s="6" t="s">
        <v>11269</v>
      </c>
      <c r="C4044" s="3" t="str">
        <f ca="1">IFERROR(__xludf.DUMMYFUNCTION("GOOGLETRANSLATE(B4044,""auto"",""en"")"),"The invention involves a smart ellipse machine and control method based on the Internet of Things technology. The intelligent ellipse machine includes: the main body of the elliptical machine, the two -dimensional code label, the wireless transmission mod"&amp;"ule, the mobile terminal application, the elliptical machine data management system; Code label pastes on the main body of the smart ellipse machine; the wireless transmission module is connected to the elliptical machine control board through a wired, an"&amp;"d the mobile terminal application is installed on the smartphone through the wireless elliptical machine data management system. Connect to the elliptical machine data management system through the mobile network. The present invention uses QR code and WI"&amp;"FI technology, which not only has the function of uploading, preservation, and analysis of elliptical machine motion data, but also users can consult experts online to obtain an elliptical machine sports and fitness procedure, which improves the rationali"&amp;"ty, targeted and scientific nature of fitness activities Essence")</f>
        <v>The invention involves a smart ellipse machine and control method based on the Internet of Things technology. The intelligent ellipse machine includes: the main body of the elliptical machine, the two -dimensional code label, the wireless transmission module, the mobile terminal application, the elliptical machine data management system; Code label pastes on the main body of the smart ellipse machine; the wireless transmission module is connected to the elliptical machine control board through a wired, and the mobile terminal application is installed on the smartphone through the wireless elliptical machine data management system. Connect to the elliptical machine data management system through the mobile network. The present invention uses QR code and WIFI technology, which not only has the function of uploading, preservation, and analysis of elliptical machine motion data, but also users can consult experts online to obtain an elliptical machine sports and fitness procedure, which improves the rationality, targeted and scientific nature of fitness activities Essence</v>
      </c>
      <c r="D4044" s="6" t="s">
        <v>11270</v>
      </c>
      <c r="E4044" s="4" t="str">
        <f ca="1">IFERROR(__xludf.DUMMYFUNCTION("GOOGLETRANSLATE(D4044,""auto"",""en"")"),"A smart ellipse machine based on IoT technology")</f>
        <v>A smart ellipse machine based on IoT technology</v>
      </c>
    </row>
    <row r="4045" spans="1:5" ht="15" x14ac:dyDescent="0.25">
      <c r="A4045" s="5" t="s">
        <v>11271</v>
      </c>
      <c r="B4045" s="6" t="s">
        <v>11272</v>
      </c>
      <c r="C4045" s="3" t="str">
        <f ca="1">IFERROR(__xludf.DUMMYFUNCTION("GOOGLETRANSLATE(B4045,""auto"",""en"")"),"The invention involves a structure and method and method of multi -scale health monitoring device and methods based on integrated composite sensor arrays. The sensor module, the integrated composite sensor is set on the flexible board of the composite mat"&amp;"erial; the method of the method of integrated composite sensor is used to measure the modular frequency of the structure and the strain distribution near the sensor. Wait for individual gymnastics and population to evolve, seek a multi -scale damage distr"&amp;"ibution form. The present invention has the advantages of many sensing parameters, small sensing head volume, and high system integration. It can effectively solve the problems such as data fusion and test noise arranged on the same structure. Monitor hea"&amp;"lth.")</f>
        <v>The invention involves a structure and method and method of multi -scale health monitoring device and methods based on integrated composite sensor arrays. The sensor module, the integrated composite sensor is set on the flexible board of the composite material; the method of the method of integrated composite sensor is used to measure the modular frequency of the structure and the strain distribution near the sensor. Wait for individual gymnastics and population to evolve, seek a multi -scale damage distribution form. The present invention has the advantages of many sensing parameters, small sensing head volume, and high system integration. It can effectively solve the problems such as data fusion and test noise arranged on the same structure. Monitor health.</v>
      </c>
      <c r="D4045" s="6" t="s">
        <v>11273</v>
      </c>
      <c r="E4045" s="4" t="str">
        <f ca="1">IFERROR(__xludf.DUMMYFUNCTION("GOOGLETRANSLATE(D4045,""auto"",""en"")"),"Structural multi -scale health monitoring device and method based on integrated composite sensor")</f>
        <v>Structural multi -scale health monitoring device and method based on integrated composite sensor</v>
      </c>
    </row>
    <row r="4046" spans="1:5" ht="15" x14ac:dyDescent="0.25">
      <c r="A4046" s="5" t="s">
        <v>11274</v>
      </c>
      <c r="B4046" s="6" t="s">
        <v>11275</v>
      </c>
      <c r="C4046" s="3" t="str">
        <f ca="1">IFERROR(__xludf.DUMMYFUNCTION("GOOGLETRANSLATE(B4046,""auto"",""en"")"),"The present invention disclosed a running fitness system based on data monitoring to achieve motion guidance. The system includes cloud storage units, treadmills, intelligent monitoring units placed on the running shift, smart terminals, and motion instal"&amp;"led in the smart terminal. Guidance unit; cloud storage unit for storing historical data of the movement of the troops described; intelligent monitoring units to monitor real -time data of the movement of the running sholes; the movement guidance unit is "&amp;"used to use the wireless wireless wire of the smart terminal The network transmission module receives the real -time data sent by the intelligent monitoring unit; analyzes and refer to the received real -time data through the historical data of the cloud "&amp;"-end storage unit queries, and provide users with motion guidance schemes in real time. The invention combines traditional sports exercise products with the Internet of Things technology with cloud computing technology, establish an interactive and health"&amp;" promotion platform, change the application model of traditional treadmills, and enhance application persistence.")</f>
        <v>The present invention disclosed a running fitness system based on data monitoring to achieve motion guidance. The system includes cloud storage units, treadmills, intelligent monitoring units placed on the running shift, smart terminals, and motion installed in the smart terminal. Guidance unit; cloud storage unit for storing historical data of the movement of the troops described; intelligent monitoring units to monitor real -time data of the movement of the running sholes; the movement guidance unit is used to use the wireless wireless wire of the smart terminal The network transmission module receives the real -time data sent by the intelligent monitoring unit; analyzes and refer to the received real -time data through the historical data of the cloud -end storage unit queries, and provide users with motion guidance schemes in real time. The invention combines traditional sports exercise products with the Internet of Things technology with cloud computing technology, establish an interactive and health promotion platform, change the application model of traditional treadmills, and enhance application persistence.</v>
      </c>
      <c r="D4046" s="6" t="s">
        <v>11276</v>
      </c>
      <c r="E4046" s="4" t="str">
        <f ca="1">IFERROR(__xludf.DUMMYFUNCTION("GOOGLETRANSLATE(D4046,""auto"",""en"")"),"A running fitness system based on data monitoring to achieve exercise guidance")</f>
        <v>A running fitness system based on data monitoring to achieve exercise guidance</v>
      </c>
    </row>
    <row r="4047" spans="1:5" ht="15" x14ac:dyDescent="0.25">
      <c r="A4047" s="5" t="s">
        <v>11277</v>
      </c>
      <c r="B4047" s="6" t="s">
        <v>11278</v>
      </c>
      <c r="C4047" s="3" t="str">
        <f ca="1">IFERROR(__xludf.DUMMYFUNCTION("GOOGLETRANSLATE(B4047,""auto"",""en"")"),"The present invention disclosed a cycling fitness system based on data monitoring and achieved motion guidance. The system includes cloud storage units, fitness bicycles, intelligent monitoring units, smart terminals and installed in the smart terminal Th"&amp;"e exercise guidance unit; the cloud storage unit is used to store the historical data generated by the storage exercise through the fitness bicycle motion; the intelligent monitoring unit is used to monitor the real -time data generated by the exercise th"&amp;"rough the fitness bicycle motion; The wireless network transmission module of the smart terminal receives the real -time data sent by the intelligent monitoring unit; analyzes and refers to the receiving real -time data from the receiving real -time data "&amp;"through the historical data of the cloud -end storage unit queries. The invention combines traditional sports exercise products and IoT technology with cloud computing technology, establish interaction and health promotion platforms, change the applicatio"&amp;"n model of traditional fitness bicycles, and enhance application persistence.")</f>
        <v>The present invention disclosed a cycling fitness system based on data monitoring and achieved motion guidance. The system includes cloud storage units, fitness bicycles, intelligent monitoring units, smart terminals and installed in the smart terminal The exercise guidance unit; the cloud storage unit is used to store the historical data generated by the storage exercise through the fitness bicycle motion; the intelligent monitoring unit is used to monitor the real -time data generated by the exercise through the fitness bicycle motion; The wireless network transmission module of the smart terminal receives the real -time data sent by the intelligent monitoring unit; analyzes and refers to the receiving real -time data from the receiving real -time data through the historical data of the cloud -end storage unit queries. The invention combines traditional sports exercise products and IoT technology with cloud computing technology, establish interaction and health promotion platforms, change the application model of traditional fitness bicycles, and enhance application persistence.</v>
      </c>
      <c r="D4047" s="6" t="s">
        <v>11279</v>
      </c>
      <c r="E4047" s="4" t="str">
        <f ca="1">IFERROR(__xludf.DUMMYFUNCTION("GOOGLETRANSLATE(D4047,""auto"",""en"")"),"A riding and fitness system based on data monitoring to achieve exercise guidance")</f>
        <v>A riding and fitness system based on data monitoring to achieve exercise guidance</v>
      </c>
    </row>
    <row r="4048" spans="1:5" ht="15" x14ac:dyDescent="0.25">
      <c r="A4048" s="5" t="s">
        <v>11280</v>
      </c>
      <c r="B4048" s="6" t="s">
        <v>11281</v>
      </c>
      <c r="C4048" s="3" t="str">
        <f ca="1">IFERROR(__xludf.DUMMYFUNCTION("GOOGLETRANSLATE(B4048,""auto"",""en"")"),"The present invention involves a fun boxing pairing equipment for entertainment and fitness. The equipment is divided into three parts: arms, upper frame, and lower -machine frames. Composition; the arm of the instrument consists of five parts: sprocketin"&amp;"g mechanism, large arm crank rocker, slot mechanism, incomplete gear transmission mechanism, and small arm crank rocker. The shape of the present invention is compactly designed by the industrial design. In addition, the arm of the humanoid equipment can "&amp;"realize the characteristics of single -axis input single power and play two different sets of different fisting methods; control the opening and stop of the DC motor through a delayed contact switch, and set the delay through the delay. The opening time o"&amp;"f the contact switch can get the mutual combination of different boxing species, so that the practitioner experiences a rich and interesting boxing human machine interactive experience; you can make straight fists and punch combinations for users to enhan"&amp;"ce the fun of entertainment and fitness activities. Sex, in addition, it has the advantages of low cost, high cost performance and easy popularity.")</f>
        <v>The present invention involves a fun boxing pairing equipment for entertainment and fitness. The equipment is divided into three parts: arms, upper frame, and lower -machine frames. Composition; the arm of the instrument consists of five parts: sprocketing mechanism, large arm crank rocker, slot mechanism, incomplete gear transmission mechanism, and small arm crank rocker. The shape of the present invention is compactly designed by the industrial design. In addition, the arm of the humanoid equipment can realize the characteristics of single -axis input single power and play two different sets of different fisting methods; control the opening and stop of the DC motor through a delayed contact switch, and set the delay through the delay. The opening time of the contact switch can get the mutual combination of different boxing species, so that the practitioner experiences a rich and interesting boxing human machine interactive experience; you can make straight fists and punch combinations for users to enhance the fun of entertainment and fitness activities. Sex, in addition, it has the advantages of low cost, high cost performance and easy popularity.</v>
      </c>
      <c r="D4048" s="6" t="s">
        <v>11282</v>
      </c>
      <c r="E4048" s="4" t="str">
        <f ca="1">IFERROR(__xludf.DUMMYFUNCTION("GOOGLETRANSLATE(D4048,""auto"",""en"")"),"A fun boxing player for entertainment and fitness")</f>
        <v>A fun boxing player for entertainment and fitness</v>
      </c>
    </row>
    <row r="4049" spans="1:5" ht="15" x14ac:dyDescent="0.25">
      <c r="A4049" s="5" t="s">
        <v>11283</v>
      </c>
      <c r="B4049" s="6" t="s">
        <v>11284</v>
      </c>
      <c r="C4049" s="3" t="str">
        <f ca="1">IFERROR(__xludf.DUMMYFUNCTION("GOOGLETRANSLATE(B4049,""auto"",""en"")"),"The invention disclosed a touch recognition device, including the signal processing unit and the touch signal detection device that is not at the same plane at least two identification layers. The touch signal detection device is connected to the signal p"&amp;"rocessing unit, and the detection data is sent to the signal processing unit. The signal processing unit is processed to the receiving detection data to obtain gesture data that indicates the three -dimensional touch gesture. The invention also provides c"&amp;"orresponding identification methods and human -machine interaction systems including touch recognition devices. The present invention uses a multi -layer touch detection device to identify the touch action of the three -dimensional space to identify the t"&amp;"hree -dimensional touch gesture, which can better be applied to a three -dimensional display or stereo operating system, such as the touch operation of 3D images.")</f>
        <v>The invention disclosed a touch recognition device, including the signal processing unit and the touch signal detection device that is not at the same plane at least two identification layers. The touch signal detection device is connected to the signal processing unit, and the detection data is sent to the signal processing unit. The signal processing unit is processed to the receiving detection data to obtain gesture data that indicates the three -dimensional touch gesture. The invention also provides corresponding identification methods and human -machine interaction systems including touch recognition devices. The present invention uses a multi -layer touch detection device to identify the touch action of the three -dimensional space to identify the three -dimensional touch gesture, which can better be applied to a three -dimensional display or stereo operating system, such as the touch operation of 3D images.</v>
      </c>
      <c r="D4049" s="6" t="s">
        <v>11285</v>
      </c>
      <c r="E4049" s="4" t="str">
        <f ca="1">IFERROR(__xludf.DUMMYFUNCTION("GOOGLETRANSLATE(D4049,""auto"",""en"")"),"A touch recognition device and recognition method")</f>
        <v>A touch recognition device and recognition method</v>
      </c>
    </row>
    <row r="4050" spans="1:5" ht="15" x14ac:dyDescent="0.25">
      <c r="A4050" s="5" t="s">
        <v>11286</v>
      </c>
      <c r="B4050" s="6" t="s">
        <v>11287</v>
      </c>
      <c r="C4050" s="3" t="str">
        <f ca="1">IFERROR(__xludf.DUMMYFUNCTION("GOOGLETRANSLATE(B4050,""auto"",""en"")"),"The present invention provides a small group competition robot competition and experimental platform. The invention has produced a four -wheel butterfly -shaped robot movement mechanism; the characteristics of the robot's motion control algorithm are stud"&amp;"ied for the characteristics of the sports institution. The underlying control system of robotics; image processing methods such as distortion, target segmentation, image recognition and other image processing methods developed a machine visual system suit"&amp;"able for laboratory venues; the robot independent decision -making system has been written to predict and judge the behavior of robotic behaviors, provide decision -making library support, and provide support for decision library, and provide decision -ma"&amp;"king library support. Realize the global path planning in the dynamic environment; design a 2.4G radio frequency communication module to build the platform's wireless communication system to achieve information exchange between the robot subsystem and the"&amp;" upper -level decision -making control system; in addition, the present invention also uses the ""platform/plug -in ""The software system builds an open simulation system for Robocup small group football robots. It can be used as a standard platform for t"&amp;"he standard platform for the Robocup small group football robot competition. It can also be used as a complete competition system to participate in the robot competition directly.")</f>
        <v>The present invention provides a small group competition robot competition and experimental platform. The invention has produced a four -wheel butterfly -shaped robot movement mechanism; the characteristics of the robot's motion control algorithm are studied for the characteristics of the sports institution. The underlying control system of robotics; image processing methods such as distortion, target segmentation, image recognition and other image processing methods developed a machine visual system suitable for laboratory venues; the robot independent decision -making system has been written to predict and judge the behavior of robotic behaviors, provide decision -making library support, and provide support for decision library, and provide decision -making library support. Realize the global path planning in the dynamic environment; design a 2.4G radio frequency communication module to build the platform's wireless communication system to achieve information exchange between the robot subsystem and the upper -level decision -making control system; in addition, the present invention also uses the "platform/plug -in "The software system builds an open simulation system for Robocup small group football robots. It can be used as a standard platform for the standard platform for the Robocup small group football robot competition. It can also be used as a complete competition system to participate in the robot competition directly.</v>
      </c>
      <c r="D4050" s="6" t="s">
        <v>11288</v>
      </c>
      <c r="E4050" s="4" t="str">
        <f ca="1">IFERROR(__xludf.DUMMYFUNCTION("GOOGLETRANSLATE(D4050,""auto"",""en"")"),"A race robot")</f>
        <v>A race robot</v>
      </c>
    </row>
    <row r="4051" spans="1:5" ht="15" x14ac:dyDescent="0.25">
      <c r="A4051" s="5" t="s">
        <v>11289</v>
      </c>
      <c r="B4051" s="6" t="s">
        <v>11290</v>
      </c>
      <c r="C4051" s="3" t="str">
        <f ca="1">IFERROR(__xludf.DUMMYFUNCTION("GOOGLETRANSLATE(B4051,""auto"",""en"")"),"This utility model discloses a personal sports fitness management system based on the Internet of Things technology, including: sports data collection equipment for collecting sports data and user sleep time; data processing equipment is used to upload th"&amp;"e data collection device for the motion data. Data are stored, managed, statistical, and analyzed; data presentation devices are used to present data; the above data processing devices are not connected to the data collection device data of sports data ac"&amp;"quisition devices, and sports data collection equipment also has wireless connection barrier detection equipment for detection to detect detection The obstacle information is uploaded to the data processing device processing through the data collection de"&amp;"vice and presented in the data presentation device. The use of convenience, efficient, real -time, comprehensive, and interesting personal sports fitness management system provides great convenience for the night athletes and people with vision disorders.")</f>
        <v>This utility model discloses a personal sports fitness management system based on the Internet of Things technology, including: sports data collection equipment for collecting sports data and user sleep time; data processing equipment is used to upload the data collection device for the motion data. Data are stored, managed, statistical, and analyzed; data presentation devices are used to present data; the above data processing devices are not connected to the data collection device data of sports data acquisition devices, and sports data collection equipment also has wireless connection barrier detection equipment for detection to detect detection The obstacle information is uploaded to the data processing device processing through the data collection device and presented in the data presentation device. The use of convenience, efficient, real -time, comprehensive, and interesting personal sports fitness management system provides great convenience for the night athletes and people with vision disorders.</v>
      </c>
      <c r="D4051" s="6" t="s">
        <v>11291</v>
      </c>
      <c r="E4051" s="4" t="str">
        <f ca="1">IFERROR(__xludf.DUMMYFUNCTION("GOOGLETRANSLATE(D4051,""auto"",""en"")"),"Personal sports fitness management system based on IoT technology")</f>
        <v>Personal sports fitness management system based on IoT technology</v>
      </c>
    </row>
    <row r="4052" spans="1:5" ht="15" x14ac:dyDescent="0.25">
      <c r="A4052" s="5" t="s">
        <v>11292</v>
      </c>
      <c r="B4052" s="6" t="s">
        <v>11293</v>
      </c>
      <c r="C4052" s="3" t="str">
        <f ca="1">IFERROR(__xludf.DUMMYFUNCTION("GOOGLETRANSLATE(B4052,""auto"",""en"")"),"The present invention involves a badminton racket for training with wind power as a power supply, which is the field of Internet of Things application technology in sensor. The energy storage battery and axis acceleration sensor are installed in the pores"&amp;" of the handle of the handle of the handle. The wind power generator is connected to the wind power controller through the wire conductors. Energy battery connects to the axis acceleration sensor through the wire guide; during training, the axis accelerat"&amp;"ion sensor converts the perceived motion information into a electrical signal and transmits it through the antenna. The information processing, the information processor storage processing information, and the processing of the complete information input "&amp;"the display screen, displaying the specific data of the athlete's use of strength and the angle of the racket during the shot of the display; As a power supply source, power generation can be easily charged and put into use.")</f>
        <v>The present invention involves a badminton racket for training with wind power as a power supply, which is the field of Internet of Things application technology in sensor. The energy storage battery and axis acceleration sensor are installed in the pores of the handle of the handle of the handle. The wind power generator is connected to the wind power controller through the wire conductors. Energy battery connects to the axis acceleration sensor through the wire guide; during training, the axis acceleration sensor converts the perceived motion information into a electrical signal and transmits it through the antenna. The information processing, the information processor storage processing information, and the processing of the complete information input the display screen, displaying the specific data of the athlete's use of strength and the angle of the racket during the shot of the display; As a power supply source, power generation can be easily charged and put into use.</v>
      </c>
      <c r="D4052" s="6" t="s">
        <v>11294</v>
      </c>
      <c r="E4052" s="4" t="str">
        <f ca="1">IFERROR(__xludf.DUMMYFUNCTION("GOOGLETRANSLATE(D4052,""auto"",""en"")"),"A badminton racket for training with wind power as a power supply")</f>
        <v>A badminton racket for training with wind power as a power supply</v>
      </c>
    </row>
    <row r="4053" spans="1:5" ht="15" x14ac:dyDescent="0.25">
      <c r="A4053" s="5" t="s">
        <v>11295</v>
      </c>
      <c r="B4053" s="6" t="s">
        <v>11296</v>
      </c>
      <c r="C4053" s="3" t="str">
        <f ca="1">IFERROR(__xludf.DUMMYFUNCTION("GOOGLETRANSLATE(B4053,""auto"",""en"")"),"The present invention involves a tennis racket for training with solar cells as a power supply, which is the field of Internet of Things application technology in sensor. Solar batteries are connected to the controller through conductors, the controller i"&amp;"s connected to the energy storage battery through the wire conductors, and the energy storage battery is connected to the axis acceleration sensor through the wire guide line; Go out, the information processor receives the information by receiving the ant"&amp;"enna and processes it according to the set program. The information processor stores the processing processing information and enters the processing information to display the display screen. The angle of the racket when waved the racket; athletes can kno"&amp;"w that they use the strength of the racket angle when the racket uses the strength and the racket angle when the racket is swinging the racket during training. With specific data as a reference, the athlete can better adjust the time when the racket is wi"&amp;"elding the racket. The strength of the use of the racket is controlled.")</f>
        <v>The present invention involves a tennis racket for training with solar cells as a power supply, which is the field of Internet of Things application technology in sensor. Solar batteries are connected to the controller through conductors, the controller is connected to the energy storage battery through the wire conductors, and the energy storage battery is connected to the axis acceleration sensor through the wire guide line; Go out, the information processor receives the information by receiving the antenna and processes it according to the set program. The information processor stores the processing processing information and enters the processing information to display the display screen. The angle of the racket when waved the racket; athletes can know that they use the strength of the racket angle when the racket uses the strength and the racket angle when the racket is swinging the racket during training. With specific data as a reference, the athlete can better adjust the time when the racket is wielding the racket. The strength of the use of the racket is controlled.</v>
      </c>
      <c r="D4053" s="6" t="s">
        <v>11297</v>
      </c>
      <c r="E4053" s="4" t="str">
        <f ca="1">IFERROR(__xludf.DUMMYFUNCTION("GOOGLETRANSLATE(D4053,""auto"",""en"")"),"A tennis racket for training with solar cells as a power supply")</f>
        <v>A tennis racket for training with solar cells as a power supply</v>
      </c>
    </row>
    <row r="4054" spans="1:5" ht="15" x14ac:dyDescent="0.25">
      <c r="A4054" s="5" t="s">
        <v>11298</v>
      </c>
      <c r="B4054" s="6" t="s">
        <v>11299</v>
      </c>
      <c r="C4054" s="3" t="str">
        <f ca="1">IFERROR(__xludf.DUMMYFUNCTION("GOOGLETRANSLATE(B4054,""auto"",""en"")"),"The present invention involves a badminton racket for training, which is the field of Internet of Things application technology in sensor. The lithium -ion battery and axis acceleration sensor are installed in the open hole at the bottom of the handle, an"&amp;"d the lithium -ion battery is powered by the axis acceleration sensor through a conductive wire; in badminton training, with a motion of a feather racket, the axis acceleration sensor will be The perceived sports information is converted into a telecommun"&amp;"ications signal. The information processor is transmitted through the emission antenna. The information processor receives the antenna receiving information and processes it according to the set program. During the playback process, the specific data of t"&amp;"he use of strength and the angle of the racket; the athlete knows that he uses the strength and the specific data at the angle of the racket in this hit process. With specific data as a reference, it is easier for athletes to adjust the adjustment. The st"&amp;"rength you use in the ball and the angle of controlling the racket.")</f>
        <v>The present invention involves a badminton racket for training, which is the field of Internet of Things application technology in sensor. The lithium -ion battery and axis acceleration sensor are installed in the open hole at the bottom of the handle, and the lithium -ion battery is powered by the axis acceleration sensor through a conductive wire; in badminton training, with a motion of a feather racket, the axis acceleration sensor will be The perceived sports information is converted into a telecommunications signal. The information processor is transmitted through the emission antenna. The information processor receives the antenna receiving information and processes it according to the set program. During the playback process, the specific data of the use of strength and the angle of the racket; the athlete knows that he uses the strength and the specific data at the angle of the racket in this hit process. With specific data as a reference, it is easier for athletes to adjust the adjustment. The strength you use in the ball and the angle of controlling the racket.</v>
      </c>
      <c r="D4054" s="6" t="s">
        <v>11300</v>
      </c>
      <c r="E4054" s="4" t="str">
        <f ca="1">IFERROR(__xludf.DUMMYFUNCTION("GOOGLETRANSLATE(D4054,""auto"",""en"")"),"A badminton racket for training")</f>
        <v>A badminton racket for training</v>
      </c>
    </row>
    <row r="4055" spans="1:5" ht="15" x14ac:dyDescent="0.25">
      <c r="A4055" s="5" t="s">
        <v>11301</v>
      </c>
      <c r="B4055" s="6" t="s">
        <v>11302</v>
      </c>
      <c r="C4055" s="3" t="str">
        <f ca="1">IFERROR(__xludf.DUMMYFUNCTION("GOOGLETRANSLATE(B4055,""auto"",""en"")"),"The invention involves a table tennis racket with solar power generation training, which is the field of Internet of Things application technology in sensor. Solar batteries are connected to the controller through the conductors, and the controller is con"&amp;"nected to the energy storage battery through the wire conductors. The energy storage battery is connected to the axis acceleration sensor through the conductors; with the movement of the racket The exercise information is converted into a telecommunicatio"&amp;"ns signal and emitted through the launch antenna. The information processor receives the information by receiving the antenna, processing information according to the set program, and entering the processed information input display. On the display, the c"&amp;"oach will display the coach. During the action demonstration, the racket's running trajectory and the specific value of the coaches, and the specific values ​​of the racket angle; when the students watch the demonstration action and the image information "&amp;"displayed on the display screen, the students can understand Use the specific numerical values ​​of the racket angle and the sports trajectory of rackets.")</f>
        <v>The invention involves a table tennis racket with solar power generation training, which is the field of Internet of Things application technology in sensor. Solar batteries are connected to the controller through the conductors, and the controller is connected to the energy storage battery through the wire conductors. The energy storage battery is connected to the axis acceleration sensor through the conductors; with the movement of the racket The exercise information is converted into a telecommunications signal and emitted through the launch antenna. The information processor receives the information by receiving the antenna, processing information according to the set program, and entering the processed information input display. On the display, the coach will display the coach. During the action demonstration, the racket's running trajectory and the specific value of the coaches, and the specific values ​​of the racket angle; when the students watch the demonstration action and the image information displayed on the display screen, the students can understand Use the specific numerical values ​​of the racket angle and the sports trajectory of rackets.</v>
      </c>
      <c r="D4055" s="6" t="s">
        <v>11303</v>
      </c>
      <c r="E4055" s="4" t="str">
        <f ca="1">IFERROR(__xludf.DUMMYFUNCTION("GOOGLETRANSLATE(D4055,""auto"",""en"")"),"A table tennis racket with solar power generation training")</f>
        <v>A table tennis racket with solar power generation training</v>
      </c>
    </row>
    <row r="4056" spans="1:5" ht="15" x14ac:dyDescent="0.25">
      <c r="A4056" s="5" t="s">
        <v>11304</v>
      </c>
      <c r="B4056" s="6" t="s">
        <v>11305</v>
      </c>
      <c r="C4056" s="3" t="str">
        <f ca="1">IFERROR(__xludf.DUMMYFUNCTION("GOOGLETRANSLATE(B4056,""auto"",""en"")"),"The present invention involves a tank club with wind power as a power supply supply, which belongs to the field of Internet of Things application technology in sensor. Energy storage batteries and shaft acceleration sensors are installed inside the inside"&amp;" of the bottom of the pole body. The wind power generator is connected to the wind power controller through the conductivity of the wire. Connect to the electrical wire with the axis acceleration sensor; in the training, the axis acceleration sensor conve"&amp;"rts the perceived motion information into the electrical signal to emit the antenna. The completed information input display is stored at the same time to store the completed information; on the display, the angle of the pole body and the strength of the "&amp;"athletes will be displayed on the display. You can use specific data to guide the athletes.")</f>
        <v>The present invention involves a tank club with wind power as a power supply supply, which belongs to the field of Internet of Things application technology in sensor. Energy storage batteries and shaft acceleration sensors are installed inside the inside of the bottom of the pole body. The wind power generator is connected to the wind power controller through the conductivity of the wire. Connect to the electrical wire with the axis acceleration sensor; in the training, the axis acceleration sensor converts the perceived motion information into the electrical signal to emit the antenna. The completed information input display is stored at the same time to store the completed information; on the display, the angle of the pole body and the strength of the athletes will be displayed on the display. You can use specific data to guide the athletes.</v>
      </c>
      <c r="D4056" s="6" t="s">
        <v>11306</v>
      </c>
      <c r="E4056" s="4" t="str">
        <f ca="1">IFERROR(__xludf.DUMMYFUNCTION("GOOGLETRANSLATE(D4056,""auto"",""en"")"),"A rumor for training with wind power as a power supply supply")</f>
        <v>A rumor for training with wind power as a power supply supply</v>
      </c>
    </row>
    <row r="4057" spans="1:5" ht="15" x14ac:dyDescent="0.25">
      <c r="A4057" s="5" t="s">
        <v>11307</v>
      </c>
      <c r="B4057" s="6" t="s">
        <v>11308</v>
      </c>
      <c r="C4057" s="3" t="str">
        <f ca="1">IFERROR(__xludf.DUMMYFUNCTION("GOOGLETRANSLATE(B4057,""auto"",""en"")"),"The invention involves a tennis racket for training, which is the field of Internet of Things application technology in sensor. Install the lithium -ion battery and axis acceleration sensor in the open hole. The lithium -ion battery is powered on the axis"&amp;" acceleration sensor through the conductors; with the movement of the racket, the axis acceleration sensor converts the perceived motion information into an electrical signal and transmits the antenna emitting through an antenna emitter. Go out, the infor"&amp;"mation processor receives the antenna receiving information and process it according to the set program. The information processor is stored and processed the information. At the same time, the processing information inputs the display screen. The angle o"&amp;"f the racket when the athlete waves the racket; the coach knows that the athlete uses the strength and the specific value of the racket angle when the racket is swinging the racket, and can use specific data to guide the athletes, so that the athletes can"&amp;" easily adjust their own waves. The strength used during the racket and the angle of the racket when the racket is swinging.")</f>
        <v>The invention involves a tennis racket for training, which is the field of Internet of Things application technology in sensor. Install the lithium -ion battery and axis acceleration sensor in the open hole. The lithium -ion battery is powered on the axis acceleration sensor through the conductors; with the movement of the racket, the axis acceleration sensor converts the perceived motion information into an electrical signal and transmits the antenna emitting through an antenna emitter. Go out, the information processor receives the antenna receiving information and process it according to the set program. The information processor is stored and processed the information. At the same time, the processing information inputs the display screen. The angle of the racket when the athlete waves the racket; the coach knows that the athlete uses the strength and the specific value of the racket angle when the racket is swinging the racket, and can use specific data to guide the athletes, so that the athletes can easily adjust their own waves. The strength used during the racket and the angle of the racket when the racket is swinging.</v>
      </c>
      <c r="D4057" s="6" t="s">
        <v>11309</v>
      </c>
      <c r="E4057" s="4" t="str">
        <f ca="1">IFERROR(__xludf.DUMMYFUNCTION("GOOGLETRANSLATE(D4057,""auto"",""en"")"),"A tennis racket for training")</f>
        <v>A tennis racket for training</v>
      </c>
    </row>
    <row r="4058" spans="1:5" ht="15" x14ac:dyDescent="0.25">
      <c r="A4058" s="5" t="s">
        <v>11310</v>
      </c>
      <c r="B4058" s="6" t="s">
        <v>11311</v>
      </c>
      <c r="C4058" s="3" t="str">
        <f ca="1">IFERROR(__xludf.DUMMYFUNCTION("GOOGLETRANSLATE(B4058,""auto"",""en"")"),"The invention involves a baseball stick for training, which is the field of Internet of Things application technology in sensor. There is an open hole at the bottom of the rod, and the lithium -ion battery and axis acceleration sensor are installed inside"&amp;" the open hole. Lithium -ion batteries are powered by the axis speed sensor through a guide wire; during training, the axis acceleration sensor converts the perceived motion information to the perceived motion information to the The electrical signal is e"&amp;"mitted through the launch antenna. The information processor receives the information by receiving the antenna and processed according to the set program. The information processor stores the processed information. At the same time The strength used by at"&amp;"hletes when swinging the baseball stick and the angle of the athlete waving the baseball stick; the coach can use specific data to guide the athletes. At the same time, the athletes also have specific data as a reference to enable the athletes to better a"&amp;"djust themselves to be in their presence. The strength used and controlling the baseball stick when hitting the ball to improve your playback skills.")</f>
        <v>The invention involves a baseball stick for training, which is the field of Internet of Things application technology in sensor. There is an open hole at the bottom of the rod, and the lithium -ion battery and axis acceleration sensor are installed inside the open hole. Lithium -ion batteries are powered by the axis speed sensor through a guide wire; during training, the axis acceleration sensor converts the perceived motion information to the perceived motion information to the The electrical signal is emitted through the launch antenna. The information processor receives the information by receiving the antenna and processed according to the set program. The information processor stores the processed information. At the same time The strength used by athletes when swinging the baseball stick and the angle of the athlete waving the baseball stick; the coach can use specific data to guide the athletes. At the same time, the athletes also have specific data as a reference to enable the athletes to better adjust themselves to be in their presence. The strength used and controlling the baseball stick when hitting the ball to improve your playback skills.</v>
      </c>
      <c r="D4058" s="6" t="s">
        <v>11312</v>
      </c>
      <c r="E4058" s="4" t="str">
        <f ca="1">IFERROR(__xludf.DUMMYFUNCTION("GOOGLETRANSLATE(D4058,""auto"",""en"")"),"A baseball stick for training")</f>
        <v>A baseball stick for training</v>
      </c>
    </row>
    <row r="4059" spans="1:5" ht="15" x14ac:dyDescent="0.25">
      <c r="A4059" s="5" t="s">
        <v>11313</v>
      </c>
      <c r="B4059" s="6" t="s">
        <v>11314</v>
      </c>
      <c r="C4059" s="3" t="str">
        <f ca="1">IFERROR(__xludf.DUMMYFUNCTION("GOOGLETRANSLATE(B4059,""auto"",""en"")"),"The present invention involves a gymnastic ribbon with wind power as the power supply, which is the field of Internet of Things application technology in sensor. Wind -power generator connects to the controller through the conductors, and the controller i"&amp;"s connected to the energy storage battery through the charging plug and the charging socket through the conductivity of the wires. The electrical signal is emitted through the launch antenna. The information processor receives information by receiving an "&amp;"antenna, and processs information according to the set program. At the same time The specific value of the use of the strength and the rotation diameter during the rotation of the hand stick used; when the energy of the energy storage battery is exhausted"&amp;", as long as the charging plug is inserted into the charging socket, the current generated by the wind power generator transmits through the guide wire input controller. Enter energy storage battery storage for charging plugs and charging sockets.")</f>
        <v>The present invention involves a gymnastic ribbon with wind power as the power supply, which is the field of Internet of Things application technology in sensor. Wind -power generator connects to the controller through the conductors, and the controller is connected to the energy storage battery through the charging plug and the charging socket through the conductivity of the wires. The electrical signal is emitted through the launch antenna. The information processor receives information by receiving an antenna, and processs information according to the set program. At the same time The specific value of the use of the strength and the rotation diameter during the rotation of the hand stick used; when the energy of the energy storage battery is exhausted, as long as the charging plug is inserted into the charging socket, the current generated by the wind power generator transmits through the guide wire input controller. Enter energy storage battery storage for charging plugs and charging sockets.</v>
      </c>
      <c r="D4059" s="6" t="s">
        <v>11315</v>
      </c>
      <c r="E4059" s="4" t="str">
        <f ca="1">IFERROR(__xludf.DUMMYFUNCTION("GOOGLETRANSLATE(D4059,""auto"",""en"")"),"A gymnastics ribbon with wind power as a power supply supply")</f>
        <v>A gymnastics ribbon with wind power as a power supply supply</v>
      </c>
    </row>
    <row r="4060" spans="1:5" ht="15" x14ac:dyDescent="0.25">
      <c r="A4060" s="5" t="s">
        <v>11316</v>
      </c>
      <c r="B4060" s="6" t="s">
        <v>11317</v>
      </c>
      <c r="C4060" s="3" t="str">
        <f ca="1">IFERROR(__xludf.DUMMYFUNCTION("GOOGLETRANSLATE(B4060,""auto"",""en"")"),"The present invention involves a table tennis racket with wind power as the power supply, which is the field of Internet of Things application technology in sensor. Wind -power generator connects to the controller through a conductive wire, and the contro"&amp;"ller is connected to the energy storage battery through the charging plug and the charging socket through the conductivity of the wires. The racket movement information is converted into a telecommunications signal and emitted through the antenna. The inf"&amp;"ormation processor enters the displayed information in the processing information by receiving information and processing information according to the set program. The running trajectory of the racket during training, the strength of the students, and the"&amp;" specific value of the racket angle; watching the information information displayed by the display screen, the trainees can understand the impact of their own use of strength and the changes in the racket angle on the strikes, quickly master this The esse"&amp;"ntials of technical actions improve your playback technology.")</f>
        <v>The present invention involves a table tennis racket with wind power as the power supply, which is the field of Internet of Things application technology in sensor. Wind -power generator connects to the controller through a conductive wire, and the controller is connected to the energy storage battery through the charging plug and the charging socket through the conductivity of the wires. The racket movement information is converted into a telecommunications signal and emitted through the antenna. The information processor enters the displayed information in the processing information by receiving information and processing information according to the set program. The running trajectory of the racket during training, the strength of the students, and the specific value of the racket angle; watching the information information displayed by the display screen, the trainees can understand the impact of their own use of strength and the changes in the racket angle on the strikes, quickly master this The essentials of technical actions improve your playback technology.</v>
      </c>
      <c r="D4060" s="6" t="s">
        <v>11318</v>
      </c>
      <c r="E4060" s="4" t="str">
        <f ca="1">IFERROR(__xludf.DUMMYFUNCTION("GOOGLETRANSLATE(D4060,""auto"",""en"")"),"A table tennis racket with wind power as the power supply")</f>
        <v>A table tennis racket with wind power as the power supply</v>
      </c>
    </row>
    <row r="4061" spans="1:5" ht="15" x14ac:dyDescent="0.25">
      <c r="A4061" s="5" t="s">
        <v>11319</v>
      </c>
      <c r="B4061" s="6" t="s">
        <v>11320</v>
      </c>
      <c r="C4061" s="3" t="str">
        <f ca="1">IFERROR(__xludf.DUMMYFUNCTION("GOOGLETRANSLATE(B4061,""auto"",""en"")"),"The invention involves a ping -pong racket for training, which is the field of Internet of Things application technology in sensor. With the movement of the racket, the axis acceleration sensor of the power supply of the lithium -ion battery converts the "&amp;"perceived motion information into a electrical signal and emitted it through the antenna. The complete information input display screen, displaying the motion trajectory of coaches in teaching and changing the specific value of the coaches and the convers"&amp;"ion of racket angles in teaching; The image information can learn about the use of the coaches in a certain technical action, the specific value of the racket angle changes, and the entire movement trajectory of the racket; Essence Let students quickly gr"&amp;"asp the essentials of this technical movement and improve their competitive level.")</f>
        <v>The invention involves a ping -pong racket for training, which is the field of Internet of Things application technology in sensor. With the movement of the racket, the axis acceleration sensor of the power supply of the lithium -ion battery converts the perceived motion information into a electrical signal and emitted it through the antenna. The complete information input display screen, displaying the motion trajectory of coaches in teaching and changing the specific value of the coaches and the conversion of racket angles in teaching; The image information can learn about the use of the coaches in a certain technical action, the specific value of the racket angle changes, and the entire movement trajectory of the racket; Essence Let students quickly grasp the essentials of this technical movement and improve their competitive level.</v>
      </c>
      <c r="D4061" s="6" t="s">
        <v>11321</v>
      </c>
      <c r="E4061" s="4" t="str">
        <f ca="1">IFERROR(__xludf.DUMMYFUNCTION("GOOGLETRANSLATE(D4061,""auto"",""en"")"),"A table tennis racket for training")</f>
        <v>A table tennis racket for training</v>
      </c>
    </row>
    <row r="4062" spans="1:5" ht="15" x14ac:dyDescent="0.25">
      <c r="A4062" s="5" t="s">
        <v>11322</v>
      </c>
      <c r="B4062" s="6" t="s">
        <v>11323</v>
      </c>
      <c r="C4062" s="3" t="str">
        <f ca="1">IFERROR(__xludf.DUMMYFUNCTION("GOOGLETRANSLATE(B4062,""auto"",""en"")"),"The present invention involves a golf club with solar power generation training, which is the field of Internet of Things application technology in sensors. Energy storage batteries and shaft acceleration sensors are installed in the opening of the bottom"&amp;" of the grip, the charging socket is installed at the open hole of the open hole, and the receiving antenna and the display screen are installed on the information processor. The photovoltaic controller is connected to the energy storage battery through t"&amp;"he charging plug and the charging socket through the charging plug and the charging socket. The energy storage battery is connected to the axis acceleration sensor through the conductors; The processor receives the antenna receiving information and proces"&amp;"ses according to the set program, and the processed information input display screen is stored at the same time according to the set program. On the display, the athlete is displayed on the display During the process, the specific data of intensity and cl"&amp;"ub angle.")</f>
        <v>The present invention involves a golf club with solar power generation training, which is the field of Internet of Things application technology in sensors. Energy storage batteries and shaft acceleration sensors are installed in the opening of the bottom of the grip, the charging socket is installed at the open hole of the open hole, and the receiving antenna and the display screen are installed on the information processor. The photovoltaic controller is connected to the energy storage battery through the charging plug and the charging socket through the charging plug and the charging socket. The energy storage battery is connected to the axis acceleration sensor through the conductors; The processor receives the antenna receiving information and processes according to the set program, and the processed information input display screen is stored at the same time according to the set program. On the display, the athlete is displayed on the display During the process, the specific data of intensity and club angle.</v>
      </c>
      <c r="D4062" s="6" t="s">
        <v>11324</v>
      </c>
      <c r="E4062" s="4" t="str">
        <f ca="1">IFERROR(__xludf.DUMMYFUNCTION("GOOGLETRANSLATE(D4062,""auto"",""en"")"),"A golf club with solar power generation training")</f>
        <v>A golf club with solar power generation training</v>
      </c>
    </row>
    <row r="4063" spans="1:5" ht="15" x14ac:dyDescent="0.25">
      <c r="A4063" s="5" t="s">
        <v>11325</v>
      </c>
      <c r="B4063" s="6" t="s">
        <v>11326</v>
      </c>
      <c r="C4063" s="3" t="str">
        <f ca="1">IFERROR(__xludf.DUMMYFUNCTION("GOOGLETRANSLATE(B4063,""auto"",""en"")"),"The present invention involves a training gymnastics ribbon, which is the field of Internet of Things application technology in sensor. With the movement of the hand rod, the axis acceleration sensor converts the perceived motion information into a electr"&amp;"ical signal to launch the antenna. ; On the display, the athletes use the specific values ​​of the use of strength, the rotating diameter of the hand stick, and the movement trajectory of the hand stick during the completion of a action. After completing "&amp;"this action The specific values ​​of the use of strength, the rotating diameter of the hand stick, and the movement trajectory of the hand stick. Due to the specific value as the reference, the athlete can understand the shortcomings in the training in ti"&amp;"me, adjust the strength of their own use, the hand stick, the hand stick Rotate the diameter and control the motion trajectory of the hand stick, so that the ribbon driven by the hand stick wields up as required.")</f>
        <v>The present invention involves a training gymnastics ribbon, which is the field of Internet of Things application technology in sensor. With the movement of the hand rod, the axis acceleration sensor converts the perceived motion information into a electrical signal to launch the antenna. ; On the display, the athletes use the specific values ​​of the use of strength, the rotating diameter of the hand stick, and the movement trajectory of the hand stick during the completion of a action. After completing this action The specific values ​​of the use of strength, the rotating diameter of the hand stick, and the movement trajectory of the hand stick. Due to the specific value as the reference, the athlete can understand the shortcomings in the training in time, adjust the strength of their own use, the hand stick, the hand stick Rotate the diameter and control the motion trajectory of the hand stick, so that the ribbon driven by the hand stick wields up as required.</v>
      </c>
      <c r="D4063" s="6" t="s">
        <v>11327</v>
      </c>
      <c r="E4063" s="4" t="str">
        <f ca="1">IFERROR(__xludf.DUMMYFUNCTION("GOOGLETRANSLATE(D4063,""auto"",""en"")"),"A gymnastic ribbon for training")</f>
        <v>A gymnastic ribbon for training</v>
      </c>
    </row>
    <row r="4064" spans="1:5" ht="15" x14ac:dyDescent="0.25">
      <c r="A4064" s="5" t="s">
        <v>11328</v>
      </c>
      <c r="B4064" s="6" t="s">
        <v>11329</v>
      </c>
      <c r="C4064" s="3" t="str">
        <f ca="1">IFERROR(__xludf.DUMMYFUNCTION("GOOGLETRANSLATE(B4064,""auto"",""en"")"),"The present invention involves a kind of football training sports shoes, which belongs to the field of Internet of Things application technology in sensor. Lithium -ion batteries are connected to the axis acceleration sensor through the conductors; when f"&amp;"ootball players wearing a football training sneakers to participate in training, the axis acceleration sensor converts the perceived sports information into a electrical signal and emits the antenna. Receive information and process it according to the set"&amp;" program. The information processor stores the processed information, and at the same time enter the processed information input display screen. On the display, the strength and size and size and size and size of football players in training during traini"&amp;"ng are displayed. The specific value of the angle of sports shoes; with specific data as the data, technical coaches can easily guide football players to adjust the strength they use and change the angle of the sports shoes, so that football players can m"&amp;"aster the use of this action well The size of the size and the angle of sports shoes.")</f>
        <v>The present invention involves a kind of football training sports shoes, which belongs to the field of Internet of Things application technology in sensor. Lithium -ion batteries are connected to the axis acceleration sensor through the conductors; when football players wearing a football training sneakers to participate in training, the axis acceleration sensor converts the perceived sports information into a electrical signal and emits the antenna. Receive information and process it according to the set program. The information processor stores the processed information, and at the same time enter the processed information input display screen. On the display, the strength and size and size and size and size of football players in training during training are displayed. The specific value of the angle of sports shoes; with specific data as the data, technical coaches can easily guide football players to adjust the strength they use and change the angle of the sports shoes, so that football players can master the use of this action well The size of the size and the angle of sports shoes.</v>
      </c>
      <c r="D4064" s="6" t="s">
        <v>11330</v>
      </c>
      <c r="E4064" s="4" t="str">
        <f ca="1">IFERROR(__xludf.DUMMYFUNCTION("GOOGLETRANSLATE(D4064,""auto"",""en"")"),"A football training sports shoes")</f>
        <v>A football training sports shoes</v>
      </c>
    </row>
    <row r="4065" spans="1:5" ht="15" x14ac:dyDescent="0.25">
      <c r="A4065" s="5" t="s">
        <v>11331</v>
      </c>
      <c r="B4065" s="6" t="s">
        <v>11332</v>
      </c>
      <c r="C4065" s="3" t="str">
        <f ca="1">IFERROR(__xludf.DUMMYFUNCTION("GOOGLETRANSLATE(B4065,""auto"",""en"")"),"The present invention involves a training for training, which is the field of Internet of Things application technology in sensor. The lithium -ion battery and axis acceleration sensor are installed in the open hole at the bottom of the pole body. Lithium"&amp;" -ion battery is powered by a wire acceleration sensor through a conductive wire; when athletes are trained with a bumper for training, the axis acceleration sensor converts the perceived motion information into electricity to electricity. The signal is e"&amp;"mitted through the launch antenna. The information processor receives information by receiving antenna, processed according to the set program, and the processed information input display screen; The intensity; the athletes watch the information displayed"&amp;" on the display, and know the specific data of the angle of the pole and use when hitting the ball. With specific data as a reference, according to the sphere of the sphere during the ball, it is easier to be easier Adjust the angle of the rod body and th"&amp;"e intensity of the use of the ball when hitting, and improve your hit level.")</f>
        <v>The present invention involves a training for training, which is the field of Internet of Things application technology in sensor. The lithium -ion battery and axis acceleration sensor are installed in the open hole at the bottom of the pole body. Lithium -ion battery is powered by a wire acceleration sensor through a conductive wire; when athletes are trained with a bumper for training, the axis acceleration sensor converts the perceived motion information into electricity to electricity. The signal is emitted through the launch antenna. The information processor receives information by receiving antenna, processed according to the set program, and the processed information input display screen; The intensity; the athletes watch the information displayed on the display, and know the specific data of the angle of the pole and use when hitting the ball. With specific data as a reference, according to the sphere of the sphere during the ball, it is easier to be easier Adjust the angle of the rod body and the intensity of the use of the ball when hitting, and improve your hit level.</v>
      </c>
      <c r="D4065" s="6" t="s">
        <v>11333</v>
      </c>
      <c r="E4065" s="4" t="str">
        <f ca="1">IFERROR(__xludf.DUMMYFUNCTION("GOOGLETRANSLATE(D4065,""auto"",""en"")"),"A tank club for training")</f>
        <v>A tank club for training</v>
      </c>
    </row>
    <row r="4066" spans="1:5" ht="15" x14ac:dyDescent="0.25">
      <c r="A4066" s="5" t="s">
        <v>11334</v>
      </c>
      <c r="B4066" s="6" t="s">
        <v>11335</v>
      </c>
      <c r="C4066" s="3" t="str">
        <f ca="1">IFERROR(__xludf.DUMMYFUNCTION("GOOGLETRANSLATE(B4066,""auto"",""en"")"),"The invention involves a sword with a training of solar power generation as a power supply, which is the field of Internet of Things application technology in sensor. Inside the sleeve is installed with a energy storage battery and axis acceleration senso"&amp;"r. The energy storage battery is powered by the electrical wire acceleration sensor. The solar cell is connected to the photovoltaic controller through the conductive wire. Energy battery connection, energy storage batteries are connected to the axis acce"&amp;"leration sensor through the conductive wire; During the training, with the movement of the sword body, the axis acceleration sensor converts the perceived motion information into a electrical signal, transmitted through the launch antenna, and the informa"&amp;"tion processor passes through the pass through the antenna. Receive the antenna to receive information and process it according to the set program. At the same time, enter the processed information input display screen. On the display, the athlete's use o"&amp;"f the strength and the angle of the sword body during the sword of the athletes. Athletes use the strength of the strength and the angle of the sword body when they fencing.")</f>
        <v>The invention involves a sword with a training of solar power generation as a power supply, which is the field of Internet of Things application technology in sensor. Inside the sleeve is installed with a energy storage battery and axis acceleration sensor. The energy storage battery is powered by the electrical wire acceleration sensor. The solar cell is connected to the photovoltaic controller through the conductive wire. Energy battery connection, energy storage batteries are connected to the axis acceleration sensor through the conductive wire; During the training, with the movement of the sword body, the axis acceleration sensor converts the perceived motion information into a electrical signal, transmitted through the launch antenna, and the information processor passes through the pass through the antenna. Receive the antenna to receive information and process it according to the set program. At the same time, enter the processed information input display screen. On the display, the athlete's use of the strength and the angle of the sword body during the sword of the athletes. Athletes use the strength of the strength and the angle of the sword body when they fencing.</v>
      </c>
      <c r="D4066" s="6" t="s">
        <v>11336</v>
      </c>
      <c r="E4066" s="4" t="str">
        <f ca="1">IFERROR(__xludf.DUMMYFUNCTION("GOOGLETRANSLATE(D4066,""auto"",""en"")"),"A sword with a training with solar power generation")</f>
        <v>A sword with a training with solar power generation</v>
      </c>
    </row>
    <row r="4067" spans="1:5" ht="15" x14ac:dyDescent="0.25">
      <c r="A4067" s="5" t="s">
        <v>11337</v>
      </c>
      <c r="B4067" s="6" t="s">
        <v>11338</v>
      </c>
      <c r="C4067" s="3" t="str">
        <f ca="1">IFERROR(__xludf.DUMMYFUNCTION("GOOGLETRANSLATE(B4067,""auto"",""en"")"),"The present invention involves a bumper for training with solar power generation as a power supply, which belongs to the field of Internet of Things application technology in sensor. The caps of the sleeve is installed with an energy storage battery and a"&amp;"xis acceleration sensor, and the sleeve is installed in the open hole at the bottom of the pole body. The energy storage battery is powered by the electrical wire to the shaft. When the training of the power supply is hit with a table club, the axis accel"&amp;"eration sensor converts the perceived motion information into a electrical signal to emit the antenna. The information input display screen; on the display, the angle of the pole body and the intensity of the use of the athletes will be displayed on the d"&amp;"isplay; the coach knows the specific data of the angle of the rod and use when the athletes hit. For guidance, athletes also have specific data as a reference.")</f>
        <v>The present invention involves a bumper for training with solar power generation as a power supply, which belongs to the field of Internet of Things application technology in sensor. The caps of the sleeve is installed with an energy storage battery and axis acceleration sensor, and the sleeve is installed in the open hole at the bottom of the pole body. The energy storage battery is powered by the electrical wire to the shaft. When the training of the power supply is hit with a table club, the axis acceleration sensor converts the perceived motion information into a electrical signal to emit the antenna. The information input display screen; on the display, the angle of the pole body and the intensity of the use of the athletes will be displayed on the display; the coach knows the specific data of the angle of the rod and use when the athletes hit. For guidance, athletes also have specific data as a reference.</v>
      </c>
      <c r="D4067" s="6" t="s">
        <v>11339</v>
      </c>
      <c r="E4067" s="4" t="str">
        <f ca="1">IFERROR(__xludf.DUMMYFUNCTION("GOOGLETRANSLATE(D4067,""auto"",""en"")"),"A rot for training with solar power generation")</f>
        <v>A rot for training with solar power generation</v>
      </c>
    </row>
    <row r="4068" spans="1:5" ht="15" x14ac:dyDescent="0.25">
      <c r="A4068" s="5" t="s">
        <v>11340</v>
      </c>
      <c r="B4068" s="6" t="s">
        <v>11341</v>
      </c>
      <c r="C4068" s="3" t="str">
        <f ca="1">IFERROR(__xludf.DUMMYFUNCTION("GOOGLETRANSLATE(B4068,""auto"",""en"")"),"The present invention involves a golf club for training, belongs to the field of Internet of Things application technology of sensor. The lithium -ion battery and axis acceleration sensor are installed in the open hole at the bottom of the grip, and the e"&amp;"mission antenna is installed on the axis acceleration sensor. The lithium -ion battery is powered by the axis acceleration sensor through the guide wire. When the ball is shot, the axis acceleration sensor converts the perceived motion information into a "&amp;"electrical signal and transmits it through the antenna. Set the program to store the processing information; on the display, the athletes use specific data from the perspective of the use of force and club angle in the process of completing the ball; The "&amp;"strength used during the ball and the angle of controlling the club.")</f>
        <v>The present invention involves a golf club for training, belongs to the field of Internet of Things application technology of sensor. The lithium -ion battery and axis acceleration sensor are installed in the open hole at the bottom of the grip, and the emission antenna is installed on the axis acceleration sensor. The lithium -ion battery is powered by the axis acceleration sensor through the guide wire. When the ball is shot, the axis acceleration sensor converts the perceived motion information into a electrical signal and transmits it through the antenna. Set the program to store the processing information; on the display, the athletes use specific data from the perspective of the use of force and club angle in the process of completing the ball; The strength used during the ball and the angle of controlling the club.</v>
      </c>
      <c r="D4068" s="6" t="s">
        <v>11342</v>
      </c>
      <c r="E4068" s="4" t="str">
        <f ca="1">IFERROR(__xludf.DUMMYFUNCTION("GOOGLETRANSLATE(D4068,""auto"",""en"")"),"A golf club for training")</f>
        <v>A golf club for training</v>
      </c>
    </row>
    <row r="4069" spans="1:5" ht="15" x14ac:dyDescent="0.25">
      <c r="A4069" s="5" t="s">
        <v>11343</v>
      </c>
      <c r="B4069" s="6" t="s">
        <v>11344</v>
      </c>
      <c r="C4069" s="3" t="str">
        <f ca="1">IFERROR(__xludf.DUMMYFUNCTION("GOOGLETRANSLATE(B4069,""auto"",""en"")"),"The invention involves a training sword, which is the field of Internet of Things application technology in sensorware. The lithium -ion battery and axis acceleration sensor are installed in the open hole at the bottom of the handle. The lithium -ion batt"&amp;"ery is powered by a wire acceleration sensor through a conductive wire; when athletes are trained with a sword with a sword, the axis acceleration sensor with the sword body movement, the axis acceleration sensor Convert the perceived sports information t"&amp;"o a electrical signal and emit the antenna. The information processor receives information by receiving the antenna and processed according to the set program. The screen shows the strength used by athletes when fencing and the angle of the sword body at "&amp;"the display on the display; by observing the display screen, the athlete knows that he uses the strength of the strength and the angle of the sword body at the angle of the sword. For specific data, athletes can better adjust their strength and control th"&amp;"e angle of the sword body in the fencing.")</f>
        <v>The invention involves a training sword, which is the field of Internet of Things application technology in sensorware. The lithium -ion battery and axis acceleration sensor are installed in the open hole at the bottom of the handle. The lithium -ion battery is powered by a wire acceleration sensor through a conductive wire; when athletes are trained with a sword with a sword, the axis acceleration sensor with the sword body movement, the axis acceleration sensor Convert the perceived sports information to a electrical signal and emit the antenna. The information processor receives information by receiving the antenna and processed according to the set program. The screen shows the strength used by athletes when fencing and the angle of the sword body at the display on the display; by observing the display screen, the athlete knows that he uses the strength of the strength and the angle of the sword body at the angle of the sword. For specific data, athletes can better adjust their strength and control the angle of the sword body in the fencing.</v>
      </c>
      <c r="D4069" s="6" t="s">
        <v>11345</v>
      </c>
      <c r="E4069" s="4" t="str">
        <f ca="1">IFERROR(__xludf.DUMMYFUNCTION("GOOGLETRANSLATE(D4069,""auto"",""en"")"),"A sword for training")</f>
        <v>A sword for training</v>
      </c>
    </row>
    <row r="4070" spans="1:5" ht="15" x14ac:dyDescent="0.25">
      <c r="A4070" s="5" t="s">
        <v>11346</v>
      </c>
      <c r="B4070" s="6" t="s">
        <v>11347</v>
      </c>
      <c r="C4070" s="3" t="str">
        <f ca="1">IFERROR(__xludf.DUMMYFUNCTION("GOOGLETRANSLATE(B4070,""auto"",""en"")"),"The present invention involves a gymnastic ribbon with solar power generation training, which is the field of Internet of Things application technology in sensor. Solar cells are connected to photovoltaic controller through conductors, and photovoltaic co"&amp;"ntrollers are connected to energy storage batteries through conductivity wires. Energy storage batteries are connected to the axis acceleration sensor through conductive wires; The sensor converts the perceived sports information into a electrical signal "&amp;"to emit the antenna. The information processor collects information by receiving the antenna, and processs the information according to the set program. At the same time, the complete information input display screen is processed. On the display screen, t"&amp;"he athletes show the athletes. The specific values ​​of the intensity and the diameter of the hand stick rotating the diameter of the hand stick when they wave; through the data information provided on the display, the coach can get rid of the abstract se"&amp;"ntence and use the specific value to guide the athletes. The athlete also has a specific value for reference. You can better adjust yourself.")</f>
        <v>The present invention involves a gymnastic ribbon with solar power generation training, which is the field of Internet of Things application technology in sensor. Solar cells are connected to photovoltaic controller through conductors, and photovoltaic controllers are connected to energy storage batteries through conductivity wires. Energy storage batteries are connected to the axis acceleration sensor through conductive wires; The sensor converts the perceived sports information into a electrical signal to emit the antenna. The information processor collects information by receiving the antenna, and processs the information according to the set program. At the same time, the complete information input display screen is processed. On the display screen, the athletes show the athletes. The specific values ​​of the intensity and the diameter of the hand stick rotating the diameter of the hand stick when they wave; through the data information provided on the display, the coach can get rid of the abstract sentence and use the specific value to guide the athletes. The athlete also has a specific value for reference. You can better adjust yourself.</v>
      </c>
      <c r="D4070" s="6" t="s">
        <v>11348</v>
      </c>
      <c r="E4070" s="4" t="str">
        <f ca="1">IFERROR(__xludf.DUMMYFUNCTION("GOOGLETRANSLATE(D4070,""auto"",""en"")"),"A gymnastic ribbon with solar power generation training")</f>
        <v>A gymnastic ribbon with solar power generation training</v>
      </c>
    </row>
    <row r="4071" spans="1:5" ht="15" x14ac:dyDescent="0.25">
      <c r="A4071" s="5" t="s">
        <v>11349</v>
      </c>
      <c r="B4071" s="6" t="s">
        <v>11350</v>
      </c>
      <c r="C4071" s="3" t="str">
        <f ca="1">IFERROR(__xludf.DUMMYFUNCTION("GOOGLETRANSLATE(B4071,""auto"",""en"")"),"The present invention involves a badminton racket for training with solar power generation, which is the field of Internet of Things application technology in sensor. The energy storage battery is powered by the axis acceleration sensor through the conduc"&amp;"tivity. With the movement of the racket, the axis acceleration sensor converts the perceived motion information into a electrical signal and transmits it through the antenna. Procedures for processing, information processor storage processing information,"&amp;" and input the processed information input display, display the athletes on the display of the specific data of the athletes and the angle of the racket; the coach can use it can use Specific data guides the athletes. Athletes also have specific data as a"&amp;" reference, which can easily adjust the strength they use and control the angle of the racket; at the same time, the clean solar photovoltaic power generation is used as the power supply It can be easily charged and put into use.")</f>
        <v>The present invention involves a badminton racket for training with solar power generation, which is the field of Internet of Things application technology in sensor. The energy storage battery is powered by the axis acceleration sensor through the conductivity. With the movement of the racket, the axis acceleration sensor converts the perceived motion information into a electrical signal and transmits it through the antenna. Procedures for processing, information processor storage processing information, and input the processed information input display, display the athletes on the display of the specific data of the athletes and the angle of the racket; the coach can use it can use Specific data guides the athletes. Athletes also have specific data as a reference, which can easily adjust the strength they use and control the angle of the racket; at the same time, the clean solar photovoltaic power generation is used as the power supply It can be easily charged and put into use.</v>
      </c>
      <c r="D4071" s="6" t="s">
        <v>11351</v>
      </c>
      <c r="E4071" s="4" t="str">
        <f ca="1">IFERROR(__xludf.DUMMYFUNCTION("GOOGLETRANSLATE(D4071,""auto"",""en"")"),"A badminton racket for training with solar power generation")</f>
        <v>A badminton racket for training with solar power generation</v>
      </c>
    </row>
    <row r="4072" spans="1:5" ht="15" x14ac:dyDescent="0.25">
      <c r="A4072" s="5" t="s">
        <v>11352</v>
      </c>
      <c r="B4072" s="6" t="s">
        <v>10703</v>
      </c>
      <c r="C4072" s="3" t="str">
        <f ca="1">IFERROR(__xludf.DUMMYFUNCTION("GOOGLETRANSLATE(B4072,""auto"",""en"")"),"A system and method of using voice analysis to identify damaged brain function (such as mild trauma brain damage). In a sample, athletes who participated in boxing games after each game recorded records on the equipment. In one case, vowels are separated "&amp;"from the recording, extracted acoustics, and used to train several types of machine learning algorithms to predict whether the athletes are encephalically.")</f>
        <v>A system and method of using voice analysis to identify damaged brain function (such as mild trauma brain damage). In a sample, athletes who participated in boxing games after each game recorded records on the equipment. In one case, vowels are separated from the recording, extracted acoustics, and used to train several types of machine learning algorithms to predict whether the athletes are encephalically.</v>
      </c>
      <c r="D4072" s="6" t="s">
        <v>11353</v>
      </c>
      <c r="E4072" s="4" t="str">
        <f ca="1">IFERROR(__xludf.DUMMYFUNCTION("GOOGLETRANSLATE(D4072,""auto"",""en"")"),"Isolation vowels are evaluated")</f>
        <v>Isolation vowels are evaluated</v>
      </c>
    </row>
    <row r="4073" spans="1:5" ht="15" x14ac:dyDescent="0.25">
      <c r="A4073" s="5" t="s">
        <v>11354</v>
      </c>
      <c r="B4073" s="6" t="s">
        <v>11355</v>
      </c>
      <c r="C4073" s="3" t="str">
        <f ca="1">IFERROR(__xludf.DUMMYFUNCTION("GOOGLETRANSLATE(B4073,""auto"",""en"")"),"A system and method of using voice analysis to identify damaged brain function (such as mild trauma brain damage). In a sample, after each game, the record of the athletes participating in the boxing competition was recorded in the device. In one example,"&amp;" vowels are separated from the recording, extracted acoustics, and used to train several single -class machine learning algorithms to predict whether athletes suffer from brain vibration.")</f>
        <v>A system and method of using voice analysis to identify damaged brain function (such as mild trauma brain damage). In a sample, after each game, the record of the athletes participating in the boxing competition was recorded in the device. In one example, vowels are separated from the recording, extracted acoustics, and used to train several single -class machine learning algorithms to predict whether athletes suffer from brain vibration.</v>
      </c>
      <c r="D4073" s="6" t="s">
        <v>10704</v>
      </c>
      <c r="E4073" s="4" t="str">
        <f ca="1">IFERROR(__xludf.DUMMYFUNCTION("GOOGLETRANSLATE(D4073,""auto"",""en"")"),"Use the system and method of mild trauma brain injury with isolation vowels")</f>
        <v>Use the system and method of mild trauma brain injury with isolation vowels</v>
      </c>
    </row>
    <row r="4074" spans="1:5" ht="15" x14ac:dyDescent="0.25">
      <c r="A4074" s="5" t="s">
        <v>11356</v>
      </c>
      <c r="B4074" s="6" t="s">
        <v>11357</v>
      </c>
      <c r="C4074" s="3" t="str">
        <f ca="1">IFERROR(__xludf.DUMMYFUNCTION("GOOGLETRANSLATE(B4074,""auto"",""en"")"),"This utility model multi -wave long infrared polarized light real -time imaging guide system, apply infrared polarizing imaging technology to real -time image guide technology, after image collection, target image recognition, image processing, and then a"&amp;"dd the guidance logo to the target image to form formation Guide images, and finally project the guidance image to the surface of the operating object. The practical new type is suitable for guiding the specific operations of superficial layers. A multi -"&amp;"wavelength infrared polarized light -time real -time image guide system, including light source modules, optical component modules, imaging modules, embedded control modules, projection modules, power modules and human -machine interactive interface modul"&amp;"es. This utility type projection image is accurately projected to the surface of the object to be operated through the micro -projection light machine, providing the operator with guidance information and solutions, which is convenient for operators to do"&amp;" further.")</f>
        <v>This utility model multi -wave long infrared polarized light real -time imaging guide system, apply infrared polarizing imaging technology to real -time image guide technology, after image collection, target image recognition, image processing, and then add the guidance logo to the target image to form formation Guide images, and finally project the guidance image to the surface of the operating object. The practical new type is suitable for guiding the specific operations of superficial layers. A multi -wavelength infrared polarized light -time real -time image guide system, including light source modules, optical component modules, imaging modules, embedded control modules, projection modules, power modules and human -machine interactive interface modules. This utility type projection image is accurately projected to the surface of the object to be operated through the micro -projection light machine, providing the operator with guidance information and solutions, which is convenient for operators to do further.</v>
      </c>
      <c r="D4074" s="6" t="s">
        <v>11358</v>
      </c>
      <c r="E4074" s="4" t="str">
        <f ca="1">IFERROR(__xludf.DUMMYFUNCTION("GOOGLETRANSLATE(D4074,""auto"",""en"")"),"Multi -waves long infrared polarized light real -time image guide system")</f>
        <v>Multi -waves long infrared polarized light real -time image guide system</v>
      </c>
    </row>
    <row r="4075" spans="1:5" ht="15" x14ac:dyDescent="0.25">
      <c r="A4075" s="5" t="s">
        <v>11359</v>
      </c>
      <c r="B4075" s="6" t="s">
        <v>11360</v>
      </c>
      <c r="C4075" s="3" t="str">
        <f ca="1">IFERROR(__xludf.DUMMYFUNCTION("GOOGLETRANSLATE(B4075,""auto"",""en"")"),"The invention multi -wavelength infrared polarized light real -time image guide system, apply infrared polarizing imaging technology to real -time image guide technology, adds the guidance logo to the target image at the target image through image collect"&amp;"ion, target image recognition, image processing Image, finally project the guide image to the surface of the object to be operated, and the present invention is suitable for guiding the specific operation of the superficial layer. A multi -wavelength infr"&amp;"ared polarized light -time real -time image guide system, including light source modules, optical component modules, imaging modules, embedded control modules, projection modules, power modules and human -machine interactive interface modules. The inventi"&amp;"on projection image is accurately projected to the surface of the object to be operated through the micro -projection light machine, providing the operator with guidance information and solutions to facilitate the operator for further processing.")</f>
        <v>The invention multi -wavelength infrared polarized light real -time image guide system, apply infrared polarizing imaging technology to real -time image guide technology, adds the guidance logo to the target image at the target image through image collection, target image recognition, image processing Image, finally project the guide image to the surface of the object to be operated, and the present invention is suitable for guiding the specific operation of the superficial layer. A multi -wavelength infrared polarized light -time real -time image guide system, including light source modules, optical component modules, imaging modules, embedded control modules, projection modules, power modules and human -machine interactive interface modules. The invention projection image is accurately projected to the surface of the object to be operated through the micro -projection light machine, providing the operator with guidance information and solutions to facilitate the operator for further processing.</v>
      </c>
      <c r="D4075" s="6" t="s">
        <v>11358</v>
      </c>
      <c r="E4075" s="4" t="str">
        <f ca="1">IFERROR(__xludf.DUMMYFUNCTION("GOOGLETRANSLATE(D4075,""auto"",""en"")"),"Multi -waves long infrared polarized light real -time image guide system")</f>
        <v>Multi -waves long infrared polarized light real -time image guide system</v>
      </c>
    </row>
    <row r="4076" spans="1:5" ht="15" x14ac:dyDescent="0.25">
      <c r="A4076" s="5" t="s">
        <v>11361</v>
      </c>
      <c r="B4076" s="6" t="s">
        <v>11362</v>
      </c>
      <c r="C4076" s="3" t="str">
        <f ca="1">IFERROR(__xludf.DUMMYFUNCTION("GOOGLETRANSLATE(B4076,""auto"",""en"")"),"Provides a method for selecting transmission parameters and spectrum distribution equipment. The method of choosing transmission parameters involves collecting frequency band information, including frequency bandwidth and communication environment informa"&amp;"tion, including the power density of noise, which constitutes multiple single target fitness functions. This function includes bandwidth -based adaptability functions. A frequency band, using frequency band information and communication environment inform"&amp;"ation, composition, multi -target fitness function obtained by allocating the weight of each single target adaptability function, and by applying the genetic algorithm to the multi -algorithm to select the transmission parameter to the objective adaptatio"&amp;"n of sexual functions Essence")</f>
        <v>Provides a method for selecting transmission parameters and spectrum distribution equipment. The method of choosing transmission parameters involves collecting frequency band information, including frequency bandwidth and communication environment information, including the power density of noise, which constitutes multiple single target fitness functions. This function includes bandwidth -based adaptability functions. A frequency band, using frequency band information and communication environment information, composition, multi -target fitness function obtained by allocating the weight of each single target adaptability function, and by applying the genetic algorithm to the multi -algorithm to select the transmission parameter to the objective adaptation of sexual functions Essence</v>
      </c>
      <c r="D4076" s="6" t="s">
        <v>11363</v>
      </c>
      <c r="E4076" s="4" t="str">
        <f ca="1">IFERROR(__xludf.DUMMYFUNCTION("GOOGLETRANSLATE(D4076,""auto"",""en"")"),"Invention names for transmission parameter setting methods and devices for dynamic spectrum allocation")</f>
        <v>Invention names for transmission parameter setting methods and devices for dynamic spectrum allocation</v>
      </c>
    </row>
    <row r="4077" spans="1:5" ht="15" x14ac:dyDescent="0.25">
      <c r="A4077" s="5" t="s">
        <v>11364</v>
      </c>
      <c r="B4077" s="6" t="s">
        <v>11365</v>
      </c>
      <c r="C4077" s="3" t="str">
        <f ca="1">IFERROR(__xludf.DUMMYFUNCTION("GOOGLETRANSLATE(B4077,""auto"",""en"")"),"An automatic shooting target system based on image recognition. The system uses image processing method for automatic recognition calculation of the target ring. The system includes: front -end target module, which is DSP chip, collection/hair module, dis"&amp;"play terminal composition, instructions to receive control centers, control the correct actions of image acquisition, complete image recognition and send the shooting results to the control center through the wireless network; the control center to genera"&amp;"te and maintain the database of the shooting game. , Manage the competition process, complete the setting of shooting personnel and order, print competition results, other reports, and do the entire system network server, coordinate the operation of the e"&amp;"ntire system, and provide remote query.")</f>
        <v>An automatic shooting target system based on image recognition. The system uses image processing method for automatic recognition calculation of the target ring. The system includes: front -end target module, which is DSP chip, collection/hair module, display terminal composition, instructions to receive control centers, control the correct actions of image acquisition, complete image recognition and send the shooting results to the control center through the wireless network; the control center to generate and maintain the database of the shooting game. , Manage the competition process, complete the setting of shooting personnel and order, print competition results, other reports, and do the entire system network server, coordinate the operation of the entire system, and provide remote query.</v>
      </c>
      <c r="D4077" s="6" t="s">
        <v>11366</v>
      </c>
      <c r="E4077" s="4" t="str">
        <f ca="1">IFERROR(__xludf.DUMMYFUNCTION("GOOGLETRANSLATE(D4077,""auto"",""en"")"),"A shooting target system based on image recognition")</f>
        <v>A shooting target system based on image recognition</v>
      </c>
    </row>
    <row r="4078" spans="1:5" ht="15" x14ac:dyDescent="0.25">
      <c r="A4078" s="5" t="s">
        <v>11367</v>
      </c>
      <c r="B4078" s="6" t="s">
        <v>11368</v>
      </c>
      <c r="C4078" s="3" t="str">
        <f ca="1">IFERROR(__xludf.DUMMYFUNCTION("GOOGLETRANSLATE(B4078,""auto"",""en"")"),"1 Abstract, a device for recording and mapping users' motion training output and progress, including the heart rate monitor placed on the user's body to measure heart rate. Enter the motion data. Real -time and voice recognition software, used to translat"&amp;"e voice data input and transcribe data into software programs. The software program integrates data and voice data received from the heart rate monitor. Sports data.")</f>
        <v>1 Abstract, a device for recording and mapping users' motion training output and progress, including the heart rate monitor placed on the user's body to measure heart rate. Enter the motion data. Real -time and voice recognition software, used to translate voice data input and transcribe data into software programs. The software program integrates data and voice data received from the heart rate monitor. Sports data.</v>
      </c>
      <c r="D4078" s="6" t="s">
        <v>11369</v>
      </c>
      <c r="E4078" s="4" t="str">
        <f ca="1">IFERROR(__xludf.DUMMYFUNCTION("GOOGLETRANSLATE(D4078,""auto"",""en"")"),"A device and method for recording and mapping the activity or training output and progress of the subject.")</f>
        <v>A device and method for recording and mapping the activity or training output and progress of the subject.</v>
      </c>
    </row>
    <row r="4079" spans="1:5" ht="15" x14ac:dyDescent="0.25">
      <c r="A4079" s="5" t="s">
        <v>11370</v>
      </c>
      <c r="B4079" s="6" t="s">
        <v>11371</v>
      </c>
      <c r="C4079" s="3" t="str">
        <f ca="1">IFERROR(__xludf.DUMMYFUNCTION("GOOGLETRANSLATE(B4079,""auto"",""en"")"),"This utility model revealed an idiom connection dragon competition platform, which belongs to Chinese teaching and entertainment facilities. The platform includes chassis, support rods, human -machine interfaces, motors, inflatable sticks, and controllers"&amp;"; one end of the support rod is connected to the chassis, and the other end is connected to the human -machine interface; ; The end part of the ventilation rod is connected to the rotary axis of the motor; This utility model provides a intelligent idiom c"&amp;"onnection platform, and has fun punishment measures to improve the enthusiasm of students to learn idioms.")</f>
        <v>This utility model revealed an idiom connection dragon competition platform, which belongs to Chinese teaching and entertainment facilities. The platform includes chassis, support rods, human -machine interfaces, motors, inflatable sticks, and controllers; one end of the support rod is connected to the chassis, and the other end is connected to the human -machine interface; ; The end part of the ventilation rod is connected to the rotary axis of the motor; This utility model provides a intelligent idiom connection platform, and has fun punishment measures to improve the enthusiasm of students to learn idioms.</v>
      </c>
      <c r="D4079" s="6" t="s">
        <v>11372</v>
      </c>
      <c r="E4079" s="4" t="str">
        <f ca="1">IFERROR(__xludf.DUMMYFUNCTION("GOOGLETRANSLATE(D4079,""auto"",""en"")"),"An idiom connection dragon competition platform")</f>
        <v>An idiom connection dragon competition platform</v>
      </c>
    </row>
    <row r="4080" spans="1:5" ht="15" x14ac:dyDescent="0.25">
      <c r="A4080" s="5" t="s">
        <v>11373</v>
      </c>
      <c r="B4080" s="6" t="s">
        <v>11374</v>
      </c>
      <c r="C4080" s="3" t="str">
        <f ca="1">IFERROR(__xludf.DUMMYFUNCTION("GOOGLETRANSLATE(B4080,""auto"",""en"")"),"The present invention disclosed a method of drowning behavior based on supporting vector machines. The invention uses a classifier that supports vector machine as a machine learning. Video serial sample sample sample samples that obtain drowning behavior "&amp;"and normal swimming behavior are used in advance. Then collect the video image sequence of the swimming pool by installing the camera above the water, and enter the trained support vector machine classifier to input the monitored video image sequence to j"&amp;"udge the behavior of the swimmer, so as to automatically automatically pass the camera through the camera in the real public swimming places Those who detect drowning can save their lives to the greatest extent. They have the advantages of accurate detect"&amp;"ion, good robustness, high noise resistance, and good adaptability to light transformation; and the present invention is monitored by the camera installed above the water surface. The system implementation cost is low and has great engineering application"&amp;" value.")</f>
        <v>The present invention disclosed a method of drowning behavior based on supporting vector machines. The invention uses a classifier that supports vector machine as a machine learning. Video serial sample sample sample samples that obtain drowning behavior and normal swimming behavior are used in advance. Then collect the video image sequence of the swimming pool by installing the camera above the water, and enter the trained support vector machine classifier to input the monitored video image sequence to judge the behavior of the swimmer, so as to automatically automatically pass the camera through the camera in the real public swimming places Those who detect drowning can save their lives to the greatest extent. They have the advantages of accurate detection, good robustness, high noise resistance, and good adaptability to light transformation; and the present invention is monitored by the camera installed above the water surface. The system implementation cost is low and has great engineering application value.</v>
      </c>
      <c r="D4080" s="6" t="s">
        <v>11375</v>
      </c>
      <c r="E4080" s="4" t="str">
        <f ca="1">IFERROR(__xludf.DUMMYFUNCTION("GOOGLETRANSLATE(D4080,""auto"",""en"")"),"A method of drowning -based drowning -based drowning machine detection method")</f>
        <v>A method of drowning -based drowning -based drowning machine detection method</v>
      </c>
    </row>
    <row r="4081" spans="1:5" ht="15" x14ac:dyDescent="0.25">
      <c r="A4081" s="5" t="s">
        <v>11376</v>
      </c>
      <c r="B4081" s="6" t="s">
        <v>11377</v>
      </c>
      <c r="C4081" s="3" t="str">
        <f ca="1">IFERROR(__xludf.DUMMYFUNCTION("GOOGLETRANSLATE(B4081,""auto"",""en"")"),"[0001] The present invention involves a method of moving baseball games that can change the game mode. More specifically, it involves a method that can change the mobile baseball game that can change the game mode. Among them, the game mode can be selecte"&amp;"d in the owner of the game server's artificial intelligence (AI) for the game server, and the manager mode of the details of the ball and the details of the ball. The AI ​​of the game server, and the entire player mode of the user executed the game.")</f>
        <v>[0001] The present invention involves a method of moving baseball games that can change the game mode. More specifically, it involves a method that can change the mobile baseball game that can change the game mode. Among them, the game mode can be selected in the owner of the game server's artificial intelligence (AI) for the game server, and the manager mode of the details of the ball and the details of the ball. The AI ​​of the game server, and the entire player mode of the user executed the game.</v>
      </c>
      <c r="D4081" s="6" t="s">
        <v>11378</v>
      </c>
      <c r="E4081" s="4" t="str">
        <f ca="1">IFERROR(__xludf.DUMMYFUNCTION("GOOGLETRANSLATE(D4081,""auto"",""en"")"),"A method of moving baseball games that can change the game mode")</f>
        <v>A method of moving baseball games that can change the game mode</v>
      </c>
    </row>
    <row r="4082" spans="1:5" ht="15" x14ac:dyDescent="0.25">
      <c r="A4082" s="5" t="s">
        <v>11379</v>
      </c>
      <c r="B4082" s="6" t="s">
        <v>11380</v>
      </c>
      <c r="C4082" s="3" t="str">
        <f ca="1">IFERROR(__xludf.DUMMYFUNCTION("GOOGLETRANSLATE(B4082,""auto"",""en"")"),"This utility model involves a portable sports site with tactical explanations, including rectangular shells. There are microprocessors and voice recognition devices in the rectangular shell. The front of the front of the rectangular shell is LED LCD scree"&amp;"n, control switch, and control switch, and control switches. Light sensor, micro microphone, and speakers, micro microphones are connected to the microprocessor by voice recognition device, and the microprocessor outputs voice signals through the speaker."&amp;" There is a solar cell board on the opposite side of the rectangular shell. Micro -processor connection. This practical new structure is simple and reasonable, and the working principle is stable and reliable. The existing touch screen technology is combi"&amp;"ned with solar cell technology. When used, it can be temporarily written tactical arrangements, and can also call the tactics arranged in advance for explanation. Through voice recognition The device can have good interaction and can greatly improve the e"&amp;"fficiency of tactical explanation.")</f>
        <v>This utility model involves a portable sports site with tactical explanations, including rectangular shells. There are microprocessors and voice recognition devices in the rectangular shell. The front of the front of the rectangular shell is LED LCD screen, control switch, and control switch, and control switches. Light sensor, micro microphone, and speakers, micro microphones are connected to the microprocessor by voice recognition device, and the microprocessor outputs voice signals through the speaker. There is a solar cell board on the opposite side of the rectangular shell. Micro -processor connection. This practical new structure is simple and reasonable, and the working principle is stable and reliable. The existing touch screen technology is combined with solar cell technology. When used, it can be temporarily written tactical arrangements, and can also call the tactics arranged in advance for explanation. Through voice recognition The device can have good interaction and can greatly improve the efficiency of tactical explanation.</v>
      </c>
      <c r="D4082" s="6" t="s">
        <v>11381</v>
      </c>
      <c r="E4082" s="4" t="str">
        <f ca="1">IFERROR(__xludf.DUMMYFUNCTION("GOOGLETRANSLATE(D4082,""auto"",""en"")"),"Portable sports site use tactical explanation writing board")</f>
        <v>Portable sports site use tactical explanation writing board</v>
      </c>
    </row>
    <row r="4083" spans="1:5" ht="15" x14ac:dyDescent="0.25">
      <c r="A4083" s="5" t="s">
        <v>11382</v>
      </c>
      <c r="B4083" s="6" t="s">
        <v>11383</v>
      </c>
      <c r="C4083" s="3" t="str">
        <f ca="1">IFERROR(__xludf.DUMMYFUNCTION("GOOGLETRANSLATE(B4083,""auto"",""en"")"),"This utility model provides a robotic platform based on the Internet of Things. Including two sets of omnidirectional wheels installed vertically, the omnidirectional wheels are fixed on the car body by the wheel frame. The omnidirectional wheels are driv"&amp;"en by the servo motor. The servo motor driver is installed in the control box; The sensor is installed around the car body, the light matrix sensor is installed in the lower part of the center of the car body by matrix, the gyroscope is installed in the u"&amp;"pper part of the control box, and the RFID reads the head and is installed outside the control box; Take the head, servo motor drive, and ZigBee communication module to connect to the control motherboard in the control box, respectively. This utility mode"&amp;"l can not only meet the requirements of the robot movement in various robotics competitions, but also have strong networking collaborative capabilities and expansion capabilities.")</f>
        <v>This utility model provides a robotic platform based on the Internet of Things. Including two sets of omnidirectional wheels installed vertically, the omnidirectional wheels are fixed on the car body by the wheel frame. The omnidirectional wheels are driven by the servo motor. The servo motor driver is installed in the control box; The sensor is installed around the car body, the light matrix sensor is installed in the lower part of the center of the car body by matrix, the gyroscope is installed in the upper part of the control box, and the RFID reads the head and is installed outside the control box; Take the head, servo motor drive, and ZigBee communication module to connect to the control motherboard in the control box, respectively. This utility model can not only meet the requirements of the robot movement in various robotics competitions, but also have strong networking collaborative capabilities and expansion capabilities.</v>
      </c>
      <c r="D4083" s="6" t="s">
        <v>11384</v>
      </c>
      <c r="E4083" s="4" t="str">
        <f ca="1">IFERROR(__xludf.DUMMYFUNCTION("GOOGLETRANSLATE(D4083,""auto"",""en"")"),"The Internet -based competition robot platform")</f>
        <v>The Internet -based competition robot platform</v>
      </c>
    </row>
    <row r="4084" spans="1:5" ht="15" x14ac:dyDescent="0.25">
      <c r="A4084" s="5" t="s">
        <v>11385</v>
      </c>
      <c r="B4084" s="6" t="s">
        <v>11386</v>
      </c>
      <c r="C4084" s="3" t="str">
        <f ca="1">IFERROR(__xludf.DUMMYFUNCTION("GOOGLETRANSLATE(B4084,""auto"",""en"")"),"One of the purpose of the present invention is to properly specify the expected image.
  Installation of the tennis racket 300 kept by the imaging device 2 imaging of the imaging device 2 imaging, the sensor for the information corresponding to the move"&amp;"ment of the movement of the subject, and the sensor based on the sensor output information output information. And the sensor that output information output information. Determine the device to determine the motion of the object in the image taken by imag"&amp;"ing device 2.
  【Selection Figure】 Figure 1")</f>
        <v>One of the purpose of the present invention is to properly specify the expected image.
  Installation of the tennis racket 300 kept by the imaging device 2 imaging of the imaging device 2 imaging, the sensor for the information corresponding to the movement of the movement of the subject, and the sensor based on the sensor output information output information. And the sensor that output information output information. Determine the device to determine the motion of the object in the image taken by imaging device 2.
  【Selection Figure】 Figure 1</v>
      </c>
      <c r="D4084" s="6" t="s">
        <v>11387</v>
      </c>
      <c r="E4084" s="4" t="str">
        <f ca="1">IFERROR(__xludf.DUMMYFUNCTION("GOOGLETRANSLATE(D4084,""auto"",""en"")"),"Image recognition device, image recognition system, image recognition method and program")</f>
        <v>Image recognition device, image recognition system, image recognition method and program</v>
      </c>
    </row>
    <row r="4085" spans="1:5" ht="15" x14ac:dyDescent="0.25">
      <c r="A4085" s="5" t="s">
        <v>11388</v>
      </c>
      <c r="B4085" s="6" t="s">
        <v>11389</v>
      </c>
      <c r="C4085" s="3" t="str">
        <f ca="1">IFERROR(__xludf.DUMMYFUNCTION("GOOGLETRANSLATE(B4085,""auto"",""en"")"),"The present invention involves a smart weight scale and implementation method based on IoT technology. The intelligent weight scale includes: the main body of weight scale, QR code label, wireless transmission module, mobile terminal application, weight d"&amp;"ata management system; The label is pasted on the main body of the intelligent weight scale; the wireless transmission module is connected through the wired and the weight scale motherboard, and it is connected to the personal data management system throu"&amp;"gh wireless; Connect to the weight data management system. The present invention uses QR code and WIFI technology, which not only has the functions of automatic measurement, uploading, preservation, and analysis of weight, but also users can consult exper"&amp;"ts online to obtain weight control and fitness suggestions, which improves the rationality, targeted and scientific nature of fitness activities Essence")</f>
        <v>The present invention involves a smart weight scale and implementation method based on IoT technology. The intelligent weight scale includes: the main body of weight scale, QR code label, wireless transmission module, mobile terminal application, weight data management system; The label is pasted on the main body of the intelligent weight scale; the wireless transmission module is connected through the wired and the weight scale motherboard, and it is connected to the personal data management system through wireless; Connect to the weight data management system. The present invention uses QR code and WIFI technology, which not only has the functions of automatic measurement, uploading, preservation, and analysis of weight, but also users can consult experts online to obtain weight control and fitness suggestions, which improves the rationality, targeted and scientific nature of fitness activities Essence</v>
      </c>
      <c r="D4085" s="6" t="s">
        <v>11390</v>
      </c>
      <c r="E4085" s="4" t="str">
        <f ca="1">IFERROR(__xludf.DUMMYFUNCTION("GOOGLETRANSLATE(D4085,""auto"",""en"")"),"A smart weight scale and implementation method based on IoT technology")</f>
        <v>A smart weight scale and implementation method based on IoT technology</v>
      </c>
    </row>
    <row r="4086" spans="1:5" ht="15" x14ac:dyDescent="0.25">
      <c r="A4086" s="5" t="s">
        <v>11391</v>
      </c>
      <c r="B4086" s="6" t="s">
        <v>11392</v>
      </c>
      <c r="C4086" s="3" t="str">
        <f ca="1">IFERROR(__xludf.DUMMYFUNCTION("GOOGLETRANSLATE(B4086,""auto"",""en"")"),"This utility model discloses an IoT adapter of an electric treadmill, including: shell, PCB motherboard, main control microprocessor, power management chip, wireless sending module, antenna, comparator, upper control board duct socket, down control, down "&amp;"control Plate -line socket; the PCB motherboard is inside the shell; the main control microprocessor, power management chip, wireless receiving module, antenna, comparator, upper -control board socket, lower -control board socket socket welding in On the "&amp;"PCB motherboard, the main line of the PCB motherboard is connected. This utility model significantly improves the fun and scientificity of using treadmills for running sports and fitness, and enhances the value of ordinary electric treadmills.")</f>
        <v>This utility model discloses an IoT adapter of an electric treadmill, including: shell, PCB motherboard, main control microprocessor, power management chip, wireless sending module, antenna, comparator, upper control board duct socket, down control, down control Plate -line socket; the PCB motherboard is inside the shell; the main control microprocessor, power management chip, wireless receiving module, antenna, comparator, upper -control board socket, lower -control board socket socket welding in On the PCB motherboard, the main line of the PCB motherboard is connected. This utility model significantly improves the fun and scientificity of using treadmills for running sports and fitness, and enhances the value of ordinary electric treadmills.</v>
      </c>
      <c r="D4086" s="6" t="s">
        <v>11393</v>
      </c>
      <c r="E4086" s="4" t="str">
        <f ca="1">IFERROR(__xludf.DUMMYFUNCTION("GOOGLETRANSLATE(D4086,""auto"",""en"")"),"An Internet of Internet of Things adapter")</f>
        <v>An Internet of Internet of Things adapter</v>
      </c>
    </row>
    <row r="4087" spans="1:5" ht="15" x14ac:dyDescent="0.25">
      <c r="A4087" s="5" t="s">
        <v>11394</v>
      </c>
      <c r="B4087" s="6" t="s">
        <v>11395</v>
      </c>
      <c r="C4087" s="3" t="str">
        <f ca="1">IFERROR(__xludf.DUMMYFUNCTION("GOOGLETRANSLATE(B4087,""auto"",""en"")"),"The present invention disclosed a method of Internet adapter and program design control method of electric treadmill objects. An Internet adapter of an electric treadmill, including: shell, PCB motherboard, main control microprocessor, power management ch"&amp;"ip, wireless receiving module, antenna, antenna, antenna, antenna , Comparer, upper -controlled board socket socket, lower -control board puzzle socket; the PCB motherboard is inside the shell; The purse socket socket and the lower console duct socket are"&amp;" welded on the PCB motherboard, which is connected through the main line of the PCB motherboard; , Monitor the upper control board, execute the upper -control board instructions, monitor treadmill servers and exit programs. This issue obviously increases "&amp;"the fun and scientificity of using treadmills for running sports and fitness, and enhances the value of ordinary electric treadmills.")</f>
        <v>The present invention disclosed a method of Internet adapter and program design control method of electric treadmill objects. An Internet adapter of an electric treadmill, including: shell, PCB motherboard, main control microprocessor, power management chip, wireless receiving module, antenna, antenna, antenna, antenna , Comparer, upper -controlled board socket socket, lower -control board puzzle socket; the PCB motherboard is inside the shell; The purse socket socket and the lower console duct socket are welded on the PCB motherboard, which is connected through the main line of the PCB motherboard; , Monitor the upper control board, execute the upper -control board instructions, monitor treadmill servers and exit programs. This issue obviously increases the fun and scientificity of using treadmills for running sports and fitness, and enhances the value of ordinary electric treadmills.</v>
      </c>
      <c r="D4087" s="6" t="s">
        <v>11396</v>
      </c>
      <c r="E4087" s="4" t="str">
        <f ca="1">IFERROR(__xludf.DUMMYFUNCTION("GOOGLETRANSLATE(D4087,""auto"",""en"")"),"An electric treadmill IoT adapter and program design control method")</f>
        <v>An electric treadmill IoT adapter and program design control method</v>
      </c>
    </row>
    <row r="4088" spans="1:5" ht="15" x14ac:dyDescent="0.25">
      <c r="A4088" s="5" t="s">
        <v>11397</v>
      </c>
      <c r="B4088" s="6" t="s">
        <v>11210</v>
      </c>
      <c r="C4088" s="3" t="str">
        <f ca="1">IFERROR(__xludf.DUMMYFUNCTION("GOOGLETRANSLATE(B4088,""auto"",""en"")"),"Although at least one candidate solution in the first generation of candidate still needs to be evaluated based on the adaptation function of the optimization problem, multiple candidate solutions are selected from the first -generation candidate solution"&amp;" to participate in the championship. Determine whether it has evaluated each of each of the candidate solutions selected to participate in the championship based on the adaptation function. If they have been evaluated, one or more competitors are selected"&amp;" from multiple candidate solutions in the first generation of candidates. The second -generation candidate's candidate was created based on the genetic operator with one or more of the winners they selected.")</f>
        <v>Although at least one candidate solution in the first generation of candidate still needs to be evaluated based on the adaptation function of the optimization problem, multiple candidate solutions are selected from the first -generation candidate solution to participate in the championship. Determine whether it has evaluated each of each of the candidate solutions selected to participate in the championship based on the adaptation function. If they have been evaluated, one or more competitors are selected from multiple candidate solutions in the first generation of candidates. The second -generation candidate's candidate was created based on the genetic operator with one or more of the winners they selected.</v>
      </c>
      <c r="D4088" s="6" t="s">
        <v>10729</v>
      </c>
      <c r="E4088" s="4" t="str">
        <f ca="1">IFERROR(__xludf.DUMMYFUNCTION("GOOGLETRANSLATE(D4088,""auto"",""en"")"),"Early generation individuals accelerated genetic algorithms")</f>
        <v>Early generation individuals accelerated genetic algorithms</v>
      </c>
    </row>
    <row r="4089" spans="1:5" ht="15" x14ac:dyDescent="0.25">
      <c r="A4089" s="5" t="s">
        <v>11398</v>
      </c>
      <c r="B4089" s="6" t="s">
        <v>11399</v>
      </c>
      <c r="C4089" s="3" t="str">
        <f ca="1">IFERROR(__xludf.DUMMYFUNCTION("GOOGLETRANSLATE(B4089,""auto"",""en"")"),"This utility model involves a synchronous device that can be combined with the fitness device, including a fitness device, which has an electromagnetic resistance source in the fitness device, which is connected to a training controller. The training cont"&amp;"roller includes the central government. The processing unit is connected around the central processing unit with LCD display, touch screen, human -machine interaction buttons, magnetic card readers and signal output input interfaces. Signal sensor related"&amp;" to exercise. This utility model is simple and easy to operate; when in use, the digital fitness terminal software installed by the central processing unit is entered into this device. After accessing the related sports websites through the Internet, afte"&amp;"r setting the relevant parameters, the corresponding competitive scenarios are simulated, and synchronized Collecting the pulse and installation of the athletes can be combined with the organic combination of scenes and sports fitness, which increases the"&amp;" authenticity, competitiveness and interest of sports.")</f>
        <v>This utility model involves a synchronous device that can be combined with the fitness device, including a fitness device, which has an electromagnetic resistance source in the fitness device, which is connected to a training controller. The training controller includes the central government. The processing unit is connected around the central processing unit with LCD display, touch screen, human -machine interaction buttons, magnetic card readers and signal output input interfaces. Signal sensor related to exercise. This utility model is simple and easy to operate; when in use, the digital fitness terminal software installed by the central processing unit is entered into this device. After accessing the related sports websites through the Internet, after setting the relevant parameters, the corresponding competitive scenarios are simulated, and synchronized Collecting the pulse and installation of the athletes can be combined with the organic combination of scenes and sports fitness, which increases the authenticity, competitiveness and interest of sports.</v>
      </c>
      <c r="D4089" s="6" t="s">
        <v>11400</v>
      </c>
      <c r="E4089" s="4" t="str">
        <f ca="1">IFERROR(__xludf.DUMMYFUNCTION("GOOGLETRANSLATE(D4089,""auto"",""en"")"),"A scene that can be combined with the fitness device synchronization device")</f>
        <v>A scene that can be combined with the fitness device synchronization device</v>
      </c>
    </row>
    <row r="4090" spans="1:5" ht="15" x14ac:dyDescent="0.25">
      <c r="A4090" s="5" t="s">
        <v>11401</v>
      </c>
      <c r="B4090" s="6" t="s">
        <v>11402</v>
      </c>
      <c r="C4090" s="3" t="str">
        <f ca="1">IFERROR(__xludf.DUMMYFUNCTION("GOOGLETRANSLATE(B4090,""auto"",""en"")"),"This utility model is a fitness cleaning robot, which is a new field of microelectronics automatic control technology. The robot includes the artificial intelligence's back -folding massage with artificial intelligence on the sofa carrier and the music th"&amp;"erapy pillow above it and the back -folded back and folded back -ups of the back -to -back sitting fitness device, the retractable foot massage device and the front -edge of the sofa settings The vacuum cleaner hidden in the sofa box, the universal walk, "&amp;"the walking drive device, the rotating mop, and the visual distance and image signal instructions received by the front camera, the rear vision sensor, the right -view sensor, the left -view sensor, the left -view sensor, the left -view sensor, the left -"&amp;"view sensor, the left -looking sensor receiver. Wanxiang walking, massaging fitness, cleaning and hygiene intelligent controller. This robot and simple cleaning robot have a multi -joint, joint strong body, vacuum, and dragging and hygienic multiple funct"&amp;"ions. It realizes the interesting, intelligent, and strong body of family cleaning. Conscious fitness fun has created ideal upgrade technology and products for family hygiene cleaning and national fitness.")</f>
        <v>This utility model is a fitness cleaning robot, which is a new field of microelectronics automatic control technology. The robot includes the artificial intelligence's back -folding massage with artificial intelligence on the sofa carrier and the music therapy pillow above it and the back -folded back and folded back -ups of the back -to -back sitting fitness device, the retractable foot massage device and the front -edge of the sofa settings The vacuum cleaner hidden in the sofa box, the universal walk, the walking drive device, the rotating mop, and the visual distance and image signal instructions received by the front camera, the rear vision sensor, the right -view sensor, the left -view sensor, the left -view sensor, the left -view sensor, the left -view sensor, the left -looking sensor receiver. Wanxiang walking, massaging fitness, cleaning and hygiene intelligent controller. This robot and simple cleaning robot have a multi -joint, joint strong body, vacuum, and dragging and hygienic multiple functions. It realizes the interesting, intelligent, and strong body of family cleaning. Conscious fitness fun has created ideal upgrade technology and products for family hygiene cleaning and national fitness.</v>
      </c>
      <c r="D4090" s="6" t="s">
        <v>11403</v>
      </c>
      <c r="E4090" s="4" t="str">
        <f ca="1">IFERROR(__xludf.DUMMYFUNCTION("GOOGLETRANSLATE(D4090,""auto"",""en"")"),"Fitness cleaning robot")</f>
        <v>Fitness cleaning robot</v>
      </c>
    </row>
    <row r="4091" spans="1:5" ht="15" x14ac:dyDescent="0.25">
      <c r="A4091" s="5" t="s">
        <v>11404</v>
      </c>
      <c r="B4091" s="6" t="s">
        <v>11405</v>
      </c>
      <c r="C4091" s="3" t="str">
        <f ca="1">IFERROR(__xludf.DUMMYFUNCTION("GOOGLETRANSLATE(B4091,""auto"",""en"")"),"The invention involves a smart treadmill and control method based on the Internet of Things technology. The treadmill includes: treadmill subject, QR code label, wireless transmission module, mobile terminal application, treadmill data management system; "&amp;"The tag is pasted on the main body of the treadmill; the wireless transmission module is connected to the driving board of the treadmill motor through the wired, and the mobile terminal application is connected to the treadmill data management system thro"&amp;"ugh wireless; On the top, connect to the data management system of the treadmill data through the mobile network. According to the historical data of personal parameters and running exercises, the present invention formulates scientific running procedures"&amp;", and controls the running machine according to the running program, which increases the scientific, rationality, and effectiveness of running and fitness.")</f>
        <v>The invention involves a smart treadmill and control method based on the Internet of Things technology. The treadmill includes: treadmill subject, QR code label, wireless transmission module, mobile terminal application, treadmill data management system; The tag is pasted on the main body of the treadmill; the wireless transmission module is connected to the driving board of the treadmill motor through the wired, and the mobile terminal application is connected to the treadmill data management system through wireless; On the top, connect to the data management system of the treadmill data through the mobile network. According to the historical data of personal parameters and running exercises, the present invention formulates scientific running procedures, and controls the running machine according to the running program, which increases the scientific, rationality, and effectiveness of running and fitness.</v>
      </c>
      <c r="D4091" s="6" t="s">
        <v>11406</v>
      </c>
      <c r="E4091" s="4" t="str">
        <f ca="1">IFERROR(__xludf.DUMMYFUNCTION("GOOGLETRANSLATE(D4091,""auto"",""en"")"),"A smart treadmill and control method based on IoT technology")</f>
        <v>A smart treadmill and control method based on IoT technology</v>
      </c>
    </row>
    <row r="4092" spans="1:5" ht="15" x14ac:dyDescent="0.25">
      <c r="A4092" s="5" t="s">
        <v>11407</v>
      </c>
      <c r="B4092" s="6" t="s">
        <v>11408</v>
      </c>
      <c r="C4092" s="3" t="str">
        <f ca="1">IFERROR(__xludf.DUMMYFUNCTION("GOOGLETRANSLATE(B4092,""auto"",""en"")"),"This utility model involves a networked fully automatic license plate system, including: ① The total control part of the upper machine to achieve the setting, management and command electrical control part of the card set; ② After processing, the electric"&amp;"al control circuit is controlled by the electrical control mechanical part; ③ electrical control circuit, accepting the computer's instruction, and driving the mechanical part through the motor; ④ the mechanical execution system to complete the specific p"&amp;"ost -licenses of cards Connect with the lower machine to form a network system. The use of the new type of practical type is to achieve the use of the network to connect the automatic licensed machines, and use the advanced neural network technology for i"&amp;"mage recognition, so that the license plate function will be accurately sent into the hands of each group at the same time to achieve the game to achieve the game to achieve the game to achieve the game to achieve the game to achieve the game The principl"&amp;"e of fairness and justice.")</f>
        <v>This utility model involves a networked fully automatic license plate system, including: ① The total control part of the upper machine to achieve the setting, management and command electrical control part of the card set; ② After processing, the electrical control circuit is controlled by the electrical control mechanical part; ③ electrical control circuit, accepting the computer's instruction, and driving the mechanical part through the motor; ④ the mechanical execution system to complete the specific post -licenses of cards Connect with the lower machine to form a network system. The use of the new type of practical type is to achieve the use of the network to connect the automatic licensed machines, and use the advanced neural network technology for image recognition, so that the license plate function will be accurately sent into the hands of each group at the same time to achieve the game to achieve the game to achieve the game to achieve the game to achieve the game to achieve the game The principle of fairness and justice.</v>
      </c>
      <c r="D4092" s="6" t="s">
        <v>11409</v>
      </c>
      <c r="E4092" s="4" t="str">
        <f ca="1">IFERROR(__xludf.DUMMYFUNCTION("GOOGLETRANSLATE(D4092,""auto"",""en"")"),"A networked fully automatic licensed machine system")</f>
        <v>A networked fully automatic licensed machine system</v>
      </c>
    </row>
    <row r="4093" spans="1:5" ht="15" x14ac:dyDescent="0.25">
      <c r="A4093" s="5" t="s">
        <v>11410</v>
      </c>
      <c r="B4093" s="6" t="s">
        <v>11411</v>
      </c>
      <c r="C4093" s="3" t="str">
        <f ca="1">IFERROR(__xludf.DUMMYFUNCTION("GOOGLETRANSLATE(B4093,""auto"",""en"")"),"It describes a method and equipment that is used to detect athletes and separate the jumping from other athletes. The acceleration meter data generated by the athlete's movement is accepted in the computing device. The computing device is used to apply th"&amp;"e fuzzy logic function to multiple parameters associated with the acceleration meter data to detect the mode of associated with jumping. Based on mode -based detection, the subset of data is recognized as a jump. Use the OK to convey the data in the compu"&amp;"ting device, so as to separate jumping from other athletes.")</f>
        <v>It describes a method and equipment that is used to detect athletes and separate the jumping from other athletes. The acceleration meter data generated by the athlete's movement is accepted in the computing device. The computing device is used to apply the fuzzy logic function to multiple parameters associated with the acceleration meter data to detect the mode of associated with jumping. Based on mode -based detection, the subset of data is recognized as a jump. Use the OK to convey the data in the computing device, so as to separate jumping from other athletes.</v>
      </c>
      <c r="D4093" s="6" t="s">
        <v>11412</v>
      </c>
      <c r="E4093" s="4" t="str">
        <f ca="1">IFERROR(__xludf.DUMMYFUNCTION("GOOGLETRANSLATE(D4093,""auto"",""en"")"),"Use fuzzy logic to determine the method and device of athlete jumping")</f>
        <v>Use fuzzy logic to determine the method and device of athlete jumping</v>
      </c>
    </row>
    <row r="4094" spans="1:5" ht="15" x14ac:dyDescent="0.25">
      <c r="A4094" s="5" t="s">
        <v>11413</v>
      </c>
      <c r="B4094" s="6" t="s">
        <v>11414</v>
      </c>
      <c r="C4094" s="3" t="str">
        <f ca="1">IFERROR(__xludf.DUMMYFUNCTION("GOOGLETRANSLATE(B4094,""auto"",""en"")"),"The invention disclosed a drowning monitoring system and monitoring method based on the Internet of Things pool. It effectively combines the RFID radio frequency tag and the camera to judge the drowning incident. Positioning, the server preliminary judgme"&amp;"nt of whether the swimmer drowns according to physiological information and location information, and then calls the camera to monitor the swimmer. Through the monitoring image and standard behavior database, the template matching Efficiency and accuracy "&amp;"shorten the time to discover drowning. And due to the use of physiological information and monitoring image information, drowning can effectively reduce the error rate of drowning incidents.")</f>
        <v>The invention disclosed a drowning monitoring system and monitoring method based on the Internet of Things pool. It effectively combines the RFID radio frequency tag and the camera to judge the drowning incident. Positioning, the server preliminary judgment of whether the swimmer drowns according to physiological information and location information, and then calls the camera to monitor the swimmer. Through the monitoring image and standard behavior database, the template matching Efficiency and accuracy shorten the time to discover drowning. And due to the use of physiological information and monitoring image information, drowning can effectively reduce the error rate of drowning incidents.</v>
      </c>
      <c r="D4094" s="6" t="s">
        <v>11415</v>
      </c>
      <c r="E4094" s="4" t="str">
        <f ca="1">IFERROR(__xludf.DUMMYFUNCTION("GOOGLETRANSLATE(D4094,""auto"",""en"")"),"A monitoring system and monitoring method based on the Internet of Things pool drowning")</f>
        <v>A monitoring system and monitoring method based on the Internet of Things pool drowning</v>
      </c>
    </row>
    <row r="4095" spans="1:5" ht="15" x14ac:dyDescent="0.25">
      <c r="A4095" s="5" t="s">
        <v>11416</v>
      </c>
      <c r="B4095" s="6" t="s">
        <v>11417</v>
      </c>
      <c r="C4095" s="3" t="str">
        <f ca="1">IFERROR(__xludf.DUMMYFUNCTION("GOOGLETRANSLATE(B4095,""auto"",""en"")"),"1. The name of the product designed this product: DVS Internet of Things Global machine (007). 2. The purpose of designing products in this exterior: a spherical camera with IoT information. 3. The design points of the design of this appearance: the overa"&amp;"ll shape of the product. 4. Most pictures or photos that can be designed: stereo. 5. Eliminate the post -view, upir view, and right view.")</f>
        <v>1. The name of the product designed this product: DVS Internet of Things Global machine (007). 2. The purpose of designing products in this exterior: a spherical camera with IoT information. 3. The design points of the design of this appearance: the overall shape of the product. 4. Most pictures or photos that can be designed: stereo. 5. Eliminate the post -view, upir view, and right view.</v>
      </c>
      <c r="D4095" s="6" t="s">
        <v>11418</v>
      </c>
      <c r="E4095" s="4" t="str">
        <f ca="1">IFERROR(__xludf.DUMMYFUNCTION("GOOGLETRANSLATE(D4095,""auto"",""en"")"),"DVS Internet of Things Gel (007)")</f>
        <v>DVS Internet of Things Gel (007)</v>
      </c>
    </row>
    <row r="4096" spans="1:5" ht="15" x14ac:dyDescent="0.25">
      <c r="A4096" s="5" t="s">
        <v>11419</v>
      </c>
      <c r="B4096" s="6" t="s">
        <v>11420</v>
      </c>
      <c r="C4096" s="3" t="str">
        <f ca="1">IFERROR(__xludf.DUMMYFUNCTION("GOOGLETRANSLATE(B4096,""auto"",""en"")"),"1. The name of the product designed this product: DVS Internet of Things Gel (006). 2. The purpose of designing products in this exterior: a spherical camera with IoT information. 3. The design points of the design of this appearance: the overall shape of"&amp;" the product. 4. Most pictures or photos that can be designed: stereo. 5. Omit the view and right view.")</f>
        <v>1. The name of the product designed this product: DVS Internet of Things Gel (006). 2. The purpose of designing products in this exterior: a spherical camera with IoT information. 3. The design points of the design of this appearance: the overall shape of the product. 4. Most pictures or photos that can be designed: stereo. 5. Omit the view and right view.</v>
      </c>
      <c r="D4096" s="6" t="s">
        <v>11421</v>
      </c>
      <c r="E4096" s="4" t="str">
        <f ca="1">IFERROR(__xludf.DUMMYFUNCTION("GOOGLETRANSLATE(D4096,""auto"",""en"")"),"DVS Internet of Things Gel (006)")</f>
        <v>DVS Internet of Things Gel (006)</v>
      </c>
    </row>
    <row r="4097" spans="1:5" ht="15" x14ac:dyDescent="0.25">
      <c r="A4097" s="5" t="s">
        <v>11422</v>
      </c>
      <c r="B4097" s="6" t="s">
        <v>11423</v>
      </c>
      <c r="C4097" s="3" t="str">
        <f ca="1">IFERROR(__xludf.DUMMYFUNCTION("GOOGLETRANSLATE(B4097,""auto"",""en"")"),"1. The name of the product designed this product: DVS Internet of Things Gel (008). 2. The purpose of designing products in this exterior: a spherical camera with IoT information. 3. The design points of the design of this appearance: the overall shape of"&amp;" the product. 4. Most pictures or photos that can be designed: stereo. 5. Omitting the view and left view.")</f>
        <v>1. The name of the product designed this product: DVS Internet of Things Gel (008). 2. The purpose of designing products in this exterior: a spherical camera with IoT information. 3. The design points of the design of this appearance: the overall shape of the product. 4. Most pictures or photos that can be designed: stereo. 5. Omitting the view and left view.</v>
      </c>
      <c r="D4097" s="6" t="s">
        <v>11424</v>
      </c>
      <c r="E4097" s="4" t="str">
        <f ca="1">IFERROR(__xludf.DUMMYFUNCTION("GOOGLETRANSLATE(D4097,""auto"",""en"")"),"DVS Internet of Things Gel (008)")</f>
        <v>DVS Internet of Things Gel (008)</v>
      </c>
    </row>
    <row r="4098" spans="1:5" ht="15" x14ac:dyDescent="0.25">
      <c r="A4098" s="5" t="s">
        <v>11425</v>
      </c>
      <c r="B4098" s="6" t="s">
        <v>11426</v>
      </c>
      <c r="C4098" s="3" t="str">
        <f ca="1">IFERROR(__xludf.DUMMYFUNCTION("GOOGLETRANSLATE(B4098,""auto"",""en"")"),"1. The name of the product designed this product: DVS Internet of Things Global machine (009). 2. The purpose of designing products in this exterior: a spherical camera with IoT information. 3. The design points of the design of this appearance: the overa"&amp;"ll shape of the product. 4. Most pictures or photos that can be designed: stereo. 5. Omit the view and right view.")</f>
        <v>1. The name of the product designed this product: DVS Internet of Things Global machine (009). 2. The purpose of designing products in this exterior: a spherical camera with IoT information. 3. The design points of the design of this appearance: the overall shape of the product. 4. Most pictures or photos that can be designed: stereo. 5. Omit the view and right view.</v>
      </c>
      <c r="D4098" s="6" t="s">
        <v>11427</v>
      </c>
      <c r="E4098" s="4" t="str">
        <f ca="1">IFERROR(__xludf.DUMMYFUNCTION("GOOGLETRANSLATE(D4098,""auto"",""en"")"),"DVS Internet of Things Global machine (009)")</f>
        <v>DVS Internet of Things Global machine (009)</v>
      </c>
    </row>
    <row r="4099" spans="1:5" ht="15" x14ac:dyDescent="0.25">
      <c r="A4099" s="5" t="s">
        <v>11428</v>
      </c>
      <c r="B4099" s="6" t="s">
        <v>11429</v>
      </c>
      <c r="C4099" s="3" t="str">
        <f ca="1">IFERROR(__xludf.DUMMYFUNCTION("GOOGLETRANSLATE(B4099,""auto"",""en"")"),"The present invention disclosed a personalized collaborative filtering recommendation method based on extended feature vectors, which belongs to the field of computer machine learning. The specific operation process is: ① determine the expansion feature v"&amp;"ector of the user/item. ② Calculate the recommendation value of the recommended items for candidates. ③ The recommendation value of the recommended items for candidates is sorted in the order from large to small. ④ Recommend the previous n items to user U"&amp;". Compared with existing personalized recommendation methods, the present invention method has the following advantages: ① Due to the more information participating in the calculation, you can give users a list of recommended items more accurately. ② It h"&amp;"as the characteristics of simple, easy and efficient, and is suitable for currently widely popular distributed computing applications. ③ You can recommend recommendations for new users from the existing information about users and the project's own attrib"&amp;"utes. To a certain extent, the impact of the lack of preference information on the recommendation results.")</f>
        <v>The present invention disclosed a personalized collaborative filtering recommendation method based on extended feature vectors, which belongs to the field of computer machine learning. The specific operation process is: ① determine the expansion feature vector of the user/item. ② Calculate the recommendation value of the recommended items for candidates. ③ The recommendation value of the recommended items for candidates is sorted in the order from large to small. ④ Recommend the previous n items to user U. Compared with existing personalized recommendation methods, the present invention method has the following advantages: ① Due to the more information participating in the calculation, you can give users a list of recommended items more accurately. ② It has the characteristics of simple, easy and efficient, and is suitable for currently widely popular distributed computing applications. ③ You can recommend recommendations for new users from the existing information about users and the project's own attributes. To a certain extent, the impact of the lack of preference information on the recommendation results.</v>
      </c>
      <c r="D4099" s="6" t="s">
        <v>11430</v>
      </c>
      <c r="E4099" s="4" t="str">
        <f ca="1">IFERROR(__xludf.DUMMYFUNCTION("GOOGLETRANSLATE(D4099,""auto"",""en"")"),"A recommendation method based on personalized collaborative filtering based on extended feature vectors")</f>
        <v>A recommendation method based on personalized collaborative filtering based on extended feature vectors</v>
      </c>
    </row>
    <row r="4100" spans="1:5" ht="15" x14ac:dyDescent="0.25">
      <c r="A4100" s="5" t="s">
        <v>11431</v>
      </c>
      <c r="B4100" s="6" t="s">
        <v>11432</v>
      </c>
      <c r="C4100" s="3" t="str">
        <f ca="1">IFERROR(__xludf.DUMMYFUNCTION("GOOGLETRANSLATE(B4100,""auto"",""en"")"),"The present invention provides a technology. Users register in the user league in the league tour of at least one or more individual league with preset conquest points to solve the task in online battle games. The method of providing the league tour mode "&amp;"according to the embodiment of the present invention includes the league tour model to provide the server and the artificial intelligence operations belonging to the predetermined user league group. Provide user terminal with the league tour mode. The lea"&amp;"gue tour model is a model composed of at least one league. After obtaining the personal league points of each league, it can play against opponents belonging to other league artificial intelligence operations. Points; when the user terminal receives the l"&amp;"eague mode team to select the input, connect the league mode team user interface, that is, the team that played together in the league mode. Go to the league tour mode interface, output to other user terminals that belong to the same predetermined user le"&amp;"ague as users; when the league mode team ends the game, it provides league model points to the group according to the results of the game, and determines whether the payment league model points are greater than or or or or It is equivalent to the personal"&amp;" league points preset in each league. If the league tour model points are paid in this step is greater than or equal to the presets of various league points in each league, the preset welfare information is output to the user terminal according to the com"&amp;"pletion of the league.")</f>
        <v>The present invention provides a technology. Users register in the user league in the league tour of at least one or more individual league with preset conquest points to solve the task in online battle games. The method of providing the league tour mode according to the embodiment of the present invention includes the league tour model to provide the server and the artificial intelligence operations belonging to the predetermined user league group. Provide user terminal with the league tour mode. The league tour model is a model composed of at least one league. After obtaining the personal league points of each league, it can play against opponents belonging to other league artificial intelligence operations. Points; when the user terminal receives the league mode team to select the input, connect the league mode team user interface, that is, the team that played together in the league mode. Go to the league tour mode interface, output to other user terminals that belong to the same predetermined user league as users; when the league mode team ends the game, it provides league model points to the group according to the results of the game, and determines whether the payment league model points are greater than or or or or It is equivalent to the personal league points preset in each league. If the league tour model points are paid in this step is greater than or equal to the presets of various league points in each league, the preset welfare information is output to the user terminal according to the completion of the league.</v>
      </c>
      <c r="D4100" s="6" t="s">
        <v>11433</v>
      </c>
      <c r="E4100" s="4" t="str">
        <f ca="1">IFERROR(__xludf.DUMMYFUNCTION("GOOGLETRANSLATE(D4100,""auto"",""en"")"),"How to provide the league tour mode and server")</f>
        <v>How to provide the league tour mode and server</v>
      </c>
    </row>
    <row r="4101" spans="1:5" ht="15" x14ac:dyDescent="0.25">
      <c r="A4101" s="5" t="s">
        <v>11434</v>
      </c>
      <c r="B4101" s="6" t="s">
        <v>11435</v>
      </c>
      <c r="C4101" s="3" t="str">
        <f ca="1">IFERROR(__xludf.DUMMYFUNCTION("GOOGLETRANSLATE(B4101,""auto"",""en"")"),"Provides a game simulation management method and management device. According to the gaming simulation management method of the present invention involved in multiple teams operated by the user and the artificial intelligence operation of the game, at lea"&amp;"st one kind of game online sports game is performed according to the odds determination method and the championship method. The server. Select the input of the simulation items. The analog item is allowed to simulate the game results of the game that simu"&amp;"lates the user rather than the user instead of the user instead of the user's operation. The user operation team and multiple artificial intelligence operation teams play in accordance with the scheduled competition mode; provide the user terminal with an"&amp;"alog game results.")</f>
        <v>Provides a game simulation management method and management device. According to the gaming simulation management method of the present invention involved in multiple teams operated by the user and the artificial intelligence operation of the game, at least one kind of game online sports game is performed according to the odds determination method and the championship method. The server. Select the input of the simulation items. The analog item is allowed to simulate the game results of the game that simulates the user rather than the user instead of the user instead of the user's operation. The user operation team and multiple artificial intelligence operation teams play in accordance with the scheduled competition mode; provide the user terminal with analog game results.</v>
      </c>
      <c r="D4101" s="6" t="s">
        <v>11436</v>
      </c>
      <c r="E4101" s="4" t="str">
        <f ca="1">IFERROR(__xludf.DUMMYFUNCTION("GOOGLETRANSLATE(D4101,""auto"",""en"")"),"Game simulation management method and management device")</f>
        <v>Game simulation management method and management device</v>
      </c>
    </row>
    <row r="4102" spans="1:5" ht="15" x14ac:dyDescent="0.25">
      <c r="A4102" s="5" t="s">
        <v>11437</v>
      </c>
      <c r="B4102" s="6" t="s">
        <v>11438</v>
      </c>
      <c r="C4102" s="3" t="str">
        <f ca="1">IFERROR(__xludf.DUMMYFUNCTION("GOOGLETRANSLATE(B4102,""auto"",""en"")"),"It provides a new multiplayer game mode for online sports games and provides a technology that improves user usage. A method for the national competition mode provided by the embodiment of the present invention. Among them, the server that provides online"&amp;" sports games includes the actual sports competition of the corresponding competition in the recent national competition, and a game belongs to every. The user of at least one of the predetermined groups and one of the at least one of the national teams a"&amp;"nd the other national team of the same group of the same group of national teams use the selected national team to provide competitive games. For users, this is a mode; a menu that can enter the request to change the request from the user terminal. Among "&amp;"them, when receiving the selection of the menu to change the menu, From the first playback mode to the second game mode, it provides the competition mode of the championship game. The number of scheduled servers between teams. To determine the results of "&amp;"the second game mode, the user who won the Championship final provides a predetermined compensation benefit that can be used in the game.")</f>
        <v>It provides a new multiplayer game mode for online sports games and provides a technology that improves user usage. A method for the national competition mode provided by the embodiment of the present invention. Among them, the server that provides online sports games includes the actual sports competition of the corresponding competition in the recent national competition, and a game belongs to every. The user of at least one of the predetermined groups and one of the at least one of the national teams and the other national team of the same group of the same group of national teams use the selected national team to provide competitive games. For users, this is a mode; a menu that can enter the request to change the request from the user terminal. Among them, when receiving the selection of the menu to change the menu, From the first playback mode to the second game mode, it provides the competition mode of the championship game. The number of scheduled servers between teams. To determine the results of the second game mode, the user who won the Championship final provides a predetermined compensation benefit that can be used in the game.</v>
      </c>
      <c r="D4102" s="6" t="s">
        <v>11439</v>
      </c>
      <c r="E4102" s="4" t="str">
        <f ca="1">IFERROR(__xludf.DUMMYFUNCTION("GOOGLETRANSLATE(D4102,""auto"",""en"")"),"A method and server of online sports competitions to provide national competition models")</f>
        <v>A method and server of online sports competitions to provide national competition models</v>
      </c>
    </row>
    <row r="4103" spans="1:5" ht="15" x14ac:dyDescent="0.25">
      <c r="A4103" s="5" t="s">
        <v>11440</v>
      </c>
      <c r="B4103" s="6" t="s">
        <v>11441</v>
      </c>
      <c r="C4103" s="3" t="str">
        <f ca="1">IFERROR(__xludf.DUMMYFUNCTION("GOOGLETRANSLATE(B4103,""auto"",""en"")"),"A way of disclosure, involving the user's individual portable training equipment to receive GPS data and instruct users' heart rate related data during the exercise during the off -road section of electronic maps. Use the data indicating the health overvi"&amp;"ew of the user to process the location and heart rate data of each user through this paragraph. The obtained data is used to determine the biting cost associated with the paragraph, and indicates the difficulty of traversing the paragraph. Cost data is ge"&amp;"nerated by neural networks. The final cost data of different segments in the segmented network is used to generate route suggestions for users based on the required exercise strength and fitness level.")</f>
        <v>A way of disclosure, involving the user's individual portable training equipment to receive GPS data and instruct users' heart rate related data during the exercise during the off -road section of electronic maps. Use the data indicating the health overview of the user to process the location and heart rate data of each user through this paragraph. The obtained data is used to determine the biting cost associated with the paragraph, and indicates the difficulty of traversing the paragraph. Cost data is generated by neural networks. The final cost data of different segments in the segmented network is used to generate route suggestions for users based on the required exercise strength and fitness level.</v>
      </c>
      <c r="D4103" s="6" t="s">
        <v>11442</v>
      </c>
      <c r="E4103" s="4" t="str">
        <f ca="1">IFERROR(__xludf.DUMMYFUNCTION("GOOGLETRANSLATE(D4103,""auto"",""en"")"),"Methods and devices used to create cost data used to generate routes that span electronic maps")</f>
        <v>Methods and devices used to create cost data used to generate routes that span electronic maps</v>
      </c>
    </row>
    <row r="4104" spans="1:5" ht="15" x14ac:dyDescent="0.25">
      <c r="A4104" s="5" t="s">
        <v>11443</v>
      </c>
      <c r="B4104" s="6" t="s">
        <v>11444</v>
      </c>
      <c r="C4104" s="3" t="str">
        <f ca="1">IFERROR(__xludf.DUMMYFUNCTION("GOOGLETRANSLATE(B4104,""auto"",""en"")"),"A way of disclosure, involving the user's individual portable training equipment to receive GPS data and instruct users' heart rate related data during the exercise during the off -road section of electronic maps. Use the data indicating the health overvi"&amp;"ew of the user to process the location and heart rate data of each user through this paragraph. The obtained data is used to determine the cost -associated cost of the paragraph and indicate the difficulty of the traversal period. Cost data is generated b"&amp;"y neural networks. The final cost data of different segments in the segmented network is used to generate route suggestions for users based on the required exercise strength and fitness level.")</f>
        <v>A way of disclosure, involving the user's individual portable training equipment to receive GPS data and instruct users' heart rate related data during the exercise during the off -road section of electronic maps. Use the data indicating the health overview of the user to process the location and heart rate data of each user through this paragraph. The obtained data is used to determine the cost -associated cost of the paragraph and indicate the difficulty of the traversal period. Cost data is generated by neural networks. The final cost data of different segments in the segmented network is used to generate route suggestions for users based on the required exercise strength and fitness level.</v>
      </c>
      <c r="D4104" s="6" t="s">
        <v>11445</v>
      </c>
      <c r="E4104" s="4" t="str">
        <f ca="1">IFERROR(__xludf.DUMMYFUNCTION("GOOGLETRANSLATE(D4104,""auto"",""en"")"),"A method and device for creating cost data, for generating a route through electronic maps")</f>
        <v>A method and device for creating cost data, for generating a route through electronic maps</v>
      </c>
    </row>
    <row r="4105" spans="1:5" ht="15" x14ac:dyDescent="0.25">
      <c r="A4105" s="5" t="s">
        <v>11446</v>
      </c>
      <c r="B4105" s="6" t="s">
        <v>11447</v>
      </c>
      <c r="C4105" s="3" t="str">
        <f ca="1">IFERROR(__xludf.DUMMYFUNCTION("GOOGLETRANSLATE(B4105,""auto"",""en"")"),"A method is made to receive the relevant data of the heart rate of the CPS data from the user's personal portable training device and instructing the user when traveling through the cross -country section of the electronic map during travel. The location "&amp;"data and heart rate data of each user are processed to use the data of the user's health file. The obtained data is used to determine the standardized cost associated with this section, and the cost indicates the difficulty of passing through the paragrap"&amp;"h. Cost data is generated by neural networks. The cost data of different segments in the segmented network is used to generate route suggestions for users based on the expected exercise intensity and fitness level.")</f>
        <v>A method is made to receive the relevant data of the heart rate of the CPS data from the user's personal portable training device and instructing the user when traveling through the cross -country section of the electronic map during travel. The location data and heart rate data of each user are processed to use the data of the user's health file. The obtained data is used to determine the standardized cost associated with this section, and the cost indicates the difficulty of passing through the paragraph. Cost data is generated by neural networks. The cost data of different segments in the segmented network is used to generate route suggestions for users based on the expected exercise intensity and fitness level.</v>
      </c>
      <c r="D4105" s="6" t="s">
        <v>11448</v>
      </c>
      <c r="E4105" s="4" t="str">
        <f ca="1">IFERROR(__xludf.DUMMYFUNCTION("GOOGLETRANSLATE(D4105,""auto"",""en"")"),"Methods and devices for generating cost data for generating routes on electronic maps")</f>
        <v>Methods and devices for generating cost data for generating routes on electronic maps</v>
      </c>
    </row>
    <row r="4106" spans="1:5" ht="15" x14ac:dyDescent="0.25">
      <c r="A4106" s="5" t="s">
        <v>11449</v>
      </c>
      <c r="B4106" s="6" t="s">
        <v>11444</v>
      </c>
      <c r="C4106" s="3" t="str">
        <f ca="1">IFERROR(__xludf.DUMMYFUNCTION("GOOGLETRANSLATE(B4106,""auto"",""en"")"),"A way of disclosure, involving the user's individual portable training equipment to receive GPS data and instruct users' heart rate related data during the exercise during the off -road section of electronic maps. Use the data indicating the health overvi"&amp;"ew of the user to process the location and heart rate data of each user through this paragraph. The obtained data is used to determine the cost -associated cost of the paragraph and indicate the difficulty of the traversal period. Cost data is generated b"&amp;"y neural networks. The final cost data of different segments in the segmented network is used to generate route suggestions for users based on the required exercise strength and fitness level.")</f>
        <v>A way of disclosure, involving the user's individual portable training equipment to receive GPS data and instruct users' heart rate related data during the exercise during the off -road section of electronic maps. Use the data indicating the health overview of the user to process the location and heart rate data of each user through this paragraph. The obtained data is used to determine the cost -associated cost of the paragraph and indicate the difficulty of the traversal period. Cost data is generated by neural networks. The final cost data of different segments in the segmented network is used to generate route suggestions for users based on the required exercise strength and fitness level.</v>
      </c>
      <c r="D4106" s="6" t="s">
        <v>11450</v>
      </c>
      <c r="E4106" s="4" t="str">
        <f ca="1">IFERROR(__xludf.DUMMYFUNCTION("GOOGLETRANSLATE(D4106,""auto"",""en"")"),"A method and device for creating cost data, which is used to generate cross -electronic maps")</f>
        <v>A method and device for creating cost data, which is used to generate cross -electronic maps</v>
      </c>
    </row>
    <row r="4107" spans="1:5" ht="15" x14ac:dyDescent="0.25">
      <c r="A4107" s="5" t="s">
        <v>11451</v>
      </c>
      <c r="B4107" s="6" t="s">
        <v>11452</v>
      </c>
      <c r="C4107" s="3" t="str">
        <f ca="1">IFERROR(__xludf.DUMMYFUNCTION("GOOGLETRANSLATE(B4107,""auto"",""en"")"),"A way is made to receive GPS data from the user's portable personal training equipment when driving an off -road section of the electronic map, and the relevant data of the user's center rate at the journey. Use data that indicates the fitness overview of"&amp;" the user to process the location and heart rate data of each user marching in this paragraph. The obtained data is used to determine the biting cost associated with the paragraph, and its instructions drive the difficulty of this paragraph. Cost data is "&amp;"generated by neural networks. The final cost data of different segments in the segmented network is used to generate route suggestions for users based on the required exercise strength and fitness level.")</f>
        <v>A way is made to receive GPS data from the user's portable personal training equipment when driving an off -road section of the electronic map, and the relevant data of the user's center rate at the journey. Use data that indicates the fitness overview of the user to process the location and heart rate data of each user marching in this paragraph. The obtained data is used to determine the biting cost associated with the paragraph, and its instructions drive the difficulty of this paragraph. Cost data is generated by neural networks. The final cost data of different segments in the segmented network is used to generate route suggestions for users based on the required exercise strength and fitness level.</v>
      </c>
      <c r="D4107" s="6" t="s">
        <v>11453</v>
      </c>
      <c r="E4107" s="4" t="str">
        <f ca="1">IFERROR(__xludf.DUMMYFUNCTION("GOOGLETRANSLATE(D4107,""auto"",""en"")"),"The cost data generation method and device for generating routes on electronic maps")</f>
        <v>The cost data generation method and device for generating routes on electronic maps</v>
      </c>
    </row>
    <row r="4108" spans="1:5" ht="15" x14ac:dyDescent="0.25">
      <c r="A4108" s="5" t="s">
        <v>11454</v>
      </c>
      <c r="B4108" s="6" t="s">
        <v>11444</v>
      </c>
      <c r="C4108" s="3" t="str">
        <f ca="1">IFERROR(__xludf.DUMMYFUNCTION("GOOGLETRANSLATE(B4108,""auto"",""en"")"),"A way of disclosure, involving the user's individual portable training equipment to receive GPS data and instruct users' heart rate related data during the exercise during the off -road section of electronic maps. Use the data indicating the health overvi"&amp;"ew of the user to process the location and heart rate data of each user through this paragraph. The obtained data is used to determine the cost -associated cost of the paragraph and indicate the difficulty of the traversal period. Cost data is generated b"&amp;"y neural networks. The final cost data of different segments in the segmented network is used to generate route suggestions for users based on the required exercise strength and fitness level.")</f>
        <v>A way of disclosure, involving the user's individual portable training equipment to receive GPS data and instruct users' heart rate related data during the exercise during the off -road section of electronic maps. Use the data indicating the health overview of the user to process the location and heart rate data of each user through this paragraph. The obtained data is used to determine the cost -associated cost of the paragraph and indicate the difficulty of the traversal period. Cost data is generated by neural networks. The final cost data of different segments in the segmented network is used to generate route suggestions for users based on the required exercise strength and fitness level.</v>
      </c>
      <c r="D4108" s="6" t="s">
        <v>11455</v>
      </c>
      <c r="E4108" s="4" t="str">
        <f ca="1">IFERROR(__xludf.DUMMYFUNCTION("GOOGLETRANSLATE(D4108,""auto"",""en"")"),"The operation and maintenance of the route on the electronic card")</f>
        <v>The operation and maintenance of the route on the electronic card</v>
      </c>
    </row>
    <row r="4109" spans="1:5" ht="15" x14ac:dyDescent="0.25">
      <c r="A4109" s="5" t="s">
        <v>11456</v>
      </c>
      <c r="B4109" s="6" t="s">
        <v>11457</v>
      </c>
      <c r="C4109" s="3" t="str">
        <f ca="1">IFERROR(__xludf.DUMMYFUNCTION("GOOGLETRANSLATE(B4109,""auto"",""en"")"),"Show the curling of the sports trajectory. The curling cannot predict and display the sports trajectory during exercise, and can only judge with the experience of the athletes. In this way, the training situation cannot be recorded and summarized, and the"&amp;" experience cannot be summarized; the training effect is improved. A curling that displays the sports trajectory includes: curling (1), the bottom of the curved body is equipped with a motion trajectory sensor (2), and the motion trajectory sensor is conn"&amp;"ected to the image recognition device (3). The image recognition device is connected to the memory (4), and the bottom cap connected to the bottom cap (5) at the bottom of the curling body. The bottom of the curling body is connected to the pot blade (8)."&amp;" This utility model is used for curling scientific research.")</f>
        <v>Show the curling of the sports trajectory. The curling cannot predict and display the sports trajectory during exercise, and can only judge with the experience of the athletes. In this way, the training situation cannot be recorded and summarized, and the experience cannot be summarized; the training effect is improved. A curling that displays the sports trajectory includes: curling (1), the bottom of the curved body is equipped with a motion trajectory sensor (2), and the motion trajectory sensor is connected to the image recognition device (3). The image recognition device is connected to the memory (4), and the bottom cap connected to the bottom cap (5) at the bottom of the curling body. The bottom of the curling body is connected to the pot blade (8). This utility model is used for curling scientific research.</v>
      </c>
      <c r="D4109" s="6" t="s">
        <v>11458</v>
      </c>
      <c r="E4109" s="4" t="str">
        <f ca="1">IFERROR(__xludf.DUMMYFUNCTION("GOOGLETRANSLATE(D4109,""auto"",""en"")"),"Show the sports trajectory of the trajectory")</f>
        <v>Show the sports trajectory of the trajectory</v>
      </c>
    </row>
    <row r="4110" spans="1:5" ht="15" x14ac:dyDescent="0.25">
      <c r="A4110" s="5" t="s">
        <v>11459</v>
      </c>
      <c r="B4110" s="6" t="s">
        <v>11460</v>
      </c>
      <c r="C4110" s="3" t="str">
        <f ca="1">IFERROR(__xludf.DUMMYFUNCTION("GOOGLETRANSLATE(B4110,""auto"",""en"")"),"A working space fitness equipment, including standard working space, such as computer desks or compartments, multiple physical activity equipment arranged on the working space or around the working space, and multiple interactive devices for computer oper"&amp;"ations, including keyboards, pointers and pointers and Voice recognition elements, such as without interrupting other work -related activities, promote physical activity to obtain fitness and health benefits.")</f>
        <v>A working space fitness equipment, including standard working space, such as computer desks or compartments, multiple physical activity equipment arranged on the working space or around the working space, and multiple interactive devices for computer operations, including keyboards, pointers and pointers and Voice recognition elements, such as without interrupting other work -related activities, promote physical activity to obtain fitness and health benefits.</v>
      </c>
      <c r="D4110" s="6" t="s">
        <v>11461</v>
      </c>
      <c r="E4110" s="4" t="str">
        <f ca="1">IFERROR(__xludf.DUMMYFUNCTION("GOOGLETRANSLATE(D4110,""auto"",""en"")"),"Methods and devices for work space ergonomics and fitness")</f>
        <v>Methods and devices for work space ergonomics and fitness</v>
      </c>
    </row>
    <row r="4111" spans="1:5" ht="15" x14ac:dyDescent="0.25">
      <c r="A4111" s="5" t="s">
        <v>11462</v>
      </c>
      <c r="B4111" s="6" t="s">
        <v>11463</v>
      </c>
      <c r="C4111" s="3" t="str">
        <f ca="1">IFERROR(__xludf.DUMMYFUNCTION("GOOGLETRANSLATE(B4111,""auto"",""en"")"),"A remote monitoring end water test device with a straight shape, which is a series of connection structure; it is a fire protection field; the conventional end -end test water test device needs to be operated on the spot. The valve has no manual opening a"&amp;"nd closing function, the structure is huge, and the problem of remote network monitoring; the remote monitoring end -end test water test device is equipped with solenoid valve, pressure gauge, pressure switch, standard flow hole board; small volume, easy "&amp;"to conceal installation, long service life; During the test, the electrical or manual opening the solenoid valve, the system out of the system, the pressure controller movement feedback signal, the display system movement is normal; when reset, the soleno"&amp;"id valve is closed to terminate the water, the pressure controller is reset, the system reset is normal; , The management requirements of the Internet of Things online and the management of safe society; consisting of solenoid valves, pressure meters, sur"&amp;"face joints, pressure controllers, filters, standard flow holes, ball valves, live connectors, warning signs, and warning signs; , Hotels, stadiums, high -rise buildings, and exhibition halls have extensive application prospects.")</f>
        <v>A remote monitoring end water test device with a straight shape, which is a series of connection structure; it is a fire protection field; the conventional end -end test water test device needs to be operated on the spot. The valve has no manual opening and closing function, the structure is huge, and the problem of remote network monitoring; the remote monitoring end -end test water test device is equipped with solenoid valve, pressure gauge, pressure switch, standard flow hole board; small volume, easy to conceal installation, long service life; During the test, the electrical or manual opening the solenoid valve, the system out of the system, the pressure controller movement feedback signal, the display system movement is normal; when reset, the solenoid valve is closed to terminate the water, the pressure controller is reset, the system reset is normal; , The management requirements of the Internet of Things online and the management of safe society; consisting of solenoid valves, pressure meters, surface joints, pressure controllers, filters, standard flow holes, ball valves, live connectors, warning signs, and warning signs; , Hotels, stadiums, high -rise buildings, and exhibition halls have extensive application prospects.</v>
      </c>
      <c r="D4111" s="6" t="s">
        <v>11464</v>
      </c>
      <c r="E4111" s="4" t="str">
        <f ca="1">IFERROR(__xludf.DUMMYFUNCTION("GOOGLETRANSLATE(D4111,""auto"",""en"")"),"Remote monitoring end -end test water device")</f>
        <v>Remote monitoring end -end test water device</v>
      </c>
    </row>
    <row r="4112" spans="1:5" ht="15" x14ac:dyDescent="0.25">
      <c r="A4112" s="5" t="s">
        <v>11465</v>
      </c>
      <c r="B4112" s="6" t="s">
        <v>11466</v>
      </c>
      <c r="C4112" s="3" t="str">
        <f ca="1">IFERROR(__xludf.DUMMYFUNCTION("GOOGLETRANSLATE(B4112,""auto"",""en"")"),"The present invention disclosed a touch recognition device, including the signal processing unit and the touch signal detection device that is not at the same plane at least two identification layers. In the signal processing unit, the signal processing u"&amp;"nit processs the receiving detection data to obtain gesture data that represents the three -dimensional touch gesture. At the same time, the invention also provides corresponding identification methods and human -computer interaction systems including the"&amp;" invention touch recognition device. The invention uses a multi -layer touch detection device to identify the touch action of the three -dimensional space to identify the three -dimensional touch gesture, which can better reference to a three -dimensional"&amp;" display or three -dimensional operating system, such as the touch operation of 3D images.")</f>
        <v>The present invention disclosed a touch recognition device, including the signal processing unit and the touch signal detection device that is not at the same plane at least two identification layers. In the signal processing unit, the signal processing unit processs the receiving detection data to obtain gesture data that represents the three -dimensional touch gesture. At the same time, the invention also provides corresponding identification methods and human -computer interaction systems including the invention touch recognition device. The invention uses a multi -layer touch detection device to identify the touch action of the three -dimensional space to identify the three -dimensional touch gesture, which can better reference to a three -dimensional display or three -dimensional operating system, such as the touch operation of 3D images.</v>
      </c>
      <c r="D4112" s="6" t="s">
        <v>11285</v>
      </c>
      <c r="E4112" s="4" t="str">
        <f ca="1">IFERROR(__xludf.DUMMYFUNCTION("GOOGLETRANSLATE(D4112,""auto"",""en"")"),"A touch recognition device and recognition method")</f>
        <v>A touch recognition device and recognition method</v>
      </c>
    </row>
    <row r="4113" spans="1:5" ht="15" x14ac:dyDescent="0.25">
      <c r="A4113" s="5" t="s">
        <v>11467</v>
      </c>
      <c r="B4113" s="6" t="s">
        <v>11468</v>
      </c>
      <c r="C4113" s="3" t="str">
        <f ca="1">IFERROR(__xludf.DUMMYFUNCTION("GOOGLETRANSLATE(B4113,""auto"",""en"")"),"The present invention disclosed a sports fitness management system and implementation method based on IoT technology. The hardware equipment of the system includes server, client devices, such as PCs or tablets, network switches, data collection controlle"&amp;"rs, data sensor group composition The front -end equipment and personnel identity card. Client devices and data acquisition controllers are connected to the server through the network, and the data collection controller is fixedly installed on sports equi"&amp;"pment or in sports venues. The invention system solves the data records of fitness personnel in the traditional fitness field without coherent data, lack of historical data analysis and comparison; because it is a single movement, it causes the process to"&amp;" lack fun and boring; fitness coaches or fitness personnel, due to lack of lack Related data records cannot be compared before and after exercise, and cannot be taught according to their aptitude; the system also includes the information on the field to p"&amp;"ublish the screen to timely release the latest sports information. In addition, the present invention system can also make rapid judgments through timely data collection for physical abnormalities in the fitness motion to avoid personal damage caused by e"&amp;"xercise.")</f>
        <v>The present invention disclosed a sports fitness management system and implementation method based on IoT technology. The hardware equipment of the system includes server, client devices, such as PCs or tablets, network switches, data collection controllers, data sensor group composition The front -end equipment and personnel identity card. Client devices and data acquisition controllers are connected to the server through the network, and the data collection controller is fixedly installed on sports equipment or in sports venues. The invention system solves the data records of fitness personnel in the traditional fitness field without coherent data, lack of historical data analysis and comparison; because it is a single movement, it causes the process to lack fun and boring; fitness coaches or fitness personnel, due to lack of lack Related data records cannot be compared before and after exercise, and cannot be taught according to their aptitude; the system also includes the information on the field to publish the screen to timely release the latest sports information. In addition, the present invention system can also make rapid judgments through timely data collection for physical abnormalities in the fitness motion to avoid personal damage caused by exercise.</v>
      </c>
      <c r="D4113" s="6" t="s">
        <v>11469</v>
      </c>
      <c r="E4113" s="4" t="str">
        <f ca="1">IFERROR(__xludf.DUMMYFUNCTION("GOOGLETRANSLATE(D4113,""auto"",""en"")"),"A sports fitness management system and implementation method based on IoT technology")</f>
        <v>A sports fitness management system and implementation method based on IoT technology</v>
      </c>
    </row>
    <row r="4114" spans="1:5" ht="15" x14ac:dyDescent="0.25">
      <c r="A4114" s="5" t="s">
        <v>11470</v>
      </c>
      <c r="B4114" s="6" t="s">
        <v>11471</v>
      </c>
      <c r="C4114" s="3" t="str">
        <f ca="1">IFERROR(__xludf.DUMMYFUNCTION("GOOGLETRANSLATE(B4114,""auto"",""en"")"),"This utility model discloses a human sports monitor and application system based on IoT technology. The monitor includes shells and movements. The movement is installed in the shell. The shell also includes sensor modules, data collection controllers, wir"&amp;"eless data The communication module, the sensor module connects the data acquisition controller with the wireless data communication module, the data collection controller is connected to the power supply module; the utility model also includes a human sp"&amp;"orts monitoring application system based on the Internet of Things technology. You can via wireless network or GPRS in real time through wireless networks or GPRS Collect the data of the monitor and form an interaction with the monitor and the monitor to "&amp;"authorize or manager. This practical new design solves the problems such as fitness, participating in outdoor sports and medical care monitoring, and unable to record, storage of sports data, and problems such as accidents in outdoor activities, lost and "&amp;"personnel loss, and unable to contact the outside world.")</f>
        <v>This utility model discloses a human sports monitor and application system based on IoT technology. The monitor includes shells and movements. The movement is installed in the shell. The shell also includes sensor modules, data collection controllers, wireless data The communication module, the sensor module connects the data acquisition controller with the wireless data communication module, the data collection controller is connected to the power supply module; the utility model also includes a human sports monitoring application system based on the Internet of Things technology. You can via wireless network or GPRS in real time through wireless networks or GPRS Collect the data of the monitor and form an interaction with the monitor and the monitor to authorize or manager. This practical new design solves the problems such as fitness, participating in outdoor sports and medical care monitoring, and unable to record, storage of sports data, and problems such as accidents in outdoor activities, lost and personnel loss, and unable to contact the outside world.</v>
      </c>
      <c r="D4114" s="6" t="s">
        <v>11472</v>
      </c>
      <c r="E4114" s="4" t="str">
        <f ca="1">IFERROR(__xludf.DUMMYFUNCTION("GOOGLETRANSLATE(D4114,""auto"",""en"")"),"A human sports monitor and application system based on IoT technology")</f>
        <v>A human sports monitor and application system based on IoT technology</v>
      </c>
    </row>
    <row r="4115" spans="1:5" ht="15" x14ac:dyDescent="0.25">
      <c r="A4115" s="5" t="s">
        <v>11473</v>
      </c>
      <c r="B4115" s="6" t="s">
        <v>11474</v>
      </c>
      <c r="C4115" s="3" t="str">
        <f ca="1">IFERROR(__xludf.DUMMYFUNCTION("GOOGLETRANSLATE(B4115,""auto"",""en"")"),"This utility model discloses a sports and fitness management system based on the Internet of Things, including server, management client PC, network coordinator, data collection controller, and managing client PC to connect to the server through the Inter"&amp;"net, and connect data through network coordinator to Collect the controller, and the data collection controller is fixed on the sports device or inside the sports venue. This practical new design based on the Internet of Things -based sports and fitness m"&amp;"anagement system solves the traditional fitness field. Fitness personnel cannot recording, storing fitness data, and understanding historical data. Trial and other issues.")</f>
        <v>This utility model discloses a sports and fitness management system based on the Internet of Things, including server, management client PC, network coordinator, data collection controller, and managing client PC to connect to the server through the Internet, and connect data through network coordinator to Collect the controller, and the data collection controller is fixed on the sports device or inside the sports venue. This practical new design based on the Internet of Things -based sports and fitness management system solves the traditional fitness field. Fitness personnel cannot recording, storing fitness data, and understanding historical data. Trial and other issues.</v>
      </c>
      <c r="D4115" s="6" t="s">
        <v>11475</v>
      </c>
      <c r="E4115" s="4" t="str">
        <f ca="1">IFERROR(__xludf.DUMMYFUNCTION("GOOGLETRANSLATE(D4115,""auto"",""en"")"),"A sports fitness management system based on the Internet of Things")</f>
        <v>A sports fitness management system based on the Internet of Things</v>
      </c>
    </row>
    <row r="4116" spans="1:5" ht="15" x14ac:dyDescent="0.25">
      <c r="A4116" s="5" t="s">
        <v>11476</v>
      </c>
      <c r="B4116" s="6" t="s">
        <v>11477</v>
      </c>
      <c r="C4116" s="3" t="str">
        <f ca="1">IFERROR(__xludf.DUMMYFUNCTION("GOOGLETRANSLATE(B4116,""auto"",""en"")"),"This utility model opens a competition scoring system, including a processor, at least one scoring terminal; the processor includes memory, data processing module, human machine interface, and network interface; memory is connected to the scoring terminal"&amp;" through the network interface to store the scoring terminal The input data; the data processing module is connected to the memory to process the relevant data provided by the memory and return the processing result to the memory; the human -machine inter"&amp;"face is connected to the memory to provide the human -machine interaction function for the processor. This utility model provides a way for the informatization management of the competition.")</f>
        <v>This utility model opens a competition scoring system, including a processor, at least one scoring terminal; the processor includes memory, data processing module, human machine interface, and network interface; memory is connected to the scoring terminal through the network interface to store the scoring terminal The input data; the data processing module is connected to the memory to process the relevant data provided by the memory and return the processing result to the memory; the human -machine interface is connected to the memory to provide the human -machine interaction function for the processor. This utility model provides a way for the informatization management of the competition.</v>
      </c>
      <c r="D4116" s="6" t="s">
        <v>11478</v>
      </c>
      <c r="E4116" s="4" t="str">
        <f ca="1">IFERROR(__xludf.DUMMYFUNCTION("GOOGLETRANSLATE(D4116,""auto"",""en"")"),"Competition score system")</f>
        <v>Competition score system</v>
      </c>
    </row>
    <row r="4117" spans="1:5" ht="15" x14ac:dyDescent="0.25">
      <c r="A4117" s="5" t="s">
        <v>11479</v>
      </c>
      <c r="B4117" s="6" t="s">
        <v>11480</v>
      </c>
      <c r="C4117" s="3" t="str">
        <f ca="1">IFERROR(__xludf.DUMMYFUNCTION("GOOGLETRANSLATE(B4117,""auto"",""en"")"),"Provides a mobile object and program that can improve security and entertainment.
  The imaging unit for imaging surrounding the motor objects, a speaker that can perform orientation control, is used to determine whether the motor object is in a running"&amp;" mode judgment unit, and the imaging unit in the running mode. Control speaker output A based on the scheduled audio of the warning target based on the shooting image recognition of the shooting, and in the non -operating mode, control the speaker to outp"&amp;"ut the predetermined audio in an all -round way, and the speaker control unit is used for control.")</f>
        <v>Provides a mobile object and program that can improve security and entertainment.
  The imaging unit for imaging surrounding the motor objects, a speaker that can perform orientation control, is used to determine whether the motor object is in a running mode judgment unit, and the imaging unit in the running mode. Control speaker output A based on the scheduled audio of the warning target based on the shooting image recognition of the shooting, and in the non -operating mode, control the speaker to output the predetermined audio in an all -round way, and the speaker control unit is used for control.</v>
      </c>
      <c r="D4117" s="6" t="s">
        <v>11481</v>
      </c>
      <c r="E4117" s="4" t="str">
        <f ca="1">IFERROR(__xludf.DUMMYFUNCTION("GOOGLETRANSLATE(D4117,""auto"",""en"")"),"Movement and program")</f>
        <v>Movement and program</v>
      </c>
    </row>
    <row r="4118" spans="1:5" ht="15" x14ac:dyDescent="0.25">
      <c r="A4118" s="5" t="s">
        <v>11482</v>
      </c>
      <c r="B4118" s="6" t="s">
        <v>11483</v>
      </c>
      <c r="C4118" s="3" t="str">
        <f ca="1">IFERROR(__xludf.DUMMYFUNCTION("GOOGLETRANSLATE(B4118,""auto"",""en"")"),"The system uses a processor and artificial intelligence device to analyze golf swing, predict the parameters of the swing, including the joint force generated by the player's body. Deep camera and measuring platform systems are used to measure the input o"&amp;"f processors and artificial intelligence devices. Artificial intelligence devices are trained through motion capture, deep camera and measuring force platforms from large golf databases. This system has an instant analysis. Players can use it without the "&amp;"help of coaches or other parties.")</f>
        <v>The system uses a processor and artificial intelligence device to analyze golf swing, predict the parameters of the swing, including the joint force generated by the player's body. Deep camera and measuring platform systems are used to measure the input of processors and artificial intelligence devices. Artificial intelligence devices are trained through motion capture, deep camera and measuring force platforms from large golf databases. This system has an instant analysis. Players can use it without the help of coaches or other parties.</v>
      </c>
      <c r="D4118" s="6" t="s">
        <v>11484</v>
      </c>
      <c r="E4118" s="4" t="str">
        <f ca="1">IFERROR(__xludf.DUMMYFUNCTION("GOOGLETRANSLATE(D4118,""auto"",""en"")"),"Analyze the devices and methods of golf swing")</f>
        <v>Analyze the devices and methods of golf swing</v>
      </c>
    </row>
    <row r="4119" spans="1:5" ht="15" x14ac:dyDescent="0.25">
      <c r="A4119" s="5" t="s">
        <v>11485</v>
      </c>
      <c r="B4119" s="6" t="s">
        <v>11411</v>
      </c>
      <c r="C4119" s="3" t="str">
        <f ca="1">IFERROR(__xludf.DUMMYFUNCTION("GOOGLETRANSLATE(B4119,""auto"",""en"")"),"It describes a method and equipment that is used to detect athletes and separate the jumping from other athletes. The acceleration meter data generated by the athlete's movement is accepted in the computing device. The computing device is used to apply th"&amp;"e fuzzy logic function to multiple parameters associated with the acceleration meter data to detect the mode of associated with jumping. Based on mode -based detection, the subset of data is recognized as a jump. Use the OK to convey the data in the compu"&amp;"ting device, so as to separate jumping from other athletes.")</f>
        <v>It describes a method and equipment that is used to detect athletes and separate the jumping from other athletes. The acceleration meter data generated by the athlete's movement is accepted in the computing device. The computing device is used to apply the fuzzy logic function to multiple parameters associated with the acceleration meter data to detect the mode of associated with jumping. Based on mode -based detection, the subset of data is recognized as a jump. Use the OK to convey the data in the computing device, so as to separate jumping from other athletes.</v>
      </c>
      <c r="D4119" s="6" t="s">
        <v>11412</v>
      </c>
      <c r="E4119" s="4" t="str">
        <f ca="1">IFERROR(__xludf.DUMMYFUNCTION("GOOGLETRANSLATE(D4119,""auto"",""en"")"),"Use fuzzy logic to determine the method and device of athlete jumping")</f>
        <v>Use fuzzy logic to determine the method and device of athlete jumping</v>
      </c>
    </row>
    <row r="4120" spans="1:5" ht="15" x14ac:dyDescent="0.25">
      <c r="A4120" s="5" t="s">
        <v>11486</v>
      </c>
      <c r="B4120" s="6" t="s">
        <v>11487</v>
      </c>
      <c r="C4120" s="3" t="str">
        <f ca="1">IFERROR(__xludf.DUMMYFUNCTION("GOOGLETRANSLATE(B4120,""auto"",""en"")"),"The present invention is a method and system that automatically switches online mobile games to the online mobile game that automatically switches to the game artificial intelligence when the communication failure occurs during the game. The fun of the ga"&amp;"me is that the method of the present invention includes: the smart terminal executes the online mobile game application according to the user's operation; the input of the smart terminal or the game server receives the game mode; if the game mode is the o"&amp;"nline battle mode, the game server is providing online to provide online The mobile game fails to listen to communication; if the communication fails, the game server is waiting for the scheduled time and processing the return; if the recovery fails, the "&amp;"game server obtains the game information of the user's failed side users; Acting users' games. The game information obtained; and the end of the game at the end of the game without a communication failure and the game artificial intelligence module, so th"&amp;"at when a communication failure occurs, online mobile games can be completed, and the game artificial intelligence module can be hidden communication failure. other side.")</f>
        <v>The present invention is a method and system that automatically switches online mobile games to the online mobile game that automatically switches to the game artificial intelligence when the communication failure occurs during the game. The fun of the game is that the method of the present invention includes: the smart terminal executes the online mobile game application according to the user's operation; the input of the smart terminal or the game server receives the game mode; if the game mode is the online battle mode, the game server is providing online to provide online The mobile game fails to listen to communication; if the communication fails, the game server is waiting for the scheduled time and processing the return; if the recovery fails, the game server obtains the game information of the user's failed side users; Acting users' games. The game information obtained; and the end of the game at the end of the game without a communication failure and the game artificial intelligence module, so that when a communication failure occurs, online mobile games can be completed, and the game artificial intelligence module can be hidden communication failure. other side.</v>
      </c>
      <c r="D4120" s="6" t="s">
        <v>11488</v>
      </c>
      <c r="E4120" s="4" t="str">
        <f ca="1">IFERROR(__xludf.DUMMYFUNCTION("GOOGLETRANSLATE(D4120,""auto"",""en"")"),"How to switch the network mobile game communication failure to the game artificial intelligence")</f>
        <v>How to switch the network mobile game communication failure to the game artificial intelligence</v>
      </c>
    </row>
    <row r="4121" spans="1:5" ht="15" x14ac:dyDescent="0.25">
      <c r="A4121" s="5" t="s">
        <v>11489</v>
      </c>
      <c r="B4121" s="6" t="s">
        <v>11490</v>
      </c>
      <c r="C4121" s="3" t="str">
        <f ca="1">IFERROR(__xludf.DUMMYFUNCTION("GOOGLETRANSLATE(B4121,""auto"",""en"")"),"A instrument (10 (12) on the player's arm. For example, it includes a voice recognition device with a microphone, especially the motion sensor or other sensors. The sensor can record and then evaluate the data related to the player's game related to tenni"&amp;"s games. Essence")</f>
        <v>A instrument (10 (12) on the player's arm. For example, it includes a voice recognition device with a microphone, especially the motion sensor or other sensors. The sensor can record and then evaluate the data related to the player's game related to tennis games. Essence</v>
      </c>
      <c r="D4121" s="6" t="s">
        <v>11491</v>
      </c>
      <c r="E4121" s="4" t="str">
        <f ca="1">IFERROR(__xludf.DUMMYFUNCTION("GOOGLETRANSLATE(D4121,""auto"",""en"")"),"Tennis game data collection device")</f>
        <v>Tennis game data collection device</v>
      </c>
    </row>
    <row r="4122" spans="1:5" ht="15" x14ac:dyDescent="0.25">
      <c r="A4122" s="5" t="s">
        <v>11492</v>
      </c>
      <c r="B4122" s="6" t="s">
        <v>11493</v>
      </c>
      <c r="C4122" s="3" t="str">
        <f ca="1">IFERROR(__xludf.DUMMYFUNCTION("GOOGLETRANSLATE(B4122,""auto"",""en"")"),"A device for capturing the data of tennis competition (10) preferably the form that can be worn on the athlete's body, especially the athlete's arm (12). For example, it includes voice recognition devices with microphones, especially motion sensors or oth"&amp;"er sensors. The sensor can record and subsequently evaluate data related to the player game.")</f>
        <v>A device for capturing the data of tennis competition (10) preferably the form that can be worn on the athlete's body, especially the athlete's arm (12). For example, it includes voice recognition devices with microphones, especially motion sensors or other sensors. The sensor can record and subsequently evaluate data related to the player game.</v>
      </c>
      <c r="D4122" s="6" t="s">
        <v>11494</v>
      </c>
      <c r="E4122" s="4" t="str">
        <f ca="1">IFERROR(__xludf.DUMMYFUNCTION("GOOGLETRANSLATE(D4122,""auto"",""en"")"),"Device captured tennis game data")</f>
        <v>Device captured tennis game data</v>
      </c>
    </row>
    <row r="4123" spans="1:5" ht="15" x14ac:dyDescent="0.25">
      <c r="A4123" s="5" t="s">
        <v>11495</v>
      </c>
      <c r="B4123" s="6" t="s">
        <v>11493</v>
      </c>
      <c r="C4123" s="3" t="str">
        <f ca="1">IFERROR(__xludf.DUMMYFUNCTION("GOOGLETRANSLATE(B4123,""auto"",""en"")"),"A device for capturing the data of tennis competition (10) preferably the form that can be worn on the athlete's body, especially the athlete's arm (12). For example, it includes voice recognition devices with microphones, especially motion sensors or oth"&amp;"er sensors. The sensor can record and subsequently evaluate data related to the player game.")</f>
        <v>A device for capturing the data of tennis competition (10) preferably the form that can be worn on the athlete's body, especially the athlete's arm (12). For example, it includes voice recognition devices with microphones, especially motion sensors or other sensors. The sensor can record and subsequently evaluate data related to the player game.</v>
      </c>
      <c r="D4123" s="6" t="s">
        <v>11491</v>
      </c>
      <c r="E4123" s="4" t="str">
        <f ca="1">IFERROR(__xludf.DUMMYFUNCTION("GOOGLETRANSLATE(D4123,""auto"",""en"")"),"Tennis game data collection device")</f>
        <v>Tennis game data collection device</v>
      </c>
    </row>
    <row r="4124" spans="1:5" ht="15" x14ac:dyDescent="0.25">
      <c r="A4124" s="5" t="s">
        <v>11496</v>
      </c>
      <c r="B4124" s="6" t="s">
        <v>11497</v>
      </c>
      <c r="C4124" s="3" t="str">
        <f ca="1">IFERROR(__xludf.DUMMYFUNCTION("GOOGLETRANSLATE(B4124,""auto"",""en"")"),"This openness involves equipment and data processing methods for capturing tennis game data. Equipment for capturing tennis game data (10) preferably the following forms of equipment. The equipment can be worn by the player's body, especially wearing arm "&amp;"bands on the players' arm (12). In the example, the device includes a microphone voice recognition device and a special sensor or other sensors. The sensor can record and evaluate the data related to tennis games from the player.")</f>
        <v>This openness involves equipment and data processing methods for capturing tennis game data. Equipment for capturing tennis game data (10) preferably the following forms of equipment. The equipment can be worn by the player's body, especially wearing arm bands on the players' arm (12). In the example, the device includes a microphone voice recognition device and a special sensor or other sensors. The sensor can record and evaluate the data related to tennis games from the player.</v>
      </c>
      <c r="D4124" s="6" t="s">
        <v>11498</v>
      </c>
      <c r="E4124" s="4" t="str">
        <f ca="1">IFERROR(__xludf.DUMMYFUNCTION("GOOGLETRANSLATE(D4124,""auto"",""en"")"),"Equipment and data processing methods used to capture tennis game data")</f>
        <v>Equipment and data processing methods used to capture tennis game data</v>
      </c>
    </row>
    <row r="4125" spans="1:5" ht="15" x14ac:dyDescent="0.25">
      <c r="A4125" s="5" t="s">
        <v>11499</v>
      </c>
      <c r="B4125" s="6" t="s">
        <v>11500</v>
      </c>
      <c r="C4125" s="3" t="str">
        <f ca="1">IFERROR(__xludf.DUMMYFUNCTION("GOOGLETRANSLATE(B4125,""auto"",""en"")"),"Artificial intelligence fully automatically repair electric vehicle controller and its voice speaker device, including the category signal output wiring end connected to the single -chip microcomputer circuit in the controller circuit, the voice output wi"&amp;"ring terminal connected to the controller circuit, and the voice connected to the category signal output wiring end electrical connection The speaker device has no one -click repair signal input terminal. When an electric vehicle fails, the single -chip m"&amp;"icrocomputer circuit automatically detects the type of failure according to the changes of the relevant port abnormal electrical signal, and automatically completes and controls the drive circuit to output the low -speed driving power supply when the rota"&amp;"ting speed is controlled. At the same time, the single -chip microcomputer circuit outputs the failure classification signal of the output faulty category to the classification signal output wiring, so that the voice speaker device is prompting the faulty"&amp;" category that has been temporarily repaired, which can drive at low speeds. The present invention is well used to apply artificial intelligence technology and automatically complete the failure repair work. It eliminates the trouble of car owners to stop"&amp;" parking, and must first learn and complete the specific operation method of one -click repair before driving at low speed.")</f>
        <v>Artificial intelligence fully automatically repair electric vehicle controller and its voice speaker device, including the category signal output wiring end connected to the single -chip microcomputer circuit in the controller circuit, the voice output wiring terminal connected to the controller circuit, and the voice connected to the category signal output wiring end electrical connection The speaker device has no one -click repair signal input terminal. When an electric vehicle fails, the single -chip microcomputer circuit automatically detects the type of failure according to the changes of the relevant port abnormal electrical signal, and automatically completes and controls the drive circuit to output the low -speed driving power supply when the rotating speed is controlled. At the same time, the single -chip microcomputer circuit outputs the failure classification signal of the output faulty category to the classification signal output wiring, so that the voice speaker device is prompting the faulty category that has been temporarily repaired, which can drive at low speeds. The present invention is well used to apply artificial intelligence technology and automatically complete the failure repair work. It eliminates the trouble of car owners to stop parking, and must first learn and complete the specific operation method of one -click repair before driving at low speed.</v>
      </c>
      <c r="D4125" s="6" t="s">
        <v>11501</v>
      </c>
      <c r="E4125" s="4" t="str">
        <f ca="1">IFERROR(__xludf.DUMMYFUNCTION("GOOGLETRANSLATE(D4125,""auto"",""en"")"),"Artificial intelligence fully automatically repair electric vehicle controller and its voice speaker device")</f>
        <v>Artificial intelligence fully automatically repair electric vehicle controller and its voice speaker device</v>
      </c>
    </row>
    <row r="4126" spans="1:5" ht="15" x14ac:dyDescent="0.25">
      <c r="A4126" s="5" t="s">
        <v>11502</v>
      </c>
      <c r="B4126" s="6" t="s">
        <v>11503</v>
      </c>
      <c r="C4126" s="3" t="str">
        <f ca="1">IFERROR(__xludf.DUMMYFUNCTION("GOOGLETRANSLATE(B4126,""auto"",""en"")"),"Artificial intelligence fully automatic repair electric bicycles, including electric bicycles and artificial intelligence fully automatic repair electric bicycle controllers and their voice speaker devices. In the circuit system of electric bicycles, arti"&amp;"ficial intelligence fully automatic repair electric vehicle controllers and them are installed. Voice speaker device. This utility model is well used to apply artificial intelligence technology and automatically complete the failure repair work, eliminati"&amp;"ng the one -click repair system electric bicycle fail to stop before parking. The owner must first learn the specific operation method of one -click repair before you can low speed The trouble of driving.")</f>
        <v>Artificial intelligence fully automatic repair electric bicycles, including electric bicycles and artificial intelligence fully automatic repair electric bicycle controllers and their voice speaker devices. In the circuit system of electric bicycles, artificial intelligence fully automatic repair electric vehicle controllers and them are installed. Voice speaker device. This utility model is well used to apply artificial intelligence technology and automatically complete the failure repair work, eliminating the one -click repair system electric bicycle fail to stop before parking. The owner must first learn the specific operation method of one -click repair before you can low speed The trouble of driving.</v>
      </c>
      <c r="D4126" s="6" t="s">
        <v>11504</v>
      </c>
      <c r="E4126" s="4" t="str">
        <f ca="1">IFERROR(__xludf.DUMMYFUNCTION("GOOGLETRANSLATE(D4126,""auto"",""en"")"),"Artificial intelligence fully automatic repair electric bicycle")</f>
        <v>Artificial intelligence fully automatic repair electric bicycle</v>
      </c>
    </row>
    <row r="4127" spans="1:5" ht="15" x14ac:dyDescent="0.25">
      <c r="A4127" s="5" t="s">
        <v>11505</v>
      </c>
      <c r="B4127" s="6" t="s">
        <v>11506</v>
      </c>
      <c r="C4127" s="3" t="str">
        <f ca="1">IFERROR(__xludf.DUMMYFUNCTION("GOOGLETRANSLATE(B4127,""auto"",""en"")"),"Artificial intelligence fully automatically repair electric bicycles. When faulty, its controller single -chip machine circuit automatically detects the type of failure according to the changes of the relevant port abnormal electrical signal. The driving "&amp;"circuit of the controller of the controller when the speed of the vehicle is output only at a low -speed driving power supply, and the electric bicycle can only drive at low speed. At the same time, the controller's single -chip microcomputer circuit outp"&amp;"uts the classification signal to the output of the category signal output wiring, so that the voice speaker device connected to its electrical connection, is the voice speaker or the anti -theft of the voice speaker function with the voice prompts that ha"&amp;"ve been temporarily repaired, which can drive at low speed. The present invention is well used to apply artificial intelligence technology and automatically complete the fault repair work automatically, eliminating the one -click repair system Electric bi"&amp;"cycle failure parking first parking first. The owner must first learn and complete the specific operation method of one -click repair before driving at low speeds to drive at low speeds. Trouble.")</f>
        <v>Artificial intelligence fully automatically repair electric bicycles. When faulty, its controller single -chip machine circuit automatically detects the type of failure according to the changes of the relevant port abnormal electrical signal. The driving circuit of the controller of the controller when the speed of the vehicle is output only at a low -speed driving power supply, and the electric bicycle can only drive at low speed. At the same time, the controller's single -chip microcomputer circuit outputs the classification signal to the output of the category signal output wiring, so that the voice speaker device connected to its electrical connection, is the voice speaker or the anti -theft of the voice speaker function with the voice prompts that have been temporarily repaired, which can drive at low speed. The present invention is well used to apply artificial intelligence technology and automatically complete the fault repair work automatically, eliminating the one -click repair system Electric bicycle failure parking first parking first. The owner must first learn and complete the specific operation method of one -click repair before driving at low speeds to drive at low speeds. Trouble.</v>
      </c>
      <c r="D4127" s="6" t="s">
        <v>11504</v>
      </c>
      <c r="E4127" s="4" t="str">
        <f ca="1">IFERROR(__xludf.DUMMYFUNCTION("GOOGLETRANSLATE(D4127,""auto"",""en"")"),"Artificial intelligence fully automatic repair electric bicycle")</f>
        <v>Artificial intelligence fully automatic repair electric bicycle</v>
      </c>
    </row>
    <row r="4128" spans="1:5" ht="15" x14ac:dyDescent="0.25">
      <c r="A4128" s="5" t="s">
        <v>11507</v>
      </c>
      <c r="B4128" s="6" t="s">
        <v>11508</v>
      </c>
      <c r="C4128" s="3" t="str">
        <f ca="1">IFERROR(__xludf.DUMMYFUNCTION("GOOGLETRANSLATE(B4128,""auto"",""en"")"),"One of the constraints used in the water environment includes multiple volumes. When the unauthorized swimmers approach the constraint device, these volumes must be launched from the underwater device. The central headquarters promoted data communication "&amp;"in the constraints and neural networks. The central headquarters has the ability to guide the restraint device (usually mines) to the target.")</f>
        <v>One of the constraints used in the water environment includes multiple volumes. When the unauthorized swimmers approach the constraint device, these volumes must be launched from the underwater device. The central headquarters promoted data communication in the constraints and neural networks. The central headquarters has the ability to guide the restraint device (usually mines) to the target.</v>
      </c>
      <c r="D4128" s="6" t="s">
        <v>11509</v>
      </c>
      <c r="E4128" s="4" t="str">
        <f ca="1">IFERROR(__xludf.DUMMYFUNCTION("GOOGLETRANSLATE(D4128,""auto"",""en"")"),"Water constraint device")</f>
        <v>Water constraint device</v>
      </c>
    </row>
    <row r="4129" spans="1:5" ht="15" x14ac:dyDescent="0.25">
      <c r="A4129" s="5" t="s">
        <v>11510</v>
      </c>
      <c r="B4129" s="6" t="s">
        <v>11511</v>
      </c>
      <c r="C4129" s="3" t="str">
        <f ca="1">IFERROR(__xludf.DUMMYFUNCTION("GOOGLETRANSLATE(B4129,""auto"",""en"")"),"A content delivery server device and interactive platform, which is used to deliver the content and control various interfaces related to venue, position boundary, public display and building. The invention involves a type of content delivery system of th"&amp;"e type of content and source content from multiple content sources. The present invention also involves the Internet of Things, WC3 standards, smartphones, geographical positioning, sensors, gaming, referenceable identifier devices (such as barcodes and Q"&amp;"R codes), smartphones, public displays and liaison to customer lists, loyalty to loyalty, loyalty Augmented reality program and large database or so -called ""big data"". Personalized content delivery can be used for any other departments or applications "&amp;"that can be delivered to any other departments or applications that can be delivered. Content delivery server devices include processing resources and communication interfaces, where the processing resources are configured to support interactive platforms"&amp;" to allow multiple users to participate by using interactive platforms to receive the content conveyed from multiple users when using it. Multiple operating rules, and are set to receive multiple participants related to multiple users, respectively. Throu"&amp;"gh interaction with the interactive platform, the processing resources are arranged to obtain participants related to multiple identification participants, respectively. Multiple simplified information, and processing resources are arranged to use multipl"&amp;"e participants to identify information or multiple simplified information to generate multiple identified brief -based characteristic participants' pants.")</f>
        <v>A content delivery server device and interactive platform, which is used to deliver the content and control various interfaces related to venue, position boundary, public display and building. The invention involves a type of content delivery system of the type of content and source content from multiple content sources. The present invention also involves the Internet of Things, WC3 standards, smartphones, geographical positioning, sensors, gaming, referenceable identifier devices (such as barcodes and QR codes), smartphones, public displays and liaison to customer lists, loyalty to loyalty, loyalty Augmented reality program and large database or so -called "big data". Personalized content delivery can be used for any other departments or applications that can be delivered to any other departments or applications that can be delivered. Content delivery server devices include processing resources and communication interfaces, where the processing resources are configured to support interactive platforms to allow multiple users to participate by using interactive platforms to receive the content conveyed from multiple users when using it. Multiple operating rules, and are set to receive multiple participants related to multiple users, respectively. Through interaction with the interactive platform, the processing resources are arranged to obtain participants related to multiple identification participants, respectively. Multiple simplified information, and processing resources are arranged to use multiple participants to identify information or multiple simplified information to generate multiple identified brief -based characteristic participants' pants.</v>
      </c>
      <c r="D4129" s="6" t="s">
        <v>11512</v>
      </c>
      <c r="E4129" s="4" t="str">
        <f ca="1">IFERROR(__xludf.DUMMYFUNCTION("GOOGLETRANSLATE(D4129,""auto"",""en"")"),"Content distribution system")</f>
        <v>Content distribution system</v>
      </c>
    </row>
    <row r="4130" spans="1:5" ht="15" x14ac:dyDescent="0.25">
      <c r="A4130" s="5" t="s">
        <v>11513</v>
      </c>
      <c r="B4130" s="6" t="s">
        <v>11514</v>
      </c>
      <c r="C4130" s="3" t="str">
        <f ca="1">IFERROR(__xludf.DUMMYFUNCTION("GOOGLETRANSLATE(B4130,""auto"",""en"")"),"The invention involves a smart treadmill implementation method based on the Internet of Things technology. Smart treadmills are connected to the Internet by increasing wireless modules or gateways, and each smart treadmill has a unique address; before use"&amp;"rs use the treadmill to start exercise, first use the treadmill code and user ID through mobile phones or mobile tablet computers. Send to the cloud server, the server retrieves the detailed information of treadmills and users from the database, formulate"&amp;" personalized motion program, and return to the mobile phone or mobile tablet, mobile or mobile tablet screen display the treadmill simulation dial. Of course, the runner can also remove the traditional physical electronic dial as needed. Users issue moti"&amp;"on program instructions by simulating dials, instructions to send treadmills through the Internet network customs, running machine execution, and mobile phone or mobile tablet automatic after the motion. Save and upload the data of this movement. The clou"&amp;"d server makes an evaluation report based on the exercise data and feeds it to the user.")</f>
        <v>The invention involves a smart treadmill implementation method based on the Internet of Things technology. Smart treadmills are connected to the Internet by increasing wireless modules or gateways, and each smart treadmill has a unique address; before users use the treadmill to start exercise, first use the treadmill code and user ID through mobile phones or mobile tablet computers. Send to the cloud server, the server retrieves the detailed information of treadmills and users from the database, formulate personalized motion program, and return to the mobile phone or mobile tablet, mobile or mobile tablet screen display the treadmill simulation dial. Of course, the runner can also remove the traditional physical electronic dial as needed. Users issue motion program instructions by simulating dials, instructions to send treadmills through the Internet network customs, running machine execution, and mobile phone or mobile tablet automatic after the motion. Save and upload the data of this movement. The cloud server makes an evaluation report based on the exercise data and feeds it to the user.</v>
      </c>
      <c r="D4130" s="6" t="s">
        <v>11515</v>
      </c>
      <c r="E4130" s="4" t="str">
        <f ca="1">IFERROR(__xludf.DUMMYFUNCTION("GOOGLETRANSLATE(D4130,""auto"",""en"")"),"A method of implementing an intelligent treadmill based on IoT technology")</f>
        <v>A method of implementing an intelligent treadmill based on IoT technology</v>
      </c>
    </row>
    <row r="4131" spans="1:5" ht="15" x14ac:dyDescent="0.25">
      <c r="A4131" s="5" t="s">
        <v>11516</v>
      </c>
      <c r="B4131" s="6" t="s">
        <v>11517</v>
      </c>
      <c r="C4131" s="3" t="str">
        <f ca="1">IFERROR(__xludf.DUMMYFUNCTION("GOOGLETRANSLATE(B4131,""auto"",""en"")"),"A mobile robot with a voice input/output unit and a mobile robot used to drive a mobile mechanism that drives to the matrix. The voice recognition rate of the voice input/output unit is considered to calculate the gain. Provide mobile robots.
  Mobile i"&amp;"nstitutions used for running and walking and working institutions for work movements are connected to matrix to drive multiple force used to drive them, and control by multiplying the deviation between target values ​​and detection values ​​by gain. It ca"&amp;"lculates the value and provides it to the operator to control the operation of the mobile mechanism, identify the human voice entering from the microphone, generate a response, and operate the voice input/output unit to speak from the speaker. The control"&amp;" device for the mobile robot used to control, when the operation of only controlling the voice input/output unit, calculate the gain of the control value of at least one of the aggressor in multiple forces (S10, S10, S10, S10, S10, S12, S14).
  【Selecti"&amp;"on Figure】 Figure 6")</f>
        <v>A mobile robot with a voice input/output unit and a mobile robot used to drive a mobile mechanism that drives to the matrix. The voice recognition rate of the voice input/output unit is considered to calculate the gain. Provide mobile robots.
  Mobile institutions used for running and walking and working institutions for work movements are connected to matrix to drive multiple force used to drive them, and control by multiplying the deviation between target values ​​and detection values ​​by gain. It calculates the value and provides it to the operator to control the operation of the mobile mechanism, identify the human voice entering from the microphone, generate a response, and operate the voice input/output unit to speak from the speaker. The control device for the mobile robot used to control, when the operation of only controlling the voice input/output unit, calculate the gain of the control value of at least one of the aggressor in multiple forces (S10, S10, S10, S10, S10, S12, S14).
  【Selection Figure】 Figure 6</v>
      </c>
      <c r="D4131" s="6" t="s">
        <v>11518</v>
      </c>
      <c r="E4131" s="4" t="str">
        <f ca="1">IFERROR(__xludf.DUMMYFUNCTION("GOOGLETRANSLATE(D4131,""auto"",""en"")"),"Mobile robot controller")</f>
        <v>Mobile robot controller</v>
      </c>
    </row>
    <row r="4132" spans="1:5" ht="15" x14ac:dyDescent="0.25">
      <c r="A4132" s="5" t="s">
        <v>11519</v>
      </c>
      <c r="B4132" s="6" t="s">
        <v>518</v>
      </c>
      <c r="C4132" s="3" t="str">
        <f ca="1">IFERROR(__xludf.DUMMYFUNCTION("GOOGLETRANSLATE(B4132,""auto"",""en"")"),"-")</f>
        <v>-</v>
      </c>
      <c r="D4132" s="6" t="s">
        <v>11412</v>
      </c>
      <c r="E4132" s="4" t="str">
        <f ca="1">IFERROR(__xludf.DUMMYFUNCTION("GOOGLETRANSLATE(D4132,""auto"",""en"")"),"Use fuzzy logic to determine the method and device of athlete jumping")</f>
        <v>Use fuzzy logic to determine the method and device of athlete jumping</v>
      </c>
    </row>
    <row r="4133" spans="1:5" ht="15" x14ac:dyDescent="0.25">
      <c r="A4133" s="5" t="s">
        <v>11520</v>
      </c>
      <c r="B4133" s="6" t="s">
        <v>11521</v>
      </c>
      <c r="C4133" s="3" t="str">
        <f ca="1">IFERROR(__xludf.DUMMYFUNCTION("GOOGLETRANSLATE(B4133,""auto"",""en"")"),"The present invention involves an electronic notice image control system using voice recognition. The system can control the output image of the electronic notice sign according to the comments of the broadcaster at the stadium. Especially a indoor broadc"&amp;"asting system that receives the voice input of the announcer and at least one for shooting images in the stadium, including a camera to identify the voice by receiving the voice signal entered by the broadcaster microphone. When containing the preset spec"&amp;"ific words, select the relevant image corresponding to the specific word and display the image to generate an electronic display control device on the electronic board; Set the screen area.")</f>
        <v>The present invention involves an electronic notice image control system using voice recognition. The system can control the output image of the electronic notice sign according to the comments of the broadcaster at the stadium. Especially a indoor broadcasting system that receives the voice input of the announcer and at least one for shooting images in the stadium, including a camera to identify the voice by receiving the voice signal entered by the broadcaster microphone. When containing the preset specific words, select the relevant image corresponding to the specific word and display the image to generate an electronic display control device on the electronic board; Set the screen area.</v>
      </c>
      <c r="D4133" s="6" t="s">
        <v>11522</v>
      </c>
      <c r="E4133" s="4" t="str">
        <f ca="1">IFERROR(__xludf.DUMMYFUNCTION("GOOGLETRANSLATE(D4133,""auto"",""en"")"),"Use voice recognition electronic sign image control system and method")</f>
        <v>Use voice recognition electronic sign image control system and method</v>
      </c>
    </row>
    <row r="4134" spans="1:5" ht="15" x14ac:dyDescent="0.25">
      <c r="A4134" s="5" t="s">
        <v>11523</v>
      </c>
      <c r="B4134" s="6" t="s">
        <v>11524</v>
      </c>
      <c r="C4134" s="3" t="str">
        <f ca="1">IFERROR(__xludf.DUMMYFUNCTION("GOOGLETRANSLATE(B4134,""auto"",""en"")"),"[0001] The present invention involves a method for handling mobile baseball games that can change the game mode. More specifically, it involves a way to deal with mobile baseball games that can change the game mode. When playing baseball in the user termi"&amp;"nal When games, such as smartphones, can change any mode, allow the game to play the team owner mode of the game server's artificial intelligence in the game server. The manager mode that allows the game server to operate only pitching and hitting the bal"&amp;"l Allow users to fully operate the game. According to the present invention, when users enjoy baseball games such as a mobile terminal such as smartphones, users can enjoy the game according to the user's situation and the degree of user intervention in a"&amp;"ppropriate ways. The control in the game is controlled, which increases the user's interest. [Attachment icon] (100) User terminal; (200) Internet; (300) Game server; (302) Game process module; (304) Process information database; (306) Game mode changes m"&amp;"odule module module")</f>
        <v>[0001] The present invention involves a method for handling mobile baseball games that can change the game mode. More specifically, it involves a way to deal with mobile baseball games that can change the game mode. When playing baseball in the user terminal When games, such as smartphones, can change any mode, allow the game to play the team owner mode of the game server's artificial intelligence in the game server. The manager mode that allows the game server to operate only pitching and hitting the ball Allow users to fully operate the game. According to the present invention, when users enjoy baseball games such as a mobile terminal such as smartphones, users can enjoy the game according to the user's situation and the degree of user intervention in appropriate ways. The control in the game is controlled, which increases the user's interest. [Attachment icon] (100) User terminal; (200) Internet; (300) Game server; (302) Game process module; (304) Process information database; (306) Game mode changes module module module</v>
      </c>
      <c r="D4134" s="6" t="s">
        <v>11525</v>
      </c>
      <c r="E4134" s="4" t="str">
        <f ca="1">IFERROR(__xludf.DUMMYFUNCTION("GOOGLETRANSLATE(D4134,""auto"",""en"")"),"How to change the mobile baseball game that can change the game mode")</f>
        <v>How to change the mobile baseball game that can change the game mode</v>
      </c>
    </row>
    <row r="4135" spans="1:5" ht="15" x14ac:dyDescent="0.25">
      <c r="A4135" s="5" t="s">
        <v>11526</v>
      </c>
      <c r="B4135" s="6" t="s">
        <v>11527</v>
      </c>
      <c r="C4135" s="3" t="str">
        <f ca="1">IFERROR(__xludf.DUMMYFUNCTION("GOOGLETRANSLATE(B4135,""auto"",""en"")"),"The invention disclosed a Cabadi timing score system based on the commercial sports competition, including a competition control end and several input/output terminals, which interact with the control end of the competition control end for human -computer"&amp;" interaction; The control terminal of the competition includes: the scoring system, which is connected to the control module to interact with the control module scoring information; the timing system is connected to the control module, used to pass the ti"&amp;"ming information to the control module in real time; the control module, and the place Reading the score system and the chronograph system to interact with the input/output terminal information and timing information. Compared with existing technology, th"&amp;"e scoring system described in the present invention is specific to the specific and good general performance, which is convenient for managing and publishing competition data.")</f>
        <v>The invention disclosed a Cabadi timing score system based on the commercial sports competition, including a competition control end and several input/output terminals, which interact with the control end of the competition control end for human -computer interaction; The control terminal of the competition includes: the scoring system, which is connected to the control module to interact with the control module scoring information; the timing system is connected to the control module, used to pass the timing information to the control module in real time; the control module, and the place Reading the score system and the chronograph system to interact with the input/output terminal information and timing information. Compared with existing technology, the scoring system described in the present invention is specific to the specific and good general performance, which is convenient for managing and publishing competition data.</v>
      </c>
      <c r="D4135" s="6" t="s">
        <v>11528</v>
      </c>
      <c r="E4135" s="4" t="str">
        <f ca="1">IFERROR(__xludf.DUMMYFUNCTION("GOOGLETRANSLATE(D4135,""auto"",""en"")"),"Based on commercial sports competition Kabadi Credit Credit Scoring System")</f>
        <v>Based on commercial sports competition Kabadi Credit Credit Scoring System</v>
      </c>
    </row>
    <row r="4136" spans="1:5" ht="15" x14ac:dyDescent="0.25">
      <c r="A4136" s="5" t="s">
        <v>11529</v>
      </c>
      <c r="B4136" s="6" t="s">
        <v>11530</v>
      </c>
      <c r="C4136" s="3" t="str">
        <f ca="1">IFERROR(__xludf.DUMMYFUNCTION("GOOGLETRANSLATE(B4136,""auto"",""en"")"),"This utility model opens up a Kabadi timing scoring system based on the commercial sports competition, including a competition control terminal and several input/output terminals, which interact with the control terminal of the competition for human -comp"&amp;"uter interaction; The competition control terminal includes: the scoring system, which is connected to the control module to interact information with the control module; the timing system is connected to the control module, and the timing information is "&amp;"used to transmit the chronograph information to the control module in real time; the control module, and the The scoring system and the chronograph are connected to interact with the input/output terminal information and timing information. Compared with "&amp;"existing technology, the specific and good universal performance of the scoring system described in this practical new model is convenient for managing and publishing the game data.")</f>
        <v>This utility model opens up a Kabadi timing scoring system based on the commercial sports competition, including a competition control terminal and several input/output terminals, which interact with the control terminal of the competition for human -computer interaction; The competition control terminal includes: the scoring system, which is connected to the control module to interact information with the control module; the timing system is connected to the control module, and the timing information is used to transmit the chronograph information to the control module in real time; the control module, and the The scoring system and the chronograph are connected to interact with the input/output terminal information and timing information. Compared with existing technology, the specific and good universal performance of the scoring system described in this practical new model is convenient for managing and publishing the game data.</v>
      </c>
      <c r="D4136" s="6" t="s">
        <v>11528</v>
      </c>
      <c r="E4136" s="4" t="str">
        <f ca="1">IFERROR(__xludf.DUMMYFUNCTION("GOOGLETRANSLATE(D4136,""auto"",""en"")"),"Based on commercial sports competition Kabadi Credit Credit Scoring System")</f>
        <v>Based on commercial sports competition Kabadi Credit Credit Scoring System</v>
      </c>
    </row>
    <row r="4137" spans="1:5" ht="15" x14ac:dyDescent="0.25">
      <c r="A4137" s="5" t="s">
        <v>11531</v>
      </c>
      <c r="B4137" s="6" t="s">
        <v>11532</v>
      </c>
      <c r="C4137" s="3" t="str">
        <f ca="1">IFERROR(__xludf.DUMMYFUNCTION("GOOGLETRANSLATE(B4137,""auto"",""en"")"),"This mobile website/application (PT Advanced Edition) is a complete interactive program that combines ordinary users, fitness professionals, health experts and all related health professionals. The main function is to link the recommendation system for us"&amp;"er goals and/or evaluation selection. Evaluation and utilization can make a reference line software that corrects corrections and/or recommendations")</f>
        <v>This mobile website/application (PT Advanced Edition) is a complete interactive program that combines ordinary users, fitness professionals, health experts and all related health professionals. The main function is to link the recommendation system for user goals and/or evaluation selection. Evaluation and utilization can make a reference line software that corrects corrections and/or recommendations</v>
      </c>
      <c r="D4137" s="6" t="s">
        <v>11533</v>
      </c>
      <c r="E4137" s="4" t="str">
        <f ca="1">IFERROR(__xludf.DUMMYFUNCTION("GOOGLETRANSLATE(D4137,""auto"",""en"")"),"PT Advanced")</f>
        <v>PT Advanced</v>
      </c>
    </row>
    <row r="4138" spans="1:5" ht="15" x14ac:dyDescent="0.25">
      <c r="A4138" s="5" t="s">
        <v>11534</v>
      </c>
      <c r="B4138" s="6" t="s">
        <v>11535</v>
      </c>
      <c r="C4138" s="3" t="str">
        <f ca="1">IFERROR(__xludf.DUMMYFUNCTION("GOOGLETRANSLATE(B4138,""auto"",""en"")"),"The invention involves a technology that reduce power consumption through monitoring operations in the system. The system executes the function of controlling the system's operation through the emergence of monitoring goals to monitor the goal.
  For th"&amp;"is reason, in the present invention, the overall operation of the monitoring operation is not performed in the calculation unit, but the image recognition function is performed periodically to determine whether the monitoring target appears and disappears"&amp;". Send the monitoring data to the calculation unit. The calculation unit calculates and processes the monitoring data only when receiving the monitoring data from the image sensor module. Finally, the target of the target appears or disappears based on th"&amp;"e results of the calculation processing, and the control operation is performed accordingly Essence It is used for doing
  National R &amp; D Plan for supporting the invention
  Project number 10040246 department name Knowledge Economic Affairs Research P"&amp;"roject Name Industrial Source Technology Development Project Research Project Name Development Robot Visual SOC and Module, which is used to obtain 3D depth information and real -time object recognition through the stable image collection of mobile robots"&amp;"
  Contribution rate 1/1 The Research Institute of the Institute of Electronic Devices of the authority is 2011.06.01 ~ 2015.05.31")</f>
        <v>The invention involves a technology that reduce power consumption through monitoring operations in the system. The system executes the function of controlling the system's operation through the emergence of monitoring goals to monitor the goal.
  For this reason, in the present invention, the overall operation of the monitoring operation is not performed in the calculation unit, but the image recognition function is performed periodically to determine whether the monitoring target appears and disappears. Send the monitoring data to the calculation unit. The calculation unit calculates and processes the monitoring data only when receiving the monitoring data from the image sensor module. Finally, the target of the target appears or disappears based on the results of the calculation processing, and the control operation is performed accordingly Essence It is used for doing
  National R &amp; D Plan for supporting the invention
  Project number 10040246 department name Knowledge Economic Affairs Research Project Name Industrial Source Technology Development Project Research Project Name Development Robot Visual SOC and Module, which is used to obtain 3D depth information and real -time object recognition through the stable image collection of mobile robots
  Contribution rate 1/1 The Research Institute of the Institute of Electronic Devices of the authority is 2011.06.01 ~ 2015.05.31</v>
      </c>
      <c r="D4138" s="6" t="s">
        <v>11536</v>
      </c>
      <c r="E4138" s="4" t="str">
        <f ca="1">IFERROR(__xludf.DUMMYFUNCTION("GOOGLETRANSLATE(D4138,""auto"",""en"")"),"The image recognition system with power saving function with power saving function")</f>
        <v>The image recognition system with power saving function with power saving function</v>
      </c>
    </row>
    <row r="4139" spans="1:5" ht="15" x14ac:dyDescent="0.25">
      <c r="A4139" s="5" t="s">
        <v>11537</v>
      </c>
      <c r="B4139" s="6" t="s">
        <v>11538</v>
      </c>
      <c r="C4139" s="3" t="str">
        <f ca="1">IFERROR(__xludf.DUMMYFUNCTION("GOOGLETRANSLATE(B4139,""auto"",""en"")"),"This utility model discloses a family parent -child interactive system that includes the central processor and the storage module, touch display module, voice recognition module and gesture recognition module connected to the central processor. The centra"&amp;"l processor is ARM+DSP dual -core processor. The storage module includes DRAM and NAND FLASH connected to the central processor; the interactive system also expands the SD card interface connected to the central processor. The communication module include"&amp;"s the Internet application module, LAN application module and USB interface module connected to the central processor. The parent -child interactive system of the family is mainly used in the family's parent -child and educational situations. The family r"&amp;"e -pulls the family from separate networks and TV activities to the living room to gather together to carry out puzzle learning and entertainment. Identify and network functions. The whole family will play intellectual competitions together, guess rush, a"&amp;"nd play games. At the same time, they can automatically record the time of parents to accompany their children to give parents a supervision role.")</f>
        <v>This utility model discloses a family parent -child interactive system that includes the central processor and the storage module, touch display module, voice recognition module and gesture recognition module connected to the central processor. The central processor is ARM+DSP dual -core processor. The storage module includes DRAM and NAND FLASH connected to the central processor; the interactive system also expands the SD card interface connected to the central processor. The communication module includes the Internet application module, LAN application module and USB interface module connected to the central processor. The parent -child interactive system of the family is mainly used in the family's parent -child and educational situations. The family re -pulls the family from separate networks and TV activities to the living room to gather together to carry out puzzle learning and entertainment. Identify and network functions. The whole family will play intellectual competitions together, guess rush, and play games. At the same time, they can automatically record the time of parents to accompany their children to give parents a supervision role.</v>
      </c>
      <c r="D4139" s="6" t="s">
        <v>11539</v>
      </c>
      <c r="E4139" s="4" t="str">
        <f ca="1">IFERROR(__xludf.DUMMYFUNCTION("GOOGLETRANSLATE(D4139,""auto"",""en"")"),"A family parent -child interactive system")</f>
        <v>A family parent -child interactive system</v>
      </c>
    </row>
    <row r="4140" spans="1:5" ht="15" x14ac:dyDescent="0.25">
      <c r="A4140" s="5" t="s">
        <v>11540</v>
      </c>
      <c r="B4140" s="6" t="s">
        <v>11541</v>
      </c>
      <c r="C4140" s="3" t="str">
        <f ca="1">IFERROR(__xludf.DUMMYFUNCTION("GOOGLETRANSLATE(B4140,""auto"",""en"")"),"The new model involves a treadmill, which provides a voice control treadmill. The main purpose is to solve the problem of inconvenient control of the operating status such as treadmill speed during the use of treadmills. The voice control treadmill, inclu"&amp;"ding a treadmill, is equipped with a voice recognition control unit with a treadmill configuration. The voice recognition unit of the signal and the control signal issued by the voice recognition unit to the main control unit, the control unit control con"&amp;"trols the operating status of the treadmill according to the control signal. This utility model has voice recognition functions. Through the recognition of voice command signals, the working status of running and machines is controlled, and the inconvenie"&amp;"nce of controlling the operating status of the treadmill in the use of a treadmill is solved.")</f>
        <v>The new model involves a treadmill, which provides a voice control treadmill. The main purpose is to solve the problem of inconvenient control of the operating status such as treadmill speed during the use of treadmills. The voice control treadmill, including a treadmill, is equipped with a voice recognition control unit with a treadmill configuration. The voice recognition unit of the signal and the control signal issued by the voice recognition unit to the main control unit, the control unit control controls the operating status of the treadmill according to the control signal. This utility model has voice recognition functions. Through the recognition of voice command signals, the working status of running and machines is controlled, and the inconvenience of controlling the operating status of the treadmill in the use of a treadmill is solved.</v>
      </c>
      <c r="D4140" s="6" t="s">
        <v>11542</v>
      </c>
      <c r="E4140" s="4" t="str">
        <f ca="1">IFERROR(__xludf.DUMMYFUNCTION("GOOGLETRANSLATE(D4140,""auto"",""en"")"),"A phonetic runner")</f>
        <v>A phonetic runner</v>
      </c>
    </row>
    <row r="4141" spans="1:5" ht="15" x14ac:dyDescent="0.25">
      <c r="A4141" s="5" t="s">
        <v>11543</v>
      </c>
      <c r="B4141" s="6" t="s">
        <v>11544</v>
      </c>
      <c r="C4141" s="3" t="str">
        <f ca="1">IFERROR(__xludf.DUMMYFUNCTION("GOOGLETRANSLATE(B4141,""auto"",""en"")"),"The present invention provides a non -contact free space sight tracking method suitable for human -computer interaction, including the following steps: real -time face and eye positioning tracking, eye movement biological characteristics information extra"&amp;"ction, establishment of eye -based eye movement models and eye -based eye movement models and eye biological features and eye -based eye movement models and eye -based eye movement models and eye biological feature information Build the mapping relationsh"&amp;"ip model of the eye movement model and the eye gaze object. The present invention involves multiple cross areas such as image processing, computer vision, and mode recognition. It has extensive in the fields of new generation of human -computer interactio"&amp;"n, assistance of disabled persons, aerospace -related fields, sports, automobile aircraft driving, virtual reality and games. In addition, it has great practical significance for improving the lives and self -care of the disabled people, building a harmon"&amp;"ious society, and improving the independent innovation capabilities in high -tech fields such as human -machinery interaction and driverless driving.")</f>
        <v>The present invention provides a non -contact free space sight tracking method suitable for human -computer interaction, including the following steps: real -time face and eye positioning tracking, eye movement biological characteristics information extraction, establishment of eye -based eye movement models and eye -based eye movement models and eye biological features and eye -based eye movement models and eye -based eye movement models and eye biological feature information Build the mapping relationship model of the eye movement model and the eye gaze object. The present invention involves multiple cross areas such as image processing, computer vision, and mode recognition. It has extensive in the fields of new generation of human -computer interaction, assistance of disabled persons, aerospace -related fields, sports, automobile aircraft driving, virtual reality and games. In addition, it has great practical significance for improving the lives and self -care of the disabled people, building a harmonious society, and improving the independent innovation capabilities in high -tech fields such as human -machinery interaction and driverless driving.</v>
      </c>
      <c r="D4141" s="6" t="s">
        <v>11545</v>
      </c>
      <c r="E4141" s="4" t="str">
        <f ca="1">IFERROR(__xludf.DUMMYFUNCTION("GOOGLETRANSLATE(D4141,""auto"",""en"")"),"A non -contact free space sight tracking method suitable for human -computer interaction")</f>
        <v>A non -contact free space sight tracking method suitable for human -computer interaction</v>
      </c>
    </row>
    <row r="4142" spans="1:5" ht="15" x14ac:dyDescent="0.25">
      <c r="A4142" s="5" t="s">
        <v>11546</v>
      </c>
      <c r="B4142" s="6" t="s">
        <v>11547</v>
      </c>
      <c r="C4142" s="3" t="str">
        <f ca="1">IFERROR(__xludf.DUMMYFUNCTION("GOOGLETRANSLATE(B4142,""auto"",""en"")"),"Multi -dimensional sense human -computer interaction system and interactive method is a multi -dimensional perception of human -machine interaction system and method based on the combination of head posture control, voice control and keyboard mouse operat"&amp;"ion. It consists of 8 modules: user information collection module module module , User information recognition analysis module, head posture control function module, voice control function module, storage module, interface interactive module, self -custom"&amp;"ized module and program control module. This method is realized by collecting user information, identification analysis, head posture control or voice control function, and the output of user interface output. The invention has the advantages of widely av"&amp;"ailable scope, good maintenance, good scalability. In addition, the system provides a new way of man -machine interaction for computer users. It is very helpful for ordinary users to improve operational efficiency, neck fitness, and the elderly to learn c"&amp;"omputers.")</f>
        <v>Multi -dimensional sense human -computer interaction system and interactive method is a multi -dimensional perception of human -machine interaction system and method based on the combination of head posture control, voice control and keyboard mouse operation. It consists of 8 modules: user information collection module module module , User information recognition analysis module, head posture control function module, voice control function module, storage module, interface interactive module, self -customized module and program control module. This method is realized by collecting user information, identification analysis, head posture control or voice control function, and the output of user interface output. The invention has the advantages of widely available scope, good maintenance, good scalability. In addition, the system provides a new way of man -machine interaction for computer users. It is very helpful for ordinary users to improve operational efficiency, neck fitness, and the elderly to learn computers.</v>
      </c>
      <c r="D4142" s="6" t="s">
        <v>11548</v>
      </c>
      <c r="E4142" s="4" t="str">
        <f ca="1">IFERROR(__xludf.DUMMYFUNCTION("GOOGLETRANSLATE(D4142,""auto"",""en"")"),"Multi -dimensional official human -computer interaction system and interactive method")</f>
        <v>Multi -dimensional official human -computer interaction system and interactive method</v>
      </c>
    </row>
    <row r="4143" spans="1:5" ht="15" x14ac:dyDescent="0.25">
      <c r="A4143" s="5" t="s">
        <v>11549</v>
      </c>
      <c r="B4143" s="6" t="s">
        <v>11550</v>
      </c>
      <c r="C4143" s="3" t="str">
        <f ca="1">IFERROR(__xludf.DUMMYFUNCTION("GOOGLETRANSLATE(B4143,""auto"",""en"")"),"A DSP -based intelligent robot experimental development platform, including DSP controller, DSP controller connects DCic brush drive circuit, single -chip microcomputer display controller, power supply circuit, expansion bus interface and human -machine i"&amp;"nteractive circuit. Drive circuit connect to DC motor, where the single -chip microcomputer displays the controller connect to the display. This platform has outstanding expansion performance, high -speed, low -power processing systems, and flowing from s"&amp;"hallow to deep flow chart, C language, and assembly language programming environment. Ability, direct experience and concept of future development. This utility model has a strong generality. It can be used as the ontology robot of the competition robot. "&amp;"After expansion, it can be combined into various competition robots to participate in various competitions. It can also provide a general platform for teaching and competition for primary and secondary school robotics teaching.")</f>
        <v>A DSP -based intelligent robot experimental development platform, including DSP controller, DSP controller connects DCic brush drive circuit, single -chip microcomputer display controller, power supply circuit, expansion bus interface and human -machine interactive circuit. Drive circuit connect to DC motor, where the single -chip microcomputer displays the controller connect to the display. This platform has outstanding expansion performance, high -speed, low -power processing systems, and flowing from shallow to deep flow chart, C language, and assembly language programming environment. Ability, direct experience and concept of future development. This utility model has a strong generality. It can be used as the ontology robot of the competition robot. After expansion, it can be combined into various competition robots to participate in various competitions. It can also provide a general platform for teaching and competition for primary and secondary school robotics teaching.</v>
      </c>
      <c r="D4143" s="6" t="s">
        <v>11551</v>
      </c>
      <c r="E4143" s="4" t="str">
        <f ca="1">IFERROR(__xludf.DUMMYFUNCTION("GOOGLETRANSLATE(D4143,""auto"",""en"")"),"DSP -based intelligent robot experiment development platform")</f>
        <v>DSP -based intelligent robot experiment development platform</v>
      </c>
    </row>
    <row r="4144" spans="1:5" ht="15" x14ac:dyDescent="0.25">
      <c r="A4144" s="5" t="s">
        <v>11552</v>
      </c>
      <c r="B4144" s="6" t="s">
        <v>11553</v>
      </c>
      <c r="C4144" s="3" t="str">
        <f ca="1">IFERROR(__xludf.DUMMYFUNCTION("GOOGLETRANSLATE(B4144,""auto"",""en"")"),"The present invention is a new concept and an Internet of Things controlled energy -saving lighting system. The lamps adopt a light source array, and the control system consists of control nodes, several wireless gateways and cloud computing platforms int"&amp;"egrated on the lamps. Each lamp is equipped with a control node with a wireless/wired response. The lamp contains multiple sensors, monitoring multiple basic data such as environmental brightness, motor vehicle flow and number of pedestrians. The present "&amp;"invention builds a distributed cloud photo array covering the lighting area. Each lamp is recognized by the respondent to automatically form a local area network and connects the cloud computing platform through the wireless gateway. After the sensor of t"&amp;"he lamp monitors the corresponding data, the wireless gateway is sent to the cloud computing platform. According to real -time monitoring data, the cloud computing platform dynamically manages the work of the cloud photo array. Energy -saving rate. The pr"&amp;"esent invention is an energy -saving product for high -power HID lamps, which is very suitable for large space places such as roads, exhibition halls, airports, gymnasiums.")</f>
        <v>The present invention is a new concept and an Internet of Things controlled energy -saving lighting system. The lamps adopt a light source array, and the control system consists of control nodes, several wireless gateways and cloud computing platforms integrated on the lamps. Each lamp is equipped with a control node with a wireless/wired response. The lamp contains multiple sensors, monitoring multiple basic data such as environmental brightness, motor vehicle flow and number of pedestrians. The present invention builds a distributed cloud photo array covering the lighting area. Each lamp is recognized by the respondent to automatically form a local area network and connects the cloud computing platform through the wireless gateway. After the sensor of the lamp monitors the corresponding data, the wireless gateway is sent to the cloud computing platform. According to real -time monitoring data, the cloud computing platform dynamically manages the work of the cloud photo array. Energy -saving rate. The present invention is an energy -saving product for high -power HID lamps, which is very suitable for large space places such as roads, exhibition halls, airports, gymnasiums.</v>
      </c>
      <c r="D4144" s="6" t="s">
        <v>11554</v>
      </c>
      <c r="E4144" s="4" t="str">
        <f ca="1">IFERROR(__xludf.DUMMYFUNCTION("GOOGLETRANSLATE(D4144,""auto"",""en"")"),"Yunzhao Minghe Based on the Internet of Things Cloud Platform")</f>
        <v>Yunzhao Minghe Based on the Internet of Things Cloud Platform</v>
      </c>
    </row>
    <row r="4145" spans="1:5" ht="15" x14ac:dyDescent="0.25">
      <c r="A4145" s="5" t="s">
        <v>11555</v>
      </c>
      <c r="B4145" s="6" t="s">
        <v>11556</v>
      </c>
      <c r="C4145" s="3" t="str">
        <f ca="1">IFERROR(__xludf.DUMMYFUNCTION("GOOGLETRANSLATE(B4145,""auto"",""en"")"),"An automatic alarm fire extinguishing system for indoor stadiums includes detection devices, image processing units, fusion units, main control units, intelligent control units, and alarm units. The processing unit is connected, and the sensor is connecte"&amp;"d to the fusion unit; the image processing unit and the fusion unit are connected to the main control unit. The main control unit is connected to the intelligent control unit and the alarm unit; Connect to end users. This utility model has the advantages "&amp;"of automatic fire extinguishing, high reliability, strong real -time, rapid positioning, and strong anti -interference ability. The dual detection form of the detector and the camera device is adopted, and the force method of image recognition is used to "&amp;"ensure the reliability and real -time nature of the alarm. The traditional detectors cannot accurately call the police, and it is easy to produce disadvantages such as errors.")</f>
        <v>An automatic alarm fire extinguishing system for indoor stadiums includes detection devices, image processing units, fusion units, main control units, intelligent control units, and alarm units. The processing unit is connected, and the sensor is connected to the fusion unit; the image processing unit and the fusion unit are connected to the main control unit. The main control unit is connected to the intelligent control unit and the alarm unit; Connect to end users. This utility model has the advantages of automatic fire extinguishing, high reliability, strong real -time, rapid positioning, and strong anti -interference ability. The dual detection form of the detector and the camera device is adopted, and the force method of image recognition is used to ensure the reliability and real -time nature of the alarm. The traditional detectors cannot accurately call the police, and it is easy to produce disadvantages such as errors.</v>
      </c>
      <c r="D4145" s="6" t="s">
        <v>11557</v>
      </c>
      <c r="E4145" s="4" t="str">
        <f ca="1">IFERROR(__xludf.DUMMYFUNCTION("GOOGLETRANSLATE(D4145,""auto"",""en"")"),"A automatic alarm fire extinguishing system for indoor stadiums")</f>
        <v>A automatic alarm fire extinguishing system for indoor stadiums</v>
      </c>
    </row>
    <row r="4146" spans="1:5" ht="12.75" x14ac:dyDescent="0.2">
      <c r="A4146" s="7" t="s">
        <v>11558</v>
      </c>
      <c r="B4146" s="6" t="s">
        <v>518</v>
      </c>
      <c r="C4146" s="3" t="str">
        <f ca="1">IFERROR(__xludf.DUMMYFUNCTION("GOOGLETRANSLATE(B4146,""auto"",""en"")"),"-")</f>
        <v>-</v>
      </c>
      <c r="D4146" s="6" t="s">
        <v>518</v>
      </c>
      <c r="E4146" s="4" t="str">
        <f ca="1">IFERROR(__xludf.DUMMYFUNCTION("GOOGLETRANSLATE(D4146,""auto"",""en"")"),"-")</f>
        <v>-</v>
      </c>
    </row>
    <row r="4147" spans="1:5" ht="15" x14ac:dyDescent="0.25">
      <c r="A4147" s="5" t="s">
        <v>11559</v>
      </c>
      <c r="B4147" s="6" t="s">
        <v>11560</v>
      </c>
      <c r="C4147" s="3" t="str">
        <f ca="1">IFERROR(__xludf.DUMMYFUNCTION("GOOGLETRANSLATE(B4147,""auto"",""en"")"),"The invention involves an IoT fitness system. The IoT fitness system based on RFID technology, including IC cards, RFID modules, card readers, wireless communication modules, wireless receiving modules, PCs, main processors, and communicate with the card "&amp;"reader through the RFID module. The card device is connected to the wireless communication module, the main processor, the communication between the wireless communication module and the wireless receiving module, and the wireless receiving module is conn"&amp;"ected to the PC. One of the remarkable effects of the present invention is that the user's fitness data can be effectively accumulated and analyzed and used feedback to the user. In this closed loop, it can achieve more targeted scientific guidance for us"&amp;"ers' fitness. The introduction of RFID recognition technology perfectly combines user information with fitness data, providing great convenience for the fitness venues with more personnel. At the same time, wireless transmission technology also eliminates"&amp;" the trouble brought about by the wiring between multiple fitness equipment and the PC.")</f>
        <v>The invention involves an IoT fitness system. The IoT fitness system based on RFID technology, including IC cards, RFID modules, card readers, wireless communication modules, wireless receiving modules, PCs, main processors, and communicate with the card reader through the RFID module. The card device is connected to the wireless communication module, the main processor, the communication between the wireless communication module and the wireless receiving module, and the wireless receiving module is connected to the PC. One of the remarkable effects of the present invention is that the user's fitness data can be effectively accumulated and analyzed and used feedback to the user. In this closed loop, it can achieve more targeted scientific guidance for users' fitness. The introduction of RFID recognition technology perfectly combines user information with fitness data, providing great convenience for the fitness venues with more personnel. At the same time, wireless transmission technology also eliminates the trouble brought about by the wiring between multiple fitness equipment and the PC.</v>
      </c>
      <c r="D4147" s="6" t="s">
        <v>11561</v>
      </c>
      <c r="E4147" s="4" t="str">
        <f ca="1">IFERROR(__xludf.DUMMYFUNCTION("GOOGLETRANSLATE(D4147,""auto"",""en"")"),"IoT fitness system based on RFID technology")</f>
        <v>IoT fitness system based on RFID technology</v>
      </c>
    </row>
    <row r="4148" spans="1:5" ht="15" x14ac:dyDescent="0.25">
      <c r="A4148" s="5" t="s">
        <v>11562</v>
      </c>
      <c r="B4148" s="6" t="s">
        <v>11563</v>
      </c>
      <c r="C4148" s="3" t="str">
        <f ca="1">IFERROR(__xludf.DUMMYFUNCTION("GOOGLETRANSLATE(B4148,""auto"",""en"")"),"Provides a game simulation management method and management device. According to the game simulation management method of the present invention involves at least one game operated by the user and multiple teams operated by artificial intelligence accordin"&amp;"g to the winning rate determination method and any of the championship methods. Game server in online sports games. Select the input of the simulation items. The simulation items are allowed to simulate the game results of the game that simulates the user"&amp;" rather than the user instead of the user instead of the user in the preset game. One of the teams operated with artificial intelligence operations, one of the multiple teams operated by artificial intelligence, played in accordance with the preset compet"&amp;"ition mode and provided the results of the simulation game to the user terminal.")</f>
        <v>Provides a game simulation management method and management device. According to the game simulation management method of the present invention involves at least one game operated by the user and multiple teams operated by artificial intelligence according to the winning rate determination method and any of the championship methods. Game server in online sports games. Select the input of the simulation items. The simulation items are allowed to simulate the game results of the game that simulates the user rather than the user instead of the user instead of the user in the preset game. One of the teams operated with artificial intelligence operations, one of the multiple teams operated by artificial intelligence, played in accordance with the preset competition mode and provided the results of the simulation game to the user terminal.</v>
      </c>
      <c r="D4148" s="6" t="s">
        <v>11436</v>
      </c>
      <c r="E4148" s="4" t="str">
        <f ca="1">IFERROR(__xludf.DUMMYFUNCTION("GOOGLETRANSLATE(D4148,""auto"",""en"")"),"Game simulation management method and management device")</f>
        <v>Game simulation management method and management device</v>
      </c>
    </row>
    <row r="4149" spans="1:5" ht="15" x14ac:dyDescent="0.25">
      <c r="A4149" s="5" t="s">
        <v>11564</v>
      </c>
      <c r="B4149" s="6" t="s">
        <v>11565</v>
      </c>
      <c r="C4149" s="3" t="str">
        <f ca="1">IFERROR(__xludf.DUMMYFUNCTION("GOOGLETRANSLATE(B4149,""auto"",""en"")"),"Provide a technology that is registered for the individual league tour of the individual league tour in the user league conference to form a team of individual league games with at least one or more online competition games with a preset conquer point. In"&amp;" the providing method of the league tour mode on the implementation of the invention, the league tour mode provides the server to the preset user league in the online game. Artificial Intelligence: Provide a league tour mode to the user terminal. This mod"&amp;"e is a model composed of at least one individual league. When each league gets a preset league points, it can be performed with opponents that belong to another league's artificial intelligence operation. The competition passes the points league; when the"&amp;" user terminal receives the selection input for setting up the league tour mode team, the user interface used to set up a league tour mode team is connected to the league tour mode, and the output to the preset user league Another user terminal, such as u"&amp;"sers; when the team of the league tour ends the game, pay the league tour of the league tour according to the results of the game, and determine whether the payment of the league tour points is greater than or equal to the personal league points of each l"&amp;"eague; If you pay more points in the league tour mode in the steps, the points are greater than or equal to each league points prefabricated by each league, and output the preset welfare information to the user terminal according to the completion of the "&amp;"preset league performance.")</f>
        <v>Provide a technology that is registered for the individual league tour of the individual league tour in the user league conference to form a team of individual league games with at least one or more online competition games with a preset conquer point. In the providing method of the league tour mode on the implementation of the invention, the league tour mode provides the server to the preset user league in the online game. Artificial Intelligence: Provide a league tour mode to the user terminal. This mode is a model composed of at least one individual league. When each league gets a preset league points, it can be performed with opponents that belong to another league's artificial intelligence operation. The competition passes the points league; when the user terminal receives the selection input for setting up the league tour mode team, the user interface used to set up a league tour mode team is connected to the league tour mode, and the output to the preset user league Another user terminal, such as users; when the team of the league tour ends the game, pay the league tour of the league tour according to the results of the game, and determine whether the payment of the league tour points is greater than or equal to the personal league points of each league; If you pay more points in the league tour mode in the steps, the points are greater than or equal to each league points prefabricated by each league, and output the preset welfare information to the user terminal according to the completion of the preset league performance.</v>
      </c>
      <c r="D4149" s="6" t="s">
        <v>11433</v>
      </c>
      <c r="E4149" s="4" t="str">
        <f ca="1">IFERROR(__xludf.DUMMYFUNCTION("GOOGLETRANSLATE(D4149,""auto"",""en"")"),"How to provide the league tour mode and server")</f>
        <v>How to provide the league tour mode and server</v>
      </c>
    </row>
    <row r="4150" spans="1:5" ht="15" x14ac:dyDescent="0.25">
      <c r="A4150" s="5" t="s">
        <v>11566</v>
      </c>
      <c r="B4150" s="6" t="s">
        <v>11567</v>
      </c>
      <c r="C4150" s="3" t="str">
        <f ca="1">IFERROR(__xludf.DUMMYFUNCTION("GOOGLETRANSLATE(B4150,""auto"",""en"")"),"Provides a technology that provides a technology that provides novel multiplayer games in online sports games to improve user utilization. According to an embodiment of the present invention, a method that provides the national war mode in online sports g"&amp;"ames, including the following steps: online sports game server provides users with the first game mode. It is a game mode to provide the closest The national team in the national team selected a team and belongs to the national team to use the national te"&amp;"am to use the national team to play the game mode to each predetermined group in the national game. From the real sports game corresponding to the game category, the national team belongs to the same group as the user; when the menu is made for the playba"&amp;"ck mode to change the input, the playback mode of the user corresponding to the user terminal will be changed from the first playback mode. The playback mode changing menu can change the request menu through the user terminal to change the request; provid"&amp;"e the second game mode. This game mode is used to use the team that is changed by the game mode and the first number of users managed by the user managed by the user managed by the user managed by the game mode. The artificial intelligence management team"&amp;" of the second number of servers provides championship games between the artificial intelligence management team; the results of the second game mode are determined to provide users with the winner of the Championship final to provide predetermined compen"&amp;"sation benefits that can be used in the game.")</f>
        <v>Provides a technology that provides a technology that provides novel multiplayer games in online sports games to improve user utilization. According to an embodiment of the present invention, a method that provides the national war mode in online sports games, including the following steps: online sports game server provides users with the first game mode. It is a game mode to provide the closest The national team in the national team selected a team and belongs to the national team to use the national team to use the national team to play the game mode to each predetermined group in the national game. From the real sports game corresponding to the game category, the national team belongs to the same group as the user; when the menu is made for the playback mode to change the input, the playback mode of the user corresponding to the user terminal will be changed from the first playback mode. The playback mode changing menu can change the request menu through the user terminal to change the request; provide the second game mode. This game mode is used to use the team that is changed by the game mode and the first number of users managed by the user managed by the user managed by the user managed by the game mode. The artificial intelligence management team of the second number of servers provides championship games between the artificial intelligence management team; the results of the second game mode are determined to provide users with the winner of the Championship final to provide predetermined compensation benefits that can be used in the game.</v>
      </c>
      <c r="D4150" s="6" t="s">
        <v>11568</v>
      </c>
      <c r="E4150" s="4" t="str">
        <f ca="1">IFERROR(__xludf.DUMMYFUNCTION("GOOGLETRANSLATE(D4150,""auto"",""en"")"),"Invention names a method and server of providing the national competition mode in online sports games")</f>
        <v>Invention names a method and server of providing the national competition mode in online sports games</v>
      </c>
    </row>
    <row r="4151" spans="1:5" ht="15" x14ac:dyDescent="0.25">
      <c r="A4151" s="5" t="s">
        <v>11569</v>
      </c>
      <c r="B4151" s="6" t="s">
        <v>11570</v>
      </c>
      <c r="C4151" s="3" t="str">
        <f ca="1">IFERROR(__xludf.DUMMYFUNCTION("GOOGLETRANSLATE(B4151,""auto"",""en"")"),"The invention involves the technical field of multimedia operation methods, especially a multimedia multimedia operation method based on image recognition. The method includes: step 1, the second host obtains multiple original car human interface data and"&amp;" the first command of the first host generated by the first host, and The first command pair is stored in the feature database; step 2, the second host receives the original car human interface data sent by the first host, find data in the same characteri"&amp;"stic area as the original car interface data in the feature database, and obtain the corresponding corresponding The first command and execute the first command. The characteristics of the present invention do not need to develop and research the protocol"&amp;"s of other communication networks by increasing too much communication interface. Relatively common methods, more complete functions, reducing the difficulty of development, reducing the development cycle, reducing development costs, and increasing produc"&amp;"t price competitiveness.")</f>
        <v>The invention involves the technical field of multimedia operation methods, especially a multimedia multimedia operation method based on image recognition. The method includes: step 1, the second host obtains multiple original car human interface data and the first command of the first host generated by the first host, and The first command pair is stored in the feature database; step 2, the second host receives the original car human interface data sent by the first host, find data in the same characteristic area as the original car interface data in the feature database, and obtain the corresponding corresponding The first command and execute the first command. The characteristics of the present invention do not need to develop and research the protocols of other communication networks by increasing too much communication interface. Relatively common methods, more complete functions, reducing the difficulty of development, reducing the development cycle, reducing development costs, and increasing product price competitiveness.</v>
      </c>
      <c r="D4151" s="6" t="s">
        <v>11571</v>
      </c>
      <c r="E4151" s="4" t="str">
        <f ca="1">IFERROR(__xludf.DUMMYFUNCTION("GOOGLETRANSLATE(D4151,""auto"",""en"")"),"A multimedia operation method based on image recognition")</f>
        <v>A multimedia operation method based on image recognition</v>
      </c>
    </row>
    <row r="4152" spans="1:5" ht="15" x14ac:dyDescent="0.25">
      <c r="A4152" s="5" t="s">
        <v>11572</v>
      </c>
      <c r="B4152" s="6" t="s">
        <v>11573</v>
      </c>
      <c r="C4152" s="3" t="str">
        <f ca="1">IFERROR(__xludf.DUMMYFUNCTION("GOOGLETRANSLATE(B4152,""auto"",""en"")"),"This utility model provides the LED IoT global bubbles. Its structure includes the built -in IoT power supply, LED lamp board and control circuit. The signal is sent to the user control terminal. Compared with existing technologies, the LED Internet of Th"&amp;"ings gension lamp is effectively combined with the existing technology. It can adjust the working status of the Internet of foam lamps according to the specific application environment to change the light brightness of the bubble lamp, and better play bet"&amp;"ter performance. The energy saving and decorative effect of LED ball bubble lamps.")</f>
        <v>This utility model provides the LED IoT global bubbles. Its structure includes the built -in IoT power supply, LED lamp board and control circuit. The signal is sent to the user control terminal. Compared with existing technologies, the LED Internet of Things gension lamp is effectively combined with the existing technology. It can adjust the working status of the Internet of foam lamps according to the specific application environment to change the light brightness of the bubble lamp, and better play better performance. The energy saving and decorative effect of LED ball bubble lamps.</v>
      </c>
      <c r="D4152" s="6" t="s">
        <v>11574</v>
      </c>
      <c r="E4152" s="4" t="str">
        <f ca="1">IFERROR(__xludf.DUMMYFUNCTION("GOOGLETRANSLATE(D4152,""auto"",""en"")"),"LED Internet of Things Global Bubble")</f>
        <v>LED Internet of Things Global Bubble</v>
      </c>
    </row>
    <row r="4153" spans="1:5" ht="15" x14ac:dyDescent="0.25">
      <c r="A4153" s="5" t="s">
        <v>11575</v>
      </c>
      <c r="B4153" s="6" t="s">
        <v>11576</v>
      </c>
      <c r="C4153" s="3" t="str">
        <f ca="1">IFERROR(__xludf.DUMMYFUNCTION("GOOGLETRANSLATE(B4153,""auto"",""en"")"),"A kind of pet automatic fitness feed device: run counting units, human -computer interaction units, feeders, and selection pattern units that are connected to the control unit, as well as separate control units, running count units, human -machine interac"&amp;"tive units, feeders And the selection pattern unit provides a power supply unit for power supply. The control unit has the first controller, the second controller and the third controller connected to the first controller, the first controller is connecte"&amp;"d to the run count unit and the selection pattern unit, the second controller is connected to the feeder, the third control is The device is connected to human -computer interconnection units. The present invention can unify the fitness and feeding functi"&amp;"on of pets. While pet fitness, through the amount of pet fitness exercise, the amount of food I feed is reasonably set, so as to achieve a scientific ratio, so that pets will not be too hungry or overly obese, and maintain the health of pets. At the same "&amp;"time, this device also supports the regular and quantitative design of food, including the functions of most existing pet feeders.")</f>
        <v>A kind of pet automatic fitness feed device: run counting units, human -computer interaction units, feeders, and selection pattern units that are connected to the control unit, as well as separate control units, running count units, human -machine interactive units, feeders And the selection pattern unit provides a power supply unit for power supply. The control unit has the first controller, the second controller and the third controller connected to the first controller, the first controller is connected to the run count unit and the selection pattern unit, the second controller is connected to the feeder, the third control is The device is connected to human -computer interconnection units. The present invention can unify the fitness and feeding function of pets. While pet fitness, through the amount of pet fitness exercise, the amount of food I feed is reasonably set, so as to achieve a scientific ratio, so that pets will not be too hungry or overly obese, and maintain the health of pets. At the same time, this device also supports the regular and quantitative design of food, including the functions of most existing pet feeders.</v>
      </c>
      <c r="D4153" s="6" t="s">
        <v>11577</v>
      </c>
      <c r="E4153" s="4" t="str">
        <f ca="1">IFERROR(__xludf.DUMMYFUNCTION("GOOGLETRANSLATE(D4153,""auto"",""en"")"),"Pet automatic fitness feed device")</f>
        <v>Pet automatic fitness feed device</v>
      </c>
    </row>
    <row r="4154" spans="1:5" ht="15" x14ac:dyDescent="0.25">
      <c r="A4154" s="5" t="s">
        <v>11578</v>
      </c>
      <c r="B4154" s="6" t="s">
        <v>11579</v>
      </c>
      <c r="C4154" s="3" t="str">
        <f ca="1">IFERROR(__xludf.DUMMYFUNCTION("GOOGLETRANSLATE(B4154,""auto"",""en"")"),"Objective: Provide a billiard match process and record storage system for easy storage of the successful or failure position and the information of the player on the tabletop in the billiard game, and check the storage location information after the billi"&amp;"ards are completed. game. Composition: Billiards game process and record preservation system (100) includes an input unit (110), a game setting unit (120), a data processing unit (130), a data storage unit (131), an output unit (140) ), Image capture unit"&amp;" and image recognition processing unit. Data storage units include simplified and describing the list of position images arranged by billiards. The data processing unit storage image and the player information selected by matching the image with the playe"&amp;"r information, and accumulate the image by dividing the image transmitted by the image into the success of the image transmitted by the image to the success position and the failure position of the failure. The game is performed. The data processing unit "&amp;"will match the accumulated successful position and at least one position image in the failure position to match the corresponding players, and store the matching information after the billiard game. The data processing unit enters the player's score by en"&amp;"tering the unit, and is separated from the transmitted image at the end of the game. [Reference number] (110) Enter the unit; (120) game setting unit; (130) data processing unit; (131) data storage unit; (140) output unit")</f>
        <v>Objective: Provide a billiard match process and record storage system for easy storage of the successful or failure position and the information of the player on the tabletop in the billiard game, and check the storage location information after the billiards are completed. game. Composition: Billiards game process and record preservation system (100) includes an input unit (110), a game setting unit (120), a data processing unit (130), a data storage unit (131), an output unit (140) ), Image capture unit and image recognition processing unit. Data storage units include simplified and describing the list of position images arranged by billiards. The data processing unit storage image and the player information selected by matching the image with the player information, and accumulate the image by dividing the image transmitted by the image into the success of the image transmitted by the image to the success position and the failure position of the failure. The game is performed. The data processing unit will match the accumulated successful position and at least one position image in the failure position to match the corresponding players, and store the matching information after the billiard game. The data processing unit enters the player's score by entering the unit, and is separated from the transmitted image at the end of the game. [Reference number] (110) Enter the unit; (120) game setting unit; (130) data processing unit; (131) data storage unit; (140) output unit</v>
      </c>
      <c r="D4154" s="6" t="s">
        <v>11580</v>
      </c>
      <c r="E4154" s="4" t="str">
        <f ca="1">IFERROR(__xludf.DUMMYFUNCTION("GOOGLETRANSLATE(D4154,""auto"",""en"")"),"Billiards game progress and record management system")</f>
        <v>Billiards game progress and record management system</v>
      </c>
    </row>
    <row r="4155" spans="1:5" ht="15" x14ac:dyDescent="0.25">
      <c r="A4155" s="5" t="s">
        <v>11581</v>
      </c>
      <c r="B4155" s="6" t="s">
        <v>11582</v>
      </c>
      <c r="C4155" s="3" t="str">
        <f ca="1">IFERROR(__xludf.DUMMYFUNCTION("GOOGLETRANSLATE(B4155,""auto"",""en"")"),"The present invention disclosure intelligent electronic score cards based on voice recognition, including microphones, controllers, driving circuits, LED display circuits and interface circuits, and power circuits. Based on the situation of the game, the "&amp;"referee announced the current score in front of the microphone. The microphone transmits the referee signal to the controller to identify it, identify the referee's voice content, display the score through the LED display circuit, and the drive circuit is"&amp;" used to drive LED display Circuit, protecting circuit is used to achieve overcurrent protection of LED display circuits. The present invention uses voice recognition technology and LED display technology to achieve real -time scores and display, storage,"&amp;" and according to the rules of the game, and according to the rules of the game, the system will automatically determine when the venue needs to be exchanged. ; And according to the rules of the competition, when the game is completed, it automatically ac"&amp;"cumulates the overall overall scores and historic inquiries.")</f>
        <v>The present invention disclosure intelligent electronic score cards based on voice recognition, including microphones, controllers, driving circuits, LED display circuits and interface circuits, and power circuits. Based on the situation of the game, the referee announced the current score in front of the microphone. The microphone transmits the referee signal to the controller to identify it, identify the referee's voice content, display the score through the LED display circuit, and the drive circuit is used to drive LED display Circuit, protecting circuit is used to achieve overcurrent protection of LED display circuits. The present invention uses voice recognition technology and LED display technology to achieve real -time scores and display, storage, and according to the rules of the game, and according to the rules of the game, the system will automatically determine when the venue needs to be exchanged. ; And according to the rules of the competition, when the game is completed, it automatically accumulates the overall overall scores and historic inquiries.</v>
      </c>
      <c r="D4155" s="6" t="s">
        <v>11583</v>
      </c>
      <c r="E4155" s="4" t="str">
        <f ca="1">IFERROR(__xludf.DUMMYFUNCTION("GOOGLETRANSLATE(D4155,""auto"",""en"")"),"A intelligent electronic scoring card based on voice recognition")</f>
        <v>A intelligent electronic scoring card based on voice recognition</v>
      </c>
    </row>
    <row r="4156" spans="1:5" ht="15" x14ac:dyDescent="0.25">
      <c r="A4156" s="5" t="s">
        <v>11584</v>
      </c>
      <c r="B4156" s="6" t="s">
        <v>11585</v>
      </c>
      <c r="C4156" s="3" t="str">
        <f ca="1">IFERROR(__xludf.DUMMYFUNCTION("GOOGLETRANSLATE(B4156,""auto"",""en"")"),"The present invention involves the field of computer vision detection technology, especially involving a set of control methods for controlling football robotics. , Use some logo points on the venue as a calibration reference point, and obtain the pixel c"&amp;"oordinates and world coordinates of the calibration reference point; according to the characteristics of the collection of control football robots, establish a camera imaging model With the world coordinates, obtain the internal and external parameters of"&amp;" the camera, and optimize the relevant parameters; use the conversion model of the exposed world coordinates; the present invention is the field of computer vision detection, which can be used for harmonious control football robots The visual system is si"&amp;"milar to the camera of the visual detection system, and this method is simple and easy to use, high accuracy, and no other auxiliary calibration device.")</f>
        <v>The present invention involves the field of computer vision detection technology, especially involving a set of control methods for controlling football robotics. , Use some logo points on the venue as a calibration reference point, and obtain the pixel coordinates and world coordinates of the calibration reference point; according to the characteristics of the collection of control football robots, establish a camera imaging model With the world coordinates, obtain the internal and external parameters of the camera, and optimize the relevant parameters; use the conversion model of the exposed world coordinates; the present invention is the field of computer vision detection, which can be used for harmonious control football robots The visual system is similar to the camera of the visual detection system, and this method is simple and easy to use, high accuracy, and no other auxiliary calibration device.</v>
      </c>
      <c r="D4156" s="6" t="s">
        <v>11586</v>
      </c>
      <c r="E4156" s="4" t="str">
        <f ca="1">IFERROR(__xludf.DUMMYFUNCTION("GOOGLETRANSLATE(D4156,""auto"",""en"")"),"Method of setting control football robot vision system")</f>
        <v>Method of setting control football robot vision system</v>
      </c>
    </row>
    <row r="4157" spans="1:5" ht="15" x14ac:dyDescent="0.25">
      <c r="A4157" s="5" t="s">
        <v>11587</v>
      </c>
      <c r="B4157" s="6" t="s">
        <v>11588</v>
      </c>
      <c r="C4157" s="3" t="str">
        <f ca="1">IFERROR(__xludf.DUMMYFUNCTION("GOOGLETRANSLATE(B4157,""auto"",""en"")"),"A platform game program that uses artificial intelligence enables the computer to take action, including the following steps: determine the solution of the platform game, including: initialization solution (S 101), select initial solution and new solution"&amp;" (S 102), fitness scores, fitness scores For the first comparison (S 103); generate current solution (S 104); repeat another new solution and compare the adaptation score (S 105); and replace a state (S 106).")</f>
        <v>A platform game program that uses artificial intelligence enables the computer to take action, including the following steps: determine the solution of the platform game, including: initialization solution (S 101), select initial solution and new solution (S 102), fitness scores, fitness scores For the first comparison (S 103); generate current solution (S 104); repeat another new solution and compare the adaptation score (S 105); and replace a state (S 106).</v>
      </c>
      <c r="D4157" s="6" t="s">
        <v>11589</v>
      </c>
      <c r="E4157" s="4" t="str">
        <f ca="1">IFERROR(__xludf.DUMMYFUNCTION("GOOGLETRANSLATE(D4157,""auto"",""en"")"),"Game artificial intelligence")</f>
        <v>Game artificial intelligence</v>
      </c>
    </row>
    <row r="4158" spans="1:5" ht="15" x14ac:dyDescent="0.25">
      <c r="A4158" s="5" t="s">
        <v>11590</v>
      </c>
      <c r="B4158" s="6" t="s">
        <v>11591</v>
      </c>
      <c r="C4158" s="3" t="str">
        <f ca="1">IFERROR(__xludf.DUMMYFUNCTION("GOOGLETRANSLATE(B4158,""auto"",""en"")"),"The invention involves a basketball display rebound with wind power supply to image sensors, which belongs to the field of new energy IoT application technology. Wind blowing the blade rotation quickly, driving the air generator to generate current, the c"&amp;"urrent is adjusted through the winding wire input wind power controller, and then the image sensor and launch antenna installed on the image sensor bracket are input through the conductors. In the ball game, the image of the basketball board and the baske"&amp;"t converted into an electrical signal, which transmitted the electrical signal to the air from the launch antenna one; after receiving the antenna first received the electrical signal, the electrical signal was entered into the computer two for processing"&amp;". The result of the ball is made and stored by the recorder; the launch antenna second will launch the ball result of the ball result. After receiving the antenna two receives the electrical signal, enter the computer as soon as possible to review, displa"&amp;"y the judgment results on the rebate display screen, and and the results of the judgment of the ball, and and and. Send the telecommunications signal of the results of the ball results to the air from the launch antenna.")</f>
        <v>The invention involves a basketball display rebound with wind power supply to image sensors, which belongs to the field of new energy IoT application technology. Wind blowing the blade rotation quickly, driving the air generator to generate current, the current is adjusted through the winding wire input wind power controller, and then the image sensor and launch antenna installed on the image sensor bracket are input through the conductors. In the ball game, the image of the basketball board and the basket converted into an electrical signal, which transmitted the electrical signal to the air from the launch antenna one; after receiving the antenna first received the electrical signal, the electrical signal was entered into the computer two for processing. The result of the ball is made and stored by the recorder; the launch antenna second will launch the ball result of the ball result. After receiving the antenna two receives the electrical signal, enter the computer as soon as possible to review, display the judgment results on the rebate display screen, and and the results of the judgment of the ball, and and and. Send the telecommunications signal of the results of the ball results to the air from the launch antenna.</v>
      </c>
      <c r="D4158" s="6" t="s">
        <v>11592</v>
      </c>
      <c r="E4158" s="4" t="str">
        <f ca="1">IFERROR(__xludf.DUMMYFUNCTION("GOOGLETRANSLATE(D4158,""auto"",""en"")"),"A basketball with wind power supply to the image sensor display rebounds")</f>
        <v>A basketball with wind power supply to the image sensor display rebounds</v>
      </c>
    </row>
    <row r="4159" spans="1:5" ht="15" x14ac:dyDescent="0.25">
      <c r="A4159" s="5" t="s">
        <v>11593</v>
      </c>
      <c r="B4159" s="6" t="s">
        <v>11594</v>
      </c>
      <c r="C4159" s="3" t="str">
        <f ca="1">IFERROR(__xludf.DUMMYFUNCTION("GOOGLETRANSLATE(B4159,""auto"",""en"")"),"The invention involves a football display of the football of the image sensor with solar photovoltaic power generation, which belongs to the field of new energy IoT application technology. Solar light to solar cells generate current, the current is over, "&amp;"the wire is turned on the input controller, and then enter the image sensor on the image sensor bracket on the goal to power the image sensor. The image sensor converts the change of images of the recorded goal and outside the door to a electrical signal,"&amp;" which is sent from the emission antenna to the air; the receiving antenna above the receiver of the console display is entered into the computer and the computer is processed. On the console display Display the results of the ball, and enter the recorder"&amp;" record, and at the same time send out the electrical signal of the ball result of the result of the launch antenna. After receiving an antenna 2 receiving the ball result on the goal display screen, the computer is entered to review the second computer, "&amp;"announced the judgment results on the goal display screen, and the transmitting antenna second will transmit the ball result of the ball result to the air.")</f>
        <v>The invention involves a football display of the football of the image sensor with solar photovoltaic power generation, which belongs to the field of new energy IoT application technology. Solar light to solar cells generate current, the current is over, the wire is turned on the input controller, and then enter the image sensor on the image sensor bracket on the goal to power the image sensor. The image sensor converts the change of images of the recorded goal and outside the door to a electrical signal, which is sent from the emission antenna to the air; the receiving antenna above the receiver of the console display is entered into the computer and the computer is processed. On the console display Display the results of the ball, and enter the recorder record, and at the same time send out the electrical signal of the ball result of the result of the launch antenna. After receiving an antenna 2 receiving the ball result on the goal display screen, the computer is entered to review the second computer, announced the judgment results on the goal display screen, and the transmitting antenna second will transmit the ball result of the ball result to the air.</v>
      </c>
      <c r="D4159" s="6" t="s">
        <v>11595</v>
      </c>
      <c r="E4159" s="4" t="str">
        <f ca="1">IFERROR(__xludf.DUMMYFUNCTION("GOOGLETRANSLATE(D4159,""auto"",""en"")"),"Football displayed on the image of the image sensor with solar photovoltaic power generation")</f>
        <v>Football displayed on the image of the image sensor with solar photovoltaic power generation</v>
      </c>
    </row>
    <row r="4160" spans="1:5" ht="15" x14ac:dyDescent="0.25">
      <c r="A4160" s="5" t="s">
        <v>11596</v>
      </c>
      <c r="B4160" s="6" t="s">
        <v>11597</v>
      </c>
      <c r="C4160" s="3" t="str">
        <f ca="1">IFERROR(__xludf.DUMMYFUNCTION("GOOGLETRANSLATE(B4160,""auto"",""en"")"),"This utility model involves a basketball display rebounds with wind power supply to image sensors, which belongs to the field of new energy IoT application technology. Wind blowing the blade rotation quickly, driving the air generator to generate current,"&amp;" the current is adjusted through the winding wire input wind power controller, and then the image sensor and launch antenna installed on the image sensor bracket are input through the conductors. In the ball game, the image of the basketball board and the"&amp;" basket converted into an electrical signal, which transmitted the electrical signal to the air from the launch antenna one; after receiving the antenna first received the electrical signal, the electrical signal was entered into the computer two for proc"&amp;"essing. The result of the ball is made and stored by the recorder; the launch antenna second will launch the ball result of the ball result. After receiving the antenna two receives the electrical signal, enter the computer as soon as possible to review, "&amp;"display the judgment results on the rebate display screen, and and the results of the judgment of the ball, and and and. Send the telecommunications signal of the results of the ball results to the air from the launch antenna.")</f>
        <v>This utility model involves a basketball display rebounds with wind power supply to image sensors, which belongs to the field of new energy IoT application technology. Wind blowing the blade rotation quickly, driving the air generator to generate current, the current is adjusted through the winding wire input wind power controller, and then the image sensor and launch antenna installed on the image sensor bracket are input through the conductors. In the ball game, the image of the basketball board and the basket converted into an electrical signal, which transmitted the electrical signal to the air from the launch antenna one; after receiving the antenna first received the electrical signal, the electrical signal was entered into the computer two for processing. The result of the ball is made and stored by the recorder; the launch antenna second will launch the ball result of the ball result. After receiving the antenna two receives the electrical signal, enter the computer as soon as possible to review, display the judgment results on the rebate display screen, and and the results of the judgment of the ball, and and and. Send the telecommunications signal of the results of the ball results to the air from the launch antenna.</v>
      </c>
      <c r="D4160" s="6" t="s">
        <v>11592</v>
      </c>
      <c r="E4160" s="4" t="str">
        <f ca="1">IFERROR(__xludf.DUMMYFUNCTION("GOOGLETRANSLATE(D4160,""auto"",""en"")"),"A basketball with wind power supply to the image sensor display rebounds")</f>
        <v>A basketball with wind power supply to the image sensor display rebounds</v>
      </c>
    </row>
    <row r="4161" spans="1:5" ht="15" x14ac:dyDescent="0.25">
      <c r="A4161" s="5" t="s">
        <v>11598</v>
      </c>
      <c r="B4161" s="6" t="s">
        <v>11599</v>
      </c>
      <c r="C4161" s="3" t="str">
        <f ca="1">IFERROR(__xludf.DUMMYFUNCTION("GOOGLETRANSLATE(B4161,""auto"",""en"")"),"This utility model involves the football goal with a power supply to the image sensor with solar photovoltaic power generation, which belongs to the field of new energy IoT application technology. Solar light to solar cells generate current, the current i"&amp;"s over, the wire is turned on the input controller, and then enter the image sensor on the image sensor bracket on the goal to power the image sensor. The image sensor converts the change of images of the recorded goal and outside the door to a electrical"&amp;" signal, which is sent from the emission antenna to the air; the receiving antenna above the receiver of the console display is entered into the computer and the computer is processed. On the console display Display the results of the ball, and enter the "&amp;"recorder record, and at the same time send out the electrical signal of the ball result of the result of the launch antenna. After receiving an antenna 2 receiving the ball result on the goal display screen, the computer is entered to review the second co"&amp;"mputer, announced the judgment results on the goal display screen, and the transmitting antenna second will transmit the ball result of the ball result to the air.")</f>
        <v>This utility model involves the football goal with a power supply to the image sensor with solar photovoltaic power generation, which belongs to the field of new energy IoT application technology. Solar light to solar cells generate current, the current is over, the wire is turned on the input controller, and then enter the image sensor on the image sensor bracket on the goal to power the image sensor. The image sensor converts the change of images of the recorded goal and outside the door to a electrical signal, which is sent from the emission antenna to the air; the receiving antenna above the receiver of the console display is entered into the computer and the computer is processed. On the console display Display the results of the ball, and enter the recorder record, and at the same time send out the electrical signal of the ball result of the result of the launch antenna. After receiving an antenna 2 receiving the ball result on the goal display screen, the computer is entered to review the second computer, announced the judgment results on the goal display screen, and the transmitting antenna second will transmit the ball result of the ball result to the air.</v>
      </c>
      <c r="D4161" s="6" t="s">
        <v>11595</v>
      </c>
      <c r="E4161" s="4" t="str">
        <f ca="1">IFERROR(__xludf.DUMMYFUNCTION("GOOGLETRANSLATE(D4161,""auto"",""en"")"),"Football displayed on the image of the image sensor with solar photovoltaic power generation")</f>
        <v>Football displayed on the image of the image sensor with solar photovoltaic power generation</v>
      </c>
    </row>
    <row r="4162" spans="1:5" ht="15" x14ac:dyDescent="0.25">
      <c r="A4162" s="5" t="s">
        <v>11600</v>
      </c>
      <c r="B4162" s="6" t="s">
        <v>11601</v>
      </c>
      <c r="C4162" s="3" t="str">
        <f ca="1">IFERROR(__xludf.DUMMYFUNCTION("GOOGLETRANSLATE(B4162,""auto"",""en"")"),"Football Robot Intelligence Decision System: Football Robot System provides a standard test platform for artificial intelligence, especially multi -intelligent research. The core of the system is ""brain"", that is, decision -making system; on the basis o"&amp;"f stratified decision -making, a modular design is adopted; the modules of the decision -making system include visual modules, decision modules, and control modules in detail, and propose a series of new new new new new new new new new new new new. Implem"&amp;"entation method.")</f>
        <v>Football Robot Intelligence Decision System: Football Robot System provides a standard test platform for artificial intelligence, especially multi -intelligent research. The core of the system is "brain", that is, decision -making system; on the basis of stratified decision -making, a modular design is adopted; the modules of the decision -making system include visual modules, decision modules, and control modules in detail, and propose a series of new new new new new new new new new new new new. Implementation method.</v>
      </c>
      <c r="D4162" s="6" t="s">
        <v>11602</v>
      </c>
      <c r="E4162" s="4" t="str">
        <f ca="1">IFERROR(__xludf.DUMMYFUNCTION("GOOGLETRANSLATE(D4162,""auto"",""en"")"),"Football Robot Intelligent Decision System")</f>
        <v>Football Robot Intelligent Decision System</v>
      </c>
    </row>
    <row r="4163" spans="1:5" ht="15" x14ac:dyDescent="0.25">
      <c r="A4163" s="5" t="s">
        <v>11603</v>
      </c>
      <c r="B4163" s="6" t="s">
        <v>11604</v>
      </c>
      <c r="C4163" s="3" t="str">
        <f ca="1">IFERROR(__xludf.DUMMYFUNCTION("GOOGLETRANSLATE(B4163,""auto"",""en"")"),"This utility model involves a smart treadmill controller, which is: exercise time display, motion time button, control panel, LCD display, keyboard, USB interface, transmission line, heart rate sensor, alarm device, lower machine controller, relay, relay "&amp;", Weight sensor, two -way thyristor, string motor, running belt, photoelectric encoder, power supply, audio equipment, upper machine controller, stop button, pause button, start button, heart rate display, weight display, slope display screen, slope displ"&amp;"ay screen , Slope button, sports speed display, motion speed button composition. There are exercise time displays, motion time buttons, LCD displays, keyboards, stop buttons, pause buttons, start buttons, heart rate displays, slope display, slope button, "&amp;"motion speed display, motion speed display, motion speed display, motion speed display, slope display screen, motion speed display, slope display screen Speed ​​button. The product is simple, easy to control, strong anti -electromagnetic interference perf"&amp;"ormance, and has a good human -computer interaction interface.")</f>
        <v>This utility model involves a smart treadmill controller, which is: exercise time display, motion time button, control panel, LCD display, keyboard, USB interface, transmission line, heart rate sensor, alarm device, lower machine controller, relay, relay , Weight sensor, two -way thyristor, string motor, running belt, photoelectric encoder, power supply, audio equipment, upper machine controller, stop button, pause button, start button, heart rate display, weight display, slope display screen, slope display screen , Slope button, sports speed display, motion speed button composition. There are exercise time displays, motion time buttons, LCD displays, keyboards, stop buttons, pause buttons, start buttons, heart rate displays, slope display, slope button, motion speed display, motion speed display, motion speed display, motion speed display, slope display screen, motion speed display, slope display screen Speed ​​button. The product is simple, easy to control, strong anti -electromagnetic interference performance, and has a good human -computer interaction interface.</v>
      </c>
      <c r="D4163" s="6" t="s">
        <v>11605</v>
      </c>
      <c r="E4163" s="4" t="str">
        <f ca="1">IFERROR(__xludf.DUMMYFUNCTION("GOOGLETRANSLATE(D4163,""auto"",""en"")"),"A smart treadmill controller")</f>
        <v>A smart treadmill controller</v>
      </c>
    </row>
    <row r="4164" spans="1:5" ht="15" x14ac:dyDescent="0.25">
      <c r="A4164" s="5" t="s">
        <v>11606</v>
      </c>
      <c r="B4164" s="6" t="s">
        <v>11607</v>
      </c>
      <c r="C4164" s="3" t="str">
        <f ca="1">IFERROR(__xludf.DUMMYFUNCTION("GOOGLETRANSLATE(B4164,""auto"",""en"")"),"Equipment used to record data of tennis competition (10) is preferably designed as a device that can be worn on athletes, especially with bracelets on the arm of athletes (12). For example, it includes voice recognition equipment with microphones, especia"&amp;"lly motion sensors or other sensors. Sensor can be used to record players related to tennis games and evaluate it later.")</f>
        <v>Equipment used to record data of tennis competition (10) is preferably designed as a device that can be worn on athletes, especially with bracelets on the arm of athletes (12). For example, it includes voice recognition equipment with microphones, especially motion sensors or other sensors. Sensor can be used to record players related to tennis games and evaluate it later.</v>
      </c>
      <c r="D4164" s="6" t="s">
        <v>11608</v>
      </c>
      <c r="E4164" s="4" t="str">
        <f ca="1">IFERROR(__xludf.DUMMYFUNCTION("GOOGLETRANSLATE(D4164,""auto"",""en"")"),"Equipment used to record tennis game data.")</f>
        <v>Equipment used to record tennis game data.</v>
      </c>
    </row>
    <row r="4165" spans="1:5" ht="15" x14ac:dyDescent="0.25">
      <c r="A4165" s="5" t="s">
        <v>11609</v>
      </c>
      <c r="B4165" s="6" t="s">
        <v>11610</v>
      </c>
      <c r="C4165" s="3" t="str">
        <f ca="1">IFERROR(__xludf.DUMMYFUNCTION("GOOGLETRANSLATE(B4165,""auto"",""en"")"),"1. The name of the product designed this product: DVS Internet of Things Global machine (005). 2. Design product use: spherical camera with IoT information. 3. Design points for design: The overall shape of the product. 4. Pictures or photos that can best"&amp;" show design: stereo. 5. There is no main point of designing the viewing view and the rear view, so it is omitted.")</f>
        <v>1. The name of the product designed this product: DVS Internet of Things Global machine (005). 2. Design product use: spherical camera with IoT information. 3. Design points for design: The overall shape of the product. 4. Pictures or photos that can best show design: stereo. 5. There is no main point of designing the viewing view and the rear view, so it is omitted.</v>
      </c>
      <c r="D4165" s="6" t="s">
        <v>11611</v>
      </c>
      <c r="E4165" s="4" t="str">
        <f ca="1">IFERROR(__xludf.DUMMYFUNCTION("GOOGLETRANSLATE(D4165,""auto"",""en"")"),"DVS Internet of Things Global machine (005)")</f>
        <v>DVS Internet of Things Global machine (005)</v>
      </c>
    </row>
    <row r="4166" spans="1:5" ht="15" x14ac:dyDescent="0.25">
      <c r="A4166" s="5" t="s">
        <v>11612</v>
      </c>
      <c r="B4166" s="6" t="s">
        <v>11613</v>
      </c>
      <c r="C4166" s="3" t="str">
        <f ca="1">IFERROR(__xludf.DUMMYFUNCTION("GOOGLETRANSLATE(B4166,""auto"",""en"")"),"1. The name of the product in appearance: DVS Internet of Things Global machine (004). 2. Design product use: spherical camera with IoT information. 3. Design points for design: The overall shape of the product. 4. Pictures or photos that can best show de"&amp;"sign: stereo.")</f>
        <v>1. The name of the product in appearance: DVS Internet of Things Global machine (004). 2. Design product use: spherical camera with IoT information. 3. Design points for design: The overall shape of the product. 4. Pictures or photos that can best show design: stereo.</v>
      </c>
      <c r="D4166" s="6" t="s">
        <v>11614</v>
      </c>
      <c r="E4166" s="4" t="str">
        <f ca="1">IFERROR(__xludf.DUMMYFUNCTION("GOOGLETRANSLATE(D4166,""auto"",""en"")"),"DVS Internet of Things Gel (004)")</f>
        <v>DVS Internet of Things Gel (004)</v>
      </c>
    </row>
    <row r="4167" spans="1:5" ht="15" x14ac:dyDescent="0.25">
      <c r="A4167" s="5" t="s">
        <v>11615</v>
      </c>
      <c r="B4167" s="6" t="s">
        <v>11616</v>
      </c>
      <c r="C4167" s="3" t="str">
        <f ca="1">IFERROR(__xludf.DUMMYFUNCTION("GOOGLETRANSLATE(B4167,""auto"",""en"")"),"1. The name of the product in appearance: DVS Internet of Things Global machine (001). 2. Design product use: spherical camera with IoT information. 3. Design points for design: The overall shape of the product. 4. Pictures or photos that can best show de"&amp;"sign: stereo.")</f>
        <v>1. The name of the product in appearance: DVS Internet of Things Global machine (001). 2. Design product use: spherical camera with IoT information. 3. Design points for design: The overall shape of the product. 4. Pictures or photos that can best show design: stereo.</v>
      </c>
      <c r="D4167" s="6" t="s">
        <v>11617</v>
      </c>
      <c r="E4167" s="4" t="str">
        <f ca="1">IFERROR(__xludf.DUMMYFUNCTION("GOOGLETRANSLATE(D4167,""auto"",""en"")"),"DVS Internet of Things Gel (001)")</f>
        <v>DVS Internet of Things Gel (001)</v>
      </c>
    </row>
    <row r="4168" spans="1:5" ht="15" x14ac:dyDescent="0.25">
      <c r="A4168" s="5" t="s">
        <v>11618</v>
      </c>
      <c r="B4168" s="6" t="s">
        <v>11619</v>
      </c>
      <c r="C4168" s="3" t="str">
        <f ca="1">IFERROR(__xludf.DUMMYFUNCTION("GOOGLETRANSLATE(B4168,""auto"",""en"")"),"1. The name of the product in appearance: IoT Glog (DVS002). 2. Design product use: spherical camera with IoT information. 3. Design points for design: The overall shape of the product. 4. Pictures or photos that can best show design: stereo.")</f>
        <v>1. The name of the product in appearance: IoT Glog (DVS002). 2. Design product use: spherical camera with IoT information. 3. Design points for design: The overall shape of the product. 4. Pictures or photos that can best show design: stereo.</v>
      </c>
      <c r="D4168" s="6" t="s">
        <v>11620</v>
      </c>
      <c r="E4168" s="4" t="str">
        <f ca="1">IFERROR(__xludf.DUMMYFUNCTION("GOOGLETRANSLATE(D4168,""auto"",""en"")"),"Internet of Things Global machine (DVS 002)")</f>
        <v>Internet of Things Global machine (DVS 002)</v>
      </c>
    </row>
    <row r="4169" spans="1:5" ht="15" x14ac:dyDescent="0.25">
      <c r="A4169" s="5" t="s">
        <v>11621</v>
      </c>
      <c r="B4169" s="6" t="s">
        <v>11622</v>
      </c>
      <c r="C4169" s="3" t="str">
        <f ca="1">IFERROR(__xludf.DUMMYFUNCTION("GOOGLETRANSLATE(B4169,""auto"",""en"")"),"This utility model provides an integrated sauna system with a fitness car, which includes sauna, fitness cars, multiple biologists and central processors. It is located around the fitness vehicle for infrared heating of the fitness car users. The processo"&amp;"r has a human -computer interaction interface to facilitate the control parameters of the fitness vehicle and biological spectrometer to the central processor input control to the central processor. This practical new model can make up for insufficient ex"&amp;"ercise of cycling, eliminate fatigue caused by cycling, controlling campaign and sauna.")</f>
        <v>This utility model provides an integrated sauna system with a fitness car, which includes sauna, fitness cars, multiple biologists and central processors. It is located around the fitness vehicle for infrared heating of the fitness car users. The processor has a human -computer interaction interface to facilitate the control parameters of the fitness vehicle and biological spectrometer to the central processor input control to the central processor. This practical new model can make up for insufficient exercise of cycling, eliminate fatigue caused by cycling, controlling campaign and sauna.</v>
      </c>
      <c r="D4169" s="6" t="s">
        <v>11623</v>
      </c>
      <c r="E4169" s="4" t="str">
        <f ca="1">IFERROR(__xludf.DUMMYFUNCTION("GOOGLETRANSLATE(D4169,""auto"",""en"")"),"There is an integrated sauna system with a fitness car")</f>
        <v>There is an integrated sauna system with a fitness car</v>
      </c>
    </row>
    <row r="4170" spans="1:5" ht="15" x14ac:dyDescent="0.25">
      <c r="A4170" s="5" t="s">
        <v>11624</v>
      </c>
      <c r="B4170" s="6" t="s">
        <v>11625</v>
      </c>
      <c r="C4170" s="3" t="str">
        <f ca="1">IFERROR(__xludf.DUMMYFUNCTION("GOOGLETRANSLATE(B4170,""auto"",""en"")"),"The present invention provides an integrated sauna system with a massage chair, which includes sauna, massage chair, multiple biological spectrometers and central processors. It is used around the massage chair to heat the infrared ray of the massage chai"&amp;"r user, which is connected to the central processor and the massage chair and biological spectrometer to control the operation of the massage chair and biological spectrometer, and the central process is processed. There is a human -computer interaction i"&amp;"nterface to facilitate the control parameters of the massage chair and biologist input control to the central processor input control. The present invention can make up for insufficient running in running, eliminate fatigue caused by running, and calories"&amp;" consumed during the control movement and sauna.")</f>
        <v>The present invention provides an integrated sauna system with a massage chair, which includes sauna, massage chair, multiple biological spectrometers and central processors. It is used around the massage chair to heat the infrared ray of the massage chair user, which is connected to the central processor and the massage chair and biological spectrometer to control the operation of the massage chair and biological spectrometer, and the central process is processed. There is a human -computer interaction interface to facilitate the control parameters of the massage chair and biologist input control to the central processor input control. The present invention can make up for insufficient running in running, eliminate fatigue caused by running, and calories consumed during the control movement and sauna.</v>
      </c>
      <c r="D4170" s="6" t="s">
        <v>11626</v>
      </c>
      <c r="E4170" s="4" t="str">
        <f ca="1">IFERROR(__xludf.DUMMYFUNCTION("GOOGLETRANSLATE(D4170,""auto"",""en"")"),"There is an integrated sauna system with a massage chair")</f>
        <v>There is an integrated sauna system with a massage chair</v>
      </c>
    </row>
    <row r="4171" spans="1:5" ht="15" x14ac:dyDescent="0.25">
      <c r="A4171" s="5" t="s">
        <v>11627</v>
      </c>
      <c r="B4171" s="6" t="s">
        <v>11628</v>
      </c>
      <c r="C4171" s="3" t="str">
        <f ca="1">IFERROR(__xludf.DUMMYFUNCTION("GOOGLETRANSLATE(B4171,""auto"",""en"")"),"The present invention provides an integrated sauna system with treadmills, including sauna, treadmills, multiple biological spectrometers, and central processors. The infrared heating around the runner is used around the runner to heat the infrared ray, w"&amp;"hich is connected to the central processor and the treadmill and biological spectrometer to control the operation of the treadmill and biological spectrometer, and the central process is processed in the central government. There is an human -computer int"&amp;"eraction interface to facilitate the control parameters of the runner and biological spectrometer to the central processor input control to the central processor. The present invention can make up for insufficient running in running, eliminate fatigue cau"&amp;"sed by running, and calories consumed during the control movement and sauna.")</f>
        <v>The present invention provides an integrated sauna system with treadmills, including sauna, treadmills, multiple biological spectrometers, and central processors. The infrared heating around the runner is used around the runner to heat the infrared ray, which is connected to the central processor and the treadmill and biological spectrometer to control the operation of the treadmill and biological spectrometer, and the central process is processed in the central government. There is an human -computer interaction interface to facilitate the control parameters of the runner and biological spectrometer to the central processor input control to the central processor. The present invention can make up for insufficient running in running, eliminate fatigue caused by running, and calories consumed during the control movement and sauna.</v>
      </c>
      <c r="D4171" s="6" t="s">
        <v>11629</v>
      </c>
      <c r="E4171" s="4" t="str">
        <f ca="1">IFERROR(__xludf.DUMMYFUNCTION("GOOGLETRANSLATE(D4171,""auto"",""en"")"),"There is an integrated sauna system with a treadmill")</f>
        <v>There is an integrated sauna system with a treadmill</v>
      </c>
    </row>
    <row r="4172" spans="1:5" ht="15" x14ac:dyDescent="0.25">
      <c r="A4172" s="5" t="s">
        <v>11630</v>
      </c>
      <c r="B4172" s="6" t="s">
        <v>11631</v>
      </c>
      <c r="C4172" s="3" t="str">
        <f ca="1">IFERROR(__xludf.DUMMYFUNCTION("GOOGLETRANSLATE(B4172,""auto"",""en"")"),"This utility model provides an integrated sauna system with a massage chair, which includes sauna, massage chair, multiple biological spectrometers, and central processors. The massage chair is located in the sauna room. It is located around the massage c"&amp;"hair for infrared heating of the massage chair users. The processor has an human -computer interaction interface to facilitate the control parameters of the massage chair and biological spectrometer to the central processor input control to the central pr"&amp;"ocessor. This practical new model can make up for insufficient running in running, eliminate fatigue caused by running, control movement and calories consumed during sauna.")</f>
        <v>This utility model provides an integrated sauna system with a massage chair, which includes sauna, massage chair, multiple biological spectrometers, and central processors. The massage chair is located in the sauna room. It is located around the massage chair for infrared heating of the massage chair users. The processor has an human -computer interaction interface to facilitate the control parameters of the massage chair and biological spectrometer to the central processor input control to the central processor. This practical new model can make up for insufficient running in running, eliminate fatigue caused by running, control movement and calories consumed during sauna.</v>
      </c>
      <c r="D4172" s="6" t="s">
        <v>11626</v>
      </c>
      <c r="E4172" s="4" t="str">
        <f ca="1">IFERROR(__xludf.DUMMYFUNCTION("GOOGLETRANSLATE(D4172,""auto"",""en"")"),"There is an integrated sauna system with a massage chair")</f>
        <v>There is an integrated sauna system with a massage chair</v>
      </c>
    </row>
    <row r="4173" spans="1:5" ht="15" x14ac:dyDescent="0.25">
      <c r="A4173" s="5" t="s">
        <v>11632</v>
      </c>
      <c r="B4173" s="6" t="s">
        <v>11633</v>
      </c>
      <c r="C4173" s="3" t="str">
        <f ca="1">IFERROR(__xludf.DUMMYFUNCTION("GOOGLETRANSLATE(B4173,""auto"",""en"")"),"This utility model provides an integrated sauna with a treadmill, which includes sauna, treadmills, multiple biological spectrometers and central processors. It is used around the runner to heat the infrared ray to the runner users, which connects the cen"&amp;"tral processor and the treadmill and biological spectrometer to control the operation of the treadmill and biological spectrometer, and the central government is the central government. The processor has an human -computer interaction interface to facilit"&amp;"ate the control parameters of the runner and biological spectrometer to the central processor input control. This practical new model can make up for insufficient running in running, eliminate fatigue caused by running, control movement and calories consu"&amp;"med during sauna.")</f>
        <v>This utility model provides an integrated sauna with a treadmill, which includes sauna, treadmills, multiple biological spectrometers and central processors. It is used around the runner to heat the infrared ray to the runner users, which connects the central processor and the treadmill and biological spectrometer to control the operation of the treadmill and biological spectrometer, and the central government is the central government. The processor has an human -computer interaction interface to facilitate the control parameters of the runner and biological spectrometer to the central processor input control. This practical new model can make up for insufficient running in running, eliminate fatigue caused by running, control movement and calories consumed during sauna.</v>
      </c>
      <c r="D4173" s="6" t="s">
        <v>11629</v>
      </c>
      <c r="E4173" s="4" t="str">
        <f ca="1">IFERROR(__xludf.DUMMYFUNCTION("GOOGLETRANSLATE(D4173,""auto"",""en"")"),"There is an integrated sauna system with a treadmill")</f>
        <v>There is an integrated sauna system with a treadmill</v>
      </c>
    </row>
    <row r="4174" spans="1:5" ht="15" x14ac:dyDescent="0.25">
      <c r="A4174" s="5" t="s">
        <v>11634</v>
      </c>
      <c r="B4174" s="6" t="s">
        <v>11635</v>
      </c>
      <c r="C4174" s="3" t="str">
        <f ca="1">IFERROR(__xludf.DUMMYFUNCTION("GOOGLETRANSLATE(B4174,""auto"",""en"")"),"Robots are areas that integrate multiple knowledge such as artificial intelligence, driving device, device and instrument configuration, sensors, software, etc. One of them needs to know the location information of the changes in reference positions such "&amp;"as the body and head.
  The present invention is based on a standing posture. Among them, the trunk, head, arms, and legs are arranged along the gravity direction in a robot with a human appearance. When walking or running, the rods of the robot's torso"&amp;" deviate from the standard posture, involving an informatization identification of informationization identification The identification device of the front, rear, left, and right direction and angle.")</f>
        <v>Robots are areas that integrate multiple knowledge such as artificial intelligence, driving device, device and instrument configuration, sensors, software, etc. One of them needs to know the location information of the changes in reference positions such as the body and head.
  The present invention is based on a standing posture. Among them, the trunk, head, arms, and legs are arranged along the gravity direction in a robot with a human appearance. When walking or running, the rods of the robot's torso deviate from the standard posture, involving an informatization identification of informationization identification The identification device of the front, rear, left, and right direction and angle.</v>
      </c>
      <c r="D4174" s="6" t="s">
        <v>11636</v>
      </c>
      <c r="E4174" s="4" t="str">
        <f ca="1">IFERROR(__xludf.DUMMYFUNCTION("GOOGLETRANSLATE(D4174,""auto"",""en"")"),"Robot trunk and body tilt direction and angle recognition device")</f>
        <v>Robot trunk and body tilt direction and angle recognition device</v>
      </c>
    </row>
    <row r="4175" spans="1:5" ht="15" x14ac:dyDescent="0.25">
      <c r="A4175" s="5" t="s">
        <v>11637</v>
      </c>
      <c r="B4175" s="6" t="s">
        <v>11638</v>
      </c>
      <c r="C4175" s="3" t="str">
        <f ca="1">IFERROR(__xludf.DUMMYFUNCTION("GOOGLETRANSLATE(B4175,""auto"",""en"")"),"Athlete starting ability tester. With the development of modern sports and the improvement of competitive levels, time factor is increasingly attracted by coaches, athletes and sports scientists, and the research on the speed of response has occupied an i"&amp;"mportant position. A athlete starting capability tester, which composition includes: the mainstream (1), the input circuit (2) in the console case (2), the input circuit connecting the single -chip machine controller (3), the single -chip microcomputer co"&amp;"ntrol of the single -chip microcomputer control The instrument is connected to the output circuit (4) and the human -machine interactive circuit (5), and the power supply circuit is installed in the mainstorbox (6). This utility model is used for athletes"&amp;"' startup ability test.")</f>
        <v>Athlete starting ability tester. With the development of modern sports and the improvement of competitive levels, time factor is increasingly attracted by coaches, athletes and sports scientists, and the research on the speed of response has occupied an important position. A athlete starting capability tester, which composition includes: the mainstream (1), the input circuit (2) in the console case (2), the input circuit connecting the single -chip machine controller (3), the single -chip microcomputer control of the single -chip microcomputer control The instrument is connected to the output circuit (4) and the human -machine interactive circuit (5), and the power supply circuit is installed in the mainstorbox (6). This utility model is used for athletes' startup ability test.</v>
      </c>
      <c r="D4175" s="6" t="s">
        <v>11639</v>
      </c>
      <c r="E4175" s="4" t="str">
        <f ca="1">IFERROR(__xludf.DUMMYFUNCTION("GOOGLETRANSLATE(D4175,""auto"",""en"")"),"Athlete starting ability tester")</f>
        <v>Athlete starting ability tester</v>
      </c>
    </row>
    <row r="4176" spans="1:5" ht="15" x14ac:dyDescent="0.25">
      <c r="A4176" s="5" t="s">
        <v>11640</v>
      </c>
      <c r="B4176" s="6" t="s">
        <v>11641</v>
      </c>
      <c r="C4176" s="3" t="str">
        <f ca="1">IFERROR(__xludf.DUMMYFUNCTION("GOOGLETRANSLATE(B4176,""auto"",""en"")"),"Provides a lecture guidance system that can support the speaker in real time while the speaker can speak.
  The display device of the demonstration material, the voice recognition device, used to identify the voice of the demonstrator, and the point of "&amp;"the demonstrator of the recognition result of the voice recognition device. Sentence analysis device, the second sentence analysis device is used to obtain the main points of the content contained in the demonstration material. The device provides the cor"&amp;"responding part of the demonstration materials to the demonstrator and the notification method of providing notifications.
  【Selection Figure】 Figure 3")</f>
        <v>Provides a lecture guidance system that can support the speaker in real time while the speaker can speak.
  The display device of the demonstration material, the voice recognition device, used to identify the voice of the demonstrator, and the point of the demonstrator of the recognition result of the voice recognition device. Sentence analysis device, the second sentence analysis device is used to obtain the main points of the content contained in the demonstration material. The device provides the corresponding part of the demonstration materials to the demonstrator and the notification method of providing notifications.
  【Selection Figure】 Figure 3</v>
      </c>
      <c r="D4176" s="6" t="s">
        <v>11642</v>
      </c>
      <c r="E4176" s="4" t="str">
        <f ca="1">IFERROR(__xludf.DUMMYFUNCTION("GOOGLETRANSLATE(D4176,""auto"",""en"")"),"Lecture Coach System")</f>
        <v>Lecture Coach System</v>
      </c>
    </row>
    <row r="4177" spans="1:5" ht="15" x14ac:dyDescent="0.25">
      <c r="A4177" s="5" t="s">
        <v>11643</v>
      </c>
      <c r="B4177" s="6" t="s">
        <v>11644</v>
      </c>
      <c r="C4177" s="3" t="str">
        <f ca="1">IFERROR(__xludf.DUMMYFUNCTION("GOOGLETRANSLATE(B4177,""auto"",""en"")"),"The present invention provides a smart mobile micro -cloud multimedia terminal, based on microelectronics technology and embedded technology design, using ARM's high -end processor hardware platforms, including processors and storage circuits, GPS circuit"&amp;"s, GPRS circuits, WIFI circuits, network circuits, network circuits , RIFD read circuit, video and audio circuit, Weiyun Group network circuit and human -machine interactive circuits; loaded multimedia operating systems with real -time task scheduling, mu"&amp;"ltimedia data conversion, and synchronous control to multimedia devices drive and control, Weiyun Group Network, Weiyun Group Network Processing and calculation, and graphic user interface management, etc.; Smart mobile micro -cloud multimedia terminal ha"&amp;"s functions such as mobile phones, GPS, Internet notebooks, and RIFD readers. Applications such as medical care, business, and intelligent transportation. Application software customized according to the requirements of multimedia system terminal users or"&amp;" user application software systems facing a certain field. It is a systematic product for large -scale users.")</f>
        <v>The present invention provides a smart mobile micro -cloud multimedia terminal, based on microelectronics technology and embedded technology design, using ARM's high -end processor hardware platforms, including processors and storage circuits, GPS circuits, GPRS circuits, WIFI circuits, network circuits, network circuits , RIFD read circuit, video and audio circuit, Weiyun Group network circuit and human -machine interactive circuits; loaded multimedia operating systems with real -time task scheduling, multimedia data conversion, and synchronous control to multimedia devices drive and control, Weiyun Group Network, Weiyun Group Network Processing and calculation, and graphic user interface management, etc.; Smart mobile micro -cloud multimedia terminal has functions such as mobile phones, GPS, Internet notebooks, and RIFD readers. Applications such as medical care, business, and intelligent transportation. Application software customized according to the requirements of multimedia system terminal users or user application software systems facing a certain field. It is a systematic product for large -scale users.</v>
      </c>
      <c r="D4177" s="6" t="s">
        <v>11645</v>
      </c>
      <c r="E4177" s="4" t="str">
        <f ca="1">IFERROR(__xludf.DUMMYFUNCTION("GOOGLETRANSLATE(D4177,""auto"",""en"")"),"A smart mobile Weiyun multimedia terminal")</f>
        <v>A smart mobile Weiyun multimedia terminal</v>
      </c>
    </row>
    <row r="4178" spans="1:5" ht="15" x14ac:dyDescent="0.25">
      <c r="A4178" s="5" t="s">
        <v>11646</v>
      </c>
      <c r="B4178" s="6" t="s">
        <v>11647</v>
      </c>
      <c r="C4178" s="3" t="str">
        <f ca="1">IFERROR(__xludf.DUMMYFUNCTION("GOOGLETRANSLATE(B4178,""auto"",""en"")"),"Kind Code: A1 a receiving expression output method and equipment for sports TV broadcasting, which can express and output competitions in real time during the playing scene of TV broadcasting.
  Kind Code: A1 is starting to start the receiving device in"&amp;" a TV broadcast signal including sports videos and audio and output the receiving video signal to the display unit of the receiving device or output the received audio signal to the device of the audio generating unit. Play the timing signal generating de"&amp;"vice to detect the pitching movement of the pitcher from the receiving video signal through the image recognition or the movement of the ball submitted by the pitcher; The video signal and the receiving audio signal are available, and the receiving video "&amp;"signal is output to the display unit of the receiving device, and the output or output the receiving audio signal to the audio generating unit of the receiving device.
  【Selection Figure】 Figure 1")</f>
        <v>Kind Code: A1 a receiving expression output method and equipment for sports TV broadcasting, which can express and output competitions in real time during the playing scene of TV broadcasting.
  Kind Code: A1 is starting to start the receiving device in a TV broadcast signal including sports videos and audio and output the receiving video signal to the display unit of the receiving device or output the received audio signal to the device of the audio generating unit. Play the timing signal generating device to detect the pitching movement of the pitcher from the receiving video signal through the image recognition or the movement of the ball submitted by the pitcher; The video signal and the receiving audio signal are available, and the receiving video signal is output to the display unit of the receiving device, and the output or output the receiving audio signal to the audio generating unit of the receiving device.
  【Selection Figure】 Figure 1</v>
      </c>
      <c r="D4178" s="6" t="s">
        <v>11648</v>
      </c>
      <c r="E4178" s="4" t="str">
        <f ca="1">IFERROR(__xludf.DUMMYFUNCTION("GOOGLETRANSLATE(D4178,""auto"",""en"")"),"Methods and systems for sending/receiving sports TV broadcasting and output expression, methods and equipment for receiving and output sports TV broadcast expressions, methods and equipment for receiving and recording sports TV broadcasts, as well as to r"&amp;"eceive, record and reproduce sports sports The method and system of the system and the start and end of the system of detecting sports competitions and the end")</f>
        <v>Methods and systems for sending/receiving sports TV broadcasting and output expression, methods and equipment for receiving and output sports TV broadcast expressions, methods and equipment for receiving and recording sports TV broadcasts, as well as to receive, record and reproduce sports sports The method and system of the system and the start and end of the system of detecting sports competitions and the end</v>
      </c>
    </row>
    <row r="4179" spans="1:5" ht="15" x14ac:dyDescent="0.25">
      <c r="A4179" s="5" t="s">
        <v>11649</v>
      </c>
      <c r="B4179" s="6" t="s">
        <v>11650</v>
      </c>
      <c r="C4179" s="3" t="str">
        <f ca="1">IFERROR(__xludf.DUMMYFUNCTION("GOOGLETRANSLATE(B4179,""auto"",""en"")"),"A social media platform is provided to share entertainment in an environment where simulation live experience. The social media platform includes a virtual social venue, composed of an audience incarnate, and they expressed positive and negative reactions"&amp;" to the entertainment expressions (such as cheers, laughed and fighting gestures). Virtual social venues include virtual three -dimensional representations of gatherings for entertainment (such as theaters, stadiums or arena). The audience includes the on"&amp;" -site incarnation, ghost incarnation, and/or programming. Real -time avatars represent users who control their avatars in real time. The ghost incarnation represents the past users. They previously controlled their incarnation expressions to respond to t"&amp;"he same entertainment, and their expressions were recorded in the time of entertainment. Programming incarnation is guided by artificial intelligence in response to an expression of entertainment and real -time incarnation presented.")</f>
        <v>A social media platform is provided to share entertainment in an environment where simulation live experience. The social media platform includes a virtual social venue, composed of an audience incarnate, and they expressed positive and negative reactions to the entertainment expressions (such as cheers, laughed and fighting gestures). Virtual social venues include virtual three -dimensional representations of gatherings for entertainment (such as theaters, stadiums or arena). The audience includes the on -site incarnation, ghost incarnation, and/or programming. Real -time avatars represent users who control their avatars in real time. The ghost incarnation represents the past users. They previously controlled their incarnation expressions to respond to the same entertainment, and their expressions were recorded in the time of entertainment. Programming incarnation is guided by artificial intelligence in response to an expression of entertainment and real -time incarnation presented.</v>
      </c>
      <c r="D4179" s="6" t="s">
        <v>11651</v>
      </c>
      <c r="E4179" s="4" t="str">
        <f ca="1">IFERROR(__xludf.DUMMYFUNCTION("GOOGLETRANSLATE(D4179,""auto"",""en"")"),"Social media platform for simulation of live experience")</f>
        <v>Social media platform for simulation of live experience</v>
      </c>
    </row>
    <row r="4180" spans="1:5" ht="15" x14ac:dyDescent="0.25">
      <c r="A4180" s="5" t="s">
        <v>11652</v>
      </c>
      <c r="B4180" s="6" t="s">
        <v>11653</v>
      </c>
      <c r="C4180" s="3" t="str">
        <f ca="1">IFERROR(__xludf.DUMMYFUNCTION("GOOGLETRANSLATE(B4180,""auto"",""en"")"),"The invention involves a table for robotic football games (1). It is applied in the field of industrial automation, and the game can be fully operated, including the ability of automatic resetting. In a preferred embodiment, the table has a game surface ("&amp;"5), a group of one or more rotary shafts (2), and several of them (3) and sensors are used for
  Ball detection and player positioning, control system, target (4) and ball motion mechanism (6, 7) allows human -machine interactions through several genera"&amp;"l -purpose interfaces. Therefore, the present invention applies to
  Allow different configurations: use of senior members who are inconvenient for action; use machines as the possibility of opponents; individuals or long -range players (online games); "&amp;"and completely autonomous configuration (one computer program to another); realize highly realistic games Essence")</f>
        <v>The invention involves a table for robotic football games (1). It is applied in the field of industrial automation, and the game can be fully operated, including the ability of automatic resetting. In a preferred embodiment, the table has a game surface (5), a group of one or more rotary shafts (2), and several of them (3) and sensors are used for
  Ball detection and player positioning, control system, target (4) and ball motion mechanism (6, 7) allows human -machine interactions through several general -purpose interfaces. Therefore, the present invention applies to
  Allow different configurations: use of senior members who are inconvenient for action; use machines as the possibility of opponents; individuals or long -range players (online games); and completely autonomous configuration (one computer program to another); realize highly realistic games Essence</v>
      </c>
      <c r="D4180" s="6" t="s">
        <v>11654</v>
      </c>
      <c r="E4180" s="4" t="str">
        <f ca="1">IFERROR(__xludf.DUMMYFUNCTION("GOOGLETRANSLATE(D4180,""auto"",""en"")"),"Robot watch of football or football game")</f>
        <v>Robot watch of football or football game</v>
      </c>
    </row>
    <row r="4181" spans="1:5" ht="15" x14ac:dyDescent="0.25">
      <c r="A4181" s="5" t="s">
        <v>11655</v>
      </c>
      <c r="B4181" s="6" t="s">
        <v>11656</v>
      </c>
      <c r="C4181" s="3" t="str">
        <f ca="1">IFERROR(__xludf.DUMMYFUNCTION("GOOGLETRANSLATE(B4181,""auto"",""en"")"),"The present invention involves a table for robotic football games (1). It is applied in the field of industrial automation, and the game can be completely autonomous in its operation, including the ability to automatically restart. In the preferred embodi"&amp;"ment, the table has the game surface (5), a group of one or more rotary shafts (2), of which there are multiple players (3), sensors for ball detection and player positioning, control system, control system, and player positioning, control systems, contro"&amp;"l systems, control systems, control systems, and control systems, control systems, and control systems, control systems, and control systems, control systems, and control systems, control systems, and control systems, control systems, and control systems,"&amp;" control systems, and control systems, control systems, and control systems, control systems, and control systems, control systems, and control systems, control systems, and control systems, control systems, control systems, and control systems, control s"&amp;"ystems, and control systems. Target (4), and the ball mechanism (6, 7) allows human -machine interactions through different general interfaces. Therefore, the present invention is useful through allowing different configurations: use by people with inconv"&amp;"enient operations of the upper limbs; the possibility of using machines as opponents; on -site or remote players (online games); and completely autonomous configuration (a computer program and separate other configuration (a computer program and another o"&amp;"ther A computer program); allows highly realistic games.")</f>
        <v>The present invention involves a table for robotic football games (1). It is applied in the field of industrial automation, and the game can be completely autonomous in its operation, including the ability to automatically restart. In the preferred embodiment, the table has the game surface (5), a group of one or more rotary shafts (2), of which there are multiple players (3), sensors for ball detection and player positioning, control system, control system, and player positioning, control systems, control systems, control systems, control systems, and control systems, control systems, and control systems, control systems, and control systems, control systems, and control systems, control systems, and control systems, control systems, and control systems, control systems, and control systems, control systems, and control systems, control systems, and control systems, control systems, and control systems, control systems, and control systems, control systems, control systems, and control systems, control systems, and control systems. Target (4), and the ball mechanism (6, 7) allows human -machine interactions through different general interfaces. Therefore, the present invention is useful through allowing different configurations: use by people with inconvenient operations of the upper limbs; the possibility of using machines as opponents; on -site or remote players (online games); and completely autonomous configuration (a computer program and separate other configuration (a computer program and another other A computer program); allows highly realistic games.</v>
      </c>
      <c r="D4181" s="6" t="s">
        <v>11654</v>
      </c>
      <c r="E4181" s="4" t="str">
        <f ca="1">IFERROR(__xludf.DUMMYFUNCTION("GOOGLETRANSLATE(D4181,""auto"",""en"")"),"Robot watch of football or football game")</f>
        <v>Robot watch of football or football game</v>
      </c>
    </row>
    <row r="4182" spans="1:5" ht="15" x14ac:dyDescent="0.25">
      <c r="A4182" s="5" t="s">
        <v>11657</v>
      </c>
      <c r="B4182" s="6" t="s">
        <v>11658</v>
      </c>
      <c r="C4182" s="3" t="str">
        <f ca="1">IFERROR(__xludf.DUMMYFUNCTION("GOOGLETRANSLATE(B4182,""auto"",""en"")"),"This utility model discloses a smart robot competition device, including the mechanical part and the circuit control part. The mechanical part includes the ball table, console and robot. Essence This utility model is simple, with single -chip microcompute"&amp;"r control, low cost, fast and flexible movement, which can form a fierce confrontation match.")</f>
        <v>This utility model discloses a smart robot competition device, including the mechanical part and the circuit control part. The mechanical part includes the ball table, console and robot. Essence This utility model is simple, with single -chip microcomputer control, low cost, fast and flexible movement, which can form a fierce confrontation match.</v>
      </c>
      <c r="D4182" s="6" t="s">
        <v>11659</v>
      </c>
      <c r="E4182" s="4" t="str">
        <f ca="1">IFERROR(__xludf.DUMMYFUNCTION("GOOGLETRANSLATE(D4182,""auto"",""en"")"),"Intelligent robot competition device")</f>
        <v>Intelligent robot competition device</v>
      </c>
    </row>
    <row r="4183" spans="1:5" ht="15" x14ac:dyDescent="0.25">
      <c r="A4183" s="5" t="s">
        <v>11660</v>
      </c>
      <c r="B4183" s="6" t="s">
        <v>11661</v>
      </c>
      <c r="C4183" s="3" t="str">
        <f ca="1">IFERROR(__xludf.DUMMYFUNCTION("GOOGLETRANSLATE(B4183,""auto"",""en"")"),"The present invention involves a game server that provides sports game services for the first terminal of the first user and the second terminal of the second user. The present invention is a game database that is used to store game data for sports games."&amp;" According to the game process signal and game process entered by the first terminal and the second terminal, read the game data from the game database and process the game data. Before the results of the sports competition between the first user and the "&amp;"second user are determined, the signal of the game outputs the control signal when the game stops the signal from the first terminal and a input in the second terminal. The input progress module starts to execute, and continues to participate in the game "&amp;"progress signal of the terminal input, as the opponent of the terminal of sports games as the first terminal and the second terminal. It contains an artificial intelligence module that responds to running.")</f>
        <v>The present invention involves a game server that provides sports game services for the first terminal of the first user and the second terminal of the second user. The present invention is a game database that is used to store game data for sports games. According to the game process signal and game process entered by the first terminal and the second terminal, read the game data from the game database and process the game data. Before the results of the sports competition between the first user and the second user are determined, the signal of the game outputs the control signal when the game stops the signal from the first terminal and a input in the second terminal. The input progress module starts to execute, and continues to participate in the game progress signal of the terminal input, as the opponent of the terminal of sports games as the first terminal and the second terminal. It contains an artificial intelligence module that responds to running.</v>
      </c>
      <c r="D4183" s="6" t="s">
        <v>11662</v>
      </c>
      <c r="E4183" s="4" t="str">
        <f ca="1">IFERROR(__xludf.DUMMYFUNCTION("GOOGLETRANSLATE(D4183,""auto"",""en"")"),"Gaming servers, methods and record mediums that provide sports game services")</f>
        <v>Gaming servers, methods and record mediums that provide sports game services</v>
      </c>
    </row>
    <row r="4184" spans="1:5" ht="15" x14ac:dyDescent="0.25">
      <c r="A4184" s="5" t="s">
        <v>11663</v>
      </c>
      <c r="B4184" s="6" t="s">
        <v>11664</v>
      </c>
      <c r="C4184" s="3" t="str">
        <f ca="1">IFERROR(__xludf.DUMMYFUNCTION("GOOGLETRANSLATE(B4184,""auto"",""en"")"),"The game server of the present invention selects one of the artificial intelligence modules corresponding to the signal input from the terminal input and the game database of the storage exercise game data, and the artificial intelligence module of each l"&amp;"evel as the user's level setting unit during the practice game. Read the artificial intelligence module selected by the exercise data and level settings in the game database, perform an artificial intelligence module, and perform the exercise data based o"&amp;"n the game process signal entered by the terminal input. It includes the exercise game execution unit for processing.")</f>
        <v>The game server of the present invention selects one of the artificial intelligence modules corresponding to the signal input from the terminal input and the game database of the storage exercise game data, and the artificial intelligence module of each level as the user's level setting unit during the practice game. Read the artificial intelligence module selected by the exercise data and level settings in the game database, perform an artificial intelligence module, and perform the exercise data based on the game process signal entered by the terminal input. It includes the exercise game execution unit for processing.</v>
      </c>
      <c r="D4184" s="6" t="s">
        <v>11665</v>
      </c>
      <c r="E4184" s="4" t="str">
        <f ca="1">IFERROR(__xludf.DUMMYFUNCTION("GOOGLETRANSLATE(D4184,""auto"",""en"")"),"In sports competitions, competition servers, methods and recording mediums that provide practice competition services")</f>
        <v>In sports competitions, competition servers, methods and recording mediums that provide practice competition services</v>
      </c>
    </row>
    <row r="4185" spans="1:5" ht="15" x14ac:dyDescent="0.25">
      <c r="A4185" s="5" t="s">
        <v>11666</v>
      </c>
      <c r="B4185" s="6" t="s">
        <v>11667</v>
      </c>
      <c r="C4185" s="3" t="str">
        <f ca="1">IFERROR(__xludf.DUMMYFUNCTION("GOOGLETRANSLATE(B4185,""auto"",""en"")"),"This utility model provides a kind of blind and disabled voice control trap, including host, handrail fences and electronic instruments. The main features are: control buttons with blind operations on the electronic instrument and handrail fences, adding "&amp;"voice prompt modules and additional voice instruments. Voice control module, where the input end C connection control button of the D trigger f in the voice prompt module, the D trigger terminal grounding, the output terminal via the trigger terminal of t"&amp;"he voice chip U, the output terminal of the voice chip U, control the control, control the control, control the control The derivative T2 connected to the clear -end R of the trigger F; the headset with a microphone with a microphone in the voice control "&amp;"module is connected to the electronic instrument. Control end. Due to the addition of a blind text operation function, voice prompt function, and voice control function, the new utility model makes blind people and disabled people carry out physical exerc"&amp;"ise independently without the need to traction or support, and create a blind running exercise.")</f>
        <v>This utility model provides a kind of blind and disabled voice control trap, including host, handrail fences and electronic instruments. The main features are: control buttons with blind operations on the electronic instrument and handrail fences, adding voice prompt modules and additional voice instruments. Voice control module, where the input end C connection control button of the D trigger f in the voice prompt module, the D trigger terminal grounding, the output terminal via the trigger terminal of the voice chip U, the output terminal of the voice chip U, control the control, control the control, control the control The derivative T2 connected to the clear -end R of the trigger F; the headset with a microphone with a microphone in the voice control module is connected to the electronic instrument. Control end. Due to the addition of a blind text operation function, voice prompt function, and voice control function, the new utility model makes blind people and disabled people carry out physical exercise independently without the need to traction or support, and create a blind running exercise.</v>
      </c>
      <c r="D4185" s="6" t="s">
        <v>11668</v>
      </c>
      <c r="E4185" s="4" t="str">
        <f ca="1">IFERROR(__xludf.DUMMYFUNCTION("GOOGLETRANSLATE(D4185,""auto"",""en"")"),"Blind and disabled voice control walking machine")</f>
        <v>Blind and disabled voice control walking machine</v>
      </c>
    </row>
    <row r="4186" spans="1:5" ht="15" x14ac:dyDescent="0.25">
      <c r="A4186" s="5" t="s">
        <v>11669</v>
      </c>
      <c r="B4186" s="6" t="s">
        <v>11670</v>
      </c>
      <c r="C4186" s="3" t="str">
        <f ca="1">IFERROR(__xludf.DUMMYFUNCTION("GOOGLETRANSLATE(B4186,""auto"",""en"")"),"A method to eliminate human participation scores, by promoting automatic scores, and analyzing the music quality of any song sang by computer to prevent all forms of human prejudice and discrimination. Make large music competitions in the country or world"&amp;"wide becomes feasible. This method enables singers to discover their musical ability and enable them to develop their skills without worrying about the high reputation judges and audiences. Performance. Voice recognition instant scoring system provides so"&amp;"lid guidance for the strengths and weaknesses of the contestants in music skills and instruct them how to improve their music skills. This gives exciting intelligence, spirit, social entertainment and fun, especially for those who have limited social inte"&amp;"raction. Use the virtual stage score to improve the confidence of the contestants, without the need for the pressure or intimidation of the high -profile judges and audiences.")</f>
        <v>A method to eliminate human participation scores, by promoting automatic scores, and analyzing the music quality of any song sang by computer to prevent all forms of human prejudice and discrimination. Make large music competitions in the country or worldwide becomes feasible. This method enables singers to discover their musical ability and enable them to develop their skills without worrying about the high reputation judges and audiences. Performance. Voice recognition instant scoring system provides solid guidance for the strengths and weaknesses of the contestants in music skills and instruct them how to improve their music skills. This gives exciting intelligence, spirit, social entertainment and fun, especially for those who have limited social interaction. Use the virtual stage score to improve the confidence of the contestants, without the need for the pressure or intimidation of the high -profile judges and audiences.</v>
      </c>
      <c r="D4186" s="6" t="s">
        <v>11671</v>
      </c>
      <c r="E4186" s="4" t="str">
        <f ca="1">IFERROR(__xludf.DUMMYFUNCTION("GOOGLETRANSLATE(D4186,""auto"",""en"")"),"Senior online singing competition with automatic scoring function")</f>
        <v>Senior online singing competition with automatic scoring function</v>
      </c>
    </row>
    <row r="4187" spans="1:5" ht="15" x14ac:dyDescent="0.25">
      <c r="A4187" s="5" t="s">
        <v>11672</v>
      </c>
      <c r="B4187" s="6" t="s">
        <v>11673</v>
      </c>
      <c r="C4187" s="3" t="str">
        <f ca="1">IFERROR(__xludf.DUMMYFUNCTION("GOOGLETRANSLATE(B4187,""auto"",""en"")"),"Objective: To detect the installation and methods of players in real -time football images through comprehensive feature machine learning to detect the areas of players in football images. Composition: Image analysis device (200) includes light and shadow"&amp;" detection unit (210) and color detection unit (220). The bright and dark detection unit uses the football game scene to shoot the images of the light and dark information to detect the football player in the image. The color detection unit determines whe"&amp;"ther the color information of the image is detected correctly to detect the detected football players.")</f>
        <v>Objective: To detect the installation and methods of players in real -time football images through comprehensive feature machine learning to detect the areas of players in football images. Composition: Image analysis device (200) includes light and shadow detection unit (210) and color detection unit (220). The bright and dark detection unit uses the football game scene to shoot the images of the light and dark information to detect the football player in the image. The color detection unit determines whether the color information of the image is detected correctly to detect the detected football players.</v>
      </c>
      <c r="D4187" s="6" t="s">
        <v>11674</v>
      </c>
      <c r="E4187" s="4" t="str">
        <f ca="1">IFERROR(__xludf.DUMMYFUNCTION("GOOGLETRANSLATE(D4187,""auto"",""en"")"),"Player detectors and player detection methods based on real -time football videos based on Dort -Specialized Machine Learning")</f>
        <v>Player detectors and player detection methods based on real -time football videos based on Dort -Specialized Machine Learning</v>
      </c>
    </row>
    <row r="4188" spans="1:5" ht="15" x14ac:dyDescent="0.25">
      <c r="A4188" s="5" t="s">
        <v>11675</v>
      </c>
      <c r="B4188" s="6" t="s">
        <v>11676</v>
      </c>
      <c r="C4188" s="3" t="str">
        <f ca="1">IFERROR(__xludf.DUMMYFUNCTION("GOOGLETRANSLATE(B4188,""auto"",""en"")"),"This utility model opens an e -commerce logistics terminal system, including network servers and user terminals, characterized by: the network server also connects the logistics terminal platform and the logistics operation terminal; the logistics termina"&amp;"l platform includes a locker; the place There is also a POS credit card machine on the storage cabinet, the terminal computer remotely connect to the network server, and the network server is also connected to the online banking; the terminal computer als"&amp;"o connects to the identity recognition device. Its remarkable effect is: real -time query can be provided with the price and price of goods and products for customers, providing online appointment registration, providing tickets, hotel reservations, and p"&amp;"roviding movies and science popularization services, and national fitness services. Provide home appliance maintenance and housekeeping services, and postal packages access services to meet the requirements of the new IoT system.")</f>
        <v>This utility model opens an e -commerce logistics terminal system, including network servers and user terminals, characterized by: the network server also connects the logistics terminal platform and the logistics operation terminal; the logistics terminal platform includes a locker; the place There is also a POS credit card machine on the storage cabinet, the terminal computer remotely connect to the network server, and the network server is also connected to the online banking; the terminal computer also connects to the identity recognition device. Its remarkable effect is: real -time query can be provided with the price and price of goods and products for customers, providing online appointment registration, providing tickets, hotel reservations, and providing movies and science popularization services, and national fitness services. Provide home appliance maintenance and housekeeping services, and postal packages access services to meet the requirements of the new IoT system.</v>
      </c>
      <c r="D4188" s="6" t="s">
        <v>11677</v>
      </c>
      <c r="E4188" s="4" t="str">
        <f ca="1">IFERROR(__xludf.DUMMYFUNCTION("GOOGLETRANSLATE(D4188,""auto"",""en"")"),"E -commerce logistics terminal system")</f>
        <v>E -commerce logistics terminal system</v>
      </c>
    </row>
    <row r="4189" spans="1:5" ht="15" x14ac:dyDescent="0.25">
      <c r="A4189" s="5" t="s">
        <v>11678</v>
      </c>
      <c r="B4189" s="6" t="s">
        <v>11679</v>
      </c>
      <c r="C4189" s="3" t="str">
        <f ca="1">IFERROR(__xludf.DUMMYFUNCTION("GOOGLETRANSLATE(B4189,""auto"",""en"")"),"This utility model discloses a recognizable gesture treadmill, including the body and the motor installed on the body, as well as the main control system and camera, which is connected to the input terminal of the main control system. Connect to the motor"&amp;". This utility model is based on computer vision and uses cameras as the acquisition tool for user gestures. Users only need to make a gesture to the camera to achieve the same control effect as the keys. Only a few simple gestures can achieve control run"&amp;"ning running running running. The purpose of the machine allows the user to put aside the restraint of the keys and facilitate the operation.")</f>
        <v>This utility model discloses a recognizable gesture treadmill, including the body and the motor installed on the body, as well as the main control system and camera, which is connected to the input terminal of the main control system. Connect to the motor. This utility model is based on computer vision and uses cameras as the acquisition tool for user gestures. Users only need to make a gesture to the camera to achieve the same control effect as the keys. Only a few simple gestures can achieve control running running running running. The purpose of the machine allows the user to put aside the restraint of the keys and facilitate the operation.</v>
      </c>
      <c r="D4189" s="6" t="s">
        <v>11680</v>
      </c>
      <c r="E4189" s="4" t="str">
        <f ca="1">IFERROR(__xludf.DUMMYFUNCTION("GOOGLETRANSLATE(D4189,""auto"",""en"")"),"Treadmills that can recognize gestures")</f>
        <v>Treadmills that can recognize gestures</v>
      </c>
    </row>
    <row r="4190" spans="1:5" ht="15" x14ac:dyDescent="0.25">
      <c r="A4190" s="5" t="s">
        <v>11681</v>
      </c>
      <c r="B4190" s="6" t="s">
        <v>11682</v>
      </c>
      <c r="C4190" s="3" t="str">
        <f ca="1">IFERROR(__xludf.DUMMYFUNCTION("GOOGLETRANSLATE(B4190,""auto"",""en"")"),"The present invention disclosed a treadmill that can identify gestures, including the ontology and the motor installed on the body, as well as the main control system and camera, which connects the camera to the input terminal of the main control system. "&amp;"The output end of the main control system is connected to To the motor. Based on computer vision, the present invention uses a camera as a collection tool for user gestures. Users only need to make a gesture to the camera to achieve the same control effec"&amp;"t as the keys. The purpose of the user puts aside the restraint of the keys and facilitates the operation.")</f>
        <v>The present invention disclosed a treadmill that can identify gestures, including the ontology and the motor installed on the body, as well as the main control system and camera, which connects the camera to the input terminal of the main control system. The output end of the main control system is connected to To the motor. Based on computer vision, the present invention uses a camera as a collection tool for user gestures. Users only need to make a gesture to the camera to achieve the same control effect as the keys. The purpose of the user puts aside the restraint of the keys and facilitates the operation.</v>
      </c>
      <c r="D4190" s="6" t="s">
        <v>11680</v>
      </c>
      <c r="E4190" s="4" t="str">
        <f ca="1">IFERROR(__xludf.DUMMYFUNCTION("GOOGLETRANSLATE(D4190,""auto"",""en"")"),"Treadmills that can recognize gestures")</f>
        <v>Treadmills that can recognize gestures</v>
      </c>
    </row>
    <row r="4191" spans="1:5" ht="15" x14ac:dyDescent="0.25">
      <c r="A4191" s="5" t="s">
        <v>11683</v>
      </c>
      <c r="B4191" s="6" t="s">
        <v>11684</v>
      </c>
      <c r="C4191" s="3" t="str">
        <f ca="1">IFERROR(__xludf.DUMMYFUNCTION("GOOGLETRANSLATE(B4191,""auto"",""en"")"),"It provides a way to use machine learning technology to estimate the posture of team athletes. This method includes the following steps: extract a set of features from the tracking data, and determine the estimation of the posture by applying the trained "&amp;"classifier to the characteristics of the group. This group characterizes at least one of the players' position and the position of the ball. In addition, a system that provides a posture for the body part of the team athletes (200). The system includes ca"&amp;"meras (201), tracking unit (202), appearance unit (203), feature extraction unit (204), and estimated unit (205).")</f>
        <v>It provides a way to use machine learning technology to estimate the posture of team athletes. This method includes the following steps: extract a set of features from the tracking data, and determine the estimation of the posture by applying the trained classifier to the characteristics of the group. This group characterizes at least one of the players' position and the position of the ball. In addition, a system that provides a posture for the body part of the team athletes (200). The system includes cameras (201), tracking unit (202), appearance unit (203), feature extraction unit (204), and estimated unit (205).</v>
      </c>
      <c r="D4191" s="6" t="s">
        <v>11685</v>
      </c>
      <c r="E4191" s="4" t="str">
        <f ca="1">IFERROR(__xludf.DUMMYFUNCTION("GOOGLETRANSLATE(D4191,""auto"",""en"")"),"Head posture estimation")</f>
        <v>Head posture estimation</v>
      </c>
    </row>
    <row r="4192" spans="1:5" ht="15" x14ac:dyDescent="0.25">
      <c r="A4192" s="5" t="s">
        <v>11686</v>
      </c>
      <c r="B4192" s="6" t="s">
        <v>11687</v>
      </c>
      <c r="C4192" s="3" t="str">
        <f ca="1">IFERROR(__xludf.DUMMYFUNCTION("GOOGLETRANSLATE(B4192,""auto"",""en"")"),"The present invention can be worn by swimmers and including sensor modules, preferably digital compass and acceleration meter, preferably wear under the swimming cap or connects to the goggles, and human -machine interactive devices. , Used to display the"&amp;" circle. The sensor module and human interactive device communicate with each other, preferably through wireless communication. The microprocessor with software is included in the sensor module, watch or two. The microprocessor/software interpretation fro"&amp;"m the data from the digital compass and the digital acceleration meter in the sensor to determine when the swimmer changes the direction to calculate the number of circles. Then the watch can display the number of circles.")</f>
        <v>The present invention can be worn by swimmers and including sensor modules, preferably digital compass and acceleration meter, preferably wear under the swimming cap or connects to the goggles, and human -machine interactive devices. , Used to display the circle. The sensor module and human interactive device communicate with each other, preferably through wireless communication. The microprocessor with software is included in the sensor module, watch or two. The microprocessor/software interpretation from the data from the digital compass and the digital acceleration meter in the sensor to determine when the swimmer changes the direction to calculate the number of circles. Then the watch can display the number of circles.</v>
      </c>
      <c r="D4192" s="6" t="s">
        <v>11688</v>
      </c>
      <c r="E4192" s="4" t="str">
        <f ca="1">IFERROR(__xludf.DUMMYFUNCTION("GOOGLETRANSLATE(D4192,""auto"",""en"")"),"Systems and methods used to calculate the number of swimming circles")</f>
        <v>Systems and methods used to calculate the number of swimming circles</v>
      </c>
    </row>
    <row r="4193" spans="1:5" ht="15" x14ac:dyDescent="0.25">
      <c r="A4193" s="5" t="s">
        <v>11689</v>
      </c>
      <c r="B4193" s="6" t="s">
        <v>11690</v>
      </c>
      <c r="C4193" s="3" t="str">
        <f ca="1">IFERROR(__xludf.DUMMYFUNCTION("GOOGLETRANSLATE(B4193,""auto"",""en"")"),"The present invention is related to pencil boxes. More specifically, in the interior, a basket is set inside the sheath of the sieve box, and the elastic force used to launch the ball launcher bathtub of toy basketball is successfully used, and success is"&amp;" successful in the game. By adding the function of enjoying the simple game, you can improve the function of the universal pencil box using the writing tool through the diversity of the yarn, and can distinguish the product. Moreover, by using AS ***, if "&amp;"you cannot use AS ***, you can enjoy the slackness of the game in leisure, at the same time to enhance the learning effect, and make economic efficiency according to the recovery and utilization")</f>
        <v>The present invention is related to pencil boxes. More specifically, in the interior, a basket is set inside the sheath of the sieve box, and the elastic force used to launch the ball launcher bathtub of toy basketball is successfully used, and success is successful in the game. By adding the function of enjoying the simple game, you can improve the function of the universal pencil box using the writing tool through the diversity of the yarn, and can distinguish the product. Moreover, by using AS ***, if you cannot use AS ***, you can enjoy the slackness of the game in leisure, at the same time to enhance the learning effect, and make economic efficiency according to the recovery and utilization</v>
      </c>
      <c r="D4193" s="6" t="s">
        <v>11691</v>
      </c>
      <c r="E4193" s="4" t="str">
        <f ca="1">IFERROR(__xludf.DUMMYFUNCTION("GOOGLETRANSLATE(D4193,""auto"",""en"")"),"Basketball pen box")</f>
        <v>Basketball pen box</v>
      </c>
    </row>
    <row r="4194" spans="1:5" ht="15" x14ac:dyDescent="0.25">
      <c r="A4194" s="5" t="s">
        <v>11692</v>
      </c>
      <c r="B4194" s="6" t="s">
        <v>11693</v>
      </c>
      <c r="C4194" s="3" t="str">
        <f ca="1">IFERROR(__xludf.DUMMYFUNCTION("GOOGLETRANSLATE(B4194,""auto"",""en"")"),"A mobile terminal, including the first controller that controls the overall operation of the mobile terminal, the memory that stores the data including the first data, the interface connected to the external terminal, the first data stored in the memory a"&amp;"nd the second storage second stored Synchronous second controller is performed between data. Synchronous requests received from external terminals in the external terminal, and wireless communication units configured as receiving call signals. The second "&amp;"controller performs synchronization as the background process, and the first controller processs the call signal when receiving the call signal, and at the same time perform synchronization as the background process.")</f>
        <v>A mobile terminal, including the first controller that controls the overall operation of the mobile terminal, the memory that stores the data including the first data, the interface connected to the external terminal, the first data stored in the memory and the second storage second stored Synchronous second controller is performed between data. Synchronous requests received from external terminals in the external terminal, and wireless communication units configured as receiving call signals. The second controller performs synchronization as the background process, and the first controller processs the call signal when receiving the call signal, and at the same time perform synchronization as the background process.</v>
      </c>
      <c r="D4194" s="6" t="s">
        <v>11694</v>
      </c>
      <c r="E4194" s="4" t="str">
        <f ca="1">IFERROR(__xludf.DUMMYFUNCTION("GOOGLETRANSLATE(D4194,""auto"",""en"")"),"Mobile terminal and their voice recognition methods")</f>
        <v>Mobile terminal and their voice recognition methods</v>
      </c>
    </row>
    <row r="4195" spans="1:5" ht="15" x14ac:dyDescent="0.25">
      <c r="A4195" s="5" t="s">
        <v>11695</v>
      </c>
      <c r="B4195" s="6" t="s">
        <v>11696</v>
      </c>
      <c r="C4195" s="3" t="str">
        <f ca="1">IFERROR(__xludf.DUMMYFUNCTION("GOOGLETRANSLATE(B4195,""auto"",""en"")"),"DC60
  The present invention has developed a method of designing peptide inhibitors with biological methods.
  Calculate two main steps: (1) Find the right position in structure.
  Three -dimensional points for the protein used to design peptide inh"&amp;"ibitors by sliding method.
  Windows combined with two scoring functions to find fitness scores and (2) ranking search.
  Amino acids that use the development of genetic algorithms for the development of inhibitors
  Peptide combined with two scorin"&amp;"g functions to score fitness. Until the order
  Stable protein three -dimensional structure. This will allow you to search.
  Peptide with appropriate amino acid sequence is easy and does not stick to the relatively low point. This
  The peptide inh"&amp;"ibitors obtained through this method can be used to develop specific therapeutic drugs.
  More special target protein suppression
  The invention uses biological methods to develop the design method of peptide inhibitors.
  Calculate two m"&amp;"ain steps: (1) Find the right position in structure.
  Three -dimensional points for the protein used to design peptide inhibitors by sliding method.
  Windows combined with two scoring functions to find fitness scores and (2) ranking search.
  Amin"&amp;"o acids develop the design of inhibitors through genetic algorithms.
  Peptide, and two scoring functions are used in classification of fitness scores. Until the order
  Stable protein three -dimensional structure. This will allow you to search.
  P"&amp;"eptides with appropriate amino acid sequences are easy and will not stick to relatively fresh points. This
  The inactivation of peptide types obtained from this method will help develop specific therapeutic drugs.
  More special target protein suppre"&amp;"ssion")</f>
        <v>DC60
  The present invention has developed a method of designing peptide inhibitors with biological methods.
  Calculate two main steps: (1) Find the right position in structure.
  Three -dimensional points for the protein used to design peptide inhibitors by sliding method.
  Windows combined with two scoring functions to find fitness scores and (2) ranking search.
  Amino acids that use the development of genetic algorithms for the development of inhibitors
  Peptide combined with two scoring functions to score fitness. Until the order
  Stable protein three -dimensional structure. This will allow you to search.
  Peptide with appropriate amino acid sequence is easy and does not stick to the relatively low point. This
  The peptide inhibitors obtained through this method can be used to develop specific therapeutic drugs.
  More special target protein suppression
  The invention uses biological methods to develop the design method of peptide inhibitors.
  Calculate two main steps: (1) Find the right position in structure.
  Three -dimensional points for the protein used to design peptide inhibitors by sliding method.
  Windows combined with two scoring functions to find fitness scores and (2) ranking search.
  Amino acids develop the design of inhibitors through genetic algorithms.
  Peptide, and two scoring functions are used in classification of fitness scores. Until the order
  Stable protein three -dimensional structure. This will allow you to search.
  Peptides with appropriate amino acid sequences are easy and will not stick to relatively fresh points. This
  The inactivation of peptide types obtained from this method will help develop specific therapeutic drugs.
  More special target protein suppression</v>
      </c>
      <c r="D4195" s="6" t="s">
        <v>11697</v>
      </c>
      <c r="E4195" s="4" t="str">
        <f ca="1">IFERROR(__xludf.DUMMYFUNCTION("GOOGLETRANSLATE(D4195,""auto"",""en"")"),"Design process of peptide inhibitors")</f>
        <v>Design process of peptide inhibitors</v>
      </c>
    </row>
    <row r="4196" spans="1:5" ht="15" x14ac:dyDescent="0.25">
      <c r="A4196" s="5" t="s">
        <v>11698</v>
      </c>
      <c r="B4196" s="6" t="s">
        <v>11699</v>
      </c>
      <c r="C4196" s="3" t="str">
        <f ca="1">IFERROR(__xludf.DUMMYFUNCTION("GOOGLETRANSLATE(B4196,""auto"",""en"")"),"This utility model involves a scheduled Go chess geographical, which includes: chessboard panels on the surface of the Go chess gex and the camera fixed above the chessboard panel. Mascies, and power. The chessboard panel includes a Go chessboard, a refer"&amp;"ee control module and a chess player control module; the referee control module includes the referee control buttons used to start the game, terminate the game and set the game parameters, and the referee -side display screen used to display the real -tim"&amp;"e chess records ; The chess player control module includes the timing button, the negative button, and the player's side display. The central processor responds to the signal of each key to perform the time of the chess player, receives and processes the "&amp;"image collected by the camera, and realizes the output of time and image data. This utility model overcomes the shortcomings of the schedules and spectrum in the current Go game, and provides a device that can automatically accurately calculate the spectr"&amp;"um.")</f>
        <v>This utility model involves a scheduled Go chess geographical, which includes: chessboard panels on the surface of the Go chess gex and the camera fixed above the chessboard panel. Mascies, and power. The chessboard panel includes a Go chessboard, a referee control module and a chess player control module; the referee control module includes the referee control buttons used to start the game, terminate the game and set the game parameters, and the referee -side display screen used to display the real -time chess records ; The chess player control module includes the timing button, the negative button, and the player's side display. The central processor responds to the signal of each key to perform the time of the chess player, receives and processes the image collected by the camera, and realizes the output of time and image data. This utility model overcomes the shortcomings of the schedules and spectrum in the current Go game, and provides a device that can automatically accurately calculate the spectrum.</v>
      </c>
      <c r="D4196" s="6" t="s">
        <v>11700</v>
      </c>
      <c r="E4196" s="4" t="str">
        <f ca="1">IFERROR(__xludf.DUMMYFUNCTION("GOOGLETRANSLATE(D4196,""auto"",""en"")"),"Go chess tools based on automatic timing of image recognition")</f>
        <v>Go chess tools based on automatic timing of image recognition</v>
      </c>
    </row>
    <row r="4197" spans="1:5" ht="15" x14ac:dyDescent="0.25">
      <c r="A4197" s="5" t="s">
        <v>11701</v>
      </c>
      <c r="B4197" s="6" t="s">
        <v>11702</v>
      </c>
      <c r="C4197" s="3" t="str">
        <f ca="1">IFERROR(__xludf.DUMMYFUNCTION("GOOGLETRANSLATE(B4197,""auto"",""en"")"),"The present invention involves a scheduled Go chess utensils, which include: chessboard panels on the surface of the Go chess gex and a camera fixed above the chessboard panel. And power supply. The chessboard panel includes a Go chessboard, a referee con"&amp;"trol module and a chess player control module; the referee control module includes the referee control buttons used to start the game, terminate the game and set the game parameters, and the referee -side display screen used to display the real -time ches"&amp;"s records ; The chess player control module includes the timing button, the negative button, and the player's side display. The central processor responds to the signal of each key to perform the time of the chess player, receives and processes the image "&amp;"collected by the camera, and realizes the output of time and image data. The invention overcomes the shortcomings of timing and spectrum in the current Go competition, and provides a device that can automatically accurately calculate spectrum.")</f>
        <v>The present invention involves a scheduled Go chess utensils, which include: chessboard panels on the surface of the Go chess gex and a camera fixed above the chessboard panel. And power supply. The chessboard panel includes a Go chessboard, a referee control module and a chess player control module; the referee control module includes the referee control buttons used to start the game, terminate the game and set the game parameters, and the referee -side display screen used to display the real -time chess records ; The chess player control module includes the timing button, the negative button, and the player's side display. The central processor responds to the signal of each key to perform the time of the chess player, receives and processes the image collected by the camera, and realizes the output of time and image data. The invention overcomes the shortcomings of timing and spectrum in the current Go competition, and provides a device that can automatically accurately calculate spectrum.</v>
      </c>
      <c r="D4197" s="6" t="s">
        <v>11700</v>
      </c>
      <c r="E4197" s="4" t="str">
        <f ca="1">IFERROR(__xludf.DUMMYFUNCTION("GOOGLETRANSLATE(D4197,""auto"",""en"")"),"Go chess tools based on automatic timing of image recognition")</f>
        <v>Go chess tools based on automatic timing of image recognition</v>
      </c>
    </row>
    <row r="4198" spans="1:5" ht="15" x14ac:dyDescent="0.25">
      <c r="A4198" s="5" t="s">
        <v>11703</v>
      </c>
      <c r="B4198" s="6" t="s">
        <v>11704</v>
      </c>
      <c r="C4198" s="3" t="str">
        <f ca="1">IFERROR(__xludf.DUMMYFUNCTION("GOOGLETRANSLATE(B4198,""auto"",""en"")"),"This golf course recommendation method is performed in the golf course recommendation system. The system includes a golf course recommendation server for providing a golf course recommendation procedure and the first computer and second computer that can "&amp;"be connected to the golf course recommendation server through this golf course recommendation server computer. The Internet, and the first computer transmits the curriculum information of the golf course plan entered by the coach to the golf course recomm"&amp;"endation server. Among them Store in the first database-the first database storage about at least one golf course plan-, the second computer transmits the golf capability information of the user received by the user to the golf course plan recommendation "&amp;"server, and it is provided by the golf course plan. According to the user's golf ability information, in the golf course plan stored in the first database, the golf course recommendation program corresponding to the user's golf ability is selected.")</f>
        <v>This golf course recommendation method is performed in the golf course recommendation system. The system includes a golf course recommendation server for providing a golf course recommendation procedure and the first computer and second computer that can be connected to the golf course recommendation server through this golf course recommendation server computer. The Internet, and the first computer transmits the curriculum information of the golf course plan entered by the coach to the golf course recommendation server. Among them Store in the first database-the first database storage about at least one golf course plan-, the second computer transmits the golf capability information of the user received by the user to the golf course plan recommendation server, and it is provided by the golf course plan. According to the user's golf ability information, in the golf course plan stored in the first database, the golf course recommendation program corresponding to the user's golf ability is selected.</v>
      </c>
      <c r="D4198" s="6" t="s">
        <v>11705</v>
      </c>
      <c r="E4198" s="4" t="str">
        <f ca="1">IFERROR(__xludf.DUMMYFUNCTION("GOOGLETRANSLATE(D4198,""auto"",""en"")"),"How to recommend golf course plan")</f>
        <v>How to recommend golf course plan</v>
      </c>
    </row>
    <row r="4199" spans="1:5" ht="15" x14ac:dyDescent="0.25">
      <c r="A4199" s="5" t="s">
        <v>11706</v>
      </c>
      <c r="B4199" s="6" t="s">
        <v>11707</v>
      </c>
      <c r="C4199" s="3" t="str">
        <f ca="1">IFERROR(__xludf.DUMMYFUNCTION("GOOGLETRANSLATE(B4199,""auto"",""en"")"),"The present invention uses a large number of vocabulary in the dictionary to select English words, presented to users in multiple choices, and provides users with a vocabulary learning game that matches in limited rules to provide fun and motivation for g"&amp;"ame participants. The spirit of competition makes it possible to learn effective vocabulary.
  According to the vocabulary of the present invention, the game surpasses a number of choice questions simply, but provides users with a sense of tension and c"&amp;"hallenges by quickly solving the problems presented in a limited time and the game that must solve the problem. Quickly and accurately solve the problem, do not make mistakes, which helps to participate in the game. Through the 3D incarnation, the game re"&amp;"presents the game to automatically achieve continuous learning, thereby stimulating interest and interest in the game, and enhancing learning results.")</f>
        <v>The present invention uses a large number of vocabulary in the dictionary to select English words, presented to users in multiple choices, and provides users with a vocabulary learning game that matches in limited rules to provide fun and motivation for game participants. The spirit of competition makes it possible to learn effective vocabulary.
  According to the vocabulary of the present invention, the game surpasses a number of choice questions simply, but provides users with a sense of tension and challenges by quickly solving the problems presented in a limited time and the game that must solve the problem. Quickly and accurately solve the problem, do not make mistakes, which helps to participate in the game. Through the 3D incarnation, the game represents the game to automatically achieve continuous learning, thereby stimulating interest and interest in the game, and enhancing learning results.</v>
      </c>
      <c r="D4199" s="6" t="s">
        <v>11708</v>
      </c>
      <c r="E4199" s="4" t="str">
        <f ca="1">IFERROR(__xludf.DUMMYFUNCTION("GOOGLETRANSLATE(D4199,""auto"",""en"")"),"Use the vocabulary learning game system and methods of continuous and 3D virtual images on the Internet")</f>
        <v>Use the vocabulary learning game system and methods of continuous and 3D virtual images on the Internet</v>
      </c>
    </row>
    <row r="4200" spans="1:5" ht="15" x14ac:dyDescent="0.25">
      <c r="A4200" s="5" t="s">
        <v>11709</v>
      </c>
      <c r="B4200" s="6" t="s">
        <v>11710</v>
      </c>
      <c r="C4200" s="3" t="str">
        <f ca="1">IFERROR(__xludf.DUMMYFUNCTION("GOOGLETRANSLATE(B4200,""auto"",""en"")"),"The referee induction system involved in sports competitions is designed for solving the technical problems of the existing competition timing and due to the lack of the competition venue, which caused many viewers to understand the technical problems of "&amp;"the game staff in real time. The system includes whistle, watch, call device, control end, and public display. Its design points are that the watch has a signal transmitter and sound control device, and the control terminal has a signal receiver, voice re"&amp;"cognition, programmable controller, and the control terminal connects the public display. The signal transmitter of the watch is supported by the signal receiver on the control end. The display chip of the watch has a score display module. The referee's i"&amp;"nduction system uses whistle to control the game time, making the game more accurate. The real -time information of the relevant players is used to display the public display screen, which increases the fun of audience viewing, suitable for promotion and "&amp;"use in basketball, football or similar sports games.")</f>
        <v>The referee induction system involved in sports competitions is designed for solving the technical problems of the existing competition timing and due to the lack of the competition venue, which caused many viewers to understand the technical problems of the game staff in real time. The system includes whistle, watch, call device, control end, and public display. Its design points are that the watch has a signal transmitter and sound control device, and the control terminal has a signal receiver, voice recognition, programmable controller, and the control terminal connects the public display. The signal transmitter of the watch is supported by the signal receiver on the control end. The display chip of the watch has a score display module. The referee's induction system uses whistle to control the game time, making the game more accurate. The real -time information of the relevant players is used to display the public display screen, which increases the fun of audience viewing, suitable for promotion and use in basketball, football or similar sports games.</v>
      </c>
      <c r="D4200" s="6" t="s">
        <v>11711</v>
      </c>
      <c r="E4200" s="4" t="str">
        <f ca="1">IFERROR(__xludf.DUMMYFUNCTION("GOOGLETRANSLATE(D4200,""auto"",""en"")"),"Magistical sensing system")</f>
        <v>Magistical sensing system</v>
      </c>
    </row>
    <row r="4201" spans="1:5" ht="15" x14ac:dyDescent="0.25">
      <c r="A4201" s="5" t="s">
        <v>11712</v>
      </c>
      <c r="B4201" s="6" t="s">
        <v>11710</v>
      </c>
      <c r="C4201" s="3" t="str">
        <f ca="1">IFERROR(__xludf.DUMMYFUNCTION("GOOGLETRANSLATE(B4201,""auto"",""en"")"),"The referee induction system involved in sports competitions is designed for solving the technical problems of the existing competition timing and due to the lack of the competition venue, which caused many viewers to understand the technical problems of "&amp;"the game staff in real time. The system includes whistle, watch, call device, control end, and public display. Its design points are that the watch has a signal transmitter and sound control device, and the control terminal has a signal receiver, voice re"&amp;"cognition, programmable controller, and the control terminal connects the public display. The signal transmitter of the watch is supported by the signal receiver on the control end. The display chip of the watch has a score display module. The referee's i"&amp;"nduction system uses whistle to control the game time, making the game more accurate. The real -time information of the relevant players is used to display the public display screen, which increases the fun of audience viewing, suitable for promotion and "&amp;"use in basketball, football or similar sports games.")</f>
        <v>The referee induction system involved in sports competitions is designed for solving the technical problems of the existing competition timing and due to the lack of the competition venue, which caused many viewers to understand the technical problems of the game staff in real time. The system includes whistle, watch, call device, control end, and public display. Its design points are that the watch has a signal transmitter and sound control device, and the control terminal has a signal receiver, voice recognition, programmable controller, and the control terminal connects the public display. The signal transmitter of the watch is supported by the signal receiver on the control end. The display chip of the watch has a score display module. The referee's induction system uses whistle to control the game time, making the game more accurate. The real -time information of the relevant players is used to display the public display screen, which increases the fun of audience viewing, suitable for promotion and use in basketball, football or similar sports games.</v>
      </c>
      <c r="D4201" s="6" t="s">
        <v>11711</v>
      </c>
      <c r="E4201" s="4" t="str">
        <f ca="1">IFERROR(__xludf.DUMMYFUNCTION("GOOGLETRANSLATE(D4201,""auto"",""en"")"),"Magistical sensing system")</f>
        <v>Magistical sensing system</v>
      </c>
    </row>
    <row r="4202" spans="1:5" ht="15" x14ac:dyDescent="0.25">
      <c r="A4202" s="5" t="s">
        <v>11713</v>
      </c>
      <c r="B4202" s="6" t="s">
        <v>11714</v>
      </c>
      <c r="C4202" s="3" t="str">
        <f ca="1">IFERROR(__xludf.DUMMYFUNCTION("GOOGLETRANSLATE(B4202,""auto"",""en"")"),"For example, applications executed on a computer running Windows or Vista allow the coach to obtain any sports statistics he wants, and then provide the coach with tools for analyzing these statistics. The input of statistical data is easy, and specific e"&amp;"mbodiments take into account the input and analysis of voice recognition data, as well as marking videos associated with one or more statistical events. The application runs as a desktop application, but also synchronizes online databases on the server fo"&amp;"r online access, and synchronizes specific statistics to video editing of events that create the statistical event.")</f>
        <v>For example, applications executed on a computer running Windows or Vista allow the coach to obtain any sports statistics he wants, and then provide the coach with tools for analyzing these statistics. The input of statistical data is easy, and specific embodiments take into account the input and analysis of voice recognition data, as well as marking videos associated with one or more statistical events. The application runs as a desktop application, but also synchronizes online databases on the server for online access, and synchronizes specific statistics to video editing of events that create the statistical event.</v>
      </c>
      <c r="D4202" s="6" t="s">
        <v>11715</v>
      </c>
      <c r="E4202" s="4" t="str">
        <f ca="1">IFERROR(__xludf.DUMMYFUNCTION("GOOGLETRANSLATE(D4202,""auto"",""en"")"),"Tools and methods to collect and analyze sports statistics data")</f>
        <v>Tools and methods to collect and analyze sports statistics data</v>
      </c>
    </row>
    <row r="4203" spans="1:5" ht="15" x14ac:dyDescent="0.25">
      <c r="A4203" s="5" t="s">
        <v>11716</v>
      </c>
      <c r="B4203" s="6" t="s">
        <v>11717</v>
      </c>
      <c r="C4203" s="3" t="str">
        <f ca="1">IFERROR(__xludf.DUMMYFUNCTION("GOOGLETRANSLATE(B4203,""auto"",""en"")"),"本实用新型公开了一种嵌入式体育词汇翻译系统，系统包括与系统主板连接的中央控制器、液晶显示触摸屏、电源模块、存储器、语音采集模块、语音识别模块、语音合成模块、语音库模块， Collect the speaker's voice signals through the voice collection module, and perform voice recognition, Chinese and English translation, and voice synthesis output throug"&amp;"h voice recognition modules, voice library modules, and voice synthesis modules. It can make people carry smart devices as intermediaries, and realize Chinese and English phonetic conversion in specific watersheds.")</f>
        <v>本实用新型公开了一种嵌入式体育词汇翻译系统，系统包括与系统主板连接的中央控制器、液晶显示触摸屏、电源模块、存储器、语音采集模块、语音识别模块、语音合成模块、语音库模块， Collect the speaker's voice signals through the voice collection module, and perform voice recognition, Chinese and English translation, and voice synthesis output through voice recognition modules, voice library modules, and voice synthesis modules. It can make people carry smart devices as intermediaries, and realize Chinese and English phonetic conversion in specific watersheds.</v>
      </c>
      <c r="D4203" s="6" t="s">
        <v>11718</v>
      </c>
      <c r="E4203" s="4" t="str">
        <f ca="1">IFERROR(__xludf.DUMMYFUNCTION("GOOGLETRANSLATE(D4203,""auto"",""en"")"),"Embedded sports vocabulary translation system")</f>
        <v>Embedded sports vocabulary translation system</v>
      </c>
    </row>
    <row r="4204" spans="1:5" ht="15" x14ac:dyDescent="0.25">
      <c r="A4204" s="5" t="s">
        <v>11719</v>
      </c>
      <c r="B4204" s="6" t="s">
        <v>11720</v>
      </c>
      <c r="C4204" s="3" t="str">
        <f ca="1">IFERROR(__xludf.DUMMYFUNCTION("GOOGLETRANSLATE(B4204,""auto"",""en"")"),"[Question] Practitioners can easily judge whether they can imitate the actions of coaches and predecessors (standardized technical personnel). Enhance the effect of learning physical skills.
  种类代码:A1 本发明是一种在练习者P学习涉及身体动作的技能时使用的身体技能学习辅助装置1,包括:拍摄装置20,用于获取"&amp;"练习者P的身体动作信息;存储装置13, At least one of the storage of regulatory information based on the technical personnel related to the technical personnel related to the technical personnel related to the technical personnel; it is characterized by the display device "&amp;"40 to display the physical movement information and specification information obtained by the shooting device 20 at the same time. Storage device 13.
  【Selection Figure】 Figure 1")</f>
        <v>[Question] Practitioners can easily judge whether they can imitate the actions of coaches and predecessors (standardized technical personnel). Enhance the effect of learning physical skills.
  种类代码:A1 本发明是一种在练习者P学习涉及身体动作的技能时使用的身体技能学习辅助装置1,包括:拍摄装置20,用于获取练习者P的身体动作信息;存储装置13, At least one of the storage of regulatory information based on the technical personnel related to the technical personnel related to the technical personnel related to the technical personnel; it is characterized by the display device 40 to display the physical movement information and specification information obtained by the shooting device 20 at the same time. Storage device 13.
  【Selection Figure】 Figure 1</v>
      </c>
      <c r="D4204" s="6" t="s">
        <v>11721</v>
      </c>
      <c r="E4204" s="4" t="str">
        <f ca="1">IFERROR(__xludf.DUMMYFUNCTION("GOOGLETRANSLATE(D4204,""auto"",""en"")"),"Physical skills Xida support device")</f>
        <v>Physical skills Xida support device</v>
      </c>
    </row>
    <row r="4205" spans="1:5" ht="15" x14ac:dyDescent="0.25">
      <c r="A4205" s="5" t="s">
        <v>11722</v>
      </c>
      <c r="B4205" s="6" t="s">
        <v>11723</v>
      </c>
      <c r="C4205" s="3" t="str">
        <f ca="1">IFERROR(__xludf.DUMMYFUNCTION("GOOGLETRANSLATE(B4205,""auto"",""en"")"),"Image capture, processing and analysis systems, as well as results capture, analysis, and determining the process. The invention involves an image capture, processing and analysis system. Through high -performance camera capture, development is used to al"&amp;"low accurate decision to determine suspicious shots, indicate that the ball is in real time outside the court. Use, for example, for indoor volleyball games or other sports. The developed technical solution allows the role of simulated sides in the venue "&amp;"or stadium game, and signals to send ""ball score"" or ""ball out"". The invention also involves a process for capture, analysis and determination, including software based on computer vision, which is responsible for analyzing and determining the results"&amp;".")</f>
        <v>Image capture, processing and analysis systems, as well as results capture, analysis, and determining the process. The invention involves an image capture, processing and analysis system. Through high -performance camera capture, development is used to allow accurate decision to determine suspicious shots, indicate that the ball is in real time outside the court. Use, for example, for indoor volleyball games or other sports. The developed technical solution allows the role of simulated sides in the venue or stadium game, and signals to send "ball score" or "ball out". The invention also involves a process for capture, analysis and determination, including software based on computer vision, which is responsible for analyzing and determining the results.</v>
      </c>
      <c r="D4205" s="6" t="s">
        <v>11724</v>
      </c>
      <c r="E4205" s="4" t="str">
        <f ca="1">IFERROR(__xludf.DUMMYFUNCTION("GOOGLETRANSLATE(D4205,""auto"",""en"")"),"Image capture, processing and analysis systems, and process of capture, analysis and results determination")</f>
        <v>Image capture, processing and analysis systems, and process of capture, analysis and results determination</v>
      </c>
    </row>
    <row r="4206" spans="1:5" ht="15" x14ac:dyDescent="0.25">
      <c r="A4206" s="5" t="s">
        <v>11725</v>
      </c>
      <c r="B4206" s="6" t="s">
        <v>11726</v>
      </c>
      <c r="C4206" s="3" t="str">
        <f ca="1">IFERROR(__xludf.DUMMYFUNCTION("GOOGLETRANSLATE(B4206,""auto"",""en"")"),"The new model involves sports training tools, especially a new type of running straight forward tilt assistance practitioner. This utility model is welded from the horizontal bracket and the slope bracket to a fixed bracket with a practice range. Among th"&amp;"em, the lower end of the horizontal brackets on both sides is installed with a rolling wheel; a universal wheel is installed on the lower end of the oblique bracket, and the upper end of the oblique bracket has a traction seat belt. Safe safety The other "&amp;"end is connected to the waist of the practitioner. In addition to being able to do a long -standing movement in addition to being able to do static and losing center of gravity, the practical new type can also start to accelerate the movement forward. The"&amp;" utility model is very practical, which can save the intermittent training and rest time of the practitioners, and the loss of manpower. It enhances the effects of learning to master the running techniques. It is not easy to damage, durable, strong safety"&amp;", and high practice.")</f>
        <v>The new model involves sports training tools, especially a new type of running straight forward tilt assistance practitioner. This utility model is welded from the horizontal bracket and the slope bracket to a fixed bracket with a practice range. Among them, the lower end of the horizontal brackets on both sides is installed with a rolling wheel; a universal wheel is installed on the lower end of the oblique bracket, and the upper end of the oblique bracket has a traction seat belt. Safe safety The other end is connected to the waist of the practitioner. In addition to being able to do a long -standing movement in addition to being able to do static and losing center of gravity, the practical new type can also start to accelerate the movement forward. The utility model is very practical, which can save the intermittent training and rest time of the practitioners, and the loss of manpower. It enhances the effects of learning to master the running techniques. It is not easy to damage, durable, strong safety, and high practice.</v>
      </c>
      <c r="D4206" s="6" t="s">
        <v>11727</v>
      </c>
      <c r="E4206" s="4" t="str">
        <f ca="1">IFERROR(__xludf.DUMMYFUNCTION("GOOGLETRANSLATE(D4206,""auto"",""en"")"),"New type of starting straight front tilt assistance exercise")</f>
        <v>New type of starting straight front tilt assistance exercise</v>
      </c>
    </row>
    <row r="4207" spans="1:5" ht="15" x14ac:dyDescent="0.25">
      <c r="A4207" s="5" t="s">
        <v>11728</v>
      </c>
      <c r="B4207" s="6" t="s">
        <v>518</v>
      </c>
      <c r="C4207" s="3" t="str">
        <f ca="1">IFERROR(__xludf.DUMMYFUNCTION("GOOGLETRANSLATE(B4207,""auto"",""en"")"),"-")</f>
        <v>-</v>
      </c>
      <c r="D4207" s="6" t="s">
        <v>11729</v>
      </c>
      <c r="E4207" s="4" t="str">
        <f ca="1">IFERROR(__xludf.DUMMYFUNCTION("GOOGLETRANSLATE(D4207,""auto"",""en"")"),"Human -machine interaction expansion, to improve and correct the trajectory -based method to detect the results of the ball in football video")</f>
        <v>Human -machine interaction expansion, to improve and correct the trajectory -based method to detect the results of the ball in football video</v>
      </c>
    </row>
    <row r="4208" spans="1:5" ht="15" x14ac:dyDescent="0.25">
      <c r="A4208" s="5" t="s">
        <v>11730</v>
      </c>
      <c r="B4208" s="6" t="s">
        <v>11731</v>
      </c>
      <c r="C4208" s="3" t="str">
        <f ca="1">IFERROR(__xludf.DUMMYFUNCTION("GOOGLETRANSLATE(B4208,""auto"",""en"")"),"The work system that enables the voice includes at least two of the equipment 100 and 200 and 200 of the device that is configured to communicate through the wireless network. These devices can be used to convert the system prompts to voice, and use voice"&amp;" recognition to convert the voice command to the system command. The first device 100 can be selected by user 1 30 to the coaching mode to establish a connection connection with the second device 200 and the other user 230 through the wireless network 40 "&amp;"and the second device 230. Equipment 200. The first device 100 of the coach users then provides those receiving prompts to the coach user 130.")</f>
        <v>The work system that enables the voice includes at least two of the equipment 100 and 200 and 200 of the device that is configured to communicate through the wireless network. These devices can be used to convert the system prompts to voice, and use voice recognition to convert the voice command to the system command. The first device 100 can be selected by user 1 30 to the coaching mode to establish a connection connection with the second device 200 and the other user 230 through the wireless network 40 and the second device 230. Equipment 200. The first device 100 of the coach users then provides those receiving prompts to the coach user 130.</v>
      </c>
      <c r="D4208" s="6" t="s">
        <v>11732</v>
      </c>
      <c r="E4208" s="4" t="str">
        <f ca="1">IFERROR(__xludf.DUMMYFUNCTION("GOOGLETRANSLATE(D4208,""auto"",""en"")"),"Training/Guidance System of Voice Work Environment")</f>
        <v>Training/Guidance System of Voice Work Environment</v>
      </c>
    </row>
    <row r="4209" spans="1:5" ht="15" x14ac:dyDescent="0.25">
      <c r="A4209" s="5" t="s">
        <v>11733</v>
      </c>
      <c r="B4209" s="6" t="s">
        <v>11734</v>
      </c>
      <c r="C4209" s="3" t="str">
        <f ca="1">IFERROR(__xludf.DUMMYFUNCTION("GOOGLETRANSLATE(B4209,""auto"",""en"")"),"The work system that enables the voice includes at least two of the equipment 100 and 200 and 200 of the device that is configured to communicate through the wireless network. These devices can be used to convert the system prompts to voice and use voice "&amp;"recognition to convert the voice command to the system command. The first device 100 can be selected by the user 1 30 to the coaching mode to establish a connection with the second device 200 and the other user 230 through the wireless network 40 and the "&amp;"other user 230. Two equipment 200. The first device 100 of the coach users then provides those receiving prompts to the coach user 130.")</f>
        <v>The work system that enables the voice includes at least two of the equipment 100 and 200 and 200 of the device that is configured to communicate through the wireless network. These devices can be used to convert the system prompts to voice and use voice recognition to convert the voice command to the system command. The first device 100 can be selected by the user 1 30 to the coaching mode to establish a connection with the second device 200 and the other user 230 through the wireless network 40 and the other user 230. Two equipment 200. The first device 100 of the coach users then provides those receiving prompts to the coach user 130.</v>
      </c>
      <c r="D4209" s="6" t="s">
        <v>11735</v>
      </c>
      <c r="E4209" s="4" t="str">
        <f ca="1">IFERROR(__xludf.DUMMYFUNCTION("GOOGLETRANSLATE(D4209,""auto"",""en"")"),"Training/guidance system for working environment for supporting voice")</f>
        <v>Training/guidance system for working environment for supporting voice</v>
      </c>
    </row>
    <row r="4210" spans="1:5" ht="15" x14ac:dyDescent="0.25">
      <c r="A4210" s="5" t="s">
        <v>11736</v>
      </c>
      <c r="B4210" s="6" t="s">
        <v>11731</v>
      </c>
      <c r="C4210" s="3" t="str">
        <f ca="1">IFERROR(__xludf.DUMMYFUNCTION("GOOGLETRANSLATE(B4210,""auto"",""en"")"),"The work system that enables the voice includes at least two of the equipment 100 and 200 and 200 of the device that is configured to communicate through the wireless network. These devices can be used to convert the system prompts to voice, and use voice"&amp;" recognition to convert the voice command to the system command. The first device 100 can be selected by user 1 30 to the coaching mode to establish a connection connection with the second device 200 and the other user 230 through the wireless network 40 "&amp;"and the second device 230. Equipment 200. The first device 100 of the coach users then provides those receiving prompts to the coach user 130.")</f>
        <v>The work system that enables the voice includes at least two of the equipment 100 and 200 and 200 of the device that is configured to communicate through the wireless network. These devices can be used to convert the system prompts to voice, and use voice recognition to convert the voice command to the system command. The first device 100 can be selected by user 1 30 to the coaching mode to establish a connection connection with the second device 200 and the other user 230 through the wireless network 40 and the second device 230. Equipment 200. The first device 100 of the coach users then provides those receiving prompts to the coach user 130.</v>
      </c>
      <c r="D4210" s="6" t="s">
        <v>11737</v>
      </c>
      <c r="E4210" s="4" t="str">
        <f ca="1">IFERROR(__xludf.DUMMYFUNCTION("GOOGLETRANSLATE(D4210,""auto"",""en"")"),"Exercise/培训 系统 for a language-based working environment")</f>
        <v>Exercise/培训 系统 for a language-based working environment</v>
      </c>
    </row>
    <row r="4211" spans="1:5" ht="15" x14ac:dyDescent="0.25">
      <c r="A4211" s="5" t="s">
        <v>11738</v>
      </c>
      <c r="B4211" s="6" t="s">
        <v>11739</v>
      </c>
      <c r="C4211" s="3" t="str">
        <f ca="1">IFERROR(__xludf.DUMMYFUNCTION("GOOGLETRANSLATE(B4211,""auto"",""en"")"),"This utility model discloses a fitness instrument instrument with a live voice prompt function, including: detector: to detect the signal of the user currently using the fitness device; The program trigger the voice playback unit; the voice playback unit:"&amp;" used to play pre -set voice to remind the user; display unit: use to display the detected information. This utility model uses the pronunciation of real -life pronunciation in the fitness instrument chart, and then emit a predetermined voice based on the"&amp;" collected data combined with the prepared procedures, indicating that users can better exercise and achieve very good people. The role of machine interaction. In addition, users can easily understand the current exercise through voice, and do not need to"&amp;" watch the display on the instrument for easy use. In addition, there is encouraging voice such as ""refueling"" in the voice to enhance the fun of users in the process of use. In addition, you can also set the store prompt mode.")</f>
        <v>This utility model discloses a fitness instrument instrument with a live voice prompt function, including: detector: to detect the signal of the user currently using the fitness device; The program trigger the voice playback unit; the voice playback unit: used to play pre -set voice to remind the user; display unit: use to display the detected information. This utility model uses the pronunciation of real -life pronunciation in the fitness instrument chart, and then emit a predetermined voice based on the collected data combined with the prepared procedures, indicating that users can better exercise and achieve very good people. The role of machine interaction. In addition, users can easily understand the current exercise through voice, and do not need to watch the display on the instrument for easy use. In addition, there is encouraging voice such as "refueling" in the voice to enhance the fun of users in the process of use. In addition, you can also set the store prompt mode.</v>
      </c>
      <c r="D4211" s="6" t="s">
        <v>11740</v>
      </c>
      <c r="E4211" s="4" t="str">
        <f ca="1">IFERROR(__xludf.DUMMYFUNCTION("GOOGLETRANSLATE(D4211,""auto"",""en"")"),"A fitness instrument instrument with a live voice prompt function")</f>
        <v>A fitness instrument instrument with a live voice prompt function</v>
      </c>
    </row>
    <row r="4212" spans="1:5" ht="15" x14ac:dyDescent="0.25">
      <c r="A4212" s="5" t="s">
        <v>11741</v>
      </c>
      <c r="B4212" s="6" t="s">
        <v>11742</v>
      </c>
      <c r="C4212" s="3" t="str">
        <f ca="1">IFERROR(__xludf.DUMMYFUNCTION("GOOGLETRANSLATE(B4212,""auto"",""en"")"),"A six -dimensional force sensor includes a sensor elastic body and resistance strain sheet composed of a cylindrical shell and a cross elastic beam. The cross elastic beam is located in the center of the shell, consisting of the strain beam (1) and the lo"&amp;"ading platform (3). The upper base (6) and the lower base (10) are located at both ends of the shell; the transmission pillar (7) is located in the middle of the shell and is connected to the upper elastic beam (4) and the lower elastic beam (8); (2) Loca"&amp;"ted between the pillar, the inner side is connected to the strain beam. Sensor Limin elements are upper elastic beams, lower elastic beams, and strain beams. Paste the appropriate position on Limin elements (28) chip resistance strain tablets. Among them,"&amp;" 24 groups of vascular composition of 6 sets of full bridge detection circuits can be achieved to achieve six dimensions. For information acquisition, the remaining 4 slices should be spare. The present invention has the characteristics of compact structu"&amp;"re, large rigidity, small -dimensional coupling, high accuracy, and good dynamic performance. It can be used for intelligent robotics research, automation detection and control, bionic exercise analysis and sports research.")</f>
        <v>A six -dimensional force sensor includes a sensor elastic body and resistance strain sheet composed of a cylindrical shell and a cross elastic beam. The cross elastic beam is located in the center of the shell, consisting of the strain beam (1) and the loading platform (3). The upper base (6) and the lower base (10) are located at both ends of the shell; the transmission pillar (7) is located in the middle of the shell and is connected to the upper elastic beam (4) and the lower elastic beam (8); (2) Located between the pillar, the inner side is connected to the strain beam. Sensor Limin elements are upper elastic beams, lower elastic beams, and strain beams. Paste the appropriate position on Limin elements (28) chip resistance strain tablets. Among them, 24 groups of vascular composition of 6 sets of full bridge detection circuits can be achieved to achieve six dimensions. For information acquisition, the remaining 4 slices should be spare. The present invention has the characteristics of compact structure, large rigidity, small -dimensional coupling, high accuracy, and good dynamic performance. It can be used for intelligent robotics research, automation detection and control, bionic exercise analysis and sports research.</v>
      </c>
      <c r="D4212" s="6" t="s">
        <v>11743</v>
      </c>
      <c r="E4212" s="4" t="str">
        <f ca="1">IFERROR(__xludf.DUMMYFUNCTION("GOOGLETRANSLATE(D4212,""auto"",""en"")"),"A six -dimensional force sensor")</f>
        <v>A six -dimensional force sensor</v>
      </c>
    </row>
    <row r="4213" spans="1:5" ht="15" x14ac:dyDescent="0.25">
      <c r="A4213" s="5" t="s">
        <v>11744</v>
      </c>
      <c r="B4213" s="6" t="s">
        <v>11745</v>
      </c>
      <c r="C4213" s="3" t="str">
        <f ca="1">IFERROR(__xludf.DUMMYFUNCTION("GOOGLETRANSLATE(B4213,""auto"",""en"")"),"The elastic body of a six -dimensional force sensor is composed of a cylindrical shell and a cross -elastic beam structure, and the shell is hollowed out, forming a flexible beam (2), the upper elastic beam (4), and the transmission pillar (7) , Lower ela"&amp;"stic beam (8), upper convex (5), lower bump (9), upper base (6), lower base (10), upper support (11) and lower support (12); cross elasticity The beam is located in the center of the shell; the loading platform (3) is located in the center of the cross el"&amp;"astic beam; The upper base (6) and the lower base (10) are located at both ends of the shell; the Pillar Pillar (7) is located between the upper and upstakes (5) and the lower bump (9), and The shell between the strip holes forms. This utility model has t"&amp;"he characteristics of structural compactness, large rigidity, small -dimensional coupling, high accuracy, and good dynamic performance. It can be used for intelligent robotics research, automation detection and control, bionic exercise analysis and sports"&amp;" research.")</f>
        <v>The elastic body of a six -dimensional force sensor is composed of a cylindrical shell and a cross -elastic beam structure, and the shell is hollowed out, forming a flexible beam (2), the upper elastic beam (4), and the transmission pillar (7) , Lower elastic beam (8), upper convex (5), lower bump (9), upper base (6), lower base (10), upper support (11) and lower support (12); cross elasticity The beam is located in the center of the shell; the loading platform (3) is located in the center of the cross elastic beam; The upper base (6) and the lower base (10) are located at both ends of the shell; the Pillar Pillar (7) is located between the upper and upstakes (5) and the lower bump (9), and The shell between the strip holes forms. This utility model has the characteristics of structural compactness, large rigidity, small -dimensional coupling, high accuracy, and good dynamic performance. It can be used for intelligent robotics research, automation detection and control, bionic exercise analysis and sports research.</v>
      </c>
      <c r="D4213" s="6" t="s">
        <v>11746</v>
      </c>
      <c r="E4213" s="4" t="str">
        <f ca="1">IFERROR(__xludf.DUMMYFUNCTION("GOOGLETRANSLATE(D4213,""auto"",""en"")"),"The elastic body of a six -dimensional force sensor")</f>
        <v>The elastic body of a six -dimensional force sensor</v>
      </c>
    </row>
    <row r="4214" spans="1:5" ht="15" x14ac:dyDescent="0.25">
      <c r="A4214" s="5" t="s">
        <v>11747</v>
      </c>
      <c r="B4214" s="6" t="s">
        <v>11748</v>
      </c>
      <c r="C4214" s="3" t="str">
        <f ca="1">IFERROR(__xludf.DUMMYFUNCTION("GOOGLETRANSLATE(B4214,""auto"",""en"")"),"The present invention provides a kind of blind and disabled voice control pingels, including hosts, handrails and electronic instruments. The main feature is that the electronic instrument and handrail fences are equipped with a disliked button with blind"&amp;" operations. Control module, wherein the input end C connection control button of the D trigger F in the voice prompt module, the D trigger terminal grounding, the output end via the trigger terminal of the voice chip U, the output end of the voice chip U"&amp;", the control terminal, the control terminal The clear -end R of the trigger T2 connects D trigger F; the headset with a microphone with a microphone in the voice control module is connected to the electronic instrument, and the output end of the micropho"&amp;"ne is the voice recognition chip U1 connected to the single chip machine U0, the output of the single -chip microcomputer U0 connecting the power supply of the power supply power supply Control terminal. Because the invention has added a blind text operat"&amp;"ion function, voice prompt function, and voice control function, blind people and disabled people can carry out physical exercise independently without the need to guide or support others, and create a blind running exercise.")</f>
        <v>The present invention provides a kind of blind and disabled voice control pingels, including hosts, handrails and electronic instruments. The main feature is that the electronic instrument and handrail fences are equipped with a disliked button with blind operations. Control module, wherein the input end C connection control button of the D trigger F in the voice prompt module, the D trigger terminal grounding, the output end via the trigger terminal of the voice chip U, the output end of the voice chip U, the control terminal, the control terminal The clear -end R of the trigger T2 connects D trigger F; the headset with a microphone with a microphone in the voice control module is connected to the electronic instrument, and the output end of the microphone is the voice recognition chip U1 connected to the single chip machine U0, the output of the single -chip microcomputer U0 connecting the power supply of the power supply power supply Control terminal. Because the invention has added a blind text operation function, voice prompt function, and voice control function, blind people and disabled people can carry out physical exercise independently without the need to guide or support others, and create a blind running exercise.</v>
      </c>
      <c r="D4214" s="6" t="s">
        <v>11668</v>
      </c>
      <c r="E4214" s="4" t="str">
        <f ca="1">IFERROR(__xludf.DUMMYFUNCTION("GOOGLETRANSLATE(D4214,""auto"",""en"")"),"Blind and disabled voice control walking machine")</f>
        <v>Blind and disabled voice control walking machine</v>
      </c>
    </row>
    <row r="4215" spans="1:5" ht="15" x14ac:dyDescent="0.25">
      <c r="A4215" s="5" t="s">
        <v>11749</v>
      </c>
      <c r="B4215" s="6" t="s">
        <v>11750</v>
      </c>
      <c r="C4215" s="3" t="str">
        <f ca="1">IFERROR(__xludf.DUMMYFUNCTION("GOOGLETRANSLATE(B4215,""auto"",""en"")"),"The system (10) has a robot (20), which includes the contact surface holder on the surface of the conductive panel (14) arranged at the game table (30). The clamping device is powered by the robot through the panel. The fixture includes a contact pad made"&amp;" of metal, where the diameter of the pad is less than the width of the insulating bracket. There is a shooting device on the contact surface of the contact panel. The shooting device projects the game on the panel and is controlled by the CPU.")</f>
        <v>The system (10) has a robot (20), which includes the contact surface holder on the surface of the conductive panel (14) arranged at the game table (30). The clamping device is powered by the robot through the panel. The fixture includes a contact pad made of metal, where the diameter of the pad is less than the width of the insulating bracket. There is a shooting device on the contact surface of the contact panel. The shooting device projects the game on the panel and is controlled by the CPU.</v>
      </c>
      <c r="D4215" s="6" t="s">
        <v>11751</v>
      </c>
      <c r="E4215" s="4" t="str">
        <f ca="1">IFERROR(__xludf.DUMMYFUNCTION("GOOGLETRANSLATE(D4215,""auto"",""en"")"),"Intelligent robotic gaming system, that is, intelligent robotic football game system, sets a shooting device on the contact surface of the game desktop tablet panel, and the shooting device shoots the game ball on the panel")</f>
        <v>Intelligent robotic gaming system, that is, intelligent robotic football game system, sets a shooting device on the contact surface of the game desktop tablet panel, and the shooting device shoots the game ball on the panel</v>
      </c>
    </row>
    <row r="4216" spans="1:5" ht="15" x14ac:dyDescent="0.25">
      <c r="A4216" s="5" t="s">
        <v>11752</v>
      </c>
      <c r="B4216" s="6" t="s">
        <v>518</v>
      </c>
      <c r="C4216" s="3" t="str">
        <f ca="1">IFERROR(__xludf.DUMMYFUNCTION("GOOGLETRANSLATE(B4216,""auto"",""en"")"),"-")</f>
        <v>-</v>
      </c>
      <c r="D4216" s="6" t="s">
        <v>11753</v>
      </c>
      <c r="E4216" s="4" t="str">
        <f ca="1">IFERROR(__xludf.DUMMYFUNCTION("GOOGLETRANSLATE(D4216,""auto"",""en"")"),"Using a neural network model to improve the swimming efficiency of autonomous underwater navigables")</f>
        <v>Using a neural network model to improve the swimming efficiency of autonomous underwater navigables</v>
      </c>
    </row>
    <row r="4217" spans="1:5" ht="15" x14ac:dyDescent="0.25">
      <c r="A4217" s="5" t="s">
        <v>11754</v>
      </c>
      <c r="B4217" s="6" t="s">
        <v>11755</v>
      </c>
      <c r="C4217" s="3" t="str">
        <f ca="1">IFERROR(__xludf.DUMMYFUNCTION("GOOGLETRANSLATE(B4217,""auto"",""en"")"),"A treadmill with a human -machine interaction control speed, including the swing arm detection unit, is used to detect the frequency and amplitude of the swing arm. The control method is as follows. When the user exercises on the treadmill, the arm swing "&amp;"detects the frequency and amplitude of the arms swing. If the frequency and amplitude of the arm swing is greater than the threshold of the pre -storage, according to the frequency and amplitude of the new arm swing, the new running belt speed is calculat"&amp;"ed. Old speed.")</f>
        <v>A treadmill with a human -machine interaction control speed, including the swing arm detection unit, is used to detect the frequency and amplitude of the swing arm. The control method is as follows. When the user exercises on the treadmill, the arm swing detects the frequency and amplitude of the arms swing. If the frequency and amplitude of the arm swing is greater than the threshold of the pre -storage, according to the frequency and amplitude of the new arm swing, the new running belt speed is calculated. Old speed.</v>
      </c>
      <c r="D4217" s="6" t="s">
        <v>11756</v>
      </c>
      <c r="E4217" s="4" t="str">
        <f ca="1">IFERROR(__xludf.DUMMYFUNCTION("GOOGLETRANSLATE(D4217,""auto"",""en"")"),"A treadmill and control method of a human -computer interaction method control speed")</f>
        <v>A treadmill and control method of a human -computer interaction method control speed</v>
      </c>
    </row>
    <row r="4218" spans="1:5" ht="15" x14ac:dyDescent="0.25">
      <c r="A4218" s="5" t="s">
        <v>11757</v>
      </c>
      <c r="B4218" s="6" t="s">
        <v>11755</v>
      </c>
      <c r="C4218" s="3" t="str">
        <f ca="1">IFERROR(__xludf.DUMMYFUNCTION("GOOGLETRANSLATE(B4218,""auto"",""en"")"),"A treadmill with a human -machine interaction control speed, including the swing arm detection unit, is used to detect the frequency and amplitude of the swing arm. The control method is as follows. When the user exercises on the treadmill, the arm swing "&amp;"detects the frequency and amplitude of the arms swing. If the frequency and amplitude of the arm swing is greater than the threshold of the pre -storage, according to the frequency and amplitude of the new arm swing, the new running belt speed is calculat"&amp;"ed. Old speed.")</f>
        <v>A treadmill with a human -machine interaction control speed, including the swing arm detection unit, is used to detect the frequency and amplitude of the swing arm. The control method is as follows. When the user exercises on the treadmill, the arm swing detects the frequency and amplitude of the arms swing. If the frequency and amplitude of the arm swing is greater than the threshold of the pre -storage, according to the frequency and amplitude of the new arm swing, the new running belt speed is calculated. Old speed.</v>
      </c>
      <c r="D4218" s="6" t="s">
        <v>11758</v>
      </c>
      <c r="E4218" s="4" t="str">
        <f ca="1">IFERROR(__xludf.DUMMYFUNCTION("GOOGLETRANSLATE(D4218,""auto"",""en"")"),"Treadmills and control methods of human -computer interaction speed adjustment methods")</f>
        <v>Treadmills and control methods of human -computer interaction speed adjustment methods</v>
      </c>
    </row>
    <row r="4219" spans="1:5" ht="15" x14ac:dyDescent="0.25">
      <c r="A4219" s="5" t="s">
        <v>11759</v>
      </c>
      <c r="B4219" s="6" t="s">
        <v>11760</v>
      </c>
      <c r="C4219" s="3" t="str">
        <f ca="1">IFERROR(__xludf.DUMMYFUNCTION("GOOGLETRANSLATE(B4219,""auto"",""en"")"),"This utility model opens up a treadmill with human -machine interaction speed regulation. In the runner, the arms swing detection unit with a swing or frequency of the arm swing. Users exercise on the treadmill, detect the amplitude and frequency of the u"&amp;"ser's arm swing through the arm swinging the unit; when the amplitude or frequency changing value of the arm swing is greater than the preset threshold, the The new running belt transmission speed and automatically adjust the speed of the treadmill to the"&amp;" new speed; otherwise the running belt will maintain the original transmission speed. This utility model adjusts the speed of the treadmill through the dynamic monitoring swing arm information, effectively overcoming the shortcomings of existing technolog"&amp;"y, allowing users to naturally change the transmission speed of the running belt very naturally, and obtain a more perfect experience.")</f>
        <v>This utility model opens up a treadmill with human -machine interaction speed regulation. In the runner, the arms swing detection unit with a swing or frequency of the arm swing. Users exercise on the treadmill, detect the amplitude and frequency of the user's arm swing through the arm swinging the unit; when the amplitude or frequency changing value of the arm swing is greater than the preset threshold, the The new running belt transmission speed and automatically adjust the speed of the treadmill to the new speed; otherwise the running belt will maintain the original transmission speed. This utility model adjusts the speed of the treadmill through the dynamic monitoring swing arm information, effectively overcoming the shortcomings of existing technology, allowing users to naturally change the transmission speed of the running belt very naturally, and obtain a more perfect experience.</v>
      </c>
      <c r="D4219" s="6" t="s">
        <v>11761</v>
      </c>
      <c r="E4219" s="4" t="str">
        <f ca="1">IFERROR(__xludf.DUMMYFUNCTION("GOOGLETRANSLATE(D4219,""auto"",""en"")"),"Treadmill using human -computer interaction speed adjustment methods")</f>
        <v>Treadmill using human -computer interaction speed adjustment methods</v>
      </c>
    </row>
    <row r="4220" spans="1:5" ht="15" x14ac:dyDescent="0.25">
      <c r="A4220" s="5" t="s">
        <v>11762</v>
      </c>
      <c r="B4220" s="6" t="s">
        <v>11763</v>
      </c>
      <c r="C4220" s="3" t="str">
        <f ca="1">IFERROR(__xludf.DUMMYFUNCTION("GOOGLETRANSLATE(B4220,""auto"",""en"")"),"A man -machine interactive speed treadmill and its control methods are proposed. The treadmill includes the arms swing detection unit for detecting the amplitude or frequency of the arm. When the user runs on the treadmill, the swing arm detection unit ca"&amp;"n detect the user's swing arm range or frequency. In the case of changes in the amplitude or frequency of the swing arm than the preset threshold, the new treadmill leather transmission speed is calculated based on the new swing arm amplitude or frequency"&amp;", and the speed of the runner is automatically reached to the new speed. Otherwise, the treadmill belt keeps the original transmission speed. The speed of the treadmill is automatically adjusted according to the dynamic monitoring arm swing information, a"&amp;"nd the user can naturally change the transmission speed of the runner belt.")</f>
        <v>A man -machine interactive speed treadmill and its control methods are proposed. The treadmill includes the arms swing detection unit for detecting the amplitude or frequency of the arm. When the user runs on the treadmill, the swing arm detection unit can detect the user's swing arm range or frequency. In the case of changes in the amplitude or frequency of the swing arm than the preset threshold, the new treadmill leather transmission speed is calculated based on the new swing arm amplitude or frequency, and the speed of the runner is automatically reached to the new speed. Otherwise, the treadmill belt keeps the original transmission speed. The speed of the treadmill is automatically adjusted according to the dynamic monitoring arm swing information, and the user can naturally change the transmission speed of the runner belt.</v>
      </c>
      <c r="D4220" s="6" t="s">
        <v>11764</v>
      </c>
      <c r="E4220" s="4" t="str">
        <f ca="1">IFERROR(__xludf.DUMMYFUNCTION("GOOGLETRANSLATE(D4220,""auto"",""en"")"),"Treadmills with human -computer interaction speed regulation and their control methods")</f>
        <v>Treadmills with human -computer interaction speed regulation and their control methods</v>
      </c>
    </row>
    <row r="4221" spans="1:5" ht="15" x14ac:dyDescent="0.25">
      <c r="A4221" s="5" t="s">
        <v>11765</v>
      </c>
      <c r="B4221" s="6" t="s">
        <v>11766</v>
      </c>
      <c r="C4221" s="3" t="str">
        <f ca="1">IFERROR(__xludf.DUMMYFUNCTION("GOOGLETRANSLATE(B4221,""auto"",""en"")"),"By using a hybrid model to determine the dynamic racing routes that AI drivers must follow in the rail section of the track, thereby enhancing the real sense of computer rivals in the car or sports -related games. This dynamic racing line may vary from se"&amp;"ctions and circles, and roughly follow the ideal line with some changes. Therefore, throughout the competition, artificial intelligence drivers did not seem to drive completely according to the ideal route. Instead, in every section of the stadium, the pa"&amp;"th of artificial intelligence driver can smoothly follow the racing line defined by the probability defined by at least one specified race line.")</f>
        <v>By using a hybrid model to determine the dynamic racing routes that AI drivers must follow in the rail section of the track, thereby enhancing the real sense of computer rivals in the car or sports -related games. This dynamic racing line may vary from sections and circles, and roughly follow the ideal line with some changes. Therefore, throughout the competition, artificial intelligence drivers did not seem to drive completely according to the ideal route. Instead, in every section of the stadium, the path of artificial intelligence driver can smoothly follow the racing line defined by the probability defined by at least one specified race line.</v>
      </c>
      <c r="D4221" s="6" t="s">
        <v>11767</v>
      </c>
      <c r="E4221" s="4" t="str">
        <f ca="1">IFERROR(__xludf.DUMMYFUNCTION("GOOGLETRANSLATE(D4221,""auto"",""en"")"),"The hybrid model of sports lines in the virtual reality environment")</f>
        <v>The hybrid model of sports lines in the virtual reality environment</v>
      </c>
    </row>
    <row r="4222" spans="1:5" ht="15" x14ac:dyDescent="0.25">
      <c r="A4222" s="5" t="s">
        <v>11768</v>
      </c>
      <c r="B4222" s="6" t="s">
        <v>11769</v>
      </c>
      <c r="C4222" s="3" t="str">
        <f ca="1">IFERROR(__xludf.DUMMYFUNCTION("GOOGLETRANSLATE(B4222,""auto"",""en"")"),"The present invention involves one of the technical fields that are driven by electronic devices and involve remote controls. Generally, the remote control system is controlled by IR communication or wired transmission through RF radio frequency or electr"&amp;"onic equipment. However, the present invention involves remote control of the instrument through visual recognition. The shape itself is not the remote control system of the instrument through general gesture analysis. It can refer to the operation and an"&amp;"alysis of the operation and analysis of the operation of the intelligent controlling technology sports image. Itself, analyze the required parts. Motion recognition is a specific geometry of image processing and control sensor technology, which can refer "&amp;"to the technology of identifying and using data to express and control objects. This technology is a field of gesture recognition. In the field of image processing, it is not gesture recognition to really be applied to industrialization. F means the objec"&amp;"t, that is, the goal is done. For example, to change the channel or its series of operations is line or the volume of the cultivation volume is analyzed. The movement of each series actually hopes what it is and significant on the connection between opera"&amp;"tion and channel data and this can be used to control the instrument. This is very different from specific operations such as identifying and tracking gestures. First of all, the wrong thing is that the difference between the current status recognition te"&amp;"chnology department can be achieved. For example A movement is a push, and the pattern can be predicted. The invention involves the invention design in the field of artificial intelligence. The analogies accurately and quickly control the instrument and t"&amp;"he instrument to use the same next mode. The model that does not recognize the shape of the image to control the electronic equipment, and it is input but has been changing it. Finger remote control, image processing, intelligent device control.")</f>
        <v>The present invention involves one of the technical fields that are driven by electronic devices and involve remote controls. Generally, the remote control system is controlled by IR communication or wired transmission through RF radio frequency or electronic equipment. However, the present invention involves remote control of the instrument through visual recognition. The shape itself is not the remote control system of the instrument through general gesture analysis. It can refer to the operation and analysis of the operation and analysis of the operation of the intelligent controlling technology sports image. Itself, analyze the required parts. Motion recognition is a specific geometry of image processing and control sensor technology, which can refer to the technology of identifying and using data to express and control objects. This technology is a field of gesture recognition. In the field of image processing, it is not gesture recognition to really be applied to industrialization. F means the object, that is, the goal is done. For example, to change the channel or its series of operations is line or the volume of the cultivation volume is analyzed. The movement of each series actually hopes what it is and significant on the connection between operation and channel data and this can be used to control the instrument. This is very different from specific operations such as identifying and tracking gestures. First of all, the wrong thing is that the difference between the current status recognition technology department can be achieved. For example A movement is a push, and the pattern can be predicted. The invention involves the invention design in the field of artificial intelligence. The analogies accurately and quickly control the instrument and the instrument to use the same next mode. The model that does not recognize the shape of the image to control the electronic equipment, and it is input but has been changing it. Finger remote control, image processing, intelligent device control.</v>
      </c>
      <c r="D4222" s="6" t="s">
        <v>11770</v>
      </c>
      <c r="E4222" s="4" t="str">
        <f ca="1">IFERROR(__xludf.DUMMYFUNCTION("GOOGLETRANSLATE(D4222,""auto"",""en"")"),"Equipment controller using shape prediction and image mode learning")</f>
        <v>Equipment controller using shape prediction and image mode learning</v>
      </c>
    </row>
    <row r="4223" spans="1:5" ht="15" x14ac:dyDescent="0.25">
      <c r="A4223" s="5" t="s">
        <v>11771</v>
      </c>
      <c r="B4223" s="6" t="s">
        <v>11772</v>
      </c>
      <c r="C4223" s="3" t="str">
        <f ca="1">IFERROR(__xludf.DUMMYFUNCTION("GOOGLETRANSLATE(B4223,""auto"",""en"")"),"The server device uses a camera to capture images sent by players and dealers. The server device automatically judges the winning results of the player and the dealer through the image recognition and the dividend of the player based on the card image fro"&amp;"m the camera. The server device reads information from the wireless IC label provided by the game chip to judge the player's dividend. The server device compares the two dividends of the player to judge whether the dividend is inconsistent. If the dividen"&amp;"d is inconsistent, the server equipment notify the dealer and the casino hotel manager.")</f>
        <v>The server device uses a camera to capture images sent by players and dealers. The server device automatically judges the winning results of the player and the dealer through the image recognition and the dividend of the player based on the card image from the camera. The server device reads information from the wireless IC label provided by the game chip to judge the player's dividend. The server device compares the two dividends of the player to judge whether the dividend is inconsistent. If the dividend is inconsistent, the server equipment notify the dealer and the casino hotel manager.</v>
      </c>
      <c r="D4223" s="6" t="s">
        <v>11773</v>
      </c>
      <c r="E4223" s="4" t="str">
        <f ca="1">IFERROR(__xludf.DUMMYFUNCTION("GOOGLETRANSLATE(D4223,""auto"",""en"")"),"Competition judgment system")</f>
        <v>Competition judgment system</v>
      </c>
    </row>
    <row r="4224" spans="1:5" ht="15" x14ac:dyDescent="0.25">
      <c r="A4224" s="5" t="s">
        <v>11774</v>
      </c>
      <c r="B4224" s="6" t="s">
        <v>11775</v>
      </c>
      <c r="C4224" s="3" t="str">
        <f ca="1">IFERROR(__xludf.DUMMYFUNCTION("GOOGLETRANSLATE(B4224,""auto"",""en"")"),"The present invention discloses a system that controls agricultural equipment using voice. Convert the operator's voice command to analog electrical signal, and input the analog electrical signal into the voice recognition processing unit. The voice recog"&amp;"nition processing unit identifies the operator's specific operation command from the analog electrical signal, and then drives the execution unit for action for action. Or the conversion unit of the serial port protocol converts the simulated electrical s"&amp;"ignal into a serial command that can be recognized by agricultural equipment to control agricultural equipment. By providing a control method and control system that can simplify operations, most farmers can be competent for the operation of complex agric"&amp;"ultural equipment, reduce misunderstanding, reduce consumers' mystery and fear of advanced agricultural equipment, promote advanced agricultural equipment Applications.")</f>
        <v>The present invention discloses a system that controls agricultural equipment using voice. Convert the operator's voice command to analog electrical signal, and input the analog electrical signal into the voice recognition processing unit. The voice recognition processing unit identifies the operator's specific operation command from the analog electrical signal, and then drives the execution unit for action for action. Or the conversion unit of the serial port protocol converts the simulated electrical signal into a serial command that can be recognized by agricultural equipment to control agricultural equipment. By providing a control method and control system that can simplify operations, most farmers can be competent for the operation of complex agricultural equipment, reduce misunderstanding, reduce consumers' mystery and fear of advanced agricultural equipment, promote advanced agricultural equipment Applications.</v>
      </c>
      <c r="D4224" s="6" t="s">
        <v>11776</v>
      </c>
      <c r="E4224" s="4" t="str">
        <f ca="1">IFERROR(__xludf.DUMMYFUNCTION("GOOGLETRANSLATE(D4224,""auto"",""en"")"),"A system and control method that uses voice to control agricultural equipment")</f>
        <v>A system and control method that uses voice to control agricultural equipment</v>
      </c>
    </row>
    <row r="4225" spans="1:5" ht="15" x14ac:dyDescent="0.25">
      <c r="A4225" s="5" t="s">
        <v>11777</v>
      </c>
      <c r="B4225" s="6" t="s">
        <v>11778</v>
      </c>
      <c r="C4225" s="3" t="str">
        <f ca="1">IFERROR(__xludf.DUMMYFUNCTION("GOOGLETRANSLATE(B4225,""auto"",""en"")"),"The method of video data embedding control information of the invention is a technical field, video management, content management, video retrieval, computer vision, etc. For the video flow or video files obtained by sports broadcasting, video surveillanc"&amp;"e, outline collection, etc., rely on video streaming and decoding technology, statistical technology, data compression technology, etc., combine the collected video data with the control information of the specified scenario. The use of embedded methods t"&amp;"o achieve control information and video composite. Considering the continuity of the video shooting process, the control information can be updated at a fixed time interval, and it can also be updated at the specified location as needed. For compressed vi"&amp;"deos, according to the amount of information to be compounded, you can choose a single frame or multi -frame manner. In order to reduce the effect of viewing effects, you must avoid mounts (i frames). When playing, the corresponding settings are activated"&amp;" from the user's movement according to the effective time or frame serial number range of the control information at the specified time or frame serial number range.")</f>
        <v>The method of video data embedding control information of the invention is a technical field, video management, content management, video retrieval, computer vision, etc. For the video flow or video files obtained by sports broadcasting, video surveillance, outline collection, etc., rely on video streaming and decoding technology, statistical technology, data compression technology, etc., combine the collected video data with the control information of the specified scenario. The use of embedded methods to achieve control information and video composite. Considering the continuity of the video shooting process, the control information can be updated at a fixed time interval, and it can also be updated at the specified location as needed. For compressed videos, according to the amount of information to be compounded, you can choose a single frame or multi -frame manner. In order to reduce the effect of viewing effects, you must avoid mounts (i frames). When playing, the corresponding settings are activated from the user's movement according to the effective time or frame serial number range of the control information at the specified time or frame serial number range.</v>
      </c>
      <c r="D4225" s="6" t="s">
        <v>11779</v>
      </c>
      <c r="E4225" s="4" t="str">
        <f ca="1">IFERROR(__xludf.DUMMYFUNCTION("GOOGLETRANSLATE(D4225,""auto"",""en"")"),"Method of video data embedding control information")</f>
        <v>Method of video data embedding control information</v>
      </c>
    </row>
    <row r="4226" spans="1:5" ht="15" x14ac:dyDescent="0.25">
      <c r="A4226" s="5" t="s">
        <v>11780</v>
      </c>
      <c r="B4226" s="6" t="s">
        <v>11781</v>
      </c>
      <c r="C4226" s="3" t="str">
        <f ca="1">IFERROR(__xludf.DUMMYFUNCTION("GOOGLETRANSLATE(B4226,""auto"",""en"")"),"This utility model opens up a MMS video alarm, including sensors, central processors, memory, output control systems, power supply systems, power -off recognition systems, picture collection system and human -machine interaction system, central processor "&amp;"receiving sensor or power off power failure After the signal issued by the identification system, the specific operation control is completed through the output control system. At the same time, the picture collection system uses the picture collection sy"&amp;"stem to perform the control environment and the human -computer interaction system. The process of remote wireless control and timely viewing and mastering the monitoring environment is realized. Especially when being used for car anti -theft alarm, the p"&amp;"rocess of vehicle accidents or scratches can be recorded at any time, providing accurate accurate vehicle claims and responsibilities afterwards On -site information has the advantages of high alarm accuracy, good controllability, and monitoring can under"&amp;"stand and observe the monitoring environment anytime, anywhere.")</f>
        <v>This utility model opens up a MMS video alarm, including sensors, central processors, memory, output control systems, power supply systems, power -off recognition systems, picture collection system and human -machine interaction system, central processor receiving sensor or power off power failure After the signal issued by the identification system, the specific operation control is completed through the output control system. At the same time, the picture collection system uses the picture collection system to perform the control environment and the human -computer interaction system. The process of remote wireless control and timely viewing and mastering the monitoring environment is realized. Especially when being used for car anti -theft alarm, the process of vehicle accidents or scratches can be recorded at any time, providing accurate accurate vehicle claims and responsibilities afterwards On -site information has the advantages of high alarm accuracy, good controllability, and monitoring can understand and observe the monitoring environment anytime, anywhere.</v>
      </c>
      <c r="D4226" s="6" t="s">
        <v>11782</v>
      </c>
      <c r="E4226" s="4" t="str">
        <f ca="1">IFERROR(__xludf.DUMMYFUNCTION("GOOGLETRANSLATE(D4226,""auto"",""en"")"),"MMS video alarm")</f>
        <v>MMS video alarm</v>
      </c>
    </row>
    <row r="4227" spans="1:5" ht="15" x14ac:dyDescent="0.25">
      <c r="A4227" s="5" t="s">
        <v>11783</v>
      </c>
      <c r="B4227" s="6" t="s">
        <v>11784</v>
      </c>
      <c r="C4227" s="3" t="str">
        <f ca="1">IFERROR(__xludf.DUMMYFUNCTION("GOOGLETRANSLATE(B4227,""auto"",""en"")"),"New technology (upstream vertical chain) new technologies can help improve people's quality of life by making things better work. They can be new as and/or/or multi -dimensional (any and all) of the Internet and/or all of them through nerve links. Manufac"&amp;"turing/construction/energy/tourism/national construction (sports and/or stock market and/or unique service)/transport/water/agricultural/new sports/new mode method and technical magnetic suspension purpose/hurricane structure/new battery/new micro -micro "&amp;"And flexible (circuit board/micro-chip/semiconductor)/airport/airline/cruise-yacht product and service/platform aquaculture-salt-resistant plant (biofuel). Everything can be assisted, managed, and controlled through computer algorithm/nerve link/and artif"&amp;"icial intelligence ...")</f>
        <v>New technology (upstream vertical chain) new technologies can help improve people's quality of life by making things better work. They can be new as and/or/or multi -dimensional (any and all) of the Internet and/or all of them through nerve links. Manufacturing/construction/energy/tourism/national construction (sports and/or stock market and/or unique service)/transport/water/agricultural/new sports/new mode method and technical magnetic suspension purpose/hurricane structure/new battery/new micro -micro And flexible (circuit board/micro-chip/semiconductor)/airport/airline/cruise-yacht product and service/platform aquaculture-salt-resistant plant (biofuel). Everything can be assisted, managed, and controlled through computer algorithm/nerve link/and artificial intelligence ...</v>
      </c>
      <c r="D4227" s="6" t="s">
        <v>11785</v>
      </c>
      <c r="E4227" s="4" t="str">
        <f ca="1">IFERROR(__xludf.DUMMYFUNCTION("GOOGLETRANSLATE(D4227,""auto"",""en"")"),"New technologies based on the tangible (upstream vertical chain) of new design and new ingredients can improve the quality of life related to people related to our company's ""business line""")</f>
        <v>New technologies based on the tangible (upstream vertical chain) of new design and new ingredients can improve the quality of life related to people related to our company's "business line"</v>
      </c>
    </row>
    <row r="4228" spans="1:5" ht="15" x14ac:dyDescent="0.25">
      <c r="A4228" s="5" t="s">
        <v>11786</v>
      </c>
      <c r="B4228" s="6" t="s">
        <v>11787</v>
      </c>
      <c r="C4228" s="3" t="str">
        <f ca="1">IFERROR(__xludf.DUMMYFUNCTION("GOOGLETRANSLATE(B4228,""auto"",""en"")"),"Field: Game.
  Material: The present invention is designed to measure or analyze the devices and methods of measuring or analyzing golf swing. Measted or analyzed the energy generation and transmission of the energy of the player's body and club. The me"&amp;"asured or analysis data mainly comes from the player's ground contact. The processing signal is analyzed by an artificial intelligence system. The ground contact force refers to the reaction force that occurs between the static surface and the soles of th"&amp;"e player's feet.
  Effect: Device and methods are used to measure or analyze the swing movements in golf, or use an automatic device or an automatic interactive device to analyze the athletes and club movements when hitting the ball in the most accurate"&amp;" way.
  29 %, 18 drawing")</f>
        <v>Field: Game.
  Material: The present invention is designed to measure or analyze the devices and methods of measuring or analyzing golf swing. Measted or analyzed the energy generation and transmission of the energy of the player's body and club. The measured or analysis data mainly comes from the player's ground contact. The processing signal is analyzed by an artificial intelligence system. The ground contact force refers to the reaction force that occurs between the static surface and the soles of the player's feet.
  Effect: Device and methods are used to measure or analyze the swing movements in golf, or use an automatic device or an automatic interactive device to analyze the athletes and club movements when hitting the ball in the most accurate way.
  29 %, 18 drawing</v>
      </c>
      <c r="D4228" s="6" t="s">
        <v>11788</v>
      </c>
      <c r="E4228" s="4" t="str">
        <f ca="1">IFERROR(__xludf.DUMMYFUNCTION("GOOGLETRANSLATE(D4228,""auto"",""en"")"),"Golf wave analysis device and method")</f>
        <v>Golf wave analysis device and method</v>
      </c>
    </row>
    <row r="4229" spans="1:5" ht="15" x14ac:dyDescent="0.25">
      <c r="A4229" s="5" t="s">
        <v>11789</v>
      </c>
      <c r="B4229" s="6" t="s">
        <v>11790</v>
      </c>
      <c r="C4229" s="3" t="str">
        <f ca="1">IFERROR(__xludf.DUMMYFUNCTION("GOOGLETRANSLATE(B4229,""auto"",""en"")"),"The present invention is a device and method for measuring or analyzing golf swing. Measted or analyzed the energy generation and transmission of the energy of the player's body and club. The measurement or analysis data mainly comes from the athlete's gr"&amp;"ound reaction force. Use the artificial intelligence system to analyze the signal after processing. The reaction force of the ground is related to the reaction force generated between the standing surface and the feet of the athletes. Automatic or automat"&amp;"ic and interactive measurement or analysis of the devices and methods of golf swing.")</f>
        <v>The present invention is a device and method for measuring or analyzing golf swing. Measted or analyzed the energy generation and transmission of the energy of the player's body and club. The measurement or analysis data mainly comes from the athlete's ground reaction force. Use the artificial intelligence system to analyze the signal after processing. The reaction force of the ground is related to the reaction force generated between the standing surface and the feet of the athletes. Automatic or automatic and interactive measurement or analysis of the devices and methods of golf swing.</v>
      </c>
      <c r="D4229" s="6" t="s">
        <v>11791</v>
      </c>
      <c r="E4229" s="4" t="str">
        <f ca="1">IFERROR(__xludf.DUMMYFUNCTION("GOOGLETRANSLATE(D4229,""auto"",""en"")"),"A device and method of analyzing the golf swing")</f>
        <v>A device and method of analyzing the golf swing</v>
      </c>
    </row>
    <row r="4230" spans="1:5" ht="15" x14ac:dyDescent="0.25">
      <c r="A4230" s="5" t="s">
        <v>11792</v>
      </c>
      <c r="B4230" s="6" t="s">
        <v>11793</v>
      </c>
      <c r="C4230" s="3" t="str">
        <f ca="1">IFERROR(__xludf.DUMMYFUNCTION("GOOGLETRANSLATE(B4230,""auto"",""en"")"),"An interactive virtual training system, including at least one exercise device, including video user interface, audio input, audio output, voice recognition software for interpreting user oral commands, and monitoring user exercise mode consistency. Users"&amp;" trigger asking if they need help. If the user instruction needs to be modified, it is used to adjust the software.")</f>
        <v>An interactive virtual training system, including at least one exercise device, including video user interface, audio input, audio output, voice recognition software for interpreting user oral commands, and monitoring user exercise mode consistency. Users trigger asking if they need help. If the user instruction needs to be modified, it is used to adjust the software.</v>
      </c>
      <c r="D4230" s="6" t="s">
        <v>11794</v>
      </c>
      <c r="E4230" s="4" t="str">
        <f ca="1">IFERROR(__xludf.DUMMYFUNCTION("GOOGLETRANSLATE(D4230,""auto"",""en"")"),"Virtual coach")</f>
        <v>Virtual coach</v>
      </c>
    </row>
    <row r="4231" spans="1:5" ht="15" x14ac:dyDescent="0.25">
      <c r="A4231" s="5" t="s">
        <v>11795</v>
      </c>
      <c r="B4231" s="6" t="s">
        <v>11793</v>
      </c>
      <c r="C4231" s="3" t="str">
        <f ca="1">IFERROR(__xludf.DUMMYFUNCTION("GOOGLETRANSLATE(B4231,""auto"",""en"")"),"An interactive virtual training system, including at least one exercise device, including video user interface, audio input, audio output, voice recognition software for interpreting user oral commands, and monitoring user exercise mode consistency. Users"&amp;" trigger asking if they need help. If the user instruction needs to be modified, it is used to adjust the software.")</f>
        <v>An interactive virtual training system, including at least one exercise device, including video user interface, audio input, audio output, voice recognition software for interpreting user oral commands, and monitoring user exercise mode consistency. Users trigger asking if they need help. If the user instruction needs to be modified, it is used to adjust the software.</v>
      </c>
      <c r="D4231" s="6" t="s">
        <v>11794</v>
      </c>
      <c r="E4231" s="4" t="str">
        <f ca="1">IFERROR(__xludf.DUMMYFUNCTION("GOOGLETRANSLATE(D4231,""auto"",""en"")"),"Virtual coach")</f>
        <v>Virtual coach</v>
      </c>
    </row>
    <row r="4232" spans="1:5" ht="15" x14ac:dyDescent="0.25">
      <c r="A4232" s="5" t="s">
        <v>11796</v>
      </c>
      <c r="B4232" s="6" t="s">
        <v>11797</v>
      </c>
      <c r="C4232" s="3" t="str">
        <f ca="1">IFERROR(__xludf.DUMMYFUNCTION("GOOGLETRANSLATE(B4232,""auto"",""en"")"),"According to the multi -party video foreign language education system using the invention, the network terminal with multiple input/output ports or remote communication devices can be connected to each other and user hosts with multiple input/output ports"&amp;" or remote communication devices; The user provides a video interface that can provide video training, divides the camera images of all users participating in training and expose it to the user screen block on the lecturer's screen, and the lecturer and u"&amp;"ser's own screen display the image providing module on the user's screen. It has a blind processing unit used to expose only camera images; response modules, answers the voice and text form of user intercom video lecture information through microphone and"&amp;" keyboard, and pass to the host of the lecturer; when the user's voice passes through the reaction module to the reaction module to the reaction module to the response module During the host of the lecturer, by analyzing the inherent frequency ingredients"&amp;" of the voice, the voice of recognition as a specific user was identified, and the screen block of the recognized users was displayed on the lecturer's video interface. It is characterized by: voice recognition module, which is used to treat screen blocks"&amp;" as different colors.")</f>
        <v>According to the multi -party video foreign language education system using the invention, the network terminal with multiple input/output ports or remote communication devices can be connected to each other and user hosts with multiple input/output ports or remote communication devices; The user provides a video interface that can provide video training, divides the camera images of all users participating in training and expose it to the user screen block on the lecturer's screen, and the lecturer and user's own screen display the image providing module on the user's screen. It has a blind processing unit used to expose only camera images; response modules, answers the voice and text form of user intercom video lecture information through microphone and keyboard, and pass to the host of the lecturer; when the user's voice passes through the reaction module to the reaction module to the reaction module to the response module During the host of the lecturer, by analyzing the inherent frequency ingredients of the voice, the voice of recognition as a specific user was identified, and the screen block of the recognized users was displayed on the lecturer's video interface. It is characterized by: voice recognition module, which is used to treat screen blocks as different colors.</v>
      </c>
      <c r="D4232" s="6" t="s">
        <v>11798</v>
      </c>
      <c r="E4232" s="4" t="str">
        <f ca="1">IFERROR(__xludf.DUMMYFUNCTION("GOOGLETRANSLATE(D4232,""auto"",""en"")"),"Network multilateral video foreign language education system")</f>
        <v>Network multilateral video foreign language education system</v>
      </c>
    </row>
    <row r="4233" spans="1:5" ht="15" x14ac:dyDescent="0.25">
      <c r="A4233" s="5" t="s">
        <v>11799</v>
      </c>
      <c r="B4233" s="6" t="s">
        <v>11800</v>
      </c>
      <c r="C4233" s="3" t="str">
        <f ca="1">IFERROR(__xludf.DUMMYFUNCTION("GOOGLETRANSLATE(B4233,""auto"",""en"")"),"The invention provides an interactive method and electronic device when using electronic devices. The method includes: the first number of active contacts formed by touching the device by touching the device and the first movement trajectory of the touchi"&amp;"ng object on the display device. The first quantity is an integer greater than or equal to two; the corresponding relationship between the number of effective contacts, the motion trajectory and the operation instructions of the call, in the corresponding"&amp;" relationship, determine the corresponding operating instructions according to the number of effective contacts and the only motion trajectory; According to the corresponding relationship, the first operation instruction corresponding to the first number "&amp;"and the first movement trajectory is determined; the first operation instruction is performed. The embodiment of the present invention has the following intentional effects, and establishes seamless links for file browsing between folders; improves the us"&amp;"er's preview/browsing speed and operating efficiency on the touch of electronic devices. It is not easy to get fatigue, the human -machine interaction is more natural and improves the user's browsing experience.")</f>
        <v>The invention provides an interactive method and electronic device when using electronic devices. The method includes: the first number of active contacts formed by touching the device by touching the device and the first movement trajectory of the touching object on the display device. The first quantity is an integer greater than or equal to two; the corresponding relationship between the number of effective contacts, the motion trajectory and the operation instructions of the call, in the corresponding relationship, determine the corresponding operating instructions according to the number of effective contacts and the only motion trajectory; According to the corresponding relationship, the first operation instruction corresponding to the first number and the first movement trajectory is determined; the first operation instruction is performed. The embodiment of the present invention has the following intentional effects, and establishes seamless links for file browsing between folders; improves the user's preview/browsing speed and operating efficiency on the touch of electronic devices. It is not easy to get fatigue, the human -machine interaction is more natural and improves the user's browsing experience.</v>
      </c>
      <c r="D4233" s="6" t="s">
        <v>11801</v>
      </c>
      <c r="E4233" s="4" t="str">
        <f ca="1">IFERROR(__xludf.DUMMYFUNCTION("GOOGLETRANSLATE(D4233,""auto"",""en"")"),"An interactive method and electronic device when using electronic devices")</f>
        <v>An interactive method and electronic device when using electronic devices</v>
      </c>
    </row>
    <row r="4234" spans="1:5" ht="15" x14ac:dyDescent="0.25">
      <c r="A4234" s="5" t="s">
        <v>11802</v>
      </c>
      <c r="B4234" s="6" t="s">
        <v>11803</v>
      </c>
      <c r="C4234" s="3" t="str">
        <f ca="1">IFERROR(__xludf.DUMMYFUNCTION("GOOGLETRANSLATE(B4234,""auto"",""en"")"),"The embodiment of the present invention provides a method and device for wireless health monitoring systems, which is used to connect to the health monitoring equipment that can be used to enable the Internet (""WWD"") to interact with the health monitori"&amp;"ng equipment that can be a medical equipment. Diseases or health status. Equipment or other equipment related to health, such as fitness device. If necessary, WWD can use the optional accessories to connect to the general input/output port of WWD to direc"&amp;"tly connect to the health monitoring equipment by wired. Alternatively, WWD can be wirelessly connected to health monitoring equipment, such as infrared or radio frequency connection, including using protocols such as Bluetooth or 802.11. If necessary, th"&amp;"e adapter can also be used in wireless connections. Users can also manually enter the data to WWD, such as small keyboards, keyboards, touch pens or optional places through voice commands.
  Use the standard Internet agreement to transmit health -relate"&amp;"d data from WWD to the server. Software program calculation responses that can include server or artificial intelligence systems, and can further provide reviews from doctors or health experts. Users can interact with the server. For example, the server s"&amp;"ends a response to WWD, and the user can answer the response or provide other information.")</f>
        <v>The embodiment of the present invention provides a method and device for wireless health monitoring systems, which is used to connect to the health monitoring equipment that can be used to enable the Internet ("WWD") to interact with the health monitoring equipment that can be a medical equipment. Diseases or health status. Equipment or other equipment related to health, such as fitness device. If necessary, WWD can use the optional accessories to connect to the general input/output port of WWD to directly connect to the health monitoring equipment by wired. Alternatively, WWD can be wirelessly connected to health monitoring equipment, such as infrared or radio frequency connection, including using protocols such as Bluetooth or 802.11. If necessary, the adapter can also be used in wireless connections. Users can also manually enter the data to WWD, such as small keyboards, keyboards, touch pens or optional places through voice commands.
  Use the standard Internet agreement to transmit health -related data from WWD to the server. Software program calculation responses that can include server or artificial intelligence systems, and can further provide reviews from doctors or health experts. Users can interact with the server. For example, the server sends a response to WWD, and the user can answer the response or provide other information.</v>
      </c>
      <c r="D4234" s="6" t="s">
        <v>11804</v>
      </c>
      <c r="E4234" s="4" t="str">
        <f ca="1">IFERROR(__xludf.DUMMYFUNCTION("GOOGLETRANSLATE(D4234,""auto"",""en"")"),"Health and disease management methods and devices that combine patient data monitoring with wireless Internet connection")</f>
        <v>Health and disease management methods and devices that combine patient data monitoring with wireless Internet connection</v>
      </c>
    </row>
    <row r="4235" spans="1:5" ht="15" x14ac:dyDescent="0.25">
      <c r="A4235" s="5" t="s">
        <v>11805</v>
      </c>
      <c r="B4235" s="6" t="s">
        <v>11806</v>
      </c>
      <c r="C4235" s="3" t="str">
        <f ca="1">IFERROR(__xludf.DUMMYFUNCTION("GOOGLETRANSLATE(B4235,""auto"",""en"")"),"The invention involves a mask generating system that uses genetic algorithms and DNA to generate generation methods. According to the present invention, the random number generator of the random number to generate random value (Random Value), and the firs"&amp;"t data selects the predetermined address through the random number generator and comes from the address of the random number generator. Probability is compared with the random number of the second data. And the largest mask of the fitting value during the"&amp;" mask is transmitted from the mask generated by the running module, including the mutation part of the genetic trait transformation of each address of the population, and the random number of the stored value and the storage module Each mask (fitness valu"&amp;"e) and memory module. Copy the module back to the mask, and transmit the first pro -proof data and the second parent data to the hybrid part. The first I data and the second I data are passed from the hybrid part. It is transmitted to the memory module. A"&amp;"nd while creating a mask, each address of the population saves the fitting value of the random number mask. The mask and generated fitting value is transmitted to the memory module. And includes control to transmit a GANTIC Algorithm Controller (GANTIC Al"&amp;"gorithm Controller), which is transmitted to the mask module in the mask. Genetic algorithm, DNA calculation, mask, random number generator.")</f>
        <v>The invention involves a mask generating system that uses genetic algorithms and DNA to generate generation methods. According to the present invention, the random number generator of the random number to generate random value (Random Value), and the first data selects the predetermined address through the random number generator and comes from the address of the random number generator. Probability is compared with the random number of the second data. And the largest mask of the fitting value during the mask is transmitted from the mask generated by the running module, including the mutation part of the genetic trait transformation of each address of the population, and the random number of the stored value and the storage module Each mask (fitness value) and memory module. Copy the module back to the mask, and transmit the first pro -proof data and the second parent data to the hybrid part. The first I data and the second I data are passed from the hybrid part. It is transmitted to the memory module. And while creating a mask, each address of the population saves the fitting value of the random number mask. The mask and generated fitting value is transmitted to the memory module. And includes control to transmit a GANTIC Algorithm Controller (GANTIC Algorithm Controller), which is transmitted to the mask module in the mask. Genetic algorithm, DNA calculation, mask, random number generator.</v>
      </c>
      <c r="D4235" s="6" t="s">
        <v>11807</v>
      </c>
      <c r="E4235" s="4" t="str">
        <f ca="1">IFERROR(__xludf.DUMMYFUNCTION("GOOGLETRANSLATE(D4235,""auto"",""en"")"),"Use genetic algorithm and DNA calculation system and method")</f>
        <v>Use genetic algorithm and DNA calculation system and method</v>
      </c>
    </row>
    <row r="4236" spans="1:5" ht="15" x14ac:dyDescent="0.25">
      <c r="A4236" s="5" t="s">
        <v>11808</v>
      </c>
      <c r="B4236" s="6" t="s">
        <v>11809</v>
      </c>
      <c r="C4236" s="3" t="str">
        <f ca="1">IFERROR(__xludf.DUMMYFUNCTION("GOOGLETRANSLATE(B4236,""auto"",""en"")"),"Use Neural Links Records to prepare for future memories. You can change your experience and first use the Present Dual Recording. 1. Real/practical, in case your users may find that your past memory is useful. 2. Create a synthetic memory in the second, ("&amp;"how do you want to remember it) not only from another person's (character identity-may be combined) mental framework (reference) and values ​​and values ​​and artificial intelligence through nerve links and artificial intelligence Emotional selective reco"&amp;"rds, such as. Believe from the unnecessary stimulus from the record experience. It can be viewed and adjusted by users later. The synthetic experience needs to make the focus of the Neural Links experience design and have a real feeling (make the deletion"&amp;" and credibility -especially the visually modular). The experience simulates the deletion/addition of the characteristics of the past (source) stimulus, just as the role of the character in the character and the mentality he experienced at the time. 3. Re"&amp;"cord another person who has the same or similar experience or is present in the same experience (similar stimulation in a similar background) and cut and paste (we will naturally be driven to pay attention and be forced to feel Stimulating creative experi"&amp;"ence -the response), we can break the mode of important periods that we think we think in the future to become sensitive and overwhelmed in the future, as well as stimulating objects/entity/interaction/experience true real And/or emotions of/or infer the "&amp;"future of memory/infer the future and/or/or concept/intangible ideas (such as strength, concentration, sensitivity) through identifying entities/objects/interaction/experience/concept and relationship models Especially visual and understanding, as supplem"&amp;"ents to real/actual experience. Other known entity/object/interaction/experience/conceptual attribute/connection/link/clue. Artificial intelligence can help users and even its own psychological response technology know what circumstances should not be res"&amp;"olved (to avoid damage). Form the best situation (take away positive) and remember to re-experience the future to take away the negativeness that you do not want (stimulus and your acquisition of reaction behavior-break mode) Attention is not concentrated"&amp;" and/or spiritual search moments enter the consciousness. It is best to conduct psychological search separately so that you will not confuse cross -stimulus and reaction behavior/explanation and careful thinking navigation, because artificial intelligence"&amp;" can read the idea and danger signal you are incubating through nerve links. You find one of you as soon as possible as soon as possible Operation (your current search path destination) is an unwanted idea, what you want to avoid, so you have no imprint ("&amp;"and residual obsessive -compulsive disorder) and an unprepared psychological response. Another psychological response skill is to relax and let the ideological operation, pay attention to positive reactions, and actively respond to desensitization and num"&amp;"bness. Another psychological response skills are activities that define high -quality time through whom with whom. Another psychological response skill is to learn the focus of controlling the eyes at any time and place, although distracted. When your eye"&amp;"s are removed from the goal you want, gently pull them back, practice first, first move up, then down, then one side, then the other side. When the eye muscles are flexible and the strength is obtained, the circle and anti -circle can correct the problem "&amp;"of gaze. From my martial arts training, I found that I couldn't control the threat (almost subconsciously), and then I think it is like a table tennis game in the old Aatari video game. Fight back to the required target. In addition, realizing that my bra"&amp;"in is still aiming at the unnecessary goals on the side and rear of my eyes, which is very helpful for me. Also learn to go away, purify yourself, promise to make, accept and live anything that you can't change fairly ... Back to the origin means: return "&amp;"to the initial encounter to simulate your position in the encounter. Go back to the same reference point you experience. Then be the person you really want to be (if you are perfect in your encounter). No matter how you look at it (from your initial angle"&amp;" -experience a fixed angle), there is no wrong idea (it is stimulus), all parts of the compartment, the entire environment/compartment. The key is to eliminate all the remaining residual reaction marks (for example, the example of psychologists using pink"&amp;" elephants that people cannot get rid of -visual marks and/or rhythm/or/or phrases). No doubt to correct your experience, which will lead to an error prompt (GP 0.5%).")</f>
        <v>Use Neural Links Records to prepare for future memories. You can change your experience and first use the Present Dual Recording. 1. Real/practical, in case your users may find that your past memory is useful. 2. Create a synthetic memory in the second, (how do you want to remember it) not only from another person's (character identity-may be combined) mental framework (reference) and values ​​and values ​​and artificial intelligence through nerve links and artificial intelligence Emotional selective records, such as. Believe from the unnecessary stimulus from the record experience. It can be viewed and adjusted by users later. The synthetic experience needs to make the focus of the Neural Links experience design and have a real feeling (make the deletion and credibility -especially the visually modular). The experience simulates the deletion/addition of the characteristics of the past (source) stimulus, just as the role of the character in the character and the mentality he experienced at the time. 3. Record another person who has the same or similar experience or is present in the same experience (similar stimulation in a similar background) and cut and paste (we will naturally be driven to pay attention and be forced to feel Stimulating creative experience -the response), we can break the mode of important periods that we think we think in the future to become sensitive and overwhelmed in the future, as well as stimulating objects/entity/interaction/experience true real And/or emotions of/or infer the future of memory/infer the future and/or/or concept/intangible ideas (such as strength, concentration, sensitivity) through identifying entities/objects/interaction/experience/concept and relationship models Especially visual and understanding, as supplements to real/actual experience. Other known entity/object/interaction/experience/conceptual attribute/connection/link/clue. Artificial intelligence can help users and even its own psychological response technology know what circumstances should not be resolved (to avoid damage). Form the best situation (take away positive) and remember to re-experience the future to take away the negativeness that you do not want (stimulus and your acquisition of reaction behavior-break mode) Attention is not concentrated and/or spiritual search moments enter the consciousness. It is best to conduct psychological search separately so that you will not confuse cross -stimulus and reaction behavior/explanation and careful thinking navigation, because artificial intelligence can read the idea and danger signal you are incubating through nerve links. You find one of you as soon as possible as soon as possible Operation (your current search path destination) is an unwanted idea, what you want to avoid, so you have no imprint (and residual obsessive -compulsive disorder) and an unprepared psychological response. Another psychological response skill is to relax and let the ideological operation, pay attention to positive reactions, and actively respond to desensitization and numbness. Another psychological response skills are activities that define high -quality time through whom with whom. Another psychological response skill is to learn the focus of controlling the eyes at any time and place, although distracted. When your eyes are removed from the goal you want, gently pull them back, practice first, first move up, then down, then one side, then the other side. When the eye muscles are flexible and the strength is obtained, the circle and anti -circle can correct the problem of gaze. From my martial arts training, I found that I couldn't control the threat (almost subconsciously), and then I think it is like a table tennis game in the old Aatari video game. Fight back to the required target. In addition, realizing that my brain is still aiming at the unnecessary goals on the side and rear of my eyes, which is very helpful for me. Also learn to go away, purify yourself, promise to make, accept and live anything that you can't change fairly ... Back to the origin means: return to the initial encounter to simulate your position in the encounter. Go back to the same reference point you experience. Then be the person you really want to be (if you are perfect in your encounter). No matter how you look at it (from your initial angle -experience a fixed angle), there is no wrong idea (it is stimulus), all parts of the compartment, the entire environment/compartment. The key is to eliminate all the remaining residual reaction marks (for example, the example of psychologists using pink elephants that people cannot get rid of -visual marks and/or rhythm/or/or phrases). No doubt to correct your experience, which will lead to an error prompt (GP 0.5%).</v>
      </c>
      <c r="D4236" s="6" t="s">
        <v>11810</v>
      </c>
      <c r="E4236" s="4" t="str">
        <f ca="1">IFERROR(__xludf.DUMMYFUNCTION("GOOGLETRANSLATE(D4236,""auto"",""en"")"),"Nervous link and artificial intelligence")</f>
        <v>Nervous link and artificial intelligence</v>
      </c>
    </row>
    <row r="4237" spans="1:5" ht="15" x14ac:dyDescent="0.25">
      <c r="A4237" s="5" t="s">
        <v>11811</v>
      </c>
      <c r="B4237" s="6" t="s">
        <v>11812</v>
      </c>
      <c r="C4237" s="3" t="str">
        <f ca="1">IFERROR(__xludf.DUMMYFUNCTION("GOOGLETRANSLATE(B4237,""auto"",""en"")"),"One of the goals of the present invention is to enable images freely designed by users to enjoy simulation competitions.
  A racing game device 1 based on the parameter information of track information, racing information and instructions to perform rac"&amp;"ing performance 1, including image recognition unit 141 for obtaining image information, and image information obtained. Generating unit 142, which is used to obtain parameter information based on the obtained image information, and the game is played by "&amp;"controlling the motion based on parameter information. It is characterized by state storage unit 144, status computing unit 145, status analysis unit 146, and drawing processing unit 148 used to display the game screen.
  【Selection Figure】 Figure 1")</f>
        <v>One of the goals of the present invention is to enable images freely designed by users to enjoy simulation competitions.
  A racing game device 1 based on the parameter information of track information, racing information and instructions to perform racing performance 1, including image recognition unit 141 for obtaining image information, and image information obtained. Generating unit 142, which is used to obtain parameter information based on the obtained image information, and the game is played by controlling the motion based on parameter information. It is characterized by state storage unit 144, status computing unit 145, status analysis unit 146, and drawing processing unit 148 used to display the game screen.
  【Selection Figure】 Figure 1</v>
      </c>
      <c r="D4237" s="6" t="s">
        <v>11813</v>
      </c>
      <c r="E4237" s="4" t="str">
        <f ca="1">IFERROR(__xludf.DUMMYFUNCTION("GOOGLETRANSLATE(D4237,""auto"",""en"")"),"Information processing device, image processing device, information processing device control method, information processing program and record medium")</f>
        <v>Information processing device, image processing device, information processing device control method, information processing program and record medium</v>
      </c>
    </row>
    <row r="4238" spans="1:5" ht="15" x14ac:dyDescent="0.25">
      <c r="A4238" s="5" t="s">
        <v>11814</v>
      </c>
      <c r="B4238" s="6" t="s">
        <v>11815</v>
      </c>
      <c r="C4238" s="3" t="str">
        <f ca="1">IFERROR(__xludf.DUMMYFUNCTION("GOOGLETRANSLATE(B4238,""auto"",""en"")"),"Multi -dimensional websites can move the object by creating methods/technology/options for this type of object. We can develop an object type database. What are their motion components (such as limbs) when moving, such as tires on cars and/or any and any "&amp;"of all motion components in all objects ... for example, humans, for example Regarding the conventional motion of walking/run/jumping and bending torso (the rhythm of acceleration and/or deceleration of buttons). 1.) Hives can imitate the real human templ"&amp;"ates with the tip of the body to generate any motion songs that and all objects. And/or illustration -for example. Comics are used to create a template for repeated actions. The regularity of the action is the same, such as the hand, they extend through t"&amp;"he elbows, there are or no movement, there are or no weapons, and they carry any items and/or pick up things (the speed of picking up). The human body is the same as the movement of their legs. Sports can be controlled by video game control and/or Wii -fo"&amp;"r example. Complex exercises, such as golf swing/hand -opponent fighting technology, can include/involve time sequences involved in the direction ~ manipulating rod, which may move pressure in the circular direction (more than one click button). We can al"&amp;"so use existing frame -by -computer animation. We can also have (templates) direct accessories/limbs, which are connected from the order of the limbs to the center of the body. Between the more extreme attachment/limbs (such as calf) and closer to the cen"&amp;"tral body torso (such as thighs), double -click the attached limb/limbs (as a humanized body and conventional type (motion between the limbs/limbs, Time (speed/acceleration), direction and distance of movement -swing/rotation like the hinge of the body's "&amp;"joints), and how to lift the front feet up and forward and coordinate the technology because these parts of the body should move or design Customized animation or gait with a model that can record the body. In order to make the experience more interesting"&amp;", you may use vibration technology, such as cushions and (even if there are artificial intelligence) pads, vibration (and vibration strength) on the pads and may be on the screen and may be on the screen. Use the emotional icon point to light up as the ch"&amp;"oice of user operation ... We can combine the use of emotions that use nerve (for example, intensity plus emotions) to recognize the response of nerve links (This not only shows your online surfing group, but when the cursor moves to a certain object on t"&amp;"he multi -dimensional website, the emotion of the object will be displayed.) This can be expressed. Network ... and artificial intelligence can also express emotions in the same way. In addition, nerve links (and artificial intelligence that creates these"&amp;" events for users to experience) psychology can be used for life fragments. The change is generally completely different; the environment is on the environment; a scene to a scene -exhausted (stimulus/response) luggage ... including rest (enjoying rest -a"&amp;"ppreciation), opening the TV channel, changing sleep mode, changing tasks, changing motivation , Different partition life. Not only change, but routine business/in a period of life, such as. Drinking tea (as daily life) and/or/or a hot bath, for those who"&amp;" are those who are in hot bath, for those who are those for those who are those who are in the hot bath for those who are those for those who are those. People who can't afford a masseur reduce the pressure, basically satisfy/complete the treatment proced"&amp;"ure (high -quality personal time) that a person's daily expectations, and leave the idea of ​​unwavering, and take them away Refresh (GP)/provides compensation for the remaining activities on the day), just like escaping the reality part of the dislike. A"&amp;"nother method is watching movies. Movies can be the evasion of the episodes. These episodes cover the passage of time. (Multiple unrefined) time-compression (key events or key turning points in the story, opening white/challenge/concentration creation and"&amp;"/or re-creation experience with the character grow with the character. The movie noticed that the new positive things he had never noticed before, or AL could ask such a thing. We can also put our hat/ helmet electrode receiver/ with a laminar of noise el"&amp;"iminations on it, so the amplifier You can receive and send neural information (GV GP) without disturbing. We can use such product prototypes to develop products, such as Microlux high -precision heavy miniature milling machines or their competitors, such"&amp;" , Columns and spindle boxes, with precision grinding V -shaped grooves. .cNDOT. High -precision center support for hardening and precisely processing main shaft petals rolling bearings. .cndot. Each 0.050 -inch zero -to -zero -scaled workbench is entered"&amp;" for screws. .cndot. For high and low gear boxes for low -speed torque. .cndot. powerful adjustable speed motor, with fan cooling feedback sensing power improvement circuits. .cndot. The tilt column for angle milling/drilling. .cndot. Spring -driven split"&amp;" -driven spring axis box can easily perform drilling operations. 3. Milling machines can be used to create a multi -dimensional object/entity model model encountered by the web browser on the website owner's unlocked multi -dimensional website (e.g., for "&amp;"patent/copyright/trademark and proprietary reasons). 4. The milling machine that is not directly transformed into a multi -dimensional object/physical milling machine can be created by a needle foot measuring/recorder, and then an animation is made for mu"&amp;"lti -dimensional objects/entities in multi -dimensional websites. The further model/prototype design for designing between multi -dimensional websites/entities includes CAD/CAM facilities, including several fast prototype production machines, large CNC mi"&amp;"lling machines (3 axis routers), small milling machines, several CNC laser, reverse directions Engineering equipment, vacuum molding machines, as well as extensive traditional equipment and manufacturing tools. Software programs include Solidworks, Surfac"&amp;"eworks, other entities and curved moldmakers, such as ProENGINEER, Alias/Wavefront, and Maya, and the leading CNC processing program MasterCam. Neural Links can be used for real -time -unprotected ideological sharing brain electrocardiogram/microwave/neur"&amp;"al call/infrared (even wireless). Or you can set up a guard, so that the user's reaction/message will record your thoughts and send it through the post, instead of real -time, you can choose to convert into text, or you can choose to display emotions. You"&amp;" can practice the ideological information transmitted through neural links until you get an uncompromising ideological information (not polluted by suspicion or simulation errors/beliefs). Once the news is good enough, the user can press the send/release "&amp;"like a movie editing ... We can also record the sound sound (on VOIP and other media) in advance, record the sound/frequency, and then press the sending button with the amplifier, and then the other end (the receiver and/or on the website) replay the mess"&amp;"age-spiritual experience-real-time or or in time or Pay attention to watching after preparation, we can use microwave/infrared/change sound and frequency as recognition of stimulus and environmental changes.")</f>
        <v>Multi -dimensional websites can move the object by creating methods/technology/options for this type of object. We can develop an object type database. What are their motion components (such as limbs) when moving, such as tires on cars and/or any and any of all motion components in all objects ... for example, humans, for example Regarding the conventional motion of walking/run/jumping and bending torso (the rhythm of acceleration and/or deceleration of buttons). 1.) Hives can imitate the real human templates with the tip of the body to generate any motion songs that and all objects. And/or illustration -for example. Comics are used to create a template for repeated actions. The regularity of the action is the same, such as the hand, they extend through the elbows, there are or no movement, there are or no weapons, and they carry any items and/or pick up things (the speed of picking up). The human body is the same as the movement of their legs. Sports can be controlled by video game control and/or Wii -for example. Complex exercises, such as golf swing/hand -opponent fighting technology, can include/involve time sequences involved in the direction ~ manipulating rod, which may move pressure in the circular direction (more than one click button). We can also use existing frame -by -computer animation. We can also have (templates) direct accessories/limbs, which are connected from the order of the limbs to the center of the body. Between the more extreme attachment/limbs (such as calf) and closer to the central body torso (such as thighs), double -click the attached limb/limbs (as a humanized body and conventional type (motion between the limbs/limbs, Time (speed/acceleration), direction and distance of movement -swing/rotation like the hinge of the body's joints), and how to lift the front feet up and forward and coordinate the technology because these parts of the body should move or design Customized animation or gait with a model that can record the body. In order to make the experience more interesting, you may use vibration technology, such as cushions and (even if there are artificial intelligence) pads, vibration (and vibration strength) on the pads and may be on the screen and may be on the screen. Use the emotional icon point to light up as the choice of user operation ... We can combine the use of emotions that use nerve (for example, intensity plus emotions) to recognize the response of nerve links (This not only shows your online surfing group, but when the cursor moves to a certain object on the multi -dimensional website, the emotion of the object will be displayed.) This can be expressed. Network ... and artificial intelligence can also express emotions in the same way. In addition, nerve links (and artificial intelligence that creates these events for users to experience) psychology can be used for life fragments. The change is generally completely different; the environment is on the environment; a scene to a scene -exhausted (stimulus/response) luggage ... including rest (enjoying rest -appreciation), opening the TV channel, changing sleep mode, changing tasks, changing motivation , Different partition life. Not only change, but routine business/in a period of life, such as. Drinking tea (as daily life) and/or/or a hot bath, for those who are those who are in hot bath, for those who are those for those who are those who are in the hot bath for those who are those for those who are those. People who can't afford a masseur reduce the pressure, basically satisfy/complete the treatment procedure (high -quality personal time) that a person's daily expectations, and leave the idea of ​​unwavering, and take them away Refresh (GP)/provides compensation for the remaining activities on the day), just like escaping the reality part of the dislike. Another method is watching movies. Movies can be the evasion of the episodes. These episodes cover the passage of time. (Multiple unrefined) time-compression (key events or key turning points in the story, opening white/challenge/concentration creation and/or re-creation experience with the character grow with the character. The movie noticed that the new positive things he had never noticed before, or AL could ask such a thing. We can also put our hat/ helmet electrode receiver/ with a laminar of noise eliminations on it, so the amplifier You can receive and send neural information (GV GP) without disturbing. We can use such product prototypes to develop products, such as Microlux high -precision heavy miniature milling machines or their competitors, such , Columns and spindle boxes, with precision grinding V -shaped grooves. .cNDOT. High -precision center support for hardening and precisely processing main shaft petals rolling bearings. .cndot. Each 0.050 -inch zero -to -zero -scaled workbench is entered for screws. .cndot. For high and low gear boxes for low -speed torque. .cndot. powerful adjustable speed motor, with fan cooling feedback sensing power improvement circuits. .cndot. The tilt column for angle milling/drilling. .cndot. Spring -driven split -driven spring axis box can easily perform drilling operations. 3. Milling machines can be used to create a multi -dimensional object/entity model model encountered by the web browser on the website owner's unlocked multi -dimensional website (e.g., for patent/copyright/trademark and proprietary reasons). 4. The milling machine that is not directly transformed into a multi -dimensional object/physical milling machine can be created by a needle foot measuring/recorder, and then an animation is made for multi -dimensional objects/entities in multi -dimensional websites. The further model/prototype design for designing between multi -dimensional websites/entities includes CAD/CAM facilities, including several fast prototype production machines, large CNC milling machines (3 axis routers), small milling machines, several CNC laser, reverse directions Engineering equipment, vacuum molding machines, as well as extensive traditional equipment and manufacturing tools. Software programs include Solidworks, Surfaceworks, other entities and curved moldmakers, such as ProENGINEER, Alias/Wavefront, and Maya, and the leading CNC processing program MasterCam. Neural Links can be used for real -time -unprotected ideological sharing brain electrocardiogram/microwave/neural call/infrared (even wireless). Or you can set up a guard, so that the user's reaction/message will record your thoughts and send it through the post, instead of real -time, you can choose to convert into text, or you can choose to display emotions. You can practice the ideological information transmitted through neural links until you get an uncompromising ideological information (not polluted by suspicion or simulation errors/beliefs). Once the news is good enough, the user can press the send/release like a movie editing ... We can also record the sound sound (on VOIP and other media) in advance, record the sound/frequency, and then press the sending button with the amplifier, and then the other end (the receiver and/or on the website) replay the message-spiritual experience-real-time or or in time or Pay attention to watching after preparation, we can use microwave/infrared/change sound and frequency as recognition of stimulus and environmental changes.</v>
      </c>
      <c r="D4238" s="6" t="s">
        <v>11816</v>
      </c>
      <c r="E4238" s="4" t="str">
        <f ca="1">IFERROR(__xludf.DUMMYFUNCTION("GOOGLETRANSLATE(D4238,""auto"",""en"")"),"Neur link/artificial intelligence/computer/multi -dimensional technology III")</f>
        <v>Neur link/artificial intelligence/computer/multi -dimensional technology III</v>
      </c>
    </row>
    <row r="4239" spans="1:5" ht="15" x14ac:dyDescent="0.25">
      <c r="A4239" s="5" t="s">
        <v>11817</v>
      </c>
      <c r="B4239" s="6" t="s">
        <v>11818</v>
      </c>
      <c r="C4239" s="3" t="str">
        <f ca="1">IFERROR(__xludf.DUMMYFUNCTION("GOOGLETRANSLATE(B4239,""auto"",""en"")"),"Multi -dimensional websites can move objects by creating methods/technology/options for this type of object. We can develop an object type database. What are their mobile components (such as limbs) when moving, such as tires on cars and/or any and any of "&amp;"all mobile components in all objects ... For example, humans, human, for example, humans, human, for example, humans, human, for example, humans, for example, human beings, for example Regarding the conventional movements of walking/running/jumping and be"&amp;"nding torso (consistent with the rhythm of the button acceleration and/or deceleration). 1.) Hinges can imitate the tip of the body in the real human template to generate any motion songs that and all objects. And/or diagram -for example. Comics are used "&amp;"to create a template for repeated actions. A regular proportion of movements, such as the movements extended through the elbow, whether there is a weapon, carry or not carry any items and/or pick items (picking up speed). The exercise of the human body an"&amp;"d their legs because of them. Sports can be controlled by video game control and/or Wii -for example. Complex exercises, such as golf swing/bare -hands, can include/the timing sequence involved in the direction -the manipulating rod may move pressure in t"&amp;"he circular direction (more than one click button). We can also use existing frame -by -computer animation. We can also have (template) straight limb/limbs, connecting from the limbs to the center of the trunk in turn. Between the more extreme attachment/"&amp;"limbs (such as calf) and closer to the center of the body (such as thighs), double -click the attached limb/limbs (as a recognized body part and conventional type (exercise between the limbs/limbs) The time of exercise (speed/acceleration), the direction "&amp;"and distance of the movement (such as the swing/pipe turn on the hinge of the body's joints), and how to move up and forward the front foot in a collaborative/coordination method because of the body of the body because of the body. It should be moved or d"&amp;"esigned with a customized animation or gait with a model that can record the body. In order to make the experience more interesting, maybe you can use vibration technology, such as a pad The strength of the vibration), and a emotional icon may be on on th"&amp;"e screen, as a response to the choice of user behavior ... We can combine the use of emotions (such as. For example, emotional plus emotional) response can be used. Nervous link recognition uses the face on the emotional icon (not only shows your online s"&amp;"urfing group, but also when the cursor moves to the object on the multi -dimensional website/on the above Emotions ... Different online surfing public series networks ... artificial intelligence can also be expressed in the same way. In addition, nerve li"&amp;"nks (and artificial intelligence that created these events for users to experience) psychology can be used for Life incident treatment. From the drama to the completely different changes/transformation of the episode; the environment to the environment; t"&amp;"he scene to the scene-exhaustion (stimulus/response) luggage ... including rest (and enjoy rest-appreciation), Open the TV channel, change the way of sleep, change tasks, change motivation, and different compartments. Not only change, but daily life/one p"&amp;"erson's cyclical lifestyle, such as drinking tea (as daily life) and/or or/or or/or or/or Coffee, and/or take a hot bath to reduce the pressure of those who cannot afford the cost of masseur. Basically, it is to satisfy/complete a person's daily expectati"&amp;"on treatment procedure (high -quality personal time), and leave no want to want to do not want The ability to think and take away their pollution experience (this will enhance and refresh the (GP)/for the rest of the day's activity to recover vitality), j"&amp;"ust like escaping the part that does not like in reality. Another way is watching movies. It can be the evasion of the episodes, these episodes cover the passage of time (multiple unresolved) time-compression (key events or key turning points in the story"&amp;", opening whiter/challenge/creation and/or re-created experience one A collection gives an experience growing with the character. When watching movies again, patients can notice new positive things he had never noticed before, or AL can propose these thin"&amp;"gs. We can also arrange our hat. / Her helmet electrode receiver/ launcher above the transmitter, so the amplifier will receive and sends unintelligated neural information (GV GP). We can use this type of product prototype to develop products, such as Mic"&amp;"roLux high -precision heavy miniature milling machines or mini -milling machines or Their competitors, such as. :.Cndot. Ultra -rigidity, thermal treatment of cast iron bases, columns and spindle boxes, V -shaped grooves with precision grinding. .cNDOT. H"&amp;"igh -precision supported hard -supporting and fine -proofing spindle alloy roller bearings. .cndot. Each rotor is 0.050 inches, with a scale that can be returned to zero. .cndot. Height gearboxes are used to enlarge torque at low speeds. .cndot. A strong "&amp;"adjustable speed motor with a fan cooling feedback induction of the response power boost circuit. .cndot. Used for corner mill/drilling pillars. .cndot. The split driver's spring axis box can easily perform drilling operations. 3. Milling machines can be "&amp;"used to create a multi -dimensional object/entity model model encountered by the web browser on the website owner's unlocked multi -dimensional website (e.g., for patent/copyright/trademark and proprietary reasons). 4. Do not directly convert to a multi -"&amp;"dimensional object/entity milling machine model. You can re -create by inserting the measuring/recorder into the multi -dimensional object/entity in the multi -dimensional website. Other models/prototypes designed between multi -dimensional websites/entit"&amp;"ies include CAD/CAM facilities, including several fast prototypes, large CNC milling machines (3 axis router), smaller milling machine Engineering equipment, vacuum molding machines, as well as extensive traditional equipment and manufacturing tools. Soft"&amp;"ware programs include other entities and curved moldmakers such as Solidworks, Surfaceworks, ProENGINEER, Alias/Wavefront, and Maya, as well as the leading CNC processing program MasterCam. Neural Links can be used for real -time non -protective thinking "&amp;"sharing brain electrocardiogram/microwave/neural calls. Or you can set off guards instead of real -time, user reaction/message records your thoughts and publishing sending through the post, you can choose to convert into text, you can choose to display em"&amp;"otions. You can practice thinking information through neural links until you get a non -compromised thinking information (not suspected of suspicion or simulation of errors/beliefs). Once the news is good enough, the user presses the sending/post ... just"&amp;" like a movie editing. We can also record the sound sound (on VOIP and other media) in advance, record the sound/frequency, and then press the sending button with the amplifier, and then the other end (the receiver and/or on the website) replay the messag"&amp;"e-spiritual experience-real-time or or in time or To save thinking for future use, we can use microwave/infrared/infrared/with the changes in sound and frequency as a recognition of stimulus and environmental changes.")</f>
        <v>Multi -dimensional websites can move objects by creating methods/technology/options for this type of object. We can develop an object type database. What are their mobile components (such as limbs) when moving, such as tires on cars and/or any and any of all mobile components in all objects ... For example, humans, human, for example, humans, human, for example, humans, human, for example, humans, for example, human beings, for example Regarding the conventional movements of walking/running/jumping and bending torso (consistent with the rhythm of the button acceleration and/or deceleration). 1.) Hinges can imitate the tip of the body in the real human template to generate any motion songs that and all objects. And/or diagram -for example. Comics are used to create a template for repeated actions. A regular proportion of movements, such as the movements extended through the elbow, whether there is a weapon, carry or not carry any items and/or pick items (picking up speed). The exercise of the human body and their legs because of them. Sports can be controlled by video game control and/or Wii -for example. Complex exercises, such as golf swing/bare -hands, can include/the timing sequence involved in the direction -the manipulating rod may move pressure in the circular direction (more than one click button). We can also use existing frame -by -computer animation. We can also have (template) straight limb/limbs, connecting from the limbs to the center of the trunk in turn. Between the more extreme attachment/limbs (such as calf) and closer to the center of the body (such as thighs), double -click the attached limb/limbs (as a recognized body part and conventional type (exercise between the limbs/limbs) The time of exercise (speed/acceleration), the direction and distance of the movement (such as the swing/pipe turn on the hinge of the body's joints), and how to move up and forward the front foot in a collaborative/coordination method because of the body of the body because of the body. It should be moved or designed with a customized animation or gait with a model that can record the body. In order to make the experience more interesting, maybe you can use vibration technology, such as a pad The strength of the vibration), and a emotional icon may be on on the screen, as a response to the choice of user behavior ... We can combine the use of emotions (such as. For example, emotional plus emotional) response can be used. Nervous link recognition uses the face on the emotional icon (not only shows your online surfing group, but also when the cursor moves to the object on the multi -dimensional website/on the above Emotions ... Different online surfing public series networks ... artificial intelligence can also be expressed in the same way. In addition, nerve links (and artificial intelligence that created these events for users to experience) psychology can be used for Life incident treatment. From the drama to the completely different changes/transformation of the episode; the environment to the environment; the scene to the scene-exhaustion (stimulus/response) luggage ... including rest (and enjoy rest-appreciation), Open the TV channel, change the way of sleep, change tasks, change motivation, and different compartments. Not only change, but daily life/one person's cyclical lifestyle, such as drinking tea (as daily life) and/or or/or or/or or/or Coffee, and/or take a hot bath to reduce the pressure of those who cannot afford the cost of masseur. Basically, it is to satisfy/complete a person's daily expectation treatment procedure (high -quality personal time), and leave no want to want to do not want The ability to think and take away their pollution experience (this will enhance and refresh the (GP)/for the rest of the day's activity to recover vitality), just like escaping the part that does not like in reality. Another way is watching movies. It can be the evasion of the episodes, these episodes cover the passage of time (multiple unresolved) time-compression (key events or key turning points in the story, opening whiter/challenge/creation and/or re-created experience one A collection gives an experience growing with the character. When watching movies again, patients can notice new positive things he had never noticed before, or AL can propose these things. We can also arrange our hat. / Her helmet electrode receiver/ launcher above the transmitter, so the amplifier will receive and sends unintelligated neural information (GV GP). We can use this type of product prototype to develop products, such as MicroLux high -precision heavy miniature milling machines or mini -milling machines or Their competitors, such as. :.Cndot. Ultra -rigidity, thermal treatment of cast iron bases, columns and spindle boxes, V -shaped grooves with precision grinding. .cNDOT. High -precision supported hard -supporting and fine -proofing spindle alloy roller bearings. .cndot. Each rotor is 0.050 inches, with a scale that can be returned to zero. .cndot. Height gearboxes are used to enlarge torque at low speeds. .cndot. A strong adjustable speed motor with a fan cooling feedback induction of the response power boost circuit. .cndot. Used for corner mill/drilling pillars. .cndot. The split driver's spring axis box can easily perform drilling operations. 3. Milling machines can be used to create a multi -dimensional object/entity model model encountered by the web browser on the website owner's unlocked multi -dimensional website (e.g., for patent/copyright/trademark and proprietary reasons). 4. Do not directly convert to a multi -dimensional object/entity milling machine model. You can re -create by inserting the measuring/recorder into the multi -dimensional object/entity in the multi -dimensional website. Other models/prototypes designed between multi -dimensional websites/entities include CAD/CAM facilities, including several fast prototypes, large CNC milling machines (3 axis router), smaller milling machine Engineering equipment, vacuum molding machines, as well as extensive traditional equipment and manufacturing tools. Software programs include other entities and curved moldmakers such as Solidworks, Surfaceworks, ProENGINEER, Alias/Wavefront, and Maya, as well as the leading CNC processing program MasterCam. Neural Links can be used for real -time non -protective thinking sharing brain electrocardiogram/microwave/neural calls. Or you can set off guards instead of real -time, user reaction/message records your thoughts and publishing sending through the post, you can choose to convert into text, you can choose to display emotions. You can practice thinking information through neural links until you get a non -compromised thinking information (not suspected of suspicion or simulation of errors/beliefs). Once the news is good enough, the user presses the sending/post ... just like a movie editing. We can also record the sound sound (on VOIP and other media) in advance, record the sound/frequency, and then press the sending button with the amplifier, and then the other end (the receiver and/or on the website) replay the message-spiritual experience-real-time or or in time or To save thinking for future use, we can use microwave/infrared/infrared/with the changes in sound and frequency as a recognition of stimulus and environmental changes.</v>
      </c>
      <c r="D4239" s="6" t="s">
        <v>11819</v>
      </c>
      <c r="E4239" s="4" t="str">
        <f ca="1">IFERROR(__xludf.DUMMYFUNCTION("GOOGLETRANSLATE(D4239,""auto"",""en"")"),"Mind Experience/Multidimensional Technology")</f>
        <v>Mind Experience/Multidimensional Technology</v>
      </c>
    </row>
    <row r="4240" spans="1:5" ht="15" x14ac:dyDescent="0.25">
      <c r="A4240" s="5" t="s">
        <v>11820</v>
      </c>
      <c r="B4240" s="6" t="s">
        <v>11821</v>
      </c>
      <c r="C4240" s="3" t="s">
        <v>12418</v>
      </c>
      <c r="D4240" s="6" t="s">
        <v>11822</v>
      </c>
      <c r="E4240" s="4" t="str">
        <f ca="1">IFERROR(__xludf.DUMMYFUNCTION("GOOGLETRANSLATE(D4240,""auto"",""en"")"),"Neur link/artificial intelligence computer, new Internet multidimensional")</f>
        <v>Neur link/artificial intelligence computer, new Internet multidimensional</v>
      </c>
    </row>
    <row r="4241" spans="1:5" ht="15" x14ac:dyDescent="0.25">
      <c r="A4241" s="5" t="s">
        <v>11823</v>
      </c>
      <c r="B4241" s="6" t="s">
        <v>11824</v>
      </c>
      <c r="C4241" s="3" t="str">
        <f ca="1">IFERROR(__xludf.DUMMYFUNCTION("GOOGLETRANSLATE(B4241,""auto"",""en"")"),"The invention involves a specific information search method based on automatic classification technology. It is to first collect some typical web pages through the network spider to form a collection of training documentation, and then artificially mark t"&amp;"he webpage or field of the webpage in the training collection, and then use the machine learning algorithm to model the training collection and obtain the web page to obtain the web page Automatic classifiers; then, collect a large number of related web p"&amp;"ages in the field through the network spider, use the automatic classifier established earlier to determine whether the webpage of the webpage is related to the field, and establish a full -text line -based pages based on the inverted table; in the end Pr"&amp;"ovide a retrieval interface to facilitate users to query the relevant web pages in the field from the full -text iconal library; the specific operation includes the following three modules: classifier training modules, web pages collection and index modul"&amp;"es and information retrieval modules. Compared with the common search method, the method of the present invention is higher, the search rate is higher, the repeated information is less, and the relevant information is ranked forward.")</f>
        <v>The invention involves a specific information search method based on automatic classification technology. It is to first collect some typical web pages through the network spider to form a collection of training documentation, and then artificially mark the webpage or field of the webpage in the training collection, and then use the machine learning algorithm to model the training collection and obtain the web page to obtain the web page Automatic classifiers; then, collect a large number of related web pages in the field through the network spider, use the automatic classifier established earlier to determine whether the webpage of the webpage is related to the field, and establish a full -text line -based pages based on the inverted table; in the end Provide a retrieval interface to facilitate users to query the relevant web pages in the field from the full -text iconal library; the specific operation includes the following three modules: classifier training modules, web pages collection and index modules and information retrieval modules. Compared with the common search method, the method of the present invention is higher, the search rate is higher, the repeated information is less, and the relevant information is ranked forward.</v>
      </c>
      <c r="D4241" s="6" t="s">
        <v>11825</v>
      </c>
      <c r="E4241" s="4" t="str">
        <f ca="1">IFERROR(__xludf.DUMMYFUNCTION("GOOGLETRANSLATE(D4241,""auto"",""en"")"),"Search method based on automatic classification technology")</f>
        <v>Search method based on automatic classification technology</v>
      </c>
    </row>
    <row r="4242" spans="1:5" ht="15" x14ac:dyDescent="0.25">
      <c r="A4242" s="5" t="s">
        <v>11826</v>
      </c>
      <c r="B4242" s="6" t="s">
        <v>11827</v>
      </c>
      <c r="C4242" s="3" t="str">
        <f ca="1">IFERROR(__xludf.DUMMYFUNCTION("GOOGLETRANSLATE(B4242,""auto"",""en"")"),"This utility model involves a special lighting ball for a smart robot football game. An electronic luminous ball, including a circular shell and a luminous device fixed in the shell. The round shell is composed of the upper shell (1) and the lower case (8"&amp;"). Circuit board (9), battery (12), upper line board (13) and the light source (4) on it and the upper fixed column (14), the lower line board (10) and the light source (17) and the lower fixed fixed fixed fixation Pillar (6); The bottom of the upper shel"&amp;"l (1) has a switch (15) and a battery charging port (2) at the bottom. The electronic luminous ball has the advantages of structural reasonable structure and the overall rotation.")</f>
        <v>This utility model involves a special lighting ball for a smart robot football game. An electronic luminous ball, including a circular shell and a luminous device fixed in the shell. The round shell is composed of the upper shell (1) and the lower case (8). Circuit board (9), battery (12), upper line board (13) and the light source (4) on it and the upper fixed column (14), the lower line board (10) and the light source (17) and the lower fixed fixed fixed fixation Pillar (6); The bottom of the upper shell (1) has a switch (15) and a battery charging port (2) at the bottom. The electronic luminous ball has the advantages of structural reasonable structure and the overall rotation.</v>
      </c>
      <c r="D4242" s="6" t="s">
        <v>11828</v>
      </c>
      <c r="E4242" s="4" t="str">
        <f ca="1">IFERROR(__xludf.DUMMYFUNCTION("GOOGLETRANSLATE(D4242,""auto"",""en"")"),"A kind of electronic glowing ball")</f>
        <v>A kind of electronic glowing ball</v>
      </c>
    </row>
    <row r="4243" spans="1:5" ht="15" x14ac:dyDescent="0.25">
      <c r="A4243" s="5" t="s">
        <v>11829</v>
      </c>
      <c r="B4243" s="6" t="s">
        <v>11830</v>
      </c>
      <c r="C4243" s="3" t="str">
        <f ca="1">IFERROR(__xludf.DUMMYFUNCTION("GOOGLETRANSLATE(B4243,""auto"",""en"")"),"The indirect calorieometer is estimated to consume nutritional calorie intake through regular monitoring weight and perception of physical exercise (that is, physiological data and/or exercise data related to physical consumption), and then it can be used"&amp;" in the amount of heat model obtained from the return analysis of the crowd. (For example, linear regression, feedback neural network, Gaussian process, enhancement return tree, etc.). Binding user devices used to track exercise can detect heart rate, bod"&amp;"y temperature, skin resistance, exercise/acceleration sensing (such as, stepmeter, acceleration meter), speed sensing (e.g., global positioning system (GPS)) and intelligence (GPS) and intelligence , Integrated fitness equipment (such as treadmills, fitne"&amp;"ss vehicles, etc.). In order to obtain further preservation, users can fine -tuned the estimation value by performing routine or clinical heat measurement (eg, breathing heatmeter) within a relatively short period of time. The metabolic rate provides a ba"&amp;"seline.")</f>
        <v>The indirect calorieometer is estimated to consume nutritional calorie intake through regular monitoring weight and perception of physical exercise (that is, physiological data and/or exercise data related to physical consumption), and then it can be used in the amount of heat model obtained from the return analysis of the crowd. (For example, linear regression, feedback neural network, Gaussian process, enhancement return tree, etc.). Binding user devices used to track exercise can detect heart rate, body temperature, skin resistance, exercise/acceleration sensing (such as, stepmeter, acceleration meter), speed sensing (e.g., global positioning system (GPS)) and intelligence (GPS) and intelligence , Integrated fitness equipment (such as treadmills, fitness vehicles, etc.). In order to obtain further preservation, users can fine -tuned the estimation value by performing routine or clinical heat measurement (eg, breathing heatmeter) within a relatively short period of time. The metabolic rate provides a baseline.</v>
      </c>
      <c r="D4243" s="6" t="s">
        <v>11831</v>
      </c>
      <c r="E4243" s="4" t="str">
        <f ca="1">IFERROR(__xludf.DUMMYFUNCTION("GOOGLETRANSLATE(D4243,""auto"",""en"")"),"Diary without a hot meter")</f>
        <v>Diary without a hot meter</v>
      </c>
    </row>
    <row r="4244" spans="1:5" ht="15" x14ac:dyDescent="0.25">
      <c r="A4244" s="5" t="s">
        <v>11832</v>
      </c>
      <c r="B4244" s="6" t="s">
        <v>11833</v>
      </c>
      <c r="C4244" s="3" t="s">
        <v>12419</v>
      </c>
      <c r="D4244" s="6" t="s">
        <v>11834</v>
      </c>
      <c r="E4244" s="4" t="str">
        <f ca="1">IFERROR(__xludf.DUMMYFUNCTION("GOOGLETRANSLATE(D4244,""auto"",""en"")"),"Quantum calculation H/W and S/W and artificial intelligence")</f>
        <v>Quantum calculation H/W and S/W and artificial intelligence</v>
      </c>
    </row>
    <row r="4245" spans="1:5" ht="15" x14ac:dyDescent="0.25">
      <c r="A4245" s="5" t="s">
        <v>11835</v>
      </c>
      <c r="B4245" s="6" t="s">
        <v>11836</v>
      </c>
      <c r="C4245" s="3" t="s">
        <v>12420</v>
      </c>
      <c r="D4245" s="6" t="s">
        <v>11837</v>
      </c>
      <c r="E4245" s="4" t="str">
        <f ca="1">IFERROR(__xludf.DUMMYFUNCTION("GOOGLETRANSLATE(D4245,""auto"",""en"")"),"New invention of Internet model venues")</f>
        <v>New invention of Internet model venues</v>
      </c>
    </row>
    <row r="4246" spans="1:5" ht="15" x14ac:dyDescent="0.25">
      <c r="A4246" s="5" t="s">
        <v>11838</v>
      </c>
      <c r="B4246" s="6" t="s">
        <v>11839</v>
      </c>
      <c r="C4246" s="3" t="s">
        <v>12421</v>
      </c>
      <c r="D4246" s="6" t="s">
        <v>11840</v>
      </c>
      <c r="E4246" s="4" t="str">
        <f ca="1">IFERROR(__xludf.DUMMYFUNCTION("GOOGLETRANSLATE(D4246,""auto"",""en"")"),"Life next to life")</f>
        <v>Life next to life</v>
      </c>
    </row>
    <row r="4247" spans="1:5" ht="15" x14ac:dyDescent="0.25">
      <c r="A4247" s="5" t="s">
        <v>11841</v>
      </c>
      <c r="B4247" s="6" t="s">
        <v>11842</v>
      </c>
      <c r="C4247" s="3" t="str">
        <f ca="1">IFERROR(__xludf.DUMMYFUNCTION("GOOGLETRANSLATE(B4247,""auto"",""en"")"),"By using a hybrid model to determine the dynamic racing routes that artificial intelligence drivers must follow in the railway section, thereby enhancing the real sense of computer rivals in the car or sports -related games. This dynamic racing line may v"&amp;"ary from sections and circles, and roughly follow the ideal line with some changes. Therefore, throughout the competition, artificial intelligence drivers did not seem to drive completely according to the ideal route. Instead, in every section of the stad"&amp;"ium, the path of artificial intelligence driver can smoothly follow the racing line defined by the probability defined by at least one specified race line.")</f>
        <v>By using a hybrid model to determine the dynamic racing routes that artificial intelligence drivers must follow in the railway section, thereby enhancing the real sense of computer rivals in the car or sports -related games. This dynamic racing line may vary from sections and circles, and roughly follow the ideal line with some changes. Therefore, throughout the competition, artificial intelligence drivers did not seem to drive completely according to the ideal route. Instead, in every section of the stadium, the path of artificial intelligence driver can smoothly follow the racing line defined by the probability defined by at least one specified race line.</v>
      </c>
      <c r="D4247" s="6" t="s">
        <v>11767</v>
      </c>
      <c r="E4247" s="4" t="str">
        <f ca="1">IFERROR(__xludf.DUMMYFUNCTION("GOOGLETRANSLATE(D4247,""auto"",""en"")"),"The hybrid model of sports lines in the virtual reality environment")</f>
        <v>The hybrid model of sports lines in the virtual reality environment</v>
      </c>
    </row>
    <row r="4248" spans="1:5" ht="15" x14ac:dyDescent="0.25">
      <c r="A4248" s="5" t="s">
        <v>11843</v>
      </c>
      <c r="B4248" s="6" t="s">
        <v>11844</v>
      </c>
      <c r="C4248" s="3" t="str">
        <f ca="1">IFERROR(__xludf.DUMMYFUNCTION("GOOGLETRANSLATE(B4248,""auto"",""en"")"),"In the present invention, a golf swing posture analysis system and the posture analysis method of using the system were disclosed. The analysis method of golf swing posture includes the following steps: the imaging devices of the front, side and upper sur"&amp;"face of the coaches installed on the coaches installed on the light sensitivity identification mark to obtain the continuous image of capturing the coach's swing. Apply image recognition algorithm, extract images that include the brightness or low brightn"&amp;"ess pattern of identifying the mark, and use the recognition brightness pattern to extract the aiming position, the posterior posture and the playback posture, including the following steps: detect the rotating angle to extract the left shoulder from the "&amp;"extracted image, and extract the left shoulder from the extracted image, and extract the left shoulder from the extracted image. Obtain the ideal posture of the specimen according to the detected rotation angle, and display the pose of the specimen.
  A"&amp;"ccording to the present invention, a posture analysis system is provided and the posture analysis method of using the posture analysis system is provided. This posture analysis system can correct the error by providing graphic information obtained by comp"&amp;"aring and analyzing the guiders' own swing posture and ideal posture. The posture and the posture of the posture are corrected.")</f>
        <v>In the present invention, a golf swing posture analysis system and the posture analysis method of using the system were disclosed. The analysis method of golf swing posture includes the following steps: the imaging devices of the front, side and upper surface of the coaches installed on the coaches installed on the light sensitivity identification mark to obtain the continuous image of capturing the coach's swing. Apply image recognition algorithm, extract images that include the brightness or low brightness pattern of identifying the mark, and use the recognition brightness pattern to extract the aiming position, the posterior posture and the playback posture, including the following steps: detect the rotating angle to extract the left shoulder from the extracted image, and extract the left shoulder from the extracted image, and extract the left shoulder from the extracted image. Obtain the ideal posture of the specimen according to the detected rotation angle, and display the pose of the specimen.
  According to the present invention, a posture analysis system is provided and the posture analysis method of using the posture analysis system is provided. This posture analysis system can correct the error by providing graphic information obtained by comparing and analyzing the guiders' own swing posture and ideal posture. The posture and the posture of the posture are corrected.</v>
      </c>
      <c r="D4248" s="6" t="s">
        <v>11845</v>
      </c>
      <c r="E4248" s="4" t="str">
        <f ca="1">IFERROR(__xludf.DUMMYFUNCTION("GOOGLETRANSLATE(D4248,""auto"",""en"")"),"Golf wave posture analysis system and posture analysis method using the system")</f>
        <v>Golf wave posture analysis system and posture analysis method using the system</v>
      </c>
    </row>
    <row r="4249" spans="1:5" ht="15" x14ac:dyDescent="0.25">
      <c r="A4249" s="5" t="s">
        <v>11846</v>
      </c>
      <c r="B4249" s="6" t="s">
        <v>11847</v>
      </c>
      <c r="C4249" s="3" t="str">
        <f ca="1">IFERROR(__xludf.DUMMYFUNCTION("GOOGLETRANSLATE(B4249,""auto"",""en"")"),"Provide a sports video image recognition system and method. Multi -camera: Manage the server: processing the images taken by multiple cameras, and the management server takes different venues based on the sports video image recognition system of the inven"&amp;"tion embodiment. In some, the color of the conversion part of the analysis part: search device: integrated part: integrated part of the meaning uniformly searched for the color meaning and determined color of the extra color in the search in the search de"&amp;"vice, because it searches the player’s of the player’s which The color used in each image of exercise and movement with meaning to extract the conversion part: Digital data converted from the conversion unit uses HSV Colo to convert photos taken by multip"&amp;"le cameras into image R straight square diagrams and group contraction diagrams.")</f>
        <v>Provide a sports video image recognition system and method. Multi -camera: Manage the server: processing the images taken by multiple cameras, and the management server takes different venues based on the sports video image recognition system of the invention embodiment. In some, the color of the conversion part of the analysis part: search device: integrated part: integrated part of the meaning uniformly searched for the color meaning and determined color of the extra color in the search in the search device, because it searches the player’s of the player’s which The color used in each image of exercise and movement with meaning to extract the conversion part: Digital data converted from the conversion unit uses HSV Colo to convert photos taken by multiple cameras into image R straight square diagrams and group contraction diagrams.</v>
      </c>
      <c r="D4249" s="6" t="s">
        <v>11848</v>
      </c>
      <c r="E4249" s="4" t="str">
        <f ca="1">IFERROR(__xludf.DUMMYFUNCTION("GOOGLETRANSLATE(D4249,""auto"",""en"")"),"Sports video image integration system and method")</f>
        <v>Sports video image integration system and method</v>
      </c>
    </row>
    <row r="4250" spans="1:5" ht="15" x14ac:dyDescent="0.25">
      <c r="A4250" s="5" t="s">
        <v>11849</v>
      </c>
      <c r="B4250" s="6" t="s">
        <v>11850</v>
      </c>
      <c r="C4250" s="3" t="str">
        <f ca="1">IFERROR(__xludf.DUMMYFUNCTION("GOOGLETRANSLATE(B4250,""auto"",""en"")"),"When students conduct sports activities, they show students' real -time camera images. Students can switch between his eyes to see his natural vision and real -time video images. In addition, teaching information can be superimposed on real -time video, t"&amp;"hereby enhancing the learning process.")</f>
        <v>When students conduct sports activities, they show students' real -time camera images. Students can switch between his eyes to see his natural vision and real -time video images. In addition, teaching information can be superimposed on real -time video, thereby enhancing the learning process.</v>
      </c>
      <c r="D4250" s="6" t="s">
        <v>11851</v>
      </c>
      <c r="E4250" s="4" t="str">
        <f ca="1">IFERROR(__xludf.DUMMYFUNCTION("GOOGLETRANSLATE(D4250,""auto"",""en"")"),"Sports skills teaching video teaching system and method")</f>
        <v>Sports skills teaching video teaching system and method</v>
      </c>
    </row>
    <row r="4251" spans="1:5" ht="15" x14ac:dyDescent="0.25">
      <c r="A4251" s="5" t="s">
        <v>11852</v>
      </c>
      <c r="B4251" s="6" t="s">
        <v>11853</v>
      </c>
      <c r="C4251" s="3" t="s">
        <v>12422</v>
      </c>
      <c r="D4251" s="6" t="s">
        <v>11854</v>
      </c>
      <c r="E4251" s="4" t="str">
        <f ca="1">IFERROR(__xludf.DUMMYFUNCTION("GOOGLETRANSLATE(D4251,""auto"",""en"")"),"Agricultural product")</f>
        <v>Agricultural product</v>
      </c>
    </row>
    <row r="4252" spans="1:5" ht="15" x14ac:dyDescent="0.25">
      <c r="A4252" s="5" t="s">
        <v>11855</v>
      </c>
      <c r="B4252" s="6" t="s">
        <v>11856</v>
      </c>
      <c r="C4252" s="3" t="str">
        <f ca="1">IFERROR(__xludf.DUMMYFUNCTION("GOOGLETRANSLATE(B4252,""auto"",""en"")"),"The present invention discloses a virtual sports system based on computer vision and its implementation method, which is used for a general computer. The system includes: one image acquisition module is used to obtain digital video image data in the speci"&amp;"fied monitoring area; Space coordinate acquisition module is used to process the obtained digital video image data, and obtains the symbol space coordinates on sports devices and human body; one action identification module is used to collect motion traje"&amp;"ctory data of various action modes for classification Learn and treat the classification of recognition of the action; a virtual sports environment module, according to the recognition of the action, handle the state of action to display interaction. The "&amp;"invention system and its implementation method can be reduced on the general computer to achieve virtual sports processing, and the achievement cost is reduced. The system can use this system to perform physical exercise, and it can be popularized to ordi"&amp;"nary families. It has good real -time and expansion capabilities.")</f>
        <v>The present invention discloses a virtual sports system based on computer vision and its implementation method, which is used for a general computer. The system includes: one image acquisition module is used to obtain digital video image data in the specified monitoring area; Space coordinate acquisition module is used to process the obtained digital video image data, and obtains the symbol space coordinates on sports devices and human body; one action identification module is used to collect motion trajectory data of various action modes for classification Learn and treat the classification of recognition of the action; a virtual sports environment module, according to the recognition of the action, handle the state of action to display interaction. The invention system and its implementation method can be reduced on the general computer to achieve virtual sports processing, and the achievement cost is reduced. The system can use this system to perform physical exercise, and it can be popularized to ordinary families. It has good real -time and expansion capabilities.</v>
      </c>
      <c r="D4252" s="6" t="s">
        <v>11857</v>
      </c>
      <c r="E4252" s="4" t="str">
        <f ca="1">IFERROR(__xludf.DUMMYFUNCTION("GOOGLETRANSLATE(D4252,""auto"",""en"")"),"A virtual sports system based on computer vision and its implementation method")</f>
        <v>A virtual sports system based on computer vision and its implementation method</v>
      </c>
    </row>
    <row r="4253" spans="1:5" ht="15" x14ac:dyDescent="0.25">
      <c r="A4253" s="5" t="s">
        <v>11858</v>
      </c>
      <c r="B4253" s="6" t="s">
        <v>11859</v>
      </c>
      <c r="C4253" s="3" t="str">
        <f ca="1">IFERROR(__xludf.DUMMYFUNCTION("GOOGLETRANSLATE(B4253,""auto"",""en"")"),"New sports -high -speed hover (may use jet engines), vehicles with bumps, water (different sizes) bumps, water races in flat ground, mud, snow, ice, (different sizes) ... In the case of jet aircraft, we can follow the straight line along the straight line"&amp;" Rail (such as Utah or other deserts), we can try the feasibility of all shapes of the track. We can classify according to the size of the vehicle and the skirt (JA 5%). You can create air cushions for all robots (such as demolition of Derby) (GV 30%) ..."&amp;" They can be controlled by artificial intelligence (GV 60%).")</f>
        <v>New sports -high -speed hover (may use jet engines), vehicles with bumps, water (different sizes) bumps, water races in flat ground, mud, snow, ice, (different sizes) ... In the case of jet aircraft, we can follow the straight line along the straight line Rail (such as Utah or other deserts), we can try the feasibility of all shapes of the track. We can classify according to the size of the vehicle and the skirt (JA 5%). You can create air cushions for all robots (such as demolition of Derby) (GV 30%) ... They can be controlled by artificial intelligence (GV 60%).</v>
      </c>
      <c r="D4253" s="6" t="s">
        <v>11860</v>
      </c>
      <c r="E4253" s="4" t="str">
        <f ca="1">IFERROR(__xludf.DUMMYFUNCTION("GOOGLETRANSLATE(D4253,""auto"",""en"")"),"High -speed Hanging Jet Racing")</f>
        <v>High -speed Hanging Jet Racing</v>
      </c>
    </row>
    <row r="4254" spans="1:5" ht="15" x14ac:dyDescent="0.25">
      <c r="A4254" s="5" t="s">
        <v>11861</v>
      </c>
      <c r="B4254" s="6" t="s">
        <v>11862</v>
      </c>
      <c r="C4254" s="3" t="str">
        <f ca="1">IFERROR(__xludf.DUMMYFUNCTION("GOOGLETRANSLATE(B4254,""auto"",""en"")"),"First of all, from the known landmarks, we know how much we understand it to determine whether it is what we are looking for (such as entity; interaction; interpretation; description; definition; limited word quantitative words -as a constructing block). "&amp;"If the information about the knowledge (consciousness) of the matter is not enough to check the information, then we will use a model search technology. We need to select or search for a certain thing based on the search range. Are you satisfied with gene"&amp;"ral/general group or category and detailed, customized, unique answers. Elimination Scheme 1. First, we can use an overview of the attribute/contact/clue/link mode of the search (1) type and 2) any (and 3) number of the number of attributes/contact/clue T"&amp;"he connection of things-the answer with a high probability match (with the same behavior benchmark that may be or not, if it is not worth checking this thing and its uniqueness and its relationship with attributes/connections/clues/connections (depending "&amp;"on the same high height Probability matching may be the same type; quantity; and advantage; as the same 3) peer -to -peer things will draw logical system/category, that is, the relative mode of the pursuit of things and other comparative things. The diffe"&amp;"rences between the things request according to the category or the following 3) The differences of the characteristics of observation or guessing can be selected, which is different from other members of the logical system. Extracting scheme 2. Model sear"&amp;"ch technology also involves the known information (as the starting point) of the founding of things to find things to find other things through attribute/contact/clue/link 1), its own attributes/contact/clue mode/contact 1 ) Type 2) Rank advantage 3) High"&amp;" probability matching of each attribute/connection/clue/connection (benchmark test to check the same mode of other peers in the group category-logic system), if this mode (eyeball/guessment /Weight) The two powerful ways (or more of the same answer) metho"&amp;"d that supports identity/presence and may overlap each other. Essential scheme 3. Search downward attributes/contact/clue/link type list, these attributes/contact/clues/links can cause the identity of the thing and/or matching attributes/or links/links/li"&amp;"nks/links that are found. The answers sought by combination (verification-recognition-consciousness) have these characteristics, especially when a variety of combinations form a unique matching. Features include attribute/connection/clues/links, and thing"&amp;"s with strong correlation with things (they connect to), such as 1) type 2) ranking advantage 3) Each attribute/connection/clue/link high probability matching (to the number of (to use it Check the same mode of other peers in its group category as the ben"&amp;"chmark-logic system). In order to translate ideas (neuron mode), we can make computer/artificial intelligence or robot measurement and recognition strength. With the development of visualization, there may be excitement to develop it-and certainty; knowin"&amp;"g that correct answers and errors are different. (See above). In order to translate content (system consciousness), we noticed the part that caused the reaction that is usually used to identify; by observing the brain's mode of reaction to any factors (pa"&amp;"rts and observation order of people's brains naturally) One reaction is separated from another reaction-the difference between mode differences when the brain recognizes and continues to realize these parts) -ians even record changes in the brain mode, be"&amp;"cause the consciousness of this part is declining (especially when learning has made the brain saturated- For example, all university courses are loaded) and temporarily forgotten, and what clues are programmed to re-trigger thoughts to come back in the f"&amp;"uture (such as task-time-place) (we can also distinguish the content and control of part of the brain mode during multi-tasking processing The content of another part, when one idea is at attention from others-for example, search memory will create an emp"&amp;"ty groove in our content, other multi-tasking ideas (even suppressed ideas) may be active) We can use These technologies read ideas and develop the connection between the soul and the soul (for example, through the Internet GP 5%) to allow artificial inte"&amp;"lligence to communicate through ideas or even produce computers or televisions (through AI or other console): projection picture 1. Form in advance to touch logic Important beliefs of value nerves. 2. Real -time dynamic emotional response, the most import"&amp;"ant part of the stolen/capture). 3. Why do you value, your standard, why you feel contact/emotion, for example.逻辑价值、有趣、好奇、怀旧、感伤、新(经验-好奇)相对于理智的安全、娱乐,例如理解故事、想看完整故事、因果悬念,谁干的? 以及它是如何结束的,充满激情——Stiping to touch your inner things, in addition to sometimes your t"&amp;"hinking is loose and invest in another idea; you will also be distracted; there is also an important belief that touches your soul, such as. Sports and/or outdoor activities. 4. The size of the main components compared to humans or other components (if ob"&amp;"served). The satisfaction of satisfaction and their general forced appetite mode in a few days, weeks, and months ... 5. The important beliefs that change, add, and put on the logic (may be added, replaced or new) value nerves. In the end, if we can creat"&amp;"e a database or artificial intelligence or computer algorithm, it can read the average/general brain mode of the neurons of a healthy person, each recognition, memory recognition-consciousness-degeneration-re-trigger, may be tracked/through the trace stre"&amp;"ngth/ Determination of the answer path (answer) for example. Pictures and even objects, entities, interactions, limited words, quantifiers, and quantifiers in the computer screen or in real life, and the more and more similar things are increasingly simil"&amp;"ar to the victims of the brain (like normal healthy people) Reward his normal and healthy human brain when he comes better. We can also temporarily implant a micro -chip (or a comprehensive brain electrode -or the glands used in the back of the brain). Th"&amp;"e victim of the brain damaged when enlarging GP2%) will feel stimulus. This stimulus is related to a bunch of possible stem cells outside the head and the neurons trained by tissue. We can enlarge the sound of brain injury to stimulate a bunch of neurons "&amp;"trained by tissue. These neurons are connected to the stimulus of the computer screen or real life. Control and manipulate the computer. We expect stem cells and neuron tissue culture to eventually be injected to the position of the micro chip or instead "&amp;"of damaged brain cells. Artificial intelligence can provide feedback when reading a person's thoughts to guide/recommend clarification and verification -Psychological collaboration between humans, artificial intelligence and computers is carried out at th"&amp;"e speed of thinking. For people who are more prone to psychological errors, their ideas can be filtered, and their pre -real -time feedback of their communication/instructions/response -for example. Especially conservative secrets and possible emotional r"&amp;"eactions.")</f>
        <v>First of all, from the known landmarks, we know how much we understand it to determine whether it is what we are looking for (such as entity; interaction; interpretation; description; definition; limited word quantitative words -as a constructing block). If the information about the knowledge (consciousness) of the matter is not enough to check the information, then we will use a model search technology. We need to select or search for a certain thing based on the search range. Are you satisfied with general/general group or category and detailed, customized, unique answers. Elimination Scheme 1. First, we can use an overview of the attribute/contact/clue/link mode of the search (1) type and 2) any (and 3) number of the number of attributes/contact/clue The connection of things-the answer with a high probability match (with the same behavior benchmark that may be or not, if it is not worth checking this thing and its uniqueness and its relationship with attributes/connections/clues/connections (depending on the same high height Probability matching may be the same type; quantity; and advantage; as the same 3) peer -to -peer things will draw logical system/category, that is, the relative mode of the pursuit of things and other comparative things. The differences between the things request according to the category or the following 3) The differences of the characteristics of observation or guessing can be selected, which is different from other members of the logical system. Extracting scheme 2. Model search technology also involves the known information (as the starting point) of the founding of things to find things to find other things through attribute/contact/clue/link 1), its own attributes/contact/clue mode/contact 1 ) Type 2) Rank advantage 3) High probability matching of each attribute/connection/clue/connection (benchmark test to check the same mode of other peers in the group category-logic system), if this mode (eyeball/guessment /Weight) The two powerful ways (or more of the same answer) method that supports identity/presence and may overlap each other. Essential scheme 3. Search downward attributes/contact/clue/link type list, these attributes/contact/clues/links can cause the identity of the thing and/or matching attributes/or links/links/links/links that are found. The answers sought by combination (verification-recognition-consciousness) have these characteristics, especially when a variety of combinations form a unique matching. Features include attribute/connection/clues/links, and things with strong correlation with things (they connect to), such as 1) type 2) ranking advantage 3) Each attribute/connection/clue/link high probability matching (to the number of (to use it Check the same mode of other peers in its group category as the benchmark-logic system). In order to translate ideas (neuron mode), we can make computer/artificial intelligence or robot measurement and recognition strength. With the development of visualization, there may be excitement to develop it-and certainty; knowing that correct answers and errors are different. (See above). In order to translate content (system consciousness), we noticed the part that caused the reaction that is usually used to identify; by observing the brain's mode of reaction to any factors (parts and observation order of people's brains naturally) One reaction is separated from another reaction-the difference between mode differences when the brain recognizes and continues to realize these parts) -ians even record changes in the brain mode, because the consciousness of this part is declining (especially when learning has made the brain saturated- For example, all university courses are loaded) and temporarily forgotten, and what clues are programmed to re-trigger thoughts to come back in the future (such as task-time-place) (we can also distinguish the content and control of part of the brain mode during multi-tasking processing The content of another part, when one idea is at attention from others-for example, search memory will create an empty groove in our content, other multi-tasking ideas (even suppressed ideas) may be active) We can use These technologies read ideas and develop the connection between the soul and the soul (for example, through the Internet GP 5%) to allow artificial intelligence to communicate through ideas or even produce computers or televisions (through AI or other console): projection picture 1. Form in advance to touch logic Important beliefs of value nerves. 2. Real -time dynamic emotional response, the most important part of the stolen/capture). 3. Why do you value, your standard, why you feel contact/emotion, for example.逻辑价值、有趣、好奇、怀旧、感伤、新(经验-好奇)相对于理智的安全、娱乐,例如理解故事、想看完整故事、因果悬念,谁干的? 以及它是如何结束的,充满激情——Stiping to touch your inner things, in addition to sometimes your thinking is loose and invest in another idea; you will also be distracted; there is also an important belief that touches your soul, such as. Sports and/or outdoor activities. 4. The size of the main components compared to humans or other components (if observed). The satisfaction of satisfaction and their general forced appetite mode in a few days, weeks, and months ... 5. The important beliefs that change, add, and put on the logic (may be added, replaced or new) value nerves. In the end, if we can create a database or artificial intelligence or computer algorithm, it can read the average/general brain mode of the neurons of a healthy person, each recognition, memory recognition-consciousness-degeneration-re-trigger, may be tracked/through the trace strength/ Determination of the answer path (answer) for example. Pictures and even objects, entities, interactions, limited words, quantifiers, and quantifiers in the computer screen or in real life, and the more and more similar things are increasingly similar to the victims of the brain (like normal healthy people) Reward his normal and healthy human brain when he comes better. We can also temporarily implant a micro -chip (or a comprehensive brain electrode -or the glands used in the back of the brain). The victim of the brain damaged when enlarging GP2%) will feel stimulus. This stimulus is related to a bunch of possible stem cells outside the head and the neurons trained by tissue. We can enlarge the sound of brain injury to stimulate a bunch of neurons trained by tissue. These neurons are connected to the stimulus of the computer screen or real life. Control and manipulate the computer. We expect stem cells and neuron tissue culture to eventually be injected to the position of the micro chip or instead of damaged brain cells. Artificial intelligence can provide feedback when reading a person's thoughts to guide/recommend clarification and verification -Psychological collaboration between humans, artificial intelligence and computers is carried out at the speed of thinking. For people who are more prone to psychological errors, their ideas can be filtered, and their pre -real -time feedback of their communication/instructions/response -for example. Especially conservative secrets and possible emotional reactions.</v>
      </c>
      <c r="D4254" s="6" t="s">
        <v>11863</v>
      </c>
      <c r="E4254" s="4" t="str">
        <f ca="1">IFERROR(__xludf.DUMMYFUNCTION("GOOGLETRANSLATE(D4254,""auto"",""en"")"),"Reader")</f>
        <v>Reader</v>
      </c>
    </row>
    <row r="4255" spans="1:5" ht="15" x14ac:dyDescent="0.25">
      <c r="A4255" s="5" t="s">
        <v>11864</v>
      </c>
      <c r="B4255" s="6" t="s">
        <v>11865</v>
      </c>
      <c r="C4255" s="3" t="s">
        <v>12423</v>
      </c>
      <c r="D4255" s="6" t="s">
        <v>11866</v>
      </c>
      <c r="E4255" s="4" t="str">
        <f ca="1">IFERROR(__xludf.DUMMYFUNCTION("GOOGLETRANSLATE(D4255,""auto"",""en"")"),"Film library equipment")</f>
        <v>Film library equipment</v>
      </c>
    </row>
    <row r="4256" spans="1:5" ht="15" x14ac:dyDescent="0.25">
      <c r="A4256" s="5" t="s">
        <v>11867</v>
      </c>
      <c r="B4256" s="6" t="s">
        <v>11868</v>
      </c>
      <c r="C4256" s="3" t="str">
        <f ca="1">IFERROR(__xludf.DUMMYFUNCTION("GOOGLETRANSLATE(B4256,""auto"",""en"")"),"The invention involves a smart robot system composed of camera vision; hosts with AI software with image processing and visual system programs; RF communication systems; and multiple autonomous mobile robots that display social and cooperative behaviors. "&amp;"The robot structure is two wheels to meet the requirements of forward, backward, left, and right to provide social and cooperative behaviors such as dance and sports. Therefore, the robot can dance with the partners as the music auction and perform synchr"&amp;"onized action. The robot can perform football, golf, wrestling and other campaigns. It can avoid and conquer, and track the individual and team relay.")</f>
        <v>The invention involves a smart robot system composed of camera vision; hosts with AI software with image processing and visual system programs; RF communication systems; and multiple autonomous mobile robots that display social and cooperative behaviors. The robot structure is two wheels to meet the requirements of forward, backward, left, and right to provide social and cooperative behaviors such as dance and sports. Therefore, the robot can dance with the partners as the music auction and perform synchronized action. The robot can perform football, golf, wrestling and other campaigns. It can avoid and conquer, and track the individual and team relay.</v>
      </c>
      <c r="D4256" s="6" t="s">
        <v>11869</v>
      </c>
      <c r="E4256" s="4" t="str">
        <f ca="1">IFERROR(__xludf.DUMMYFUNCTION("GOOGLETRANSLATE(D4256,""auto"",""en"")"),"Dance Sports Robot System")</f>
        <v>Dance Sports Robot System</v>
      </c>
    </row>
    <row r="4257" spans="1:5" ht="15" x14ac:dyDescent="0.25">
      <c r="A4257" s="5" t="s">
        <v>11870</v>
      </c>
      <c r="B4257" s="6" t="s">
        <v>11871</v>
      </c>
      <c r="C4257" s="3" t="str">
        <f ca="1">IFERROR(__xludf.DUMMYFUNCTION("GOOGLETRANSLATE(B4257,""auto"",""en"")"),"This utility model provides an entertainment and fitness machine. The entertainment and fitness machine includes the base, fuselage and processing device that is connected in turn, and the entertainment and fitness machine also includes throwing objects, "&amp;"which is set up to respond to response to responding to the throw board throwing the plate. The throw signal generated by the throwing object displays the corresponding display screen on the throw board. Through the useful new and open entertainment and f"&amp;"itness machine, through the control of the processing device in the form of computers and other equipment, users can realize long -distance human -computer interactions during fitness; combine the user's physical strength and brain movement, which is cond"&amp;"ucive to conducive Users' physical health can improve the physical strength of the user; allow users to stay away from the display screen during the operation to avoid visual fatigue; and help exercise the user's eye power and judgment ability.")</f>
        <v>This utility model provides an entertainment and fitness machine. The entertainment and fitness machine includes the base, fuselage and processing device that is connected in turn, and the entertainment and fitness machine also includes throwing objects, which is set up to respond to response to responding to the throw board throwing the plate. The throw signal generated by the throwing object displays the corresponding display screen on the throw board. Through the useful new and open entertainment and fitness machine, through the control of the processing device in the form of computers and other equipment, users can realize long -distance human -computer interactions during fitness; combine the user's physical strength and brain movement, which is conducive to conducive Users' physical health can improve the physical strength of the user; allow users to stay away from the display screen during the operation to avoid visual fatigue; and help exercise the user's eye power and judgment ability.</v>
      </c>
      <c r="D4257" s="6" t="s">
        <v>11872</v>
      </c>
      <c r="E4257" s="4" t="str">
        <f ca="1">IFERROR(__xludf.DUMMYFUNCTION("GOOGLETRANSLATE(D4257,""auto"",""en"")"),"Entertainment and fitness machine")</f>
        <v>Entertainment and fitness machine</v>
      </c>
    </row>
    <row r="4258" spans="1:5" ht="15" x14ac:dyDescent="0.25">
      <c r="A4258" s="5" t="s">
        <v>11873</v>
      </c>
      <c r="B4258" s="6" t="s">
        <v>11874</v>
      </c>
      <c r="C4258" s="3" t="str">
        <f ca="1">IFERROR(__xludf.DUMMYFUNCTION("GOOGLETRANSLATE(B4258,""auto"",""en"")"),"The present invention disclosed an entertainment and fitness machine, including the operation table, the base of the machine, and the processing display device that are connected in turn. The throwing signal is generated to display the corresponding guida"&amp;"nce interface. Through the entertainment and fitness machines that are publicly disclosed by the present invention, the control of the display device is processed through computers and other equipment, so that users can realize long -distance human -machi"&amp;"ne interaction during fitness; combine users' physical strength and brain movement, which is conducive to conducive Users' physical health can improve the physical strength of the user; allow users to stay away from the display screen during the operation"&amp;" to avoid visual fatigue; and, it is conducive to training the user's eye power and judgment ability.")</f>
        <v>The present invention disclosed an entertainment and fitness machine, including the operation table, the base of the machine, and the processing display device that are connected in turn. The throwing signal is generated to display the corresponding guidance interface. Through the entertainment and fitness machines that are publicly disclosed by the present invention, the control of the display device is processed through computers and other equipment, so that users can realize long -distance human -machine interaction during fitness; combine users' physical strength and brain movement, which is conducive to conducive Users' physical health can improve the physical strength of the user; allow users to stay away from the display screen during the operation to avoid visual fatigue; and, it is conducive to training the user's eye power and judgment ability.</v>
      </c>
      <c r="D4258" s="6" t="s">
        <v>11872</v>
      </c>
      <c r="E4258" s="4" t="str">
        <f ca="1">IFERROR(__xludf.DUMMYFUNCTION("GOOGLETRANSLATE(D4258,""auto"",""en"")"),"Entertainment and fitness machine")</f>
        <v>Entertainment and fitness machine</v>
      </c>
    </row>
    <row r="4259" spans="1:5" ht="15" x14ac:dyDescent="0.25">
      <c r="A4259" s="5" t="s">
        <v>11875</v>
      </c>
      <c r="B4259" s="6" t="s">
        <v>11876</v>
      </c>
      <c r="C4259" s="3" t="str">
        <f ca="1">IFERROR(__xludf.DUMMYFUNCTION("GOOGLETRANSLATE(B4259,""auto"",""en"")"),"This utility model opens up a entertainment and fitness machine, including the operation table, the base of the machine, and the processing display device that are connected in turn. The entertainment and fitness machine also includes throwing objects. Th"&amp;"e throw signal and output the corresponding guidance interface. Through the useful new and open entertainment and fitness machines, the control of the display device is processed through computers and other devices, so that users can realize long -distanc"&amp;"e human -machine interactions during fitness; It is conducive to users' physical health and improves the physical strength of the user; allowing users to stay away from the display screen during the operation and avoid visual fatigue; and, it is conducive"&amp;" to training the user's eye power and judgment ability.")</f>
        <v>This utility model opens up a entertainment and fitness machine, including the operation table, the base of the machine, and the processing display device that are connected in turn. The entertainment and fitness machine also includes throwing objects. The throw signal and output the corresponding guidance interface. Through the useful new and open entertainment and fitness machines, the control of the display device is processed through computers and other devices, so that users can realize long -distance human -machine interactions during fitness; It is conducive to users' physical health and improves the physical strength of the user; allowing users to stay away from the display screen during the operation and avoid visual fatigue; and, it is conducive to training the user's eye power and judgment ability.</v>
      </c>
      <c r="D4259" s="6" t="s">
        <v>11872</v>
      </c>
      <c r="E4259" s="4" t="str">
        <f ca="1">IFERROR(__xludf.DUMMYFUNCTION("GOOGLETRANSLATE(D4259,""auto"",""en"")"),"Entertainment and fitness machine")</f>
        <v>Entertainment and fitness machine</v>
      </c>
    </row>
    <row r="4260" spans="1:5" ht="15" x14ac:dyDescent="0.25">
      <c r="A4260" s="5" t="s">
        <v>11877</v>
      </c>
      <c r="B4260" s="6" t="s">
        <v>11878</v>
      </c>
      <c r="C4260" s="3" t="str">
        <f ca="1">IFERROR(__xludf.DUMMYFUNCTION("GOOGLETRANSLATE(B4260,""auto"",""en"")"),"The invention provides an entertainment and fitness machine. The entertainment and fitness machine includes the base, fuselage and processing device connected in turn, and the entertainment fitness machine also includes throwing objects with a throwing bo"&amp;"ard and a projector connected to the processing device. The processing device processing device It is used to respond to the throw signal generated by throwing the throwing object to the throw plate, and display the corresponding display screen on the thr"&amp;"ow plate through the procedure. Through the entertainment and fitness machines that are publicly disclosed by the present invention, through the control of the processing device in the form of computers and other equipment, users can realize long -distanc"&amp;"e human -computer interaction during fitness; combine the user's physical strength and brain movement, which is conducive to the use of use The physical health of the person can improve the physical strength of the user; allow users to stay away from the "&amp;"display screen during the operation to avoid visual fatigue; and it is conducive to training the user's eye power and judgment ability.")</f>
        <v>The invention provides an entertainment and fitness machine. The entertainment and fitness machine includes the base, fuselage and processing device connected in turn, and the entertainment fitness machine also includes throwing objects with a throwing board and a projector connected to the processing device. The processing device processing device It is used to respond to the throw signal generated by throwing the throwing object to the throw plate, and display the corresponding display screen on the throw plate through the procedure. Through the entertainment and fitness machines that are publicly disclosed by the present invention, through the control of the processing device in the form of computers and other equipment, users can realize long -distance human -computer interaction during fitness; combine the user's physical strength and brain movement, which is conducive to the use of use The physical health of the person can improve the physical strength of the user; allow users to stay away from the display screen during the operation to avoid visual fatigue; and it is conducive to training the user's eye power and judgment ability.</v>
      </c>
      <c r="D4260" s="6" t="s">
        <v>11872</v>
      </c>
      <c r="E4260" s="4" t="str">
        <f ca="1">IFERROR(__xludf.DUMMYFUNCTION("GOOGLETRANSLATE(D4260,""auto"",""en"")"),"Entertainment and fitness machine")</f>
        <v>Entertainment and fitness machine</v>
      </c>
    </row>
    <row r="4261" spans="1:5" ht="15" x14ac:dyDescent="0.25">
      <c r="A4261" s="5" t="s">
        <v>11879</v>
      </c>
      <c r="B4261" s="6" t="s">
        <v>11880</v>
      </c>
      <c r="C4261" s="3" t="str">
        <f ca="1">IFERROR(__xludf.DUMMYFUNCTION("GOOGLETRANSLATE(B4261,""auto"",""en"")"),"The invention involving the boxing measurement method of boxing comprehensive training system is a sports electronics field. The boxing comprehensive training system consists of the upper machine (1) and the lower machine (2); the lower machine (2) consis"&amp;"ts of the human form (18), the central processor (3), the hit point part (4), and the human -machine interaction part ( 5) Data memory (6), pressure sensor (7), communication module (8), JTAG part (9). The ADC converter in the central processor rely on th"&amp;"e gas pressure sensor to obtain the changes in the air pressure when the boxer hit the airbag. During training, the formula FMAX = KT (VMAX-V0T) measures the weight of the boxing. The present invention solves the vertical and horizontal comparison of the "&amp;"current coaches that cannot be used through specific training data. It is not conducive to the defects of training and actual combat, so that boxers can understand their advantages and disadvantages.")</f>
        <v>The invention involving the boxing measurement method of boxing comprehensive training system is a sports electronics field. The boxing comprehensive training system consists of the upper machine (1) and the lower machine (2); the lower machine (2) consists of the human form (18), the central processor (3), the hit point part (4), and the human -machine interaction part ( 5) Data memory (6), pressure sensor (7), communication module (8), JTAG part (9). The ADC converter in the central processor rely on the gas pressure sensor to obtain the changes in the air pressure when the boxer hit the airbag. During training, the formula FMAX = KT (VMAX-V0T) measures the weight of the boxing. The present invention solves the vertical and horizontal comparison of the current coaches that cannot be used through specific training data. It is not conducive to the defects of training and actual combat, so that boxers can understand their advantages and disadvantages.</v>
      </c>
      <c r="D4261" s="6" t="s">
        <v>11881</v>
      </c>
      <c r="E4261" s="4" t="str">
        <f ca="1">IFERROR(__xludf.DUMMYFUNCTION("GOOGLETRANSLATE(D4261,""auto"",""en"")"),"Boxing measurement method of boxing comprehensive training system")</f>
        <v>Boxing measurement method of boxing comprehensive training system</v>
      </c>
    </row>
    <row r="4262" spans="1:5" ht="15" x14ac:dyDescent="0.25">
      <c r="A4262" s="5" t="s">
        <v>11882</v>
      </c>
      <c r="B4262" s="6" t="s">
        <v>11883</v>
      </c>
      <c r="C4262" s="3" t="str">
        <f ca="1">IFERROR(__xludf.DUMMYFUNCTION("GOOGLETRANSLATE(B4262,""auto"",""en"")"),"This utility model involves a comprehensive boxing training system, which belongs to the field of sports and electronics. It consists of upper machine (1) and lower machine (2); the lower machine consists of mechanical parts and circuit parts; (5) Data me"&amp;"mory (6), pressure sensor (7), communication module (8), JTAG part (9).击打点部分包括击打键(10)、提示灯(11)、击打键锁存电路(12)和提示灯驱动电路(13)；人机交互部分包括液晶(14)、打印机(15)、 Audio control circuit (16) and keyboard (17); this utility model solves the longitudinal and horizontal compariso"&amp;"n of the current coaches that cannot be used through specific training data. Advantages and disadvantages.")</f>
        <v>This utility model involves a comprehensive boxing training system, which belongs to the field of sports and electronics. It consists of upper machine (1) and lower machine (2); the lower machine consists of mechanical parts and circuit parts; (5) Data memory (6), pressure sensor (7), communication module (8), JTAG part (9).击打点部分包括击打键(10)、提示灯(11)、击打键锁存电路(12)和提示灯驱动电路(13)；人机交互部分包括液晶(14)、打印机(15)、 Audio control circuit (16) and keyboard (17); this utility model solves the longitudinal and horizontal comparison of the current coaches that cannot be used through specific training data. Advantages and disadvantages.</v>
      </c>
      <c r="D4262" s="6" t="s">
        <v>11884</v>
      </c>
      <c r="E4262" s="4" t="str">
        <f ca="1">IFERROR(__xludf.DUMMYFUNCTION("GOOGLETRANSLATE(D4262,""auto"",""en"")"),"Boxing Comprehensive Training System")</f>
        <v>Boxing Comprehensive Training System</v>
      </c>
    </row>
    <row r="4263" spans="1:5" ht="15" x14ac:dyDescent="0.25">
      <c r="A4263" s="5" t="s">
        <v>11885</v>
      </c>
      <c r="B4263" s="6" t="s">
        <v>11886</v>
      </c>
      <c r="C4263" s="3" t="str">
        <f ca="1">IFERROR(__xludf.DUMMYFUNCTION("GOOGLETRANSLATE(B4263,""auto"",""en"")"),"The problem is to be resolved: automatically control the speed adjustment of the running belt according to the exercise speed of the exercise, without the need to adjust the speed.
  The invention involves an automatic speed control of the treadmill and"&amp;" its operating methods using the pressure sensor array. This type of automatic speed -regulating treadmill consists of a stress sensor array consisting of a large pressure sensor. These pressure sensors detect the load of the feet of the exercise of the e"&amp;"xercise and output it as the load sensor signal, and the variable variable of the trainer's steam Step and step. After using the storage step and load sensing signal, the stepping state of the storage unit of the storage unit can calculate the steps of th"&amp;"e exercise, calculate the difference between the previous step and the current pace. The unit includes an algorithm for considering the driving speed of the speed change and the center point of the movement.
  【Selection Figure】 Figure 4")</f>
        <v>The problem is to be resolved: automatically control the speed adjustment of the running belt according to the exercise speed of the exercise, without the need to adjust the speed.
  The invention involves an automatic speed control of the treadmill and its operating methods using the pressure sensor array. This type of automatic speed -regulating treadmill consists of a stress sensor array consisting of a large pressure sensor. These pressure sensors detect the load of the feet of the exercise of the exercise and output it as the load sensor signal, and the variable variable of the trainer's steam Step and step. After using the storage step and load sensing signal, the stepping state of the storage unit of the storage unit can calculate the steps of the exercise, calculate the difference between the previous step and the current pace. The unit includes an algorithm for considering the driving speed of the speed change and the center point of the movement.
  【Selection Figure】 Figure 4</v>
      </c>
      <c r="D4263" s="6" t="s">
        <v>11887</v>
      </c>
      <c r="E4263" s="4" t="str">
        <f ca="1">IFERROR(__xludf.DUMMYFUNCTION("GOOGLETRANSLATE(D4263,""auto"",""en"")"),"The automatic speed control of the stress sensor array of the treadmill and vague logic")</f>
        <v>The automatic speed control of the stress sensor array of the treadmill and vague logic</v>
      </c>
    </row>
    <row r="4264" spans="1:5" ht="15" x14ac:dyDescent="0.25">
      <c r="A4264" s="5" t="s">
        <v>11888</v>
      </c>
      <c r="B4264" s="6" t="s">
        <v>11889</v>
      </c>
      <c r="C4264" s="3" t="str">
        <f ca="1">IFERROR(__xludf.DUMMYFUNCTION("GOOGLETRANSLATE(B4264,""auto"",""en"")"),"The invention involves an automatic speed control of the treadmill and its operating methods using the pressure sensor array. The automatic speed -controlled treadmill includes a walking belt and a pressure sensor array of pressure sensors. It is used to "&amp;"detect the load of the exercise's feet and use the load of the detected foot as the load detection signal output. Speed ​​and exercise changes, and the control unit with algorithm is set. This algorithm uses a load detection signal to calculate the steps "&amp;"of the exercise. The motion center of the person, and the driving speed of the running belt is increased/slow down according to the changes in the step and the movement center.")</f>
        <v>The invention involves an automatic speed control of the treadmill and its operating methods using the pressure sensor array. The automatic speed -controlled treadmill includes a walking belt and a pressure sensor array of pressure sensors. It is used to detect the load of the exercise's feet and use the load of the detected foot as the load detection signal output. Speed ​​and exercise changes, and the control unit with algorithm is set. This algorithm uses a load detection signal to calculate the steps of the exercise. The motion center of the person, and the driving speed of the running belt is increased/slow down according to the changes in the step and the movement center.</v>
      </c>
      <c r="D4264" s="6" t="s">
        <v>11890</v>
      </c>
      <c r="E4264" s="4" t="str">
        <f ca="1">IFERROR(__xludf.DUMMYFUNCTION("GOOGLETRANSLATE(D4264,""auto"",""en"")"),"Use the pressure sensor array and the vague -logic automatic speed to control the treadmill")</f>
        <v>Use the pressure sensor array and the vague -logic automatic speed to control the treadmill</v>
      </c>
    </row>
    <row r="4265" spans="1:5" ht="15" x14ac:dyDescent="0.25">
      <c r="A4265" s="5" t="s">
        <v>11891</v>
      </c>
      <c r="B4265" s="6" t="s">
        <v>11892</v>
      </c>
      <c r="C4265" s="3" t="str">
        <f ca="1">IFERROR(__xludf.DUMMYFUNCTION("GOOGLETRANSLATE(B4265,""auto"",""en"")"),"The invention involves an automatic speed -controlled treadmill and its operation method using the pressure sensor array. Automatic speed -controlled treadmill includes: walking belt; pressure sensor array, which has a load that is used with the feet of t"&amp;"he test and exercise and the detected foot load is used as the pressure sensor of the load detection signal output; The steps and steps of the exercise that are used to store the exercise on the walking band; and the control unit that provides the operati"&amp;"ng standard is used to use a load detection signal to calculate the steps of the exercise. The difference is used as a change in the step. The position of the exercise center is calculated, and the driving speed of the walking band is increased/reduced ac"&amp;"cording to the changes in the step of the step and the changes in the center of the exercise.")</f>
        <v>The invention involves an automatic speed -controlled treadmill and its operation method using the pressure sensor array. Automatic speed -controlled treadmill includes: walking belt; pressure sensor array, which has a load that is used with the feet of the test and exercise and the detected foot load is used as the pressure sensor of the load detection signal output; The steps and steps of the exercise that are used to store the exercise on the walking band; and the control unit that provides the operating standard is used to use a load detection signal to calculate the steps of the exercise. The difference is used as a change in the step. The position of the exercise center is calculated, and the driving speed of the walking band is increased/reduced according to the changes in the step of the step and the changes in the center of the exercise.</v>
      </c>
      <c r="D4265" s="6" t="s">
        <v>11893</v>
      </c>
      <c r="E4265" s="4" t="str">
        <f ca="1">IFERROR(__xludf.DUMMYFUNCTION("GOOGLETRANSLATE(D4265,""auto"",""en"")"),"Use pressure sensor array and vague -logic automatic speed -controlled treadmill")</f>
        <v>Use pressure sensor array and vague -logic automatic speed -controlled treadmill</v>
      </c>
    </row>
    <row r="4266" spans="1:5" ht="15" x14ac:dyDescent="0.25">
      <c r="A4266" s="5" t="s">
        <v>11894</v>
      </c>
      <c r="B4266" s="6" t="s">
        <v>11895</v>
      </c>
      <c r="C4266" s="3" t="str">
        <f ca="1">IFERROR(__xludf.DUMMYFUNCTION("GOOGLETRANSLATE(B4266,""auto"",""en"")"),"Patent 573184 revealed a sports field for sports occasions (1). The venue label is a marked line related to the movement on the game (2); and the sign of the general uniform distribution (5, 5 ...), or the row or according to the specified mode, is arrang"&amp;"ed on at least the entire sports field. The contrast intensity and size of the selection logo allows the individual signs in the logo to recognize only the close -up images taken by the camera. This depends on the resolution of the picture transmission sy"&amp;"stem and the visual acuity of the viewer. The contrast strength of the mark line is greater than the contrast strength of the logo.")</f>
        <v>Patent 573184 revealed a sports field for sports occasions (1). The venue label is a marked line related to the movement on the game (2); and the sign of the general uniform distribution (5, 5 ...), or the row or according to the specified mode, is arranged on at least the entire sports field. The contrast intensity and size of the selection logo allows the individual signs in the logo to recognize only the close -up images taken by the camera. This depends on the resolution of the picture transmission system and the visual acuity of the viewer. The contrast strength of the mark line is greater than the contrast strength of the logo.</v>
      </c>
      <c r="D4266" s="6" t="s">
        <v>11896</v>
      </c>
      <c r="E4266" s="4" t="str">
        <f ca="1">IFERROR(__xludf.DUMMYFUNCTION("GOOGLETRANSLATE(D4266,""auto"",""en"")"),"Static surfaces, such as the sports field, and the method of providing logo on the static surface")</f>
        <v>Static surfaces, such as the sports field, and the method of providing logo on the static surface</v>
      </c>
    </row>
    <row r="4267" spans="1:5" ht="15" x14ac:dyDescent="0.25">
      <c r="A4267" s="5" t="s">
        <v>11897</v>
      </c>
      <c r="B4267" s="6" t="s">
        <v>11898</v>
      </c>
      <c r="C4267" s="3" t="str">
        <f ca="1">IFERROR(__xludf.DUMMYFUNCTION("GOOGLETRANSLATE(B4267,""auto"",""en"")"),"The invention involves an automatic speed control of the treadmill and its operating methods using the pressure sensor array. The automatic speed -controlled treadmill includes the walking belt, including the feet load for detecting the exercise and the d"&amp;"etected foot load as the stress sensor array of the load detection signal output, and the pace storage storage for storing steps and pace. unit. The changes of the trainer's steps, and the control unit with algorithm. This algorithm uses a load detection "&amp;"signal to calculate the steps of the exercise. Sports center, increase the driving speed of the running zone according to the changes in the pace and movement center.")</f>
        <v>The invention involves an automatic speed control of the treadmill and its operating methods using the pressure sensor array. The automatic speed -controlled treadmill includes the walking belt, including the feet load for detecting the exercise and the detected foot load as the stress sensor array of the load detection signal output, and the pace storage storage for storing steps and pace. unit. The changes of the trainer's steps, and the control unit with algorithm. This algorithm uses a load detection signal to calculate the steps of the exercise. Sports center, increase the driving speed of the running zone according to the changes in the pace and movement center.</v>
      </c>
      <c r="D4267" s="6" t="s">
        <v>11890</v>
      </c>
      <c r="E4267" s="4" t="str">
        <f ca="1">IFERROR(__xludf.DUMMYFUNCTION("GOOGLETRANSLATE(D4267,""auto"",""en"")"),"Use the pressure sensor array and the vague -logic automatic speed to control the treadmill")</f>
        <v>Use the pressure sensor array and the vague -logic automatic speed to control the treadmill</v>
      </c>
    </row>
    <row r="4268" spans="1:5" ht="15" x14ac:dyDescent="0.25">
      <c r="A4268" s="5" t="s">
        <v>11899</v>
      </c>
      <c r="B4268" s="6" t="s">
        <v>11898</v>
      </c>
      <c r="C4268" s="3" t="str">
        <f ca="1">IFERROR(__xludf.DUMMYFUNCTION("GOOGLETRANSLATE(B4268,""auto"",""en"")"),"The invention involves an automatic speed control of the treadmill and its operating methods using the pressure sensor array. The automatic speed -controlled treadmill includes the walking belt, including the feet load for detecting the exercise and the d"&amp;"etected foot load as the stress sensor array of the load detection signal output, and the pace storage storage for storing steps and pace. unit. The changes of the trainer's steps, and the control unit with algorithm. This algorithm uses a load detection "&amp;"signal to calculate the steps of the exercise. Sports center, increase the driving speed of the running zone according to the changes in the pace and movement center.")</f>
        <v>The invention involves an automatic speed control of the treadmill and its operating methods using the pressure sensor array. The automatic speed -controlled treadmill includes the walking belt, including the feet load for detecting the exercise and the detected foot load as the stress sensor array of the load detection signal output, and the pace storage storage for storing steps and pace. unit. The changes of the trainer's steps, and the control unit with algorithm. This algorithm uses a load detection signal to calculate the steps of the exercise. Sports center, increase the driving speed of the running zone according to the changes in the pace and movement center.</v>
      </c>
      <c r="D4268" s="6" t="s">
        <v>11890</v>
      </c>
      <c r="E4268" s="4" t="str">
        <f ca="1">IFERROR(__xludf.DUMMYFUNCTION("GOOGLETRANSLATE(D4268,""auto"",""en"")"),"Use the pressure sensor array and the vague -logic automatic speed to control the treadmill")</f>
        <v>Use the pressure sensor array and the vague -logic automatic speed to control the treadmill</v>
      </c>
    </row>
    <row r="4269" spans="1:5" ht="15" x14ac:dyDescent="0.25">
      <c r="A4269" s="5" t="s">
        <v>11900</v>
      </c>
      <c r="B4269" s="6" t="s">
        <v>11901</v>
      </c>
      <c r="C4269" s="3" t="str">
        <f ca="1">IFERROR(__xludf.DUMMYFUNCTION("GOOGLETRANSLATE(B4269,""auto"",""en"")"),"""Multi -functional fitness tea"" is based on the theory of traditional Chinese and Western medicine. From the ""Chinese Medicine Dictionary"" and ""Chinese Medicine Sea"", dozens of traditional Chinese medicines that have health and treatment effects on "&amp;"the human body have been selected. Matching the seeds to make drinks, powder or pills. Its formula is: 2-4g of ginseng, 4-6g of Schisandra 4-6g, thorns 8-10g, astragalus 10-12g, wolfberry 8-12g, tea 3-6g, white sugar 20-30g, and 1100ml of cold water. The "&amp;"aforementioned Chinese medicine, or an appropriate amount of honey, or the aforementioned Chinese medicine add 600ml of cold water. This item has the following characteristics: (1) It has the role of improving the intelligence of people and enhancing lear"&amp;"ning and memory ability. (2) It has the role of improving people's endurance, physical strength, and improving work efficiency. (3) It has the role of eliminating fatigue and promoting physical recovery. (4) It has the effect of enhancing the immune capac"&amp;"ity of the body. (5) It has the effect of improving the body's metabolism. Therefore, it can improve the quality of human survival, which has the advantages of unable to replace other beverages on the market. At the same time, it has the characteristics o"&amp;"f novelty, scientificity, applicability, and economy.")</f>
        <v>"Multi -functional fitness tea" is based on the theory of traditional Chinese and Western medicine. From the "Chinese Medicine Dictionary" and "Chinese Medicine Sea", dozens of traditional Chinese medicines that have health and treatment effects on the human body have been selected. Matching the seeds to make drinks, powder or pills. Its formula is: 2-4g of ginseng, 4-6g of Schisandra 4-6g, thorns 8-10g, astragalus 10-12g, wolfberry 8-12g, tea 3-6g, white sugar 20-30g, and 1100ml of cold water. The aforementioned Chinese medicine, or an appropriate amount of honey, or the aforementioned Chinese medicine add 600ml of cold water. This item has the following characteristics: (1) It has the role of improving the intelligence of people and enhancing learning and memory ability. (2) It has the role of improving people's endurance, physical strength, and improving work efficiency. (3) It has the role of eliminating fatigue and promoting physical recovery. (4) It has the effect of enhancing the immune capacity of the body. (5) It has the effect of improving the body's metabolism. Therefore, it can improve the quality of human survival, which has the advantages of unable to replace other beverages on the market. At the same time, it has the characteristics of novelty, scientificity, applicability, and economy.</v>
      </c>
      <c r="D4269" s="6" t="s">
        <v>11902</v>
      </c>
      <c r="E4269" s="4" t="str">
        <f ca="1">IFERROR(__xludf.DUMMYFUNCTION("GOOGLETRANSLATE(D4269,""auto"",""en"")"),"Multi -functional fitness tea")</f>
        <v>Multi -functional fitness tea</v>
      </c>
    </row>
    <row r="4270" spans="1:5" ht="15" x14ac:dyDescent="0.25">
      <c r="A4270" s="5" t="s">
        <v>11903</v>
      </c>
      <c r="B4270" s="6" t="s">
        <v>11904</v>
      </c>
      <c r="C4270" s="3" t="str">
        <f ca="1">IFERROR(__xludf.DUMMYFUNCTION("GOOGLETRANSLATE(B4270,""auto"",""en"")"),"This utility model opens up a pressure distribution system based on flexible pressure array sensors. Its structure is between multiple sensor units between the plastic layer and the lower plastic layer of the protective effect. The sensor unit is connecte"&amp;"d by the row lead and the column lead, forming a sensor collection node. 2. The on -site bus unit connection constitutes the pressure distribution collection unit module, and the sensor density is 1 point/cm2. Collect the static and dynamic pressure distr"&amp;"ibution information of the contact surface, including the shape, pressure change, time, etc. of contact. This information is transmitted to the computer to analyze and store the computer through the on -site bus. Because the system is prepared by flexible"&amp;" materials, it provides better technical means for measuring the pressure distribution of each contact surface. This system can be widely used in the field of human -computer interaction process analysis, industrial manufacturing design, competitive sport"&amp;"s skills diagnosis and other fields.")</f>
        <v>This utility model opens up a pressure distribution system based on flexible pressure array sensors. Its structure is between multiple sensor units between the plastic layer and the lower plastic layer of the protective effect. The sensor unit is connected by the row lead and the column lead, forming a sensor collection node. 2. The on -site bus unit connection constitutes the pressure distribution collection unit module, and the sensor density is 1 point/cm2. Collect the static and dynamic pressure distribution information of the contact surface, including the shape, pressure change, time, etc. of contact. This information is transmitted to the computer to analyze and store the computer through the on -site bus. Because the system is prepared by flexible materials, it provides better technical means for measuring the pressure distribution of each contact surface. This system can be widely used in the field of human -computer interaction process analysis, industrial manufacturing design, competitive sports skills diagnosis and other fields.</v>
      </c>
      <c r="D4270" s="6" t="s">
        <v>11905</v>
      </c>
      <c r="E4270" s="4" t="str">
        <f ca="1">IFERROR(__xludf.DUMMYFUNCTION("GOOGLETRANSLATE(D4270,""auto"",""en"")"),"Pressure distribution collection system based on flexible pressure arrays sensor")</f>
        <v>Pressure distribution collection system based on flexible pressure arrays sensor</v>
      </c>
    </row>
    <row r="4271" spans="1:5" ht="15" x14ac:dyDescent="0.25">
      <c r="A4271" s="5" t="s">
        <v>11906</v>
      </c>
      <c r="B4271" s="6" t="s">
        <v>11907</v>
      </c>
      <c r="C4271" s="3" t="str">
        <f ca="1">IFERROR(__xludf.DUMMYFUNCTION("GOOGLETRANSLATE(B4271,""auto"",""en"")"),"Computer interactive teaching tool system (10) for technical interactive learning, especially reading speed and understanding. The main menu (12) includes a reading gym (18) and reading theater (20), and other activity areas (14). Activity area (14) allow"&amp;"s users to choose various exercises, games and tests. The system (10) involves innovation and interactive methods of displaying text (86) to improve users' reading speed and understanding, while providing visual and audio backgrounds to enhance learning.")</f>
        <v>Computer interactive teaching tool system (10) for technical interactive learning, especially reading speed and understanding. The main menu (12) includes a reading gym (18) and reading theater (20), and other activity areas (14). Activity area (14) allows users to choose various exercises, games and tests. The system (10) involves innovation and interactive methods of displaying text (86) to improve users' reading speed and understanding, while providing visual and audio backgrounds to enhance learning.</v>
      </c>
      <c r="D4271" s="6" t="s">
        <v>11908</v>
      </c>
      <c r="E4271" s="4" t="str">
        <f ca="1">IFERROR(__xludf.DUMMYFUNCTION("GOOGLETRANSLATE(D4271,""auto"",""en"")"),"Interactive reading teaching tool system")</f>
        <v>Interactive reading teaching tool system</v>
      </c>
    </row>
    <row r="4272" spans="1:5" ht="15" x14ac:dyDescent="0.25">
      <c r="A4272" s="5" t="s">
        <v>11909</v>
      </c>
      <c r="B4272" s="6" t="s">
        <v>11910</v>
      </c>
      <c r="C4272" s="3" t="str">
        <f ca="1">IFERROR(__xludf.DUMMYFUNCTION("GOOGLETRANSLATE(B4272,""auto"",""en"")"),"The device has a digital transmitter (33) with a voice recognition device (16), which is used to select players from a group of players based on voice to send advice and orders to players. The digital miniature receiver carried by the player is used to re"&amp;"ceive suggestions and commands. Remote control (34) select one of the two teams. The remote control has activated keys (35-37, 40, 41), which is used to transmit messages of coaches to players via a specific code. When the coach releases the keys, the com"&amp;"munication between the performers and the coach stops.")</f>
        <v>The device has a digital transmitter (33) with a voice recognition device (16), which is used to select players from a group of players based on voice to send advice and orders to players. The digital miniature receiver carried by the player is used to receive suggestions and commands. Remote control (34) select one of the two teams. The remote control has activated keys (35-37, 40, 41), which is used to transmit messages of coaches to players via a specific code. When the coach releases the keys, the communication between the performers and the coach stops.</v>
      </c>
      <c r="D4272" s="6" t="s">
        <v>11911</v>
      </c>
      <c r="E4272" s="4" t="str">
        <f ca="1">IFERROR(__xludf.DUMMYFUNCTION("GOOGLETRANSLATE(D4272,""auto"",""en"")"),"Wireless training equipment used during the practice, such as rugby, remote control with activated keys, can transfer the coach's information to the players. When the coach releases the button, the communication between the players and the coach will stop")</f>
        <v>Wireless training equipment used during the practice, such as rugby, remote control with activated keys, can transfer the coach's information to the players. When the coach releases the button, the communication between the players and the coach will stop</v>
      </c>
    </row>
    <row r="4273" spans="1:5" ht="15" x14ac:dyDescent="0.25">
      <c r="A4273" s="5" t="s">
        <v>11912</v>
      </c>
      <c r="B4273" s="6" t="s">
        <v>11913</v>
      </c>
      <c r="C4273" s="3" t="str">
        <f ca="1">IFERROR(__xludf.DUMMYFUNCTION("GOOGLETRANSLATE(B4273,""auto"",""en"")"),"The invention disclosed a programmable robot toy and its control method based on USB interfaces. The robot toy mainly includes mechanical devices, sensor units, central control processing units, LCD display units, audio input/output units, power managemen"&amp;"t units and USB interface units. Install a mechanical device to achieve the limb movement of robotic toys; the position sensor unit transmits the status information of the limb movement to the central control processing unit through the data interface; Th"&amp;"e action of controlling the control circuit to control the mechanical device. The present invention uses mechanical control technology, voice recognition technology, and USB interface technology, so that robotic toys achieved the presented instruction set"&amp;" according to the preset instruction set.")</f>
        <v>The invention disclosed a programmable robot toy and its control method based on USB interfaces. The robot toy mainly includes mechanical devices, sensor units, central control processing units, LCD display units, audio input/output units, power management units and USB interface units. Install a mechanical device to achieve the limb movement of robotic toys; the position sensor unit transmits the status information of the limb movement to the central control processing unit through the data interface; The action of controlling the control circuit to control the mechanical device. The present invention uses mechanical control technology, voice recognition technology, and USB interface technology, so that robotic toys achieved the presented instruction set according to the preset instruction set.</v>
      </c>
      <c r="D4273" s="6" t="s">
        <v>11914</v>
      </c>
      <c r="E4273" s="4" t="str">
        <f ca="1">IFERROR(__xludf.DUMMYFUNCTION("GOOGLETRANSLATE(D4273,""auto"",""en"")"),"Programmable robot toys and control methods based on USB interface")</f>
        <v>Programmable robot toys and control methods based on USB interface</v>
      </c>
    </row>
    <row r="4274" spans="1:5" ht="15" x14ac:dyDescent="0.25">
      <c r="A4274" s="5" t="s">
        <v>11915</v>
      </c>
      <c r="B4274" s="6" t="s">
        <v>11916</v>
      </c>
      <c r="C4274" s="3" t="str">
        <f ca="1">IFERROR(__xludf.DUMMYFUNCTION("GOOGLETRANSLATE(B4274,""auto"",""en"")"),"The artificial central mode generator (CPG) of the central mode generator motion controller based on the natural generator can be constructed as an adaptive walking, running, swimming and flying animals. By providing artificial CPG, it can be a chip. Esse"&amp;"nce It is believed that this is the first case of adaptive CPG chip. This sensory feedback system with artificial CPG can be used for mechanical applications, such as running robot legs, walking, flight and swimming machines, as well as miniature and larg"&amp;"e robots, and biological systems, such as the system of spine injury patients with neural network spine.")</f>
        <v>The artificial central mode generator (CPG) of the central mode generator motion controller based on the natural generator can be constructed as an adaptive walking, running, swimming and flying animals. By providing artificial CPG, it can be a chip. Essence It is believed that this is the first case of adaptive CPG chip. This sensory feedback system with artificial CPG can be used for mechanical applications, such as running robot legs, walking, flight and swimming machines, as well as miniature and large robots, and biological systems, such as the system of spine injury patients with neural network spine.</v>
      </c>
      <c r="D4274" s="6" t="s">
        <v>11917</v>
      </c>
      <c r="E4274" s="4" t="str">
        <f ca="1">IFERROR(__xludf.DUMMYFUNCTION("GOOGLETRANSLATE(D4274,""auto"",""en"")"),"Bionic rhythm motion controller")</f>
        <v>Bionic rhythm motion controller</v>
      </c>
    </row>
    <row r="4275" spans="1:5" ht="15" x14ac:dyDescent="0.25">
      <c r="A4275" s="5" t="s">
        <v>11918</v>
      </c>
      <c r="B4275" s="6" t="s">
        <v>11919</v>
      </c>
      <c r="C4275" s="3" t="str">
        <f ca="1">IFERROR(__xludf.DUMMYFUNCTION("GOOGLETRANSLATE(B4275,""auto"",""en"")"),"In order to overcome ordinary fixed telephones, it is difficult to complete the IVR business, which leads to difficulty in promoting the IVR business. The present invention proposes that on the Chinese smart telephone, a series of numbers and human -compu"&amp;"ter interaction options needed for the final business of the IVR business. The definition and specifications of Hua, and finally explained the execution. The IVR business number string, of which in the definition of the number segment, not only includes 0"&amp;" ~ 9,*,#, but also+, P, - as the basic action element, thereby forming a standard IVR business number string. IVR business business card. The specific operation is the data of the dial -up process to edit the offline editing, and replace it into the IVR b"&amp;"usiness number string to form a series of string of IVR business number that actually needs dial -up dial -up. Finally , To achieve IVR target business.")</f>
        <v>In order to overcome ordinary fixed telephones, it is difficult to complete the IVR business, which leads to difficulty in promoting the IVR business. The present invention proposes that on the Chinese smart telephone, a series of numbers and human -computer interaction options needed for the final business of the IVR business. The definition and specifications of Hua, and finally explained the execution. The IVR business number string, of which in the definition of the number segment, not only includes 0 ~ 9,*,#, but also+, P, - as the basic action element, thereby forming a standard IVR business number string. IVR business business card. The specific operation is the data of the dial -up process to edit the offline editing, and replace it into the IVR business number string to form a series of string of IVR business number that actually needs dial -up dial -up. Finally , To achieve IVR target business.</v>
      </c>
      <c r="D4275" s="6" t="s">
        <v>11920</v>
      </c>
      <c r="E4275" s="4" t="str">
        <f ca="1">IFERROR(__xludf.DUMMYFUNCTION("GOOGLETRANSLATE(D4275,""auto"",""en"")"),"Offline editor to realize the Chinese smart phone of the one -button dial of the IVR business")</f>
        <v>Offline editor to realize the Chinese smart phone of the one -button dial of the IVR business</v>
      </c>
    </row>
    <row r="4276" spans="1:5" ht="15" x14ac:dyDescent="0.25">
      <c r="A4276" s="5" t="s">
        <v>11921</v>
      </c>
      <c r="B4276" s="6" t="s">
        <v>11922</v>
      </c>
      <c r="C4276" s="3" t="str">
        <f ca="1">IFERROR(__xludf.DUMMYFUNCTION("GOOGLETRANSLATE(B4276,""auto"",""en"")"),"The embodiment of the present invention provides a method and device for wireless health monitoring systems, which is used to connect to the health monitoring equipment that can be used to enable the Internet (""WWD"") to interact with the health monitori"&amp;"ng equipment that can be a medical equipment. Diseases or health status. Equipment or other equipment related to health, such as fitness equipment. If necessary, WWD can use the optional accessories to connect to the general input/output port of WWD to di"&amp;"rectly connect to the health monitoring equipment by wired. Alternatively, WWD can be wirelessly connected to health monitoring equipment, such as infrared or radio frequency connection, including using protocols such as Bluetooth or 802.11. If necessary,"&amp;" the adapter can also be used in wireless connections. Users can also manually enter data to WWD, such as small keyboards, keyboards, touch pens or optional places through voice commands. Use the standard Internet agreement to transmit health -related dat"&amp;"a from WWD to the server. Software program calculation responses that can include server or artificial intelligence systems, and can further provide reviews from doctors or health experts. Users can interact with the server. For example, the server sends "&amp;"a response to WWD, and the user can answer the response or provide other information.")</f>
        <v>The embodiment of the present invention provides a method and device for wireless health monitoring systems, which is used to connect to the health monitoring equipment that can be used to enable the Internet ("WWD") to interact with the health monitoring equipment that can be a medical equipment. Diseases or health status. Equipment or other equipment related to health, such as fitness equipment. If necessary, WWD can use the optional accessories to connect to the general input/output port of WWD to directly connect to the health monitoring equipment by wired. Alternatively, WWD can be wirelessly connected to health monitoring equipment, such as infrared or radio frequency connection, including using protocols such as Bluetooth or 802.11. If necessary, the adapter can also be used in wireless connections. Users can also manually enter data to WWD, such as small keyboards, keyboards, touch pens or optional places through voice commands. Use the standard Internet agreement to transmit health -related data from WWD to the server. Software program calculation responses that can include server or artificial intelligence systems, and can further provide reviews from doctors or health experts. Users can interact with the server. For example, the server sends a response to WWD, and the user can answer the response or provide other information.</v>
      </c>
      <c r="D4276" s="6" t="s">
        <v>11804</v>
      </c>
      <c r="E4276" s="4" t="str">
        <f ca="1">IFERROR(__xludf.DUMMYFUNCTION("GOOGLETRANSLATE(D4276,""auto"",""en"")"),"Health and disease management methods and devices that combine patient data monitoring with wireless Internet connection")</f>
        <v>Health and disease management methods and devices that combine patient data monitoring with wireless Internet connection</v>
      </c>
    </row>
    <row r="4277" spans="1:5" ht="15" x14ac:dyDescent="0.25">
      <c r="A4277" s="5" t="s">
        <v>11923</v>
      </c>
      <c r="B4277" s="6" t="s">
        <v>11924</v>
      </c>
      <c r="C4277" s="3" t="str">
        <f ca="1">IFERROR(__xludf.DUMMYFUNCTION("GOOGLETRANSLATE(B4277,""auto"",""en"")"),"[Question] It is convenient to register the song during the group singing competition, which can fully enjoy the wonderful singing competition without having to pay attention to which group of the song.
  Solution: Voice recognition device 1, integrated"&amp;" in the karaoke device with singing scoring functions, based on the singing data currently entered from microphone 7 and pre -prepared voice reference analysis of voice data. The singer attribute confirming device 2 determines the audio data of the audio "&amp;"data. The scheduled algorithm generates the collection point based on the singing score result of the song. Information Display Device 4 Display the advantages of each singer attribute group on the display device 6 based on the management point of managem"&amp;"ent. Prepare.
  【Selection Figure】 Figure 1")</f>
        <v>[Question] It is convenient to register the song during the group singing competition, which can fully enjoy the wonderful singing competition without having to pay attention to which group of the song.
  Solution: Voice recognition device 1, integrated in the karaoke device with singing scoring functions, based on the singing data currently entered from microphone 7 and pre -prepared voice reference analysis of voice data. The singer attribute confirming device 2 determines the audio data of the audio data. The scheduled algorithm generates the collection point based on the singing score result of the song. Information Display Device 4 Display the advantages of each singer attribute group on the display device 6 based on the management point of management. Prepare.
  【Selection Figure】 Figure 1</v>
      </c>
      <c r="D4277" s="6" t="s">
        <v>11925</v>
      </c>
      <c r="E4277" s="4" t="str">
        <f ca="1">IFERROR(__xludf.DUMMYFUNCTION("GOOGLETRANSLATE(D4277,""auto"",""en"")"),"Singer Properties Contest Singing Fighting System")</f>
        <v>Singer Properties Contest Singing Fighting System</v>
      </c>
    </row>
    <row r="4278" spans="1:5" ht="15" x14ac:dyDescent="0.25">
      <c r="A4278" s="5" t="s">
        <v>11926</v>
      </c>
      <c r="B4278" s="6" t="s">
        <v>11927</v>
      </c>
      <c r="C4278" s="3" t="str">
        <f ca="1">IFERROR(__xludf.DUMMYFUNCTION("GOOGLETRANSLATE(B4278,""auto"",""en"")"),"A kind of network sales system for fitness equipment and health care equipment. Visitors log in to the human -computer interaction interface to sell fitness equipment and health care equipment network sales space stations through operating computer networ"&amp;"ks to operate the entire process of computer keyboard or mouse equipment. After selecting the appropriate item, pay the cost, and then the user receives the cargo of their fitness equipment and health equipment, and completes the sales process of fitness "&amp;"equipment and health care equipment networks. The present invention has greatly improved the convenience of buying fitness equipment and health equipment, and has obvious practicality, huge social value and economic value.")</f>
        <v>A kind of network sales system for fitness equipment and health care equipment. Visitors log in to the human -computer interaction interface to sell fitness equipment and health care equipment network sales space stations through operating computer networks to operate the entire process of computer keyboard or mouse equipment. After selecting the appropriate item, pay the cost, and then the user receives the cargo of their fitness equipment and health equipment, and completes the sales process of fitness equipment and health care equipment networks. The present invention has greatly improved the convenience of buying fitness equipment and health equipment, and has obvious practicality, huge social value and economic value.</v>
      </c>
      <c r="D4278" s="6" t="s">
        <v>11928</v>
      </c>
      <c r="E4278" s="4" t="str">
        <f ca="1">IFERROR(__xludf.DUMMYFUNCTION("GOOGLETRANSLATE(D4278,""auto"",""en"")"),"One kind of fitness equipment and health care equipment network sales system and their usage methods")</f>
        <v>One kind of fitness equipment and health care equipment network sales system and their usage methods</v>
      </c>
    </row>
    <row r="4279" spans="1:5" ht="15" x14ac:dyDescent="0.25">
      <c r="A4279" s="5" t="s">
        <v>11929</v>
      </c>
      <c r="B4279" s="6" t="s">
        <v>11930</v>
      </c>
      <c r="C4279" s="3" t="str">
        <f ca="1">IFERROR(__xludf.DUMMYFUNCTION("GOOGLETRANSLATE(B4279,""auto"",""en"")"),"A kind of auxiliary user fitness device, including memory, display units, keyboards, speakers, power modules, also includes: camera module to convert the outside scenes into corresponding digital image files; image recognition modules are used to identify"&amp;" images in images Human movement and extract the characteristics of human movement; the main processing module is used to control the results of the modules and output comparison. The device of the present invention is equipped with a human action recogni"&amp;"tion system to compare people's fitness movements with standard action templates. You can provide users with guidance similar to fitness coaches anytime, anywhere, to point out irregularities in users' fitness action to help help and help help. Users achi"&amp;"eve the ideal fitness effect.")</f>
        <v>A kind of auxiliary user fitness device, including memory, display units, keyboards, speakers, power modules, also includes: camera module to convert the outside scenes into corresponding digital image files; image recognition modules are used to identify images in images Human movement and extract the characteristics of human movement; the main processing module is used to control the results of the modules and output comparison. The device of the present invention is equipped with a human action recognition system to compare people's fitness movements with standard action templates. You can provide users with guidance similar to fitness coaches anytime, anywhere, to point out irregularities in users' fitness action to help help and help help. Users achieve the ideal fitness effect.</v>
      </c>
      <c r="D4279" s="6" t="s">
        <v>11931</v>
      </c>
      <c r="E4279" s="4" t="str">
        <f ca="1">IFERROR(__xludf.DUMMYFUNCTION("GOOGLETRANSLATE(D4279,""auto"",""en"")"),"Auxiliary user fitness methods and devices")</f>
        <v>Auxiliary user fitness methods and devices</v>
      </c>
    </row>
    <row r="4280" spans="1:5" ht="15" x14ac:dyDescent="0.25">
      <c r="A4280" s="5" t="s">
        <v>11932</v>
      </c>
      <c r="B4280" s="6" t="s">
        <v>11933</v>
      </c>
      <c r="C4280" s="3" t="str">
        <f ca="1">IFERROR(__xludf.DUMMYFUNCTION("GOOGLETRANSLATE(B4280,""auto"",""en"")"),"According to the use of image information and wireless sensor networks of the present invention and the positioning method and device of the wireless sensor network, as well as the method of data identification and measurement positions provided by object"&amp;"s, the method of using image information and wireless sensor network recognition objects is used for positioning The ID of the objects measured by the location, and then obtain the information of the object based on the ID; use the wireless communication "&amp;"with the electronic label attached to the object to estimate the location of the object; obtain the image near the object estimation of the object; Calculate the location of an object; it is characterized by the ID and accurate location information of var"&amp;"ious objects in the space that can master the various objects in the space. Based on this, intelligent robots such as gynecology and transportation can be performed. Apply to service development.")</f>
        <v>According to the use of image information and wireless sensor networks of the present invention and the positioning method and device of the wireless sensor network, as well as the method of data identification and measurement positions provided by objects, the method of using image information and wireless sensor network recognition objects is used for positioning The ID of the objects measured by the location, and then obtain the information of the object based on the ID; use the wireless communication with the electronic label attached to the object to estimate the location of the object; obtain the image near the object estimation of the object; Calculate the location of an object; it is characterized by the ID and accurate location information of various objects in the space that can master the various objects in the space. Based on this, intelligent robots such as gynecology and transportation can be performed. Apply to service development.</v>
      </c>
      <c r="D4280" s="6" t="s">
        <v>11934</v>
      </c>
      <c r="E4280" s="4" t="str">
        <f ca="1">IFERROR(__xludf.DUMMYFUNCTION("GOOGLETRANSLATE(D4280,""auto"",""en"")"),"Using the target recognition and positioning method of image information and wireless sensor networks and its device")</f>
        <v>Using the target recognition and positioning method of image information and wireless sensor networks and its device</v>
      </c>
    </row>
    <row r="4281" spans="1:5" ht="15" x14ac:dyDescent="0.25">
      <c r="A4281" s="5" t="s">
        <v>11935</v>
      </c>
      <c r="B4281" s="6" t="s">
        <v>11936</v>
      </c>
      <c r="C4281" s="3" t="str">
        <f ca="1">IFERROR(__xludf.DUMMYFUNCTION("GOOGLETRANSLATE(B4281,""auto"",""en"")"),"The voice control unit has the activated voice recognition device. Provide microphones and enter language. Voice is temporarily stored in the memory of the voice recognition device. Use the available voice recognition device to analyze the voice recorded."&amp;" The control unit provides the control unit. The control unit uses the user's exported voice command, voice recognition device, and sends the records and further signals of the voice analysis unit detected in the athlete database. Contains independent rig"&amp;"hts requirements for static conditions collection and control unit.")</f>
        <v>The voice control unit has the activated voice recognition device. Provide microphones and enter language. Voice is temporarily stored in the memory of the voice recognition device. Use the available voice recognition device to analyze the voice recorded. The control unit provides the control unit. The control unit uses the user's exported voice command, voice recognition device, and sends the records and further signals of the voice analysis unit detected in the athlete database. Contains independent rights requirements for static conditions collection and control unit.</v>
      </c>
      <c r="D4281" s="6" t="s">
        <v>11937</v>
      </c>
      <c r="E4281" s="4" t="str">
        <f ca="1">IFERROR(__xludf.DUMMYFUNCTION("GOOGLETRANSLATE(D4281,""auto"",""en"")"),"Voice control is used to automatically generate athlete database, with activated voice recognition equipment, provides microphones and enters language")</f>
        <v>Voice control is used to automatically generate athlete database, with activated voice recognition equipment, provides microphones and enters language</v>
      </c>
    </row>
    <row r="4282" spans="1:5" ht="15" x14ac:dyDescent="0.25">
      <c r="A4282" s="5" t="s">
        <v>11938</v>
      </c>
      <c r="B4282" s="6" t="s">
        <v>11939</v>
      </c>
      <c r="C4282" s="3" t="str">
        <f ca="1">IFERROR(__xludf.DUMMYFUNCTION("GOOGLETRANSLATE(B4282,""auto"",""en"")"),"[0001] The present invention involves a method of calculating the turbine control system rotor expansion distance measurement error, which measures the measuring error generated during the measured rotor expansion distance in the minimized turbine control"&amp;" system. Measure the sensor, including: the first process, the feature data of the user receiving the rangefront sensor and the installation data of the turbine; the second step, the characteristic data of the receiving distance measurement of the sensor "&amp;"is applied to Calculate the distance between the first and second ranging sensors and runners with the voltage values ​​output from the first and second ranging sensors and the control constant of the calculation; After calculating the distance between th"&amp;"e distance between the turntable and the installation data of the turbine, the fourth process that outputs calculated the distance measurement error on the screen can be used to minimize the control constant to calculate the measurement of the ranging sen"&amp;"sor measurement. The degree of error of data, and calculate and check the degree of error, so that users can evaluate the reliability of the data measured by the ranging sensor.")</f>
        <v>[0001] The present invention involves a method of calculating the turbine control system rotor expansion distance measurement error, which measures the measuring error generated during the measured rotor expansion distance in the minimized turbine control system. Measure the sensor, including: the first process, the feature data of the user receiving the rangefront sensor and the installation data of the turbine; the second step, the characteristic data of the receiving distance measurement of the sensor is applied to Calculate the distance between the first and second ranging sensors and runners with the voltage values ​​output from the first and second ranging sensors and the control constant of the calculation; After calculating the distance between the distance between the turntable and the installation data of the turbine, the fourth process that outputs calculated the distance measurement error on the screen can be used to minimize the control constant to calculate the measurement of the ranging sensor measurement. The degree of error of data, and calculate and check the degree of error, so that users can evaluate the reliability of the data measured by the ranging sensor.</v>
      </c>
      <c r="D4282" s="6" t="s">
        <v>11940</v>
      </c>
      <c r="E4282" s="4" t="str">
        <f ca="1">IFERROR(__xludf.DUMMYFUNCTION("GOOGLETRANSLATE(D4282,""auto"",""en"")"),"How to calculate the measurement error of the rotor expansion distance in the turbine control system")</f>
        <v>How to calculate the measurement error of the rotor expansion distance in the turbine control system</v>
      </c>
    </row>
    <row r="4283" spans="1:5" ht="15" x14ac:dyDescent="0.25">
      <c r="A4283" s="5" t="s">
        <v>11941</v>
      </c>
      <c r="B4283" s="6" t="s">
        <v>11942</v>
      </c>
      <c r="C4283" s="3" t="str">
        <f ca="1">IFERROR(__xludf.DUMMYFUNCTION("GOOGLETRANSLATE(B4283,""auto"",""en"")"),"A system that can generate and/or modify the activity template. The activity template describes the overall operations and resources related to the event. This system can automatically convert the activity log with formula to reduce the workload of activi"&amp;"ty reproduction. Self -adjustment can be made through the algorithm based on machine learning, so as to dynamically change the template based on the undergoing or historic user action.")</f>
        <v>A system that can generate and/or modify the activity template. The activity template describes the overall operations and resources related to the event. This system can automatically convert the activity log with formula to reduce the workload of activity reproduction. Self -adjustment can be made through the algorithm based on machine learning, so as to dynamically change the template based on the undergoing or historic user action.</v>
      </c>
      <c r="D4283" s="6" t="s">
        <v>11943</v>
      </c>
      <c r="E4283" s="4" t="str">
        <f ca="1">IFERROR(__xludf.DUMMYFUNCTION("GOOGLETRANSLATE(D4283,""auto"",""en"")"),"The process of capture user activities")</f>
        <v>The process of capture user activities</v>
      </c>
    </row>
    <row r="4284" spans="1:5" ht="15" x14ac:dyDescent="0.25">
      <c r="A4284" s="5" t="s">
        <v>11944</v>
      </c>
      <c r="B4284" s="6" t="s">
        <v>11945</v>
      </c>
      <c r="C4284" s="3" t="str">
        <f ca="1">IFERROR(__xludf.DUMMYFUNCTION("GOOGLETRANSLATE(B4284,""auto"",""en"")"),"The purpose of the present invention is to provide a vehicle -door operation device for vehicles, which can prevent the unintentional opening and closing operations of users, and will not increase the user's door opening and closing due to improper steps."&amp;"
  Solution: Car Equipment 3 is equipped with an external antenna 31 arranged in multiple directions to detect the position of portable device 4 when establishing communication with portable equipment 4, and the external antenna 31 is arranged in multip"&amp;"le directions. The voice recognition sensor 2 is arranged in multiple directions, and the voice recognition sensor 2 is only enabled at the position corresponding to the position of the portable device.
  【Selection Figure】 Figure 1")</f>
        <v>The purpose of the present invention is to provide a vehicle -door operation device for vehicles, which can prevent the unintentional opening and closing operations of users, and will not increase the user's door opening and closing due to improper steps.
  Solution: Car Equipment 3 is equipped with an external antenna 31 arranged in multiple directions to detect the position of portable device 4 when establishing communication with portable equipment 4, and the external antenna 31 is arranged in multiple directions. The voice recognition sensor 2 is arranged in multiple directions, and the voice recognition sensor 2 is only enabled at the position corresponding to the position of the portable device.
  【Selection Figure】 Figure 1</v>
      </c>
      <c r="D4284" s="6" t="s">
        <v>11946</v>
      </c>
      <c r="E4284" s="4" t="str">
        <f ca="1">IFERROR(__xludf.DUMMYFUNCTION("GOOGLETRANSLATE(D4284,""auto"",""en"")"),"Open and closer gymnastics operation device")</f>
        <v>Open and closer gymnastics operation device</v>
      </c>
    </row>
    <row r="4285" spans="1:5" ht="15" x14ac:dyDescent="0.25">
      <c r="A4285" s="5" t="s">
        <v>11947</v>
      </c>
      <c r="B4285" s="6" t="s">
        <v>11948</v>
      </c>
      <c r="C4285" s="3" t="str">
        <f ca="1">IFERROR(__xludf.DUMMYFUNCTION("GOOGLETRANSLATE(B4285,""auto"",""en"")"),"At present, the intrusion detection system refers to the hopes of the occupant to reduce the error report to the invaders, and the misunderstanding occurs frequently. The invention includes processors using various software algorithms. The processor recei"&amp;"ving signal exceeds this time period. Software algorithms are statistically identified to various operations, reducing misunderstandings and missed inspections. It is adjusted to the operation level of the software algorithm and can be determined in advan"&amp;"ce. Therefore, the processor and software algorithm constitute an artificial intelligence system. It can be used for stadium invasion and vehicle alarm system, wherein the artificial intelligence system is composed of multiple detectors and the detector. "&amp;"The second type of the present invention can be used for the improvement of the improvement of the artificial intelligence. Invasion detection, processor and software algorithm.")</f>
        <v>At present, the intrusion detection system refers to the hopes of the occupant to reduce the error report to the invaders, and the misunderstanding occurs frequently. The invention includes processors using various software algorithms. The processor receiving signal exceeds this time period. Software algorithms are statistically identified to various operations, reducing misunderstandings and missed inspections. It is adjusted to the operation level of the software algorithm and can be determined in advance. Therefore, the processor and software algorithm constitute an artificial intelligence system. It can be used for stadium invasion and vehicle alarm system, wherein the artificial intelligence system is composed of multiple detectors and the detector. The second type of the present invention can be used for the improvement of the improvement of the artificial intelligence. Invasion detection, processor and software algorithm.</v>
      </c>
      <c r="D4285" s="6" t="s">
        <v>11949</v>
      </c>
      <c r="E4285" s="4" t="str">
        <f ca="1">IFERROR(__xludf.DUMMYFUNCTION("GOOGLETRANSLATE(D4285,""auto"",""en"")"),"Systems and methods for intrusion detection")</f>
        <v>Systems and methods for intrusion detection</v>
      </c>
    </row>
    <row r="4286" spans="1:5" ht="15" x14ac:dyDescent="0.25">
      <c r="A4286" s="5" t="s">
        <v>11950</v>
      </c>
      <c r="B4286" s="6" t="s">
        <v>11951</v>
      </c>
      <c r="C4286" s="3" t="str">
        <f ca="1">IFERROR(__xludf.DUMMYFUNCTION("GOOGLETRANSLATE(B4286,""auto"",""en"")"),"A smart robot with encoded infrared football -specific luminous balls, including spherical shells and infrared light emitters and power sources located in the spherical shell body. Its characteristics are: the ball shell is also equipped with encoding gen"&amp;"erator and drive circuit, encoding coding, encoding The generator connects to the power supply, the signal output terminal of the generator is connected to the input terminal of the drive circuit, the output terminal of the drive circuit is connected to t"&amp;"he infrared optical light, and the other pole of the infrared light is corresponding to the power supply. This utility model can launch infrared rays with encoding information, so that the intelligent robot football competition is not disturbed by the env"&amp;"ironmental light. Therefore, the competition can be performed in a bright and spacious field. It is also conducive to the promotion of this activity. The combination of this utility model and the sensor robot with decoding function can provide a good foun"&amp;"dation for the improvement of the competition level and enhance the appreciation of the competition.")</f>
        <v>A smart robot with encoded infrared football -specific luminous balls, including spherical shells and infrared light emitters and power sources located in the spherical shell body. Its characteristics are: the ball shell is also equipped with encoding generator and drive circuit, encoding coding, encoding The generator connects to the power supply, the signal output terminal of the generator is connected to the input terminal of the drive circuit, the output terminal of the drive circuit is connected to the infrared optical light, and the other pole of the infrared light is corresponding to the power supply. This utility model can launch infrared rays with encoding information, so that the intelligent robot football competition is not disturbed by the environmental light. Therefore, the competition can be performed in a bright and spacious field. It is also conducive to the promotion of this activity. The combination of this utility model and the sensor robot with decoding function can provide a good foundation for the improvement of the competition level and enhance the appreciation of the competition.</v>
      </c>
      <c r="D4286" s="6" t="s">
        <v>11952</v>
      </c>
      <c r="E4286" s="4" t="str">
        <f ca="1">IFERROR(__xludf.DUMMYFUNCTION("GOOGLETRANSLATE(D4286,""auto"",""en"")"),"Smart robot with coded infrared football special lighting balls")</f>
        <v>Smart robot with coded infrared football special lighting balls</v>
      </c>
    </row>
    <row r="4287" spans="1:5" ht="15" x14ac:dyDescent="0.25">
      <c r="A4287" s="5" t="s">
        <v>11953</v>
      </c>
      <c r="B4287" s="6" t="s">
        <v>11954</v>
      </c>
      <c r="C4287" s="3" t="str">
        <f ca="1">IFERROR(__xludf.DUMMYFUNCTION("GOOGLETRANSLATE(B4287,""auto"",""en"")"),"This utility model provides a ""artificial intelligence monitoring table tennis table"". Its main feature is: based on the standard table tennis table or side sharp -angle table tennis table, install laser transmission tubes and laser receiving pipes on t"&amp;"he edge line of table tennis tables , Check the electrocarbon and camera to detect, detect the ""wiping ball signal"" through these three technical means, then send the signal to the miniature computer processing, and then use the data and records of the "&amp;"miniature computer as a signal and record, respectively, respectively, respectively, respectively, respectively, respectively, respectively, respectively, respectively, respectively, respectively, respectively, respectively. Monitor on light and shadow di"&amp;"splay equipment.")</f>
        <v>This utility model provides a "artificial intelligence monitoring table tennis table". Its main feature is: based on the standard table tennis table or side sharp -angle table tennis table, install laser transmission tubes and laser receiving pipes on the edge line of table tennis tables , Check the electrocarbon and camera to detect, detect the "wiping ball signal" through these three technical means, then send the signal to the miniature computer processing, and then use the data and records of the miniature computer as a signal and record, respectively, respectively, respectively, respectively, respectively, respectively, respectively, respectively, respectively, respectively, respectively, respectively, respectively. Monitor on light and shadow display equipment.</v>
      </c>
      <c r="D4287" s="6" t="s">
        <v>11955</v>
      </c>
      <c r="E4287" s="4" t="str">
        <f ca="1">IFERROR(__xludf.DUMMYFUNCTION("GOOGLETRANSLATE(D4287,""auto"",""en"")"),"Artificial intelligence monitoring table tennis table")</f>
        <v>Artificial intelligence monitoring table tennis table</v>
      </c>
    </row>
    <row r="4288" spans="1:5" ht="15" x14ac:dyDescent="0.25">
      <c r="A4288" s="5" t="s">
        <v>11956</v>
      </c>
      <c r="B4288" s="6" t="s">
        <v>11957</v>
      </c>
      <c r="C4288" s="3" t="str">
        <f ca="1">IFERROR(__xludf.DUMMYFUNCTION("GOOGLETRANSLATE(B4288,""auto"",""en"")"),"A machine automatic image recognition method and device, using bone age recognition modules, bone age map databases, bone age image compression modules, storage technology, and network transmission technology developed by Lip Vision Company, and the effec"&amp;"tive combination of automatic identification of bone age experts and computer automatic recognition to save time saving time , Improve identification efficiency, can accurately and reliably identify and evaluate bone age. Hardware includes high -precision"&amp;" picture scanners [1], main control machine [2], display [3], printer [4], and bone age center database server [5]. It is used in hospitals, youth sports training centers, and schools such as bone age assessment and determination. The methods and devices "&amp;"of the present invention have excellent cost -effectiveness; both can be operated and controlled by local or remotely.")</f>
        <v>A machine automatic image recognition method and device, using bone age recognition modules, bone age map databases, bone age image compression modules, storage technology, and network transmission technology developed by Lip Vision Company, and the effective combination of automatic identification of bone age experts and computer automatic recognition to save time saving time , Improve identification efficiency, can accurately and reliably identify and evaluate bone age. Hardware includes high -precision picture scanners [1], main control machine [2], display [3], printer [4], and bone age center database server [5]. It is used in hospitals, youth sports training centers, and schools such as bone age assessment and determination. The methods and devices of the present invention have excellent cost -effectiveness; both can be operated and controlled by local or remotely.</v>
      </c>
      <c r="D4288" s="6" t="s">
        <v>11958</v>
      </c>
      <c r="E4288" s="4" t="str">
        <f ca="1">IFERROR(__xludf.DUMMYFUNCTION("GOOGLETRANSLATE(D4288,""auto"",""en"")"),"Machine automatic image recognition method and device")</f>
        <v>Machine automatic image recognition method and device</v>
      </c>
    </row>
    <row r="4289" spans="1:5" ht="15" x14ac:dyDescent="0.25">
      <c r="A4289" s="5" t="s">
        <v>11959</v>
      </c>
      <c r="B4289" s="6" t="s">
        <v>11960</v>
      </c>
      <c r="C4289" s="3" t="str">
        <f ca="1">IFERROR(__xludf.DUMMYFUNCTION("GOOGLETRANSLATE(B4289,""auto"",""en"")"),"A multi -functional virtual reality fitness device, for users to choose a user to participate in an online network competitive game with others through the Internet with others. It has an interactive robot with a dismantled single -chip machine. The coupl"&amp;"ing interface makes traditional fitness equipment a new type of human -computer interactive fitness equipment with the Internet 3D virtual simulation function. The communication of removable interactive robotic machines and personal computers can be used "&amp;"in the following ways. When the disassembly interactive robot is connected to a personal computer and fitness equipment, if the information is correct, the personal computer software program will be D. The fitness equipment will be set as a 3D virtual sim"&amp;"ulation mode with an Internet 3D virtual simulation function. Users can choose this. The model conducts online online competitive games with others through the Internet. However, if the software program of a personal computer is not detected, the fitness "&amp;"equipment is still provided for users to exercise separately as conventional fitness equipment.")</f>
        <v>A multi -functional virtual reality fitness device, for users to choose a user to participate in an online network competitive game with others through the Internet with others. It has an interactive robot with a dismantled single -chip machine. The coupling interface makes traditional fitness equipment a new type of human -computer interactive fitness equipment with the Internet 3D virtual simulation function. The communication of removable interactive robotic machines and personal computers can be used in the following ways. When the disassembly interactive robot is connected to a personal computer and fitness equipment, if the information is correct, the personal computer software program will be D. The fitness equipment will be set as a 3D virtual simulation mode with an Internet 3D virtual simulation function. Users can choose this. The model conducts online online competitive games with others through the Internet. However, if the software program of a personal computer is not detected, the fitness equipment is still provided for users to exercise separately as conventional fitness equipment.</v>
      </c>
      <c r="D4289" s="6" t="s">
        <v>11961</v>
      </c>
      <c r="E4289" s="4" t="str">
        <f ca="1">IFERROR(__xludf.DUMMYFUNCTION("GOOGLETRANSLATE(D4289,""auto"",""en"")"),"Multifunctional training device with detachable interactive simulation robotics")</f>
        <v>Multifunctional training device with detachable interactive simulation robotics</v>
      </c>
    </row>
    <row r="4290" spans="1:5" ht="15" x14ac:dyDescent="0.25">
      <c r="A4290" s="5" t="s">
        <v>11962</v>
      </c>
      <c r="B4290" s="6" t="s">
        <v>11963</v>
      </c>
      <c r="C4290" s="3" t="str">
        <f ca="1">IFERROR(__xludf.DUMMYFUNCTION("GOOGLETRANSLATE(B4290,""auto"",""en"")"),"A multi -functional virtual reality fitness device, for users to choose a mode of online network competitive games with others through the Internet with others. It has a detachable interactive robot and equipped with single -chip machines Equipment and pe"&amp;"rsonal computer coupling interface, make conventional fitness equipment a new type of human -computer interactive fitness equipment with Internet 3D virtual simulation function. Disassembling interactive robotic handicraft communication and personal compu"&amp;"ter communication can be used in the following ways to use the public interpretation socket connection method and conform to it. International standard communication protocol; when the disassembly interactive robot is connected to a personal computer and "&amp;"fitness equipment, the personal computer software program is automatically detected. If the correct information is detected, the fitness equipment will be set to the 3D definition simulation mode to perform the Internet 3D Virtual simulation functions, us"&amp;"ers can choose this mode to play online competition games with others through the Internet, but if the software program of a personal computer is not detected, fitness equipment is still used as a traditional fitness equipment for users to exercise alone.")</f>
        <v>A multi -functional virtual reality fitness device, for users to choose a mode of online network competitive games with others through the Internet with others. It has a detachable interactive robot and equipped with single -chip machines Equipment and personal computer coupling interface, make conventional fitness equipment a new type of human -computer interactive fitness equipment with Internet 3D virtual simulation function. Disassembling interactive robotic handicraft communication and personal computer communication can be used in the following ways to use the public interpretation socket connection method and conform to it. International standard communication protocol; when the disassembly interactive robot is connected to a personal computer and fitness equipment, the personal computer software program is automatically detected. If the correct information is detected, the fitness equipment will be set to the 3D definition simulation mode to perform the Internet 3D Virtual simulation functions, users can choose this mode to play online competition games with others through the Internet, but if the software program of a personal computer is not detected, fitness equipment is still used as a traditional fitness equipment for users to exercise alone.</v>
      </c>
      <c r="D4290" s="6" t="s">
        <v>11964</v>
      </c>
      <c r="E4290" s="4" t="str">
        <f ca="1">IFERROR(__xludf.DUMMYFUNCTION("GOOGLETRANSLATE(D4290,""auto"",""en"")"),"Multifunctional robotic arm in interactive simulation")</f>
        <v>Multifunctional robotic arm in interactive simulation</v>
      </c>
    </row>
    <row r="4291" spans="1:5" ht="15" x14ac:dyDescent="0.25">
      <c r="A4291" s="5" t="s">
        <v>11965</v>
      </c>
      <c r="B4291" s="6" t="s">
        <v>11963</v>
      </c>
      <c r="C4291" s="3" t="str">
        <f ca="1">IFERROR(__xludf.DUMMYFUNCTION("GOOGLETRANSLATE(B4291,""auto"",""en"")"),"A multi -functional virtual reality fitness device, for users to choose a mode of online network competitive games with others through the Internet with others. It has a detachable interactive robot and equipped with single -chip machines Equipment and pe"&amp;"rsonal computer coupling interface, make conventional fitness equipment a new type of human -computer interactive fitness equipment with Internet 3D virtual simulation function. Disassembling interactive robotic handicraft communication and personal compu"&amp;"ter communication can be used in the following ways to use the public interpretation socket connection method and conform to it. International standard communication protocol; when the disassembly interactive robot is connected to a personal computer and "&amp;"fitness equipment, the personal computer software program is automatically detected. If the correct information is detected, the fitness equipment will be set to the 3D definition simulation mode to perform the Internet 3D Virtual simulation functions, us"&amp;"ers can choose this mode to play online competition games with others through the Internet, but if the software program of a personal computer is not detected, fitness equipment is still used as a traditional fitness equipment for users to exercise alone.")</f>
        <v>A multi -functional virtual reality fitness device, for users to choose a mode of online network competitive games with others through the Internet with others. It has a detachable interactive robot and equipped with single -chip machines Equipment and personal computer coupling interface, make conventional fitness equipment a new type of human -computer interactive fitness equipment with Internet 3D virtual simulation function. Disassembling interactive robotic handicraft communication and personal computer communication can be used in the following ways to use the public interpretation socket connection method and conform to it. International standard communication protocol; when the disassembly interactive robot is connected to a personal computer and fitness equipment, the personal computer software program is automatically detected. If the correct information is detected, the fitness equipment will be set to the 3D definition simulation mode to perform the Internet 3D Virtual simulation functions, users can choose this mode to play online competition games with others through the Internet, but if the software program of a personal computer is not detected, fitness equipment is still used as a traditional fitness equipment for users to exercise alone.</v>
      </c>
      <c r="D4291" s="6" t="s">
        <v>11961</v>
      </c>
      <c r="E4291" s="4" t="str">
        <f ca="1">IFERROR(__xludf.DUMMYFUNCTION("GOOGLETRANSLATE(D4291,""auto"",""en"")"),"Multifunctional training device with detachable interactive simulation robotics")</f>
        <v>Multifunctional training device with detachable interactive simulation robotics</v>
      </c>
    </row>
    <row r="4292" spans="1:5" ht="15" x14ac:dyDescent="0.25">
      <c r="A4292" s="5" t="s">
        <v>11966</v>
      </c>
      <c r="B4292" s="6" t="s">
        <v>11967</v>
      </c>
      <c r="C4292" s="3" t="str">
        <f ca="1">IFERROR(__xludf.DUMMYFUNCTION("GOOGLETRANSLATE(B4292,""auto"",""en"")"),"This utility model is aimed at the high cost, high participation thresholds, and difficulty popularization and promotion of the current robot football competition system. 1) The output connection image collection card (3) of the camera (2), the camera (2)"&amp;" of the camera (2) is installed above, and the output of the image collection card (3) is connected as a computer (4), computer (4) and computer (4) and Wireless remote control transmitter (6) is connected, and wireless remote control transmitters (6) Ins"&amp;"titutes of wireless receiver (7) wireless connection with wireless receiver (7) through the wireless electric workbench (1). It has the characteristics of reasonable structural, low participation costs, low ability requirements for participants, easy popu"&amp;"larity, strong interest, and strong knowledge.")</f>
        <v>This utility model is aimed at the high cost, high participation thresholds, and difficulty popularization and promotion of the current robot football competition system. 1) The output connection image collection card (3) of the camera (2), the camera (2) of the camera (2) is installed above, and the output of the image collection card (3) is connected as a computer (4), computer (4) and computer (4) and Wireless remote control transmitter (6) is connected, and wireless remote control transmitters (6) Institutes of wireless receiver (7) wireless connection with wireless receiver (7) through the wireless electric workbench (1). It has the characteristics of reasonable structural, low participation costs, low ability requirements for participants, easy popularity, strong interest, and strong knowledge.</v>
      </c>
      <c r="D4292" s="6" t="s">
        <v>11968</v>
      </c>
      <c r="E4292" s="4" t="str">
        <f ca="1">IFERROR(__xludf.DUMMYFUNCTION("GOOGLETRANSLATE(D4292,""auto"",""en"")"),"Intelligent game system based on computer image recognition")</f>
        <v>Intelligent game system based on computer image recognition</v>
      </c>
    </row>
    <row r="4293" spans="1:5" ht="15" x14ac:dyDescent="0.25">
      <c r="A4293" s="5" t="s">
        <v>11969</v>
      </c>
      <c r="B4293" s="6" t="s">
        <v>11970</v>
      </c>
      <c r="C4293" s="3" t="str">
        <f ca="1">IFERROR(__xludf.DUMMYFUNCTION("GOOGLETRANSLATE(B4293,""auto"",""en"")"),"The players will be notified through the more accurate calories that consume the whole body exercise including the arm and the upper body to support fitness.
  Target parts with specific colors and sizes 2 are attached to the player's hand or knee, and "&amp;"imaging device 1 capture the player's image. Color extraction unit 32 Extracts images of specific colors and sizes from the input image data of imaging device 1, and detect the player's legs and arms. In addition, the Fitness Action Instruction Department"&amp;" 36 showed the action guidance image by displaying the control department 37 and displayed on the screen of the monitor 4. When the player performs hand and foot movement according to the action -guided image on the display, the action detection unit 34 c"&amp;"alculates the changes in the size of the color image, the amount of movement, and the time of changes, and simulates the calorie consumption calculation of the simulation card consumption. On the screen and notify the player.
  【Selection Figure】 Figure"&amp;" 2")</f>
        <v>The players will be notified through the more accurate calories that consume the whole body exercise including the arm and the upper body to support fitness.
  Target parts with specific colors and sizes 2 are attached to the player's hand or knee, and imaging device 1 capture the player's image. Color extraction unit 32 Extracts images of specific colors and sizes from the input image data of imaging device 1, and detect the player's legs and arms. In addition, the Fitness Action Instruction Department 36 showed the action guidance image by displaying the control department 37 and displayed on the screen of the monitor 4. When the player performs hand and foot movement according to the action -guided image on the display, the action detection unit 34 calculates the changes in the size of the color image, the amount of movement, and the time of changes, and simulates the calorie consumption calculation of the simulation card consumption. On the screen and notify the player.
  【Selection Figure】 Figure 2</v>
      </c>
      <c r="D4293" s="6" t="s">
        <v>11971</v>
      </c>
      <c r="E4293" s="4" t="str">
        <f ca="1">IFERROR(__xludf.DUMMYFUNCTION("GOOGLETRANSLATE(D4293,""auto"",""en"")"),"Image recognition device, fitness support device, fitness support system, fitness support method, control program and readable record medium")</f>
        <v>Image recognition device, fitness support device, fitness support system, fitness support method, control program and readable record medium</v>
      </c>
    </row>
    <row r="4294" spans="1:5" ht="15" x14ac:dyDescent="0.25">
      <c r="A4294" s="5" t="s">
        <v>11972</v>
      </c>
      <c r="B4294" s="6" t="s">
        <v>11973</v>
      </c>
      <c r="C4294" s="3" t="str">
        <f ca="1">IFERROR(__xludf.DUMMYFUNCTION("GOOGLETRANSLATE(B4294,""auto"",""en"")"),"Mobile device browser access (2) proxy server, users choose the preferred category of web pages. This is done using a graphic interface generated by the feedback mechanism of the proxy server. The configuration file mechanism of the proxy server combines "&amp;"an artificial intelligence engine and maintains a preferred category table in the customer configuration file. Mobile device access (3) Recommended site. Mobile operator server download (4) instruction to mobile devices to display the toolbar. The user se"&amp;"lects a icon on the toolbar to indicate whether the site is approved or rejected. If you click the approval icon, the server will automatically download (5) a page for publishing comments. Pages or tables include option lists, users can check to indicate "&amp;"the theme areas, such as science, ringtone, entertainment, sports, technology and news. In addition, by using the current database of the approved site, the (6) notification is automatically sent to other users. If not approved, repeat the above steps for"&amp;" the next site. The feedback mechanism of the server is configured to realize the conversion of mobile content by adding a toolbar. The server's analysis mechanism conducts real -time monitoring of the content access of the mobile device, and determines w"&amp;"hether its score is high enough to succeed.")</f>
        <v>Mobile device browser access (2) proxy server, users choose the preferred category of web pages. This is done using a graphic interface generated by the feedback mechanism of the proxy server. The configuration file mechanism of the proxy server combines an artificial intelligence engine and maintains a preferred category table in the customer configuration file. Mobile device access (3) Recommended site. Mobile operator server download (4) instruction to mobile devices to display the toolbar. The user selects a icon on the toolbar to indicate whether the site is approved or rejected. If you click the approval icon, the server will automatically download (5) a page for publishing comments. Pages or tables include option lists, users can check to indicate the theme areas, such as science, ringtone, entertainment, sports, technology and news. In addition, by using the current database of the approved site, the (6) notification is automatically sent to other users. If not approved, repeat the above steps for the next site. The feedback mechanism of the server is configured to realize the conversion of mobile content by adding a toolbar. The server's analysis mechanism conducts real -time monitoring of the content access of the mobile device, and determines whether its score is high enough to succeed.</v>
      </c>
      <c r="D4294" s="6" t="s">
        <v>11974</v>
      </c>
      <c r="E4294" s="4" t="str">
        <f ca="1">IFERROR(__xludf.DUMMYFUNCTION("GOOGLETRANSLATE(D4294,""auto"",""en"")"),"Mobile devices online")</f>
        <v>Mobile devices online</v>
      </c>
    </row>
    <row r="4295" spans="1:5" ht="15" x14ac:dyDescent="0.25">
      <c r="A4295" s="5" t="s">
        <v>11975</v>
      </c>
      <c r="B4295" s="6" t="s">
        <v>11976</v>
      </c>
      <c r="C4295" s="3" t="str">
        <f ca="1">IFERROR(__xludf.DUMMYFUNCTION("GOOGLETRANSLATE(B4295,""auto"",""en"")"),"Mobile device browser access (2) proxy server, and users choose the preferred category of web pages. This is completed by the graphic interface generated by the feedback mechanism of the proxy server. The analysis mechanism of the proxy server contains an"&amp;" artificial intelligence engine that maintains a preferred category table in the customer file. Mobile device access (3) Recommended site. The mobile operator server will download (4) to the mobile device to make it display the toolbar. The user selects a"&amp;" icon on the toolbar to indicate whether the site is approved or not approved. If you click the approval icon, the server automatically downloads (5) page used to publish comments. This page or form includes a list of options selected by the user to indic"&amp;"ate the preferred theme areas, such as science, ringtone, entertainment, sports, technology and news. In addition, the server automatically sends to other users by using the current database of the approval site (6) notification. If not approved, repeat t"&amp;"he above steps for the next site. The feedback mechanism of the server is configured to realize the conversion of mobile content by adding a toolbar. The server's analysis mechanism conducts real -time monitoring of the content access of the mobile device"&amp;" and determines whether it scores to be enough to succeed.")</f>
        <v>Mobile device browser access (2) proxy server, and users choose the preferred category of web pages. This is completed by the graphic interface generated by the feedback mechanism of the proxy server. The analysis mechanism of the proxy server contains an artificial intelligence engine that maintains a preferred category table in the customer file. Mobile device access (3) Recommended site. The mobile operator server will download (4) to the mobile device to make it display the toolbar. The user selects a icon on the toolbar to indicate whether the site is approved or not approved. If you click the approval icon, the server automatically downloads (5) page used to publish comments. This page or form includes a list of options selected by the user to indicate the preferred theme areas, such as science, ringtone, entertainment, sports, technology and news. In addition, the server automatically sends to other users by using the current database of the approval site (6) notification. If not approved, repeat the above steps for the next site. The feedback mechanism of the server is configured to realize the conversion of mobile content by adding a toolbar. The server's analysis mechanism conducts real -time monitoring of the content access of the mobile device and determines whether it scores to be enough to succeed.</v>
      </c>
      <c r="D4295" s="6" t="s">
        <v>11974</v>
      </c>
      <c r="E4295" s="4" t="str">
        <f ca="1">IFERROR(__xludf.DUMMYFUNCTION("GOOGLETRANSLATE(D4295,""auto"",""en"")"),"Mobile devices online")</f>
        <v>Mobile devices online</v>
      </c>
    </row>
    <row r="4296" spans="1:5" ht="15" x14ac:dyDescent="0.25">
      <c r="A4296" s="5" t="s">
        <v>11977</v>
      </c>
      <c r="B4296" s="6" t="s">
        <v>11976</v>
      </c>
      <c r="C4296" s="3" t="str">
        <f ca="1">IFERROR(__xludf.DUMMYFUNCTION("GOOGLETRANSLATE(B4296,""auto"",""en"")"),"Mobile device browser access (2) proxy server, and users choose the preferred category of web pages. This is completed by the graphic interface generated by the feedback mechanism of the proxy server. The analysis mechanism of the proxy server contains an"&amp;" artificial intelligence engine that maintains a preferred category table in the customer file. Mobile device access (3) Recommended site. The mobile operator server will download (4) to the mobile device to make it display the toolbar. The user selects a"&amp;" icon on the toolbar to indicate whether the site is approved or not approved. If you click the approval icon, the server automatically downloads (5) page used to publish comments. This page or form includes a list of options selected by the user to indic"&amp;"ate the preferred theme areas, such as science, ringtone, entertainment, sports, technology and news. In addition, the server automatically sends to other users by using the current database of the approval site (6) notification. If not approved, repeat t"&amp;"he above steps for the next site. The feedback mechanism of the server is configured to realize the conversion of mobile content by adding a toolbar. The server's analysis mechanism conducts real -time monitoring of the content access of the mobile device"&amp;" and determines whether it scores to be enough to succeed.")</f>
        <v>Mobile device browser access (2) proxy server, and users choose the preferred category of web pages. This is completed by the graphic interface generated by the feedback mechanism of the proxy server. The analysis mechanism of the proxy server contains an artificial intelligence engine that maintains a preferred category table in the customer file. Mobile device access (3) Recommended site. The mobile operator server will download (4) to the mobile device to make it display the toolbar. The user selects a icon on the toolbar to indicate whether the site is approved or not approved. If you click the approval icon, the server automatically downloads (5) page used to publish comments. This page or form includes a list of options selected by the user to indicate the preferred theme areas, such as science, ringtone, entertainment, sports, technology and news. In addition, the server automatically sends to other users by using the current database of the approval site (6) notification. If not approved, repeat the above steps for the next site. The feedback mechanism of the server is configured to realize the conversion of mobile content by adding a toolbar. The server's analysis mechanism conducts real -time monitoring of the content access of the mobile device and determines whether it scores to be enough to succeed.</v>
      </c>
      <c r="D4296" s="6" t="s">
        <v>11974</v>
      </c>
      <c r="E4296" s="4" t="str">
        <f ca="1">IFERROR(__xludf.DUMMYFUNCTION("GOOGLETRANSLATE(D4296,""auto"",""en"")"),"Mobile devices online")</f>
        <v>Mobile devices online</v>
      </c>
    </row>
    <row r="4297" spans="1:5" ht="15" x14ac:dyDescent="0.25">
      <c r="A4297" s="5" t="s">
        <v>11978</v>
      </c>
      <c r="B4297" s="6" t="s">
        <v>11979</v>
      </c>
      <c r="C4297" s="3" t="str">
        <f ca="1">IFERROR(__xludf.DUMMYFUNCTION("GOOGLETRANSLATE(B4297,""auto"",""en"")"),"It describes a system and method for building a predicted model based on statistical machine learning. This model can be abstracted from the traffic system into a set of random variables (including indicating that the key failure will occur until the cong"&amp;"estion can be resolved until the congestion can be resolved. Observation data includes transportation includes traffic. Traffic and dynamics, as well as other context data, such as the time and one day of the day, one day, holiday, school conditions, spor"&amp;"ts events, weather reports, traffic accident reports, and construction and shutdown reports. The desktop shows graphic information about congested predictions, as well as offline and real -time automatic route recommendations and planning.")</f>
        <v>It describes a system and method for building a predicted model based on statistical machine learning. This model can be abstracted from the traffic system into a set of random variables (including indicating that the key failure will occur until the congestion can be resolved until the congestion can be resolved. Observation data includes transportation includes traffic. Traffic and dynamics, as well as other context data, such as the time and one day of the day, one day, holiday, school conditions, sports events, weather reports, traffic accident reports, and construction and shutdown reports. The desktop shows graphic information about congested predictions, as well as offline and real -time automatic route recommendations and planning.</v>
      </c>
      <c r="D4297" s="6" t="s">
        <v>11980</v>
      </c>
      <c r="E4297" s="4" t="str">
        <f ca="1">IFERROR(__xludf.DUMMYFUNCTION("GOOGLETRANSLATE(D4297,""auto"",""en"")"),"Traffic predictions that use probability interdependence and context data modeling and analysis")</f>
        <v>Traffic predictions that use probability interdependence and context data modeling and analysis</v>
      </c>
    </row>
    <row r="4298" spans="1:5" ht="15" x14ac:dyDescent="0.25">
      <c r="A4298" s="5" t="s">
        <v>11981</v>
      </c>
      <c r="B4298" s="6" t="s">
        <v>11982</v>
      </c>
      <c r="C4298" s="3" t="str">
        <f ca="1">IFERROR(__xludf.DUMMYFUNCTION("GOOGLETRANSLATE(B4298,""auto"",""en"")"),"The present invention describes the system and methods of statistics -based machine learning structure prediction models. These prediction models can be used to abstract the traffic system into a set of random variables for traffic flow and congestion. Th"&amp;"ere will be variables that will be dismissed at more places with congestion and congestion. Observation data includes traffic flow and dynamics, as well as the time arrangement and nature of the day, holidays, school conditions, sports competitions, such "&amp;"as the day and the week, the nature of the weather, the weather report, the traffic incident report, the construction and the road closure Wait for other environmental data. The forecast method is used to alarm, that is, the graphic information about the "&amp;"prediction of congestion on the mobile device or desktop, and is used for offline and real -time automatic route recommendations and plans.")</f>
        <v>The present invention describes the system and methods of statistics -based machine learning structure prediction models. These prediction models can be used to abstract the traffic system into a set of random variables for traffic flow and congestion. There will be variables that will be dismissed at more places with congestion and congestion. Observation data includes traffic flow and dynamics, as well as the time arrangement and nature of the day, holidays, school conditions, sports competitions, such as the day and the week, the nature of the weather, the weather report, the traffic incident report, the construction and the road closure Wait for other environmental data. The forecast method is used to alarm, that is, the graphic information about the prediction of congestion on the mobile device or desktop, and is used for offline and real -time automatic route recommendations and plans.</v>
      </c>
      <c r="D4298" s="6" t="s">
        <v>11983</v>
      </c>
      <c r="E4298" s="4" t="str">
        <f ca="1">IFERROR(__xludf.DUMMYFUNCTION("GOOGLETRANSLATE(D4298,""auto"",""en"")"),"Traffic forecast for modeling and analysis of the probability correlation and environmental data")</f>
        <v>Traffic forecast for modeling and analysis of the probability correlation and environmental data</v>
      </c>
    </row>
    <row r="4299" spans="1:5" ht="15" x14ac:dyDescent="0.25">
      <c r="A4299" s="5" t="s">
        <v>11984</v>
      </c>
      <c r="B4299" s="6" t="s">
        <v>11985</v>
      </c>
      <c r="C4299" s="3" t="str">
        <f ca="1">IFERROR(__xludf.DUMMYFUNCTION("GOOGLETRANSLATE(B4299,""auto"",""en"")"),"The goal is to determine the traffic flow based on the random variables of a set of abstract traffic systems, including the variables that indicate the time required for the time required for the congestion and the main problem. Provide systems and method"&amp;"s for building prediction models based on statistical machine learning, which can predict traffic and congestion.
  Observation data includes traffic flow and traffic dynamics, as well as other background data: the time and nature of the day, week, holi"&amp;"days, school conditions, large assembly time and nature, such as sports events, weather forecasts, traffic accident reports. Reports of construction and road closed. This prediction method is used to remind the predictions of congestion through the graphi"&amp;"c display information on the mobile device desktop, as well as offline and real -time automatic route recommendation and planning.
  【Selection Figure】 Figure 1")</f>
        <v>The goal is to determine the traffic flow based on the random variables of a set of abstract traffic systems, including the variables that indicate the time required for the time required for the congestion and the main problem. Provide systems and methods for building prediction models based on statistical machine learning, which can predict traffic and congestion.
  Observation data includes traffic flow and traffic dynamics, as well as other background data: the time and nature of the day, week, holidays, school conditions, large assembly time and nature, such as sports events, weather forecasts, traffic accident reports. Reports of construction and road closed. This prediction method is used to remind the predictions of congestion through the graphic display information on the mobile device desktop, as well as offline and real -time automatic route recommendation and planning.
  【Selection Figure】 Figure 1</v>
      </c>
      <c r="D4299" s="6" t="s">
        <v>11986</v>
      </c>
      <c r="E4299" s="4" t="str">
        <f ca="1">IFERROR(__xludf.DUMMYFUNCTION("GOOGLETRANSLATE(D4299,""auto"",""en"")"),"Traffic predictions that use probability to depend on each other and context data modeling and analysis")</f>
        <v>Traffic predictions that use probability to depend on each other and context data modeling and analysis</v>
      </c>
    </row>
    <row r="4300" spans="1:5" ht="15" x14ac:dyDescent="0.25">
      <c r="A4300" s="5" t="s">
        <v>11987</v>
      </c>
      <c r="B4300" s="6" t="s">
        <v>11988</v>
      </c>
      <c r="C4300" s="3" t="str">
        <f ca="1">IFERROR(__xludf.DUMMYFUNCTION("GOOGLETRANSLATE(B4300,""auto"",""en"")"),"A system and method are disclosed. It is based on the abstraction of the transportation system into a series of random variables, displaying time to the time of congestion and the time of congestion. Traffic flow and congestion prediction model. Observati"&amp;"on data include traffic flow, dynamics, time, date, vacation, school status, and various context data (Contextual Data), etc. It depends on the time and attributes of the main meetings, weather forecast, traffic accident reports, including sports events C"&amp;"onstruction and shutdown in it. Real -time display of graphic information about congestion prediction, offline alarm, automatic route recommendation and planning are issued alarms on mobile devices, but this prediction method is used on the desktop. Traff"&amp;"ic prediction, prediction model, context data, case library.")</f>
        <v>A system and method are disclosed. It is based on the abstraction of the transportation system into a series of random variables, displaying time to the time of congestion and the time of congestion. Traffic flow and congestion prediction model. Observation data include traffic flow, dynamics, time, date, vacation, school status, and various context data (Contextual Data), etc. It depends on the time and attributes of the main meetings, weather forecast, traffic accident reports, including sports events Construction and shutdown in it. Real -time display of graphic information about congestion prediction, offline alarm, automatic route recommendation and planning are issued alarms on mobile devices, but this prediction method is used on the desktop. Traffic prediction, prediction model, context data, case library.</v>
      </c>
      <c r="D4300" s="6" t="s">
        <v>11989</v>
      </c>
      <c r="E4300" s="4" t="str">
        <f ca="1">IFERROR(__xludf.DUMMYFUNCTION("GOOGLETRANSLATE(D4300,""auto"",""en"")"),"Traffic predictions of using the probability of mutual dependence and the modeling and analysis of context data")</f>
        <v>Traffic predictions of using the probability of mutual dependence and the modeling and analysis of context data</v>
      </c>
    </row>
    <row r="4301" spans="1:5" ht="15" x14ac:dyDescent="0.25">
      <c r="A4301" s="5" t="s">
        <v>11990</v>
      </c>
      <c r="B4301" s="6" t="s">
        <v>11991</v>
      </c>
      <c r="C4301" s="3" t="str">
        <f ca="1">IFERROR(__xludf.DUMMYFUNCTION("GOOGLETRANSLATE(B4301,""auto"",""en"")"),"Describe the systems and methods based on statistical machine learning construction prediction models. These prediction models can predict traffic flow and congestion at key fault points of traffic flow and congestion based on the abstraction of the traff"&amp;"ic system into a set of random variables (including variables indicating time volume), as well as The time of congestion is resolved. Observation data includes traffic flow and dynamics, as well as other background data, such as the time and nature, weath"&amp;"er forecast, traffic accident report, construction and construction and construction and construction of main gatherings, holidays, school conditions, sports events, etc. Close the report. The prediction method is used for alarm, displaying graphics infor"&amp;"mation on the desktop on mobile devices, as well as offline and real -time automatic route recommendations and planning.")</f>
        <v>Describe the systems and methods based on statistical machine learning construction prediction models. These prediction models can predict traffic flow and congestion at key fault points of traffic flow and congestion based on the abstraction of the traffic system into a set of random variables (including variables indicating time volume), as well as The time of congestion is resolved. Observation data includes traffic flow and dynamics, as well as other background data, such as the time and nature, weather forecast, traffic accident report, construction and construction and construction and construction of main gatherings, holidays, school conditions, sports events, etc. Close the report. The prediction method is used for alarm, displaying graphics information on the desktop on mobile devices, as well as offline and real -time automatic route recommendations and planning.</v>
      </c>
      <c r="D4301" s="6" t="s">
        <v>11992</v>
      </c>
      <c r="E4301" s="4" t="str">
        <f ca="1">IFERROR(__xludf.DUMMYFUNCTION("GOOGLETRANSLATE(D4301,""auto"",""en"")"),"""Traffic predictions of use probability interdependence and context data modeling and analysis""")</f>
        <v>"Traffic predictions of use probability interdependence and context data modeling and analysis"</v>
      </c>
    </row>
    <row r="4302" spans="1:5" ht="15" x14ac:dyDescent="0.25">
      <c r="A4302" s="5" t="s">
        <v>11993</v>
      </c>
      <c r="B4302" s="6" t="s">
        <v>11963</v>
      </c>
      <c r="C4302" s="3" t="str">
        <f ca="1">IFERROR(__xludf.DUMMYFUNCTION("GOOGLETRANSLATE(B4302,""auto"",""en"")"),"A multi -functional virtual reality fitness device, for users to choose a mode of online network competitive games with others through the Internet with others. It has a detachable interactive robot and equipped with single -chip machines Equipment and pe"&amp;"rsonal computer coupling interface, make conventional fitness equipment a new type of human -computer interactive fitness equipment with Internet 3D virtual simulation function. Disassembling interactive robotic handicraft communication and personal compu"&amp;"ter communication can be used in the following ways to use the public interpretation socket connection method and conform to it. International standard communication protocol; when the disassembly interactive robot is connected to a personal computer and "&amp;"fitness equipment, the personal computer software program is automatically detected. If the correct information is detected, the fitness equipment will be set to the 3D definition simulation mode to perform the Internet 3D Virtual simulation functions, us"&amp;"ers can choose this mode to play online competition games with others through the Internet, but if the software program of a personal computer is not detected, fitness equipment is still used as a traditional fitness equipment for users to exercise alone.")</f>
        <v>A multi -functional virtual reality fitness device, for users to choose a mode of online network competitive games with others through the Internet with others. It has a detachable interactive robot and equipped with single -chip machines Equipment and personal computer coupling interface, make conventional fitness equipment a new type of human -computer interactive fitness equipment with Internet 3D virtual simulation function. Disassembling interactive robotic handicraft communication and personal computer communication can be used in the following ways to use the public interpretation socket connection method and conform to it. International standard communication protocol; when the disassembly interactive robot is connected to a personal computer and fitness equipment, the personal computer software program is automatically detected. If the correct information is detected, the fitness equipment will be set to the 3D definition simulation mode to perform the Internet 3D Virtual simulation functions, users can choose this mode to play online competition games with others through the Internet, but if the software program of a personal computer is not detected, fitness equipment is still used as a traditional fitness equipment for users to exercise alone.</v>
      </c>
      <c r="D4302" s="6" t="s">
        <v>11994</v>
      </c>
      <c r="E4302" s="4" t="str">
        <f ca="1">IFERROR(__xludf.DUMMYFUNCTION("GOOGLETRANSLATE(D4302,""auto"",""en"")"),"Multifunctional virtual reality fitness equipment with detachable interactive robotics")</f>
        <v>Multifunctional virtual reality fitness equipment with detachable interactive robotics</v>
      </c>
    </row>
    <row r="4303" spans="1:5" ht="15" x14ac:dyDescent="0.25">
      <c r="A4303" s="5" t="s">
        <v>11995</v>
      </c>
      <c r="B4303" s="6" t="s">
        <v>11996</v>
      </c>
      <c r="C4303" s="3" t="str">
        <f ca="1">IFERROR(__xludf.DUMMYFUNCTION("GOOGLETRANSLATE(B4303,""auto"",""en"")"),"The human -computer interaction method of virtual ape play uses sports capture equipment to obtain the sports data of real athlete performance apes, and then constructs a 3D virtual environment and virtual person. Through the 3D graphics engine , To reali"&amp;"ze the virtual reproduction of apes; in the process of the virtual reproduction of ape drama, three levels were set according to the ape opera movement, using computer vision technology to take real -time shooting and identifying the action information of"&amp;" the participants. Through this level, and use deformation technology to deform the participants' action images to the apes with corresponding movements; after the three levels are passed, the system ends and returns the initial state; if within the given"&amp;" time range, the participants cannot imitate correctly. The entire imitation process failed, and the system returned the initial state. The present invention does not require participants to wear any interactive equipment, so as to achieve the natural hum"&amp;"an -computer interaction with the virtual ape play, and achieve the purpose of educational and music.")</f>
        <v>The human -computer interaction method of virtual ape play uses sports capture equipment to obtain the sports data of real athlete performance apes, and then constructs a 3D virtual environment and virtual person. Through the 3D graphics engine , To realize the virtual reproduction of apes; in the process of the virtual reproduction of ape drama, three levels were set according to the ape opera movement, using computer vision technology to take real -time shooting and identifying the action information of the participants. Through this level, and use deformation technology to deform the participants' action images to the apes with corresponding movements; after the three levels are passed, the system ends and returns the initial state; if within the given time range, the participants cannot imitate correctly. The entire imitation process failed, and the system returned the initial state. The present invention does not require participants to wear any interactive equipment, so as to achieve the natural human -computer interaction with the virtual ape play, and achieve the purpose of educational and music.</v>
      </c>
      <c r="D4303" s="6" t="s">
        <v>11997</v>
      </c>
      <c r="E4303" s="4" t="str">
        <f ca="1">IFERROR(__xludf.DUMMYFUNCTION("GOOGLETRANSLATE(D4303,""auto"",""en"")"),"Human -computer interaction method of virtual apes")</f>
        <v>Human -computer interaction method of virtual apes</v>
      </c>
    </row>
    <row r="4304" spans="1:5" ht="15" x14ac:dyDescent="0.25">
      <c r="A4304" s="5" t="s">
        <v>11998</v>
      </c>
      <c r="B4304" s="6" t="s">
        <v>11999</v>
      </c>
      <c r="C4304" s="3" t="str">
        <f ca="1">IFERROR(__xludf.DUMMYFUNCTION("GOOGLETRANSLATE(B4304,""auto"",""en"")"),"A system uses digital images instead of human vision to determine whether there is a current in the seawater wave mode of the public swimming beach. The computer analysis of these images involves pre -filtering of the image, which can be treated with digi"&amp;"tal data to enhance the rapids before being classified as Normal or RIP TIDE. The classification itself can be performed by the expert system. These systems imitate the method of detecting the detection of human observer; or by establishing a neural netwo"&amp;"rk to determine its own classification standards to identify the tidal.")</f>
        <v>A system uses digital images instead of human vision to determine whether there is a current in the seawater wave mode of the public swimming beach. The computer analysis of these images involves pre -filtering of the image, which can be treated with digital data to enhance the rapids before being classified as Normal or RIP TIDE. The classification itself can be performed by the expert system. These systems imitate the method of detecting the detection of human observer; or by establishing a neural network to determine its own classification standards to identify the tidal.</v>
      </c>
      <c r="D4304" s="6" t="s">
        <v>12000</v>
      </c>
      <c r="E4304" s="4" t="str">
        <f ca="1">IFERROR(__xludf.DUMMYFUNCTION("GOOGLETRANSLATE(D4304,""auto"",""en"")"),"Automatic crack current detection system")</f>
        <v>Automatic crack current detection system</v>
      </c>
    </row>
    <row r="4305" spans="1:5" ht="15" x14ac:dyDescent="0.25">
      <c r="A4305" s="5" t="s">
        <v>12001</v>
      </c>
      <c r="B4305" s="6" t="s">
        <v>12002</v>
      </c>
      <c r="C4305" s="3" t="str">
        <f ca="1">IFERROR(__xludf.DUMMYFUNCTION("GOOGLETRANSLATE(B4305,""auto"",""en"")"),"Kind Code: A1 a method and device for receiving motion image information from the terminal device through the Internet communication network, and sending the required sports image information to the terminal device.
  Steps to generate sports video info"&amp;"rmation; the steps to generate the scenario identification information corresponding to the scenario of sports video information; generate the results corresponding to the information corresponding to the scenario identification information from the sport"&amp;"s video information, and indicate the results of the results in the scene standard information. Extract the steps of playing video information; the steps of the receiving video information and scene identification information are obtained; the information"&amp;" corresponding to the information corresponding to the request information from the storage results is read in the corresponding scene logo information. Scene identification information, generate video transmission information; send transmission informati"&amp;"on.
  【Selection Figure】 Figure 2")</f>
        <v>Kind Code: A1 a method and device for receiving motion image information from the terminal device through the Internet communication network, and sending the required sports image information to the terminal device.
  Steps to generate sports video information; the steps to generate the scenario identification information corresponding to the scenario of sports video information; generate the results corresponding to the information corresponding to the scenario identification information from the sports video information, and indicate the results of the results in the scene standard information. Extract the steps of playing video information; the steps of the receiving video information and scene identification information are obtained; the information corresponding to the information corresponding to the request information from the storage results is read in the corresponding scene logo information. Scene identification information, generate video transmission information; send transmission information.
  【Selection Figure】 Figure 2</v>
      </c>
      <c r="D4305" s="6" t="s">
        <v>12003</v>
      </c>
      <c r="E4305" s="4" t="str">
        <f ca="1">IFERROR(__xludf.DUMMYFUNCTION("GOOGLETRANSLATE(D4305,""auto"",""en"")"),"A request for obtaining information information from the terminal device through the Internet communication network, sending the required sports image information to the terminal device, and determining the method and device of the operation results of th"&amp;"e game. Competition image recognition method end time")</f>
        <v>A request for obtaining information information from the terminal device through the Internet communication network, sending the required sports image information to the terminal device, and determining the method and device of the operation results of the game. Competition image recognition method end time</v>
      </c>
    </row>
    <row r="4306" spans="1:5" ht="15" x14ac:dyDescent="0.25">
      <c r="A4306" s="5" t="s">
        <v>12004</v>
      </c>
      <c r="B4306" s="6" t="s">
        <v>11922</v>
      </c>
      <c r="C4306" s="3" t="str">
        <f ca="1">IFERROR(__xludf.DUMMYFUNCTION("GOOGLETRANSLATE(B4306,""auto"",""en"")"),"The embodiment of the present invention provides a method and device for wireless health monitoring systems, which is used to connect to the health monitoring equipment that can be used to enable the Internet (""WWD"") to interact with the health monitori"&amp;"ng equipment that can be a medical equipment. Diseases or health status. Equipment or other equipment related to health, such as fitness equipment. If necessary, WWD can use the optional accessories to connect to the general input/output port of WWD to di"&amp;"rectly connect to the health monitoring equipment by wired. Alternatively, WWD can be wirelessly connected to health monitoring equipment, such as infrared or radio frequency connection, including using protocols such as Bluetooth or 802.11. If necessary,"&amp;" the adapter can also be used in wireless connections. Users can also manually enter data to WWD, such as small keyboards, keyboards, touch pens or optional places through voice commands. Use the standard Internet agreement to transmit health -related dat"&amp;"a from WWD to the server. Software program calculation responses that can include server or artificial intelligence systems, and can further provide reviews from doctors or health experts. Users can interact with the server. For example, the server sends "&amp;"a response to WWD, and the user can answer the response or provide other information.")</f>
        <v>The embodiment of the present invention provides a method and device for wireless health monitoring systems, which is used to connect to the health monitoring equipment that can be used to enable the Internet ("WWD") to interact with the health monitoring equipment that can be a medical equipment. Diseases or health status. Equipment or other equipment related to health, such as fitness equipment. If necessary, WWD can use the optional accessories to connect to the general input/output port of WWD to directly connect to the health monitoring equipment by wired. Alternatively, WWD can be wirelessly connected to health monitoring equipment, such as infrared or radio frequency connection, including using protocols such as Bluetooth or 802.11. If necessary, the adapter can also be used in wireless connections. Users can also manually enter data to WWD, such as small keyboards, keyboards, touch pens or optional places through voice commands. Use the standard Internet agreement to transmit health -related data from WWD to the server. Software program calculation responses that can include server or artificial intelligence systems, and can further provide reviews from doctors or health experts. Users can interact with the server. For example, the server sends a response to WWD, and the user can answer the response or provide other information.</v>
      </c>
      <c r="D4306" s="6" t="s">
        <v>11804</v>
      </c>
      <c r="E4306" s="4" t="str">
        <f ca="1">IFERROR(__xludf.DUMMYFUNCTION("GOOGLETRANSLATE(D4306,""auto"",""en"")"),"Health and disease management methods and devices that combine patient data monitoring with wireless Internet connection")</f>
        <v>Health and disease management methods and devices that combine patient data monitoring with wireless Internet connection</v>
      </c>
    </row>
    <row r="4307" spans="1:5" ht="15" x14ac:dyDescent="0.25">
      <c r="A4307" s="5" t="s">
        <v>12005</v>
      </c>
      <c r="B4307" s="6" t="s">
        <v>11979</v>
      </c>
      <c r="C4307" s="3" t="str">
        <f ca="1">IFERROR(__xludf.DUMMYFUNCTION("GOOGLETRANSLATE(B4307,""auto"",""en"")"),"It describes a system and method for building a predicted model based on statistical machine learning. This model can be abstracted from the traffic system into a set of random variables (including indicating that the key failure will occur until the cong"&amp;"estion can be resolved until the congestion can be resolved. Observation data includes transportation includes traffic. Traffic and dynamics, as well as other context data, such as the time and one day of the day, one day, holiday, school conditions, spor"&amp;"ts events, weather reports, traffic accident reports, and construction and shutdown reports. The desktop shows graphic information about congested predictions, as well as offline and real -time automatic route recommendations and planning.")</f>
        <v>It describes a system and method for building a predicted model based on statistical machine learning. This model can be abstracted from the traffic system into a set of random variables (including indicating that the key failure will occur until the congestion can be resolved until the congestion can be resolved. Observation data includes transportation includes traffic. Traffic and dynamics, as well as other context data, such as the time and one day of the day, one day, holiday, school conditions, sports events, weather reports, traffic accident reports, and construction and shutdown reports. The desktop shows graphic information about congested predictions, as well as offline and real -time automatic route recommendations and planning.</v>
      </c>
      <c r="D4307" s="6" t="s">
        <v>11980</v>
      </c>
      <c r="E4307" s="4" t="str">
        <f ca="1">IFERROR(__xludf.DUMMYFUNCTION("GOOGLETRANSLATE(D4307,""auto"",""en"")"),"Traffic predictions that use probability interdependence and context data modeling and analysis")</f>
        <v>Traffic predictions that use probability interdependence and context data modeling and analysis</v>
      </c>
    </row>
    <row r="4308" spans="1:5" ht="15" x14ac:dyDescent="0.25">
      <c r="A4308" s="5" t="s">
        <v>12006</v>
      </c>
      <c r="B4308" s="6" t="s">
        <v>12007</v>
      </c>
      <c r="C4308" s="3" t="str">
        <f ca="1">IFERROR(__xludf.DUMMYFUNCTION("GOOGLETRANSLATE(B4308,""auto"",""en"")"),"【Task】 
  The invention only provides music recommendation information related to the sports team when the favorite sports team win. Users can choose music efficiently and quickly, and prefer the victory of the latest results of the game. Confirm that s"&amp;"timulate the desire to sing, choose music efficiently and quickly.
  [solution] 
  User ID acquisition device (3), sports team corresponding music registration device (15), user specific sports team registration device (16), competition results input "&amp;"management device (17), corresponding music recommendation device (18), current login -IN user The favorite team is registered in the user -exclusive sports team registration form (T2), referring to the results of the results of the competition results (T"&amp;"3), the registered team is only when the team wins, according to the corresponding song registration form (T1), we built it A system, display the recommendation information of song -related songs related to the team at the right time.
  【Selection Figur"&amp;"e】 Figure 1")</f>
        <v>【Task】 
  The invention only provides music recommendation information related to the sports team when the favorite sports team win. Users can choose music efficiently and quickly, and prefer the victory of the latest results of the game. Confirm that stimulate the desire to sing, choose music efficiently and quickly.
  [solution] 
  User ID acquisition device (3), sports team corresponding music registration device (15), user specific sports team registration device (16), competition results input management device (17), corresponding music recommendation device (18), current login -IN user The favorite team is registered in the user -exclusive sports team registration form (T2), referring to the results of the results of the competition results (T3), the registered team is only when the team wins, according to the corresponding song registration form (T1), we built it A system, display the recommendation information of song -related songs related to the team at the right time.
  【Selection Figure】 Figure 1</v>
      </c>
      <c r="D4308" s="6" t="s">
        <v>12008</v>
      </c>
      <c r="E4308" s="4" t="str">
        <f ca="1">IFERROR(__xludf.DUMMYFUNCTION("GOOGLETRANSLATE(D4308,""auto"",""en"")"),"Sports team music recommendation system")</f>
        <v>Sports team music recommendation system</v>
      </c>
    </row>
    <row r="4309" spans="1:5" ht="15" x14ac:dyDescent="0.25">
      <c r="A4309" s="5" t="s">
        <v>12009</v>
      </c>
      <c r="B4309" s="6" t="s">
        <v>12010</v>
      </c>
      <c r="C4309" s="3" t="str">
        <f ca="1">IFERROR(__xludf.DUMMYFUNCTION("GOOGLETRANSLATE(B4309,""auto"",""en"")"),"The purpose of the present invention is to extract tire performance more reliably.
  Kind Code: A1 Get the driving status information of the pre -match vehicle, that is, the state information before the race (step ST1) to build and store the neural netw"&amp;"ork (step ST2). In addition, obtain the driving status in the current game, that is, the driving status information in the game (step ST5). In addition, because the pre -match driving status information constitutes a neural network. From the pre -match dr"&amp;"iving status information, the driving status information in the fastest LAP, that is, the driving status of the circuit during the fastest LAP time, exports (step ST9). The fastest LAP braking timing is exported from the fastest run status information and"&amp;" the running status information of the game (step ST10). In this way, you can brake at this fastest LAP braking timing, and extract the friction of the tire as much as possible during the driving process. As a result, tire performance can be played more r"&amp;"eliably.
  【Selection Figure】 Figure 6")</f>
        <v>The purpose of the present invention is to extract tire performance more reliably.
  Kind Code: A1 Get the driving status information of the pre -match vehicle, that is, the state information before the race (step ST1) to build and store the neural network (step ST2). In addition, obtain the driving status in the current game, that is, the driving status information in the game (step ST5). In addition, because the pre -match driving status information constitutes a neural network. From the pre -match driving status information, the driving status information in the fastest LAP, that is, the driving status of the circuit during the fastest LAP time, exports (step ST9). The fastest LAP braking timing is exported from the fastest run status information and the running status information of the game (step ST10). In this way, you can brake at this fastest LAP braking timing, and extract the friction of the tire as much as possible during the driving process. As a result, tire performance can be played more reliably.
  【Selection Figure】 Figure 6</v>
      </c>
      <c r="D4309" s="6" t="s">
        <v>12011</v>
      </c>
      <c r="E4309" s="4" t="str">
        <f ca="1">IFERROR(__xludf.DUMMYFUNCTION("GOOGLETRANSLATE(D4309,""auto"",""en"")"),"The best braking control method in the competition driving, the best braking control computer program in the competition driving, and the best braking control device in the competition driving")</f>
        <v>The best braking control method in the competition driving, the best braking control computer program in the competition driving, and the best braking control device in the competition driving</v>
      </c>
    </row>
    <row r="4310" spans="1:5" ht="15" x14ac:dyDescent="0.25">
      <c r="A4310" s="5" t="s">
        <v>12012</v>
      </c>
      <c r="B4310" s="6" t="s">
        <v>12013</v>
      </c>
      <c r="C4310" s="3" t="str">
        <f ca="1">IFERROR(__xludf.DUMMYFUNCTION("GOOGLETRANSLATE(B4310,""auto"",""en"")"),"A human -machine interactive virtual game control device, including detectors and control boxes. The detector consists of an inductive pedal and an inductive sideboard. The inductive pedal includes the pressure sensor device for the operator to step on, w"&amp;"hich is used to detect the movement and running movements of forward, back, left, and right turn. Essence The inductive side board can detect the movement trajectory and jump movement of the operator's hands and feet. Each detection signal is transmitted "&amp;"to the microprocessor unit installed in the control box to generate the corresponding signal, so as to control the corresponding virtual person in the game through the communication interface, thereby replacing the traditional arrow button or other instru"&amp;"ments of the traditional game controller Essence Therefore, the operator can interact with the game to enhance the authenticity of the game.")</f>
        <v>A human -machine interactive virtual game control device, including detectors and control boxes. The detector consists of an inductive pedal and an inductive sideboard. The inductive pedal includes the pressure sensor device for the operator to step on, which is used to detect the movement and running movements of forward, back, left, and right turn. Essence The inductive side board can detect the movement trajectory and jump movement of the operator's hands and feet. Each detection signal is transmitted to the microprocessor unit installed in the control box to generate the corresponding signal, so as to control the corresponding virtual person in the game through the communication interface, thereby replacing the traditional arrow button or other instruments of the traditional game controller Essence Therefore, the operator can interact with the game to enhance the authenticity of the game.</v>
      </c>
      <c r="D4310" s="6" t="s">
        <v>12014</v>
      </c>
      <c r="E4310" s="4" t="str">
        <f ca="1">IFERROR(__xludf.DUMMYFUNCTION("GOOGLETRANSLATE(D4310,""auto"",""en"")"),"Human -machine interactive virtual game control device")</f>
        <v>Human -machine interactive virtual game control device</v>
      </c>
    </row>
    <row r="4311" spans="1:5" ht="15" x14ac:dyDescent="0.25">
      <c r="A4311" s="5" t="s">
        <v>12015</v>
      </c>
      <c r="B4311" s="6" t="s">
        <v>12016</v>
      </c>
      <c r="C4311" s="3" t="str">
        <f ca="1">IFERROR(__xludf.DUMMYFUNCTION("GOOGLETRANSLATE(B4311,""auto"",""en"")"),"Provides a system and method for the generating and evaluating multiple action solutions (COA) for interests for interesting problems with related problems with related issues. The case -based reasonable device generates a set of initial action solutions "&amp;"according to the characteristics of related issues. Each operation includes multiple COA packages and a set of related fitness parameters. The genetic algorithm refine the initial group of action solutions based on a set of global influence values ​​to ge"&amp;"nerate at least one optimized action plan. The user interface allows users to adjust at least one set of global impact values ​​and a set of adaptive parameters in each optimized action process.")</f>
        <v>Provides a system and method for the generating and evaluating multiple action solutions (COA) for interests for interesting problems with related problems with related issues. The case -based reasonable device generates a set of initial action solutions according to the characteristics of related issues. Each operation includes multiple COA packages and a set of related fitness parameters. The genetic algorithm refine the initial group of action solutions based on a set of global influence values ​​to generate at least one optimized action plan. The user interface allows users to adjust at least one set of global impact values ​​and a set of adaptive parameters in each optimized action process.</v>
      </c>
      <c r="D4311" s="6" t="s">
        <v>12017</v>
      </c>
      <c r="E4311" s="4" t="str">
        <f ca="1">IFERROR(__xludf.DUMMYFUNCTION("GOOGLETRANSLATE(D4311,""auto"",""en"")"),"Using the case -based interactive action process analysis tool")</f>
        <v>Using the case -based interactive action process analysis tool</v>
      </c>
    </row>
    <row r="4312" spans="1:5" ht="15" x14ac:dyDescent="0.25">
      <c r="A4312" s="5" t="s">
        <v>12018</v>
      </c>
      <c r="B4312" s="6" t="s">
        <v>12019</v>
      </c>
      <c r="C4312" s="3" t="str">
        <f ca="1">IFERROR(__xludf.DUMMYFUNCTION("GOOGLETRANSLATE(B4312,""auto"",""en"")"),"In the upward society, corporate value must be converted into the era of knowledge information according to the paradigm, and the control system developed by companies such as GM, DuPont, Panasonic, and General Electric has undergone tremendous changes. E"&amp;"D manages the simple finance of industrial society, and the tangible asset control system known as finance, which is used to accelerate and monitor finance, and the effective distribution of material capital in industrial society. With the era of continuo"&amp;"us advantages in competition, it knows it. When it ignores its new capabilities, more and more revolutionaries have appeared in the environment of information age, especially in the information age manufacturing (company) category. If the corporate time i"&amp;"s the part of VE and Negative / Finance / Service, it is necessary. The internal factors of the core factor (CSF: CRITICAL Success Factor) internal factor in the internal factor of its own company capacity and external environmental change management and "&amp;"task innovation Strategic enterprises have established positive and negative aspects to become a successful element than considering any type of organization, enterprise or their types of their types, or their types of their types or their types. The abil"&amp;"ity of investment, and the strategic action project of tangible assets to establish business activities to design business marks in it is more decisive system (WBS: Work Breakdown Structure) according to task innovation strategy and use ED to formulate pe"&amp;"rformance measurement indicators. Implement the actual results of the actual results in real time, improve the performance/implementation results to evaluate and continuously develop business activities through integrated data through continuous Plan Do S"&amp;"EE entities, and BSC (BALANCED SCORE CARD) reference steps to measure the financial management performance of task innovation management performance. After analyzing with the company's performance business model, the company must pursue the vision. The ac"&amp;"tual results of time and cost are called/fixed quantities. About the unit business performs activities on the three -dimensional space coordinates, work packages and descriptive data classification systems, as well as typical/informal execution organizati"&amp;"ons that perform the same and evaluate measurement and measurement measurement. /Member Classification System (OBS) Executive Office/Work Decomposition Structure (FBS) around the execution process/theme/activity classification system (PBS) design mark con"&amp;"duction business system (WBS: Work Breakdown Structure) Task Innovation and Package Mount/Education Are Perface D in : Task Innovation Build-Up Stage the, 1 Difference, and Second KPI Index are designed the key performance indicator (KPI: Key Performance)"&amp;" is defined. IT Strategic, Quality ETC, interpretation of portals and education intelligent portals, personal and themes I am designed in: the establishment of the smart portal, and accumulate in real time. Internal/external tracking (Case Tracking), Proc"&amp;"ess Innovation, Activity Improvement event, Monitoring), task innovation activities, necessary information query concept search system search, artificial intelligence classification system search, artificial intelligence classification system search, arti"&amp;"ficial intelligence classification system searches, artificial intelligence classification systems And the intelligent portal collected by similar related data is based on the Collaborative system and conducts business activities parallel with it. Task in"&amp;"novation strategy technology includes the results of activity -based cost accounting/management control (ABC/m) the results of the results of the financial perspective (BSC), and the customer viewpoint and vision and task innovation strategy, internal pro"&amp;"cess viewpoint, internal process views, internal processes, and internal processes according to value creation management (VBM). Evaluate the provision of learning, growth viewpoints, and existing LEGACY systems, and provide improvement of smart portals o"&amp;"f personalized knowledge bases. Analysis and core business evaluation activities: Through task innovation models and smart portal management results evaluation stages, provide tasks of the results business models to provide tasks of results business model"&amp;"s. Innovation management and integration to the imprint solution (BPF: business performance integration) and task innovation strategy technology reflect the company's task innovation strategy. In this way, corporate performance management (E CPM: extended"&amp;" corporate performance management) has been further expanded. [Index] -LK Package: Activity (X, Y. Z) strategy of unit business execution activity: 3D aerial image conduction of business activity reconciliation function-BPF: Business performance fusion-E "&amp;"CPM: Extended enterprise performance management- BI: Business Intelligence Business Knowledge/Smart -SEM: Strategy Enterprise Management Enterprise Operation Management Management Management Business system) Exist the following models) -Exical execution O"&amp;"rganization/Member Classification System (OBS) operation function/task/occupational classification system (FBS) execution activity/process/theme classification system (PBS) hug/vertical collaboration (Collaboate) system -ABC / M: Activity Costing / Manage"&amp;"ment Activity Based Costing / Management Control-VBM: Value Based Management Value Creation Management-RTE: Real Time Enterprise Time Enterprise (data processing).")</f>
        <v>In the upward society, corporate value must be converted into the era of knowledge information according to the paradigm, and the control system developed by companies such as GM, DuPont, Panasonic, and General Electric has undergone tremendous changes. ED manages the simple finance of industrial society, and the tangible asset control system known as finance, which is used to accelerate and monitor finance, and the effective distribution of material capital in industrial society. With the era of continuous advantages in competition, it knows it. When it ignores its new capabilities, more and more revolutionaries have appeared in the environment of information age, especially in the information age manufacturing (company) category. If the corporate time is the part of VE and Negative / Finance / Service, it is necessary. The internal factors of the core factor (CSF: CRITICAL Success Factor) internal factor in the internal factor of its own company capacity and external environmental change management and task innovation Strategic enterprises have established positive and negative aspects to become a successful element than considering any type of organization, enterprise or their types of their types, or their types of their types or their types. The ability of investment, and the strategic action project of tangible assets to establish business activities to design business marks in it is more decisive system (WBS: Work Breakdown Structure) according to task innovation strategy and use ED to formulate performance measurement indicators. Implement the actual results of the actual results in real time, improve the performance/implementation results to evaluate and continuously develop business activities through integrated data through continuous Plan Do SEE entities, and BSC (BALANCED SCORE CARD) reference steps to measure the financial management performance of task innovation management performance. After analyzing with the company's performance business model, the company must pursue the vision. The actual results of time and cost are called/fixed quantities. About the unit business performs activities on the three -dimensional space coordinates, work packages and descriptive data classification systems, as well as typical/informal execution organizations that perform the same and evaluate measurement and measurement measurement. /Member Classification System (OBS) Executive Office/Work Decomposition Structure (FBS) around the execution process/theme/activity classification system (PBS) design mark conduction business system (WBS: Work Breakdown Structure) Task Innovation and Package Mount/Education Are Perface D in : Task Innovation Build-Up Stage the, 1 Difference, and Second KPI Index are designed the key performance indicator (KPI: Key Performance) is defined. IT Strategic, Quality ETC, interpretation of portals and education intelligent portals, personal and themes I am designed in: the establishment of the smart portal, and accumulate in real time. Internal/external tracking (Case Tracking), Process Innovation, Activity Improvement event, Monitoring), task innovation activities, necessary information query concept search system search, artificial intelligence classification system search, artificial intelligence classification system search, artificial intelligence classification system searches, artificial intelligence classification systems And the intelligent portal collected by similar related data is based on the Collaborative system and conducts business activities parallel with it. Task innovation strategy technology includes the results of activity -based cost accounting/management control (ABC/m) the results of the results of the financial perspective (BSC), and the customer viewpoint and vision and task innovation strategy, internal process viewpoint, internal process views, internal processes, and internal processes according to value creation management (VBM). Evaluate the provision of learning, growth viewpoints, and existing LEGACY systems, and provide improvement of smart portals of personalized knowledge bases. Analysis and core business evaluation activities: Through task innovation models and smart portal management results evaluation stages, provide tasks of the results business models to provide tasks of results business models. Innovation management and integration to the imprint solution (BPF: business performance integration) and task innovation strategy technology reflect the company's task innovation strategy. In this way, corporate performance management (E CPM: extended corporate performance management) has been further expanded. [Index] -LK Package: Activity (X, Y. Z) strategy of unit business execution activity: 3D aerial image conduction of business activity reconciliation function-BPF: Business performance fusion-E CPM: Extended enterprise performance management- BI: Business Intelligence Business Knowledge/Smart -SEM: Strategy Enterprise Management Enterprise Operation Management Management Management Business system) Exist the following models) -Exical execution Organization/Member Classification System (OBS) operation function/task/occupational classification system (FBS) execution activity/process/theme classification system (PBS) hug/vertical collaboration (Collaboate) system -ABC / M: Activity Costing / Management Activity Based Costing / Management Control-VBM: Value Based Management Value Creation Management-RTE: Real Time Enterprise Time Enterprise (data processing).</v>
      </c>
      <c r="D4312" s="6" t="s">
        <v>12020</v>
      </c>
      <c r="E4312" s="4" t="str">
        <f ca="1">IFERROR(__xludf.DUMMYFUNCTION("GOOGLETRANSLATE(D4312,""auto"",""en"")"),"Government, finance and corporate business innovation aimed at expanding CPM (corporate performance management)")</f>
        <v>Government, finance and corporate business innovation aimed at expanding CPM (corporate performance management)</v>
      </c>
    </row>
    <row r="4313" spans="1:5" ht="15" x14ac:dyDescent="0.25">
      <c r="A4313" s="5" t="s">
        <v>12021</v>
      </c>
      <c r="B4313" s="6" t="s">
        <v>12022</v>
      </c>
      <c r="C4313" s="3" t="str">
        <f ca="1">IFERROR(__xludf.DUMMYFUNCTION("GOOGLETRANSLATE(B4313,""auto"",""en"")"),"A embodiment of the present invention proposes an evolutionary optimization method. The first step is to establish an initial individual group and apply the original adaptation function. Then choose offspring individuals with high evaluation quality value"&amp;"s ​​as parents. In the third step, copying parents to produce multiple offspring. The quality of the descendants is evaluated through the adaptation function, which selectively use the original or approximate adaptation function. Finally, this method retu"&amp;"rns to the selection step until the termination conditions are met. According to an embodiment, the steps of evaluating the quality of offspring individuals include the grouping individual individuals as clusters, select one or more offspring individuals "&amp;"for each cluster, so as to obtain offspring individuals who have a total choice, evaluate the choice of choice. Design-oriented individuals evaluate the remaining λ-ξ offspring individuals through the original adaptation function and the approximate adapt"&amp;"ation function.")</f>
        <v>A embodiment of the present invention proposes an evolutionary optimization method. The first step is to establish an initial individual group and apply the original adaptation function. Then choose offspring individuals with high evaluation quality values ​​as parents. In the third step, copying parents to produce multiple offspring. The quality of the descendants is evaluated through the adaptation function, which selectively use the original or approximate adaptation function. Finally, this method returns to the selection step until the termination conditions are met. According to an embodiment, the steps of evaluating the quality of offspring individuals include the grouping individual individuals as clusters, select one or more offspring individuals for each cluster, so as to obtain offspring individuals who have a total choice, evaluate the choice of choice. Design-oriented individuals evaluate the remaining λ-ξ offspring individuals through the original adaptation function and the approximate adaptation function.</v>
      </c>
      <c r="D4313" s="6" t="s">
        <v>12023</v>
      </c>
      <c r="E4313" s="4" t="str">
        <f ca="1">IFERROR(__xludf.DUMMYFUNCTION("GOOGLETRANSLATE(D4313,""auto"",""en"")"),"Use clustering technology and neural network integration to reduce fitness assessment")</f>
        <v>Use clustering technology and neural network integration to reduce fitness assessment</v>
      </c>
    </row>
    <row r="4314" spans="1:5" ht="15" x14ac:dyDescent="0.25">
      <c r="A4314" s="5" t="s">
        <v>12024</v>
      </c>
      <c r="B4314" s="6" t="s">
        <v>12025</v>
      </c>
      <c r="C4314" s="3" t="str">
        <f ca="1">IFERROR(__xludf.DUMMYFUNCTION("GOOGLETRANSLATE(B4314,""auto"",""en"")"),"Processing provides high -level automation decision support using COTS computing software and hardware. By combining information collected from multiple structured and non -structured data sources and converting it into universal protocols shared with con"&amp;"ditional decision -making logic, operators can be liberated from the continuous monitoring situation in the task that meets the pre -formulated rules. By organizing the conditions and simulation logic of the system in a layered manner, the rules are appli"&amp;"ed to data -based entities, their interaction and overall operations, and then applied to the established procedures. Conditional logic layered tissue allows highly controlled regulatory -based processing and provides dynamic behaviors to modify the data "&amp;"items collected by the entire system processing system based on the simplest human -machine interaction or a single change of a state.")</f>
        <v>Processing provides high -level automation decision support using COTS computing software and hardware. By combining information collected from multiple structured and non -structured data sources and converting it into universal protocols shared with conditional decision -making logic, operators can be liberated from the continuous monitoring situation in the task that meets the pre -formulated rules. By organizing the conditions and simulation logic of the system in a layered manner, the rules are applied to data -based entities, their interaction and overall operations, and then applied to the established procedures. Conditional logic layered tissue allows highly controlled regulatory -based processing and provides dynamic behaviors to modify the data items collected by the entire system processing system based on the simplest human -machine interaction or a single change of a state.</v>
      </c>
      <c r="D4314" s="6" t="s">
        <v>12026</v>
      </c>
      <c r="E4314" s="4" t="str">
        <f ca="1">IFERROR(__xludf.DUMMYFUNCTION("GOOGLETRANSLATE(D4314,""auto"",""en"")"),"Use multiple different data sources to enhance dynamic decision -making support processing")</f>
        <v>Use multiple different data sources to enhance dynamic decision -making support processing</v>
      </c>
    </row>
    <row r="4315" spans="1:5" ht="15" x14ac:dyDescent="0.25">
      <c r="A4315" s="5" t="s">
        <v>12027</v>
      </c>
      <c r="B4315" s="6" t="s">
        <v>12028</v>
      </c>
      <c r="C4315" s="3" t="str">
        <f ca="1">IFERROR(__xludf.DUMMYFUNCTION("GOOGLETRANSLATE(B4315,""auto"",""en"")"),"The present invention involves a language learning method and system that uses voice recognition. Teachers can actively participate in and learn the fun through using voice recognition games. The system of the present invention includes content database, "&amp;"which is used to store session learning content files, movie learning content files, pronunciation enhanced content files, test content files, etc. Provide online servers with language learning services; use voice recognition technology to store various l"&amp;"anguages ​​to learn game databases; game server uses the game database game content to provide language learning games, so that cable terminal learners or wireless terminal learners can pass wired/ Wireless Internet access language learning service system"&amp;".
  Therefore, according to the present invention, multiple learners connected by the Internet conduct language learning in the way of games. Through the game, the motivation of learning can also be provided. It can also provide learning motivations thr"&amp;"ough various methods such as drama games to naturally improve the language skills of the game. Participants. Some effects can be done.")</f>
        <v>The present invention involves a language learning method and system that uses voice recognition. Teachers can actively participate in and learn the fun through using voice recognition games. The system of the present invention includes content database, which is used to store session learning content files, movie learning content files, pronunciation enhanced content files, test content files, etc. Provide online servers with language learning services; use voice recognition technology to store various languages ​​to learn game databases; game server uses the game database game content to provide language learning games, so that cable terminal learners or wireless terminal learners can pass wired/ Wireless Internet access language learning service system.
  Therefore, according to the present invention, multiple learners connected by the Internet conduct language learning in the way of games. Through the game, the motivation of learning can also be provided. It can also provide learning motivations through various methods such as drama games to naturally improve the language skills of the game. Participants. Some effects can be done.</v>
      </c>
      <c r="D4315" s="6" t="s">
        <v>12029</v>
      </c>
      <c r="E4315" s="4" t="str">
        <f ca="1">IFERROR(__xludf.DUMMYFUNCTION("GOOGLETRANSLATE(D4315,""auto"",""en"")"),"Use voice recognition online language learning methods and systems")</f>
        <v>Use voice recognition online language learning methods and systems</v>
      </c>
    </row>
    <row r="4316" spans="1:5" ht="15" x14ac:dyDescent="0.25">
      <c r="A4316" s="5" t="s">
        <v>12030</v>
      </c>
      <c r="B4316" s="6" t="s">
        <v>12031</v>
      </c>
      <c r="C4316" s="3" t="str">
        <f ca="1">IFERROR(__xludf.DUMMYFUNCTION("GOOGLETRANSLATE(B4316,""auto"",""en"")"),"A multi -mode interface for the use of telephone -based equipment to promote access to interactive sports competitions, including interactive voice recognition system and central processing unit. It can provide access to the database and interested player"&amp;" database. Participants in the competition can register through the multi -mode interface, choose a virtual player team, and manage the team. Because the telephone -based equipment is everywhere, participants can interact with interactive sports competiti"&amp;"ons (such as the Fantasy Sports League) in a personalized way in a timely manner. The multi -mode interface can be configured to accept the pure voice commands from the contestants, as well as providing statistics or events to the contestants with a sched"&amp;"uled time and frequency. You can also use telephone -based equipment specific formats to send notifications.")</f>
        <v>A multi -mode interface for the use of telephone -based equipment to promote access to interactive sports competitions, including interactive voice recognition system and central processing unit. It can provide access to the database and interested player database. Participants in the competition can register through the multi -mode interface, choose a virtual player team, and manage the team. Because the telephone -based equipment is everywhere, participants can interact with interactive sports competitions (such as the Fantasy Sports League) in a personalized way in a timely manner. The multi -mode interface can be configured to accept the pure voice commands from the contestants, as well as providing statistics or events to the contestants with a scheduled time and frequency. You can also use telephone -based equipment specific formats to send notifications.</v>
      </c>
      <c r="D4316" s="6" t="s">
        <v>12032</v>
      </c>
      <c r="E4316" s="4" t="str">
        <f ca="1">IFERROR(__xludf.DUMMYFUNCTION("GOOGLETRANSLATE(D4316,""auto"",""en"")"),"Methods and interface systems for promoting access to fantasy sports alliances")</f>
        <v>Methods and interface systems for promoting access to fantasy sports alliances</v>
      </c>
    </row>
    <row r="4317" spans="1:5" ht="15" x14ac:dyDescent="0.25">
      <c r="A4317" s="5" t="s">
        <v>12033</v>
      </c>
      <c r="B4317" s="6" t="s">
        <v>12034</v>
      </c>
      <c r="C4317" s="3" t="str">
        <f ca="1">IFERROR(__xludf.DUMMYFUNCTION("GOOGLETRANSLATE(B4317,""auto"",""en"")"),"A multi -mode interface for the use of telephone -based devices to promote the interactive sports competition, including interactive voice recognition system and central processing unit, which can provide access to the player database and interested playe"&amp;"r database. Among them, interactive sports sports Participants in the competition can register through the multi -mode mode interface, choose a virtual player team and management team. Because the telephone -based equipment is everywhere, participants can"&amp;" interact with interactive sports competitions (such as the Fantasy Sports League) in a personalized way in a timely manner. The multi -mode interface can be configured to accept the pure voice commands from the contestants, and provide statistical or inc"&amp;"ident notifications to the contestants at the scheduled time and frequency. You can also use telephone -based equipment specific formats to send notifications.")</f>
        <v>A multi -mode interface for the use of telephone -based devices to promote the interactive sports competition, including interactive voice recognition system and central processing unit, which can provide access to the player database and interested player database. Among them, interactive sports sports Participants in the competition can register through the multi -mode mode interface, choose a virtual player team and management team. Because the telephone -based equipment is everywhere, participants can interact with interactive sports competitions (such as the Fantasy Sports League) in a personalized way in a timely manner. The multi -mode interface can be configured to accept the pure voice commands from the contestants, and provide statistical or incident notifications to the contestants at the scheduled time and frequency. You can also use telephone -based equipment specific formats to send notifications.</v>
      </c>
      <c r="D4317" s="6" t="s">
        <v>12032</v>
      </c>
      <c r="E4317" s="4" t="str">
        <f ca="1">IFERROR(__xludf.DUMMYFUNCTION("GOOGLETRANSLATE(D4317,""auto"",""en"")"),"Methods and interface systems for promoting access to fantasy sports alliances")</f>
        <v>Methods and interface systems for promoting access to fantasy sports alliances</v>
      </c>
    </row>
    <row r="4318" spans="1:5" ht="15" x14ac:dyDescent="0.25">
      <c r="A4318" s="5" t="s">
        <v>12035</v>
      </c>
      <c r="B4318" s="6" t="s">
        <v>12036</v>
      </c>
      <c r="C4318" s="3" t="str">
        <f ca="1">IFERROR(__xludf.DUMMYFUNCTION("GOOGLETRANSLATE(B4318,""auto"",""en"")"),"The invention involves a method of using portable terminals to measure vision, especially vision as a portable terminal. To this end, the present invention includes the voice recognition part, and the voice answer is identified according to the storage un"&amp;"it of the storage audio data. Measurement and optometlers and clearly displaying the distance control unit of the optometr control unit to control the vision and display unit of the vision measurement value control unit and the inspector's vision accordin"&amp;"g to the measurement results and the display unit.")</f>
        <v>The invention involves a method of using portable terminals to measure vision, especially vision as a portable terminal. To this end, the present invention includes the voice recognition part, and the voice answer is identified according to the storage unit of the storage audio data. Measurement and optometlers and clearly displaying the distance control unit of the optometr control unit to control the vision and display unit of the vision measurement value control unit and the inspector's vision according to the measurement results and the display unit.</v>
      </c>
      <c r="D4318" s="6" t="s">
        <v>12037</v>
      </c>
      <c r="E4318" s="4" t="str">
        <f ca="1">IFERROR(__xludf.DUMMYFUNCTION("GOOGLETRANSLATE(D4318,""auto"",""en"")"),"Portable terminals that can measure vision and the vision measurement method of using the terminal")</f>
        <v>Portable terminals that can measure vision and the vision measurement method of using the terminal</v>
      </c>
    </row>
    <row r="4319" spans="1:5" ht="15" x14ac:dyDescent="0.25">
      <c r="A4319" s="5" t="s">
        <v>12038</v>
      </c>
      <c r="B4319" s="6" t="s">
        <v>12039</v>
      </c>
      <c r="C4319" s="3" t="str">
        <f ca="1">IFERROR(__xludf.DUMMYFUNCTION("GOOGLETRANSLATE(B4319,""auto"",""en"")"),"The present invention is based on the use of pneumatic systems to convert the manpower of children's games. The energy of compressed air can be converted into electrical energy and used for lighting and communication. This provides a low -cost, low -resou"&amp;"rces power generation method, especially suitable for developing countries. This embodiment is the extension of the present invention. By playing video games, electricity is generated from the pedal movement of fitness bicycles, and it includes a game con"&amp;"troller bicycle with fixed fitness bicycles, video game systems, monitors, and game controllers, including buttons/manipulator, Electromechanical and biomedical sensors, artificial intelligence -based pre -processors for controller signals, and pneumatic "&amp;"or electromechanical energy conversion devices for power generation. The generated power can be used to quantify the game or exercise involved, and provides incentives to encourage continuous games or exercise.")</f>
        <v>The present invention is based on the use of pneumatic systems to convert the manpower of children's games. The energy of compressed air can be converted into electrical energy and used for lighting and communication. This provides a low -cost, low -resources power generation method, especially suitable for developing countries. This embodiment is the extension of the present invention. By playing video games, electricity is generated from the pedal movement of fitness bicycles, and it includes a game controller bicycle with fixed fitness bicycles, video game systems, monitors, and game controllers, including buttons/manipulator, Electromechanical and biomedical sensors, artificial intelligence -based pre -processors for controller signals, and pneumatic or electromechanical energy conversion devices for power generation. The generated power can be used to quantify the game or exercise involved, and provides incentives to encourage continuous games or exercise.</v>
      </c>
      <c r="D4319" s="6" t="s">
        <v>12040</v>
      </c>
      <c r="E4319" s="4" t="str">
        <f ca="1">IFERROR(__xludf.DUMMYFUNCTION("GOOGLETRANSLATE(D4319,""auto"",""en"")"),"Human conversion system based on electric bicycle games")</f>
        <v>Human conversion system based on electric bicycle games</v>
      </c>
    </row>
    <row r="4320" spans="1:5" ht="15" x14ac:dyDescent="0.25">
      <c r="A4320" s="5" t="s">
        <v>12041</v>
      </c>
      <c r="B4320" s="6" t="s">
        <v>12042</v>
      </c>
      <c r="C4320" s="3" t="str">
        <f ca="1">IFERROR(__xludf.DUMMYFUNCTION("GOOGLETRANSLATE(B4320,""auto"",""en"")"),"A system for measuring ground reaction forces and analyzing athletes' performance. Among them, the force sensor is located in the athlete's shoes. The three -dimensional speed meter is located near the athlete's center of gravity and records the signal fr"&amp;"om the acceleration meter and the force sensor. ) Three orthogonal weights. Artificial neural networks are used to derive three orthogonal weights of Grif through learning algorithms.")</f>
        <v>A system for measuring ground reaction forces and analyzing athletes' performance. Among them, the force sensor is located in the athlete's shoes. The three -dimensional speed meter is located near the athlete's center of gravity and records the signal from the acceleration meter and the force sensor. ) Three orthogonal weights. Artificial neural networks are used to derive three orthogonal weights of Grif through learning algorithms.</v>
      </c>
      <c r="D4320" s="6" t="s">
        <v>12043</v>
      </c>
      <c r="E4320" s="4" t="str">
        <f ca="1">IFERROR(__xludf.DUMMYFUNCTION("GOOGLETRANSLATE(D4320,""auto"",""en"")"),"Measure the power in track and field movement")</f>
        <v>Measure the power in track and field movement</v>
      </c>
    </row>
    <row r="4321" spans="1:5" ht="15" x14ac:dyDescent="0.25">
      <c r="A4321" s="5" t="s">
        <v>12044</v>
      </c>
      <c r="B4321" s="6" t="s">
        <v>12045</v>
      </c>
      <c r="C4321" s="3" t="str">
        <f ca="1">IFERROR(__xludf.DUMMYFUNCTION("GOOGLETRANSLATE(B4321,""auto"",""en"")"),"A system for measuring ground reaction forces and analyzing athletes' performance. Among them, the force sensor is located in the athlete's shoes. The three -dimensional speed meter is located near the athlete's center of gravity and records the signal fr"&amp;"om the acceleration meter and the force sensor. ) Three orthogonal weights. Use the artificial neural network to derive the three orthogonal weights of GRIF")</f>
        <v>A system for measuring ground reaction forces and analyzing athletes' performance. Among them, the force sensor is located in the athlete's shoes. The three -dimensional speed meter is located near the athlete's center of gravity and records the signal from the acceleration meter and the force sensor. ) Three orthogonal weights. Use the artificial neural network to derive the three orthogonal weights of GRIF</v>
      </c>
      <c r="D4321" s="6" t="s">
        <v>12043</v>
      </c>
      <c r="E4321" s="4" t="str">
        <f ca="1">IFERROR(__xludf.DUMMYFUNCTION("GOOGLETRANSLATE(D4321,""auto"",""en"")"),"Measure the power in track and field movement")</f>
        <v>Measure the power in track and field movement</v>
      </c>
    </row>
    <row r="4322" spans="1:5" ht="15" x14ac:dyDescent="0.25">
      <c r="A4322" s="5" t="s">
        <v>12046</v>
      </c>
      <c r="B4322" s="6" t="s">
        <v>12042</v>
      </c>
      <c r="C4322" s="3" t="str">
        <f ca="1">IFERROR(__xludf.DUMMYFUNCTION("GOOGLETRANSLATE(B4322,""auto"",""en"")"),"A system for measuring ground reaction forces and analyzing athletes' performance. Among them, the force sensor is located in the athlete's shoes. The three -dimensional speed meter is located near the athlete's center of gravity and records the signal fr"&amp;"om the acceleration meter and the force sensor. ) Three orthogonal weights. Artificial neural networks are used to derive three orthogonal weights of Grif through learning algorithms.")</f>
        <v>A system for measuring ground reaction forces and analyzing athletes' performance. Among them, the force sensor is located in the athlete's shoes. The three -dimensional speed meter is located near the athlete's center of gravity and records the signal from the acceleration meter and the force sensor. ) Three orthogonal weights. Artificial neural networks are used to derive three orthogonal weights of Grif through learning algorithms.</v>
      </c>
      <c r="D4322" s="6" t="s">
        <v>12043</v>
      </c>
      <c r="E4322" s="4" t="str">
        <f ca="1">IFERROR(__xludf.DUMMYFUNCTION("GOOGLETRANSLATE(D4322,""auto"",""en"")"),"Measure the power in track and field movement")</f>
        <v>Measure the power in track and field movement</v>
      </c>
    </row>
    <row r="4323" spans="1:5" ht="15" x14ac:dyDescent="0.25">
      <c r="A4323" s="5" t="s">
        <v>12047</v>
      </c>
      <c r="B4323" s="6" t="s">
        <v>12048</v>
      </c>
      <c r="C4323" s="3" t="str">
        <f ca="1">IFERROR(__xludf.DUMMYFUNCTION("GOOGLETRANSLATE(B4323,""auto"",""en"")"),"The present invention involves an independent electromagnetic control system for binding boots to the electromagnetic control system, which is used to bind the boots to skiing boards, skiboards, or any board, surfboard or surfing plate that is usually use"&amp;"d for sports. The system of the present invention is set on the athlete's clothes, boots and boards to ensure the safety practice of the exercise. According to the present invention, the system includes rechargeable batteries; electric or solar chargers; "&amp;"power switches; electromagnetic clamping elements or electromagnets provided in each boot; thin pieces or particles of iron magnetic materials; On the board of fixed boots; and optional land, the system that uses electromagnetic waves or infrared rays to "&amp;"send/receive commands is used to control the above switch and can be equipped with voice recognition devices. In this way, athletes equipped with any optional system configuration (including suits/boots and boards or boards) can safely slide on the corres"&amp;"ponding surface and have the best control. In addition, the system enables users to leave the board from the board quickly, convenient, remote, and autonomously without the need for automatic board release systems that are not controlled by users.")</f>
        <v>The present invention involves an independent electromagnetic control system for binding boots to the electromagnetic control system, which is used to bind the boots to skiing boards, skiboards, or any board, surfboard or surfing plate that is usually used for sports. The system of the present invention is set on the athlete's clothes, boots and boards to ensure the safety practice of the exercise. According to the present invention, the system includes rechargeable batteries; electric or solar chargers; power switches; electromagnetic clamping elements or electromagnets provided in each boot; thin pieces or particles of iron magnetic materials; On the board of fixed boots; and optional land, the system that uses electromagnetic waves or infrared rays to send/receive commands is used to control the above switch and can be equipped with voice recognition devices. In this way, athletes equipped with any optional system configuration (including suits/boots and boards or boards) can safely slide on the corresponding surface and have the best control. In addition, the system enables users to leave the board from the board quickly, convenient, remote, and autonomously without the need for automatic board release systems that are not controlled by users.</v>
      </c>
      <c r="D4323" s="6" t="s">
        <v>12049</v>
      </c>
      <c r="E4323" s="4" t="str">
        <f ca="1">IFERROR(__xludf.DUMMYFUNCTION("GOOGLETRANSLATE(D4323,""auto"",""en"")"),"The autonomous electromagnetic control system for binding boots to skiing plates, skiing boards or analogs")</f>
        <v>The autonomous electromagnetic control system for binding boots to skiing plates, skiing boards or analogs</v>
      </c>
    </row>
    <row r="4324" spans="1:5" ht="15" x14ac:dyDescent="0.25">
      <c r="A4324" s="5" t="s">
        <v>12050</v>
      </c>
      <c r="B4324" s="6" t="s">
        <v>12051</v>
      </c>
      <c r="C4324" s="3" t="str">
        <f ca="1">IFERROR(__xludf.DUMMYFUNCTION("GOOGLETRANSLATE(B4324,""auto"",""en"")"),"The present invention involves a self -use electromagnetic control system for binding boots to skiing plates, skiing boards or any plates that is usually used for sports, such as skateboarding or surfing boards. The system of the present invention is set "&amp;"on the athlete's clothes, boots and boards to ensure the safety practice of the exercise. According to the present invention, the system includes: rechargeable batteries; electric or solar chargers; power switches; electromagnetic suction elements or elec"&amp;"tromagnets provided in each boots; And the plate fixed on it; and optional land, a system used to use electromagnetic waves or infrared sends/receiving commands to control the above -mentioned switches and can be equipped with voice recognition devices. I"&amp;"n this way, athletes equipped with any optional system configuration (including sets/boots and boards or boards) can safely slide on the corresponding surface and have the best control. In addition, the system enables users to get away from the circuit bo"&amp;"ard quickly, conveniently, remote and autonomously without the need for automatic circuit board release systems that are not controlled by users.")</f>
        <v>The present invention involves a self -use electromagnetic control system for binding boots to skiing plates, skiing boards or any plates that is usually used for sports, such as skateboarding or surfing boards. The system of the present invention is set on the athlete's clothes, boots and boards to ensure the safety practice of the exercise. According to the present invention, the system includes: rechargeable batteries; electric or solar chargers; power switches; electromagnetic suction elements or electromagnets provided in each boots; And the plate fixed on it; and optional land, a system used to use electromagnetic waves or infrared sends/receiving commands to control the above -mentioned switches and can be equipped with voice recognition devices. In this way, athletes equipped with any optional system configuration (including sets/boots and boards or boards) can safely slide on the corresponding surface and have the best control. In addition, the system enables users to get away from the circuit board quickly, conveniently, remote and autonomously without the need for automatic circuit board release systems that are not controlled by users.</v>
      </c>
      <c r="D4324" s="6" t="s">
        <v>12049</v>
      </c>
      <c r="E4324" s="4" t="str">
        <f ca="1">IFERROR(__xludf.DUMMYFUNCTION("GOOGLETRANSLATE(D4324,""auto"",""en"")"),"The autonomous electromagnetic control system for binding boots to skiing plates, skiing boards or analogs")</f>
        <v>The autonomous electromagnetic control system for binding boots to skiing plates, skiing boards or analogs</v>
      </c>
    </row>
    <row r="4325" spans="1:5" ht="15" x14ac:dyDescent="0.25">
      <c r="A4325" s="5" t="s">
        <v>12052</v>
      </c>
      <c r="B4325" s="6" t="s">
        <v>12053</v>
      </c>
      <c r="C4325" s="3" t="str">
        <f ca="1">IFERROR(__xludf.DUMMYFUNCTION("GOOGLETRANSLATE(B4325,""auto"",""en"")"),"The present invention involves binding boots to skiing boards, skiing boards, or any plates that are usually used for sports, such as skateboarding or surfing plate independent electromagnetic control systems. The system of the present invention is set on"&amp;" the athlete's clothes, boots and boards to ensure the safety practice of the exercise. According to the present invention, the system includes: rechargeable batteries; electric or solar chargers; power switches; electromagnetic suction components or elec"&amp;"tromagnets provided in each boots; On the board of the boots; and the optional land, uses electromagnetic waves or infrared rays to send/receive command systems. This system is used to control the above -mentioned switches and can be equipped with voice r"&amp;"ecognition equipment. In this way, the athletes are equipped with any optional system configuration, including suits/boots and boards, or can safely slide on the corresponding surface and have the best control. In addition, the system enables users to lea"&amp;"ve the board from the board quickly, convenient, remote, and autonomously without the need for automatic board release systems that are not controlled by users.")</f>
        <v>The present invention involves binding boots to skiing boards, skiing boards, or any plates that are usually used for sports, such as skateboarding or surfing plate independent electromagnetic control systems. The system of the present invention is set on the athlete's clothes, boots and boards to ensure the safety practice of the exercise. According to the present invention, the system includes: rechargeable batteries; electric or solar chargers; power switches; electromagnetic suction components or electromagnets provided in each boots; On the board of the boots; and the optional land, uses electromagnetic waves or infrared rays to send/receive command systems. This system is used to control the above -mentioned switches and can be equipped with voice recognition equipment. In this way, the athletes are equipped with any optional system configuration, including suits/boots and boards, or can safely slide on the corresponding surface and have the best control. In addition, the system enables users to leave the board from the board quickly, convenient, remote, and autonomously without the need for automatic board release systems that are not controlled by users.</v>
      </c>
      <c r="D4325" s="6" t="s">
        <v>12049</v>
      </c>
      <c r="E4325" s="4" t="str">
        <f ca="1">IFERROR(__xludf.DUMMYFUNCTION("GOOGLETRANSLATE(D4325,""auto"",""en"")"),"The autonomous electromagnetic control system for binding boots to skiing plates, skiing boards or analogs")</f>
        <v>The autonomous electromagnetic control system for binding boots to skiing plates, skiing boards or analogs</v>
      </c>
    </row>
    <row r="4326" spans="1:5" ht="15" x14ac:dyDescent="0.25">
      <c r="A4326" s="5" t="s">
        <v>12054</v>
      </c>
      <c r="B4326" s="6" t="s">
        <v>12055</v>
      </c>
      <c r="C4326" s="3" t="str">
        <f ca="1">IFERROR(__xludf.DUMMYFUNCTION("GOOGLETRANSLATE(B4326,""auto"",""en"")"),"The present invention involves an independent electromagnetic control system for binding boots to the electromagnetic control system, which is used to bind the boots to skiing boards, skiboards, or any board, surfboard or surfing plate that is usually use"&amp;"d for sports. The system of the present invention is set on the athlete's clothes, boots and boards to ensure the safety practice of the exercise. According to the present invention, the system includes: rechargeable batteries; electric or solar chargers;"&amp;" power switches; electromagnetic clamps or electromagnets provided in each boot; On the board of fixed boots; and optional land, using electromagnetic waves or infrared rays to send/receive commands to control the above switch and can be equipped with voi"&amp;"ce recognition devices. In this way, athletes equipped with any optional system configuration (including suits/boots and boards or boards) can safely slide on the corresponding surface and have the best control. In addition, the system enables users to le"&amp;"ave the board from the board quickly, convenient, remote, and autonomously without the need for automatic board release systems that are not controlled by users.")</f>
        <v>The present invention involves an independent electromagnetic control system for binding boots to the electromagnetic control system, which is used to bind the boots to skiing boards, skiboards, or any board, surfboard or surfing plate that is usually used for sports. The system of the present invention is set on the athlete's clothes, boots and boards to ensure the safety practice of the exercise. According to the present invention, the system includes: rechargeable batteries; electric or solar chargers; power switches; electromagnetic clamps or electromagnets provided in each boot; On the board of fixed boots; and optional land, using electromagnetic waves or infrared rays to send/receive commands to control the above switch and can be equipped with voice recognition devices. In this way, athletes equipped with any optional system configuration (including suits/boots and boards or boards) can safely slide on the corresponding surface and have the best control. In addition, the system enables users to leave the board from the board quickly, convenient, remote, and autonomously without the need for automatic board release systems that are not controlled by users.</v>
      </c>
      <c r="D4326" s="6" t="s">
        <v>12049</v>
      </c>
      <c r="E4326" s="4" t="str">
        <f ca="1">IFERROR(__xludf.DUMMYFUNCTION("GOOGLETRANSLATE(D4326,""auto"",""en"")"),"The autonomous electromagnetic control system for binding boots to skiing plates, skiing boards or analogs")</f>
        <v>The autonomous electromagnetic control system for binding boots to skiing plates, skiing boards or analogs</v>
      </c>
    </row>
    <row r="4327" spans="1:5" ht="15" x14ac:dyDescent="0.25">
      <c r="A4327" s="5" t="s">
        <v>12056</v>
      </c>
      <c r="B4327" s="6" t="s">
        <v>12057</v>
      </c>
      <c r="C4327" s="3" t="str">
        <f ca="1">IFERROR(__xludf.DUMMYFUNCTION("GOOGLETRANSLATE(B4327,""auto"",""en"")"),"An independent electromagnetic control system can coupling the boots in the boards such as skiing, skiing, skateboarding, or surfing. It is placed on the athlete's clothes and boots and on the board for safe practice. The system includes recharging batter"&amp;"ies, electric or solar chargers, power switches, electromagnetic attractor components or electromagnets, plates, chips, or ferromagnetic materials on each boot, and it is placed on the boot positioning and fixed on it on it. Essence It includes a system f"&amp;"or sending/receiving commands for particles. The optional land is electromagnetic waves or infrared rays, used to control the switch, and can include voice recognition equipment. Therefore, athletes with optional system configuration (including sets/boots"&amp;" and skateboards) can safely skate and glide in the best control. The system allows users to remove the circuit board from themselves fast, convenient, remote and autonomously without the need for automatic circuit board release systems that are not contr"&amp;"olled by users.")</f>
        <v>An independent electromagnetic control system can coupling the boots in the boards such as skiing, skiing, skateboarding, or surfing. It is placed on the athlete's clothes and boots and on the board for safe practice. The system includes recharging batteries, electric or solar chargers, power switches, electromagnetic attractor components or electromagnets, plates, chips, or ferromagnetic materials on each boot, and it is placed on the boot positioning and fixed on it on it. Essence It includes a system for sending/receiving commands for particles. The optional land is electromagnetic waves or infrared rays, used to control the switch, and can include voice recognition equipment. Therefore, athletes with optional system configuration (including sets/boots and skateboards) can safely skate and glide in the best control. The system allows users to remove the circuit board from themselves fast, convenient, remote and autonomously without the need for automatic circuit board release systems that are not controlled by users.</v>
      </c>
      <c r="D4327" s="6" t="s">
        <v>12058</v>
      </c>
      <c r="E4327" s="4" t="str">
        <f ca="1">IFERROR(__xludf.DUMMYFUNCTION("GOOGLETRANSLATE(D4327,""auto"",""en"")"),"Used to fix the boots to an independent electromagnetic control system for skiing boards, skiing boards, etc.")</f>
        <v>Used to fix the boots to an independent electromagnetic control system for skiing boards, skiing boards, etc.</v>
      </c>
    </row>
    <row r="4328" spans="1:5" ht="15" x14ac:dyDescent="0.25">
      <c r="A4328" s="5" t="s">
        <v>12059</v>
      </c>
      <c r="B4328" s="6" t="s">
        <v>12060</v>
      </c>
      <c r="C4328" s="3" t="s">
        <v>12424</v>
      </c>
      <c r="D4328" s="6" t="s">
        <v>12061</v>
      </c>
      <c r="E4328" s="4" t="str">
        <f ca="1">IFERROR(__xludf.DUMMYFUNCTION("GOOGLETRANSLATE(D4328,""auto"",""en"")"),"Smart car driving safety circuit")</f>
        <v>Smart car driving safety circuit</v>
      </c>
    </row>
    <row r="4329" spans="1:5" ht="15" x14ac:dyDescent="0.25">
      <c r="A4329" s="5" t="s">
        <v>12062</v>
      </c>
      <c r="B4329" s="6" t="s">
        <v>12063</v>
      </c>
      <c r="C4329" s="3" t="str">
        <f ca="1">IFERROR(__xludf.DUMMYFUNCTION("GOOGLETRANSLATE(B4329,""auto"",""en"")"),"The present invention provides a system that makes the requirements of the talent that enables the talents that can give full play to the talents of talents to match the requirements of the entertainment production company with promising talents to increa"&amp;"se profits to increase profits.
  [Solution] A website management company stores a list of celebrities categorized on the server of Internet, including celebrities looking for jobs in the field of sports, entertainment and other fields. Establish a reco"&amp;"mmendation website. In addition, through talent recruitment and application acceptance, obtain the list of talents and digital data of the above videos and music content, and manage and operate the above -mentioned talent introduction website. The talent "&amp;"introduction website is to release the artist's images and music content through the Internet users through the Internet, and collect the image and music distribution methods for the booking and music content of the image and music content to the Internet"&amp;" users. . It is equipped with billing methods
  【Selection Figure】 Figure 1")</f>
        <v>The present invention provides a system that makes the requirements of the talent that enables the talents that can give full play to the talents of talents to match the requirements of the entertainment production company with promising talents to increase profits to increase profits.
  [Solution] A website management company stores a list of celebrities categorized on the server of Internet, including celebrities looking for jobs in the field of sports, entertainment and other fields. Establish a recommendation website. In addition, through talent recruitment and application acceptance, obtain the list of talents and digital data of the above videos and music content, and manage and operate the above -mentioned talent introduction website. The talent introduction website is to release the artist's images and music content through the Internet users through the Internet, and collect the image and music distribution methods for the booking and music content of the image and music content to the Internet users. . It is equipped with billing methods
  【Selection Figure】 Figure 1</v>
      </c>
      <c r="D4329" s="6" t="s">
        <v>12064</v>
      </c>
      <c r="E4329" s="4" t="str">
        <f ca="1">IFERROR(__xludf.DUMMYFUNCTION("GOOGLETRANSLATE(D4329,""auto"",""en"")"),"Talent recommendation system")</f>
        <v>Talent recommendation system</v>
      </c>
    </row>
    <row r="4330" spans="1:5" ht="15" x14ac:dyDescent="0.25">
      <c r="A4330" s="5" t="s">
        <v>12065</v>
      </c>
      <c r="B4330" s="6" t="s">
        <v>12066</v>
      </c>
      <c r="C4330" s="3" t="str">
        <f ca="1">IFERROR(__xludf.DUMMYFUNCTION("GOOGLETRANSLATE(B4330,""auto"",""en"")"),"In examples, a system for the Parimutuel game includes handbag systems, gateways, and at least one voice recognition unit and video or visual graphics server. Each voice recognition unit can be connected to a video that can be displayed or visual graphic "&amp;"image, and connects to Tot betrs through the voice of the betting person to convert the beta's voice into commands. Send the command to the TOTE system to receive the response to the command through the gateway to transform the response to audio messages,"&amp;" and send audio messages with video or visual graphics images to the betars. The system also includes the first high -speed network that connects the box system, gateway and video/visual graphics server; the second high -speed network will connect the gat"&amp;"eway and each voice recognition unit to the video/visual graphic server communication. This system can also be configured for sports gaming betting for any type of sports events, including but not limited to betting on boxing games, baseball, football, ba"&amp;"sketball and football games. The visual display of the event can display the video or visual graphic image of the betting game. This system can also be equipped with an electronic casino type game based on honeycomb telephones, including but not limited t"&amp;"o video slot machines, video poker, video twenty -one point, video wheel gambling, video Kino or other types of video games. The player's handheld game device or the video of the game that can be displayed or the mobile phone of the visual graphic image.")</f>
        <v>In examples, a system for the Parimutuel game includes handbag systems, gateways, and at least one voice recognition unit and video or visual graphics server. Each voice recognition unit can be connected to a video that can be displayed or visual graphic image, and connects to Tot betrs through the voice of the betting person to convert the beta's voice into commands. Send the command to the TOTE system to receive the response to the command through the gateway to transform the response to audio messages, and send audio messages with video or visual graphics images to the betars. The system also includes the first high -speed network that connects the box system, gateway and video/visual graphics server; the second high -speed network will connect the gateway and each voice recognition unit to the video/visual graphic server communication. This system can also be configured for sports gaming betting for any type of sports events, including but not limited to betting on boxing games, baseball, football, basketball and football games. The visual display of the event can display the video or visual graphic image of the betting game. This system can also be equipped with an electronic casino type game based on honeycomb telephones, including but not limited to video slot machines, video poker, video twenty -one point, video wheel gambling, video Kino or other types of video games. The player's handheld game device or the video of the game that can be displayed or the mobile phone of the visual graphic image.</v>
      </c>
      <c r="D4330" s="6" t="s">
        <v>12067</v>
      </c>
      <c r="E4330" s="4" t="str">
        <f ca="1">IFERROR(__xludf.DUMMYFUNCTION("GOOGLETRANSLATE(D4330,""auto"",""en"")"),"Voice -recognition video game")</f>
        <v>Voice -recognition video game</v>
      </c>
    </row>
    <row r="4331" spans="1:5" ht="15" x14ac:dyDescent="0.25">
      <c r="A4331" s="5" t="s">
        <v>12068</v>
      </c>
      <c r="B4331" s="6" t="s">
        <v>12069</v>
      </c>
      <c r="C4331" s="3" t="str">
        <f ca="1">IFERROR(__xludf.DUMMYFUNCTION("GOOGLETRANSLATE(B4331,""auto"",""en"")"),"Computer games based on racing usually include such a mode, one or more human players can compete with one or more computers. For example, human players can drive virtual racing with virtual racing and hypothetical virtual cars controlled by Mario Andrett"&amp;"i or other racers. Such a computer -controlled opponent can enhance the samples of the actual game behavior of the human subject into the opponent's artificial intelligence control system. This sample allows the behavior of the opponent controlled by the "&amp;"game system's personalized computer to simulate human subjects.")</f>
        <v>Computer games based on racing usually include such a mode, one or more human players can compete with one or more computers. For example, human players can drive virtual racing with virtual racing and hypothetical virtual cars controlled by Mario Andretti or other racers. Such a computer -controlled opponent can enhance the samples of the actual game behavior of the human subject into the opponent's artificial intelligence control system. This sample allows the behavior of the opponent controlled by the game system's personalized computer to simulate human subjects.</v>
      </c>
      <c r="D4331" s="6" t="s">
        <v>12070</v>
      </c>
      <c r="E4331" s="4" t="str">
        <f ca="1">IFERROR(__xludf.DUMMYFUNCTION("GOOGLETRANSLATE(D4331,""auto"",""en"")"),"Personalized behavior of computer -controlled virtual images in a virtual reality environment")</f>
        <v>Personalized behavior of computer -controlled virtual images in a virtual reality environment</v>
      </c>
    </row>
    <row r="4332" spans="1:5" ht="15" x14ac:dyDescent="0.25">
      <c r="A4332" s="5" t="s">
        <v>12071</v>
      </c>
      <c r="B4332" s="6" t="s">
        <v>12072</v>
      </c>
      <c r="C4332" s="3" t="str">
        <f ca="1">IFERROR(__xludf.DUMMYFUNCTION("GOOGLETRANSLATE(B4332,""auto"",""en"")"),"The purpose of the present invention is to provide intelligent layout and learning methods with three -dimensional effects in the case of the best use of two -dimensional display equipment. Although the display device provided 3 -dimensional effects provi"&amp;"ded by the screen provided by the two -dimensional display device is designed, it uses the same way and can achieve 3D three -dimensional effects. The process of controlling this effect of this effect is needed by operators. The inconvenience of the imbal"&amp;"ance of the three -dimensional effect is caused by using the device to watch the game or real -time 3D three -dimensional. Instead of experts who are not experts are limited in use. The invention involves the best conditions of 3D effects based on the use"&amp;"r's taste. The design is designed to eliminate this restriction and environmental conditions. And in the process of converting the two -dimensional image controlled by it to 3D, the introduction of intelligent technology into the method of selecting the c"&amp;"amera position is controlled by the best condition and provided by the best condition. At the same time, due to the different degrees of sensory effect on the three -dimensional images, it provides technologies that users can use, and ordinary people of n"&amp;"on -professionals can easily receive three -dimensional images. Get the effect of the required image under the best conditions. 3D image, three -dimensional effect, focal length, blur logic, neural circuit network.")</f>
        <v>The purpose of the present invention is to provide intelligent layout and learning methods with three -dimensional effects in the case of the best use of two -dimensional display equipment. Although the display device provided 3 -dimensional effects provided by the screen provided by the two -dimensional display device is designed, it uses the same way and can achieve 3D three -dimensional effects. The process of controlling this effect of this effect is needed by operators. The inconvenience of the imbalance of the three -dimensional effect is caused by using the device to watch the game or real -time 3D three -dimensional. Instead of experts who are not experts are limited in use. The invention involves the best conditions of 3D effects based on the user's taste. The design is designed to eliminate this restriction and environmental conditions. And in the process of converting the two -dimensional image controlled by it to 3D, the introduction of intelligent technology into the method of selecting the camera position is controlled by the best condition and provided by the best condition. At the same time, due to the different degrees of sensory effect on the three -dimensional images, it provides technologies that users can use, and ordinary people of non -professionals can easily receive three -dimensional images. Get the effect of the required image under the best conditions. 3D image, three -dimensional effect, focal length, blur logic, neural circuit network.</v>
      </c>
      <c r="D4332" s="6" t="s">
        <v>12073</v>
      </c>
      <c r="E4332" s="4" t="str">
        <f ca="1">IFERROR(__xludf.DUMMYFUNCTION("GOOGLETRANSLATE(D4332,""auto"",""en"")"),"Camera Location Intelligent Positioning Technology Optimization 3D Stereo Effect")</f>
        <v>Camera Location Intelligent Positioning Technology Optimization 3D Stereo Effect</v>
      </c>
    </row>
    <row r="4333" spans="1:5" ht="15" x14ac:dyDescent="0.25">
      <c r="A4333" s="5" t="s">
        <v>12074</v>
      </c>
      <c r="B4333" s="6" t="s">
        <v>12075</v>
      </c>
      <c r="C4333" s="3" t="str">
        <f ca="1">IFERROR(__xludf.DUMMYFUNCTION("GOOGLETRANSLATE(B4333,""auto"",""en"")"),"[Question] By providing an environment that provides an environment of imagination rotating or stopped by registered players to improve the operability of the voice command required before registering the game.
  Solution: By installing voice recognitio"&amp;"n equipment in the game machine (voice recognition engine 115), the operational instructions that start and stop rotating rolled roll rotation are given by the voice instead of hand, and control the rotation of the rotating scroll. I am willing. In additi"&amp;"on, it also provides an environment to record any voice command sent by players before the game, imagine rotation and stop. Further, the above -mentioned voice registration function and voice recognition device are installed on the child control board ins"&amp;"talled independently on the main control board.
  【Selection Figure】 Figure 7")</f>
        <v>[Question] By providing an environment that provides an environment of imagination rotating or stopped by registered players to improve the operability of the voice command required before registering the game.
  Solution: By installing voice recognition equipment in the game machine (voice recognition engine 115), the operational instructions that start and stop rotating rolled roll rotation are given by the voice instead of hand, and control the rotation of the rotating scroll. I am willing. In addition, it also provides an environment to record any voice command sent by players before the game, imagine rotation and stop. Further, the above -mentioned voice registration function and voice recognition device are installed on the child control board installed independently on the main control board.
  【Selection Figure】 Figure 7</v>
      </c>
      <c r="D4333" s="6" t="s">
        <v>12076</v>
      </c>
      <c r="E4333" s="4" t="str">
        <f ca="1">IFERROR(__xludf.DUMMYFUNCTION("GOOGLETRANSLATE(D4333,""auto"",""en"")"),"Gaming machine")</f>
        <v>Gaming machine</v>
      </c>
    </row>
    <row r="4334" spans="1:5" ht="15" x14ac:dyDescent="0.25">
      <c r="A4334" s="5" t="s">
        <v>12077</v>
      </c>
      <c r="B4334" s="6" t="s">
        <v>12078</v>
      </c>
      <c r="C4334" s="3" t="str">
        <f ca="1">IFERROR(__xludf.DUMMYFUNCTION("GOOGLETRANSLATE(B4334,""auto"",""en"")"),"Kind Code: A1 can conduct training like mentor -like instructor guidance when the mentor is not present.
  The skill training device of this embodiment is a training device for the left and right movement handle 21 to make the virtual inverted training."&amp;" Then, turn on the switch 14, cut off the output of the coach's neural network module (hereinafter referred to as the NC module) 11, and the operation of the trainee P at 22 at the coach T operation handle. Detective force sensor 23. Detecting the force s"&amp;"ensor of the second correction of the instructor T FT 24. The parser of the detection of the virtual inverted or lower end position 27, the learning module 15, update the NC module 11, so that the NC module 11 is calculated by the correction calculated. T"&amp;"he force signal FCS is close to the second correction power FT, and the modified power signal FCS calculated by the NC module 11 is applied to the trainee P. The first correction power FC was applied to it.
  【Selection Figure】 Figure 2")</f>
        <v>Kind Code: A1 can conduct training like mentor -like instructor guidance when the mentor is not present.
  The skill training device of this embodiment is a training device for the left and right movement handle 21 to make the virtual inverted training. Then, turn on the switch 14, cut off the output of the coach's neural network module (hereinafter referred to as the NC module) 11, and the operation of the trainee P at 22 at the coach T operation handle. Detective force sensor 23. Detecting the force sensor of the second correction of the instructor T FT 24. The parser of the detection of the virtual inverted or lower end position 27, the learning module 15, update the NC module 11, so that the NC module 11 is calculated by the correction calculated. The force signal FCS is close to the second correction power FT, and the modified power signal FCS calculated by the NC module 11 is applied to the trainee P. The first correction power FC was applied to it.
  【Selection Figure】 Figure 2</v>
      </c>
      <c r="D4334" s="6" t="s">
        <v>12079</v>
      </c>
      <c r="E4334" s="4" t="str">
        <f ca="1">IFERROR(__xludf.DUMMYFUNCTION("GOOGLETRANSLATE(D4334,""auto"",""en"")"),"Skill training device")</f>
        <v>Skill training device</v>
      </c>
    </row>
    <row r="4335" spans="1:5" ht="15" x14ac:dyDescent="0.25">
      <c r="A4335" s="5" t="s">
        <v>12080</v>
      </c>
      <c r="B4335" s="6" t="s">
        <v>12081</v>
      </c>
      <c r="C4335" s="3" t="str">
        <f ca="1">IFERROR(__xludf.DUMMYFUNCTION("GOOGLETRANSLATE(B4335,""auto"",""en"")"),"The invention involves an arcade dance game device using image recognition and dance game methods. CCD camera: Lighting Equipment: Bitmap Extract Program: Convert the image signal to the bitmap data through the extraction drawing program, and convert the "&amp;"image signal recognition of the CCD camera recognition into a bitmap data player through the callback function. Operation clearly identifies the operation of the player's operation and pixel color data and image output unit: sound output part: computer ga"&amp;"ming board: game software: Music recognition image Compare the synthetic game process image. And contains the game process of determining whether the player has a mobilization body recognition algorithm: the final score instruction step, with the festival"&amp;" and speed of the music in the game process, distinguish the image effect of the game and the acoustic effect of the game Directed Phase Moving Stage: Motion detection steps: Motion detection steps: Motion detection steps Step, according to the test test,"&amp;" judge whether the directional phase reaches the target, whether to sense the player's operation in the target area; the fourth step of the operation response step: the video synthesis output stage gives the game points and the mobile 5 direction in the d"&amp;"isplay screen 5 direction 5 directions in the screen. The above player's arms facing the directional phase of the scheduled target move. The lamary end the final score competition to determine the third step. : Video synthetic output stage determines the "&amp;"difficulty of the game as the first step in the video synthesis output stage: During the video synthetic output stage, it starts output to the screen. It is a CCD camera camera game for the image and game screen of the player. The invention uses the playe"&amp;"r to get high scores as the fifth step in the video synthesis output stage. Its advantage is to display the player's real image on the game through the CCD camera. Based on the position diagram algorithm clearly identify the player's operation and play th"&amp;"e game. In the dance game, while seeing the image of the game synthesized with your real image, you experience the virtual reality of the virtual space in the game and the virtual space in the game. And the game mode is instinct, because the operation of "&amp;"its own actual characters is controlled to control the game. Among them, the user does not use a separate game controller and shows it on the screen. Because of the input device of the army, the structure is simple, no external CCD camera is required. Jus"&amp;"t install it. In addition, the advantage of the present invention is that because of the use of the CCD camera, the processing speed of the image is faster. And through the image bit diagram analysis line presented in the present invention, you can quickl"&amp;"y and effectively perceive the user's motion mode. CCD cameras, dance games, somatosensory games, virtual reality games, human body recognition, video synthesis.")</f>
        <v>The invention involves an arcade dance game device using image recognition and dance game methods. CCD camera: Lighting Equipment: Bitmap Extract Program: Convert the image signal to the bitmap data through the extraction drawing program, and convert the image signal recognition of the CCD camera recognition into a bitmap data player through the callback function. Operation clearly identifies the operation of the player's operation and pixel color data and image output unit: sound output part: computer gaming board: game software: Music recognition image Compare the synthetic game process image. And contains the game process of determining whether the player has a mobilization body recognition algorithm: the final score instruction step, with the festival and speed of the music in the game process, distinguish the image effect of the game and the acoustic effect of the game Directed Phase Moving Stage: Motion detection steps: Motion detection steps: Motion detection steps Step, according to the test test, judge whether the directional phase reaches the target, whether to sense the player's operation in the target area; the fourth step of the operation response step: the video synthesis output stage gives the game points and the mobile 5 direction in the display screen 5 direction 5 directions in the screen. The above player's arms facing the directional phase of the scheduled target move. The lamary end the final score competition to determine the third step. : Video synthetic output stage determines the difficulty of the game as the first step in the video synthesis output stage: During the video synthetic output stage, it starts output to the screen. It is a CCD camera camera game for the image and game screen of the player. The invention uses the player to get high scores as the fifth step in the video synthesis output stage. Its advantage is to display the player's real image on the game through the CCD camera. Based on the position diagram algorithm clearly identify the player's operation and play the game. In the dance game, while seeing the image of the game synthesized with your real image, you experience the virtual reality of the virtual space in the game and the virtual space in the game. And the game mode is instinct, because the operation of its own actual characters is controlled to control the game. Among them, the user does not use a separate game controller and shows it on the screen. Because of the input device of the army, the structure is simple, no external CCD camera is required. Just install it. In addition, the advantage of the present invention is that because of the use of the CCD camera, the processing speed of the image is faster. And through the image bit diagram analysis line presented in the present invention, you can quickly and effectively perceive the user's motion mode. CCD cameras, dance games, somatosensory games, virtual reality games, human body recognition, video synthesis.</v>
      </c>
      <c r="D4335" s="6" t="s">
        <v>12082</v>
      </c>
      <c r="E4335" s="4" t="str">
        <f ca="1">IFERROR(__xludf.DUMMYFUNCTION("GOOGLETRANSLATE(D4335,""auto"",""en"")"),"Use image recognition arcade dance game installation and dance game method")</f>
        <v>Use image recognition arcade dance game installation and dance game method</v>
      </c>
    </row>
    <row r="4336" spans="1:5" ht="15" x14ac:dyDescent="0.25">
      <c r="A4336" s="5" t="s">
        <v>12083</v>
      </c>
      <c r="B4336" s="6" t="s">
        <v>11850</v>
      </c>
      <c r="C4336" s="3" t="str">
        <f ca="1">IFERROR(__xludf.DUMMYFUNCTION("GOOGLETRANSLATE(B4336,""auto"",""en"")"),"When students conduct sports activities, they show students' real -time camera images. Students can switch between his eyes to see his natural vision and real -time video images. In addition, teaching information can be superimposed on real -time video, t"&amp;"hereby enhancing the learning process.")</f>
        <v>When students conduct sports activities, they show students' real -time camera images. Students can switch between his eyes to see his natural vision and real -time video images. In addition, teaching information can be superimposed on real -time video, thereby enhancing the learning process.</v>
      </c>
      <c r="D4336" s="6" t="s">
        <v>12084</v>
      </c>
      <c r="E4336" s="4" t="str">
        <f ca="1">IFERROR(__xludf.DUMMYFUNCTION("GOOGLETRANSLATE(D4336,""auto"",""en"")"),"Video teaching systems and methods for teaching sports skills")</f>
        <v>Video teaching systems and methods for teaching sports skills</v>
      </c>
    </row>
    <row r="4337" spans="1:5" ht="15" x14ac:dyDescent="0.25">
      <c r="A4337" s="5" t="s">
        <v>12085</v>
      </c>
      <c r="B4337" s="6" t="s">
        <v>12086</v>
      </c>
      <c r="C4337" s="3" t="str">
        <f ca="1">IFERROR(__xludf.DUMMYFUNCTION("GOOGLETRANSLATE(B4337,""auto"",""en"")"),"A table of hockey robot system on the table, including: visual system to observe the location of the hockey on the desk; computer control system to process images collected by the visual system, predict the sphere motion trajectory, and control the moveme"&amp;"nt of the robot; Strike. On the one hand, this utility model can promote the development of this entertainment sports, and on the other hand, it can provide various research institutions with experimental platforms for developing image processing, human -"&amp;"computer interaction, learning, and intelligent control. This result can be used as a combination of sports and high -tech display platforms.")</f>
        <v>A table of hockey robot system on the table, including: visual system to observe the location of the hockey on the desk; computer control system to process images collected by the visual system, predict the sphere motion trajectory, and control the movement of the robot; Strike. On the one hand, this utility model can promote the development of this entertainment sports, and on the other hand, it can provide various research institutions with experimental platforms for developing image processing, human -computer interaction, learning, and intelligent control. This result can be used as a combination of sports and high -tech display platforms.</v>
      </c>
      <c r="D4337" s="6" t="s">
        <v>12087</v>
      </c>
      <c r="E4337" s="4" t="str">
        <f ca="1">IFERROR(__xludf.DUMMYFUNCTION("GOOGLETRANSLATE(D4337,""auto"",""en"")"),"Hockey robot system on the table")</f>
        <v>Hockey robot system on the table</v>
      </c>
    </row>
    <row r="4338" spans="1:5" ht="15" x14ac:dyDescent="0.25">
      <c r="A4338" s="5" t="s">
        <v>12088</v>
      </c>
      <c r="B4338" s="6" t="s">
        <v>12089</v>
      </c>
      <c r="C4338" s="3" t="str">
        <f ca="1">IFERROR(__xludf.DUMMYFUNCTION("GOOGLETRANSLATE(B4338,""auto"",""en"")"),"A table of hockey robot system on the table, including: visual system to observe the location of the hockey on the desk; computer control system to process images collected by the visual system, predict the sphere motion trajectory, and control the moveme"&amp;"nt of the robot; Strike. On the one hand, the present invention can promote the development of this entertainment sports, and on the other hand, it can provide various research institutions with testing platforms such as developing image processing, human"&amp;" -computer interaction, learning, and intelligent control. This result can be used as a combination of sports and high -tech display platforms.")</f>
        <v>A table of hockey robot system on the table, including: visual system to observe the location of the hockey on the desk; computer control system to process images collected by the visual system, predict the sphere motion trajectory, and control the movement of the robot; Strike. On the one hand, the present invention can promote the development of this entertainment sports, and on the other hand, it can provide various research institutions with testing platforms such as developing image processing, human -computer interaction, learning, and intelligent control. This result can be used as a combination of sports and high -tech display platforms.</v>
      </c>
      <c r="D4338" s="6" t="s">
        <v>12087</v>
      </c>
      <c r="E4338" s="4" t="str">
        <f ca="1">IFERROR(__xludf.DUMMYFUNCTION("GOOGLETRANSLATE(D4338,""auto"",""en"")"),"Hockey robot system on the table")</f>
        <v>Hockey robot system on the table</v>
      </c>
    </row>
    <row r="4339" spans="1:5" ht="15" x14ac:dyDescent="0.25">
      <c r="A4339" s="5" t="s">
        <v>12090</v>
      </c>
      <c r="B4339" s="6" t="s">
        <v>12091</v>
      </c>
      <c r="C4339" s="3" t="str">
        <f ca="1">IFERROR(__xludf.DUMMYFUNCTION("GOOGLETRANSLATE(B4339,""auto"",""en"")"),"The purpose of the present invention is to set the place name or facility name given by the call party as a destination.
  Solution: When the voice sent from the call side is received as a receiving voice, the car voice recognition system 1 identifies t"&amp;"he receiving voice and identifies the place name or facilities name (""○○ baseball field""). You can simply set the name or facility name given by the other party as a destination without data communication, thereby improving convenience.
  【Selection F"&amp;"igure】 Figure 1")</f>
        <v>The purpose of the present invention is to set the place name or facility name given by the call party as a destination.
  Solution: When the voice sent from the call side is received as a receiving voice, the car voice recognition system 1 identifies the receiving voice and identifies the place name or facilities name ("○○ baseball field"). You can simply set the name or facility name given by the other party as a destination without data communication, thereby improving convenience.
  【Selection Figure】 Figure 1</v>
      </c>
      <c r="D4339" s="6" t="s">
        <v>12092</v>
      </c>
      <c r="E4339" s="4" t="str">
        <f ca="1">IFERROR(__xludf.DUMMYFUNCTION("GOOGLETRANSLATE(D4339,""auto"",""en"")"),"Car Voice Recognition System")</f>
        <v>Car Voice Recognition System</v>
      </c>
    </row>
    <row r="4340" spans="1:5" ht="15" x14ac:dyDescent="0.25">
      <c r="A4340" s="5" t="s">
        <v>12093</v>
      </c>
      <c r="B4340" s="6" t="s">
        <v>12094</v>
      </c>
      <c r="C4340" s="3" t="str">
        <f ca="1">IFERROR(__xludf.DUMMYFUNCTION("GOOGLETRANSLATE(B4340,""auto"",""en"")"),"The present invention involves a portable query device using scanning data. It is not limited by location, which is convenient for carrying and round -trip, and accurately distinguish between wild wanted prisoners, fugitives, and deserters. In a short per"&amp;"iod of time, he was arrested and methods that were arrested by the identity card of the character. And this device transmits the results recognized by the character/number/image recognition part according to the control signal of MICOM to the central term"&amp;"inal. The Micom controls the overall operation of the internal and image input part. The residence permit, driver's license, social security card or other social status cards arrested, and perform character/digital/image recognition parts: Analyze the ima"&amp;"ges with an image input part and clearly identify characters/numbers/images, etc. And provide identification results related to Micom and Micom, and request the identification query of the arrested characters to provide the transceiver from the receiving "&amp;"identification query results and the central terminal UT part related to the input of MICOM, the display unit, and the control signal input. Enter the signature of the arrested person in the punishment whether the user enters various control signals or ma"&amp;"ke the device enter the operating mode, and the printed part of the printed parts include the fines including the fine -controlled signal. The display unit is based on Micom's control signal to display the operating status and identification query results"&amp;" of the device.")</f>
        <v>The present invention involves a portable query device using scanning data. It is not limited by location, which is convenient for carrying and round -trip, and accurately distinguish between wild wanted prisoners, fugitives, and deserters. In a short period of time, he was arrested and methods that were arrested by the identity card of the character. And this device transmits the results recognized by the character/number/image recognition part according to the control signal of MICOM to the central terminal. The Micom controls the overall operation of the internal and image input part. The residence permit, driver's license, social security card or other social status cards arrested, and perform character/digital/image recognition parts: Analyze the images with an image input part and clearly identify characters/numbers/images, etc. And provide identification results related to Micom and Micom, and request the identification query of the arrested characters to provide the transceiver from the receiving identification query results and the central terminal UT part related to the input of MICOM, the display unit, and the control signal input. Enter the signature of the arrested person in the punishment whether the user enters various control signals or make the device enter the operating mode, and the printed part of the printed parts include the fines including the fine -controlled signal. The display unit is based on Micom's control signal to display the operating status and identification query results of the device.</v>
      </c>
      <c r="D4340" s="6" t="s">
        <v>12095</v>
      </c>
      <c r="E4340" s="4" t="str">
        <f ca="1">IFERROR(__xludf.DUMMYFUNCTION("GOOGLETRANSLATE(D4340,""auto"",""en"")"),"Use a portable background inspection equipment and method of scanning data")</f>
        <v>Use a portable background inspection equipment and method of scanning data</v>
      </c>
    </row>
    <row r="4341" spans="1:5" ht="15" x14ac:dyDescent="0.25">
      <c r="A4341" s="5" t="s">
        <v>12096</v>
      </c>
      <c r="B4341" s="6" t="s">
        <v>12097</v>
      </c>
      <c r="C4341" s="3" t="str">
        <f ca="1">IFERROR(__xludf.DUMMYFUNCTION("GOOGLETRANSLATE(B4341,""auto"",""en"")"),"Kind Code: A1 can achieve multiple characters at the same time in the game where multiple characters such as simulation basketball games, such as simulation basketball games, without having to speak at the same time without sound. Provide a game device fo"&amp;"r the output sound of the game, the sound output method of using the game device, computer program and recording medium.
  The voice prompts that are used to record the voice recognition information of the voice recognition of the recognition role are l"&amp;"isted as a queue, for example, to ensure that 10 of each of each of the 10 basketball players (S101), when each character has a speech, During the opportunity, according to the attributes set in the voice recognition information in advance, determine whet"&amp;"her to record in the voice prompt (S108). After priority processing (S110), it records it into the voice prompt (S113) and output.
  【Selection Figure】 Figure 5")</f>
        <v>Kind Code: A1 can achieve multiple characters at the same time in the game where multiple characters such as simulation basketball games, such as simulation basketball games, without having to speak at the same time without sound. Provide a game device for the output sound of the game, the sound output method of using the game device, computer program and recording medium.
  The voice prompts that are used to record the voice recognition information of the voice recognition of the recognition role are listed as a queue, for example, to ensure that 10 of each of each of the 10 basketball players (S101), when each character has a speech, During the opportunity, according to the attributes set in the voice recognition information in advance, determine whether to record in the voice prompt (S108). After priority processing (S110), it records it into the voice prompt (S113) and output.
  【Selection Figure】 Figure 5</v>
      </c>
      <c r="D4341" s="6" t="s">
        <v>12098</v>
      </c>
      <c r="E4341" s="4" t="str">
        <f ca="1">IFERROR(__xludf.DUMMYFUNCTION("GOOGLETRANSLATE(D4341,""auto"",""en"")"),"Game devices, sound output methods and computer programs using game devices")</f>
        <v>Game devices, sound output methods and computer programs using game devices</v>
      </c>
    </row>
    <row r="4342" spans="1:5" ht="15" x14ac:dyDescent="0.25">
      <c r="A4342" s="5" t="s">
        <v>12099</v>
      </c>
      <c r="B4342" s="6" t="s">
        <v>12100</v>
      </c>
      <c r="C4342" s="3" t="str">
        <f ca="1">IFERROR(__xludf.DUMMYFUNCTION("GOOGLETRANSLATE(B4342,""auto"",""en"")"),"In the virtual reality environment, the behavior of a computer -controlled virtual vehicle can be more like humans by increasing the artificial intelligence driver's environmental stimulus (such as physical stimulus (such as the loss of tires and the loss"&amp;" of audio warning signals)). Smoke, virtual fatigue, weather changes, etc.) or ""visual"" stimulation (for example, a computer driver's virtual visual detection of turning or obstacles, environmental lighting, etc.). The response time can increase the lin"&amp;"e by introducing delays when receiving stimuli in the artificial intelligence motion control system, delayed by receiving control signals in a physical engine, or modifying the control signal to reduce the accuracy of its approximate regulations.")</f>
        <v>In the virtual reality environment, the behavior of a computer -controlled virtual vehicle can be more like humans by increasing the artificial intelligence driver's environmental stimulus (such as physical stimulus (such as the loss of tires and the loss of audio warning signals)). Smoke, virtual fatigue, weather changes, etc.) or "visual" stimulation (for example, a computer driver's virtual visual detection of turning or obstacles, environmental lighting, etc.). The response time can increase the line by introducing delays when receiving stimuli in the artificial intelligence motion control system, delayed by receiving control signals in a physical engine, or modifying the control signal to reduce the accuracy of its approximate regulations.</v>
      </c>
      <c r="D4342" s="6" t="s">
        <v>12101</v>
      </c>
      <c r="E4342" s="4" t="str">
        <f ca="1">IFERROR(__xludf.DUMMYFUNCTION("GOOGLETRANSLATE(D4342,""auto"",""en"")"),"Modify the movement control for the virtual reality environment")</f>
        <v>Modify the movement control for the virtual reality environment</v>
      </c>
    </row>
    <row r="4343" spans="1:5" ht="15" x14ac:dyDescent="0.25">
      <c r="A4343" s="5" t="s">
        <v>12102</v>
      </c>
      <c r="B4343" s="6" t="s">
        <v>11842</v>
      </c>
      <c r="C4343" s="3" t="str">
        <f ca="1">IFERROR(__xludf.DUMMYFUNCTION("GOOGLETRANSLATE(B4343,""auto"",""en"")"),"By using a hybrid model to determine the dynamic racing routes that artificial intelligence drivers must follow in the railway section, thereby enhancing the real sense of computer rivals in the car or sports -related games. This dynamic racing line may v"&amp;"ary from sections and circles, and roughly follow the ideal line with some changes. Therefore, throughout the competition, artificial intelligence drivers did not seem to drive completely according to the ideal route. Instead, in every section of the stad"&amp;"ium, the path of artificial intelligence driver can smoothly follow the racing line defined by the probability defined by at least one specified race line.")</f>
        <v>By using a hybrid model to determine the dynamic racing routes that artificial intelligence drivers must follow in the railway section, thereby enhancing the real sense of computer rivals in the car or sports -related games. This dynamic racing line may vary from sections and circles, and roughly follow the ideal line with some changes. Therefore, throughout the competition, artificial intelligence drivers did not seem to drive completely according to the ideal route. Instead, in every section of the stadium, the path of artificial intelligence driver can smoothly follow the racing line defined by the probability defined by at least one specified race line.</v>
      </c>
      <c r="D4343" s="6" t="s">
        <v>11767</v>
      </c>
      <c r="E4343" s="4" t="str">
        <f ca="1">IFERROR(__xludf.DUMMYFUNCTION("GOOGLETRANSLATE(D4343,""auto"",""en"")"),"The hybrid model of sports lines in the virtual reality environment")</f>
        <v>The hybrid model of sports lines in the virtual reality environment</v>
      </c>
    </row>
    <row r="4344" spans="1:5" ht="15" x14ac:dyDescent="0.25">
      <c r="A4344" s="5" t="s">
        <v>12103</v>
      </c>
      <c r="B4344" s="6" t="s">
        <v>12104</v>
      </c>
      <c r="C4344" s="3" t="str">
        <f ca="1">IFERROR(__xludf.DUMMYFUNCTION("GOOGLETRANSLATE(B4344,""auto"",""en"")"),"The simulation module (10) is based on the current relative position, vehicle and driver attributes of the vehicle, and the current game statistics of the vehicle to simulate the events that may occur during the warning, and compile the new statistics and"&amp;" attributes used in the recovery competition. Complete competition simulation options and some competition simulation options. For example, in the season mode, the simulation module simulation may occur during the game and compile statistics that can be u"&amp;"sed later, such as in the future competition, for season rankings. It can simulate complete competitions, or can simulate some competitions. For example, if users want to terminate the game before the end of the game, use compiled statistical data and a s"&amp;"et of new statistics to track the simulated competition events. Real world statistics are imported and used in some aspects. For example, the ranking of the real world, performance statistics, and attribute information are stored in the database, and as t"&amp;"he basis for artificial intelligence to control vehicle performance and artificial intelligence generate simulation results.")</f>
        <v>The simulation module (10) is based on the current relative position, vehicle and driver attributes of the vehicle, and the current game statistics of the vehicle to simulate the events that may occur during the warning, and compile the new statistics and attributes used in the recovery competition. Complete competition simulation options and some competition simulation options. For example, in the season mode, the simulation module simulation may occur during the game and compile statistics that can be used later, such as in the future competition, for season rankings. It can simulate complete competitions, or can simulate some competitions. For example, if users want to terminate the game before the end of the game, use compiled statistical data and a set of new statistics to track the simulated competition events. Real world statistics are imported and used in some aspects. For example, the ranking of the real world, performance statistics, and attribute information are stored in the database, and as the basis for artificial intelligence to control vehicle performance and artificial intelligence generate simulation results.</v>
      </c>
      <c r="D4344" s="6" t="s">
        <v>12105</v>
      </c>
      <c r="E4344" s="4" t="str">
        <f ca="1">IFERROR(__xludf.DUMMYFUNCTION("GOOGLETRANSLATE(D4344,""auto"",""en"")"),"Systems and methods used to simulate the game state changes that respond to interrupt conditions")</f>
        <v>Systems and methods used to simulate the game state changes that respond to interrupt conditions</v>
      </c>
    </row>
    <row r="4345" spans="1:5" ht="15" x14ac:dyDescent="0.25">
      <c r="A4345" s="5" t="s">
        <v>12106</v>
      </c>
      <c r="B4345" s="6" t="s">
        <v>12104</v>
      </c>
      <c r="C4345" s="3" t="str">
        <f ca="1">IFERROR(__xludf.DUMMYFUNCTION("GOOGLETRANSLATE(B4345,""auto"",""en"")"),"The simulation module (10) is based on the current relative position, vehicle and driver attributes of the vehicle, and the current game statistics of the vehicle to simulate the events that may occur during the warning, and compile the new statistics and"&amp;" attributes used in the recovery competition. Complete competition simulation options and some competition simulation options. For example, in the season mode, the simulation module simulation may occur during the game and compile statistics that can be u"&amp;"sed later, such as in the future competition, for season rankings. It can simulate complete competitions, or can simulate some competitions. For example, if users want to terminate the game before the end of the game, use compiled statistical data and a s"&amp;"et of new statistics to track the simulated competition events. Real world statistics are imported and used in some aspects. For example, the ranking of the real world, performance statistics, and attribute information are stored in the database, and as t"&amp;"he basis for artificial intelligence to control vehicle performance and artificial intelligence generate simulation results.")</f>
        <v>The simulation module (10) is based on the current relative position, vehicle and driver attributes of the vehicle, and the current game statistics of the vehicle to simulate the events that may occur during the warning, and compile the new statistics and attributes used in the recovery competition. Complete competition simulation options and some competition simulation options. For example, in the season mode, the simulation module simulation may occur during the game and compile statistics that can be used later, such as in the future competition, for season rankings. It can simulate complete competitions, or can simulate some competitions. For example, if users want to terminate the game before the end of the game, use compiled statistical data and a set of new statistics to track the simulated competition events. Real world statistics are imported and used in some aspects. For example, the ranking of the real world, performance statistics, and attribute information are stored in the database, and as the basis for artificial intelligence to control vehicle performance and artificial intelligence generate simulation results.</v>
      </c>
      <c r="D4345" s="6" t="s">
        <v>12107</v>
      </c>
      <c r="E4345" s="4" t="str">
        <f ca="1">IFERROR(__xludf.DUMMYFUNCTION("GOOGLETRANSLATE(D4345,""auto"",""en"")"),"It is used to respond to the system and method of simulation of the state of simulation of the condition of the interruption.")</f>
        <v>It is used to respond to the system and method of simulation of the state of simulation of the condition of the interruption.</v>
      </c>
    </row>
    <row r="4346" spans="1:5" ht="15" x14ac:dyDescent="0.25">
      <c r="A4346" s="5" t="s">
        <v>12108</v>
      </c>
      <c r="B4346" s="6" t="s">
        <v>11922</v>
      </c>
      <c r="C4346" s="3" t="str">
        <f ca="1">IFERROR(__xludf.DUMMYFUNCTION("GOOGLETRANSLATE(B4346,""auto"",""en"")"),"The embodiment of the present invention provides a method and device for wireless health monitoring systems, which is used to connect to the health monitoring equipment that can be used to enable the Internet (""WWD"") to interact with the health monitori"&amp;"ng equipment that can be a medical equipment. Diseases or health status. Equipment or other equipment related to health, such as fitness equipment. If necessary, WWD can use the optional accessories to connect to the general input/output port of WWD to di"&amp;"rectly connect to the health monitoring equipment by wired. Alternatively, WWD can be wirelessly connected to health monitoring equipment, such as infrared or radio frequency connection, including using protocols such as Bluetooth or 802.11. If necessary,"&amp;" the adapter can also be used in wireless connections. Users can also manually enter data to WWD, such as small keyboards, keyboards, touch pens or optional places through voice commands. Use the standard Internet agreement to transmit health -related dat"&amp;"a from WWD to the server. Software program calculation responses that can include server or artificial intelligence systems, and can further provide reviews from doctors or health experts. Users can interact with the server. For example, the server sends "&amp;"a response to WWD, and the user can answer the response or provide other information.")</f>
        <v>The embodiment of the present invention provides a method and device for wireless health monitoring systems, which is used to connect to the health monitoring equipment that can be used to enable the Internet ("WWD") to interact with the health monitoring equipment that can be a medical equipment. Diseases or health status. Equipment or other equipment related to health, such as fitness equipment. If necessary, WWD can use the optional accessories to connect to the general input/output port of WWD to directly connect to the health monitoring equipment by wired. Alternatively, WWD can be wirelessly connected to health monitoring equipment, such as infrared or radio frequency connection, including using protocols such as Bluetooth or 802.11. If necessary, the adapter can also be used in wireless connections. Users can also manually enter data to WWD, such as small keyboards, keyboards, touch pens or optional places through voice commands. Use the standard Internet agreement to transmit health -related data from WWD to the server. Software program calculation responses that can include server or artificial intelligence systems, and can further provide reviews from doctors or health experts. Users can interact with the server. For example, the server sends a response to WWD, and the user can answer the response or provide other information.</v>
      </c>
      <c r="D4346" s="6" t="s">
        <v>11804</v>
      </c>
      <c r="E4346" s="4" t="str">
        <f ca="1">IFERROR(__xludf.DUMMYFUNCTION("GOOGLETRANSLATE(D4346,""auto"",""en"")"),"Health and disease management methods and devices that combine patient data monitoring with wireless Internet connection")</f>
        <v>Health and disease management methods and devices that combine patient data monitoring with wireless Internet connection</v>
      </c>
    </row>
    <row r="4347" spans="1:5" ht="15" x14ac:dyDescent="0.25">
      <c r="A4347" s="5" t="s">
        <v>12109</v>
      </c>
      <c r="B4347" s="6" t="s">
        <v>12110</v>
      </c>
      <c r="C4347" s="3" t="str">
        <f ca="1">IFERROR(__xludf.DUMMYFUNCTION("GOOGLETRANSLATE(B4347,""auto"",""en"")"),"An image recognition device, which is used to identify the athlete's movement based on the content of the athletes in areas such as athletes such as athletes such as anecdotes such as obstacles. Part of the players in the competition from the content, hid"&amp;"e the state judgment unit, and use to determine whether the use tools that move between regions and use as scoring objects are in the hidden state of the hidden state of the scheduled object. Determine the hiding time of the hidden start time of the hidde"&amp;"n tool hidden and the hidden stop time of the hidden stop judgment based on the hidden state to determine the time of the use of tools, the rules information storage part, where the rules and information of the movement of the motion, and the image conten"&amp;"t recognition of the image content identification In part, the image content used to identify the video information obtained by the video information obtained by the video information is used to identify the video information obtained by the video informa"&amp;"tion. Rules information.")</f>
        <v>An image recognition device, which is used to identify the athlete's movement based on the content of the athletes in areas such as athletes such as athletes such as anecdotes such as obstacles. Part of the players in the competition from the content, hide the state judgment unit, and use to determine whether the use tools that move between regions and use as scoring objects are in the hidden state of the hidden state of the scheduled object. Determine the hiding time of the hidden start time of the hidden tool hidden and the hidden stop time of the hidden stop judgment based on the hidden state to determine the time of the use of tools, the rules information storage part, where the rules and information of the movement of the motion, and the image content recognition of the image content identification In part, the image content used to identify the video information obtained by the video information obtained by the video information is used to identify the video information obtained by the video information. Rules information.</v>
      </c>
      <c r="D4347" s="6" t="s">
        <v>12111</v>
      </c>
      <c r="E4347" s="4" t="str">
        <f ca="1">IFERROR(__xludf.DUMMYFUNCTION("GOOGLETRANSLATE(D4347,""auto"",""en"")"),"Image recognition system and image recognition program")</f>
        <v>Image recognition system and image recognition program</v>
      </c>
    </row>
    <row r="4348" spans="1:5" ht="15" x14ac:dyDescent="0.25">
      <c r="A4348" s="5" t="s">
        <v>12112</v>
      </c>
      <c r="B4348" s="6" t="s">
        <v>12113</v>
      </c>
      <c r="C4348" s="3" t="str">
        <f ca="1">IFERROR(__xludf.DUMMYFUNCTION("GOOGLETRANSLATE(B4348,""auto"",""en"")"),"A image recognition device is used to identify the athlete's movements based on the content of the movement of the athletes such as the athletes such as the athletes, including the video information acquisition department used to obtain video information "&amp;"for the athletes that represent athletes. The hidden state judgment unit is used to determine whether the use tools that move between regions and serve as score objects are in the hidden state of the predetermined object. Starting time and judgment to sto"&amp;"p hidden stop time Determine the time of the use of tool hits, the rules information storage part, where the storage related movement information information, and the image content recognition part, used to identify the image content of the actions includ"&amp;"ing athlete representatives, is based on the reason for the reason. The video information obtained by the video information, the location of the use tool for the use time of the hits of the time information determined by the hit time information, and the "&amp;"rules information stored in the rules information storage part, will be sent by the video information.")</f>
        <v>A image recognition device is used to identify the athlete's movements based on the content of the movement of the athletes such as the athletes such as the athletes, including the video information acquisition department used to obtain video information for the athletes that represent athletes. The hidden state judgment unit is used to determine whether the use tools that move between regions and serve as score objects are in the hidden state of the predetermined object. Starting time and judgment to stop hidden stop time Determine the time of the use of tool hits, the rules information storage part, where the storage related movement information information, and the image content recognition part, used to identify the image content of the actions including athlete representatives, is based on the reason for the reason. The video information obtained by the video information, the location of the use tool for the use time of the hits of the time information determined by the hit time information, and the rules information stored in the rules information storage part, will be sent by the video information.</v>
      </c>
      <c r="D4348" s="6" t="s">
        <v>10226</v>
      </c>
      <c r="E4348" s="4" t="str">
        <f ca="1">IFERROR(__xludf.DUMMYFUNCTION("GOOGLETRANSLATE(D4348,""auto"",""en"")"),"Image recognition device and image recognition program")</f>
        <v>Image recognition device and image recognition program</v>
      </c>
    </row>
    <row r="4349" spans="1:5" ht="15" x14ac:dyDescent="0.25">
      <c r="A4349" s="5" t="s">
        <v>12114</v>
      </c>
      <c r="B4349" s="6" t="s">
        <v>12115</v>
      </c>
      <c r="C4349" s="3" t="str">
        <f ca="1">IFERROR(__xludf.DUMMYFUNCTION("GOOGLETRANSLATE(B4349,""auto"",""en"")"),"An image recognition device is used to identify the athlete's athletes from the content of sports competitions between the regions such as the recording of the obstacles, and obtain the video information of the athlete's movement during the competition. V"&amp;"ideo information acquisition unit; hidden state determines whether the tools used to move and score between regions are in a unit where the tools used in the scheduled target object are hidden by the target object; The judgment unit judgment is the hiding"&amp;" time and judgment of the hidden start time of the equipment in the hidden use as the hidden start time of the hidden removal time; and the rules stored in the rule information storage unit, the video information obtained by the video information acquisit"&amp;"ion unit, the strike from the strike The tool location of the ball time information specified unit when hitting the ball, as well as the player used by the rules information storage unit and image content recognition unit based on the image content of the"&amp;" image content, which are used to identify the image content of the image content.")</f>
        <v>An image recognition device is used to identify the athlete's athletes from the content of sports competitions between the regions such as the recording of the obstacles, and obtain the video information of the athlete's movement during the competition. Video information acquisition unit; hidden state determines whether the tools used to move and score between regions are in a unit where the tools used in the scheduled target object are hidden by the target object; The judgment unit judgment is the hiding time and judgment of the hidden start time of the equipment in the hidden use as the hidden start time of the hidden removal time; and the rules stored in the rule information storage unit, the video information obtained by the video information acquisition unit, the strike from the strike The tool location of the ball time information specified unit when hitting the ball, as well as the player used by the rules information storage unit and image content recognition unit based on the image content of the image content, which are used to identify the image content of the image content.</v>
      </c>
      <c r="D4349" s="6" t="s">
        <v>10229</v>
      </c>
      <c r="E4349" s="4" t="str">
        <f ca="1">IFERROR(__xludf.DUMMYFUNCTION("GOOGLETRANSLATE(D4349,""auto"",""en"")"),"Image recognition device and image recognition program")</f>
        <v>Image recognition device and image recognition program</v>
      </c>
    </row>
    <row r="4350" spans="1:5" ht="15" x14ac:dyDescent="0.25">
      <c r="A4350" s="5" t="s">
        <v>12116</v>
      </c>
      <c r="B4350" s="6" t="s">
        <v>12117</v>
      </c>
      <c r="C4350" s="3" t="str">
        <f ca="1">IFERROR(__xludf.DUMMYFUNCTION("GOOGLETRANSLATE(B4350,""auto"",""en"")"),"An image recognition system, which is based on the contents of the campaign divided by obstacles such as the network and other obstacles to identify the athlete's action. The image recognition system includes the visual information acquisition part. Get t"&amp;"he visual information of the athletes showing athletes during the game. Content, determine whether the use of materials such as balls such as balls such as balls such as balls in the area is determined by the obscure state of the predetermined object, and"&amp;" specify the materials that are determined by the determined part of the determined part of the use of the blocking state information. The blocking time of the occlusion of the object when the object is hidden and the obstruction and release time of the m"&amp;"aterial used when the material used to determine the material used to specify the part of the time when the ingredients used by the hits are released from the blocking state. Information T and image content recognition part. The image content recognition "&amp;"part is based on the visual information obtained from the visual information acquisition part. The recognition of the image content of the action of the player displayed by the visual information. Regulations in the information storage part.")</f>
        <v>An image recognition system, which is based on the contents of the campaign divided by obstacles such as the network and other obstacles to identify the athlete's action. The image recognition system includes the visual information acquisition part. Get the visual information of the athletes showing athletes during the game. Content, determine whether the use of materials such as balls such as balls such as balls such as balls in the area is determined by the obscure state of the predetermined object, and specify the materials that are determined by the determined part of the determined part of the use of the blocking state information. The blocking time of the occlusion of the object when the object is hidden and the obstruction and release time of the material used when the material used to determine the material used to specify the part of the time when the ingredients used by the hits are released from the blocking state. Information T and image content recognition part. The image content recognition part is based on the visual information obtained from the visual information acquisition part. The recognition of the image content of the action of the player displayed by the visual information. Regulations in the information storage part.</v>
      </c>
      <c r="D4350" s="6" t="s">
        <v>10226</v>
      </c>
      <c r="E4350" s="4" t="str">
        <f ca="1">IFERROR(__xludf.DUMMYFUNCTION("GOOGLETRANSLATE(D4350,""auto"",""en"")"),"Image recognition device and image recognition program")</f>
        <v>Image recognition device and image recognition program</v>
      </c>
    </row>
    <row r="4351" spans="1:5" ht="15" x14ac:dyDescent="0.25">
      <c r="A4351" s="5" t="s">
        <v>12118</v>
      </c>
      <c r="B4351" s="6" t="s">
        <v>12119</v>
      </c>
      <c r="C4351" s="3" t="str">
        <f ca="1">IFERROR(__xludf.DUMMYFUNCTION("GOOGLETRANSLATE(B4351,""auto"",""en"")"),"A image recognition device, which is characterized by the content of the competition in the area that contains the players in the area such as the Internet and other obstacles, and identifies the actions of the player. Information obtaining department. Fr"&amp;"om the content of the contestant, the player in the competition, the hidden state judgment unit, is used to determine whether the use tool that is moving between regions and as a scoring object is in the hidden state of the predetermined object. The hidde"&amp;"n state judgment part of the judgment of the hidden time of the hidden start time and the hidden stop time of the hidden stop judgment to determine the time of the use of the tool hits, the rules information storage part, where the rules information infor"&amp;"mation of the motion, and the image content recognition part is used to identify it for identification The image content including athletes represents the video information obtained by the video information obtained by the video information, the use tools"&amp;" determined by the time information determined by the time information, and the rules of the rules stored in the storage part of the rules information storage part.")</f>
        <v>A image recognition device, which is characterized by the content of the competition in the area that contains the players in the area such as the Internet and other obstacles, and identifies the actions of the player. Information obtaining department. From the content of the contestant, the player in the competition, the hidden state judgment unit, is used to determine whether the use tool that is moving between regions and as a scoring object is in the hidden state of the predetermined object. The hidden state judgment part of the judgment of the hidden time of the hidden start time and the hidden stop time of the hidden stop judgment to determine the time of the use of the tool hits, the rules information storage part, where the rules information information of the motion, and the image content recognition part is used to identify it for identification The image content including athletes represents the video information obtained by the video information obtained by the video information, the use tools determined by the time information determined by the time information, and the rules of the rules stored in the storage part of the rules information storage part.</v>
      </c>
      <c r="D4351" s="6" t="s">
        <v>10226</v>
      </c>
      <c r="E4351" s="4" t="str">
        <f ca="1">IFERROR(__xludf.DUMMYFUNCTION("GOOGLETRANSLATE(D4351,""auto"",""en"")"),"Image recognition device and image recognition program")</f>
        <v>Image recognition device and image recognition program</v>
      </c>
    </row>
    <row r="4352" spans="1:5" ht="15" x14ac:dyDescent="0.25">
      <c r="A4352" s="5" t="s">
        <v>12120</v>
      </c>
      <c r="B4352" s="6" t="s">
        <v>12121</v>
      </c>
      <c r="C4352" s="3" t="str">
        <f ca="1">IFERROR(__xludf.DUMMYFUNCTION("GOOGLETRANSLATE(B4352,""auto"",""en"")"),"Shower room, mini swimming pool, spa or vortex bathtub include software modules for speech recognition, control modules that send control signals based on recognized voice, and integrated hardware, mini swimming pools, spa or vortexes for connecting contr"&amp;"ol modules and shower room controls and shower room controls. tub.")</f>
        <v>Shower room, mini swimming pool, spa or vortex bathtub include software modules for speech recognition, control modules that send control signals based on recognized voice, and integrated hardware, mini swimming pools, spa or vortexes for connecting control modules and shower room controls and shower room controls. tub.</v>
      </c>
      <c r="D4352" s="6" t="s">
        <v>12122</v>
      </c>
      <c r="E4352" s="4" t="str">
        <f ca="1">IFERROR(__xludf.DUMMYFUNCTION("GOOGLETRANSLATE(D4352,""auto"",""en"")"),"Sound control shower room, mini swimming pool, spa or vortex bathtub with voice recognition software modules, control modules and integrated hardware to send control signals according to recognition voice")</f>
        <v>Sound control shower room, mini swimming pool, spa or vortex bathtub with voice recognition software modules, control modules and integrated hardware to send control signals according to recognition voice</v>
      </c>
    </row>
    <row r="4353" spans="1:5" ht="15" x14ac:dyDescent="0.25">
      <c r="A4353" s="5" t="s">
        <v>12123</v>
      </c>
      <c r="B4353" s="6" t="s">
        <v>12124</v>
      </c>
      <c r="C4353" s="3" t="str">
        <f ca="1">IFERROR(__xludf.DUMMYFUNCTION("GOOGLETRANSLATE(B4353,""auto"",""en"")"),"The invention involves the driver control device of the treadmill. More specifically, a treadmill driver control device involving the use of the voice recognition system, which can perform the driver, pause, tilting corner modulation and rate control of t"&amp;"he treadmill. Using voice instructions, safety accidents can be prevented through simple voice instructions. A treadmill that controls the slope and transition speed through the key range, which is set in the running control unit on one side with a treadm"&amp;"ill driver control device using the Voice recognition system of the present invention. Running control unit (30). The audio signal of the running machine operation/function control is to convert the operating control of the runner and various functional c"&amp;"ontrol to a microphone (40), and generate the audio signal of the runner operation/function control through the voice requested by the user request. (60) Convert an analog signal to the audio signal of the amplifier (50), amplify the audio signal used for"&amp;" running machine operation/function control from the microphone (40) input to the scheduled size, and amplify from the amplifier (50) to the input to the input The fixed level to the treadmill operation/functional control of the digital signal and the dig"&amp;"ital signals entered from the A/D conversion part (60) are divided into a signal (frame) syringic of the short unit. The characteristics of the audio signal frame of the sound interval extraction unit (70), only the frame operating/functional control of t"&amp;"he treadmill/functional control (70) that the real audio occurs in each frame and detects the frame input from the extraction unit (70) in each frame. Including the control method (120) and control unit (140) of the inclination angle -driven driver contro"&amp;"l the function of the corresponding standard mode signal with a standard mode signal storage (90) and feature matching, and the most similar to the test mode signal. The feature detection part (80), the test mode signal and the test mode signal input from"&amp;" the feature detection part (80) are processed to the operating/function control signal corresponding to the matching part (100). Extract and enter the corresponding standard mode signal in the matching block (100). Treadmill, voice recognition, control e"&amp;"xecution, mode, matching, detection, DTW.")</f>
        <v>The invention involves the driver control device of the treadmill. More specifically, a treadmill driver control device involving the use of the voice recognition system, which can perform the driver, pause, tilting corner modulation and rate control of the treadmill. Using voice instructions, safety accidents can be prevented through simple voice instructions. A treadmill that controls the slope and transition speed through the key range, which is set in the running control unit on one side with a treadmill driver control device using the Voice recognition system of the present invention. Running control unit (30). The audio signal of the running machine operation/function control is to convert the operating control of the runner and various functional control to a microphone (40), and generate the audio signal of the runner operation/function control through the voice requested by the user request. (60) Convert an analog signal to the audio signal of the amplifier (50), amplify the audio signal used for running machine operation/function control from the microphone (40) input to the scheduled size, and amplify from the amplifier (50) to the input to the input The fixed level to the treadmill operation/functional control of the digital signal and the digital signals entered from the A/D conversion part (60) are divided into a signal (frame) syringic of the short unit. The characteristics of the audio signal frame of the sound interval extraction unit (70), only the frame operating/functional control of the treadmill/functional control (70) that the real audio occurs in each frame and detects the frame input from the extraction unit (70) in each frame. Including the control method (120) and control unit (140) of the inclination angle -driven driver control the function of the corresponding standard mode signal with a standard mode signal storage (90) and feature matching, and the most similar to the test mode signal. The feature detection part (80), the test mode signal and the test mode signal input from the feature detection part (80) are processed to the operating/function control signal corresponding to the matching part (100). Extract and enter the corresponding standard mode signal in the matching block (100). Treadmill, voice recognition, control execution, mode, matching, detection, DTW.</v>
      </c>
      <c r="D4353" s="6" t="s">
        <v>12125</v>
      </c>
      <c r="E4353" s="4" t="str">
        <f ca="1">IFERROR(__xludf.DUMMYFUNCTION("GOOGLETRANSLATE(D4353,""auto"",""en"")"),"Treadmill drive control device with a voice recognition system")</f>
        <v>Treadmill drive control device with a voice recognition system</v>
      </c>
    </row>
    <row r="4354" spans="1:5" ht="15" x14ac:dyDescent="0.25">
      <c r="A4354" s="5" t="s">
        <v>12126</v>
      </c>
      <c r="B4354" s="6" t="s">
        <v>12127</v>
      </c>
      <c r="C4354" s="3" t="str">
        <f ca="1">IFERROR(__xludf.DUMMYFUNCTION("GOOGLETRANSLATE(B4354,""auto"",""en"")"),"Kind Code: A1 does not use audio information in the content to build content methods, especially the wonderful scenes of sports broadcasting more accurately and effectively.
  A voice recognition device is used to extract the words by reference the prio"&amp;"r acoustic model and language model to perform the input voice recognition, as well as the keywords that match the keywords of the important scenarios in the extracted word. And important scenario detection devices are used to detect scenes with audio pow"&amp;"er that exceeds the predetermined threshold in words that match the keywords.
  【Selection Figure】 Figure 1")</f>
        <v>Kind Code: A1 does not use audio information in the content to build content methods, especially the wonderful scenes of sports broadcasting more accurately and effectively.
  A voice recognition device is used to extract the words by reference the prior acoustic model and language model to perform the input voice recognition, as well as the keywords that match the keywords of the important scenarios in the extracted word. And important scenario detection devices are used to detect scenes with audio power that exceeds the predetermined threshold in words that match the keywords.
  【Selection Figure】 Figure 1</v>
      </c>
      <c r="D4354" s="6" t="s">
        <v>12128</v>
      </c>
      <c r="E4354" s="4" t="str">
        <f ca="1">IFERROR(__xludf.DUMMYFUNCTION("GOOGLETRANSLATE(D4354,""auto"",""en"")"),"Highlight Scenario detection system")</f>
        <v>Highlight Scenario detection system</v>
      </c>
    </row>
    <row r="4355" spans="1:5" ht="15" x14ac:dyDescent="0.25">
      <c r="A4355" s="5" t="s">
        <v>12129</v>
      </c>
      <c r="B4355" s="6" t="s">
        <v>12130</v>
      </c>
      <c r="C4355" s="3" t="str">
        <f ca="1">IFERROR(__xludf.DUMMYFUNCTION("GOOGLETRANSLATE(B4355,""auto"",""en"")"),"The present invention proposes a customized event recommendation system and method. More specifically, according to the system of the present invention, including: (a) user terminal input/output module, forming a network interface for communication with t"&amp;"he user terminal; (b) Personal data and schedule management modules to build through the user terminal input /Output module databases from the personal information and schedule information entered by the user terminal; (C) The schedule information built i"&amp;"n the database is used to calculate the list of incident information that does not conflict with the user schedule from the constructed event database. Personal information built in the database using the database, calculate the appropriate event recommen"&amp;"dation based on personal information, obtain each adaptation value based on personal information items, and reflect the pre -determined pre -determined budget weight ratio to each adaptation value. Then calculate the standard information list of the custo"&amp;"mized event information in turn; (d) the event information sending module is used to send the custom event information list to the user terminal through the communication network.")</f>
        <v>The present invention proposes a customized event recommendation system and method. More specifically, according to the system of the present invention, including: (a) user terminal input/output module, forming a network interface for communication with the user terminal; (b) Personal data and schedule management modules to build through the user terminal input /Output module databases from the personal information and schedule information entered by the user terminal; (C) The schedule information built in the database is used to calculate the list of incident information that does not conflict with the user schedule from the constructed event database. Personal information built in the database using the database, calculate the appropriate event recommendation based on personal information, obtain each adaptation value based on personal information items, and reflect the pre -determined pre -determined budget weight ratio to each adaptation value. Then calculate the standard information list of the customized event information in turn; (d) the event information sending module is used to send the custom event information list to the user terminal through the communication network.</v>
      </c>
      <c r="D4355" s="6" t="s">
        <v>12131</v>
      </c>
      <c r="E4355" s="4" t="str">
        <f ca="1">IFERROR(__xludf.DUMMYFUNCTION("GOOGLETRANSLATE(D4355,""auto"",""en"")"),"Customized event recommendation system and method")</f>
        <v>Customized event recommendation system and method</v>
      </c>
    </row>
    <row r="4356" spans="1:5" ht="15" x14ac:dyDescent="0.25">
      <c r="A4356" s="5" t="s">
        <v>12132</v>
      </c>
      <c r="B4356" s="6" t="s">
        <v>12133</v>
      </c>
      <c r="C4356" s="3" t="str">
        <f ca="1">IFERROR(__xludf.DUMMYFUNCTION("GOOGLETRANSLATE(B4356,""auto"",""en"")"),"A robot that can provide information that can be stored and uses storage to control its drive in various ways. Robots can be provided in the form of robots. It recognizes external objects through certain detection methods, especially another robot and com"&amp;"municates with it. It calculates the corresponding information and reflects it in subsequent driving. In addition, through continuous calculation and accumulation of information obtained, and reflect the results into the driver of the robot, it can improv"&amp;"e the artificial intelligence of the robot, thereby increasing the driver control of the robot. In order to provide robots with the above characteristics, the robots of the present invention include detection devices used to detect physical information fr"&amp;"om external physical information, communication devices including sending devices and/or receiving devices, information detected by the detection device, for storing one or one or one or one or one or one or one or or The transmission or storage device of"&amp;" multiple received information, the control device for the driver and operation of the information control robot based on the information control device stored in the storage device, and the driving device controlled by the control device. Reflect it to t"&amp;"he robot's follow -up driver. This configuration of the robot is particularly suitable for two or more robots competing for fighting robots. By achieving such robot devices, a robot can be provided. The results of the game are easily recognized without da"&amp;"maging the robot. The operation of the robot can be controlled in many ways, and the information obtained by the robot is real. After calculating the results, you can also reflect on driving and constantly calculate the accumulation information to improve"&amp;" the artificial intelligence of the robot. In addition, the present invention can provide a control method to achieve competition and/or training mode by using robot devices as competition robots.")</f>
        <v>A robot that can provide information that can be stored and uses storage to control its drive in various ways. Robots can be provided in the form of robots. It recognizes external objects through certain detection methods, especially another robot and communicates with it. It calculates the corresponding information and reflects it in subsequent driving. In addition, through continuous calculation and accumulation of information obtained, and reflect the results into the driver of the robot, it can improve the artificial intelligence of the robot, thereby increasing the driver control of the robot. In order to provide robots with the above characteristics, the robots of the present invention include detection devices used to detect physical information from external physical information, communication devices including sending devices and/or receiving devices, information detected by the detection device, for storing one or one or one or one or one or one or one or or The transmission or storage device of multiple received information, the control device for the driver and operation of the information control robot based on the information control device stored in the storage device, and the driving device controlled by the control device. Reflect it to the robot's follow -up driver. This configuration of the robot is particularly suitable for two or more robots competing for fighting robots. By achieving such robot devices, a robot can be provided. The results of the game are easily recognized without damaging the robot. The operation of the robot can be controlled in many ways, and the information obtained by the robot is real. After calculating the results, you can also reflect on driving and constantly calculate the accumulation information to improve the artificial intelligence of the robot. In addition, the present invention can provide a control method to achieve competition and/or training mode by using robot devices as competition robots.</v>
      </c>
      <c r="D4356" s="6" t="s">
        <v>12134</v>
      </c>
      <c r="E4356" s="4" t="str">
        <f ca="1">IFERROR(__xludf.DUMMYFUNCTION("GOOGLETRANSLATE(D4356,""auto"",""en"")"),"Fighting robot device and its control method")</f>
        <v>Fighting robot device and its control method</v>
      </c>
    </row>
    <row r="4357" spans="1:5" ht="15" x14ac:dyDescent="0.25">
      <c r="A4357" s="5" t="s">
        <v>12135</v>
      </c>
      <c r="B4357" s="6" t="s">
        <v>12136</v>
      </c>
      <c r="C4357" s="3" t="str">
        <f ca="1">IFERROR(__xludf.DUMMYFUNCTION("GOOGLETRANSLATE(B4357,""auto"",""en"")"),"Kind Code: A1 can add subtitles to the audio to add subtitles with audio with audience sound background noise for sports broadcasting, and character data correction devices, methods and likes for character data correction devices for the implementation of"&amp;" this method. Provide a program.
  When the string obtained by converting the content of the program into text data is not matched with the voice data, the character data correction equipment 50 is the operator 50 to indicate the string through the erro"&amp;"r instruction device 52A. Therefore, the correction unit set by the correction unit 55B becomes a correction object of the string, and the text data correction unit 52B inputs the correct string as a subtitle output.
  【Selection Figure】 Figure 2")</f>
        <v>Kind Code: A1 can add subtitles to the audio to add subtitles with audio with audience sound background noise for sports broadcasting, and character data correction devices, methods and likes for character data correction devices for the implementation of this method. Provide a program.
  When the string obtained by converting the content of the program into text data is not matched with the voice data, the character data correction equipment 50 is the operator 50 to indicate the string through the error instruction device 52A. Therefore, the correction unit set by the correction unit 55B becomes a correction object of the string, and the text data correction unit 52B inputs the correct string as a subtitle output.
  【Selection Figure】 Figure 2</v>
      </c>
      <c r="D4357" s="6" t="s">
        <v>12137</v>
      </c>
      <c r="E4357" s="4" t="str">
        <f ca="1">IFERROR(__xludf.DUMMYFUNCTION("GOOGLETRANSLATE(D4357,""auto"",""en"")"),"Character data correction device, its methods, programs and subtitle generation methods")</f>
        <v>Character data correction device, its methods, programs and subtitle generation methods</v>
      </c>
    </row>
    <row r="4358" spans="1:5" ht="15" x14ac:dyDescent="0.25">
      <c r="A4358" s="5" t="s">
        <v>12138</v>
      </c>
      <c r="B4358" s="6" t="s">
        <v>12139</v>
      </c>
      <c r="C4358" s="3" t="str">
        <f ca="1">IFERROR(__xludf.DUMMYFUNCTION("GOOGLETRANSLATE(B4358,""auto"",""en"")"),"The present invention involves a mobile communication terminal and its control methods with free -term free functions. Specifically, by providing voice recognition and unreasonable functions for mobile communication terminals, users can do and do not need"&amp;" to call by hand and receiving driving. The purpose is to achieve communication. To this end, the present invention provides a key input unit 110 for input phone numbers, setting -free functions, and key -related keys input and call -related keys. Free mo"&amp;"de and overall operation of phone calls. In the control, confirming the user's voice input to the microphone 140, guiding the other party's name or phone number through voice before calling or calling, and calling for the user's voice input related to cal"&amp;"l permits. The micro -computer 120 is provided to terminate the call by the call to terminate the relevant voice input, and performs the call refusal to the call refusal to respond to the call refusal to respond to the other party's call refusal to respon"&amp;"d.")</f>
        <v>The present invention involves a mobile communication terminal and its control methods with free -term free functions. Specifically, by providing voice recognition and unreasonable functions for mobile communication terminals, users can do and do not need to call by hand and receiving driving. The purpose is to achieve communication. To this end, the present invention provides a key input unit 110 for input phone numbers, setting -free functions, and key -related keys input and call -related keys. Free mode and overall operation of phone calls. In the control, confirming the user's voice input to the microphone 140, guiding the other party's name or phone number through voice before calling or calling, and calling for the user's voice input related to call permits. The micro -computer 120 is provided to terminate the call by the call to terminate the relevant voice input, and performs the call refusal to the call refusal to respond to the call refusal to respond to the other party's call refusal to respond.</v>
      </c>
      <c r="D4358" s="6" t="s">
        <v>12140</v>
      </c>
      <c r="E4358" s="4" t="str">
        <f ca="1">IFERROR(__xludf.DUMMYFUNCTION("GOOGLETRANSLATE(D4358,""auto"",""en"")"),"Mobile communication terminals with free -term free functions and their control methods")</f>
        <v>Mobile communication terminals with free -term free functions and their control methods</v>
      </c>
    </row>
    <row r="4359" spans="1:5" ht="15" x14ac:dyDescent="0.25">
      <c r="A4359" s="5" t="s">
        <v>12141</v>
      </c>
      <c r="B4359" s="6" t="s">
        <v>12142</v>
      </c>
      <c r="C4359" s="3" t="str">
        <f ca="1">IFERROR(__xludf.DUMMYFUNCTION("GOOGLETRANSLATE(B4359,""auto"",""en"")"),"The present invention involves an artificial intelligence temperature control fiber, which is characterized by a micro -capsule (1) that is scattered on the fiber cross section (1) containing phase -changing materials (1), and a micropore on the surface o"&amp;"f the fiber (2). The present invention has excellent insulation and comfort, and can be used for sportswear, bedding and other sporting supplies.
  Index
  Artificial intelligence, phase change, micro -capsule, dive heat, micro -hole")</f>
        <v>The present invention involves an artificial intelligence temperature control fiber, which is characterized by a micro -capsule (1) that is scattered on the fiber cross section (1) containing phase -changing materials (1), and a micropore on the surface of the fiber (2). The present invention has excellent insulation and comfort, and can be used for sportswear, bedding and other sporting supplies.
  Index
  Artificial intelligence, phase change, micro -capsule, dive heat, micro -hole</v>
      </c>
      <c r="D4359" s="6" t="s">
        <v>12143</v>
      </c>
      <c r="E4359" s="4" t="str">
        <f ca="1">IFERROR(__xludf.DUMMYFUNCTION("GOOGLETRANSLATE(D4359,""auto"",""en"")"),"Temperature control artificial intelligence fiber")</f>
        <v>Temperature control artificial intelligence fiber</v>
      </c>
    </row>
    <row r="4360" spans="1:5" ht="15" x14ac:dyDescent="0.25">
      <c r="A4360" s="5" t="s">
        <v>12144</v>
      </c>
      <c r="B4360" s="6" t="s">
        <v>12145</v>
      </c>
      <c r="C4360" s="3" t="str">
        <f ca="1">IFERROR(__xludf.DUMMYFUNCTION("GOOGLETRANSLATE(B4360,""auto"",""en"")"),"The present invention involves an artificial intelligence treadmill that provides users with video screens on the display during treadmills in fitness equipment, especially allowing treadmills to combine the environment in the display screen to drive. Thi"&amp;"s artificial intelligence treadmill includes the control module, which outputs image data from the computer to the display according to the user's input, and outputs the driver information associated with the image data to the drive mechanism; a display w"&amp;"ith multiple touch switches can enter the user command And display the image data from the control module; the computer is used to store image data and sound information, and output image data and driving information to the control module; it consists of "&amp;"a driver The running machine driver information associated with the image data and drives the running belt according to the driver information.")</f>
        <v>The present invention involves an artificial intelligence treadmill that provides users with video screens on the display during treadmills in fitness equipment, especially allowing treadmills to combine the environment in the display screen to drive. This artificial intelligence treadmill includes the control module, which outputs image data from the computer to the display according to the user's input, and outputs the driver information associated with the image data to the drive mechanism; a display with multiple touch switches can enter the user command And display the image data from the control module; the computer is used to store image data and sound information, and output image data and driving information to the control module; it consists of a driver The running machine driver information associated with the image data and drives the running belt according to the driver information.</v>
      </c>
      <c r="D4360" s="6" t="s">
        <v>12146</v>
      </c>
      <c r="E4360" s="4" t="str">
        <f ca="1">IFERROR(__xludf.DUMMYFUNCTION("GOOGLETRANSLATE(D4360,""auto"",""en"")"),"Artificial intelligence treadmill")</f>
        <v>Artificial intelligence treadmill</v>
      </c>
    </row>
    <row r="4361" spans="1:5" ht="15" x14ac:dyDescent="0.25">
      <c r="A4361" s="5" t="s">
        <v>12147</v>
      </c>
      <c r="B4361" s="6" t="s">
        <v>12148</v>
      </c>
      <c r="C4361" s="3" t="str">
        <f ca="1">IFERROR(__xludf.DUMMYFUNCTION("GOOGLETRANSLATE(B4361,""auto"",""en"")"),"The present invention provides an image processing device to identify the athletes of the athletes in the content of the athletes to conduct a sports campaign between the areas such as the obstacles of the athletes, and obtain it from the content of at le"&amp;"ast one athlete. Video information. ; Audio information acquisition unit 103, obtain audio information synchronized with video information from the content, such as hitting the ball sound when the balls such as moving between regions; and audio informatio"&amp;"n. Storage unit 102, the rules information, video information, the location of the tools during the storage movement, and the location of the tools, and the image content recognition unit 106, which is used to identify the content of the image. The image "&amp;"content includes the athletes of the athletes shown in Figure 1. Video information based on regular information.")</f>
        <v>The present invention provides an image processing device to identify the athletes of the athletes in the content of the athletes to conduct a sports campaign between the areas such as the obstacles of the athletes, and obtain it from the content of at least one athlete. Video information. ; Audio information acquisition unit 103, obtain audio information synchronized with video information from the content, such as hitting the ball sound when the balls such as moving between regions; and audio information. Storage unit 102, the rules information, video information, the location of the tools during the storage movement, and the location of the tools, and the image content recognition unit 106, which is used to identify the content of the image. The image content includes the athletes of the athletes shown in Figure 1. Video information based on regular information.</v>
      </c>
      <c r="D4361" s="6" t="s">
        <v>10226</v>
      </c>
      <c r="E4361" s="4" t="str">
        <f ca="1">IFERROR(__xludf.DUMMYFUNCTION("GOOGLETRANSLATE(D4361,""auto"",""en"")"),"Image recognition device and image recognition program")</f>
        <v>Image recognition device and image recognition program</v>
      </c>
    </row>
    <row r="4362" spans="1:5" ht="15" x14ac:dyDescent="0.25">
      <c r="A4362" s="5" t="s">
        <v>12149</v>
      </c>
      <c r="B4362" s="6" t="s">
        <v>12150</v>
      </c>
      <c r="C4362" s="3" t="str">
        <f ca="1">IFERROR(__xludf.DUMMYFUNCTION("GOOGLETRANSLATE(B4362,""auto"",""en"")"),"An image processing device is used to identify the player's behavior in the content of the movement of a region divided by obstacles such as a network. This device includes: video information extraction blocks to extract video information of at least one "&amp;"of the players with video information; acoustic information extraction block (103) is used to extract acoustic information synchronized with video information from the content, such as as a hit. Move the ball and other instruments between the areas, hitti"&amp;"ng the time information identification block (105), and used to hit the hitting time according to the acoustic information identification. Identification module (106) is used to identify the image content of the athlete behavior of the athletes indicated "&amp;"by the video information according to the video information, the device location and rules information of the time.")</f>
        <v>An image processing device is used to identify the player's behavior in the content of the movement of a region divided by obstacles such as a network. This device includes: video information extraction blocks to extract video information of at least one of the players with video information; acoustic information extraction block (103) is used to extract acoustic information synchronized with video information from the content, such as as a hit. Move the ball and other instruments between the areas, hitting the time information identification block (105), and used to hit the hitting time according to the acoustic information identification. Identification module (106) is used to identify the image content of the athlete behavior of the athletes indicated by the video information according to the video information, the device location and rules information of the time.</v>
      </c>
      <c r="D4362" s="6" t="s">
        <v>10226</v>
      </c>
      <c r="E4362" s="4" t="str">
        <f ca="1">IFERROR(__xludf.DUMMYFUNCTION("GOOGLETRANSLATE(D4362,""auto"",""en"")"),"Image recognition device and image recognition program")</f>
        <v>Image recognition device and image recognition program</v>
      </c>
    </row>
    <row r="4363" spans="1:5" ht="15" x14ac:dyDescent="0.25">
      <c r="A4363" s="5" t="s">
        <v>12151</v>
      </c>
      <c r="B4363" s="6" t="s">
        <v>12152</v>
      </c>
      <c r="C4363" s="3" t="str">
        <f ca="1">IFERROR(__xludf.DUMMYFUNCTION("GOOGLETRANSLATE(B4363,""auto"",""en"")"),"An image processing device is used to identify the athlete's behavior from the contents of the region divided by obstacles such as the network. The device includes: video information extraction blocks for extraction of video information of at least one of"&amp;" the players; acoustic information extraction blocks (103), which is used to extract acoustic information synchronized with video information from the content, such as hitting the ball The sound of hitting the time. The ball and other musical instruments "&amp;"such as moved between the area, hitting time information recognition block (105), which is used to identify the hitting instrument according to the acoustic information information. Identification block (106) is used to identify the image content of the a"&amp;"thlete behavior including video information instructions according to the location and rules of the equipment during the video information, the equipment of the equipment.")</f>
        <v>An image processing device is used to identify the athlete's behavior from the contents of the region divided by obstacles such as the network. The device includes: video information extraction blocks for extraction of video information of at least one of the players; acoustic information extraction blocks (103), which is used to extract acoustic information synchronized with video information from the content, such as hitting the ball The sound of hitting the time. The ball and other musical instruments such as moved between the area, hitting time information recognition block (105), which is used to identify the hitting instrument according to the acoustic information information. Identification block (106) is used to identify the image content of the athlete behavior including video information instructions according to the location and rules of the equipment during the video information, the equipment of the equipment.</v>
      </c>
      <c r="D4363" s="6" t="s">
        <v>10226</v>
      </c>
      <c r="E4363" s="4" t="str">
        <f ca="1">IFERROR(__xludf.DUMMYFUNCTION("GOOGLETRANSLATE(D4363,""auto"",""en"")"),"Image recognition device and image recognition program")</f>
        <v>Image recognition device and image recognition program</v>
      </c>
    </row>
    <row r="4364" spans="1:5" ht="15" x14ac:dyDescent="0.25">
      <c r="A4364" s="5" t="s">
        <v>12153</v>
      </c>
      <c r="B4364" s="6" t="s">
        <v>12154</v>
      </c>
      <c r="C4364" s="3" t="str">
        <f ca="1">IFERROR(__xludf.DUMMYFUNCTION("GOOGLETRANSLATE(B4364,""auto"",""en"")"),"A image recognition device, which is used to identify the athlete's athlete's movements in sports games or games in the content of sports competitions or games. Among them, the athletes are competing between the domains divided by obstacles such as the In"&amp;"ternet. The image recognition device includes: The picture information acquisition part is configured to obtain picture information containing at least one player's sports image; the sound information acquisition department 103 is used to obtain the sound"&amp;" information generated by the content information synchronized with the image information. Information generated by the hitting sound when the ball and other musical instruments are hit. Specifying part of the ballistic time information 105, configured as"&amp;" a hitting time of the sound information specified instrument to be hit; the rules information storage section 102, configured to storage for sports competitions or games; the image entity recognition part 106 106 The location of the instrument based on p"&amp;"icture information, the location of the instrument at the specified hitting time, and the rules information identification containing the image of the image of the image provided by the picture information provided by the picture information.")</f>
        <v>A image recognition device, which is used to identify the athlete's athlete's movements in sports games or games in the content of sports competitions or games. Among them, the athletes are competing between the domains divided by obstacles such as the Internet. The image recognition device includes: The picture information acquisition part is configured to obtain picture information containing at least one player's sports image; the sound information acquisition department 103 is used to obtain the sound information generated by the content information synchronized with the image information. Information generated by the hitting sound when the ball and other musical instruments are hit. Specifying part of the ballistic time information 105, configured as a hitting time of the sound information specified instrument to be hit; the rules information storage section 102, configured to storage for sports competitions or games; the image entity recognition part 106 106 The location of the instrument based on picture information, the location of the instrument at the specified hitting time, and the rules information identification containing the image of the image of the image provided by the picture information provided by the picture information.</v>
      </c>
      <c r="D4364" s="6" t="s">
        <v>10226</v>
      </c>
      <c r="E4364" s="4" t="str">
        <f ca="1">IFERROR(__xludf.DUMMYFUNCTION("GOOGLETRANSLATE(D4364,""auto"",""en"")"),"Image recognition device and image recognition program")</f>
        <v>Image recognition device and image recognition program</v>
      </c>
    </row>
    <row r="4365" spans="1:5" ht="15" x14ac:dyDescent="0.25">
      <c r="A4365" s="5" t="s">
        <v>12155</v>
      </c>
      <c r="B4365" s="6" t="s">
        <v>12156</v>
      </c>
      <c r="C4365" s="3" t="str">
        <f ca="1">IFERROR(__xludf.DUMMYFUNCTION("GOOGLETRANSLATE(B4365,""auto"",""en"")"),"A image recognition device, which is used to identify the athlete's athlete's movements in sports games or games in the content of sports competitions or games. Among them, the athletes are competing between the domains divided by obstacles such as the In"&amp;"ternet. The image recognition device includes: The picture information acquisition part is configured to obtain picture information containing at least one player's sports image; the sound information acquisition part 103 configures the sound information "&amp;"generated by the content information synchronized with the image information. The sound information includes about the region in the region Information generated by the sound of hitting sounds when hitting the ball and other musical instruments; the speci"&amp;"fied part of the shock time information is specified to specify the percussion time of the percussion instrument according to the sound information; The rules information of the game; and the image material recognition part 106 is used for the location an"&amp;"d rules of the instrumental instrument based on the picture information, specifying the hitting time, and identifies the entity of the image of the image of the player sports image provided by the picture information.")</f>
        <v>A image recognition device, which is used to identify the athlete's athlete's movements in sports games or games in the content of sports competitions or games. Among them, the athletes are competing between the domains divided by obstacles such as the Internet. The image recognition device includes: The picture information acquisition part is configured to obtain picture information containing at least one player's sports image; the sound information acquisition part 103 configures the sound information generated by the content information synchronized with the image information. The sound information includes about the region in the region Information generated by the sound of hitting sounds when hitting the ball and other musical instruments; the specified part of the shock time information is specified to specify the percussion time of the percussion instrument according to the sound information; The rules information of the game; and the image material recognition part 106 is used for the location and rules of the instrumental instrument based on the picture information, specifying the hitting time, and identifies the entity of the image of the image of the player sports image provided by the picture information.</v>
      </c>
      <c r="D4365" s="6" t="s">
        <v>10226</v>
      </c>
      <c r="E4365" s="4" t="str">
        <f ca="1">IFERROR(__xludf.DUMMYFUNCTION("GOOGLETRANSLATE(D4365,""auto"",""en"")"),"Image recognition device and image recognition program")</f>
        <v>Image recognition device and image recognition program</v>
      </c>
    </row>
    <row r="4366" spans="1:5" ht="15" x14ac:dyDescent="0.25">
      <c r="A4366" s="5" t="s">
        <v>12157</v>
      </c>
      <c r="B4366" s="6" t="s">
        <v>12158</v>
      </c>
      <c r="C4366" s="3" t="str">
        <f ca="1">IFERROR(__xludf.DUMMYFUNCTION("GOOGLETRANSLATE(B4366,""auto"",""en"")"),"A image recognition device with a high image recognition rate at a reasonable cost. Image recognition device (1) Recognize from the contents of the recording medium of obstacles such as the network or the material video before the broadcast of the broadca"&amp;"st or the broadcast before the broadcast. The athlete's behavior. As a video recorder. This device includes: score information acquisition block (101), which is used to obtain score information that represents the player score over time; game event inform"&amp;"ation acquisition block (107) is used to obtain games from obstacles and players who represent the characteristics of player behavior. Event information. The video information containing the score information displayed on the screen, and the image content"&amp;" recognition block (108), which is used to compare the score information before the time of the event information and the score information immediately after the time after the time. The results of played event information to identify the image content di"&amp;"splayed by the playback information.")</f>
        <v>A image recognition device with a high image recognition rate at a reasonable cost. Image recognition device (1) Recognize from the contents of the recording medium of obstacles such as the network or the material video before the broadcast of the broadcast or the broadcast before the broadcast. The athlete's behavior. As a video recorder. This device includes: score information acquisition block (101), which is used to obtain score information that represents the player score over time; game event information acquisition block (107) is used to obtain games from obstacles and players who represent the characteristics of player behavior. Event information. The video information containing the score information displayed on the screen, and the image content recognition block (108), which is used to compare the score information before the time of the event information and the score information immediately after the time after the time. The results of played event information to identify the image content displayed by the playback information.</v>
      </c>
      <c r="D4366" s="6" t="s">
        <v>10226</v>
      </c>
      <c r="E4366" s="4" t="str">
        <f ca="1">IFERROR(__xludf.DUMMYFUNCTION("GOOGLETRANSLATE(D4366,""auto"",""en"")"),"Image recognition device and image recognition program")</f>
        <v>Image recognition device and image recognition program</v>
      </c>
    </row>
    <row r="4367" spans="1:5" ht="15" x14ac:dyDescent="0.25">
      <c r="A4367" s="5" t="s">
        <v>12159</v>
      </c>
      <c r="B4367" s="6" t="s">
        <v>12158</v>
      </c>
      <c r="C4367" s="3" t="str">
        <f ca="1">IFERROR(__xludf.DUMMYFUNCTION("GOOGLETRANSLATE(B4367,""auto"",""en"")"),"A image recognition device with a high image recognition rate at a reasonable cost. Image recognition device (1) Recognize from the contents of the recording medium of obstacles such as the network or the material video before the broadcast of the broadca"&amp;"st or the broadcast before the broadcast. The athlete's behavior. As a video recorder. This device includes: score information acquisition block (101), which is used to obtain score information that represents the player score over time; game event inform"&amp;"ation acquisition block (107) is used to obtain games from obstacles and players who represent the characteristics of player behavior. Event information. The video information containing the score information displayed on the screen, and the image content"&amp;" recognition block (108), which is used to compare the score information before the time of the event information and the score information immediately after the time after the time. The results of played event information to identify the image content di"&amp;"splayed by the playback information.")</f>
        <v>A image recognition device with a high image recognition rate at a reasonable cost. Image recognition device (1) Recognize from the contents of the recording medium of obstacles such as the network or the material video before the broadcast of the broadcast or the broadcast before the broadcast. The athlete's behavior. As a video recorder. This device includes: score information acquisition block (101), which is used to obtain score information that represents the player score over time; game event information acquisition block (107) is used to obtain games from obstacles and players who represent the characteristics of player behavior. Event information. The video information containing the score information displayed on the screen, and the image content recognition block (108), which is used to compare the score information before the time of the event information and the score information immediately after the time after the time. The results of played event information to identify the image content displayed by the playback information.</v>
      </c>
      <c r="D4367" s="6" t="s">
        <v>10226</v>
      </c>
      <c r="E4367" s="4" t="str">
        <f ca="1">IFERROR(__xludf.DUMMYFUNCTION("GOOGLETRANSLATE(D4367,""auto"",""en"")"),"Image recognition device and image recognition program")</f>
        <v>Image recognition device and image recognition program</v>
      </c>
    </row>
    <row r="4368" spans="1:5" ht="15" x14ac:dyDescent="0.25">
      <c r="A4368" s="5" t="s">
        <v>12160</v>
      </c>
      <c r="B4368" s="6" t="s">
        <v>12161</v>
      </c>
      <c r="C4368" s="3" t="str">
        <f ca="1">IFERROR(__xludf.DUMMYFUNCTION("GOOGLETRANSLATE(B4368,""auto"",""en"")"),"The purpose of the present invention is to provide an image recognition device with high image recognition rate and relatively low price. The image recognition device provided by the present invention 1 is used to identify the athletes that match the athl"&amp;"etes that are matched with each other with obstacles such as the TV shows that are being played in sports or competitions in sports or competitions. Image recognition device 1 includes the image material and the contents of the unfinished state for playin"&amp;"g and recorded in a record medium in the VTR. Image recognition device 1 includes: scoring information acquisition part 101, which is configured to obtain the score of each player score of each player score Information, the scoring information changes wit"&amp;"h the progress of the game. Sports competition or competition income; the event information acquisition part 107 is used to obtain the characteristic action pictures of each player from the picture information contained in the content, the picture informa"&amp;"tion of the obstacles and the respective images of the player, the score information displayed on the screen, etc. And the image entity recognition section 108, compared between the scoring information items obtained before the generating time point of th"&amp;"e event information and the score information items obtained after this time point, and refer to the results brought by the playback event. Information, so as to identify the essence of the image provided by the playback event information.")</f>
        <v>The purpose of the present invention is to provide an image recognition device with high image recognition rate and relatively low price. The image recognition device provided by the present invention 1 is used to identify the athletes that match the athletes that are matched with each other with obstacles such as the TV shows that are being played in sports or competitions in sports or competitions. Image recognition device 1 includes the image material and the contents of the unfinished state for playing and recorded in a record medium in the VTR. Image recognition device 1 includes: scoring information acquisition part 101, which is configured to obtain the score of each player score of each player score Information, the scoring information changes with the progress of the game. Sports competition or competition income; the event information acquisition part 107 is used to obtain the characteristic action pictures of each player from the picture information contained in the content, the picture information of the obstacles and the respective images of the player, the score information displayed on the screen, etc. And the image entity recognition section 108, compared between the scoring information items obtained before the generating time point of the event information and the score information items obtained after this time point, and refer to the results brought by the playback event. Information, so as to identify the essence of the image provided by the playback event information.</v>
      </c>
      <c r="D4368" s="6" t="s">
        <v>10226</v>
      </c>
      <c r="E4368" s="4" t="str">
        <f ca="1">IFERROR(__xludf.DUMMYFUNCTION("GOOGLETRANSLATE(D4368,""auto"",""en"")"),"Image recognition device and image recognition program")</f>
        <v>Image recognition device and image recognition program</v>
      </c>
    </row>
    <row r="4369" spans="1:5" ht="15" x14ac:dyDescent="0.25">
      <c r="A4369" s="5" t="s">
        <v>12162</v>
      </c>
      <c r="B4369" s="6" t="s">
        <v>12163</v>
      </c>
      <c r="C4369" s="3" t="str">
        <f ca="1">IFERROR(__xludf.DUMMYFUNCTION("GOOGLETRANSLATE(B4369,""auto"",""en"")"),"Provide a relatively cheap image recognition device with high image recognition rate. Image recognition device recognition The movement of athletes that match each other between the domains divided by obstacles. These contents include the TV shows that ar"&amp;"e being played to display sports games or games The content video recorder in the recording medium, the image recognition device includes: the scoring information acquisition part; the game information acquisition part of the picture information obtain th"&amp;"e player's action, the picture information contains obstacles and the image of the player, the score information displayed on the screen; and the image The content recognition part will compare the score information items obtained before time in the compe"&amp;"tition event information with the scoring information items obtained after time, so as to identify the content of the image provided by the competition event information.")</f>
        <v>Provide a relatively cheap image recognition device with high image recognition rate. Image recognition device recognition The movement of athletes that match each other between the domains divided by obstacles. These contents include the TV shows that are being played to display sports games or games The content video recorder in the recording medium, the image recognition device includes: the scoring information acquisition part; the game information acquisition part of the picture information obtain the player's action, the picture information contains obstacles and the image of the player, the score information displayed on the screen; and the image The content recognition part will compare the score information items obtained before time in the competition event information with the scoring information items obtained after time, so as to identify the content of the image provided by the competition event information.</v>
      </c>
      <c r="D4369" s="6" t="s">
        <v>12164</v>
      </c>
      <c r="E4369" s="4" t="str">
        <f ca="1">IFERROR(__xludf.DUMMYFUNCTION("GOOGLETRANSLATE(D4369,""auto"",""en"")"),"Image recognition devices and programs for identifying image content, especially in the movie environment")</f>
        <v>Image recognition devices and programs for identifying image content, especially in the movie environment</v>
      </c>
    </row>
    <row r="4370" spans="1:5" ht="15" x14ac:dyDescent="0.25">
      <c r="A4370" s="5" t="s">
        <v>12165</v>
      </c>
      <c r="B4370" s="6" t="s">
        <v>12166</v>
      </c>
      <c r="C4370" s="3" t="str">
        <f ca="1">IFERROR(__xludf.DUMMYFUNCTION("GOOGLETRANSLATE(B4370,""auto"",""en"")"),"In order to provide a relatively cheap and high -image recognition rate image recognition device, the athletes can be recorded in areas such as the area separated by obstacles such as the nets such as the network during exercise or before the sports broad"&amp;"cast. 1 It is used to identify the content on the record records such as material videos or VTR. The scoring information acquisition unit 101 is used to obtain the score information of the scoring content between players, and the scoring information acqui"&amp;"sition unit 101 event event event Information acquisition unit 107 from the video information of the obstacles, players, and score information displayed on the screen, and the time of the event information of the event information to obtain the characteri"&amp;"stic action information of the player's characteristic action. The image content recognition unit 108 is used to compare the scoring information before and after playing the event information, and refer to the results brought by the playback event informa"&amp;"tion, and identify the image content indicated by the playback event information.")</f>
        <v>In order to provide a relatively cheap and high -image recognition rate image recognition device, the athletes can be recorded in areas such as the area separated by obstacles such as the nets such as the network during exercise or before the sports broadcast. 1 It is used to identify the content on the record records such as material videos or VTR. The scoring information acquisition unit 101 is used to obtain the score information of the scoring content between players, and the scoring information acquisition unit 101 event event event Information acquisition unit 107 from the video information of the obstacles, players, and score information displayed on the screen, and the time of the event information of the event information to obtain the characteristic action information of the player's characteristic action. The image content recognition unit 108 is used to compare the scoring information before and after playing the event information, and refer to the results brought by the playback event information, and identify the image content indicated by the playback event information.</v>
      </c>
      <c r="D4370" s="6" t="s">
        <v>10229</v>
      </c>
      <c r="E4370" s="4" t="str">
        <f ca="1">IFERROR(__xludf.DUMMYFUNCTION("GOOGLETRANSLATE(D4370,""auto"",""en"")"),"Image recognition device and image recognition program")</f>
        <v>Image recognition device and image recognition program</v>
      </c>
    </row>
    <row r="4371" spans="1:5" ht="15" x14ac:dyDescent="0.25">
      <c r="A4371" s="5" t="s">
        <v>12167</v>
      </c>
      <c r="B4371" s="6" t="s">
        <v>12168</v>
      </c>
      <c r="C4371" s="3" t="str">
        <f ca="1">IFERROR(__xludf.DUMMYFUNCTION("GOOGLETRANSLATE(B4371,""auto"",""en"")"),"When students conduct sports activities, they show students' real -time camera images to students. Students can switch between natural vision and real -time video images by re -focusing their eyes. In addition, teaching information can be superimposed on "&amp;"real -time video, thereby enhancing the learning process.")</f>
        <v>When students conduct sports activities, they show students' real -time camera images to students. Students can switch between natural vision and real -time video images by re -focusing their eyes. In addition, teaching information can be superimposed on real -time video, thereby enhancing the learning process.</v>
      </c>
      <c r="D4371" s="6" t="s">
        <v>12084</v>
      </c>
      <c r="E4371" s="4" t="str">
        <f ca="1">IFERROR(__xludf.DUMMYFUNCTION("GOOGLETRANSLATE(D4371,""auto"",""en"")"),"Video teaching systems and methods for teaching sports skills")</f>
        <v>Video teaching systems and methods for teaching sports skills</v>
      </c>
    </row>
    <row r="4372" spans="1:5" ht="15" x14ac:dyDescent="0.25">
      <c r="A4372" s="5" t="s">
        <v>12169</v>
      </c>
      <c r="B4372" s="6" t="s">
        <v>12170</v>
      </c>
      <c r="C4372" s="3" t="str">
        <f ca="1">IFERROR(__xludf.DUMMYFUNCTION("GOOGLETRANSLATE(B4372,""auto"",""en"")"),"A hat or baseball cap, which is modified to include a removable headset with speakers and microphones and install pockets for the rear installation of the mobile phone. The hat has an internal flip cover. Fixed by VelCro and setting up the slit between th"&amp;"e headset and the mobile phone for running lines. The headset card hangs on the ear of the wearer on the hat. The speaker is located near the ears and provides a rotating microphone arm. The button on the microphone allows the wearer to answer the phone, "&amp;"hang up the phone or activate the phone voice recognition to make a call. By opening the wire fixed cover, disconnecting it with the mobile phone, taking the phone out of the pocket and taking off the headset from the hat, you can easily remove the headse"&amp;"t and the phone for cleaning. Phone and headphone systems can be re -installed on similar hats.")</f>
        <v>A hat or baseball cap, which is modified to include a removable headset with speakers and microphones and install pockets for the rear installation of the mobile phone. The hat has an internal flip cover. Fixed by VelCro and setting up the slit between the headset and the mobile phone for running lines. The headset card hangs on the ear of the wearer on the hat. The speaker is located near the ears and provides a rotating microphone arm. The button on the microphone allows the wearer to answer the phone, hang up the phone or activate the phone voice recognition to make a call. By opening the wire fixed cover, disconnecting it with the mobile phone, taking the phone out of the pocket and taking off the headset from the hat, you can easily remove the headset and the phone for cleaning. Phone and headphone systems can be re -installed on similar hats.</v>
      </c>
      <c r="D4372" s="6" t="s">
        <v>12171</v>
      </c>
      <c r="E4372" s="4" t="str">
        <f ca="1">IFERROR(__xludf.DUMMYFUNCTION("GOOGLETRANSLATE(D4372,""auto"",""en"")"),"Free -mentioning phone cap")</f>
        <v>Free -mentioning phone cap</v>
      </c>
    </row>
    <row r="4373" spans="1:5" ht="15" x14ac:dyDescent="0.25">
      <c r="A4373" s="5" t="s">
        <v>12172</v>
      </c>
      <c r="B4373" s="6" t="s">
        <v>12173</v>
      </c>
      <c r="C4373" s="3" t="str">
        <f ca="1">IFERROR(__xludf.DUMMYFUNCTION("GOOGLETRANSLATE(B4373,""auto"",""en"")"),"The tracking device is installed in a box that can be carried by a trainer or jockey, and measures data related to the performance of the horse's performance and/or physical condition. Voice recognition from the throat microphone is used to control the op"&amp;"eration of the device, and voice synthesis is used to return the information back to the coach or jockey through the handset.")</f>
        <v>The tracking device is installed in a box that can be carried by a trainer or jockey, and measures data related to the performance of the horse's performance and/or physical condition. Voice recognition from the throat microphone is used to control the operation of the device, and voice synthesis is used to return the information back to the coach or jockey through the handset.</v>
      </c>
      <c r="D4373" s="6" t="s">
        <v>12174</v>
      </c>
      <c r="E4373" s="4" t="str">
        <f ca="1">IFERROR(__xludf.DUMMYFUNCTION("GOOGLETRANSLATE(D4373,""auto"",""en"")"),"Track the performance and physical resources of the horses during the training and competition, use the electronic measurement equipment controlled by the jockey or trainer with voice recognition, and return the sound information")</f>
        <v>Track the performance and physical resources of the horses during the training and competition, use the electronic measurement equipment controlled by the jockey or trainer with voice recognition, and return the sound information</v>
      </c>
    </row>
    <row r="4374" spans="1:5" ht="15" x14ac:dyDescent="0.25">
      <c r="A4374" s="5" t="s">
        <v>12175</v>
      </c>
      <c r="B4374" s="6" t="s">
        <v>12176</v>
      </c>
      <c r="C4374" s="3" t="str">
        <f ca="1">IFERROR(__xludf.DUMMYFUNCTION("GOOGLETRANSLATE(B4374,""auto"",""en"")"),"The present invention involves a system and method of winning and losing the artificial intelligence prediction campaign (horse racing, bicycle race, racing, football, basketball, baseball, etc.). The present invention provides a provisional program (10) "&amp;"for receiving the collection data of the database. For this purpose, the horse racing of the horse racing and the racecourse in the database is stored in the database. The horse racing analysis unit of the first artificial intelligence prediction unit pre"&amp;"dicts to win the horse and receive the prediction results. Gatery 12, connect the horse racing prediction server, and receive the horse racing forecast data from the horse racing prediction data transmission unit at the same time; the wireless network con"&amp;"nected to the gateway to support the linkage use and the billing system of the wireless communication and use of the communication company; Connect to the wireless network and receive the second artificial intelligence prediction unit, predict the analysi"&amp;"s element of winning horses as a racecourse; PDA terminal is configured to make users buy betting tickets and eventually predict the winning horse. In the present invention as described above, if the past and current data and basic content are provided to"&amp;" the system, the system uses artificial intelligence analysis and processing the forecast data on the day based on background data to transmit real -time information to individual portable terminals. If the user sees this and bets in a predictable place, "&amp;"he can win the championship of horse racing, bicycle race, other racing, other racing, other racing, football, basketball, baseball and other championships.")</f>
        <v>The present invention involves a system and method of winning and losing the artificial intelligence prediction campaign (horse racing, bicycle race, racing, football, basketball, baseball, etc.). The present invention provides a provisional program (10) for receiving the collection data of the database. For this purpose, the horse racing of the horse racing and the racecourse in the database is stored in the database. The horse racing analysis unit of the first artificial intelligence prediction unit predicts to win the horse and receive the prediction results. Gatery 12, connect the horse racing prediction server, and receive the horse racing forecast data from the horse racing prediction data transmission unit at the same time; the wireless network connected to the gateway to support the linkage use and the billing system of the wireless communication and use of the communication company; Connect to the wireless network and receive the second artificial intelligence prediction unit, predict the analysis element of winning horses as a racecourse; PDA terminal is configured to make users buy betting tickets and eventually predict the winning horse. In the present invention as described above, if the past and current data and basic content are provided to the system, the system uses artificial intelligence analysis and processing the forecast data on the day based on background data to transmit real -time information to individual portable terminals. If the user sees this and bets in a predictable place, he can win the championship of horse racing, bicycle race, other racing, other racing, other racing, football, basketball, baseball and other championships.</v>
      </c>
      <c r="D4374" s="6" t="s">
        <v>12177</v>
      </c>
      <c r="E4374" s="4" t="str">
        <f ca="1">IFERROR(__xludf.DUMMYFUNCTION("GOOGLETRANSLATE(D4374,""auto"",""en"")"),"An artificial intelligence predict the system and its operation method of the sports event champion")</f>
        <v>An artificial intelligence predict the system and its operation method of the sports event champion</v>
      </c>
    </row>
    <row r="4375" spans="1:5" ht="15" x14ac:dyDescent="0.25">
      <c r="A4375" s="5" t="s">
        <v>12178</v>
      </c>
      <c r="B4375" s="6" t="s">
        <v>12179</v>
      </c>
      <c r="C4375" s="3" t="str">
        <f ca="1">IFERROR(__xludf.DUMMYFUNCTION("GOOGLETRANSLATE(B4375,""auto"",""en"")"),"[Topic] Realize a traffic control system. The traffic control system ended with high -precision events in the early days and reflected the results in traffic control.
  Solution: Imaging equipment CAM shooting pedestrian WLK through the exit and aisle m"&amp;"ovement of the venue and stadium. The IP of the image recognition device uses an image entered from the imaging device CAM. It is characterized by the area of ​​the brightness change area according to the flow of the pedestrian WLK in the image. Master th"&amp;"e congestion of the pedestrian WLK. When the crowded level reaches the predetermined level, it is determined in the hall and the hall and The activities held by the stadium have ended. The end of the event is sent to the Ctrl of the sending device to the "&amp;"traffic control facility, and traffic control is performed according to the end of the event.")</f>
        <v>[Topic] Realize a traffic control system. The traffic control system ended with high -precision events in the early days and reflected the results in traffic control.
  Solution: Imaging equipment CAM shooting pedestrian WLK through the exit and aisle movement of the venue and stadium. The IP of the image recognition device uses an image entered from the imaging device CAM. It is characterized by the area of ​​the brightness change area according to the flow of the pedestrian WLK in the image. Master the congestion of the pedestrian WLK. When the crowded level reaches the predetermined level, it is determined in the hall and the hall and The activities held by the stadium have ended. The end of the event is sent to the Ctrl of the sending device to the traffic control facility, and traffic control is performed according to the end of the event.</v>
      </c>
      <c r="D4375" s="6" t="s">
        <v>12180</v>
      </c>
      <c r="E4375" s="4" t="str">
        <f ca="1">IFERROR(__xludf.DUMMYFUNCTION("GOOGLETRANSLATE(D4375,""auto"",""en"")"),"Traffic control system")</f>
        <v>Traffic control system</v>
      </c>
    </row>
    <row r="4376" spans="1:5" ht="15" x14ac:dyDescent="0.25">
      <c r="A4376" s="5" t="s">
        <v>12181</v>
      </c>
      <c r="B4376" s="6" t="s">
        <v>12182</v>
      </c>
      <c r="C4376" s="3" t="str">
        <f ca="1">IFERROR(__xludf.DUMMYFUNCTION("GOOGLETRANSLATE(B4376,""auto"",""en"")"),"The invention involves a method and device that controls the motion load in indoor sports electronic aerobic motors such as treadmills and bicycles. One of the goals of the present invention is to exercise loads such as speed, inclinedness, rotation, and "&amp;"rotation resistance in the process of exercise in traditional aerobic exercise equipment, which makes it difficult to operate the equipment during exercise. Uncomfortable and improving it, to minimize discomfort in the process and maximize the effect of e"&amp;"xercise. The invention includes wired/wireless transmission/receiving headphones, which includes speakers used for sound receiving, microphone of voice commands for transmitting movements, and pulse rate measurement devices. The receiver, as well as the v"&amp;"oice signal that is used to identify the command by using the voice recognition method that is not related to the speaker and convert the voice command to the machine language to control the load. It includes a load device unit that receives the control c"&amp;"ommand and performs exercise. According to the present invention, while using the electronic aerobic motor machine, that is, walking and treadmills (treadmills) or riding a bicycle motion, people who exercise the control panel connected to the sports mach"&amp;"ine by hand to exercise They are transmitted to the machine through the speaker of the headset through the voice without execution. The voice instructions are recognized inside the machine part, and this instruction is transmitted to the machine operation"&amp;" part again, so that the operation of the existing device is operated. Operation through hand operations, exercise without discomfort or danger, because the hand does not operate or adjust the equipment before or during the period, so it has the advantage"&amp;"s of greatly improving the effectiveness and safety of exercise.")</f>
        <v>The invention involves a method and device that controls the motion load in indoor sports electronic aerobic motors such as treadmills and bicycles. One of the goals of the present invention is to exercise loads such as speed, inclinedness, rotation, and rotation resistance in the process of exercise in traditional aerobic exercise equipment, which makes it difficult to operate the equipment during exercise. Uncomfortable and improving it, to minimize discomfort in the process and maximize the effect of exercise. The invention includes wired/wireless transmission/receiving headphones, which includes speakers used for sound receiving, microphone of voice commands for transmitting movements, and pulse rate measurement devices. The receiver, as well as the voice signal that is used to identify the command by using the voice recognition method that is not related to the speaker and convert the voice command to the machine language to control the load. It includes a load device unit that receives the control command and performs exercise. According to the present invention, while using the electronic aerobic motor machine, that is, walking and treadmills (treadmills) or riding a bicycle motion, people who exercise the control panel connected to the sports machine by hand to exercise They are transmitted to the machine through the speaker of the headset through the voice without execution. The voice instructions are recognized inside the machine part, and this instruction is transmitted to the machine operation part again, so that the operation of the existing device is operated. Operation through hand operations, exercise without discomfort or danger, because the hand does not operate or adjust the equipment before or during the period, so it has the advantages of greatly improving the effectiveness and safety of exercise.</v>
      </c>
      <c r="D4376" s="6" t="s">
        <v>12183</v>
      </c>
      <c r="E4376" s="4" t="str">
        <f ca="1">IFERROR(__xludf.DUMMYFUNCTION("GOOGLETRANSLATE(D4376,""auto"",""en"")"),"Electronic aerobic exercise equipment motion load control method and device")</f>
        <v>Electronic aerobic exercise equipment motion load control method and device</v>
      </c>
    </row>
    <row r="4377" spans="1:5" ht="15" x14ac:dyDescent="0.25">
      <c r="A4377" s="5" t="s">
        <v>12184</v>
      </c>
      <c r="B4377" s="6" t="s">
        <v>12185</v>
      </c>
      <c r="C4377" s="3" t="str">
        <f ca="1">IFERROR(__xludf.DUMMYFUNCTION("GOOGLETRANSLATE(B4377,""auto"",""en"")"),"A system installed in a motor vehicle, using environmental data from the body sensor and the location and operation of the vehicle to infer the pressure level of the vehicle operator. The system runs during the training phase, and uses machine learning te"&amp;"chnology to derive the pressure reaction model of individual gymnastics to the operating environment of the vehicle, and uses the results of the training phase. The system is then used to predict the pressure level to predict according to the physiologica"&amp;"l state of the driver. When certain traffic conditions are imminent, this is expected. The result of this pressure -level prediction of individual drivers is used to control or warn the driver's operation and scheduling of the driver's attention to the de"&amp;"vice such as honeycomb calls.")</f>
        <v>A system installed in a motor vehicle, using environmental data from the body sensor and the location and operation of the vehicle to infer the pressure level of the vehicle operator. The system runs during the training phase, and uses machine learning technology to derive the pressure reaction model of individual gymnastics to the operating environment of the vehicle, and uses the results of the training phase. The system is then used to predict the pressure level to predict according to the physiological state of the driver. When certain traffic conditions are imminent, this is expected. The result of this pressure -level prediction of individual drivers is used to control or warn the driver's operation and scheduling of the driver's attention to the device such as honeycomb calls.</v>
      </c>
      <c r="D4377" s="6" t="s">
        <v>12186</v>
      </c>
      <c r="E4377" s="4" t="str">
        <f ca="1">IFERROR(__xludf.DUMMYFUNCTION("GOOGLETRANSLATE(D4377,""auto"",""en"")"),"Personalized driver pressure prediction with geographical database")</f>
        <v>Personalized driver pressure prediction with geographical database</v>
      </c>
    </row>
    <row r="4378" spans="1:5" ht="15" x14ac:dyDescent="0.25">
      <c r="A4378" s="5" t="s">
        <v>12187</v>
      </c>
      <c r="B4378" s="6" t="s">
        <v>12188</v>
      </c>
      <c r="C4378" s="3" t="str">
        <f ca="1">IFERROR(__xludf.DUMMYFUNCTION("GOOGLETRANSLATE(B4378,""auto"",""en"")"),"The present invention involves a criminal prevention device for robotic toys with voice recognition functions. The public invention includes the code value of the code value for transmitting voice commands and security mode data; the first high -frequency"&amp;" receiving device is installed inside the robot, receiving the sending data; Crash, fall, and fall; human detection device for detecting the human body when the robot is freely moved; microprocessor is based on the data received from the highest frequency"&amp;" receiving device and the sensor group from the infrared sensor group and the human detection device obtained Control the overall operation of the robot; the motor driver device, under the control of the microprocessor, through multiple motors installed o"&amp;"n the joint and neck joint of each leg and neck of the robot to achieve the free movement and motion reaction of the robot; the high -frequency sending device When the human body was detected in the state of setting the crime prevention mode, it was used "&amp;"to receive and send an alarm data from the microprocessor; it included the alarm of the alarm installed at a close range from the robot, and the alarm signal was received to generate alarm, dialing the pre -pre -pre -pre -alarm, dialing the pre -in advanc"&amp;"e Specify the number, send voice information. Correspondingly, the operation of the robot is controlled by voice instructions, it can provide a lot of interest and attachment to the robot toy, and also has the advantages of performing a criminal preventio"&amp;"n mode through the robot without having to install a separate security alarm device.")</f>
        <v>The present invention involves a criminal prevention device for robotic toys with voice recognition functions. The public invention includes the code value of the code value for transmitting voice commands and security mode data; the first high -frequency receiving device is installed inside the robot, receiving the sending data; Crash, fall, and fall; human detection device for detecting the human body when the robot is freely moved; microprocessor is based on the data received from the highest frequency receiving device and the sensor group from the infrared sensor group and the human detection device obtained Control the overall operation of the robot; the motor driver device, under the control of the microprocessor, through multiple motors installed on the joint and neck joint of each leg and neck of the robot to achieve the free movement and motion reaction of the robot; the high -frequency sending device When the human body was detected in the state of setting the crime prevention mode, it was used to receive and send an alarm data from the microprocessor; it included the alarm of the alarm installed at a close range from the robot, and the alarm signal was received to generate alarm, dialing the pre -pre -pre -pre -alarm, dialing the pre -in advance Specify the number, send voice information. Correspondingly, the operation of the robot is controlled by voice instructions, it can provide a lot of interest and attachment to the robot toy, and also has the advantages of performing a criminal prevention mode through the robot without having to install a separate security alarm device.</v>
      </c>
      <c r="D4378" s="6" t="s">
        <v>12189</v>
      </c>
      <c r="E4378" s="4" t="str">
        <f ca="1">IFERROR(__xludf.DUMMYFUNCTION("GOOGLETRANSLATE(D4378,""auto"",""en"")"),"Crime prevention device and method of robotic toys with voice recognition functions")</f>
        <v>Crime prevention device and method of robotic toys with voice recognition functions</v>
      </c>
    </row>
    <row r="4379" spans="1:5" ht="15" x14ac:dyDescent="0.25">
      <c r="A4379" s="5" t="s">
        <v>12190</v>
      </c>
      <c r="B4379" s="6" t="s">
        <v>12191</v>
      </c>
      <c r="C4379" s="3" t="str">
        <f ca="1">IFERROR(__xludf.DUMMYFUNCTION("GOOGLETRANSLATE(B4379,""auto"",""en"")"),"The present invention involves a remote recorder. Its shape is a strip of the specified length. ), Presented a rod shape of the scheduled length, the upper surface is equivalent, one end is a cardhered groove, and the cardheart groove is formed with the p"&amp;"rotruding 11 phase card (21) of the first body 10. Axis 31, one end is installed on one end of the first main part 10, and the other end is connected to 10 on the second main part. It consists of the installed hinge part 30 to connect to one end of the bo"&amp;"dy and fold the first and second parts 10 and 20. Make the first and second parts of 10 and 20 hinges. It rotates around the hinge shaft 31 and can be folded, which is convenient for storage and carrying.
  In addition, the user can accurately meas"&amp;"ure the running distance because the first and second body parts 10 and 20 are stretched and used on the line.
  - one - 
  In addition, the position that can be changed at all levels with different colors to advance the flag lever 40 to the firs"&amp;"t and second main parts 10 and 20, and the flag bar is promoted to 40 according to the level of academic performance. Let students directly view their academic performance levels, thereby enhancing learning desire and learning effects.")</f>
        <v>The present invention involves a remote recorder. Its shape is a strip of the specified length. ), Presented a rod shape of the scheduled length, the upper surface is equivalent, one end is a cardhered groove, and the cardheart groove is formed with the protruding 11 phase card (21) of the first body 10. Axis 31, one end is installed on one end of the first main part 10, and the other end is connected to 10 on the second main part. It consists of the installed hinge part 30 to connect to one end of the body and fold the first and second parts 10 and 20. Make the first and second parts of 10 and 20 hinges. It rotates around the hinge shaft 31 and can be folded, which is convenient for storage and carrying.
  In addition, the user can accurately measure the running distance because the first and second body parts 10 and 20 are stretched and used on the line.
  - one - 
  In addition, the position that can be changed at all levels with different colors to advance the flag lever 40 to the first and second main parts 10 and 20, and the flag bar is promoted to 40 according to the level of academic performance. Let students directly view their academic performance levels, thereby enhancing learning desire and learning effects.</v>
      </c>
      <c r="D4379" s="6" t="s">
        <v>12192</v>
      </c>
      <c r="E4379" s="4" t="str">
        <f ca="1">IFERROR(__xludf.DUMMYFUNCTION("GOOGLETRANSLATE(D4379,""auto"",""en"")"),"Remote record")</f>
        <v>Remote record</v>
      </c>
    </row>
    <row r="4380" spans="1:5" ht="15" x14ac:dyDescent="0.25">
      <c r="A4380" s="5" t="s">
        <v>12193</v>
      </c>
      <c r="B4380" s="6" t="s">
        <v>12194</v>
      </c>
      <c r="C4380" s="3" t="str">
        <f ca="1">IFERROR(__xludf.DUMMYFUNCTION("GOOGLETRANSLATE(B4380,""auto"",""en"")"),"The process of genetic algorithm used to analyze direct sales issues (Figure 2). This process contains the steps to create and evaluate the initial model group based on the training database; to create a working model group by removing a model with a rela"&amp;"tively low adaptation function from the initial group (114); select a model with relatively high adaptation as follow -up The basis of the model generated (116); iterated modify the selected model to generate a set of models, select the maximum value adap"&amp;"tation function. The automatic genetic program process combines the interface (200) operation, and the interface (200) shows the current model form and the genetic process adapting to history and cumulative improvement value. The interface interacts with "&amp;"the automatic genetic program process to allow users to modify the form of model foundation for genetic program processes. Because users can access the fitness history of models and improve the evaluation, users can guide the model creation process to ana"&amp;"lyze direct sales issues more effectively.")</f>
        <v>The process of genetic algorithm used to analyze direct sales issues (Figure 2). This process contains the steps to create and evaluate the initial model group based on the training database; to create a working model group by removing a model with a relatively low adaptation function from the initial group (114); select a model with relatively high adaptation as follow -up The basis of the model generated (116); iterated modify the selected model to generate a set of models, select the maximum value adaptation function. The automatic genetic program process combines the interface (200) operation, and the interface (200) shows the current model form and the genetic process adapting to history and cumulative improvement value. The interface interacts with the automatic genetic program process to allow users to modify the form of model foundation for genetic program processes. Because users can access the fitness history of models and improve the evaluation, users can guide the model creation process to analyze direct sales issues more effectively.</v>
      </c>
      <c r="D4380" s="6" t="s">
        <v>12195</v>
      </c>
      <c r="E4380" s="4" t="str">
        <f ca="1">IFERROR(__xludf.DUMMYFUNCTION("GOOGLETRANSLATE(D4380,""auto"",""en"")"),"Direct marketing genetic programming")</f>
        <v>Direct marketing genetic programming</v>
      </c>
    </row>
    <row r="4381" spans="1:5" ht="15" x14ac:dyDescent="0.25">
      <c r="A4381" s="5" t="s">
        <v>12196</v>
      </c>
      <c r="B4381" s="6" t="s">
        <v>12194</v>
      </c>
      <c r="C4381" s="3" t="str">
        <f ca="1">IFERROR(__xludf.DUMMYFUNCTION("GOOGLETRANSLATE(B4381,""auto"",""en"")"),"The process of genetic algorithm used to analyze direct sales issues (Figure 2). This process contains the steps to create and evaluate the initial model group based on the training database; to create a working model group by removing a model with a rela"&amp;"tively low adaptation function from the initial group (114); select a model with relatively high adaptation as follow -up The basis of the model generated (116); iterated modify the selected model to generate a set of models, select the maximum value adap"&amp;"tation function. The automatic genetic program process combines the interface (200) operation, and the interface (200) shows the current model form and the genetic process adapting to history and cumulative improvement value. The interface interacts with "&amp;"the automatic genetic program process to allow users to modify the form of model foundation for genetic program processes. Because users can access the fitness history of models and improve the evaluation, users can guide the model creation process to ana"&amp;"lyze direct sales issues more effectively.")</f>
        <v>The process of genetic algorithm used to analyze direct sales issues (Figure 2). This process contains the steps to create and evaluate the initial model group based on the training database; to create a working model group by removing a model with a relatively low adaptation function from the initial group (114); select a model with relatively high adaptation as follow -up The basis of the model generated (116); iterated modify the selected model to generate a set of models, select the maximum value adaptation function. The automatic genetic program process combines the interface (200) operation, and the interface (200) shows the current model form and the genetic process adapting to history and cumulative improvement value. The interface interacts with the automatic genetic program process to allow users to modify the form of model foundation for genetic program processes. Because users can access the fitness history of models and improve the evaluation, users can guide the model creation process to analyze direct sales issues more effectively.</v>
      </c>
      <c r="D4381" s="6" t="s">
        <v>12197</v>
      </c>
      <c r="E4381" s="4" t="str">
        <f ca="1">IFERROR(__xludf.DUMMYFUNCTION("GOOGLETRANSLATE(D4381,""auto"",""en"")"),"Direct marketing gene programming")</f>
        <v>Direct marketing gene programming</v>
      </c>
    </row>
    <row r="4382" spans="1:5" ht="15" x14ac:dyDescent="0.25">
      <c r="A4382" s="5" t="s">
        <v>12198</v>
      </c>
      <c r="B4382" s="6" t="s">
        <v>12199</v>
      </c>
      <c r="C4382" s="3" t="str">
        <f ca="1">IFERROR(__xludf.DUMMYFUNCTION("GOOGLETRANSLATE(B4382,""auto"",""en"")"),"The genetic algorithm process for analyzing direct marketing issues (Figure 2). This process includes steps for the creation and assessment of the initial model group for the training database; to create a working model group (114) by removing models from"&amp;" the initial group with a relatively low adaptation function (114); selection models with higher adaptation as follow -up as follow -up The basis of the model generated (116); iteration modify the selected model to generate a set of models, select the max"&amp;"imum value adaptation function. The automatic genetic program process combines the interface (200) to operate, and the interface (200) shows the current model form with the hereditary process adaptability history and the value -enhanced value. The interfa"&amp;"ce interacts with the automatic genetic program process to allow users to modify the form of a model based on the foundation of the genetic program. Because users can access the fitness history and improvement evaluation of the model, users can guide the "&amp;"model creation process to analyze direct marketing issues more effectively.")</f>
        <v>The genetic algorithm process for analyzing direct marketing issues (Figure 2). This process includes steps for the creation and assessment of the initial model group for the training database; to create a working model group (114) by removing models from the initial group with a relatively low adaptation function (114); selection models with higher adaptation as follow -up as follow -up The basis of the model generated (116); iteration modify the selected model to generate a set of models, select the maximum value adaptation function. The automatic genetic program process combines the interface (200) to operate, and the interface (200) shows the current model form with the hereditary process adaptability history and the value -enhanced value. The interface interacts with the automatic genetic program process to allow users to modify the form of a model based on the foundation of the genetic program. Because users can access the fitness history and improvement evaluation of the model, users can guide the model creation process to analyze direct marketing issues more effectively.</v>
      </c>
      <c r="D4382" s="6" t="s">
        <v>12197</v>
      </c>
      <c r="E4382" s="4" t="str">
        <f ca="1">IFERROR(__xludf.DUMMYFUNCTION("GOOGLETRANSLATE(D4382,""auto"",""en"")"),"Direct marketing gene programming")</f>
        <v>Direct marketing gene programming</v>
      </c>
    </row>
    <row r="4383" spans="1:5" ht="15" x14ac:dyDescent="0.25">
      <c r="A4383" s="5" t="s">
        <v>12200</v>
      </c>
      <c r="B4383" s="6" t="s">
        <v>12201</v>
      </c>
      <c r="C4383" s="3" t="str">
        <f ca="1">IFERROR(__xludf.DUMMYFUNCTION("GOOGLETRANSLATE(B4383,""auto"",""en"")"),"To ensure that the use of mobile or fixed telecommunications terminals from noisy environment (such as airports or stadiums) for natural voice transmission, this type of method is essential. Voice control equipment also needs noise reduction to improve th"&amp;"e quality of voice recognition. In the well -known spectrum subtraction method for noise reduction, the Weina Filter 1.1 is used to significantly expand the dynamic scope of the spectrum subtraction by using compressor 2 and extender 3. Through the overes"&amp;"timation factor O and background noise C of the transmission function H (b, n) of the Venne filter, you can achieve the quality improvement of voice definition in the case of very different voice signal -to -noise ratio. Compared with existing technology,"&amp;" S and noise NL.")</f>
        <v>To ensure that the use of mobile or fixed telecommunications terminals from noisy environment (such as airports or stadiums) for natural voice transmission, this type of method is essential. Voice control equipment also needs noise reduction to improve the quality of voice recognition. In the well -known spectrum subtraction method for noise reduction, the Weina Filter 1.1 is used to significantly expand the dynamic scope of the spectrum subtraction by using compressor 2 and extender 3. Through the overestimation factor O and background noise C of the transmission function H (b, n) of the Venne filter, you can achieve the quality improvement of voice definition in the case of very different voice signal -to -noise ratio. Compared with existing technology, S and noise NL.</v>
      </c>
      <c r="D4383" s="6" t="s">
        <v>12202</v>
      </c>
      <c r="E4383" s="4" t="str">
        <f ca="1">IFERROR(__xludf.DUMMYFUNCTION("GOOGLETRANSLATE(D4383,""auto"",""en"")"),"The noise filtering method in the voice communication device involves control the overvalued factors and background noise variables in the ratio of the Venus filtering function according to the ratio of the voice and noise signal")</f>
        <v>The noise filtering method in the voice communication device involves control the overvalued factors and background noise variables in the ratio of the Venus filtering function according to the ratio of the voice and noise signal</v>
      </c>
    </row>
    <row r="4384" spans="1:5" ht="15" x14ac:dyDescent="0.25">
      <c r="A4384" s="5" t="s">
        <v>12203</v>
      </c>
      <c r="B4384" s="6" t="s">
        <v>12204</v>
      </c>
      <c r="C4384" s="3" t="str">
        <f ca="1">IFERROR(__xludf.DUMMYFUNCTION("GOOGLETRANSLATE(B4384,""auto"",""en"")"),"A system uses a digital camera image instead of human vision to determine whether there is a current in the seawater wave mode of the public swimming beach. The computer analysis of these images involves pre -filtering of the image, which can be treated w"&amp;"ith digital data to enhance the rapids before being classified as Normal or RIP TIDE. The classification itself can be performed by the expert system. These systems imitate the method of detecting the detection of human observer; or by establishing a neur"&amp;"al network to determine its own classification standards to identify the tidal.")</f>
        <v>A system uses a digital camera image instead of human vision to determine whether there is a current in the seawater wave mode of the public swimming beach. The computer analysis of these images involves pre -filtering of the image, which can be treated with digital data to enhance the rapids before being classified as Normal or RIP TIDE. The classification itself can be performed by the expert system. These systems imitate the method of detecting the detection of human observer; or by establishing a neural network to determine its own classification standards to identify the tidal.</v>
      </c>
      <c r="D4384" s="6" t="s">
        <v>12205</v>
      </c>
      <c r="E4384" s="4" t="str">
        <f ca="1">IFERROR(__xludf.DUMMYFUNCTION("GOOGLETRANSLATE(D4384,""auto"",""en"")"),"Automatic tidal tide detection system")</f>
        <v>Automatic tidal tide detection system</v>
      </c>
    </row>
    <row r="4385" spans="1:5" ht="15" x14ac:dyDescent="0.25">
      <c r="A4385" s="5" t="s">
        <v>12206</v>
      </c>
      <c r="B4385" s="6" t="s">
        <v>12207</v>
      </c>
      <c r="C4385" s="3" t="str">
        <f ca="1">IFERROR(__xludf.DUMMYFUNCTION("GOOGLETRANSLATE(B4385,""auto"",""en"")"),"A speaking human -shaped clock, in addition to the traditional time display and alarm clock function, the clock will respond to human voice according to the relevant situation, thereby bringing a pleasant intimacy to lonely people. In addition, you can st"&amp;"ore and output the sound of stage performers or sports stars that people like, and can conduct human intelligent training. The human -shaped clocks that can talk to each other according to the present invention include the following components. That is, l"&amp;"oading the general control program in the central processor (301), installing the time function in it, and storing voice information in the data memory (303). The voice recognition part (304) receives the user's voice through the microphone (305) to ident"&amp;"ify the voice, and the voice output part (306) outputs the voice data through the speaker (308) according to the relevant situation. Communication interface (311) can send and receive data with communication terminals such as PC, mobile phone or IMT2000, "&amp;"and can not only transmit data through the traditional cable Internet, but also transmit data through wireless networks. internet.")</f>
        <v>A speaking human -shaped clock, in addition to the traditional time display and alarm clock function, the clock will respond to human voice according to the relevant situation, thereby bringing a pleasant intimacy to lonely people. In addition, you can store and output the sound of stage performers or sports stars that people like, and can conduct human intelligent training. The human -shaped clocks that can talk to each other according to the present invention include the following components. That is, loading the general control program in the central processor (301), installing the time function in it, and storing voice information in the data memory (303). The voice recognition part (304) receives the user's voice through the microphone (305) to identify the voice, and the voice output part (306) outputs the voice data through the speaker (308) according to the relevant situation. Communication interface (311) can send and receive data with communication terminals such as PC, mobile phone or IMT2000, and can not only transmit data through the traditional cable Internet, but also transmit data through wireless networks. internet.</v>
      </c>
      <c r="D4385" s="6" t="s">
        <v>12208</v>
      </c>
      <c r="E4385" s="4" t="str">
        <f ca="1">IFERROR(__xludf.DUMMYFUNCTION("GOOGLETRANSLATE(D4385,""auto"",""en"")"),"The imitation human clock and its data supply system and its Internet business methods that can be performed through telecommunications")</f>
        <v>The imitation human clock and its data supply system and its Internet business methods that can be performed through telecommunications</v>
      </c>
    </row>
    <row r="4386" spans="1:5" ht="15" x14ac:dyDescent="0.25">
      <c r="A4386" s="5" t="s">
        <v>12209</v>
      </c>
      <c r="B4386" s="6" t="s">
        <v>12207</v>
      </c>
      <c r="C4386" s="3" t="str">
        <f ca="1">IFERROR(__xludf.DUMMYFUNCTION("GOOGLETRANSLATE(B4386,""auto"",""en"")"),"A speaking human -shaped clock, in addition to the traditional time display and alarm clock function, the clock will respond to human voice according to the relevant situation, thereby bringing a pleasant intimacy to lonely people. In addition, you can st"&amp;"ore and output the sound of stage performers or sports stars that people like, and can conduct human intelligent training. The human -shaped clocks that can talk to each other according to the present invention include the following components. That is, l"&amp;"oading the general control program in the central processor (301), installing the time function in it, and storing voice information in the data memory (303). The voice recognition part (304) receives the user's voice through the microphone (305) to ident"&amp;"ify the voice, and the voice output part (306) outputs the voice data through the speaker (308) according to the relevant situation. Communication interface (311) can send and receive data with communication terminals such as PC, mobile phone or IMT2000, "&amp;"and can not only transmit data through the traditional cable Internet, but also transmit data through wireless networks. internet.")</f>
        <v>A speaking human -shaped clock, in addition to the traditional time display and alarm clock function, the clock will respond to human voice according to the relevant situation, thereby bringing a pleasant intimacy to lonely people. In addition, you can store and output the sound of stage performers or sports stars that people like, and can conduct human intelligent training. The human -shaped clocks that can talk to each other according to the present invention include the following components. That is, loading the general control program in the central processor (301), installing the time function in it, and storing voice information in the data memory (303). The voice recognition part (304) receives the user's voice through the microphone (305) to identify the voice, and the voice output part (306) outputs the voice data through the speaker (308) according to the relevant situation. Communication interface (311) can send and receive data with communication terminals such as PC, mobile phone or IMT2000, and can not only transmit data through the traditional cable Internet, but also transmit data through wireless networks. internet.</v>
      </c>
      <c r="D4386" s="6" t="s">
        <v>12210</v>
      </c>
      <c r="E4386" s="4" t="str">
        <f ca="1">IFERROR(__xludf.DUMMYFUNCTION("GOOGLETRANSLATE(D4386,""auto"",""en"")"),"The imitation human clock, the data provides system and its Internet business method that can be used for two -way dialogue through telecommunications")</f>
        <v>The imitation human clock, the data provides system and its Internet business method that can be used for two -way dialogue through telecommunications</v>
      </c>
    </row>
    <row r="4387" spans="1:5" ht="15" x14ac:dyDescent="0.25">
      <c r="A4387" s="5" t="s">
        <v>12211</v>
      </c>
      <c r="B4387" s="6" t="s">
        <v>12212</v>
      </c>
      <c r="C4387" s="3" t="str">
        <f ca="1">IFERROR(__xludf.DUMMYFUNCTION("GOOGLETRANSLATE(B4387,""auto"",""en"")"),"A voice/voice training system (10) By using three voice/voice test database (13A-13C), the relatively independent training phase training phase training/voice recognition model (11) control device (15) control for sequence training operation. The voice/vo"&amp;"ice test database is generated under different acoustic conditions to meet the typical operating environment. Independent claims also include voice/voice recognition equipment with voice/voice models designed with the Voice/voice model of the hidden Marco"&amp;" model, and the voice/voice recognition equipment training system for executing the method of the present invention. -ABST [de] Verfahren Zum Training Und Betrieb Eines SPRACHERKENSERS, INSBESNDERE ZUR SPRECHERUNABHäNGIGIN SPRACHERKENNG, MIT EINER MEHRZAH"&amp;"LVON Sprifro Ben-DatenBasen, Des Trainings Ein GesamtModll Gebildett, Wobei Mindesters Ein Teil Der Sprachproben-Datenhbasen in AbstimmmunGeils Eine Vorbestimmmmmmmmmmte Typisc Typisc Typisc Typisc Typisc Typisc He BetriebSumgeBung des SPRACHERKENERS GEBI"&amp;"LDET IST Und der spracherkenner in Relativ SelbstäNDIGENTRAINTRAINGSPHASEN ZUR GEWINNUNG VON Referenzen Jeweils Separat Mit Diesen Sproben-DatenBasen Trainiert Wird Wird Wird.")</f>
        <v>A voice/voice training system (10) By using three voice/voice test database (13A-13C), the relatively independent training phase training phase training/voice recognition model (11) control device (15) control for sequence training operation. The voice/voice test database is generated under different acoustic conditions to meet the typical operating environment. Independent claims also include voice/voice recognition equipment with voice/voice models designed with the Voice/voice model of the hidden Marco model, and the voice/voice recognition equipment training system for executing the method of the present invention. -ABST [de] Verfahren Zum Training Und Betrieb Eines SPRACHERKENSERS, INSBESNDERE ZUR SPRECHERUNABHäNGIGIN SPRACHERKENNG, MIT EINER MEHRZAHLVON Sprifro Ben-DatenBasen, Des Trainings Ein GesamtModll Gebildett, Wobei Mindesters Ein Teil Der Sprachproben-Datenhbasen in AbstimmmunGeils Eine Vorbestimmmmmmmmmmte Typisc Typisc Typisc Typisc Typisc Typisc He BetriebSumgeBung des SPRACHERKENERS GEBILDET IST Und der spracherkenner in Relativ SelbstäNDIGENTRAINTRAINGSPHASEN ZUR GEWINNUNG VON Referenzen Jeweils Separat Mit Diesen Sproben-DatenBasen Trainiert Wird Wird Wird.</v>
      </c>
      <c r="D4387" s="6" t="s">
        <v>12213</v>
      </c>
      <c r="E4387" s="4" t="str">
        <f ca="1">IFERROR(__xludf.DUMMYFUNCTION("GOOGLETRANSLATE(D4387,""auto"",""en"")"),"The training and operation method of a voice/voice recognition device is used to independent the voice/voice of the speaker identification speaker, and use multiple voice/voice test databases to form an overall operation model.")</f>
        <v>The training and operation method of a voice/voice recognition device is used to independent the voice/voice of the speaker identification speaker, and use multiple voice/voice test databases to form an overall operation model.</v>
      </c>
    </row>
    <row r="4388" spans="1:5" ht="15" x14ac:dyDescent="0.25">
      <c r="A4388" s="5" t="s">
        <v>12214</v>
      </c>
      <c r="B4388" s="6" t="s">
        <v>11916</v>
      </c>
      <c r="C4388" s="3" t="str">
        <f ca="1">IFERROR(__xludf.DUMMYFUNCTION("GOOGLETRANSLATE(B4388,""auto"",""en"")"),"The artificial central mode generator (CPG) of the central mode generator motion controller based on the natural generator can be constructed as an adaptive walking, running, swimming and flying animals. By providing artificial CPG, it can be a chip. Esse"&amp;"nce It is believed that this is the first case of adaptive CPG chip. This sensory feedback system with artificial CPG can be used for mechanical applications, such as running robot legs, walking, flight and swimming machines, as well as miniature and larg"&amp;"e robots, and biological systems, such as the system of spine injury patients with neural network spine.")</f>
        <v>The artificial central mode generator (CPG) of the central mode generator motion controller based on the natural generator can be constructed as an adaptive walking, running, swimming and flying animals. By providing artificial CPG, it can be a chip. Essence It is believed that this is the first case of adaptive CPG chip. This sensory feedback system with artificial CPG can be used for mechanical applications, such as running robot legs, walking, flight and swimming machines, as well as miniature and large robots, and biological systems, such as the system of spine injury patients with neural network spine.</v>
      </c>
      <c r="D4388" s="6" t="s">
        <v>11917</v>
      </c>
      <c r="E4388" s="4" t="str">
        <f ca="1">IFERROR(__xludf.DUMMYFUNCTION("GOOGLETRANSLATE(D4388,""auto"",""en"")"),"Bionic rhythm motion controller")</f>
        <v>Bionic rhythm motion controller</v>
      </c>
    </row>
    <row r="4389" spans="1:5" ht="15" x14ac:dyDescent="0.25">
      <c r="A4389" s="5" t="s">
        <v>12215</v>
      </c>
      <c r="B4389" s="6" t="s">
        <v>12216</v>
      </c>
      <c r="C4389" s="3" t="str">
        <f ca="1">IFERROR(__xludf.DUMMYFUNCTION("GOOGLETRANSLATE(B4389,""auto"",""en"")"),"The artificial central mode generator (CPG) is based on the naturally generated central mode generator movement controller, which is used for walking, running, swimming and flying animals. By providing artificial CPG, it can be constructed as an adaptive "&amp;"CPG. Sensory feedback adjusts its behavior. It is believed that this is the first case of adaptive CPG chip. This sensory feedback system with artificial CPG can be used for mechanical applications, such as running robot legs, walking, flight and swimming"&amp;" machines, as well as miniature and large robots, and can also be used for biological systems, such as the system of patients with spine injury of neural network spine.")</f>
        <v>The artificial central mode generator (CPG) is based on the naturally generated central mode generator movement controller, which is used for walking, running, swimming and flying animals. By providing artificial CPG, it can be constructed as an adaptive CPG. Sensory feedback adjusts its behavior. It is believed that this is the first case of adaptive CPG chip. This sensory feedback system with artificial CPG can be used for mechanical applications, such as running robot legs, walking, flight and swimming machines, as well as miniature and large robots, and can also be used for biological systems, such as the system of patients with spine injury of neural network spine.</v>
      </c>
      <c r="D4389" s="6" t="s">
        <v>11917</v>
      </c>
      <c r="E4389" s="4" t="str">
        <f ca="1">IFERROR(__xludf.DUMMYFUNCTION("GOOGLETRANSLATE(D4389,""auto"",""en"")"),"Bionic rhythm motion controller")</f>
        <v>Bionic rhythm motion controller</v>
      </c>
    </row>
    <row r="4390" spans="1:5" ht="15" x14ac:dyDescent="0.25">
      <c r="A4390" s="5" t="s">
        <v>12217</v>
      </c>
      <c r="B4390" s="6" t="s">
        <v>12218</v>
      </c>
      <c r="C4390" s="3" t="str">
        <f ca="1">IFERROR(__xludf.DUMMYFUNCTION("GOOGLETRANSLATE(B4390,""auto"",""en"")"),"Various methods to provide individuals, management training and development, and organizational capabilities by using software -based interactive games and tools. According to an embodiment, this method includes identifying individual personal network sty"&amp;"les and abilities by using interactive computer software tools. According to the second embodiment, this method provides guidance on individual and human networks by using interactive computer software. According to the third embodiment, this method provi"&amp;"des personal guidance through interactive software program tools. The tool conveys the guidance described in the human environment by using humanized virtual coaches.")</f>
        <v>Various methods to provide individuals, management training and development, and organizational capabilities by using software -based interactive games and tools. According to an embodiment, this method includes identifying individual personal network styles and abilities by using interactive computer software tools. According to the second embodiment, this method provides guidance on individual and human networks by using interactive computer software. According to the third embodiment, this method provides personal guidance through interactive software program tools. The tool conveys the guidance described in the human environment by using humanized virtual coaches.</v>
      </c>
      <c r="D4390" s="6" t="s">
        <v>12219</v>
      </c>
      <c r="E4390" s="4" t="str">
        <f ca="1">IFERROR(__xludf.DUMMYFUNCTION("GOOGLETRANSLATE(D4390,""auto"",""en"")"),"Human -machine interaction method and system")</f>
        <v>Human -machine interaction method and system</v>
      </c>
    </row>
    <row r="4391" spans="1:5" ht="15" x14ac:dyDescent="0.25">
      <c r="A4391" s="5" t="s">
        <v>12220</v>
      </c>
      <c r="B4391" s="6" t="s">
        <v>12221</v>
      </c>
      <c r="C4391" s="3" t="str">
        <f ca="1">IFERROR(__xludf.DUMMYFUNCTION("GOOGLETRANSLATE(B4391,""auto"",""en"")"),"[Question] Training divers, use mobile devices and network servers and other interactive communication systems for academic lectures, collective management and training members' diving skills, and associate the assessment of coaches to them. Provide a wat"&amp;"er diving guidance tissue management system that uses information systems that can present the service provided by members.
  The coaching evaluation system and service introduction system connect to the water and lung diving coach members and members t"&amp;"hrough the information system. The coach members register the service content in the coaching evaluation system and the service introduction system, the coaching rating system and the service recommendation system provides service instructions and lecture"&amp;"r level a member of.")</f>
        <v>[Question] Training divers, use mobile devices and network servers and other interactive communication systems for academic lectures, collective management and training members' diving skills, and associate the assessment of coaches to them. Provide a water diving guidance tissue management system that uses information systems that can present the service provided by members.
  The coaching evaluation system and service introduction system connect to the water and lung diving coach members and members through the information system. The coach members register the service content in the coaching evaluation system and the service introduction system, the coaching rating system and the service recommendation system provides service instructions and lecturer level a member of.</v>
      </c>
      <c r="D4391" s="6" t="s">
        <v>12222</v>
      </c>
      <c r="E4391" s="4" t="str">
        <f ca="1">IFERROR(__xludf.DUMMYFUNCTION("GOOGLETRANSLATE(D4391,""auto"",""en"")"),"Using the information system's water and lung diving guidance organization management system")</f>
        <v>Using the information system's water and lung diving guidance organization management system</v>
      </c>
    </row>
    <row r="4392" spans="1:5" ht="15" x14ac:dyDescent="0.25">
      <c r="A4392" s="5" t="s">
        <v>12223</v>
      </c>
      <c r="B4392" s="6" t="s">
        <v>12224</v>
      </c>
      <c r="C4392" s="3" t="str">
        <f ca="1">IFERROR(__xludf.DUMMYFUNCTION("GOOGLETRANSLATE(B4392,""auto"",""en"")"),"The purpose of the present invention is to provide an artificial intelligence control system and control method for the fitness device. During the exercise process, considering the maximum oxygen consumption of sporting goods and sports according to the m"&amp;"otion curve. Sports curve. Point out athletes. The purpose of the present invention includes the heart rate personal information measured in the heart rate measurement steps: heart rate measurement steps, according to the pre -stored motion program, measu"&amp;"re the heart rate of two time points during the athlete exercise. Products, athletes pre -stored in the fitness machine control system. During the update stage, the motion program corresponding to the maximum oxygen consumption in the maximum oxygen consu"&amp;"mption production step: the fitness control system determines the maximum oxygen consumption consumption and the motion load of the two time points The state and the maximum oxygen consumption calculated in the maximum oxygen consumption steps from the da"&amp;"tabase storage corresponding to the motion program and updated the new motion program of athletes. Sports procedures, heart rate and artificial intelligence.")</f>
        <v>The purpose of the present invention is to provide an artificial intelligence control system and control method for the fitness device. During the exercise process, considering the maximum oxygen consumption of sporting goods and sports according to the motion curve. Sports curve. Point out athletes. The purpose of the present invention includes the heart rate personal information measured in the heart rate measurement steps: heart rate measurement steps, according to the pre -stored motion program, measure the heart rate of two time points during the athlete exercise. Products, athletes pre -stored in the fitness machine control system. During the update stage, the motion program corresponding to the maximum oxygen consumption in the maximum oxygen consumption production step: the fitness control system determines the maximum oxygen consumption consumption and the motion load of the two time points The state and the maximum oxygen consumption calculated in the maximum oxygen consumption steps from the database storage corresponding to the motion program and updated the new motion program of athletes. Sports procedures, heart rate and artificial intelligence.</v>
      </c>
      <c r="D4392" s="6" t="s">
        <v>12225</v>
      </c>
      <c r="E4392" s="4" t="str">
        <f ca="1">IFERROR(__xludf.DUMMYFUNCTION("GOOGLETRANSLATE(D4392,""auto"",""en"")"),"Artificial Intelligence Movement Equipment Control System and Methods")</f>
        <v>Artificial Intelligence Movement Equipment Control System and Methods</v>
      </c>
    </row>
    <row r="4393" spans="1:5" ht="15" x14ac:dyDescent="0.25">
      <c r="A4393" s="5" t="s">
        <v>12226</v>
      </c>
      <c r="B4393" s="6" t="s">
        <v>12227</v>
      </c>
      <c r="C4393" s="3" t="str">
        <f ca="1">IFERROR(__xludf.DUMMYFUNCTION("GOOGLETRANSLATE(B4393,""auto"",""en"")"),"According to the portable data records and/or data backing devices of the first design example, including headbands (1), the head (1) contains all functional components, such as speakers (2), microphone (6), power supply (4), recording, recording, and rec"&amp;"ording / Play unit (3, 5) and operating element (8). Portable data records and/or data backing devices can be equipped with voice recognition functions (5, 6, 14), thereby eliminating the tedious manual operation of the device. Therefore, the overall oper"&amp;"ation comfort of users will be significantly improved.")</f>
        <v>According to the portable data records and/or data backing devices of the first design example, including headbands (1), the head (1) contains all functional components, such as speakers (2), microphone (6), power supply (4), recording, recording, and recording / Play unit (3, 5) and operating element (8). Portable data records and/or data backing devices can be equipped with voice recognition functions (5, 6, 14), thereby eliminating the tedious manual operation of the device. Therefore, the overall operation comfort of users will be significantly improved.</v>
      </c>
      <c r="D4393" s="6" t="s">
        <v>12228</v>
      </c>
      <c r="E4393" s="4" t="str">
        <f ca="1">IFERROR(__xludf.DUMMYFUNCTION("GOOGLETRANSLATE(D4393,""auto"",""en"")"),"Portable data records and/or data backing equipment")</f>
        <v>Portable data records and/or data backing equipment</v>
      </c>
    </row>
    <row r="4394" spans="1:5" ht="15" x14ac:dyDescent="0.25">
      <c r="A4394" s="5" t="s">
        <v>12229</v>
      </c>
      <c r="B4394" s="6" t="s">
        <v>12230</v>
      </c>
      <c r="C4394" s="3" t="str">
        <f ca="1">IFERROR(__xludf.DUMMYFUNCTION("GOOGLETRANSLATE(B4394,""auto"",""en"")"),"The embodiment of the present invention provides a method and device for wireless health monitoring systems, which is used to connect to the health monitoring equipment that can be used to enable the Internet (""WWD"") to interact with patients that can b"&amp;"e used as a healthy monitoring equipment that can be medical equipment. Diseases or health. Equipment or other equipment related to health, such as fitness equipment. If necessary, WWD can use the optional accessories to connect to the general input/outpu"&amp;"t port of WWD to directly connect to the health monitoring equipment by wired. Alternatively, WWD can be wirelessly connected to health monitoring equipment, such as infrared or radio frequency connection, including using protocols such as Bluetooth or 80"&amp;"2.11. If necessary, the adapter can also be used in wireless connections. Users can also manually enter data to WWD, such as small keyboards, keyboards, touch pens or optional places through voice commands. Use the standard Internet agreement to transmit "&amp;"health -related data from WWD to the server. Software program calculation responses that can include server or artificial intelligence systems, and can further provide reviews from doctors or health experts. Users can interact with the server. For example"&amp;", the server sends a response to WWD, and the user can answer the response or provide other information.")</f>
        <v>The embodiment of the present invention provides a method and device for wireless health monitoring systems, which is used to connect to the health monitoring equipment that can be used to enable the Internet ("WWD") to interact with patients that can be used as a healthy monitoring equipment that can be medical equipment. Diseases or health. Equipment or other equipment related to health, such as fitness equipment. If necessary, WWD can use the optional accessories to connect to the general input/output port of WWD to directly connect to the health monitoring equipment by wired. Alternatively, WWD can be wirelessly connected to health monitoring equipment, such as infrared or radio frequency connection, including using protocols such as Bluetooth or 802.11. If necessary, the adapter can also be used in wireless connections. Users can also manually enter data to WWD, such as small keyboards, keyboards, touch pens or optional places through voice commands. Use the standard Internet agreement to transmit health -related data from WWD to the server. Software program calculation responses that can include server or artificial intelligence systems, and can further provide reviews from doctors or health experts. Users can interact with the server. For example, the server sends a response to WWD, and the user can answer the response or provide other information.</v>
      </c>
      <c r="D4394" s="6" t="s">
        <v>11804</v>
      </c>
      <c r="E4394" s="4" t="str">
        <f ca="1">IFERROR(__xludf.DUMMYFUNCTION("GOOGLETRANSLATE(D4394,""auto"",""en"")"),"Health and disease management methods and devices that combine patient data monitoring with wireless Internet connection")</f>
        <v>Health and disease management methods and devices that combine patient data monitoring with wireless Internet connection</v>
      </c>
    </row>
    <row r="4395" spans="1:5" ht="15" x14ac:dyDescent="0.25">
      <c r="A4395" s="5" t="s">
        <v>12231</v>
      </c>
      <c r="B4395" s="6" t="s">
        <v>12232</v>
      </c>
      <c r="C4395" s="3" t="str">
        <f ca="1">IFERROR(__xludf.DUMMYFUNCTION("GOOGLETRANSLATE(B4395,""auto"",""en"")"),"Objective: Provide a typing learning system and its learning method, and enhance the learning effect by playing lyrics that love songs. Composition: typing game management system (2) includes typing learning areas (6), game area (12) and fan club area (14"&amp;"), so learners (4) openly contact the system in the data communication network. Provide the favorite songs of the favorite songs selected by search. Then, the learner chose the competition area (10) with the speed of typing to play online game competition"&amp;"s with others. At that time, learners choose a specific, a specific acceptance of proposal, and then the game begins.")</f>
        <v>Objective: Provide a typing learning system and its learning method, and enhance the learning effect by playing lyrics that love songs. Composition: typing game management system (2) includes typing learning areas (6), game area (12) and fan club area (14), so learners (4) openly contact the system in the data communication network. Provide the favorite songs of the favorite songs selected by search. Then, the learner chose the competition area (10) with the speed of typing to play online game competitions with others. At that time, learners choose a specific, a specific acceptance of proposal, and then the game begins.</v>
      </c>
      <c r="D4395" s="6" t="s">
        <v>12233</v>
      </c>
      <c r="E4395" s="4" t="str">
        <f ca="1">IFERROR(__xludf.DUMMYFUNCTION("GOOGLETRANSLATE(D4395,""auto"",""en"")"),"Game typing learning system and their typing learning methods")</f>
        <v>Game typing learning system and their typing learning methods</v>
      </c>
    </row>
    <row r="4396" spans="1:5" ht="15" x14ac:dyDescent="0.25">
      <c r="A4396" s="5" t="s">
        <v>12234</v>
      </c>
      <c r="B4396" s="6" t="s">
        <v>12235</v>
      </c>
      <c r="C4396" s="3" t="str">
        <f ca="1">IFERROR(__xludf.DUMMYFUNCTION("GOOGLETRANSLATE(B4396,""auto"",""en"")"),"The present invention involves a golf practice device using image recognition technology. More specifically, when the practitioner hit the ball, the speed of the golf ball is measured by speed, and the direction of the golf ball and the shape of the ball."&amp;" The practitioner uses the image recording device to measure. By identifying the accurate flight distance and landing point measurement of the golf ball, and the swing posture, the results are displayed, so that the practitioner can correct the posture, c"&amp;"an enjoy the game program of the game, and the memory used to store the game program. A screen for displaying the game content is also installed to provide the same images as the rounds on the actual golf course so that you can perform golf exercises no m"&amp;"atter when. The recording device of the pose and the direction of the golf ball flight is used to analyze the processing device of the data entered from the measuring device and the input of the shooting device, and the data after the game program used to"&amp;" store these data. The monitor of displaying the processing of the device and the screen composition of the prospect of golf fields according to the game process. Because the results have been confirmed, you can get the same effect as playing with the ide"&amp;"al golf course, and because of identifying the pose and displaying correction data, you can correct your posture and avoid time and space restrictions. It is another type of sports environment without receiving it. It can prevent or inhibit environmental "&amp;"pollution caused by setting up a golf course and the practice field, which has the effect of reducing the destruction of natural environment.")</f>
        <v>The present invention involves a golf practice device using image recognition technology. More specifically, when the practitioner hit the ball, the speed of the golf ball is measured by speed, and the direction of the golf ball and the shape of the ball. The practitioner uses the image recording device to measure. By identifying the accurate flight distance and landing point measurement of the golf ball, and the swing posture, the results are displayed, so that the practitioner can correct the posture, can enjoy the game program of the game, and the memory used to store the game program. A screen for displaying the game content is also installed to provide the same images as the rounds on the actual golf course so that you can perform golf exercises no matter when. The recording device of the pose and the direction of the golf ball flight is used to analyze the processing device of the data entered from the measuring device and the input of the shooting device, and the data after the game program used to store these data. The monitor of displaying the processing of the device and the screen composition of the prospect of golf fields according to the game process. Because the results have been confirmed, you can get the same effect as playing with the ideal golf course, and because of identifying the pose and displaying correction data, you can correct your posture and avoid time and space restrictions. It is another type of sports environment without receiving it. It can prevent or inhibit environmental pollution caused by setting up a golf course and the practice field, which has the effect of reducing the destruction of natural environment.</v>
      </c>
      <c r="D4396" s="6" t="s">
        <v>12236</v>
      </c>
      <c r="E4396" s="4" t="str">
        <f ca="1">IFERROR(__xludf.DUMMYFUNCTION("GOOGLETRANSLATE(D4396,""auto"",""en"")"),"Golf exercise device using image recognition technology")</f>
        <v>Golf exercise device using image recognition technology</v>
      </c>
    </row>
    <row r="4397" spans="1:5" ht="15" x14ac:dyDescent="0.25">
      <c r="A4397" s="5" t="s">
        <v>12237</v>
      </c>
      <c r="B4397" s="6" t="s">
        <v>12238</v>
      </c>
      <c r="C4397" s="3" t="str">
        <f ca="1">IFERROR(__xludf.DUMMYFUNCTION("GOOGLETRANSLATE(B4397,""auto"",""en"")"),"The method and system of portable phone calls through voice recognition operations can be disclosed. It can call the phone number, call and answer the phone by recognizing the voice command. The voice recognition system of portable telephone includes voic"&amp;"e recognition processor, which is used to identify the input voice by measuring the reference mode and by the similarity obtained by the input mode of the specific parameter from the voice signal including voice commands and phone numbers; The interface u"&amp;"nit is connected to the voice recognition processor, the mobile phone button input unit and the cover switch, the output signal value of the interface unit logic combination switch or the signal value of the signal value corresponding to the cover of the "&amp;"cover is entered. Instrument; and control unit, to control and store and erase the overall operation of portable telephones related to the phone number, dial call number, start calling and end call -related portable telephones based on the combination sig"&amp;"nal from the interface unit.")</f>
        <v>The method and system of portable phone calls through voice recognition operations can be disclosed. It can call the phone number, call and answer the phone by recognizing the voice command. The voice recognition system of portable telephone includes voice recognition processor, which is used to identify the input voice by measuring the reference mode and by the similarity obtained by the input mode of the specific parameter from the voice signal including voice commands and phone numbers; The interface unit is connected to the voice recognition processor, the mobile phone button input unit and the cover switch, the output signal value of the interface unit logic combination switch or the signal value of the signal value corresponding to the cover of the cover is entered. Instrument; and control unit, to control and store and erase the overall operation of portable telephones related to the phone number, dial call number, start calling and end call -related portable telephones based on the combination signal from the interface unit.</v>
      </c>
      <c r="D4397" s="6" t="s">
        <v>12239</v>
      </c>
      <c r="E4397" s="4" t="str">
        <f ca="1">IFERROR(__xludf.DUMMYFUNCTION("GOOGLETRANSLATE(D4397,""auto"",""en"")"),"Operation mobile phone through voice recognition")</f>
        <v>Operation mobile phone through voice recognition</v>
      </c>
    </row>
    <row r="4398" spans="1:5" ht="15" x14ac:dyDescent="0.25">
      <c r="A4398" s="5" t="s">
        <v>12240</v>
      </c>
      <c r="B4398" s="6" t="s">
        <v>12241</v>
      </c>
      <c r="C4398" s="3" t="str">
        <f ca="1">IFERROR(__xludf.DUMMYFUNCTION("GOOGLETRANSLATE(B4398,""auto"",""en"")"),"The method and system of portable phone calls through voice recognition operations can be disclosed. It can call the phone number, call and answer the phone by recognizing the voice command. The voice recognition system of portable telephone includes voic"&amp;"e recognition processor, which is used to identify the input voice by measuring the reference mode and by the similarity obtained by the input mode of the specific parameter from the voice signal including voice commands and phone numbers; The interface u"&amp;"nit is connected to the voice recognition processor, the handset button input unit and the cover plate switch, the output signal value of the interface unit logic combination board switch or the signal button that has a signal value corresponding to the s"&amp;"ignal value of the voice recognition processor recognition. Identify the processor; and the control unit is used to control and store and erase the overall operation of portable telephones related to the phone number, dial call number, start calling and e"&amp;"nd calls based on the combination signal from the interface unit.")</f>
        <v>The method and system of portable phone calls through voice recognition operations can be disclosed. It can call the phone number, call and answer the phone by recognizing the voice command. The voice recognition system of portable telephone includes voice recognition processor, which is used to identify the input voice by measuring the reference mode and by the similarity obtained by the input mode of the specific parameter from the voice signal including voice commands and phone numbers; The interface unit is connected to the voice recognition processor, the handset button input unit and the cover plate switch, the output signal value of the interface unit logic combination board switch or the signal button that has a signal value corresponding to the signal value of the voice recognition processor recognition. Identify the processor; and the control unit is used to control and store and erase the overall operation of portable telephones related to the phone number, dial call number, start calling and end calls based on the combination signal from the interface unit.</v>
      </c>
      <c r="D4398" s="6" t="s">
        <v>12242</v>
      </c>
      <c r="E4398" s="4" t="str">
        <f ca="1">IFERROR(__xludf.DUMMYFUNCTION("GOOGLETRANSLATE(D4398,""auto"",""en"")"),"Portable phone number through voice recognition operation")</f>
        <v>Portable phone number through voice recognition operation</v>
      </c>
    </row>
    <row r="4399" spans="1:5" ht="15" x14ac:dyDescent="0.25">
      <c r="A4399" s="5" t="s">
        <v>12243</v>
      </c>
      <c r="B4399" s="6" t="s">
        <v>12244</v>
      </c>
      <c r="C4399" s="3" t="str">
        <f ca="1">IFERROR(__xludf.DUMMYFUNCTION("GOOGLETRANSLATE(B4399,""auto"",""en"")"),"A voice browser and conversion system that can make the website -friendly friendly voice.
  The voice browser and conversion system include text -to -voice conversion software for reading web pages and mechanisms from simple keys or voice recognition na"&amp;"vigation to the next page. End users can access the computer and browse the computer network by basic telephone, and search for custom news and other information by creating mask on the page. You can access the webpage of specific requests. Each end user "&amp;"can customize a personal page, which can include key information such as sports and weather, and access their own personal pages via telephone or other devices (such as personal digital assistants).")</f>
        <v>A voice browser and conversion system that can make the website -friendly friendly voice.
  The voice browser and conversion system include text -to -voice conversion software for reading web pages and mechanisms from simple keys or voice recognition navigation to the next page. End users can access the computer and browse the computer network by basic telephone, and search for custom news and other information by creating mask on the page. You can access the webpage of specific requests. Each end user can customize a personal page, which can include key information such as sports and weather, and access their own personal pages via telephone or other devices (such as personal digital assistants).</v>
      </c>
      <c r="D4399" s="6" t="s">
        <v>12245</v>
      </c>
      <c r="E4399" s="4" t="str">
        <f ca="1">IFERROR(__xludf.DUMMYFUNCTION("GOOGLETRANSLATE(D4399,""auto"",""en"")"),"A method of transforming the webpage of users; a method to automatically convey the user's access to the webpage with the intelligent proxy process; voice browser and conversion system; how to make mask")</f>
        <v>A method of transforming the webpage of users; a method to automatically convey the user's access to the webpage with the intelligent proxy process; voice browser and conversion system; how to make mask</v>
      </c>
    </row>
    <row r="4400" spans="1:5" ht="15" x14ac:dyDescent="0.25">
      <c r="A4400" s="5" t="s">
        <v>12246</v>
      </c>
      <c r="B4400" s="6" t="s">
        <v>12247</v>
      </c>
      <c r="C4400" s="3" t="str">
        <f ca="1">IFERROR(__xludf.DUMMYFUNCTION("GOOGLETRANSLATE(B4400,""auto"",""en"")"),"A method and system that uses voice recognition to operate a portable phone, which can be called by recognizing the voice commands to call the phone number, a call and answering call. The voice recognition system of Dollar A portable telephone includes vo"&amp;"ice recognition processors to identify voice input by measuring the similarity between the reference mode and the input mode. In some parameters, get the phone number and interface unit, and connect to the voice recognition processor, the mobile phone but"&amp;"ton input unit and the shutter switch. Among them, the interface unit logical combination shutter switch or the output signal value of the input unit of the mobile phone button with corresponding functions. The signal value of the voice recognition proces"&amp;"sor recognition, and a control unit for controlling the overall operation of portable telephones to store and delete the identified phone number, dial call number, initiate calls and end calls. Consistent with a combination signal from the interface unit.")</f>
        <v>A method and system that uses voice recognition to operate a portable phone, which can be called by recognizing the voice commands to call the phone number, a call and answering call. The voice recognition system of Dollar A portable telephone includes voice recognition processors to identify voice input by measuring the similarity between the reference mode and the input mode. In some parameters, get the phone number and interface unit, and connect to the voice recognition processor, the mobile phone button input unit and the shutter switch. Among them, the interface unit logical combination shutter switch or the output signal value of the input unit of the mobile phone button with corresponding functions. The signal value of the voice recognition processor recognition, and a control unit for controlling the overall operation of portable telephones to store and delete the identified phone number, dial call number, initiate calls and end calls. Consistent with a combination signal from the interface unit.</v>
      </c>
      <c r="D4400" s="6" t="s">
        <v>12248</v>
      </c>
      <c r="E4400" s="4" t="str">
        <f ca="1">IFERROR(__xludf.DUMMYFUNCTION("GOOGLETRANSLATE(D4400,""auto"",""en"")"),"Methods and systems of portable telephones through voice recognition operations")</f>
        <v>Methods and systems of portable telephones through voice recognition operations</v>
      </c>
    </row>
    <row r="4401" spans="1:5" ht="15" x14ac:dyDescent="0.25">
      <c r="A4401" s="5" t="s">
        <v>12249</v>
      </c>
      <c r="B4401" s="6" t="s">
        <v>12238</v>
      </c>
      <c r="C4401" s="3" t="str">
        <f ca="1">IFERROR(__xludf.DUMMYFUNCTION("GOOGLETRANSLATE(B4401,""auto"",""en"")"),"The method and system of portable phone calls through voice recognition operations can be disclosed. It can call the phone number, call and answer the phone by recognizing the voice command. The voice recognition system of portable telephone includes voic"&amp;"e recognition processor, which is used to identify the input voice by measuring the reference mode and by the similarity obtained by the input mode of the specific parameter from the voice signal including voice commands and phone numbers; The interface u"&amp;"nit is connected to the voice recognition processor, the mobile phone button input unit and the cover switch, the output signal value of the interface unit logic combination switch or the signal value of the signal value corresponding to the cover of the "&amp;"cover is entered. Instrument; and control unit, to control and store and erase the overall operation of portable telephones related to the phone number, dial call number, start calling and end call -related portable telephones based on the combination sig"&amp;"nal from the interface unit.")</f>
        <v>The method and system of portable phone calls through voice recognition operations can be disclosed. It can call the phone number, call and answer the phone by recognizing the voice command. The voice recognition system of portable telephone includes voice recognition processor, which is used to identify the input voice by measuring the reference mode and by the similarity obtained by the input mode of the specific parameter from the voice signal including voice commands and phone numbers; The interface unit is connected to the voice recognition processor, the mobile phone button input unit and the cover switch, the output signal value of the interface unit logic combination switch or the signal value of the signal value corresponding to the cover of the cover is entered. Instrument; and control unit, to control and store and erase the overall operation of portable telephones related to the phone number, dial call number, start calling and end call -related portable telephones based on the combination signal from the interface unit.</v>
      </c>
      <c r="D4401" s="6" t="s">
        <v>12239</v>
      </c>
      <c r="E4401" s="4" t="str">
        <f ca="1">IFERROR(__xludf.DUMMYFUNCTION("GOOGLETRANSLATE(D4401,""auto"",""en"")"),"Operation mobile phone through voice recognition")</f>
        <v>Operation mobile phone through voice recognition</v>
      </c>
    </row>
    <row r="4402" spans="1:5" ht="15" x14ac:dyDescent="0.25">
      <c r="A4402" s="5" t="s">
        <v>12250</v>
      </c>
      <c r="B4402" s="6" t="s">
        <v>12251</v>
      </c>
      <c r="C4402" s="3" t="str">
        <f ca="1">IFERROR(__xludf.DUMMYFUNCTION("GOOGLETRANSLATE(B4402,""auto"",""en"")"),"Equipped with a mobile communication terminal controlled by a user locking device based on the present invention, and the overall operation of the main control unit includes the main control unit. The voice input unit of the signal; the audio output unit "&amp;"is used to output audio signals to the outside; compilation code unit, transform the audio signal entered from the audio input unit into a digital signal transmission to the main control unit, and the digital signal transmitted by the main control unit tr"&amp;"ansmission Converted to voice signal transmission to the audio output unit; the storage unit receives the signal mode of the vocal code analysis from the main control unit, and records the analysis of the signal mode; the user lock the device control unit"&amp;" executes the control of the user's voice command. In addition, the control method of mobile communication terminals that use voice recognition users with voice recognition device according to the invention include the following steps: the user press the "&amp;"voice command input button; the input user lock refers to the voice control command; the terminal judge the voice control of the user input by the user input The signal mode of the control command recorded in the memory is the same; when the signal mode o"&amp;"f the voice control command entered by the user input is the same as that of the signal mode of the control command recorded in the memory, the terminal execution of the user lock the user input control command.")</f>
        <v>Equipped with a mobile communication terminal controlled by a user locking device based on the present invention, and the overall operation of the main control unit includes the main control unit. The voice input unit of the signal; the audio output unit is used to output audio signals to the outside; compilation code unit, transform the audio signal entered from the audio input unit into a digital signal transmission to the main control unit, and the digital signal transmitted by the main control unit transmission Converted to voice signal transmission to the audio output unit; the storage unit receives the signal mode of the vocal code analysis from the main control unit, and records the analysis of the signal mode; the user lock the device control unit executes the control of the user's voice command. In addition, the control method of mobile communication terminals that use voice recognition users with voice recognition device according to the invention include the following steps: the user press the voice command input button; the input user lock refers to the voice control command; the terminal judge the voice control of the user input by the user input The signal mode of the control command recorded in the memory is the same; when the signal mode of the voice control command entered by the user input is the same as that of the signal mode of the control command recorded in the memory, the terminal execution of the user lock the user input control command.</v>
      </c>
      <c r="D4402" s="6" t="s">
        <v>12252</v>
      </c>
      <c r="E4402" s="4" t="str">
        <f ca="1">IFERROR(__xludf.DUMMYFUNCTION("GOOGLETRANSLATE(D4402,""auto"",""en"")"),"Equipped with a mobile communication terminal and its control method with a user locking device with voice recognition")</f>
        <v>Equipped with a mobile communication terminal and its control method with a user locking device with voice recognition</v>
      </c>
    </row>
    <row r="4403" spans="1:5" ht="15" x14ac:dyDescent="0.25">
      <c r="A4403" s="5" t="s">
        <v>12253</v>
      </c>
      <c r="B4403" s="6" t="s">
        <v>12241</v>
      </c>
      <c r="C4403" s="3" t="str">
        <f ca="1">IFERROR(__xludf.DUMMYFUNCTION("GOOGLETRANSLATE(B4403,""auto"",""en"")"),"The method and system of portable phone calls through voice recognition operations can be disclosed. It can call the phone number, call and answer the phone by recognizing the voice command. The voice recognition system of portable telephone includes voic"&amp;"e recognition processor, which is used to identify the input voice by measuring the reference mode and by the similarity obtained by the input mode of the specific parameter from the voice signal including voice commands and phone numbers; The interface u"&amp;"nit is connected to the voice recognition processor, the handset button input unit and the cover plate switch, the output signal value of the interface unit logic combination board switch or the signal button that has a signal value corresponding to the s"&amp;"ignal value of the voice recognition processor recognition. Identify the processor; and the control unit is used to control and store and erase the overall operation of portable telephones related to the phone number, dial call number, start calling and e"&amp;"nd calls based on the combination signal from the interface unit.")</f>
        <v>The method and system of portable phone calls through voice recognition operations can be disclosed. It can call the phone number, call and answer the phone by recognizing the voice command. The voice recognition system of portable telephone includes voice recognition processor, which is used to identify the input voice by measuring the reference mode and by the similarity obtained by the input mode of the specific parameter from the voice signal including voice commands and phone numbers; The interface unit is connected to the voice recognition processor, the handset button input unit and the cover plate switch, the output signal value of the interface unit logic combination board switch or the signal button that has a signal value corresponding to the signal value of the voice recognition processor recognition. Identify the processor; and the control unit is used to control and store and erase the overall operation of portable telephones related to the phone number, dial call number, start calling and end calls based on the combination signal from the interface unit.</v>
      </c>
      <c r="D4403" s="6" t="s">
        <v>12248</v>
      </c>
      <c r="E4403" s="4" t="str">
        <f ca="1">IFERROR(__xludf.DUMMYFUNCTION("GOOGLETRANSLATE(D4403,""auto"",""en"")"),"Methods and systems of portable telephones through voice recognition operations")</f>
        <v>Methods and systems of portable telephones through voice recognition operations</v>
      </c>
    </row>
    <row r="4404" spans="1:5" ht="15" x14ac:dyDescent="0.25">
      <c r="A4404" s="5" t="s">
        <v>12254</v>
      </c>
      <c r="B4404" s="6" t="s">
        <v>12255</v>
      </c>
      <c r="C4404" s="3" t="str">
        <f ca="1">IFERROR(__xludf.DUMMYFUNCTION("GOOGLETRANSLATE(B4404,""auto"",""en"")"),"A method and system of portable phone calls through voice recognition operations can be disclosed. It can call the phone number, call and answer the phone by recognizing the voice command. The portable phone voice recognition system includes voice recogni"&amp;"tion processor, which is used to identify the input voice by measuring the reference mode and by the similarities obtained by the input mode obtained from the input mode from the voice signal including voice commands and phone numbers. The interface unit "&amp;"is connected to the voice recognition processor, the mobile phone button input unit and the cover plate switch. Essence Voice recognition processor; control unit, for the overall operation of portable telephones related to portable phone numbers, dial cal"&amp;"l numbers, start calling and end calls based on the combined signal signal control and storage of the interface unit.")</f>
        <v>A method and system of portable phone calls through voice recognition operations can be disclosed. It can call the phone number, call and answer the phone by recognizing the voice command. The portable phone voice recognition system includes voice recognition processor, which is used to identify the input voice by measuring the reference mode and by the similarities obtained by the input mode obtained from the input mode from the voice signal including voice commands and phone numbers. The interface unit is connected to the voice recognition processor, the mobile phone button input unit and the cover plate switch. Essence Voice recognition processor; control unit, for the overall operation of portable telephones related to portable phone numbers, dial call numbers, start calling and end calls based on the combined signal signal control and storage of the interface unit.</v>
      </c>
      <c r="D4404" s="6" t="s">
        <v>12242</v>
      </c>
      <c r="E4404" s="4" t="str">
        <f ca="1">IFERROR(__xludf.DUMMYFUNCTION("GOOGLETRANSLATE(D4404,""auto"",""en"")"),"Portable phone number through voice recognition operation")</f>
        <v>Portable phone number through voice recognition operation</v>
      </c>
    </row>
    <row r="4405" spans="1:5" ht="15" x14ac:dyDescent="0.25">
      <c r="A4405" s="5" t="s">
        <v>12256</v>
      </c>
      <c r="B4405" s="6" t="s">
        <v>12238</v>
      </c>
      <c r="C4405" s="3" t="str">
        <f ca="1">IFERROR(__xludf.DUMMYFUNCTION("GOOGLETRANSLATE(B4405,""auto"",""en"")"),"The method and system of portable phone calls through voice recognition operations can be disclosed. It can call the phone number, call and answer the phone by recognizing the voice command. The voice recognition system of portable telephone includes voic"&amp;"e recognition processor, which is used to identify the input voice by measuring the reference mode and by the similarity obtained by the input mode of the specific parameter from the voice signal including voice commands and phone numbers; The interface u"&amp;"nit is connected to the voice recognition processor, the mobile phone button input unit and the cover switch, the output signal value of the interface unit logic combination switch or the signal value of the signal value corresponding to the cover of the "&amp;"cover is entered. Instrument; and control unit, to control and store and erase the overall operation of portable telephones related to the phone number, dial call number, start calling and end call -related portable telephones based on the combination sig"&amp;"nal from the interface unit.")</f>
        <v>The method and system of portable phone calls through voice recognition operations can be disclosed. It can call the phone number, call and answer the phone by recognizing the voice command. The voice recognition system of portable telephone includes voice recognition processor, which is used to identify the input voice by measuring the reference mode and by the similarity obtained by the input mode of the specific parameter from the voice signal including voice commands and phone numbers; The interface unit is connected to the voice recognition processor, the mobile phone button input unit and the cover switch, the output signal value of the interface unit logic combination switch or the signal value of the signal value corresponding to the cover of the cover is entered. Instrument; and control unit, to control and store and erase the overall operation of portable telephones related to the phone number, dial call number, start calling and end call -related portable telephones based on the combination signal from the interface unit.</v>
      </c>
      <c r="D4405" s="6" t="s">
        <v>12248</v>
      </c>
      <c r="E4405" s="4" t="str">
        <f ca="1">IFERROR(__xludf.DUMMYFUNCTION("GOOGLETRANSLATE(D4405,""auto"",""en"")"),"Methods and systems of portable telephones through voice recognition operations")</f>
        <v>Methods and systems of portable telephones through voice recognition operations</v>
      </c>
    </row>
    <row r="4406" spans="1:5" ht="15" x14ac:dyDescent="0.25">
      <c r="A4406" s="5" t="s">
        <v>12257</v>
      </c>
      <c r="B4406" s="6" t="s">
        <v>12258</v>
      </c>
      <c r="C4406" s="3" t="str">
        <f ca="1">IFERROR(__xludf.DUMMYFUNCTION("GOOGLETRANSLATE(B4406,""auto"",""en"")"),"1. The technical field of the invention described in the claim involves the number of steps, movement distances, exercise time, sports speed, calorie consumption and body fat during walking, walking, jogging, marathon and other movement. It involves a dev"&amp;"ice and method for measuring consumption, etc. 2. The technical problems to be solved by the present invention are the number of steps, exercise distance, exercise time, exercise speed, calorie consumption, and body fat consumption during the movement of "&amp;"walking, walking, jogging, and marathon. It provides a computer -readable record medium, records the program that implements the device and its method, and provides the research data, measurement coefficients and calculation formulas, and methods. 3. Summ"&amp;"ary of the invention plan. The invention provides a data input device for receiving physical conditions such as the gender, age, weight, and stride of the exercise; choose the device to choose the types of sports such as walking, walking, jogging, maratho"&amp;"n and other types of sports; Step device for statistical trainers walking, walking, jogging, marathon, etc.; display the device to display the number of movements, exercise time, exercise distance, calorie consumption, body fat consumption and other exerc"&amp;"ise; It is used to receive and store calorie consumption measurement coefficients and calculation formulas, body fat consumption measurement coefficients and calculation formulas based on measured and research statistics; The number of steps, exercise tim"&amp;"e, movement speed, etc. of the number of step statistics, and the amount of calorie consumed in the storage device. Based on the measurement coefficient, calculation formula and body fat consumption measurement coefficient and calculation formula, calcula"&amp;"te the calorie consumption and body fat consumption based on the amount of motion, as well as the number of steps, exercise time, exercise speed, calorie consumption, body fat rate through display device and central government The processing device contro"&amp;"ls the above components for calculation, showing the results of consumption and other movement. 4. The important use of the present invention is used as a measurement device for walking, walking, jogging, marathon and other movements.")</f>
        <v>1. The technical field of the invention described in the claim involves the number of steps, movement distances, exercise time, sports speed, calorie consumption and body fat during walking, walking, jogging, marathon and other movement. It involves a device and method for measuring consumption, etc. 2. The technical problems to be solved by the present invention are the number of steps, exercise distance, exercise time, exercise speed, calorie consumption, and body fat consumption during the movement of walking, walking, jogging, and marathon. It provides a computer -readable record medium, records the program that implements the device and its method, and provides the research data, measurement coefficients and calculation formulas, and methods. 3. Summary of the invention plan. The invention provides a data input device for receiving physical conditions such as the gender, age, weight, and stride of the exercise; choose the device to choose the types of sports such as walking, walking, jogging, marathon and other types of sports; Step device for statistical trainers walking, walking, jogging, marathon, etc.; display the device to display the number of movements, exercise time, exercise distance, calorie consumption, body fat consumption and other exercise; It is used to receive and store calorie consumption measurement coefficients and calculation formulas, body fat consumption measurement coefficients and calculation formulas based on measured and research statistics; The number of steps, exercise time, movement speed, etc. of the number of step statistics, and the amount of calorie consumed in the storage device. Based on the measurement coefficient, calculation formula and body fat consumption measurement coefficient and calculation formula, calculate the calorie consumption and body fat consumption based on the amount of motion, as well as the number of steps, exercise time, exercise speed, calorie consumption, body fat rate through display device and central government The processing device controls the above components for calculation, showing the results of consumption and other movement. 4. The important use of the present invention is used as a measurement device for walking, walking, jogging, marathon and other movements.</v>
      </c>
      <c r="D4406" s="6" t="s">
        <v>12259</v>
      </c>
      <c r="E4406" s="4" t="str">
        <f ca="1">IFERROR(__xludf.DUMMYFUNCTION("GOOGLETRANSLATE(D4406,""auto"",""en"")"),"Artificial intelligence motion measurement device and method for walking/alarm/jogging/marathon")</f>
        <v>Artificial intelligence motion measurement device and method for walking/alarm/jogging/marathon</v>
      </c>
    </row>
    <row r="4407" spans="1:5" ht="15" x14ac:dyDescent="0.25">
      <c r="A4407" s="5" t="s">
        <v>12260</v>
      </c>
      <c r="B4407" s="6" t="s">
        <v>12261</v>
      </c>
      <c r="C4407" s="3" t="s">
        <v>12425</v>
      </c>
      <c r="D4407" s="6" t="s">
        <v>12262</v>
      </c>
      <c r="E4407" s="4" t="str">
        <f ca="1">IFERROR(__xludf.DUMMYFUNCTION("GOOGLETRANSLATE(D4407,""auto"",""en"")"),"Supermini multi -network computer system development and control device implementation technical manufacturing method")</f>
        <v>Supermini multi -network computer system development and control device implementation technical manufacturing method</v>
      </c>
    </row>
    <row r="4408" spans="1:5" ht="15" x14ac:dyDescent="0.25">
      <c r="A4408" s="5" t="s">
        <v>12263</v>
      </c>
      <c r="B4408" s="6" t="s">
        <v>12264</v>
      </c>
      <c r="C4408" s="3" t="str">
        <f ca="1">IFERROR(__xludf.DUMMYFUNCTION("GOOGLETRANSLATE(B4408,""auto"",""en"")"),"[0001] The present invention involves a ringtone with a voice recognition device to reduce the information system, voice recognition device, and data processing device. The voice recognition device can easily change the ringtone of the mobile phone to voi"&amp;"ce by using a transmitter and a receiver. In general, stock information, sports information, fortune information, adult information, blind date information, dating information, sexual consulting information, activity information, tourism information, ring"&amp;"tone download information and other information. The invention involves the ringtone download information in the above service, which solves the income of the use of the phone fee for using the voice recognition device through various comments, and the in"&amp;"convenience of the ringtone of the ringtone for pressing the key to press the phone according to the traditional remarks. When calling the singer's song after call, the voice recognition device recognizes the voice, and according to the identified signal,"&amp;" transmits the built -in singer songs in the data processing device, and can download the ringtone. It is developed like this")</f>
        <v>[0001] The present invention involves a ringtone with a voice recognition device to reduce the information system, voice recognition device, and data processing device. The voice recognition device can easily change the ringtone of the mobile phone to voice by using a transmitter and a receiver. In general, stock information, sports information, fortune information, adult information, blind date information, dating information, sexual consulting information, activity information, tourism information, ringtone download information and other information. The invention involves the ringtone download information in the above service, which solves the income of the use of the phone fee for using the voice recognition device through various comments, and the inconvenience of the ringtone of the ringtone for pressing the key to press the phone according to the traditional remarks. When calling the singer's song after call, the voice recognition device recognizes the voice, and according to the identified signal, transmits the built -in singer songs in the data processing device, and can download the ringtone. It is developed like this</v>
      </c>
      <c r="D4408" s="6" t="s">
        <v>12265</v>
      </c>
      <c r="E4408" s="4" t="str">
        <f ca="1">IFERROR(__xludf.DUMMYFUNCTION("GOOGLETRANSLATE(D4408,""auto"",""en"")"),"Using the ringtone information system using voice recognition equipment")</f>
        <v>Using the ringtone information system using voice recognition equipment</v>
      </c>
    </row>
    <row r="4409" spans="1:5" ht="15" x14ac:dyDescent="0.25">
      <c r="A4409" s="5" t="s">
        <v>12266</v>
      </c>
      <c r="B4409" s="6" t="s">
        <v>12267</v>
      </c>
      <c r="C4409" s="3" t="str">
        <f ca="1">IFERROR(__xludf.DUMMYFUNCTION("GOOGLETRANSLATE(B4409,""auto"",""en"")"),"The present invention includes computer -based simulation games and online malls. They are the necessities of modern people living in the 21st century. In other words, unmarried men and women who have not really given birth to their children, raising thei"&amp;"r own netwalks on the Internet are just like pets, ranging from 3 months to 8 years of pregnancy, and 9 years cycles. In the actual competition, it has been raised for one month in these nine years. With the development of the game, the information and co"&amp;"mmon sense required for parenting are very helpful for the breeding of real babies. It is a mall website with a combination of games. Users can directly buy products consumed in the game. To this end, the present invention provides a 12 -year -old access "&amp;"to artificial intelligence raising baby game steps, artificial intelligence raising baby procedures, and the necessary management procedures for management procedures in the process of breeding. A baby and providing common sense and information. It is com"&amp;"posed of a mall program that plays a game and a mall program that can directly buy products consumed in the game.")</f>
        <v>The present invention includes computer -based simulation games and online malls. They are the necessities of modern people living in the 21st century. In other words, unmarried men and women who have not really given birth to their children, raising their own netwalks on the Internet are just like pets, ranging from 3 months to 8 years of pregnancy, and 9 years cycles. In the actual competition, it has been raised for one month in these nine years. With the development of the game, the information and common sense required for parenting are very helpful for the breeding of real babies. It is a mall website with a combination of games. Users can directly buy products consumed in the game. To this end, the present invention provides a 12 -year -old access to artificial intelligence raising baby game steps, artificial intelligence raising baby procedures, and the necessary management procedures for management procedures in the process of breeding. A baby and providing common sense and information. It is composed of a mall program that plays a game and a mall program that can directly buy products consumed in the game.</v>
      </c>
      <c r="D4409" s="6" t="s">
        <v>12268</v>
      </c>
      <c r="E4409" s="4" t="str">
        <f ca="1">IFERROR(__xludf.DUMMYFUNCTION("GOOGLETRANSLATE(D4409,""auto"",""en"")"),"Internet online baby nursery game and shopping center")</f>
        <v>Internet online baby nursery game and shopping center</v>
      </c>
    </row>
    <row r="4410" spans="1:5" ht="15" x14ac:dyDescent="0.25">
      <c r="A4410" s="5" t="s">
        <v>12269</v>
      </c>
      <c r="B4410" s="6" t="s">
        <v>12270</v>
      </c>
      <c r="C4410" s="3" t="str">
        <f ca="1">IFERROR(__xludf.DUMMYFUNCTION("GOOGLETRANSLATE(B4410,""auto"",""en"")"),"[Question] Provides a rowing commentary broadcasting equipment for the on -site videos of displaying operations and competitions on the monitor of the rowing runway without the need to intervene in operators.
  Solution: The voice recognition unit 103 c"&amp;"an identify sounds such as ""the start of the performance of the first game"" or the horn sounds played in the hall, and notify the on -site explanation. The notified live control department 105 confirmed the game time stored in the schedule storage depar"&amp;"tment 101, and instructed the camera switch control department 110 to start shooting. Image recognition unit 104 recognition of the ship number of the ship taken during the exhibition cruise. The display image production department 106 reads the name and "&amp;"ship number of the contestants from the Rowing Information Storage Department 102, and produces display images. The display control unit 111 stacked the image with the image of the boat on the monitor 112. When the competition is in progress, the image re"&amp;"cognition unit 104 recognizes the leading ship and notify the camera switching control unit 110 to switch the instructions to shoot the camera for the division area. Show the control department 111 shows the image tracked to the first ship.")</f>
        <v>[Question] Provides a rowing commentary broadcasting equipment for the on -site videos of displaying operations and competitions on the monitor of the rowing runway without the need to intervene in operators.
  Solution: The voice recognition unit 103 can identify sounds such as "the start of the performance of the first game" or the horn sounds played in the hall, and notify the on -site explanation. The notified live control department 105 confirmed the game time stored in the schedule storage department 101, and instructed the camera switch control department 110 to start shooting. Image recognition unit 104 recognition of the ship number of the ship taken during the exhibition cruise. The display image production department 106 reads the name and ship number of the contestants from the Rowing Information Storage Department 102, and produces display images. The display control unit 111 stacked the image with the image of the boat on the monitor 112. When the competition is in progress, the image recognition unit 104 recognizes the leading ship and notify the camera switching control unit 110 to switch the instructions to shoot the camera for the division area. Show the control department 111 shows the image tracked to the first ship.</v>
      </c>
      <c r="D4410" s="6" t="s">
        <v>12271</v>
      </c>
      <c r="E4410" s="4" t="str">
        <f ca="1">IFERROR(__xludf.DUMMYFUNCTION("GOOGLETRANSLATE(D4410,""auto"",""en"")"),"Rowing commentary radio device")</f>
        <v>Rowing commentary radio device</v>
      </c>
    </row>
    <row r="4411" spans="1:5" ht="15" x14ac:dyDescent="0.25">
      <c r="A4411" s="5" t="s">
        <v>12272</v>
      </c>
      <c r="B4411" s="6" t="s">
        <v>12273</v>
      </c>
      <c r="C4411" s="3" t="str">
        <f ca="1">IFERROR(__xludf.DUMMYFUNCTION("GOOGLETRANSLATE(B4411,""auto"",""en"")"),"[Question] In engineering machinery, transform voice instructions into voice code to achieve voice linkage operations. Construction machinery.
  Solution: In the voice linkage operation device 2, voice recognition device 2A can perform voice recognition"&amp;" of voice code assigned to the body, and keeping the device 2B can maintain commands that represent the instructions of the body movement. In the voice recognition device 2A and keeping the device 2B, and the identification signals related to the aircraft"&amp;" operation control through the command output corresponding to the voice code; and the control device 2D.")</f>
        <v>[Question] In engineering machinery, transform voice instructions into voice code to achieve voice linkage operations. Construction machinery.
  Solution: In the voice linkage operation device 2, voice recognition device 2A can perform voice recognition of voice code assigned to the body, and keeping the device 2B can maintain commands that represent the instructions of the body movement. In the voice recognition device 2A and keeping the device 2B, and the identification signals related to the aircraft operation control through the command output corresponding to the voice code; and the control device 2D.</v>
      </c>
      <c r="D4411" s="6" t="s">
        <v>12274</v>
      </c>
      <c r="E4411" s="4" t="str">
        <f ca="1">IFERROR(__xludf.DUMMYFUNCTION("GOOGLETRANSLATE(D4411,""auto"",""en"")"),"Construction mechanical voice linkage operation device and voice linkage operation method")</f>
        <v>Construction mechanical voice linkage operation device and voice linkage operation method</v>
      </c>
    </row>
    <row r="4412" spans="1:5" ht="15" x14ac:dyDescent="0.25">
      <c r="A4412" s="5" t="s">
        <v>12275</v>
      </c>
      <c r="B4412" s="6" t="s">
        <v>12276</v>
      </c>
      <c r="C4412" s="3" t="str">
        <f ca="1">IFERROR(__xludf.DUMMYFUNCTION("GOOGLETRANSLATE(B4412,""auto"",""en"")"),"Use voice recognition to start the method and system of wireless application protocol (WAP) session between wireless device 1 and information network 5, where the voice recognition is executed on the remote server 7 instead of on wireless device 1. Wirele"&amp;"ss device 1 users can initiate a call to the voice recognition server. For example, the S-WAP server 7 combines the VoiceXML application and the content/information required by the voice request. Server 7 then contact one or more websites 5 to get content"&amp;"/information and send the found content/information to the WAP gateway 3 to start a WAP session with Wireless Device 1. Server 7 can convert voice requests to or more searchable string and multiple requests without having to initiate a call to the voice r"&amp;"ecognition server every time. The content/information can be displayed by the browser 1 in wireless device 1 and can be pushed to the device through the characteristics of the network alarm. Applications include Internet content, email, customer service, "&amp;"unified news, weather and traffic alarms, news, sports, e -commerce, banking, address books and directory services.")</f>
        <v>Use voice recognition to start the method and system of wireless application protocol (WAP) session between wireless device 1 and information network 5, where the voice recognition is executed on the remote server 7 instead of on wireless device 1. Wireless device 1 users can initiate a call to the voice recognition server. For example, the S-WAP server 7 combines the VoiceXML application and the content/information required by the voice request. Server 7 then contact one or more websites 5 to get content/information and send the found content/information to the WAP gateway 3 to start a WAP session with Wireless Device 1. Server 7 can convert voice requests to or more searchable string and multiple requests without having to initiate a call to the voice recognition server every time. The content/information can be displayed by the browser 1 in wireless device 1 and can be pushed to the device through the characteristics of the network alarm. Applications include Internet content, email, customer service, unified news, weather and traffic alarms, news, sports, e -commerce, banking, address books and directory services.</v>
      </c>
      <c r="D4412" s="6" t="s">
        <v>12277</v>
      </c>
      <c r="E4412" s="4" t="str">
        <f ca="1">IFERROR(__xludf.DUMMYFUNCTION("GOOGLETRANSLATE(D4412,""auto"",""en"")"),"Use voice recognition to start WAP session")</f>
        <v>Use voice recognition to start WAP session</v>
      </c>
    </row>
    <row r="4413" spans="1:5" ht="15" x14ac:dyDescent="0.25">
      <c r="A4413" s="5" t="s">
        <v>12278</v>
      </c>
      <c r="B4413" s="6" t="s">
        <v>12279</v>
      </c>
      <c r="C4413" s="3" t="str">
        <f ca="1">IFERROR(__xludf.DUMMYFUNCTION("GOOGLETRANSLATE(B4413,""auto"",""en"")"),"The purpose of the present invention is to diversify the content of the game and improve interest.
  Solution: The central processing unit of voice recognition game console 21 based on the recognition results of the voice recognition and processing unit"&amp;" 18 and the player command of the controller unit 15 to generate the CG images and voice displayed on the display unit 12. Search for audio data and music data output from the output unit 14 in the storage unit 19 to control the read and writing operation"&amp;"s of the personal data input unit 16, and control the communication operation in the communication unit 20. Players learn the command through voice input so that the characters displayed on the display unit 12 perform the predetermined action. Central pro"&amp;"cessor 21 Sets the character's competition that can participate in a combination of actions or a combination of a role of a character.")</f>
        <v>The purpose of the present invention is to diversify the content of the game and improve interest.
  Solution: The central processing unit of voice recognition game console 21 based on the recognition results of the voice recognition and processing unit 18 and the player command of the controller unit 15 to generate the CG images and voice displayed on the display unit 12. Search for audio data and music data output from the output unit 14 in the storage unit 19 to control the read and writing operations of the personal data input unit 16, and control the communication operation in the communication unit 20. Players learn the command through voice input so that the characters displayed on the display unit 12 perform the predetermined action. Central processor 21 Sets the character's competition that can participate in a combination of actions or a combination of a role of a character.</v>
      </c>
      <c r="D4413" s="6" t="s">
        <v>12280</v>
      </c>
      <c r="E4413" s="4" t="str">
        <f ca="1">IFERROR(__xludf.DUMMYFUNCTION("GOOGLETRANSLATE(D4413,""auto"",""en"")"),"Voice recognition game devices and record media")</f>
        <v>Voice recognition game devices and record media</v>
      </c>
    </row>
    <row r="4414" spans="1:5" ht="15" x14ac:dyDescent="0.25">
      <c r="A4414" s="5" t="s">
        <v>12281</v>
      </c>
      <c r="B4414" s="6" t="s">
        <v>12282</v>
      </c>
      <c r="C4414" s="3" t="str">
        <f ca="1">IFERROR(__xludf.DUMMYFUNCTION("GOOGLETRANSLATE(B4414,""auto"",""en"")"),"Specifically, the invention will give artificial intelligence to the role of online horse racing or bicycle competitions, so as to provide the automatic transfer of online games, the issuance and purchase of the right to purchase, the purchase, sales and "&amp;"dividends of the online game through the Internet transmission network. Regardless of time and place, it involves a way to operate a leisure network movement. It aims to expand the bases of the network movement, and enjoy the horse racing and bicycle move"&amp;"ment safer and conveniently. Racing players and display electronic points bonus through the Internet; users vote for the purchase of (MARK) through the repost content, and the voter's purchase information storage record is As a result, the number of voter"&amp;"s' purchase electrical points and dividend points, and voters who reach a certain number of points will receive bonuses and commodity rewards.")</f>
        <v>Specifically, the invention will give artificial intelligence to the role of online horse racing or bicycle competitions, so as to provide the automatic transfer of online games, the issuance and purchase of the right to purchase, the purchase, sales and dividends of the online game through the Internet transmission network. Regardless of time and place, it involves a way to operate a leisure network movement. It aims to expand the bases of the network movement, and enjoy the horse racing and bicycle movement safer and conveniently. Racing players and display electronic points bonus through the Internet; users vote for the purchase of (MARK) through the repost content, and the voter's purchase information storage record is As a result, the number of voters' purchase electrical points and dividend points, and voters who reach a certain number of points will receive bonuses and commodity rewards.</v>
      </c>
      <c r="D4414" s="6" t="s">
        <v>12283</v>
      </c>
      <c r="E4414" s="4" t="str">
        <f ca="1">IFERROR(__xludf.DUMMYFUNCTION("GOOGLETRANSLATE(D4414,""auto"",""en"")"),"How to use the Internet to run horse racing and bicycle race")</f>
        <v>How to use the Internet to run horse racing and bicycle race</v>
      </c>
    </row>
    <row r="4415" spans="1:5" ht="15" x14ac:dyDescent="0.25">
      <c r="A4415" s="5" t="s">
        <v>12284</v>
      </c>
      <c r="B4415" s="6" t="s">
        <v>11850</v>
      </c>
      <c r="C4415" s="3" t="str">
        <f ca="1">IFERROR(__xludf.DUMMYFUNCTION("GOOGLETRANSLATE(B4415,""auto"",""en"")"),"When students conduct sports activities, they show students' real -time camera images. Students can switch between his eyes to see his natural vision and real -time video images. In addition, teaching information can be superimposed on real -time video, t"&amp;"hereby enhancing the learning process.")</f>
        <v>When students conduct sports activities, they show students' real -time camera images. Students can switch between his eyes to see his natural vision and real -time video images. In addition, teaching information can be superimposed on real -time video, thereby enhancing the learning process.</v>
      </c>
      <c r="D4415" s="6" t="s">
        <v>12084</v>
      </c>
      <c r="E4415" s="4" t="str">
        <f ca="1">IFERROR(__xludf.DUMMYFUNCTION("GOOGLETRANSLATE(D4415,""auto"",""en"")"),"Video teaching systems and methods for teaching sports skills")</f>
        <v>Video teaching systems and methods for teaching sports skills</v>
      </c>
    </row>
    <row r="4416" spans="1:5" ht="15" x14ac:dyDescent="0.25">
      <c r="A4416" s="5" t="s">
        <v>12285</v>
      </c>
      <c r="B4416" s="6" t="s">
        <v>12168</v>
      </c>
      <c r="C4416" s="3" t="str">
        <f ca="1">IFERROR(__xludf.DUMMYFUNCTION("GOOGLETRANSLATE(B4416,""auto"",""en"")"),"When students conduct sports activities, they show students' real -time camera images to students. Students can switch between natural vision and real -time video images by re -focusing their eyes. In addition, teaching information can be superimposed on "&amp;"real -time video, thereby enhancing the learning process.")</f>
        <v>When students conduct sports activities, they show students' real -time camera images to students. Students can switch between natural vision and real -time video images by re -focusing their eyes. In addition, teaching information can be superimposed on real -time video, thereby enhancing the learning process.</v>
      </c>
      <c r="D4416" s="6" t="s">
        <v>12084</v>
      </c>
      <c r="E4416" s="4" t="str">
        <f ca="1">IFERROR(__xludf.DUMMYFUNCTION("GOOGLETRANSLATE(D4416,""auto"",""en"")"),"Video teaching systems and methods for teaching sports skills")</f>
        <v>Video teaching systems and methods for teaching sports skills</v>
      </c>
    </row>
    <row r="4417" spans="1:5" ht="15" x14ac:dyDescent="0.25">
      <c r="A4417" s="5" t="s">
        <v>12286</v>
      </c>
      <c r="B4417" s="6" t="s">
        <v>12287</v>
      </c>
      <c r="C4417" s="3" t="str">
        <f ca="1">IFERROR(__xludf.DUMMYFUNCTION("GOOGLETRANSLATE(B4417,""auto"",""en"")"),"The invention has introduced a new method of optimizing the problem based on the theoretical work of the previous lighting mode in macro evolution. We named them macro evolution algorithm (MA). Different from the evolution of population levels used in sta"&amp;"ndard genetic algorithms, the evolution of higher classification group levels is used as potential metaphors. This model uses the connection between ""species"", which represents the candidate solution that optimizes the problem. In order to test its effe"&amp;"ctiveness, we compared the performance of MA and genetic algorithms (GA) and championship selection. This method is proven to be a good alternative to the standard GA. Even for a very small population scale, it can make fast monotonous search on the solut"&amp;"ion space. A average field theoretical method is proposed, indicating that MAS's basic dynamics is close to the ecological model of multi -species competition.")</f>
        <v>The invention has introduced a new method of optimizing the problem based on the theoretical work of the previous lighting mode in macro evolution. We named them macro evolution algorithm (MA). Different from the evolution of population levels used in standard genetic algorithms, the evolution of higher classification group levels is used as potential metaphors. This model uses the connection between "species", which represents the candidate solution that optimizes the problem. In order to test its effectiveness, we compared the performance of MA and genetic algorithms (GA) and championship selection. This method is proven to be a good alternative to the standard GA. Even for a very small population scale, it can make fast monotonous search on the solution space. A average field theoretical method is proposed, indicating that MAS's basic dynamics is close to the ecological model of multi -species competition.</v>
      </c>
      <c r="D4417" s="6" t="s">
        <v>12288</v>
      </c>
      <c r="E4417" s="4" t="str">
        <f ca="1">IFERROR(__xludf.DUMMYFUNCTION("GOOGLETRANSLATE(D4417,""auto"",""en"")"),"A method and system that optimizes fitness landscape")</f>
        <v>A method and system that optimizes fitness landscape</v>
      </c>
    </row>
    <row r="4418" spans="1:5" ht="15" x14ac:dyDescent="0.25">
      <c r="A4418" s="5" t="s">
        <v>12289</v>
      </c>
      <c r="B4418" s="6" t="s">
        <v>12290</v>
      </c>
      <c r="C4418" s="3" t="str">
        <f ca="1">IFERROR(__xludf.DUMMYFUNCTION("GOOGLETRANSLATE(B4418,""auto"",""en"")"),"The present invention introduces a new method of optimization problem based on previous theoretical work in macro evolution. We named them macro evolution algorithm (MA). Different from the gender evolution used in the standard genetic algorithm, the evol"&amp;"ution of higher classification group levels is used as potential metaphors. This model uses the connection between the ""species"" representing the optimization of the ""species"" representing the optimization problem. In order to test its effectiveness, "&amp;"we compared the performance of MA and genetic algorithms (GA) with the championship selection. This method is proven to be a good alternative method for the standard GA. Even for a very small population scale, it can make fast monotonous search on the sol"&amp;"ution space. A average field theoretical method is proposed to indicate that MA's basic dynamics is close to the ecological model of multi -species competition.")</f>
        <v>The present invention introduces a new method of optimization problem based on previous theoretical work in macro evolution. We named them macro evolution algorithm (MA). Different from the gender evolution used in the standard genetic algorithm, the evolution of higher classification group levels is used as potential metaphors. This model uses the connection between the "species" representing the optimization of the "species" representing the optimization problem. In order to test its effectiveness, we compared the performance of MA and genetic algorithms (GA) with the championship selection. This method is proven to be a good alternative method for the standard GA. Even for a very small population scale, it can make fast monotonous search on the solution space. A average field theoretical method is proposed to indicate that MA's basic dynamics is close to the ecological model of multi -species competition.</v>
      </c>
      <c r="D4418" s="6" t="s">
        <v>12288</v>
      </c>
      <c r="E4418" s="4" t="str">
        <f ca="1">IFERROR(__xludf.DUMMYFUNCTION("GOOGLETRANSLATE(D4418,""auto"",""en"")"),"A method and system that optimizes fitness landscape")</f>
        <v>A method and system that optimizes fitness landscape</v>
      </c>
    </row>
    <row r="4419" spans="1:5" ht="15" x14ac:dyDescent="0.25">
      <c r="A4419" s="5" t="s">
        <v>12291</v>
      </c>
      <c r="B4419" s="6" t="s">
        <v>12292</v>
      </c>
      <c r="C4419" s="3" t="str">
        <f ca="1">IFERROR(__xludf.DUMMYFUNCTION("GOOGLETRANSLATE(B4419,""auto"",""en"")"),"[Question] A method of computer uses genetic algorithms to solve optimization problems, maintain the diversity of solutions to solve the population, and prevent candidates from concentrating in a narrow child concentration in solving space, improve the pr"&amp;"ocessing speed and physical fitness.
  Solution: Island models are composed of genetic algorithms combined with existing algorithms. Each island model of the island model is associated with different existing algorithms. The island in the island model g"&amp;"enerates an individual for each scheduled generation. Through cross -crossing. In this exchange, an individual made of a sports on the island has different pre -existing algorithms, which is put into one of its parents or another pre -existing algorithm t"&amp;"hat is different from parents.")</f>
        <v>[Question] A method of computer uses genetic algorithms to solve optimization problems, maintain the diversity of solutions to solve the population, and prevent candidates from concentrating in a narrow child concentration in solving space, improve the processing speed and physical fitness.
  Solution: Island models are composed of genetic algorithms combined with existing algorithms. Each island model of the island model is associated with different existing algorithms. The island in the island model generates an individual for each scheduled generation. Through cross -crossing. In this exchange, an individual made of a sports on the island has different pre -existing algorithms, which is put into one of its parents or another pre -existing algorithm that is different from parents.</v>
      </c>
      <c r="D4419" s="6" t="s">
        <v>12293</v>
      </c>
      <c r="E4419" s="4" t="str">
        <f ca="1">IFERROR(__xludf.DUMMYFUNCTION("GOOGLETRANSLATE(D4419,""auto"",""en"")"),"Mixed genetic algorithm model optimization problem processing method and their processing program record medium")</f>
        <v>Mixed genetic algorithm model optimization problem processing method and their processing program record medium</v>
      </c>
    </row>
    <row r="4420" spans="1:5" ht="15" x14ac:dyDescent="0.25">
      <c r="A4420" s="5" t="s">
        <v>12294</v>
      </c>
      <c r="B4420" s="6" t="s">
        <v>12295</v>
      </c>
      <c r="C4420" s="3" t="str">
        <f ca="1">IFERROR(__xludf.DUMMYFUNCTION("GOOGLETRANSLATE(B4420,""auto"",""en"")"),"The invention involves an intelligent personal underwater monitoring system that identifies when swimmers encounter trouble and send warning signals. The system includes a device worn by a swimmer that sends the first signal when the swimmer passes throug"&amp;"h the scheduled depth. The system also includes a device generated by a signal generated by a device worn by a swimmer and a neural network processor and alarm signal to generate a neural network processor for processing signals in trouble.")</f>
        <v>The invention involves an intelligent personal underwater monitoring system that identifies when swimmers encounter trouble and send warning signals. The system includes a device worn by a swimmer that sends the first signal when the swimmer passes through the scheduled depth. The system also includes a device generated by a signal generated by a device worn by a swimmer and a neural network processor and alarm signal to generate a neural network processor for processing signals in trouble.</v>
      </c>
      <c r="D4420" s="6" t="s">
        <v>12296</v>
      </c>
      <c r="E4420" s="4" t="str">
        <f ca="1">IFERROR(__xludf.DUMMYFUNCTION("GOOGLETRANSLATE(D4420,""auto"",""en"")"),"Intelligent personal underwater monitoring device")</f>
        <v>Intelligent personal underwater monitoring device</v>
      </c>
    </row>
    <row r="4421" spans="1:5" ht="15" x14ac:dyDescent="0.25">
      <c r="A4421" s="5" t="s">
        <v>12297</v>
      </c>
      <c r="B4421" s="6" t="s">
        <v>12298</v>
      </c>
      <c r="C4421" s="3" t="str">
        <f ca="1">IFERROR(__xludf.DUMMYFUNCTION("GOOGLETRANSLATE(B4421,""auto"",""en"")"),"The invention involves a video game equipment and its control methods. It can control the player's actions intelligently by using image recognition technology and determine whether the action is consistent with the scheduled action. To this end, the prese"&amp;"nt invention includes an image input device for capturing players and converting them into digital signals, display devices for output images, and video objects used to indicate that players perform predetermined operations. Among them, the player's movem"&amp;"ents are recognized from the image input signal of the image input device input and output to the display device, and whether the recognized player movement continues to control the game control competition or scoring process compared with the scheduled a"&amp;"ction. Including control methods. Therefore, the present invention calculates the score at the same time according to whether the action made by the player is matched with the action of the video object, so that not only provides entertainment and games, "&amp;"but also provides aerobic gymnastics and dance classes. Self -study and error correction of all sports such as golf.")</f>
        <v>The invention involves a video game equipment and its control methods. It can control the player's actions intelligently by using image recognition technology and determine whether the action is consistent with the scheduled action. To this end, the present invention includes an image input device for capturing players and converting them into digital signals, display devices for output images, and video objects used to indicate that players perform predetermined operations. Among them, the player's movements are recognized from the image input signal of the image input device input and output to the display device, and whether the recognized player movement continues to control the game control competition or scoring process compared with the scheduled action. Including control methods. Therefore, the present invention calculates the score at the same time according to whether the action made by the player is matched with the action of the video object, so that not only provides entertainment and games, but also provides aerobic gymnastics and dance classes. Self -study and error correction of all sports such as golf.</v>
      </c>
      <c r="D4421" s="6" t="s">
        <v>12299</v>
      </c>
      <c r="E4421" s="4" t="str">
        <f ca="1">IFERROR(__xludf.DUMMYFUNCTION("GOOGLETRANSLATE(D4421,""auto"",""en"")"),"Video game device and its control method")</f>
        <v>Video game device and its control method</v>
      </c>
    </row>
    <row r="4422" spans="1:5" ht="15" x14ac:dyDescent="0.25">
      <c r="A4422" s="5" t="s">
        <v>12300</v>
      </c>
      <c r="B4422" s="6" t="s">
        <v>12301</v>
      </c>
      <c r="C4422" s="3" t="str">
        <f ca="1">IFERROR(__xludf.DUMMYFUNCTION("GOOGLETRANSLATE(B4422,""auto"",""en"")"),"Objective: Provide devices and methods for identifying voice and display characters in the mobile communication system to perform voice recognition with voice signals, convert signal to character data, and display data through wireless terminals. Composit"&amp;"ion: Control unit (110) to control the overall operation of the mobile wireless terminal. The memory (140) is stored in a program for controlling the method of identifying voice and displaying characters, consisting of ROM, EEPROM, and RAM. The memory inc"&amp;"ludes converting voice data to character data conversion tables. The display unit (120) shows the state or program of the mobile wireless terminal. The key input unit (130) composed of multiple digital keys and function keys outputs the key input data to "&amp;"the control unit (110) through the external operation. Voice recognition and character conversion unit (150) refer to the conversion table, convert the voice signal to voice data, and then convert it to character data. The RF unit (160) transformed the si"&amp;"gnal input from analog baseband unit (170), and outputs it wirelessly to the base station through antenna (190). The RF unit (160) conducts a lower frequency conversion to the signal received through an antenna (190) and outputs it to the simulation baseb"&amp;"and unit (170). The simulation baseband unit (170) will be output from the signal output of the control unit (110) to the RF unit (160). Control unit (110) The digital signal execution channel demodulation and decoding of digital signal execution channels"&amp;" output from analog baseband unit (170). Control unit (110) outputs voice data to the voice signal processing unit (180). The voice signal processing unit (180) compressed and decompressed the voice data, and the data was converted into audio voice signal"&amp;"s to users.")</f>
        <v>Objective: Provide devices and methods for identifying voice and display characters in the mobile communication system to perform voice recognition with voice signals, convert signal to character data, and display data through wireless terminals. Composition: Control unit (110) to control the overall operation of the mobile wireless terminal. The memory (140) is stored in a program for controlling the method of identifying voice and displaying characters, consisting of ROM, EEPROM, and RAM. The memory includes converting voice data to character data conversion tables. The display unit (120) shows the state or program of the mobile wireless terminal. The key input unit (130) composed of multiple digital keys and function keys outputs the key input data to the control unit (110) through the external operation. Voice recognition and character conversion unit (150) refer to the conversion table, convert the voice signal to voice data, and then convert it to character data. The RF unit (160) transformed the signal input from analog baseband unit (170), and outputs it wirelessly to the base station through antenna (190). The RF unit (160) conducts a lower frequency conversion to the signal received through an antenna (190) and outputs it to the simulation baseband unit (170). The simulation baseband unit (170) will be output from the signal output of the control unit (110) to the RF unit (160). Control unit (110) The digital signal execution channel demodulation and decoding of digital signal execution channels output from analog baseband unit (170). Control unit (110) outputs voice data to the voice signal processing unit (180). The voice signal processing unit (180) compressed and decompressed the voice data, and the data was converted into audio voice signals to users.</v>
      </c>
      <c r="D4422" s="6" t="s">
        <v>12302</v>
      </c>
      <c r="E4422" s="4" t="str">
        <f ca="1">IFERROR(__xludf.DUMMYFUNCTION("GOOGLETRANSLATE(D4422,""auto"",""en"")"),"The device and method for voice recognition and text display for mobile communication systems")</f>
        <v>The device and method for voice recognition and text display for mobile communication systems</v>
      </c>
    </row>
    <row r="4423" spans="1:5" ht="15" x14ac:dyDescent="0.25">
      <c r="A4423" s="5" t="s">
        <v>12303</v>
      </c>
      <c r="B4423" s="6" t="s">
        <v>12304</v>
      </c>
      <c r="C4423" s="3" t="str">
        <f ca="1">IFERROR(__xludf.DUMMYFUNCTION("GOOGLETRANSLATE(B4423,""auto"",""en"")"),"The present invention is a machine that is used to learn the body location and movement called the swing in the golf competition. In order to form the player's height, more specifically, players from hip to the ground and the distance from the shoulder to"&amp;" the knee. The correct golf posture. Actions in the process of hip and golf swing. Machine learning Golf's body position and movement when hitting the ball. The machine includes two boards, which can be arranged to move on the pillars, one at the height o"&amp;"f the player's hip, the other on the shoulder height, the latter's arm leaves the board and ends with the hinge band, used to fix the buttocks and the other one. With the lower arm and upper arm, it ended in the shoulder rod to support the player's should"&amp;"er.")</f>
        <v>The present invention is a machine that is used to learn the body location and movement called the swing in the golf competition. In order to form the player's height, more specifically, players from hip to the ground and the distance from the shoulder to the knee. The correct golf posture. Actions in the process of hip and golf swing. Machine learning Golf's body position and movement when hitting the ball. The machine includes two boards, which can be arranged to move on the pillars, one at the height of the player's hip, the other on the shoulder height, the latter's arm leaves the board and ends with the hinge band, used to fix the buttocks and the other one. With the lower arm and upper arm, it ended in the shoulder rod to support the player's shoulder.</v>
      </c>
      <c r="D4423" s="6" t="s">
        <v>12305</v>
      </c>
      <c r="E4423" s="4" t="str">
        <f ca="1">IFERROR(__xludf.DUMMYFUNCTION("GOOGLETRANSLATE(D4423,""auto"",""en"")"),"Learn the machine of golf swing")</f>
        <v>Learn the machine of golf swing</v>
      </c>
    </row>
    <row r="4424" spans="1:5" ht="15" x14ac:dyDescent="0.25">
      <c r="A4424" s="5" t="s">
        <v>12306</v>
      </c>
      <c r="B4424" s="6" t="s">
        <v>12307</v>
      </c>
      <c r="C4424" s="3" t="str">
        <f ca="1">IFERROR(__xludf.DUMMYFUNCTION("GOOGLETRANSLATE(B4424,""auto"",""en"")"),"The present invention involves a method of efficient indexing for compressed sports news videos. More specifically, it involves a method of detecting conversion and news articles in the compressed domain. In the present invention, by applying the brightne"&amp;"ss (Δy) and color difference (ρ) between the n+1 I frames and the color difference between the n+1 I frame, the possibility of the change of scene change is Step; In all P frames contained in the possibility of scene changes (GOP), the number of macro blo"&amp;"cks in the frame in the frame was used to obtain the P frame constant to the number of macro blocks (R obtained in step in the second step). In all B frames contained in the posses of scene changes, the number of rear to predict macro blocks to predict ma"&amp;"cro blocks in the predictive macro block is obtained. Frame constant (Step 3 of Get R), Step 4 detects accurate scenario changes in the frame in GEOP, the possibility of using P frame constant and B frame constant number detection scenarios, and the accur"&amp;"ate scene change in step 4 A method of detecting compressed news images, including the fifth step, if the frame is a special editing effect detection algorithm, the special editing effect detection algorithm is applied to detect the special operating fram"&amp;"e of the camera. No detection.")</f>
        <v>The present invention involves a method of efficient indexing for compressed sports news videos. More specifically, it involves a method of detecting conversion and news articles in the compressed domain. In the present invention, by applying the brightness (Δy) and color difference (ρ) between the n+1 I frames and the color difference between the n+1 I frame, the possibility of the change of scene change is Step; In all P frames contained in the possibility of scene changes (GOP), the number of macro blocks in the frame in the frame was used to obtain the P frame constant to the number of macro blocks (R obtained in step in the second step). In all B frames contained in the posses of scene changes, the number of rear to predict macro blocks to predict macro blocks in the predictive macro block is obtained. Frame constant (Step 3 of Get R), Step 4 detects accurate scenario changes in the frame in GEOP, the possibility of using P frame constant and B frame constant number detection scenarios, and the accurate scene change in step 4 A method of detecting compressed news images, including the fifth step, if the frame is a special editing effect detection algorithm, the special editing effect detection algorithm is applied to detect the special operating frame of the camera. No detection.</v>
      </c>
      <c r="D4424" s="6" t="s">
        <v>12308</v>
      </c>
      <c r="E4424" s="4" t="str">
        <f ca="1">IFERROR(__xludf.DUMMYFUNCTION("GOOGLETRANSLATE(D4424,""auto"",""en"")"),"Scene change and article detection method of compressing news videos")</f>
        <v>Scene change and article detection method of compressing news videos</v>
      </c>
    </row>
    <row r="4425" spans="1:5" ht="15" x14ac:dyDescent="0.25">
      <c r="A4425" s="5" t="s">
        <v>12309</v>
      </c>
      <c r="B4425" s="6" t="s">
        <v>12310</v>
      </c>
      <c r="C4425" s="3" t="str">
        <f ca="1">IFERROR(__xludf.DUMMYFUNCTION("GOOGLETRANSLATE(B4425,""auto"",""en"")"),"The present invention receives the voice of the first language and the second language, converts them into text through voice recognition, distinguish the inputters from the conversion text, display them on the LCD display, and translate the translated te"&amp;"xt into the text into Another language. It involves a voice recognition automatic translation and interpreting device for displaying, conversion voice signals and outputting it to each other. The present invention as described above provides an LCD monito"&amp;"r for input/output first and second voice input/output devices to display texts that identify voice and translation texts for manipulation units for manipulating overall operations. And the control unit, it includes the main control unit that controls the"&amp;" entire operation through the operation signal and the power unit equipped with a rechargeable battery, and built -in the first language and translation program of the first language and the second language that requires each other. The conversion of text"&amp;". And the control unit for translation control, the first and second voice to the text conversion unit, the first and second translation units, and the first database built by the sample data of the first and second language. With Character; It is charact"&amp;"erized by composition of voice recognition and translation ROM package, including the second language voice text database and first language and second language translation database.")</f>
        <v>The present invention receives the voice of the first language and the second language, converts them into text through voice recognition, distinguish the inputters from the conversion text, display them on the LCD display, and translate the translated text into the text into Another language. It involves a voice recognition automatic translation and interpreting device for displaying, conversion voice signals and outputting it to each other. The present invention as described above provides an LCD monitor for input/output first and second voice input/output devices to display texts that identify voice and translation texts for manipulation units for manipulating overall operations. And the control unit, it includes the main control unit that controls the entire operation through the operation signal and the power unit equipped with a rechargeable battery, and built -in the first language and translation program of the first language and the second language that requires each other. The conversion of text. And the control unit for translation control, the first and second voice to the text conversion unit, the first and second translation units, and the first database built by the sample data of the first and second language. With Character; It is characterized by composition of voice recognition and translation ROM package, including the second language voice text database and first language and second language translation database.</v>
      </c>
      <c r="D4425" s="6" t="s">
        <v>12311</v>
      </c>
      <c r="E4425" s="4" t="str">
        <f ca="1">IFERROR(__xludf.DUMMYFUNCTION("GOOGLETRANSLATE(D4425,""auto"",""en"")"),"Voice recognition automatic translation interpretation device")</f>
        <v>Voice recognition automatic translation interpretation device</v>
      </c>
    </row>
    <row r="4426" spans="1:5" ht="15" x14ac:dyDescent="0.25">
      <c r="A4426" s="5" t="s">
        <v>12312</v>
      </c>
      <c r="B4426" s="6" t="s">
        <v>11850</v>
      </c>
      <c r="C4426" s="3" t="str">
        <f ca="1">IFERROR(__xludf.DUMMYFUNCTION("GOOGLETRANSLATE(B4426,""auto"",""en"")"),"When students conduct sports activities, they show students' real -time camera images. Students can switch between his eyes to see his natural vision and real -time video images. In addition, teaching information can be superimposed on real -time video, t"&amp;"hereby enhancing the learning process.")</f>
        <v>When students conduct sports activities, they show students' real -time camera images. Students can switch between his eyes to see his natural vision and real -time video images. In addition, teaching information can be superimposed on real -time video, thereby enhancing the learning process.</v>
      </c>
      <c r="D4426" s="6" t="s">
        <v>12084</v>
      </c>
      <c r="E4426" s="4" t="str">
        <f ca="1">IFERROR(__xludf.DUMMYFUNCTION("GOOGLETRANSLATE(D4426,""auto"",""en"")"),"Video teaching systems and methods for teaching sports skills")</f>
        <v>Video teaching systems and methods for teaching sports skills</v>
      </c>
    </row>
    <row r="4427" spans="1:5" ht="15" x14ac:dyDescent="0.25">
      <c r="A4427" s="5" t="s">
        <v>12313</v>
      </c>
      <c r="B4427" s="6" t="s">
        <v>12314</v>
      </c>
      <c r="C4427" s="3" t="str">
        <f ca="1">IFERROR(__xludf.DUMMYFUNCTION("GOOGLETRANSLATE(B4427,""auto"",""en"")"),"According to the present invention, when watching the TV broadcast with headphones, the environment sound is converted into text and displayed, so that audiences who use wired or wireless headphones recognize the text -related text related to the displaye"&amp;"d environmental sound to determine the surrounding situation. Identify the sound signal of the environment sound with the headset, including: the headset output device, which is used in wired or wireless transmission and receiving and processing; OSD unit"&amp;" 50 is used to display and process OSD characters; In the TV of the computer 20, and the overall operation of the OSD unit 50 and the control of the TV, the microphone 90 picks up the external sound and converts it into an electrical signal output, and th"&amp;"e microphone miniature computer includes a filter unit 100. The frequency band (90) voice recognition unit 100, convert the audio signal of the filter unit 100 into a digital signal for voice recognition processing.")</f>
        <v>According to the present invention, when watching the TV broadcast with headphones, the environment sound is converted into text and displayed, so that audiences who use wired or wireless headphones recognize the text -related text related to the displayed environmental sound to determine the surrounding situation. Identify the sound signal of the environment sound with the headset, including: the headset output device, which is used in wired or wireless transmission and receiving and processing; OSD unit 50 is used to display and process OSD characters; In the TV of the computer 20, and the overall operation of the OSD unit 50 and the control of the TV, the microphone 90 picks up the external sound and converts it into an electrical signal output, and the microphone miniature computer includes a filter unit 100. The frequency band (90) voice recognition unit 100, convert the audio signal of the filter unit 100 into a digital signal for voice recognition processing.</v>
      </c>
      <c r="D4427" s="6" t="s">
        <v>12315</v>
      </c>
      <c r="E4427" s="4" t="str">
        <f ca="1">IFERROR(__xludf.DUMMYFUNCTION("GOOGLETRANSLATE(D4427,""auto"",""en"")"),"TV with environmental sound recognition function, suitable for headphones")</f>
        <v>TV with environmental sound recognition function, suitable for headphones</v>
      </c>
    </row>
    <row r="4428" spans="1:5" ht="15" x14ac:dyDescent="0.25">
      <c r="A4428" s="5" t="s">
        <v>12316</v>
      </c>
      <c r="B4428" s="6" t="s">
        <v>12317</v>
      </c>
      <c r="C4428" s="3" t="str">
        <f ca="1">IFERROR(__xludf.DUMMYFUNCTION("GOOGLETRANSLATE(B4428,""auto"",""en"")"),"1. The technical field of the invention described in the claims involves a binary tree arrangement method using genetic algorithms. 2. The technical problem to be solved by the present invention is presented in the form of a binary tree with any number an"&amp;"d configuration node in applications such as machine learning systems. By displaying and forming a balanced arrangement, we want to provide a binary tree arrangement method to provide users with a good -looking result. 3. The invention plan summary is exp"&amp;"ressed as chromosomes as a binary tree given as a problem, but the first step is to initialize the coordinates to any value; By modifying chromosomal coding to form a higher adaptation genome; and properly select the evolutionary generation as the third s"&amp;"tep as the number of generation, start the convergence stage according to the fitness evaluation standard, and select chromosomes with the maximum adaptability of this generation as a problem solution. 4. The important purpose of the invention is used for"&amp;" machine learning systems.")</f>
        <v>1. The technical field of the invention described in the claims involves a binary tree arrangement method using genetic algorithms. 2. The technical problem to be solved by the present invention is presented in the form of a binary tree with any number and configuration node in applications such as machine learning systems. By displaying and forming a balanced arrangement, we want to provide a binary tree arrangement method to provide users with a good -looking result. 3. The invention plan summary is expressed as chromosomes as a binary tree given as a problem, but the first step is to initialize the coordinates to any value; By modifying chromosomal coding to form a higher adaptation genome; and properly select the evolutionary generation as the third step as the number of generation, start the convergence stage according to the fitness evaluation standard, and select chromosomes with the maximum adaptability of this generation as a problem solution. 4. The important purpose of the invention is used for machine learning systems.</v>
      </c>
      <c r="D4428" s="6" t="s">
        <v>12318</v>
      </c>
      <c r="E4428" s="4" t="str">
        <f ca="1">IFERROR(__xludf.DUMMYFUNCTION("GOOGLETRANSLATE(D4428,""auto"",""en"")"),"Method with a binary tree with a genetic algorithm")</f>
        <v>Method with a binary tree with a genetic algorithm</v>
      </c>
    </row>
    <row r="4429" spans="1:5" ht="15" x14ac:dyDescent="0.25">
      <c r="A4429" s="5" t="s">
        <v>12319</v>
      </c>
      <c r="B4429" s="6" t="s">
        <v>12320</v>
      </c>
      <c r="C4429" s="3" t="str">
        <f ca="1">IFERROR(__xludf.DUMMYFUNCTION("GOOGLETRANSLATE(B4429,""auto"",""en"")"),"Artificial intelligence bowl bottle robot is a sports supplies field, characterized by the charges of controllers (3) and (4) with two step -step motors (3) and (4). Drive the vertical displacement and horizontal rotation of the controlled bottle robot (2"&amp;"); at the same time, there is also a return system of the remaining bottle (18) of the bottle (18); Among the various combined bottles, there are options to instruction at any time to instruction in any group of combination bottle; especially for professi"&amp;"onal players to improve the difficulty, strength and technical level of training, and create good results.")</f>
        <v>Artificial intelligence bowl bottle robot is a sports supplies field, characterized by the charges of controllers (3) and (4) with two step -step motors (3) and (4). Drive the vertical displacement and horizontal rotation of the controlled bottle robot (2); at the same time, there is also a return system of the remaining bottle (18) of the bottle (18); Among the various combined bottles, there are options to instruction at any time to instruction in any group of combination bottle; especially for professional players to improve the difficulty, strength and technical level of training, and create good results.</v>
      </c>
      <c r="D4429" s="6" t="s">
        <v>12321</v>
      </c>
      <c r="E4429" s="4" t="str">
        <f ca="1">IFERROR(__xludf.DUMMYFUNCTION("GOOGLETRANSLATE(D4429,""auto"",""en"")"),"Artificial intelligence bowling bottle robotic hand")</f>
        <v>Artificial intelligence bowling bottle robotic hand</v>
      </c>
    </row>
    <row r="4430" spans="1:5" ht="15" x14ac:dyDescent="0.25">
      <c r="A4430" s="5" t="s">
        <v>12322</v>
      </c>
      <c r="B4430" s="6" t="s">
        <v>12323</v>
      </c>
      <c r="C4430" s="3" t="str">
        <f ca="1">IFERROR(__xludf.DUMMYFUNCTION("GOOGLETRANSLATE(B4430,""auto"",""en"")"),"In the process of adding disinfectants, especially chlorine and chloride in the swimming pool water or shower water, measure the free chlorine, oxidation potential and pH value in the water. The value of chlorine and oxidation and reduction electricity is"&amp;" obtained at the same time by the sensor connected by the public fuzzy logic circuit. The amount of disinfectant is determined by the oxidation and restore potential, and it depends on the range of free chlorine that is measured.")</f>
        <v>In the process of adding disinfectants, especially chlorine and chloride in the swimming pool water or shower water, measure the free chlorine, oxidation potential and pH value in the water. The value of chlorine and oxidation and reduction electricity is obtained at the same time by the sensor connected by the public fuzzy logic circuit. The amount of disinfectant is determined by the oxidation and restore potential, and it depends on the range of free chlorine that is measured.</v>
      </c>
      <c r="D4430" s="6" t="s">
        <v>12324</v>
      </c>
      <c r="E4430" s="4" t="str">
        <f ca="1">IFERROR(__xludf.DUMMYFUNCTION("GOOGLETRANSLATE(D4430,""auto"",""en"")"),"Adjust the procedures for the amount of disinfection in the water")</f>
        <v>Adjust the procedures for the amount of disinfection in the water</v>
      </c>
    </row>
    <row r="4431" spans="1:5" ht="15" x14ac:dyDescent="0.25">
      <c r="A4431" s="5" t="s">
        <v>12325</v>
      </c>
      <c r="B4431" s="6" t="s">
        <v>12326</v>
      </c>
      <c r="C4431" s="3" t="str">
        <f ca="1">IFERROR(__xludf.DUMMYFUNCTION("GOOGLETRANSLATE(B4431,""auto"",""en"")"),"With the help of eight cameras and two microphones, each cricket is delivered to eight two -dimensional digital video images and two digital audio with the same time interval. Digital video images are mapped by photography to obtain the time interval divi"&amp;"ded by the XYZ distance in different positions in different positions and at least four XYZ distances. The trajectory path in the three dimensions. In addition, the digital audio record is aimed at the amplitude of time mapping and is used to obtain infor"&amp;"mation about the sound amplitude level of various required video frames. The artificial intelligence and decision -making models of crickets are prepared based on ICC laws, and used in the program to reduce the calculation time when looking for crickets i"&amp;"n the video image, and use Hoff to change the ball when looking for the center. All actual work, from capturing to making decisions, is implemented by computer software with the help of real -time capture work of all hardware and fast CPUs, and under the "&amp;"condition of nearly real -time conditions.")</f>
        <v>With the help of eight cameras and two microphones, each cricket is delivered to eight two -dimensional digital video images and two digital audio with the same time interval. Digital video images are mapped by photography to obtain the time interval divided by the XYZ distance in different positions in different positions and at least four XYZ distances. The trajectory path in the three dimensions. In addition, the digital audio record is aimed at the amplitude of time mapping and is used to obtain information about the sound amplitude level of various required video frames. The artificial intelligence and decision -making models of crickets are prepared based on ICC laws, and used in the program to reduce the calculation time when looking for crickets in the video image, and use Hoff to change the ball when looking for the center. All actual work, from capturing to making decisions, is implemented by computer software with the help of real -time capture work of all hardware and fast CPUs, and under the condition of nearly real -time conditions.</v>
      </c>
      <c r="D4431" s="6" t="s">
        <v>12327</v>
      </c>
      <c r="E4431" s="4" t="str">
        <f ca="1">IFERROR(__xludf.DUMMYFUNCTION("GOOGLETRANSLATE(D4431,""auto"",""en"")"),"Video image processing and audio digital signal use")</f>
        <v>Video image processing and audio digital signal use</v>
      </c>
    </row>
    <row r="4432" spans="1:5" ht="15" x14ac:dyDescent="0.25">
      <c r="A4432" s="5" t="s">
        <v>12328</v>
      </c>
      <c r="B4432" s="6" t="s">
        <v>12329</v>
      </c>
      <c r="C4432" s="3" t="str">
        <f ca="1">IFERROR(__xludf.DUMMYFUNCTION("GOOGLETRANSLATE(B4432,""auto"",""en"")"),"The present invention involves a poker card distribution box equipment, system and method, of which the licensed box has a card scanner. When the operation of the licensee allows the card to slide the cards and the cards, the scanner scan the card card Th"&amp;"e marking. The scanner includes an optical sensor used in combination with the neural network. The neural network uses errors to be trained reversely to identify card color and card value when the card movement passes through the scanner. Combining the sc"&amp;"anning process of the central processing unit (CPU) to determine the game, and through the identification of the cards used or basic game strategies used by the game player, it provides a method to restrict or prevent casino loss and calculate the theoret"&amp;"ical win rate of the casino. A accurate quality method is used to calculate the amount of compensation for specific players. The shoe is also equipped with additional devices, which can simply and conveniently access, record and display other data related"&amp;" to the game. These include devices that are used to accommodate the ""customer tracking card"". The card reads the account information of each player from the magnetic strip on the card, so as to provide players stored on the computer system and one or m"&amp;"ore letters on the entertainment field. The access of customer data files is used to enter and retrieve LCD displays that enters and retrieve players and game information. It also includes the keyboard on the game table, so each player can choose various "&amp;"games or bet options with his own keyboard.")</f>
        <v>The present invention involves a poker card distribution box equipment, system and method, of which the licensed box has a card scanner. When the operation of the licensee allows the card to slide the cards and the cards, the scanner scan the card card The marking. The scanner includes an optical sensor used in combination with the neural network. The neural network uses errors to be trained reversely to identify card color and card value when the card movement passes through the scanner. Combining the scanning process of the central processing unit (CPU) to determine the game, and through the identification of the cards used or basic game strategies used by the game player, it provides a method to restrict or prevent casino loss and calculate the theoretical win rate of the casino. A accurate quality method is used to calculate the amount of compensation for specific players. The shoe is also equipped with additional devices, which can simply and conveniently access, record and display other data related to the game. These include devices that are used to accommodate the "customer tracking card". The card reads the account information of each player from the magnetic strip on the card, so as to provide players stored on the computer system and one or more letters on the entertainment field. The access of customer data files is used to enter and retrieve LCD displays that enters and retrieve players and game information. It also includes the keyboard on the game table, so each player can choose various games or bet options with his own keyboard.</v>
      </c>
      <c r="D4432" s="6" t="s">
        <v>12330</v>
      </c>
      <c r="E4432" s="4" t="str">
        <f ca="1">IFERROR(__xludf.DUMMYFUNCTION("GOOGLETRANSLATE(D4432,""auto"",""en"")"),"A license box, system and method with scanning device")</f>
        <v>A license box, system and method with scanning device</v>
      </c>
    </row>
    <row r="4433" spans="1:5" ht="15" x14ac:dyDescent="0.25">
      <c r="A4433" s="5" t="s">
        <v>12331</v>
      </c>
      <c r="B4433" s="6" t="s">
        <v>12332</v>
      </c>
      <c r="C4433" s="3" t="str">
        <f ca="1">IFERROR(__xludf.DUMMYFUNCTION("GOOGLETRANSLATE(B4433,""auto"",""en"")"),"The present invention is a personal computer password that allows you to set a password through voice settings to prevent copying or error password settings to prevent communication when connecting to Internet, or using confidential files or specific prog"&amp;"rams. It involves an input of a device that includes a microphone (1) that collects the user's voice (1), read the user feature part from the collected voice, and converts to a digital signal voice recognition chip (2) and the voice storage unit (3). The "&amp;"voice comparison unit 4 will compare the voice and the input user voice in the middle school, and the CPU 5 determines the overall operation of the personal computer or determines whether the corresponding program is performed according to the output of t"&amp;"he comparison unit 4). include.")</f>
        <v>The present invention is a personal computer password that allows you to set a password through voice settings to prevent copying or error password settings to prevent communication when connecting to Internet, or using confidential files or specific programs. It involves an input of a device that includes a microphone (1) that collects the user's voice (1), read the user feature part from the collected voice, and converts to a digital signal voice recognition chip (2) and the voice storage unit (3). The voice comparison unit 4 will compare the voice and the input user voice in the middle school, and the CPU 5 determines the overall operation of the personal computer or determines whether the corresponding program is performed according to the output of the comparison unit 4). include.</v>
      </c>
      <c r="D4433" s="6" t="s">
        <v>12333</v>
      </c>
      <c r="E4433" s="4" t="str">
        <f ca="1">IFERROR(__xludf.DUMMYFUNCTION("GOOGLETRANSLATE(D4433,""auto"",""en"")"),"Personal computer password input device")</f>
        <v>Personal computer password input device</v>
      </c>
    </row>
    <row r="4434" spans="1:5" ht="15" x14ac:dyDescent="0.25">
      <c r="A4434" s="5" t="s">
        <v>12334</v>
      </c>
      <c r="B4434" s="6" t="s">
        <v>12335</v>
      </c>
      <c r="C4434" s="3" t="str">
        <f ca="1">IFERROR(__xludf.DUMMYFUNCTION("GOOGLETRANSLATE(B4434,""auto"",""en"")"),"For applications such as sports activities, database 等DFü contains information related to acceleration, maximum speed and power. The definition of the affiliated function 隶mf11-MF13. For example, the acceleration definition of high, medium, and low accele"&amp;"ration values ​​is related to parameters. It is used by fuzzy logic processor ä uleü. This processor has a fuzzy inference unit with embedded rules.")</f>
        <v>For applications such as sports activities, database 等DFü contains information related to acceleration, maximum speed and power. The definition of the affiliated function 隶mf11-MF13. For example, the acceleration definition of high, medium, and low acceleration values ​​is related to parameters. It is used by fuzzy logic processor ä uleü. This processor has a fuzzy inference unit with embedded rules.</v>
      </c>
      <c r="D4434" s="6" t="s">
        <v>12336</v>
      </c>
      <c r="E4434" s="4" t="str">
        <f ca="1">IFERROR(__xludf.DUMMYFUNCTION("GOOGLETRANSLATE(D4434,""auto"",""en"")"),"The method of database, the method of creating a database and the query database method")</f>
        <v>The method of database, the method of creating a database and the query database method</v>
      </c>
    </row>
    <row r="4435" spans="1:5" ht="15" x14ac:dyDescent="0.25">
      <c r="A4435" s="5" t="s">
        <v>12337</v>
      </c>
      <c r="B4435" s="6" t="s">
        <v>12338</v>
      </c>
      <c r="C4435" s="3" t="str">
        <f ca="1">IFERROR(__xludf.DUMMYFUNCTION("GOOGLETRANSLATE(B4435,""auto"",""en"")"),"The audio processing system searches through one or more radio broadcast information reports or updates (such as transportation, weather, time, sports, news, etc.). Search for at least one keyword based on user pre -selection (such as ""traffic"", ""weath"&amp;"er"", ""time"", ""sports"", ""news"", depending on the required reports), and input to the system in the audio processing. When the voice recognition software used by the audio processing system scan the radio station to obtain the request information rep"&amp;"ort, users can listen to other audio sources (CD, tape, another radio broadcast, etc.) without monitoring (that is, listen) from those audio from those audio Source information content. Once the requested information report was detected according to the k"&amp;"eywords used in the input radio broadcast, the audio processing system switched its audio output to the wireless radio station required to be sent, so that users can listen to traffic, weather, time, sports, and /Or news reports or updates.")</f>
        <v>The audio processing system searches through one or more radio broadcast information reports or updates (such as transportation, weather, time, sports, news, etc.). Search for at least one keyword based on user pre -selection (such as "traffic", "weather", "time", "sports", "news", depending on the required reports), and input to the system in the audio processing. When the voice recognition software used by the audio processing system scan the radio station to obtain the request information report, users can listen to other audio sources (CD, tape, another radio broadcast, etc.) without monitoring (that is, listen) from those audio from those audio Source information content. Once the requested information report was detected according to the keywords used in the input radio broadcast, the audio processing system switched its audio output to the wireless radio station required to be sent, so that users can listen to traffic, weather, time, sports, and /Or news reports or updates.</v>
      </c>
      <c r="D4435" s="6" t="s">
        <v>12339</v>
      </c>
      <c r="E4435" s="4" t="str">
        <f ca="1">IFERROR(__xludf.DUMMYFUNCTION("GOOGLETRANSLATE(D4435,""auto"",""en"")"),"Automatic recognition of audio information in broadcast programs")</f>
        <v>Automatic recognition of audio information in broadcast programs</v>
      </c>
    </row>
    <row r="4436" spans="1:5" ht="15" x14ac:dyDescent="0.25">
      <c r="A4436" s="5" t="s">
        <v>12340</v>
      </c>
      <c r="B4436" s="6" t="s">
        <v>12341</v>
      </c>
      <c r="C4436" s="3" t="str">
        <f ca="1">IFERROR(__xludf.DUMMYFUNCTION("GOOGLETRANSLATE(B4436,""auto"",""en"")"),"An adaptation value that is used to calculate the collection of set coverage problems The execution speed of the acceleration of the genetic algorithm, the genetic algorithm, which has a matrix circuit, which is used to output a column covered by line sig"&amp;"nals corresponding to a bits in the chromosomal body. Signal, column signal counter, is used to count the column signal, reduce the method, to calculate the difference between the count of the signal and the number of all elements. , For output an effecti"&amp;"ve quantity line signal as a chromosomal cost, a aggregate cost register, used to preserve the number of unsaturated elements as a more important part of the total cost, chromosomal costs are less important parts of total cost and export total costs. The "&amp;"value of the total cost of the inverter and output the reversal value as the adaptation value.")</f>
        <v>An adaptation value that is used to calculate the collection of set coverage problems The execution speed of the acceleration of the genetic algorithm, the genetic algorithm, which has a matrix circuit, which is used to output a column covered by line signals corresponding to a bits in the chromosomal body. Signal, column signal counter, is used to count the column signal, reduce the method, to calculate the difference between the count of the signal and the number of all elements. , For output an effective quantity line signal as a chromosomal cost, a aggregate cost register, used to preserve the number of unsaturated elements as a more important part of the total cost, chromosomal costs are less important parts of total cost and export total costs. The value of the total cost of the inverter and output the reversal value as the adaptation value.</v>
      </c>
      <c r="D4436" s="6" t="s">
        <v>12342</v>
      </c>
      <c r="E4436" s="4" t="str">
        <f ca="1">IFERROR(__xludf.DUMMYFUNCTION("GOOGLETRANSLATE(D4436,""auto"",""en"")"),"Fitness function circuit")</f>
        <v>Fitness function circuit</v>
      </c>
    </row>
    <row r="4437" spans="1:5" ht="15" x14ac:dyDescent="0.25">
      <c r="A4437" s="5" t="s">
        <v>12343</v>
      </c>
      <c r="B4437" s="6" t="s">
        <v>12344</v>
      </c>
      <c r="C4437" s="3" t="str">
        <f ca="1">IFERROR(__xludf.DUMMYFUNCTION("GOOGLETRANSLATE(B4437,""auto"",""en"")"),"According to the present invention, the image recognition processing device only processes the image information of the interest area of ​​the interesting area required by the image information, such as the lane detected by the driver, so as to provide th"&amp;"e speed in the image recognition processing to ensure stable driving. [0001] The invention involves a lane image used to input roads and outputs the image input unit of the scheduled electrical signal. The overall operation of the input image signal is us"&amp;"ed to control the input image signal. The memory device is used to obtain the image in the interest area according to the control signal of the device and store it in the predetermined bit frame, and the driving information detection device is used to det"&amp;"ect the driving information about the changes in the steering wheel and the speed of driving according to driving; It is characterized by comparative analysis of the detected video signals and detected driving information. It analyzes whether the lane dev"&amp;"iation, the danger of changing the track, etc., and the display device is used to display the predetermined frame unit of the storage device application.")</f>
        <v>According to the present invention, the image recognition processing device only processes the image information of the interest area of ​​the interesting area required by the image information, such as the lane detected by the driver, so as to provide the speed in the image recognition processing to ensure stable driving. [0001] The invention involves a lane image used to input roads and outputs the image input unit of the scheduled electrical signal. The overall operation of the input image signal is used to control the input image signal. The memory device is used to obtain the image in the interest area according to the control signal of the device and store it in the predetermined bit frame, and the driving information detection device is used to detect the driving information about the changes in the steering wheel and the speed of driving according to driving; It is characterized by comparative analysis of the detected video signals and detected driving information. It analyzes whether the lane deviation, the danger of changing the track, etc., and the display device is used to display the predetermined frame unit of the storage device application.</v>
      </c>
      <c r="D4437" s="6" t="s">
        <v>12345</v>
      </c>
      <c r="E4437" s="4" t="str">
        <f ca="1">IFERROR(__xludf.DUMMYFUNCTION("GOOGLETRANSLATE(D4437,""auto"",""en"")"),"Vehicle image recognition processing device")</f>
        <v>Vehicle image recognition processing device</v>
      </c>
    </row>
    <row r="4438" spans="1:5" ht="15" x14ac:dyDescent="0.25">
      <c r="A4438" s="5" t="s">
        <v>12346</v>
      </c>
      <c r="B4438" s="6" t="s">
        <v>12347</v>
      </c>
      <c r="C4438" s="3" t="str">
        <f ca="1">IFERROR(__xludf.DUMMYFUNCTION("GOOGLETRANSLATE(B4438,""auto"",""en"")"),"For applications such as sports activities, database 等DFü has information related to acceleration, maximum speed and power. The definition of the affiliated function 隶mf11-MF13. For example, the acceleration definition of high, medium, and low acceleratio"&amp;"n values ​​is related to parameters. It is used by fuzzy logic processor ä uleü. This processor has a fuzzy inference unit with embedded rules.")</f>
        <v>For applications such as sports activities, database 等DFü has information related to acceleration, maximum speed and power. The definition of the affiliated function 隶mf11-MF13. For example, the acceleration definition of high, medium, and low acceleration values ​​is related to parameters. It is used by fuzzy logic processor ä uleü. This processor has a fuzzy inference unit with embedded rules.</v>
      </c>
      <c r="D4438" s="6" t="s">
        <v>12348</v>
      </c>
      <c r="E4438" s="4" t="str">
        <f ca="1">IFERROR(__xludf.DUMMYFUNCTION("GOOGLETRANSLATE(D4438,""auto"",""en"")"),"The method of database, export database and query database method")</f>
        <v>The method of database, export database and query database method</v>
      </c>
    </row>
    <row r="4439" spans="1:5" ht="15" x14ac:dyDescent="0.25">
      <c r="A4439" s="5" t="s">
        <v>12349</v>
      </c>
      <c r="B4439" s="6" t="s">
        <v>12350</v>
      </c>
      <c r="C4439" s="3" t="str">
        <f ca="1">IFERROR(__xludf.DUMMYFUNCTION("GOOGLETRANSLATE(B4439,""auto"",""en"")"),"Provide a learning device that provides a sequentially for forgetting with small storage capacity and computing complexity.
  Solution: Input unit 1 for input data to be learned, data storage unit 2 for storing input data, the weight storage unit 3 used"&amp;" to preserve the weight of the weight of past learning, and the weight stored in the weight storage unit 3. Considering the weight of the previous weight, the data stored in the data storage unit 2 and stored the learning weight in the unit 4 of the weigh"&amp;"t storage unit 3, and the output unit of the learning results of the output learning unit 4. 5 and control unit 6 of control operations 6.")</f>
        <v>Provide a learning device that provides a sequentially for forgetting with small storage capacity and computing complexity.
  Solution: Input unit 1 for input data to be learned, data storage unit 2 for storing input data, the weight storage unit 3 used to preserve the weight of the weight of past learning, and the weight stored in the weight storage unit 3. Considering the weight of the previous weight, the data stored in the data storage unit 2 and stored the learning weight in the unit 4 of the weight storage unit 3, and the output unit of the learning results of the output learning unit 4. 5 and control unit 6 of control operations 6.</v>
      </c>
      <c r="D4439" s="6" t="s">
        <v>12351</v>
      </c>
      <c r="E4439" s="4" t="str">
        <f ca="1">IFERROR(__xludf.DUMMYFUNCTION("GOOGLETRANSLATE(D4439,""auto"",""en"")"),"Neural network sequential learning method and device")</f>
        <v>Neural network sequential learning method and device</v>
      </c>
    </row>
    <row r="4440" spans="1:5" ht="15" x14ac:dyDescent="0.25">
      <c r="A4440" s="5" t="s">
        <v>12352</v>
      </c>
      <c r="B4440" s="6" t="s">
        <v>12353</v>
      </c>
      <c r="C4440" s="3" t="str">
        <f ca="1">IFERROR(__xludf.DUMMYFUNCTION("GOOGLETRANSLATE(B4440,""auto"",""en"")"),"The present invention involves a TV with a radio channel selection function with voice recognition, including code data extraction device, which is used to extract the code data of the scheduled broadcast program from the predetermined ID signal sent by t"&amp;"he broadcast station, and the control unit for extraction and extraction is based on Code data, compare the code data set in the internal storage settings. If it is correct, the storage device stores it and the predetermined broadcast programs received by"&amp;" the code data extraction device are used for example to select news, drama, sports, movies, movies, and movies for each project. wait. It is characterized by the configuration of the broadcast data storage unit, which stores the storage unit in order of "&amp;"each segment. In addition, when the audience verbally announces one of the scheduled items stored in the broadcast data storage unit, it is determined that the control unit of the input voice signal is determined Essence It is characterized by the control"&amp;" device, which is used to read one of the predetermined items from the broadcast data storage device and outputs it to the CRT OSD generator, mixer and CRT driver.")</f>
        <v>The present invention involves a TV with a radio channel selection function with voice recognition, including code data extraction device, which is used to extract the code data of the scheduled broadcast program from the predetermined ID signal sent by the broadcast station, and the control unit for extraction and extraction is based on Code data, compare the code data set in the internal storage settings. If it is correct, the storage device stores it and the predetermined broadcast programs received by the code data extraction device are used for example to select news, drama, sports, movies, movies, and movies for each project. wait. It is characterized by the configuration of the broadcast data storage unit, which stores the storage unit in order of each segment. In addition, when the audience verbally announces one of the scheduled items stored in the broadcast data storage unit, it is determined that the control unit of the input voice signal is determined Essence It is characterized by the control device, which is used to read one of the predetermined items from the broadcast data storage device and outputs it to the CRT OSD generator, mixer and CRT driver.</v>
      </c>
      <c r="D4440" s="6" t="s">
        <v>12354</v>
      </c>
      <c r="E4440" s="4" t="str">
        <f ca="1">IFERROR(__xludf.DUMMYFUNCTION("GOOGLETRANSLATE(D4440,""auto"",""en"")"),"Television with a broadcast channel selection function through voice recognition")</f>
        <v>Television with a broadcast channel selection function through voice recognition</v>
      </c>
    </row>
    <row r="4441" spans="1:5" ht="15" x14ac:dyDescent="0.25">
      <c r="A4441" s="5" t="s">
        <v>12355</v>
      </c>
      <c r="B4441" s="6" t="s">
        <v>12356</v>
      </c>
      <c r="C4441" s="3" t="str">
        <f ca="1">IFERROR(__xludf.DUMMYFUNCTION("GOOGLETRANSLATE(B4441,""auto"",""en"")"),"The current mode of Hanying Neural Network has n binary inputs, and has a template matching calculation subnet and winner. The template matching calculation includes the first neurons, which stores the M sample template respectively. Each first neuron is "&amp;"composed of a current mirror that is connected to N input and controlled by it to generate a template matching current signal. The matching digits are proportional. The winner's eating sub -network includes M second neurons, each second neuron includes M "&amp;"transistor. Their grid electrodes are connected together to form a template competition node. Their source electrode is grounded. Template competition node. Template competition nodes coupling and receiving template matching current signals respectively, "&amp;"so that template competition nodes that connect the maximum template matching current signal are finally at a higher voltage level, while other template competition nodes are at a lower voltage level voltage level, after competition.")</f>
        <v>The current mode of Hanying Neural Network has n binary inputs, and has a template matching calculation subnet and winner. The template matching calculation includes the first neurons, which stores the M sample template respectively. Each first neuron is composed of a current mirror that is connected to N input and controlled by it to generate a template matching current signal. The matching digits are proportional. The winner's eating sub -network includes M second neurons, each second neuron includes M transistor. Their grid electrodes are connected together to form a template competition node. Their source electrode is grounded. Template competition node. Template competition nodes coupling and receiving template matching current signals respectively, so that template competition nodes that connect the maximum template matching current signal are finally at a higher voltage level, while other template competition nodes are at a lower voltage level voltage level, after competition.</v>
      </c>
      <c r="D4441" s="6" t="s">
        <v>12357</v>
      </c>
      <c r="E4441" s="4" t="str">
        <f ca="1">IFERROR(__xludf.DUMMYFUNCTION("GOOGLETRANSLATE(D4441,""auto"",""en"")"),"Current mode Hanming Neural Network")</f>
        <v>Current mode Hanming Neural Network</v>
      </c>
    </row>
    <row r="4442" spans="1:5" ht="15" x14ac:dyDescent="0.25">
      <c r="A4442" s="5" t="s">
        <v>12358</v>
      </c>
      <c r="B4442" s="6" t="s">
        <v>12359</v>
      </c>
      <c r="C4442" s="3" t="str">
        <f ca="1">IFERROR(__xludf.DUMMYFUNCTION("GOOGLETRANSLATE(B4442,""auto"",""en"")"),"Category code: A1 In the dye gymnastic operation in the solution operation of the genetic algorithm, it can reduce the search space for the optimal solution by fixing a part of the chromosome, so that the operation can be performed in a short period of ti"&amp;"me.
  A method of optimization problem solving, including multiple subunition optimization devices. This device has a fixed part of the fixed part used to calculate the solution, and the subunition communication device for transmitting information in th"&amp;"e subtota optimization device. The fixed unit sets the frequency calculation device 2, which is used to calculate the frequency of the pattern state of a part of the solution, and the fixed part of the computing device 3 is used to calculate the fixed par"&amp;"t based on the frequency.")</f>
        <v>Category code: A1 In the dye gymnastic operation in the solution operation of the genetic algorithm, it can reduce the search space for the optimal solution by fixing a part of the chromosome, so that the operation can be performed in a short period of time.
  A method of optimization problem solving, including multiple subunition optimization devices. This device has a fixed part of the fixed part used to calculate the solution, and the subunition communication device for transmitting information in the subtota optimization device. The fixed unit sets the frequency calculation device 2, which is used to calculate the frequency of the pattern state of a part of the solution, and the fixed part of the computing device 3 is used to calculate the fixed part based on the frequency.</v>
      </c>
      <c r="D4442" s="6" t="s">
        <v>12360</v>
      </c>
      <c r="E4442" s="4" t="str">
        <f ca="1">IFERROR(__xludf.DUMMYFUNCTION("GOOGLETRANSLATE(D4442,""auto"",""en"")"),"Optimized problem solving")</f>
        <v>Optimized problem solving</v>
      </c>
    </row>
    <row r="4443" spans="1:5" ht="15" x14ac:dyDescent="0.25">
      <c r="A4443" s="5" t="s">
        <v>12361</v>
      </c>
      <c r="B4443" s="6" t="s">
        <v>12362</v>
      </c>
      <c r="C4443" s="3" t="str">
        <f ca="1">IFERROR(__xludf.DUMMYFUNCTION("GOOGLETRANSLATE(B4443,""auto"",""en"")"),"Promotional programs are dynamically selected from multiple programs to display in the show display unit through multiple programs. The neural network is based on the first test of people in the area around the show display unit. If people are detected, t"&amp;"hey use a set of predetermined system standards to attract circular promotional procedures with trained neural networks, or if at least one person is detected in the nearby area, select a specific circular promotion program. The data of the number of peop"&amp;"le who run the generally attracting cycle and then collect the instructions to respond to the number of people who generally attract the number of people to train the neural network by selecting a specific cycle program that if someone runs in the nearby "&amp;"area, and then collects the response of the response to a specific cycle program. Therefore, the collected data represents the success of various sales plans in attracting and attracting people's attention. The collected data is provided to the neural net"&amp;"work with any one in a variety of training schemes in a typical training scheme of neural networks, and then provides the current real -time selection data to the trained neural network so that the training of the training can choose the most suitable sal"&amp;"es running promotion plan. The network can re -train or respond to the changes in sales data or collect data.")</f>
        <v>Promotional programs are dynamically selected from multiple programs to display in the show display unit through multiple programs. The neural network is based on the first test of people in the area around the show display unit. If people are detected, they use a set of predetermined system standards to attract circular promotional procedures with trained neural networks, or if at least one person is detected in the nearby area, select a specific circular promotion program. The data of the number of people who run the generally attracting cycle and then collect the instructions to respond to the number of people who generally attract the number of people to train the neural network by selecting a specific cycle program that if someone runs in the nearby area, and then collects the response of the response to a specific cycle program. Therefore, the collected data represents the success of various sales plans in attracting and attracting people's attention. The collected data is provided to the neural network with any one in a variety of training schemes in a typical training scheme of neural networks, and then provides the current real -time selection data to the trained neural network so that the training of the training can choose the most suitable sales running promotion plan. The network can re -train or respond to the changes in sales data or collect data.</v>
      </c>
      <c r="D4443" s="6" t="s">
        <v>12363</v>
      </c>
      <c r="E4443" s="4" t="str">
        <f ca="1">IFERROR(__xludf.DUMMYFUNCTION("GOOGLETRANSLATE(D4443,""auto"",""en"")"),"Methods and devices used to automatically select and display the promotion plan")</f>
        <v>Methods and devices used to automatically select and display the promotion plan</v>
      </c>
    </row>
    <row r="4444" spans="1:5" ht="15" x14ac:dyDescent="0.25">
      <c r="A4444" s="5" t="s">
        <v>12364</v>
      </c>
      <c r="B4444" s="6" t="s">
        <v>12365</v>
      </c>
      <c r="C4444" s="3" t="str">
        <f ca="1">IFERROR(__xludf.DUMMYFUNCTION("GOOGLETRANSLATE(B4444,""auto"",""en"")"),"The invention involves a photography image archive device. The purpose is to provide a photography image archive device. It can not only display and output photography location information, but also display the output map information on the photography im"&amp;"age as needed.
  [Composition] A image reading unit is used to read image information from photos and/or film, including the image record unit and character record unit, image recognition unit, used in images read from the image reading unit. Identifica"&amp;"tion image, image reading unit; character recognition unit, to identify characters from images read from the controller; control unit for controlling overall operations; The device file information, and the conversion part of the shooting location informa"&amp;"tion that reads the character recognition part into the position on the map database.")</f>
        <v>The invention involves a photography image archive device. The purpose is to provide a photography image archive device. It can not only display and output photography location information, but also display the output map information on the photography image as needed.
  [Composition] A image reading unit is used to read image information from photos and/or film, including the image record unit and character record unit, image recognition unit, used in images read from the image reading unit. Identification image, image reading unit; character recognition unit, to identify characters from images read from the controller; control unit for controlling overall operations; The device file information, and the conversion part of the shooting location information that reads the character recognition part into the position on the map database.</v>
      </c>
      <c r="D4444" s="6" t="s">
        <v>12366</v>
      </c>
      <c r="E4444" s="4" t="str">
        <f ca="1">IFERROR(__xludf.DUMMYFUNCTION("GOOGLETRANSLATE(D4444,""auto"",""en"")"),"Photo image archive device")</f>
        <v>Photo image archive device</v>
      </c>
    </row>
    <row r="4445" spans="1:5" ht="15" x14ac:dyDescent="0.25">
      <c r="A4445" s="5" t="s">
        <v>12367</v>
      </c>
      <c r="B4445" s="6" t="s">
        <v>12368</v>
      </c>
      <c r="C4445" s="3" t="str">
        <f ca="1">IFERROR(__xludf.DUMMYFUNCTION("GOOGLETRANSLATE(B4445,""auto"",""en"")"),"Promotional programs are dynamically selected from multiple programs through neural networks, so as to present a set of predetermined system standards if no one is detected in the nearby area, or at least in the nearby area One person chooses a specific r"&amp;"ing promotional program to use the trained neural network to attract the ring promotional program. Neural networks are selected by selecting the generally attracting cycle program and then collected data that responds to the number of people who generally"&amp;" attract the number of people. The neural network is trained by selecting a specific cycle program running in the nearby area. Essence Therefore, the collected data represents the success of various sales plans in attracting and maintaining people's atten"&amp;"tion. The collected data is provided to the neural network with any one in a variety of training programs in the typical training scheme of neural networks, and then provides the current real -time selection data for the trained neural network, so that th"&amp;"e trained network can choose the most appropriate sales of sales. Running promotion plan. The network can be re -training regularly or in response to the changes in the sales data or the changes in the collected data.")</f>
        <v>Promotional programs are dynamically selected from multiple programs through neural networks, so as to present a set of predetermined system standards if no one is detected in the nearby area, or at least in the nearby area One person chooses a specific ring promotional program to use the trained neural network to attract the ring promotional program. Neural networks are selected by selecting the generally attracting cycle program and then collected data that responds to the number of people who generally attract the number of people. The neural network is trained by selecting a specific cycle program running in the nearby area. Essence Therefore, the collected data represents the success of various sales plans in attracting and maintaining people's attention. The collected data is provided to the neural network with any one in a variety of training programs in the typical training scheme of neural networks, and then provides the current real -time selection data for the trained neural network, so that the trained network can choose the most appropriate sales of sales. Running promotion plan. The network can be re -training regularly or in response to the changes in the sales data or the changes in the collected data.</v>
      </c>
      <c r="D4445" s="6" t="s">
        <v>12363</v>
      </c>
      <c r="E4445" s="4" t="str">
        <f ca="1">IFERROR(__xludf.DUMMYFUNCTION("GOOGLETRANSLATE(D4445,""auto"",""en"")"),"Methods and devices used to automatically select and display the promotion plan")</f>
        <v>Methods and devices used to automatically select and display the promotion plan</v>
      </c>
    </row>
    <row r="4446" spans="1:5" ht="15" x14ac:dyDescent="0.25">
      <c r="A4446" s="5" t="s">
        <v>12369</v>
      </c>
      <c r="B4446" s="6" t="s">
        <v>12370</v>
      </c>
      <c r="C4446" s="3" t="str">
        <f ca="1">IFERROR(__xludf.DUMMYFUNCTION("GOOGLETRANSLATE(B4446,""auto"",""en"")"),"Describe a new telephone service that calls people who want to communicate with each other. Telephone or other networks will match the list of users who call calls from other users to match similar lists. The related list can be based on family, friends, "&amp;"tennis partners, members of the discussion team, or colleagues. Voice recognition and key control technology are used to prepare a list stored in the database. The database is compared to guide the calls between users who have instructed their availabilit"&amp;"y in the association group.")</f>
        <v>Describe a new telephone service that calls people who want to communicate with each other. Telephone or other networks will match the list of users who call calls from other users to match similar lists. The related list can be based on family, friends, tennis partners, members of the discussion team, or colleagues. Voice recognition and key control technology are used to prepare a list stored in the database. The database is compared to guide the calls between users who have instructed their availability in the association group.</v>
      </c>
      <c r="D4446" s="6" t="s">
        <v>12371</v>
      </c>
      <c r="E4446" s="4" t="str">
        <f ca="1">IFERROR(__xludf.DUMMYFUNCTION("GOOGLETRANSLATE(D4446,""auto"",""en"")"),"Complete the telecommunications call according to the standards agreed on the two parties")</f>
        <v>Complete the telecommunications call according to the standards agreed on the two parties</v>
      </c>
    </row>
    <row r="4447" spans="1:5" ht="15" x14ac:dyDescent="0.25">
      <c r="A4447" s="5" t="s">
        <v>12372</v>
      </c>
      <c r="B4447" s="6" t="s">
        <v>12373</v>
      </c>
      <c r="C4447" s="3" t="str">
        <f ca="1">IFERROR(__xludf.DUMMYFUNCTION("GOOGLETRANSLATE(B4447,""auto"",""en"")"),"Telecom calls to complete a new telephone service based on the standard summary of mutual consent, which can call between people who hope to communicate with each other. Telephone or other network matching hopes to receive a user list with calls with othe"&amp;"r users with similar lists. A list of affinity can be based on family, friends, tennis partners, members of the discussion group. Voice recognition and key control technology are used to prepare a list stored in the database. The database is compared to g"&amp;"uide the call between users who have instructed their availability in the affinity group.")</f>
        <v>Telecom calls to complete a new telephone service based on the standard summary of mutual consent, which can call between people who hope to communicate with each other. Telephone or other network matching hopes to receive a user list with calls with other users with similar lists. A list of affinity can be based on family, friends, tennis partners, members of the discussion group. Voice recognition and key control technology are used to prepare a list stored in the database. The database is compared to guide the call between users who have instructed their availability in the affinity group.</v>
      </c>
      <c r="D4447" s="6" t="s">
        <v>12371</v>
      </c>
      <c r="E4447" s="4" t="str">
        <f ca="1">IFERROR(__xludf.DUMMYFUNCTION("GOOGLETRANSLATE(D4447,""auto"",""en"")"),"Complete the telecommunications call according to the standards agreed on the two parties")</f>
        <v>Complete the telecommunications call according to the standards agreed on the two parties</v>
      </c>
    </row>
    <row r="4448" spans="1:5" ht="15" x14ac:dyDescent="0.25">
      <c r="A4448" s="5" t="s">
        <v>12374</v>
      </c>
      <c r="B4448" s="6" t="s">
        <v>12375</v>
      </c>
      <c r="C4448" s="3" t="str">
        <f ca="1">IFERROR(__xludf.DUMMYFUNCTION("GOOGLETRANSLATE(B4448,""auto"",""en"")"),"The present invention provides a gaming device that can ensure security through the unique and effective distinguished specific display that is recognized by the society.
  [Structure] By installing the game box (external storage device) 18 in the game "&amp;"machine main body 10, the game device is performed according to the game program information stored in the game box 18. When installing the game box 18, the gaming box 18 reads the predetermined part 20 and the image recognition sensor (image recognition "&amp;"device) input from the image recognition sensor 21 (image recognition device) 21 Determine whether the specific display M is displayed in the predetermined section 20, and the specific display M m The presence of M is determined. If it is, the image deter"&amp;"mination unit (image determination device) 22 is used to send the game program information to the main body of the game console 10.")</f>
        <v>The present invention provides a gaming device that can ensure security through the unique and effective distinguished specific display that is recognized by the society.
  [Structure] By installing the game box (external storage device) 18 in the game machine main body 10, the game device is performed according to the game program information stored in the game box 18. When installing the game box 18, the gaming box 18 reads the predetermined part 20 and the image recognition sensor (image recognition device) input from the image recognition sensor 21 (image recognition device) 21 Determine whether the specific display M is displayed in the predetermined section 20, and the specific display M m The presence of M is determined. If it is, the image determination unit (image determination device) 22 is used to send the game program information to the main body of the game console 10.</v>
      </c>
      <c r="D4448" s="6" t="s">
        <v>12376</v>
      </c>
      <c r="E4448" s="4" t="str">
        <f ca="1">IFERROR(__xludf.DUMMYFUNCTION("GOOGLETRANSLATE(D4448,""auto"",""en"")"),"The device for playing games and the storage device for storage game programs")</f>
        <v>The device for playing games and the storage device for storage game programs</v>
      </c>
    </row>
    <row r="4449" spans="1:5" ht="15" x14ac:dyDescent="0.25">
      <c r="A4449" s="5" t="s">
        <v>12377</v>
      </c>
      <c r="B4449" s="6" t="s">
        <v>12378</v>
      </c>
      <c r="C4449" s="3" t="str">
        <f ca="1">IFERROR(__xludf.DUMMYFUNCTION("GOOGLETRANSLATE(B4449,""auto"",""en"")"),"The best way to determine the best effort corresponding to the required heart rate includes the use of bicycle measuring metering meters (1) and two pedals (2), car seat (3), handlebars (4), pulse meter (5) and pedal force force The regulator (6). The sta"&amp;"tic pulse rate is measured at the initial stage of the efforts based on the required pulse rate and the statistical relationship of allowable age, gender, and weight. And body shape, as well as whole body fat. The measurement value is entered into a multi"&amp;" -variable model equation, and the best workload can be calculated. Uses/advantage -In the treadmill motion training or physical pressure survey, allow users to apply different efforts to achieve the best value in repeated exercise.")</f>
        <v>The best way to determine the best effort corresponding to the required heart rate includes the use of bicycle measuring metering meters (1) and two pedals (2), car seat (3), handlebars (4), pulse meter (5) and pedal force force The regulator (6). The static pulse rate is measured at the initial stage of the efforts based on the required pulse rate and the statistical relationship of allowable age, gender, and weight. And body shape, as well as whole body fat. The measurement value is entered into a multi -variable model equation, and the best workload can be calculated. Uses/advantage -In the treadmill motion training or physical pressure survey, allow users to apply different efforts to achieve the best value in repeated exercise.</v>
      </c>
      <c r="D4449" s="6" t="s">
        <v>12379</v>
      </c>
      <c r="E4449" s="4" t="str">
        <f ca="1">IFERROR(__xludf.DUMMYFUNCTION("GOOGLETRANSLATE(D4449,""auto"",""en"")"),"Determine the best exercise efforts. Go to the required pulse rate -use neural network or multi -variable analysis in the relationship modeling to evaluate the measurement value of continuous practice")</f>
        <v>Determine the best exercise efforts. Go to the required pulse rate -use neural network or multi -variable analysis in the relationship modeling to evaluate the measurement value of continuous practice</v>
      </c>
    </row>
    <row r="4450" spans="1:5" ht="15" x14ac:dyDescent="0.25">
      <c r="A4450" s="5" t="s">
        <v>12380</v>
      </c>
      <c r="B4450" s="6" t="s">
        <v>12381</v>
      </c>
      <c r="C4450" s="3" t="str">
        <f ca="1">IFERROR(__xludf.DUMMYFUNCTION("GOOGLETRANSLATE(B4450,""auto"",""en"")"),"A method for accepting the multimedia operation command. Among them, when the user enters the display object or display position on the display screen of the graph display system through the guidance, the user command graphics display system causes event "&amp;"display on the graph, and the voice input device is input through the voice; Including the first step, allowing users to execute the pointing gesture to enter a string of coordinate points. These coordinate points revolves around the display object and an"&amp;"y area of ​​any expectations display position; Step, in response to the voice command, identify the command content of the voice command through the voice recognition process; the fourth step is to identify the command content of the gesture according to "&amp;"the identification results of the third step; Execute events on the graphic display. Therefore, this method provides a human -machine interface that uses a variety of media that uses voice and instruction gestures to provide users with high operability, a"&amp;"nd uses it to easily edit illustrations.")</f>
        <v>A method for accepting the multimedia operation command. Among them, when the user enters the display object or display position on the display screen of the graph display system through the guidance, the user command graphics display system causes event display on the graph, and the voice input device is input through the voice; Including the first step, allowing users to execute the pointing gesture to enter a string of coordinate points. These coordinate points revolves around the display object and any area of ​​any expectations display position; Step, in response to the voice command, identify the command content of the voice command through the voice recognition process; the fourth step is to identify the command content of the gesture according to the identification results of the third step; Execute events on the graphic display. Therefore, this method provides a human -machine interface that uses a variety of media that uses voice and instruction gestures to provide users with high operability, and uses it to easily edit illustrations.</v>
      </c>
      <c r="D4450" s="6" t="s">
        <v>12382</v>
      </c>
      <c r="E4450" s="4" t="str">
        <f ca="1">IFERROR(__xludf.DUMMYFUNCTION("GOOGLETRANSLATE(D4450,""auto"",""en"")"),"The display system that can accept the user command by using voice and gesture input")</f>
        <v>The display system that can accept the user command by using voice and gesture input</v>
      </c>
    </row>
    <row r="4451" spans="1:5" ht="15" x14ac:dyDescent="0.25">
      <c r="A4451" s="5" t="s">
        <v>12383</v>
      </c>
      <c r="B4451" s="6" t="s">
        <v>12384</v>
      </c>
      <c r="C4451" s="3" t="str">
        <f ca="1">IFERROR(__xludf.DUMMYFUNCTION("GOOGLETRANSLATE(B4451,""auto"",""en"")"),"A method that accepts the multimedia operation command, where when the user or the display position on the display screen of the graph display system by pointing to the input device, the command graph display system causes events on the graphic to pass th"&amp;"e voice input device display through the voice; including allowing permission用户执行指向手势以输入围绕显示对象和任何期望显示位置的一个区域的一串坐标点的第一步; 第二步,允许用户连同指向手势一起给出语音命令; 第三步,响应语音命令, Recognize the content of the voice command through the voice recognition process; the fourth step, "&amp;"according to the identification results of the third step, identify the command content of the gesture; the fifth step, according to the voice command and the command content of the gesture, perform events on the graphic display event on the graphic displ"&amp;"ay Essence Therefore, this method provides a human -machine interface. The human -machine interface uses a variety of media with voice and gestures, providing users with high operability, and using the human -machine interface to easily edit and illustrat"&amp;"e.")</f>
        <v>A method that accepts the multimedia operation command, where when the user or the display position on the display screen of the graph display system by pointing to the input device, the command graph display system causes events on the graphic to pass the voice input device display through the voice; including allowing permission用户执行指向手势以输入围绕显示对象和任何期望显示位置的一个区域的一串坐标点的第一步; 第二步,允许用户连同指向手势一起给出语音命令; 第三步,响应语音命令, Recognize the content of the voice command through the voice recognition process; the fourth step, according to the identification results of the third step, identify the command content of the gesture; the fifth step, according to the voice command and the command content of the gesture, perform events on the graphic display event on the graphic display Essence Therefore, this method provides a human -machine interface. The human -machine interface uses a variety of media with voice and gestures, providing users with high operability, and using the human -machine interface to easily edit and illustrate.</v>
      </c>
      <c r="D4451" s="6" t="s">
        <v>12382</v>
      </c>
      <c r="E4451" s="4" t="str">
        <f ca="1">IFERROR(__xludf.DUMMYFUNCTION("GOOGLETRANSLATE(D4451,""auto"",""en"")"),"The display system that can accept the user command by using voice and gesture input")</f>
        <v>The display system that can accept the user command by using voice and gesture input</v>
      </c>
    </row>
    <row r="4452" spans="1:5" ht="15" x14ac:dyDescent="0.25">
      <c r="A4452" s="5" t="s">
        <v>12385</v>
      </c>
      <c r="B4452" s="6" t="s">
        <v>12386</v>
      </c>
      <c r="C4452" s="3" t="str">
        <f ca="1">IFERROR(__xludf.DUMMYFUNCTION("GOOGLETRANSLATE(B4452,""auto"",""en"")"),"Objective: By automatic marking and evaluating the sound pointers of the trainer and displaying his points to reduce the burden of coach, and achieve self -study of operation training. Composition: Sound collection part 4. Voice recognition part 5. Evalua"&amp;"tion part 6. Output control section 7, CRT 8 and printer 9 are added to the driving training simulator section 10. Evaluation part 6 receives the encoding of the instruction content of the voice recognition department 5, and compares and evaluates the sta"&amp;"tus values ​​of the visual confirmation assessment of the pre -storage in the evaluation department and the factory status value of the factory 10 from the operating training simulator department 10. Then determine whether the trainer confirms the items t"&amp;"hat need to be confirmed by the operation time interval, that is, at the point of confirmation at each step, his activity is marked and displayed as a point. This greatly reduces the burden of coaches, and students can train themselves.")</f>
        <v>Objective: By automatic marking and evaluating the sound pointers of the trainer and displaying his points to reduce the burden of coach, and achieve self -study of operation training. Composition: Sound collection part 4. Voice recognition part 5. Evaluation part 6. Output control section 7, CRT 8 and printer 9 are added to the driving training simulator section 10. Evaluation part 6 receives the encoding of the instruction content of the voice recognition department 5, and compares and evaluates the status values ​​of the visual confirmation assessment of the pre -storage in the evaluation department and the factory status value of the factory 10 from the operating training simulator department 10. Then determine whether the trainer confirms the items that need to be confirmed by the operation time interval, that is, at the point of confirmation at each step, his activity is marked and displayed as a point. This greatly reduces the burden of coaches, and students can train themselves.</v>
      </c>
      <c r="D4452" s="6" t="s">
        <v>12387</v>
      </c>
      <c r="E4452" s="4" t="str">
        <f ca="1">IFERROR(__xludf.DUMMYFUNCTION("GOOGLETRANSLATE(D4452,""auto"",""en"")"),"Driving training simulator device")</f>
        <v>Driving training simulator device</v>
      </c>
    </row>
    <row r="4453" spans="1:5" ht="15" x14ac:dyDescent="0.25">
      <c r="A4453" s="5" t="s">
        <v>12388</v>
      </c>
      <c r="B4453" s="6" t="s">
        <v>12389</v>
      </c>
      <c r="C4453" s="3" t="str">
        <f ca="1">IFERROR(__xludf.DUMMYFUNCTION("GOOGLETRANSLATE(B4453,""auto"",""en"")"),"Objective: To perform stable steering control by setting the size of the blind zone, the size of the blind zone is set when determining the position of the identification image of the index 9 from the setting position of the settings. The smaller the size"&amp;". Composition: The size of a dead area, which is set when determining the displacement of image recognition and processing relative to the reference position of index 9, so that the closer the distance of the index 9, the larger the size becomes. That is,"&amp;" when the size of the dead zone α is set, the farther degree of 1 separation from the running body, the smaller the size, and the closer the body is, the larger the size. The closer the machine is from the indicator 9, the more sensitive the steering cont"&amp;"rol is, the farther it is. The more sensitive the control is. In the case of constant occurrence, the steering control can be executed highly. In this way, direct high control can be performed even when using a camera without a zoom function.")</f>
        <v>Objective: To perform stable steering control by setting the size of the blind zone, the size of the blind zone is set when determining the position of the identification image of the index 9 from the setting position of the settings. The smaller the size. Composition: The size of a dead area, which is set when determining the displacement of image recognition and processing relative to the reference position of index 9, so that the closer the distance of the index 9, the larger the size becomes. That is, when the size of the dead zone α is set, the farther degree of 1 separation from the running body, the smaller the size, and the closer the body is, the larger the size. The closer the machine is from the indicator 9, the more sensitive the steering control is, the farther it is. The more sensitive the control is. In the case of constant occurrence, the steering control can be executed highly. In this way, direct high control can be performed even when using a camera without a zoom function.</v>
      </c>
      <c r="D4453" s="6" t="s">
        <v>12390</v>
      </c>
      <c r="E4453" s="4" t="str">
        <f ca="1">IFERROR(__xludf.DUMMYFUNCTION("GOOGLETRANSLATE(D4453,""auto"",""en"")"),"The operating car automatic steering system")</f>
        <v>The operating car automatic steering system</v>
      </c>
    </row>
    <row r="4454" spans="1:5" ht="15" x14ac:dyDescent="0.25">
      <c r="A4454" s="5" t="s">
        <v>12391</v>
      </c>
      <c r="B4454" s="6" t="s">
        <v>12392</v>
      </c>
      <c r="C4454" s="3" t="str">
        <f ca="1">IFERROR(__xludf.DUMMYFUNCTION("GOOGLETRANSLATE(B4454,""auto"",""en"")"),"A demand -driven artificial intelligence production system uses the RETE network to match the comparison during the condition/data matching, the selection of rules and the rules. When comparing the matching, the token is passed to the offspring nodes, mai"&amp;"ntaining the model of all the ancestors nodes that the token passed, and traversing the mode to avoid the path matching of the redundant RETE mode match between the previous matching and the previous matching. Contest.")</f>
        <v>A demand -driven artificial intelligence production system uses the RETE network to match the comparison during the condition/data matching, the selection of rules and the rules. When comparing the matching, the token is passed to the offspring nodes, maintaining the model of all the ancestors nodes that the token passed, and traversing the mode to avoid the path matching of the redundant RETE mode match between the previous matching and the previous matching. Contest.</v>
      </c>
      <c r="D4454" s="6" t="s">
        <v>12393</v>
      </c>
      <c r="E4454" s="4" t="str">
        <f ca="1">IFERROR(__xludf.DUMMYFUNCTION("GOOGLETRANSLATE(D4454,""auto"",""en"")"),"Model -oriented, rules -based artificial intelligence production system to optimize network mode matching methods")</f>
        <v>Model -oriented, rules -based artificial intelligence production system to optimize network mode matching methods</v>
      </c>
    </row>
    <row r="4455" spans="1:5" ht="15" x14ac:dyDescent="0.25">
      <c r="A4455" s="5" t="s">
        <v>12394</v>
      </c>
      <c r="B4455" s="6" t="s">
        <v>12395</v>
      </c>
      <c r="C4455" s="3" t="str">
        <f ca="1">IFERROR(__xludf.DUMMYFUNCTION("GOOGLETRANSLATE(B4455,""auto"",""en"")"),"An AI production system with demand -driven uses the RETE network in comparison in the condition/data matching, rules selection and rules. Among them, the RETE network is modified to maintain an instance list of the matching conditions expressed in the ex"&amp;"pression. Each node of each node is passed to the descendant nodes when comparing the matching, maintaining the mode of all the ancestral nodes passed by the token, and traversing the mode to avoid those RETE mode matching between the previous matching an"&amp;"d the previous matching. The current competition is ongoing.")</f>
        <v>An AI production system with demand -driven uses the RETE network in comparison in the condition/data matching, rules selection and rules. Among them, the RETE network is modified to maintain an instance list of the matching conditions expressed in the expression. Each node of each node is passed to the descendant nodes when comparing the matching, maintaining the mode of all the ancestral nodes passed by the token, and traversing the mode to avoid those RETE mode matching between the previous matching and the previous matching. The current competition is ongoing.</v>
      </c>
      <c r="D4455" s="6" t="s">
        <v>12396</v>
      </c>
      <c r="E4455" s="4" t="str">
        <f ca="1">IFERROR(__xludf.DUMMYFUNCTION("GOOGLETRANSLATE(D4455,""auto"",""en"")"),"Method -oriented, ruled -based artificial intelligence production system to optimize the RETE mode matching method")</f>
        <v>Method -oriented, ruled -based artificial intelligence production system to optimize the RETE mode matching method</v>
      </c>
    </row>
    <row r="4456" spans="1:5" ht="15" x14ac:dyDescent="0.25">
      <c r="A4456" s="5" t="s">
        <v>12397</v>
      </c>
      <c r="B4456" s="6" t="s">
        <v>12398</v>
      </c>
      <c r="C4456" s="3" t="str">
        <f ca="1">IFERROR(__xludf.DUMMYFUNCTION("GOOGLETRANSLATE(B4456,""auto"",""en"")"),"A dual -functional fitness vehicle for exercise, training, rehabilitation and human -computer interaction, with two chairs, two car handle frames, and two sets of pedals to provide rotation power in the opposite direction to jointly drive the damping devi"&amp;"ce or generator. It also has the tension between the adjustment of the drive system component. The bicycle also includes at least one operating reaction training device and can include generators used to generate electricity for driving devices. The bicyc"&amp;"le can be reflected as a five -axis or three -axis structure, and each structure has a swinging adjustment device. The five -axis and three -axis structures also include active gears and driving systems such as moving gears, at least two sprockets and cha"&amp;"ins, and damping devices such as flywheels.")</f>
        <v>A dual -functional fitness vehicle for exercise, training, rehabilitation and human -computer interaction, with two chairs, two car handle frames, and two sets of pedals to provide rotation power in the opposite direction to jointly drive the damping device or generator. It also has the tension between the adjustment of the drive system component. The bicycle also includes at least one operating reaction training device and can include generators used to generate electricity for driving devices. The bicycle can be reflected as a five -axis or three -axis structure, and each structure has a swinging adjustment device. The five -axis and three -axis structures also include active gears and driving systems such as moving gears, at least two sprockets and chains, and damping devices such as flywheels.</v>
      </c>
      <c r="D4456" s="6" t="s">
        <v>12399</v>
      </c>
      <c r="E4456" s="4" t="str">
        <f ca="1">IFERROR(__xludf.DUMMYFUNCTION("GOOGLETRANSLATE(D4456,""auto"",""en"")"),"Dual -function fitness vehicles used to exercise and train")</f>
        <v>Dual -function fitness vehicles used to exercise and train</v>
      </c>
    </row>
    <row r="4457" spans="1:5" ht="15" x14ac:dyDescent="0.25">
      <c r="A4457" s="5" t="s">
        <v>12400</v>
      </c>
      <c r="B4457" s="6" t="s">
        <v>12401</v>
      </c>
      <c r="C4457" s="3" t="str">
        <f ca="1">IFERROR(__xludf.DUMMYFUNCTION("GOOGLETRANSLATE(B4457,""auto"",""en"")"),"When the position of the inductive frame makes the penalty player shoot the basketball at the goal, the basketball will pass through the rectangular opening in the inductive frame. There is a bouquet of light on the top of the basketball path to the top o"&amp;"f the basketball to make the basketball enter the goal, and the second beam of light is through it under the path of the basketball to enter the goal. If any one of these beams is destroyed, different alarm signals will indicate whether the basketball pat"&amp;"h is high or low. The sensor frame can be adjusted vertically and around the horizontal axis to achieve the need to position the shooter's required to achieve the sensor framework.")</f>
        <v>When the position of the inductive frame makes the penalty player shoot the basketball at the goal, the basketball will pass through the rectangular opening in the inductive frame. There is a bouquet of light on the top of the basketball path to the top of the basketball to make the basketball enter the goal, and the second beam of light is through it under the path of the basketball to enter the goal. If any one of these beams is destroyed, different alarm signals will indicate whether the basketball path is high or low. The sensor frame can be adjusted vertically and around the horizontal axis to achieve the need to position the shooter's required to achieve the sensor framework.</v>
      </c>
      <c r="D4457" s="6" t="s">
        <v>12402</v>
      </c>
      <c r="E4457" s="4" t="str">
        <f ca="1">IFERROR(__xludf.DUMMYFUNCTION("GOOGLETRANSLATE(D4457,""auto"",""en"")"),"Enhance the methods and devices of learning to train human beings by feedback")</f>
        <v>Enhance the methods and devices of learning to train human beings by feedback</v>
      </c>
    </row>
    <row r="4458" spans="1:5" ht="15" x14ac:dyDescent="0.25">
      <c r="A4458" s="5" t="s">
        <v>12403</v>
      </c>
      <c r="B4458" s="6" t="s">
        <v>12404</v>
      </c>
      <c r="C4458" s="3" t="str">
        <f ca="1">IFERROR(__xludf.DUMMYFUNCTION("GOOGLETRANSLATE(B4458,""auto"",""en"")"),"A video entertainment system, human audiences make simulation voice dialogue with screen actors or cartoon characters in the branch story game displayed on the TV screen through the system. Actors and cartoon characters respond to what the audience says w"&amp;"ith the sound synchronization sound. From the visual disk and data memory to generate different audio and video frames, to provide one of several alternative answers or alternative actions in each branch point in the game according to the audience's voice"&amp;" recognition unit. A simple voice recognition unit can be used, because the number of words to be recognized at each branch point is limited to a few words. The prompt menu is displayed on the handheld unit to inform the audience what words they can use a"&amp;"t each branch point. The prompt is programmed to be different in voice to facilitate each other. The audience can enter the problem by saying the display code word representing the entire sentence or publish other comments. Pressing the buttons displayed "&amp;"on the hand holding unit can make the recording of the displayed sentence being played to replace the audience. The audience can chat with celebrities' simulation images, play in the game, make administrative decisions as a king or general, and participat"&amp;"e in the simulation adventure with interesting game characters. A response.")</f>
        <v>A video entertainment system, human audiences make simulation voice dialogue with screen actors or cartoon characters in the branch story game displayed on the TV screen through the system. Actors and cartoon characters respond to what the audience says with the sound synchronization sound. From the visual disk and data memory to generate different audio and video frames, to provide one of several alternative answers or alternative actions in each branch point in the game according to the audience's voice recognition unit. A simple voice recognition unit can be used, because the number of words to be recognized at each branch point is limited to a few words. The prompt menu is displayed on the handheld unit to inform the audience what words they can use at each branch point. The prompt is programmed to be different in voice to facilitate each other. The audience can enter the problem by saying the display code word representing the entire sentence or publish other comments. Pressing the buttons displayed on the hand holding unit can make the recording of the displayed sentence being played to replace the audience. The audience can chat with celebrities' simulation images, play in the game, make administrative decisions as a king or general, and participate in the simulation adventure with interesting game characters. A response.</v>
      </c>
      <c r="D4458" s="6" t="s">
        <v>12405</v>
      </c>
      <c r="E4458" s="4" t="str">
        <f ca="1">IFERROR(__xludf.DUMMYFUNCTION("GOOGLETRANSLATE(D4458,""auto"",""en"")"),"Topped TV movie")</f>
        <v>Topped TV movie</v>
      </c>
    </row>
    <row r="4459" spans="1:5" ht="15" x14ac:dyDescent="0.25">
      <c r="A4459" s="5" t="s">
        <v>12406</v>
      </c>
      <c r="B4459" s="6" t="s">
        <v>12407</v>
      </c>
      <c r="C4459" s="3" t="str">
        <f ca="1">IFERROR(__xludf.DUMMYFUNCTION("GOOGLETRANSLATE(B4459,""auto"",""en"")"),"A video entertainment system, a pre -recorded branch movie played on the TV screen through the system on the TV screen with the screen actor or cartoon character. The actor and cartoon film respond to what the audience said in a synchronous voice. Accordi"&amp;"ng to the content of the audience's voice recognition unit, different audio and video frames are described on the video disk to provide several alternative answers or alternative actions at each branch point in the movie. A simple voice recognition unit c"&amp;"an be used, because the number of words to be recognized at each branch point is limited to a few words. The prompt menu is displayed on the handheld unit to inform the audience what words they can use at each branch point. The prompt is programmed to be "&amp;"different in voice to facilitate each other. The audience can enter the problem by speaking the display code word representing the entire sentence or publishing other comments. Pressing the buttons displayed on the hand holding unit can make the recording"&amp;" of the displayed sentence being played to replace the audience. The audience can chat with celebrities' simulation images, play in the game, make administrative decisions as a king or general, and participate in the simulation adventure with interesting "&amp;"characters. These characters will respond to each audience's words and make them Response.")</f>
        <v>A video entertainment system, a pre -recorded branch movie played on the TV screen through the system on the TV screen with the screen actor or cartoon character. The actor and cartoon film respond to what the audience said in a synchronous voice. According to the content of the audience's voice recognition unit, different audio and video frames are described on the video disk to provide several alternative answers or alternative actions at each branch point in the movie. A simple voice recognition unit can be used, because the number of words to be recognized at each branch point is limited to a few words. The prompt menu is displayed on the handheld unit to inform the audience what words they can use at each branch point. The prompt is programmed to be different in voice to facilitate each other. The audience can enter the problem by speaking the display code word representing the entire sentence or publishing other comments. Pressing the buttons displayed on the hand holding unit can make the recording of the displayed sentence being played to replace the audience. The audience can chat with celebrities' simulation images, play in the game, make administrative decisions as a king or general, and participate in the simulation adventure with interesting characters. These characters will respond to each audience's words and make them Response.</v>
      </c>
      <c r="D4459" s="6" t="s">
        <v>12405</v>
      </c>
      <c r="E4459" s="4" t="str">
        <f ca="1">IFERROR(__xludf.DUMMYFUNCTION("GOOGLETRANSLATE(D4459,""auto"",""en"")"),"Topped TV movie")</f>
        <v>Topped TV movie</v>
      </c>
    </row>
  </sheetData>
  <phoneticPr fontId="6" type="noConversion"/>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 ref="A133" r:id="rId132" xr:uid="{00000000-0004-0000-0000-000083000000}"/>
    <hyperlink ref="A134" r:id="rId133" xr:uid="{00000000-0004-0000-0000-000084000000}"/>
    <hyperlink ref="A135" r:id="rId134" xr:uid="{00000000-0004-0000-0000-000085000000}"/>
    <hyperlink ref="A136" r:id="rId135" xr:uid="{00000000-0004-0000-0000-000086000000}"/>
    <hyperlink ref="A137" r:id="rId136" xr:uid="{00000000-0004-0000-0000-000087000000}"/>
    <hyperlink ref="A138" r:id="rId137" xr:uid="{00000000-0004-0000-0000-000088000000}"/>
    <hyperlink ref="A139" r:id="rId138" xr:uid="{00000000-0004-0000-0000-000089000000}"/>
    <hyperlink ref="A140" r:id="rId139" xr:uid="{00000000-0004-0000-0000-00008A000000}"/>
    <hyperlink ref="A141" r:id="rId140" xr:uid="{00000000-0004-0000-0000-00008B000000}"/>
    <hyperlink ref="A142" r:id="rId141" xr:uid="{00000000-0004-0000-0000-00008C000000}"/>
    <hyperlink ref="A143" r:id="rId142" xr:uid="{00000000-0004-0000-0000-00008D000000}"/>
    <hyperlink ref="A144" r:id="rId143" xr:uid="{00000000-0004-0000-0000-00008E000000}"/>
    <hyperlink ref="A145" r:id="rId144" xr:uid="{00000000-0004-0000-0000-00008F000000}"/>
    <hyperlink ref="A146" r:id="rId145" xr:uid="{00000000-0004-0000-0000-000090000000}"/>
    <hyperlink ref="A147" r:id="rId146" xr:uid="{00000000-0004-0000-0000-000091000000}"/>
    <hyperlink ref="A148" r:id="rId147" xr:uid="{00000000-0004-0000-0000-000092000000}"/>
    <hyperlink ref="A149" r:id="rId148" xr:uid="{00000000-0004-0000-0000-000093000000}"/>
    <hyperlink ref="A150" r:id="rId149" xr:uid="{00000000-0004-0000-0000-000094000000}"/>
    <hyperlink ref="A151" r:id="rId150" xr:uid="{00000000-0004-0000-0000-000095000000}"/>
    <hyperlink ref="A152" r:id="rId151" xr:uid="{00000000-0004-0000-0000-000096000000}"/>
    <hyperlink ref="A153" r:id="rId152" xr:uid="{00000000-0004-0000-0000-000097000000}"/>
    <hyperlink ref="A154" r:id="rId153" xr:uid="{00000000-0004-0000-0000-000098000000}"/>
    <hyperlink ref="A155" r:id="rId154" xr:uid="{00000000-0004-0000-0000-000099000000}"/>
    <hyperlink ref="A156" r:id="rId155" xr:uid="{00000000-0004-0000-0000-00009A000000}"/>
    <hyperlink ref="A157" r:id="rId156" xr:uid="{00000000-0004-0000-0000-00009B000000}"/>
    <hyperlink ref="A158" r:id="rId157" xr:uid="{00000000-0004-0000-0000-00009C000000}"/>
    <hyperlink ref="A159" r:id="rId158" xr:uid="{00000000-0004-0000-0000-00009D000000}"/>
    <hyperlink ref="A160" r:id="rId159" xr:uid="{00000000-0004-0000-0000-00009E000000}"/>
    <hyperlink ref="A161" r:id="rId160" xr:uid="{00000000-0004-0000-0000-00009F000000}"/>
    <hyperlink ref="A162" r:id="rId161" xr:uid="{00000000-0004-0000-0000-0000A0000000}"/>
    <hyperlink ref="A163" r:id="rId162" xr:uid="{00000000-0004-0000-0000-0000A1000000}"/>
    <hyperlink ref="A164" r:id="rId163" xr:uid="{00000000-0004-0000-0000-0000A2000000}"/>
    <hyperlink ref="A165" r:id="rId164" xr:uid="{00000000-0004-0000-0000-0000A3000000}"/>
    <hyperlink ref="A166" r:id="rId165" xr:uid="{00000000-0004-0000-0000-0000A4000000}"/>
    <hyperlink ref="A167" r:id="rId166" xr:uid="{00000000-0004-0000-0000-0000A5000000}"/>
    <hyperlink ref="A168" r:id="rId167" xr:uid="{00000000-0004-0000-0000-0000A6000000}"/>
    <hyperlink ref="A169" r:id="rId168" xr:uid="{00000000-0004-0000-0000-0000A7000000}"/>
    <hyperlink ref="A170" r:id="rId169" xr:uid="{00000000-0004-0000-0000-0000A8000000}"/>
    <hyperlink ref="A171" r:id="rId170" xr:uid="{00000000-0004-0000-0000-0000A9000000}"/>
    <hyperlink ref="A172" r:id="rId171" xr:uid="{00000000-0004-0000-0000-0000AA000000}"/>
    <hyperlink ref="A173" r:id="rId172" xr:uid="{00000000-0004-0000-0000-0000AB000000}"/>
    <hyperlink ref="A174" r:id="rId173" xr:uid="{00000000-0004-0000-0000-0000AC000000}"/>
    <hyperlink ref="A175" r:id="rId174" xr:uid="{00000000-0004-0000-0000-0000AD000000}"/>
    <hyperlink ref="A176" r:id="rId175" xr:uid="{00000000-0004-0000-0000-0000AE000000}"/>
    <hyperlink ref="A177" r:id="rId176" xr:uid="{00000000-0004-0000-0000-0000AF000000}"/>
    <hyperlink ref="A178" r:id="rId177" xr:uid="{00000000-0004-0000-0000-0000B0000000}"/>
    <hyperlink ref="A179" r:id="rId178" xr:uid="{00000000-0004-0000-0000-0000B1000000}"/>
    <hyperlink ref="A180" r:id="rId179" xr:uid="{00000000-0004-0000-0000-0000B2000000}"/>
    <hyperlink ref="A181" r:id="rId180" xr:uid="{00000000-0004-0000-0000-0000B3000000}"/>
    <hyperlink ref="A182" r:id="rId181" xr:uid="{00000000-0004-0000-0000-0000B4000000}"/>
    <hyperlink ref="A183" r:id="rId182" xr:uid="{00000000-0004-0000-0000-0000B5000000}"/>
    <hyperlink ref="A184" r:id="rId183" xr:uid="{00000000-0004-0000-0000-0000B6000000}"/>
    <hyperlink ref="A185" r:id="rId184" xr:uid="{00000000-0004-0000-0000-0000B7000000}"/>
    <hyperlink ref="A186" r:id="rId185" xr:uid="{00000000-0004-0000-0000-0000B8000000}"/>
    <hyperlink ref="A187" r:id="rId186" xr:uid="{00000000-0004-0000-0000-0000B9000000}"/>
    <hyperlink ref="A188" r:id="rId187" xr:uid="{00000000-0004-0000-0000-0000BA000000}"/>
    <hyperlink ref="A189" r:id="rId188" xr:uid="{00000000-0004-0000-0000-0000BB000000}"/>
    <hyperlink ref="A190" r:id="rId189" xr:uid="{00000000-0004-0000-0000-0000BC000000}"/>
    <hyperlink ref="A191" r:id="rId190" xr:uid="{00000000-0004-0000-0000-0000BD000000}"/>
    <hyperlink ref="A192" r:id="rId191" xr:uid="{00000000-0004-0000-0000-0000BE000000}"/>
    <hyperlink ref="A193" r:id="rId192" xr:uid="{00000000-0004-0000-0000-0000BF000000}"/>
    <hyperlink ref="A194" r:id="rId193" xr:uid="{00000000-0004-0000-0000-0000C0000000}"/>
    <hyperlink ref="A195" r:id="rId194" xr:uid="{00000000-0004-0000-0000-0000C1000000}"/>
    <hyperlink ref="A196" r:id="rId195" xr:uid="{00000000-0004-0000-0000-0000C2000000}"/>
    <hyperlink ref="A197" r:id="rId196" xr:uid="{00000000-0004-0000-0000-0000C3000000}"/>
    <hyperlink ref="A198" r:id="rId197" xr:uid="{00000000-0004-0000-0000-0000C4000000}"/>
    <hyperlink ref="A199" r:id="rId198" xr:uid="{00000000-0004-0000-0000-0000C5000000}"/>
    <hyperlink ref="A200" r:id="rId199" xr:uid="{00000000-0004-0000-0000-0000C6000000}"/>
    <hyperlink ref="A201" r:id="rId200" xr:uid="{00000000-0004-0000-0000-0000C7000000}"/>
    <hyperlink ref="A202" r:id="rId201" xr:uid="{00000000-0004-0000-0000-0000C8000000}"/>
    <hyperlink ref="A203" r:id="rId202" xr:uid="{00000000-0004-0000-0000-0000C9000000}"/>
    <hyperlink ref="A204" r:id="rId203" xr:uid="{00000000-0004-0000-0000-0000CA000000}"/>
    <hyperlink ref="A205" r:id="rId204" xr:uid="{00000000-0004-0000-0000-0000CB000000}"/>
    <hyperlink ref="A206" r:id="rId205" xr:uid="{00000000-0004-0000-0000-0000CC000000}"/>
    <hyperlink ref="A207" r:id="rId206" xr:uid="{00000000-0004-0000-0000-0000CD000000}"/>
    <hyperlink ref="A208" r:id="rId207" xr:uid="{00000000-0004-0000-0000-0000CE000000}"/>
    <hyperlink ref="A209" r:id="rId208" xr:uid="{00000000-0004-0000-0000-0000CF000000}"/>
    <hyperlink ref="A210" r:id="rId209" xr:uid="{00000000-0004-0000-0000-0000D0000000}"/>
    <hyperlink ref="A211" r:id="rId210" xr:uid="{00000000-0004-0000-0000-0000D1000000}"/>
    <hyperlink ref="A212" r:id="rId211" xr:uid="{00000000-0004-0000-0000-0000D2000000}"/>
    <hyperlink ref="A213" r:id="rId212" xr:uid="{00000000-0004-0000-0000-0000D3000000}"/>
    <hyperlink ref="A214" r:id="rId213" xr:uid="{00000000-0004-0000-0000-0000D4000000}"/>
    <hyperlink ref="A215" r:id="rId214" xr:uid="{00000000-0004-0000-0000-0000D5000000}"/>
    <hyperlink ref="A216" r:id="rId215" xr:uid="{00000000-0004-0000-0000-0000D6000000}"/>
    <hyperlink ref="A217" r:id="rId216" xr:uid="{00000000-0004-0000-0000-0000D7000000}"/>
    <hyperlink ref="A218" r:id="rId217" xr:uid="{00000000-0004-0000-0000-0000D8000000}"/>
    <hyperlink ref="A219" r:id="rId218" xr:uid="{00000000-0004-0000-0000-0000D9000000}"/>
    <hyperlink ref="A220" r:id="rId219" xr:uid="{00000000-0004-0000-0000-0000DA000000}"/>
    <hyperlink ref="A221" r:id="rId220" xr:uid="{00000000-0004-0000-0000-0000DB000000}"/>
    <hyperlink ref="A222" r:id="rId221" xr:uid="{00000000-0004-0000-0000-0000DC000000}"/>
    <hyperlink ref="A223" r:id="rId222" xr:uid="{00000000-0004-0000-0000-0000DD000000}"/>
    <hyperlink ref="A224" r:id="rId223" xr:uid="{00000000-0004-0000-0000-0000DE000000}"/>
    <hyperlink ref="A225" r:id="rId224" xr:uid="{00000000-0004-0000-0000-0000DF000000}"/>
    <hyperlink ref="A226" r:id="rId225" xr:uid="{00000000-0004-0000-0000-0000E0000000}"/>
    <hyperlink ref="A227" r:id="rId226" xr:uid="{00000000-0004-0000-0000-0000E1000000}"/>
    <hyperlink ref="A228" r:id="rId227" xr:uid="{00000000-0004-0000-0000-0000E2000000}"/>
    <hyperlink ref="A229" r:id="rId228" xr:uid="{00000000-0004-0000-0000-0000E3000000}"/>
    <hyperlink ref="A230" r:id="rId229" xr:uid="{00000000-0004-0000-0000-0000E4000000}"/>
    <hyperlink ref="A231" r:id="rId230" xr:uid="{00000000-0004-0000-0000-0000E5000000}"/>
    <hyperlink ref="A232" r:id="rId231" xr:uid="{00000000-0004-0000-0000-0000E6000000}"/>
    <hyperlink ref="A233" r:id="rId232" xr:uid="{00000000-0004-0000-0000-0000E7000000}"/>
    <hyperlink ref="A234" r:id="rId233" xr:uid="{00000000-0004-0000-0000-0000E8000000}"/>
    <hyperlink ref="A235" r:id="rId234" xr:uid="{00000000-0004-0000-0000-0000E9000000}"/>
    <hyperlink ref="A236" r:id="rId235" xr:uid="{00000000-0004-0000-0000-0000EA000000}"/>
    <hyperlink ref="A237" r:id="rId236" xr:uid="{00000000-0004-0000-0000-0000EB000000}"/>
    <hyperlink ref="A238" r:id="rId237" xr:uid="{00000000-0004-0000-0000-0000EC000000}"/>
    <hyperlink ref="A239" r:id="rId238" xr:uid="{00000000-0004-0000-0000-0000ED000000}"/>
    <hyperlink ref="A240" r:id="rId239" xr:uid="{00000000-0004-0000-0000-0000EE000000}"/>
    <hyperlink ref="A241" r:id="rId240" xr:uid="{00000000-0004-0000-0000-0000EF000000}"/>
    <hyperlink ref="A242" r:id="rId241" xr:uid="{00000000-0004-0000-0000-0000F0000000}"/>
    <hyperlink ref="A243" r:id="rId242" xr:uid="{00000000-0004-0000-0000-0000F1000000}"/>
    <hyperlink ref="A244" r:id="rId243" xr:uid="{00000000-0004-0000-0000-0000F2000000}"/>
    <hyperlink ref="A245" r:id="rId244" xr:uid="{00000000-0004-0000-0000-0000F3000000}"/>
    <hyperlink ref="A246" r:id="rId245" xr:uid="{00000000-0004-0000-0000-0000F4000000}"/>
    <hyperlink ref="A247" r:id="rId246" xr:uid="{00000000-0004-0000-0000-0000F5000000}"/>
    <hyperlink ref="A248" r:id="rId247" xr:uid="{00000000-0004-0000-0000-0000F6000000}"/>
    <hyperlink ref="A249" r:id="rId248" xr:uid="{00000000-0004-0000-0000-0000F7000000}"/>
    <hyperlink ref="A250" r:id="rId249" xr:uid="{00000000-0004-0000-0000-0000F8000000}"/>
    <hyperlink ref="A251" r:id="rId250" xr:uid="{00000000-0004-0000-0000-0000F9000000}"/>
    <hyperlink ref="A252" r:id="rId251" xr:uid="{00000000-0004-0000-0000-0000FA000000}"/>
    <hyperlink ref="A253" r:id="rId252" xr:uid="{00000000-0004-0000-0000-0000FB000000}"/>
    <hyperlink ref="A254" r:id="rId253" xr:uid="{00000000-0004-0000-0000-0000FC000000}"/>
    <hyperlink ref="A255" r:id="rId254" xr:uid="{00000000-0004-0000-0000-0000FD000000}"/>
    <hyperlink ref="A256" r:id="rId255" xr:uid="{00000000-0004-0000-0000-0000FE000000}"/>
    <hyperlink ref="A257" r:id="rId256" xr:uid="{00000000-0004-0000-0000-0000FF000000}"/>
    <hyperlink ref="A258" r:id="rId257" xr:uid="{00000000-0004-0000-0000-000000010000}"/>
    <hyperlink ref="A259" r:id="rId258" xr:uid="{00000000-0004-0000-0000-000001010000}"/>
    <hyperlink ref="A260" r:id="rId259" xr:uid="{00000000-0004-0000-0000-000002010000}"/>
    <hyperlink ref="A261" r:id="rId260" xr:uid="{00000000-0004-0000-0000-000003010000}"/>
    <hyperlink ref="A262" r:id="rId261" xr:uid="{00000000-0004-0000-0000-000004010000}"/>
    <hyperlink ref="A263" r:id="rId262" xr:uid="{00000000-0004-0000-0000-000005010000}"/>
    <hyperlink ref="A264" r:id="rId263" xr:uid="{00000000-0004-0000-0000-000006010000}"/>
    <hyperlink ref="A265" r:id="rId264" xr:uid="{00000000-0004-0000-0000-000007010000}"/>
    <hyperlink ref="A266" r:id="rId265" xr:uid="{00000000-0004-0000-0000-000008010000}"/>
    <hyperlink ref="A267" r:id="rId266" xr:uid="{00000000-0004-0000-0000-000009010000}"/>
    <hyperlink ref="A268" r:id="rId267" xr:uid="{00000000-0004-0000-0000-00000A010000}"/>
    <hyperlink ref="A269" r:id="rId268" xr:uid="{00000000-0004-0000-0000-00000B010000}"/>
    <hyperlink ref="A270" r:id="rId269" xr:uid="{00000000-0004-0000-0000-00000C010000}"/>
    <hyperlink ref="A271" r:id="rId270" xr:uid="{00000000-0004-0000-0000-00000D010000}"/>
    <hyperlink ref="A272" r:id="rId271" xr:uid="{00000000-0004-0000-0000-00000E010000}"/>
    <hyperlink ref="A273" r:id="rId272" xr:uid="{00000000-0004-0000-0000-00000F010000}"/>
    <hyperlink ref="A274" r:id="rId273" xr:uid="{00000000-0004-0000-0000-000010010000}"/>
    <hyperlink ref="A275" r:id="rId274" xr:uid="{00000000-0004-0000-0000-000011010000}"/>
    <hyperlink ref="A276" r:id="rId275" xr:uid="{00000000-0004-0000-0000-000012010000}"/>
    <hyperlink ref="A277" r:id="rId276" xr:uid="{00000000-0004-0000-0000-000013010000}"/>
    <hyperlink ref="A278" r:id="rId277" xr:uid="{00000000-0004-0000-0000-000014010000}"/>
    <hyperlink ref="A279" r:id="rId278" xr:uid="{00000000-0004-0000-0000-000015010000}"/>
    <hyperlink ref="A280" r:id="rId279" xr:uid="{00000000-0004-0000-0000-000016010000}"/>
    <hyperlink ref="A281" r:id="rId280" xr:uid="{00000000-0004-0000-0000-000017010000}"/>
    <hyperlink ref="A282" r:id="rId281" xr:uid="{00000000-0004-0000-0000-000018010000}"/>
    <hyperlink ref="A283" r:id="rId282" xr:uid="{00000000-0004-0000-0000-000019010000}"/>
    <hyperlink ref="A284" r:id="rId283" xr:uid="{00000000-0004-0000-0000-00001A010000}"/>
    <hyperlink ref="A285" r:id="rId284" xr:uid="{00000000-0004-0000-0000-00001B010000}"/>
    <hyperlink ref="A286" r:id="rId285" xr:uid="{00000000-0004-0000-0000-00001C010000}"/>
    <hyperlink ref="A287" r:id="rId286" xr:uid="{00000000-0004-0000-0000-00001D010000}"/>
    <hyperlink ref="A288" r:id="rId287" xr:uid="{00000000-0004-0000-0000-00001E010000}"/>
    <hyperlink ref="A289" r:id="rId288" xr:uid="{00000000-0004-0000-0000-00001F010000}"/>
    <hyperlink ref="A290" r:id="rId289" xr:uid="{00000000-0004-0000-0000-000020010000}"/>
    <hyperlink ref="A291" r:id="rId290" xr:uid="{00000000-0004-0000-0000-000021010000}"/>
    <hyperlink ref="A292" r:id="rId291" xr:uid="{00000000-0004-0000-0000-000022010000}"/>
    <hyperlink ref="A293" r:id="rId292" xr:uid="{00000000-0004-0000-0000-000023010000}"/>
    <hyperlink ref="A294" r:id="rId293" xr:uid="{00000000-0004-0000-0000-000024010000}"/>
    <hyperlink ref="A295" r:id="rId294" xr:uid="{00000000-0004-0000-0000-000025010000}"/>
    <hyperlink ref="A296" r:id="rId295" xr:uid="{00000000-0004-0000-0000-000026010000}"/>
    <hyperlink ref="A297" r:id="rId296" xr:uid="{00000000-0004-0000-0000-000027010000}"/>
    <hyperlink ref="A298" r:id="rId297" xr:uid="{00000000-0004-0000-0000-000028010000}"/>
    <hyperlink ref="A299" r:id="rId298" xr:uid="{00000000-0004-0000-0000-000029010000}"/>
    <hyperlink ref="A300" r:id="rId299" xr:uid="{00000000-0004-0000-0000-00002A010000}"/>
    <hyperlink ref="A301" r:id="rId300" xr:uid="{00000000-0004-0000-0000-00002B010000}"/>
    <hyperlink ref="A302" r:id="rId301" xr:uid="{00000000-0004-0000-0000-00002C010000}"/>
    <hyperlink ref="A303" r:id="rId302" xr:uid="{00000000-0004-0000-0000-00002D010000}"/>
    <hyperlink ref="A304" r:id="rId303" xr:uid="{00000000-0004-0000-0000-00002E010000}"/>
    <hyperlink ref="A305" r:id="rId304" xr:uid="{00000000-0004-0000-0000-00002F010000}"/>
    <hyperlink ref="A306" r:id="rId305" xr:uid="{00000000-0004-0000-0000-000030010000}"/>
    <hyperlink ref="A307" r:id="rId306" xr:uid="{00000000-0004-0000-0000-000031010000}"/>
    <hyperlink ref="A308" r:id="rId307" xr:uid="{00000000-0004-0000-0000-000032010000}"/>
    <hyperlink ref="A309" r:id="rId308" xr:uid="{00000000-0004-0000-0000-000033010000}"/>
    <hyperlink ref="A310" r:id="rId309" xr:uid="{00000000-0004-0000-0000-000034010000}"/>
    <hyperlink ref="A311" r:id="rId310" xr:uid="{00000000-0004-0000-0000-000035010000}"/>
    <hyperlink ref="A312" r:id="rId311" xr:uid="{00000000-0004-0000-0000-000036010000}"/>
    <hyperlink ref="A313" r:id="rId312" xr:uid="{00000000-0004-0000-0000-000037010000}"/>
    <hyperlink ref="A314" r:id="rId313" xr:uid="{00000000-0004-0000-0000-000038010000}"/>
    <hyperlink ref="A315" r:id="rId314" xr:uid="{00000000-0004-0000-0000-000039010000}"/>
    <hyperlink ref="A316" r:id="rId315" xr:uid="{00000000-0004-0000-0000-00003A010000}"/>
    <hyperlink ref="A317" r:id="rId316" xr:uid="{00000000-0004-0000-0000-00003B010000}"/>
    <hyperlink ref="A318" r:id="rId317" xr:uid="{00000000-0004-0000-0000-00003C010000}"/>
    <hyperlink ref="A319" r:id="rId318" xr:uid="{00000000-0004-0000-0000-00003D010000}"/>
    <hyperlink ref="A320" r:id="rId319" xr:uid="{00000000-0004-0000-0000-00003E010000}"/>
    <hyperlink ref="A321" r:id="rId320" xr:uid="{00000000-0004-0000-0000-00003F010000}"/>
    <hyperlink ref="A322" r:id="rId321" xr:uid="{00000000-0004-0000-0000-000040010000}"/>
    <hyperlink ref="A323" r:id="rId322" xr:uid="{00000000-0004-0000-0000-000041010000}"/>
    <hyperlink ref="A324" r:id="rId323" xr:uid="{00000000-0004-0000-0000-000042010000}"/>
    <hyperlink ref="A325" r:id="rId324" xr:uid="{00000000-0004-0000-0000-000043010000}"/>
    <hyperlink ref="A326" r:id="rId325" xr:uid="{00000000-0004-0000-0000-000044010000}"/>
    <hyperlink ref="A327" r:id="rId326" xr:uid="{00000000-0004-0000-0000-000045010000}"/>
    <hyperlink ref="A328" r:id="rId327" xr:uid="{00000000-0004-0000-0000-000046010000}"/>
    <hyperlink ref="A329" r:id="rId328" xr:uid="{00000000-0004-0000-0000-000047010000}"/>
    <hyperlink ref="A330" r:id="rId329" xr:uid="{00000000-0004-0000-0000-000048010000}"/>
    <hyperlink ref="A331" r:id="rId330" xr:uid="{00000000-0004-0000-0000-000049010000}"/>
    <hyperlink ref="A332" r:id="rId331" xr:uid="{00000000-0004-0000-0000-00004A010000}"/>
    <hyperlink ref="A333" r:id="rId332" xr:uid="{00000000-0004-0000-0000-00004B010000}"/>
    <hyperlink ref="A334" r:id="rId333" xr:uid="{00000000-0004-0000-0000-00004C010000}"/>
    <hyperlink ref="A335" r:id="rId334" xr:uid="{00000000-0004-0000-0000-00004D010000}"/>
    <hyperlink ref="A336" r:id="rId335" xr:uid="{00000000-0004-0000-0000-00004E010000}"/>
    <hyperlink ref="A337" r:id="rId336" xr:uid="{00000000-0004-0000-0000-00004F010000}"/>
    <hyperlink ref="A338" r:id="rId337" xr:uid="{00000000-0004-0000-0000-000050010000}"/>
    <hyperlink ref="A339" r:id="rId338" xr:uid="{00000000-0004-0000-0000-000051010000}"/>
    <hyperlink ref="A340" r:id="rId339" xr:uid="{00000000-0004-0000-0000-000052010000}"/>
    <hyperlink ref="A341" r:id="rId340" xr:uid="{00000000-0004-0000-0000-000053010000}"/>
    <hyperlink ref="A342" r:id="rId341" xr:uid="{00000000-0004-0000-0000-000054010000}"/>
    <hyperlink ref="A343" r:id="rId342" xr:uid="{00000000-0004-0000-0000-000055010000}"/>
    <hyperlink ref="A344" r:id="rId343" xr:uid="{00000000-0004-0000-0000-000056010000}"/>
    <hyperlink ref="A345" r:id="rId344" xr:uid="{00000000-0004-0000-0000-000057010000}"/>
    <hyperlink ref="A346" r:id="rId345" xr:uid="{00000000-0004-0000-0000-000058010000}"/>
    <hyperlink ref="A347" r:id="rId346" xr:uid="{00000000-0004-0000-0000-000059010000}"/>
    <hyperlink ref="A348" r:id="rId347" xr:uid="{00000000-0004-0000-0000-00005A010000}"/>
    <hyperlink ref="A349" r:id="rId348" xr:uid="{00000000-0004-0000-0000-00005B010000}"/>
    <hyperlink ref="A350" r:id="rId349" xr:uid="{00000000-0004-0000-0000-00005C010000}"/>
    <hyperlink ref="A351" r:id="rId350" xr:uid="{00000000-0004-0000-0000-00005D010000}"/>
    <hyperlink ref="A352" r:id="rId351" xr:uid="{00000000-0004-0000-0000-00005E010000}"/>
    <hyperlink ref="A353" r:id="rId352" xr:uid="{00000000-0004-0000-0000-00005F010000}"/>
    <hyperlink ref="A354" r:id="rId353" xr:uid="{00000000-0004-0000-0000-000060010000}"/>
    <hyperlink ref="A355" r:id="rId354" xr:uid="{00000000-0004-0000-0000-000061010000}"/>
    <hyperlink ref="A356" r:id="rId355" xr:uid="{00000000-0004-0000-0000-000062010000}"/>
    <hyperlink ref="A357" r:id="rId356" xr:uid="{00000000-0004-0000-0000-000063010000}"/>
    <hyperlink ref="A358" r:id="rId357" xr:uid="{00000000-0004-0000-0000-000064010000}"/>
    <hyperlink ref="A359" r:id="rId358" xr:uid="{00000000-0004-0000-0000-000065010000}"/>
    <hyperlink ref="A360" r:id="rId359" xr:uid="{00000000-0004-0000-0000-000066010000}"/>
    <hyperlink ref="A361" r:id="rId360" xr:uid="{00000000-0004-0000-0000-000067010000}"/>
    <hyperlink ref="A362" r:id="rId361" xr:uid="{00000000-0004-0000-0000-000068010000}"/>
    <hyperlink ref="A363" r:id="rId362" xr:uid="{00000000-0004-0000-0000-000069010000}"/>
    <hyperlink ref="A364" r:id="rId363" xr:uid="{00000000-0004-0000-0000-00006A010000}"/>
    <hyperlink ref="A365" r:id="rId364" xr:uid="{00000000-0004-0000-0000-00006B010000}"/>
    <hyperlink ref="A366" r:id="rId365" xr:uid="{00000000-0004-0000-0000-00006C010000}"/>
    <hyperlink ref="A367" r:id="rId366" xr:uid="{00000000-0004-0000-0000-00006D010000}"/>
    <hyperlink ref="A368" r:id="rId367" xr:uid="{00000000-0004-0000-0000-00006E010000}"/>
    <hyperlink ref="A369" r:id="rId368" xr:uid="{00000000-0004-0000-0000-00006F010000}"/>
    <hyperlink ref="A370" r:id="rId369" xr:uid="{00000000-0004-0000-0000-000070010000}"/>
    <hyperlink ref="A371" r:id="rId370" xr:uid="{00000000-0004-0000-0000-000071010000}"/>
    <hyperlink ref="A372" r:id="rId371" xr:uid="{00000000-0004-0000-0000-000072010000}"/>
    <hyperlink ref="A373" r:id="rId372" xr:uid="{00000000-0004-0000-0000-000073010000}"/>
    <hyperlink ref="A374" r:id="rId373" xr:uid="{00000000-0004-0000-0000-000074010000}"/>
    <hyperlink ref="A375" r:id="rId374" xr:uid="{00000000-0004-0000-0000-000075010000}"/>
    <hyperlink ref="A376" r:id="rId375" xr:uid="{00000000-0004-0000-0000-000076010000}"/>
    <hyperlink ref="A377" r:id="rId376" xr:uid="{00000000-0004-0000-0000-000077010000}"/>
    <hyperlink ref="A378" r:id="rId377" xr:uid="{00000000-0004-0000-0000-000078010000}"/>
    <hyperlink ref="A379" r:id="rId378" xr:uid="{00000000-0004-0000-0000-000079010000}"/>
    <hyperlink ref="A380" r:id="rId379" xr:uid="{00000000-0004-0000-0000-00007A010000}"/>
    <hyperlink ref="A381" r:id="rId380" xr:uid="{00000000-0004-0000-0000-00007B010000}"/>
    <hyperlink ref="A382" r:id="rId381" xr:uid="{00000000-0004-0000-0000-00007C010000}"/>
    <hyperlink ref="A383" r:id="rId382" xr:uid="{00000000-0004-0000-0000-00007D010000}"/>
    <hyperlink ref="A384" r:id="rId383" xr:uid="{00000000-0004-0000-0000-00007E010000}"/>
    <hyperlink ref="A385" r:id="rId384" xr:uid="{00000000-0004-0000-0000-00007F010000}"/>
    <hyperlink ref="A386" r:id="rId385" xr:uid="{00000000-0004-0000-0000-000080010000}"/>
    <hyperlink ref="A387" r:id="rId386" xr:uid="{00000000-0004-0000-0000-000081010000}"/>
    <hyperlink ref="A388" r:id="rId387" xr:uid="{00000000-0004-0000-0000-000082010000}"/>
    <hyperlink ref="A389" r:id="rId388" xr:uid="{00000000-0004-0000-0000-000083010000}"/>
    <hyperlink ref="A390" r:id="rId389" xr:uid="{00000000-0004-0000-0000-000084010000}"/>
    <hyperlink ref="A391" r:id="rId390" xr:uid="{00000000-0004-0000-0000-000085010000}"/>
    <hyperlink ref="A392" r:id="rId391" xr:uid="{00000000-0004-0000-0000-000086010000}"/>
    <hyperlink ref="A393" r:id="rId392" xr:uid="{00000000-0004-0000-0000-000087010000}"/>
    <hyperlink ref="A394" r:id="rId393" xr:uid="{00000000-0004-0000-0000-000088010000}"/>
    <hyperlink ref="A395" r:id="rId394" xr:uid="{00000000-0004-0000-0000-000089010000}"/>
    <hyperlink ref="A396" r:id="rId395" xr:uid="{00000000-0004-0000-0000-00008A010000}"/>
    <hyperlink ref="A397" r:id="rId396" xr:uid="{00000000-0004-0000-0000-00008B010000}"/>
    <hyperlink ref="A398" r:id="rId397" xr:uid="{00000000-0004-0000-0000-00008C010000}"/>
    <hyperlink ref="A399" r:id="rId398" xr:uid="{00000000-0004-0000-0000-00008D010000}"/>
    <hyperlink ref="A400" r:id="rId399" xr:uid="{00000000-0004-0000-0000-00008E010000}"/>
    <hyperlink ref="A401" r:id="rId400" xr:uid="{00000000-0004-0000-0000-00008F010000}"/>
    <hyperlink ref="A402" r:id="rId401" xr:uid="{00000000-0004-0000-0000-000090010000}"/>
    <hyperlink ref="A403" r:id="rId402" xr:uid="{00000000-0004-0000-0000-000091010000}"/>
    <hyperlink ref="A404" r:id="rId403" xr:uid="{00000000-0004-0000-0000-000092010000}"/>
    <hyperlink ref="A405" r:id="rId404" xr:uid="{00000000-0004-0000-0000-000093010000}"/>
    <hyperlink ref="A406" r:id="rId405" xr:uid="{00000000-0004-0000-0000-000094010000}"/>
    <hyperlink ref="A407" r:id="rId406" xr:uid="{00000000-0004-0000-0000-000095010000}"/>
    <hyperlink ref="A408" r:id="rId407" xr:uid="{00000000-0004-0000-0000-000096010000}"/>
    <hyperlink ref="A409" r:id="rId408" xr:uid="{00000000-0004-0000-0000-000097010000}"/>
    <hyperlink ref="A410" r:id="rId409" xr:uid="{00000000-0004-0000-0000-000098010000}"/>
    <hyperlink ref="A411" r:id="rId410" xr:uid="{00000000-0004-0000-0000-000099010000}"/>
    <hyperlink ref="A412" r:id="rId411" xr:uid="{00000000-0004-0000-0000-00009A010000}"/>
    <hyperlink ref="A413" r:id="rId412" xr:uid="{00000000-0004-0000-0000-00009B010000}"/>
    <hyperlink ref="A414" r:id="rId413" xr:uid="{00000000-0004-0000-0000-00009C010000}"/>
    <hyperlink ref="A415" r:id="rId414" xr:uid="{00000000-0004-0000-0000-00009D010000}"/>
    <hyperlink ref="A416" r:id="rId415" xr:uid="{00000000-0004-0000-0000-00009E010000}"/>
    <hyperlink ref="A417" r:id="rId416" xr:uid="{00000000-0004-0000-0000-00009F010000}"/>
    <hyperlink ref="A418" r:id="rId417" xr:uid="{00000000-0004-0000-0000-0000A0010000}"/>
    <hyperlink ref="A419" r:id="rId418" xr:uid="{00000000-0004-0000-0000-0000A1010000}"/>
    <hyperlink ref="A420" r:id="rId419" xr:uid="{00000000-0004-0000-0000-0000A2010000}"/>
    <hyperlink ref="A421" r:id="rId420" xr:uid="{00000000-0004-0000-0000-0000A3010000}"/>
    <hyperlink ref="A422" r:id="rId421" xr:uid="{00000000-0004-0000-0000-0000A4010000}"/>
    <hyperlink ref="A423" r:id="rId422" xr:uid="{00000000-0004-0000-0000-0000A5010000}"/>
    <hyperlink ref="A424" r:id="rId423" xr:uid="{00000000-0004-0000-0000-0000A6010000}"/>
    <hyperlink ref="A425" r:id="rId424" xr:uid="{00000000-0004-0000-0000-0000A7010000}"/>
    <hyperlink ref="A426" r:id="rId425" xr:uid="{00000000-0004-0000-0000-0000A8010000}"/>
    <hyperlink ref="A427" r:id="rId426" xr:uid="{00000000-0004-0000-0000-0000A9010000}"/>
    <hyperlink ref="A428" r:id="rId427" xr:uid="{00000000-0004-0000-0000-0000AA010000}"/>
    <hyperlink ref="A429" r:id="rId428" xr:uid="{00000000-0004-0000-0000-0000AB010000}"/>
    <hyperlink ref="A430" r:id="rId429" xr:uid="{00000000-0004-0000-0000-0000AC010000}"/>
    <hyperlink ref="A431" r:id="rId430" xr:uid="{00000000-0004-0000-0000-0000AD010000}"/>
    <hyperlink ref="A432" r:id="rId431" xr:uid="{00000000-0004-0000-0000-0000AE010000}"/>
    <hyperlink ref="A433" r:id="rId432" xr:uid="{00000000-0004-0000-0000-0000AF010000}"/>
    <hyperlink ref="A434" r:id="rId433" xr:uid="{00000000-0004-0000-0000-0000B0010000}"/>
    <hyperlink ref="A435" r:id="rId434" xr:uid="{00000000-0004-0000-0000-0000B1010000}"/>
    <hyperlink ref="A436" r:id="rId435" xr:uid="{00000000-0004-0000-0000-0000B2010000}"/>
    <hyperlink ref="A437" r:id="rId436" xr:uid="{00000000-0004-0000-0000-0000B3010000}"/>
    <hyperlink ref="A438" r:id="rId437" xr:uid="{00000000-0004-0000-0000-0000B4010000}"/>
    <hyperlink ref="A439" r:id="rId438" xr:uid="{00000000-0004-0000-0000-0000B5010000}"/>
    <hyperlink ref="A440" r:id="rId439" xr:uid="{00000000-0004-0000-0000-0000B6010000}"/>
    <hyperlink ref="A441" r:id="rId440" xr:uid="{00000000-0004-0000-0000-0000B7010000}"/>
    <hyperlink ref="A442" r:id="rId441" xr:uid="{00000000-0004-0000-0000-0000B8010000}"/>
    <hyperlink ref="A443" r:id="rId442" xr:uid="{00000000-0004-0000-0000-0000B9010000}"/>
    <hyperlink ref="A444" r:id="rId443" xr:uid="{00000000-0004-0000-0000-0000BA010000}"/>
    <hyperlink ref="A445" r:id="rId444" xr:uid="{00000000-0004-0000-0000-0000BB010000}"/>
    <hyperlink ref="A446" r:id="rId445" xr:uid="{00000000-0004-0000-0000-0000BC010000}"/>
    <hyperlink ref="A447" r:id="rId446" xr:uid="{00000000-0004-0000-0000-0000BD010000}"/>
    <hyperlink ref="A448" r:id="rId447" xr:uid="{00000000-0004-0000-0000-0000BE010000}"/>
    <hyperlink ref="A449" r:id="rId448" xr:uid="{00000000-0004-0000-0000-0000BF010000}"/>
    <hyperlink ref="A450" r:id="rId449" xr:uid="{00000000-0004-0000-0000-0000C0010000}"/>
    <hyperlink ref="A451" r:id="rId450" xr:uid="{00000000-0004-0000-0000-0000C1010000}"/>
    <hyperlink ref="A452" r:id="rId451" xr:uid="{00000000-0004-0000-0000-0000C2010000}"/>
    <hyperlink ref="A453" r:id="rId452" xr:uid="{00000000-0004-0000-0000-0000C3010000}"/>
    <hyperlink ref="A454" r:id="rId453" xr:uid="{00000000-0004-0000-0000-0000C4010000}"/>
    <hyperlink ref="A455" r:id="rId454" xr:uid="{00000000-0004-0000-0000-0000C5010000}"/>
    <hyperlink ref="A456" r:id="rId455" xr:uid="{00000000-0004-0000-0000-0000C6010000}"/>
    <hyperlink ref="A457" r:id="rId456" xr:uid="{00000000-0004-0000-0000-0000C7010000}"/>
    <hyperlink ref="A458" r:id="rId457" xr:uid="{00000000-0004-0000-0000-0000C8010000}"/>
    <hyperlink ref="A459" r:id="rId458" xr:uid="{00000000-0004-0000-0000-0000C9010000}"/>
    <hyperlink ref="A460" r:id="rId459" xr:uid="{00000000-0004-0000-0000-0000CA010000}"/>
    <hyperlink ref="A461" r:id="rId460" xr:uid="{00000000-0004-0000-0000-0000CB010000}"/>
    <hyperlink ref="A462" r:id="rId461" xr:uid="{00000000-0004-0000-0000-0000CC010000}"/>
    <hyperlink ref="A463" r:id="rId462" xr:uid="{00000000-0004-0000-0000-0000CD010000}"/>
    <hyperlink ref="A464" r:id="rId463" xr:uid="{00000000-0004-0000-0000-0000CE010000}"/>
    <hyperlink ref="A465" r:id="rId464" xr:uid="{00000000-0004-0000-0000-0000CF010000}"/>
    <hyperlink ref="A466" r:id="rId465" xr:uid="{00000000-0004-0000-0000-0000D0010000}"/>
    <hyperlink ref="A467" r:id="rId466" xr:uid="{00000000-0004-0000-0000-0000D1010000}"/>
    <hyperlink ref="A468" r:id="rId467" xr:uid="{00000000-0004-0000-0000-0000D2010000}"/>
    <hyperlink ref="A469" r:id="rId468" xr:uid="{00000000-0004-0000-0000-0000D3010000}"/>
    <hyperlink ref="A470" r:id="rId469" xr:uid="{00000000-0004-0000-0000-0000D4010000}"/>
    <hyperlink ref="A471" r:id="rId470" xr:uid="{00000000-0004-0000-0000-0000D5010000}"/>
    <hyperlink ref="A472" r:id="rId471" xr:uid="{00000000-0004-0000-0000-0000D6010000}"/>
    <hyperlink ref="A473" r:id="rId472" xr:uid="{00000000-0004-0000-0000-0000D7010000}"/>
    <hyperlink ref="A474" r:id="rId473" xr:uid="{00000000-0004-0000-0000-0000D8010000}"/>
    <hyperlink ref="A475" r:id="rId474" xr:uid="{00000000-0004-0000-0000-0000D9010000}"/>
    <hyperlink ref="A476" r:id="rId475" xr:uid="{00000000-0004-0000-0000-0000DA010000}"/>
    <hyperlink ref="A477" r:id="rId476" xr:uid="{00000000-0004-0000-0000-0000DB010000}"/>
    <hyperlink ref="A478" r:id="rId477" xr:uid="{00000000-0004-0000-0000-0000DC010000}"/>
    <hyperlink ref="A479" r:id="rId478" xr:uid="{00000000-0004-0000-0000-0000DD010000}"/>
    <hyperlink ref="A480" r:id="rId479" xr:uid="{00000000-0004-0000-0000-0000DE010000}"/>
    <hyperlink ref="A481" r:id="rId480" xr:uid="{00000000-0004-0000-0000-0000DF010000}"/>
    <hyperlink ref="A482" r:id="rId481" xr:uid="{00000000-0004-0000-0000-0000E0010000}"/>
    <hyperlink ref="A483" r:id="rId482" xr:uid="{00000000-0004-0000-0000-0000E1010000}"/>
    <hyperlink ref="A484" r:id="rId483" xr:uid="{00000000-0004-0000-0000-0000E2010000}"/>
    <hyperlink ref="A485" r:id="rId484" xr:uid="{00000000-0004-0000-0000-0000E3010000}"/>
    <hyperlink ref="A486" r:id="rId485" xr:uid="{00000000-0004-0000-0000-0000E4010000}"/>
    <hyperlink ref="A487" r:id="rId486" xr:uid="{00000000-0004-0000-0000-0000E5010000}"/>
    <hyperlink ref="A488" r:id="rId487" xr:uid="{00000000-0004-0000-0000-0000E6010000}"/>
    <hyperlink ref="A489" r:id="rId488" xr:uid="{00000000-0004-0000-0000-0000E7010000}"/>
    <hyperlink ref="A490" r:id="rId489" xr:uid="{00000000-0004-0000-0000-0000E8010000}"/>
    <hyperlink ref="A491" r:id="rId490" xr:uid="{00000000-0004-0000-0000-0000E9010000}"/>
    <hyperlink ref="A492" r:id="rId491" xr:uid="{00000000-0004-0000-0000-0000EA010000}"/>
    <hyperlink ref="A493" r:id="rId492" xr:uid="{00000000-0004-0000-0000-0000EB010000}"/>
    <hyperlink ref="A494" r:id="rId493" xr:uid="{00000000-0004-0000-0000-0000EC010000}"/>
    <hyperlink ref="A495" r:id="rId494" xr:uid="{00000000-0004-0000-0000-0000ED010000}"/>
    <hyperlink ref="A496" r:id="rId495" xr:uid="{00000000-0004-0000-0000-0000EE010000}"/>
    <hyperlink ref="A497" r:id="rId496" xr:uid="{00000000-0004-0000-0000-0000EF010000}"/>
    <hyperlink ref="A498" r:id="rId497" xr:uid="{00000000-0004-0000-0000-0000F0010000}"/>
    <hyperlink ref="A499" r:id="rId498" xr:uid="{00000000-0004-0000-0000-0000F1010000}"/>
    <hyperlink ref="A500" r:id="rId499" xr:uid="{00000000-0004-0000-0000-0000F2010000}"/>
    <hyperlink ref="A501" r:id="rId500" xr:uid="{00000000-0004-0000-0000-0000F3010000}"/>
    <hyperlink ref="A502" r:id="rId501" xr:uid="{00000000-0004-0000-0000-0000F4010000}"/>
    <hyperlink ref="A503" r:id="rId502" xr:uid="{00000000-0004-0000-0000-0000F5010000}"/>
    <hyperlink ref="A504" r:id="rId503" xr:uid="{00000000-0004-0000-0000-0000F6010000}"/>
    <hyperlink ref="A505" r:id="rId504" xr:uid="{00000000-0004-0000-0000-0000F7010000}"/>
    <hyperlink ref="A506" r:id="rId505" xr:uid="{00000000-0004-0000-0000-0000F8010000}"/>
    <hyperlink ref="A507" r:id="rId506" xr:uid="{00000000-0004-0000-0000-0000F9010000}"/>
    <hyperlink ref="A508" r:id="rId507" xr:uid="{00000000-0004-0000-0000-0000FA010000}"/>
    <hyperlink ref="A509" r:id="rId508" xr:uid="{00000000-0004-0000-0000-0000FB010000}"/>
    <hyperlink ref="A510" r:id="rId509" xr:uid="{00000000-0004-0000-0000-0000FC010000}"/>
    <hyperlink ref="A511" r:id="rId510" xr:uid="{00000000-0004-0000-0000-0000FD010000}"/>
    <hyperlink ref="A512" r:id="rId511" xr:uid="{00000000-0004-0000-0000-0000FE010000}"/>
    <hyperlink ref="A513" r:id="rId512" xr:uid="{00000000-0004-0000-0000-0000FF010000}"/>
    <hyperlink ref="A514" r:id="rId513" xr:uid="{00000000-0004-0000-0000-000000020000}"/>
    <hyperlink ref="A515" r:id="rId514" xr:uid="{00000000-0004-0000-0000-000001020000}"/>
    <hyperlink ref="A516" r:id="rId515" xr:uid="{00000000-0004-0000-0000-000002020000}"/>
    <hyperlink ref="A517" r:id="rId516" xr:uid="{00000000-0004-0000-0000-000003020000}"/>
    <hyperlink ref="A518" r:id="rId517" xr:uid="{00000000-0004-0000-0000-000004020000}"/>
    <hyperlink ref="A519" r:id="rId518" xr:uid="{00000000-0004-0000-0000-000005020000}"/>
    <hyperlink ref="A520" r:id="rId519" xr:uid="{00000000-0004-0000-0000-000006020000}"/>
    <hyperlink ref="A521" r:id="rId520" xr:uid="{00000000-0004-0000-0000-000007020000}"/>
    <hyperlink ref="A522" r:id="rId521" xr:uid="{00000000-0004-0000-0000-000008020000}"/>
    <hyperlink ref="A523" r:id="rId522" xr:uid="{00000000-0004-0000-0000-000009020000}"/>
    <hyperlink ref="A524" r:id="rId523" xr:uid="{00000000-0004-0000-0000-00000A020000}"/>
    <hyperlink ref="A525" r:id="rId524" xr:uid="{00000000-0004-0000-0000-00000B020000}"/>
    <hyperlink ref="A526" r:id="rId525" xr:uid="{00000000-0004-0000-0000-00000C020000}"/>
    <hyperlink ref="A527" r:id="rId526" xr:uid="{00000000-0004-0000-0000-00000D020000}"/>
    <hyperlink ref="A528" r:id="rId527" xr:uid="{00000000-0004-0000-0000-00000E020000}"/>
    <hyperlink ref="A529" r:id="rId528" xr:uid="{00000000-0004-0000-0000-00000F020000}"/>
    <hyperlink ref="A530" r:id="rId529" xr:uid="{00000000-0004-0000-0000-000010020000}"/>
    <hyperlink ref="A531" r:id="rId530" xr:uid="{00000000-0004-0000-0000-000011020000}"/>
    <hyperlink ref="A532" r:id="rId531" xr:uid="{00000000-0004-0000-0000-000012020000}"/>
    <hyperlink ref="A533" r:id="rId532" xr:uid="{00000000-0004-0000-0000-000013020000}"/>
    <hyperlink ref="A534" r:id="rId533" xr:uid="{00000000-0004-0000-0000-000014020000}"/>
    <hyperlink ref="A535" r:id="rId534" xr:uid="{00000000-0004-0000-0000-000015020000}"/>
    <hyperlink ref="A536" r:id="rId535" xr:uid="{00000000-0004-0000-0000-000016020000}"/>
    <hyperlink ref="A537" r:id="rId536" xr:uid="{00000000-0004-0000-0000-000017020000}"/>
    <hyperlink ref="A538" r:id="rId537" xr:uid="{00000000-0004-0000-0000-000018020000}"/>
    <hyperlink ref="A539" r:id="rId538" xr:uid="{00000000-0004-0000-0000-000019020000}"/>
    <hyperlink ref="A540" r:id="rId539" xr:uid="{00000000-0004-0000-0000-00001A020000}"/>
    <hyperlink ref="A541" r:id="rId540" xr:uid="{00000000-0004-0000-0000-00001B020000}"/>
    <hyperlink ref="A542" r:id="rId541" xr:uid="{00000000-0004-0000-0000-00001C020000}"/>
    <hyperlink ref="A543" r:id="rId542" xr:uid="{00000000-0004-0000-0000-00001D020000}"/>
    <hyperlink ref="A544" r:id="rId543" xr:uid="{00000000-0004-0000-0000-00001E020000}"/>
    <hyperlink ref="A545" r:id="rId544" xr:uid="{00000000-0004-0000-0000-00001F020000}"/>
    <hyperlink ref="A546" r:id="rId545" xr:uid="{00000000-0004-0000-0000-000020020000}"/>
    <hyperlink ref="A547" r:id="rId546" xr:uid="{00000000-0004-0000-0000-000021020000}"/>
    <hyperlink ref="A548" r:id="rId547" xr:uid="{00000000-0004-0000-0000-000022020000}"/>
    <hyperlink ref="A549" r:id="rId548" xr:uid="{00000000-0004-0000-0000-000023020000}"/>
    <hyperlink ref="A550" r:id="rId549" xr:uid="{00000000-0004-0000-0000-000024020000}"/>
    <hyperlink ref="A551" r:id="rId550" xr:uid="{00000000-0004-0000-0000-000025020000}"/>
    <hyperlink ref="A552" r:id="rId551" xr:uid="{00000000-0004-0000-0000-000026020000}"/>
    <hyperlink ref="A553" r:id="rId552" xr:uid="{00000000-0004-0000-0000-000027020000}"/>
    <hyperlink ref="A554" r:id="rId553" xr:uid="{00000000-0004-0000-0000-000028020000}"/>
    <hyperlink ref="A555" r:id="rId554" xr:uid="{00000000-0004-0000-0000-000029020000}"/>
    <hyperlink ref="A556" r:id="rId555" xr:uid="{00000000-0004-0000-0000-00002A020000}"/>
    <hyperlink ref="A557" r:id="rId556" xr:uid="{00000000-0004-0000-0000-00002B020000}"/>
    <hyperlink ref="A558" r:id="rId557" xr:uid="{00000000-0004-0000-0000-00002C020000}"/>
    <hyperlink ref="A559" r:id="rId558" xr:uid="{00000000-0004-0000-0000-00002D020000}"/>
    <hyperlink ref="A560" r:id="rId559" xr:uid="{00000000-0004-0000-0000-00002E020000}"/>
    <hyperlink ref="A561" r:id="rId560" xr:uid="{00000000-0004-0000-0000-00002F020000}"/>
    <hyperlink ref="A562" r:id="rId561" xr:uid="{00000000-0004-0000-0000-000030020000}"/>
    <hyperlink ref="A563" r:id="rId562" xr:uid="{00000000-0004-0000-0000-000031020000}"/>
    <hyperlink ref="A564" r:id="rId563" xr:uid="{00000000-0004-0000-0000-000032020000}"/>
    <hyperlink ref="A565" r:id="rId564" xr:uid="{00000000-0004-0000-0000-000033020000}"/>
    <hyperlink ref="A566" r:id="rId565" xr:uid="{00000000-0004-0000-0000-000034020000}"/>
    <hyperlink ref="A567" r:id="rId566" xr:uid="{00000000-0004-0000-0000-000035020000}"/>
    <hyperlink ref="A568" r:id="rId567" xr:uid="{00000000-0004-0000-0000-000036020000}"/>
    <hyperlink ref="A569" r:id="rId568" xr:uid="{00000000-0004-0000-0000-000037020000}"/>
    <hyperlink ref="A570" r:id="rId569" xr:uid="{00000000-0004-0000-0000-000038020000}"/>
    <hyperlink ref="A571" r:id="rId570" xr:uid="{00000000-0004-0000-0000-000039020000}"/>
    <hyperlink ref="A572" r:id="rId571" xr:uid="{00000000-0004-0000-0000-00003A020000}"/>
    <hyperlink ref="A573" r:id="rId572" xr:uid="{00000000-0004-0000-0000-00003B020000}"/>
    <hyperlink ref="A574" r:id="rId573" xr:uid="{00000000-0004-0000-0000-00003C020000}"/>
    <hyperlink ref="A575" r:id="rId574" xr:uid="{00000000-0004-0000-0000-00003D020000}"/>
    <hyperlink ref="A576" r:id="rId575" xr:uid="{00000000-0004-0000-0000-00003E020000}"/>
    <hyperlink ref="A577" r:id="rId576" xr:uid="{00000000-0004-0000-0000-00003F020000}"/>
    <hyperlink ref="A578" r:id="rId577" xr:uid="{00000000-0004-0000-0000-000040020000}"/>
    <hyperlink ref="A579" r:id="rId578" xr:uid="{00000000-0004-0000-0000-000041020000}"/>
    <hyperlink ref="A580" r:id="rId579" xr:uid="{00000000-0004-0000-0000-000042020000}"/>
    <hyperlink ref="A581" r:id="rId580" xr:uid="{00000000-0004-0000-0000-000043020000}"/>
    <hyperlink ref="A582" r:id="rId581" xr:uid="{00000000-0004-0000-0000-000044020000}"/>
    <hyperlink ref="A583" r:id="rId582" xr:uid="{00000000-0004-0000-0000-000045020000}"/>
    <hyperlink ref="A584" r:id="rId583" xr:uid="{00000000-0004-0000-0000-000046020000}"/>
    <hyperlink ref="A585" r:id="rId584" xr:uid="{00000000-0004-0000-0000-000047020000}"/>
    <hyperlink ref="A586" r:id="rId585" xr:uid="{00000000-0004-0000-0000-000048020000}"/>
    <hyperlink ref="A587" r:id="rId586" xr:uid="{00000000-0004-0000-0000-000049020000}"/>
    <hyperlink ref="A588" r:id="rId587" xr:uid="{00000000-0004-0000-0000-00004A020000}"/>
    <hyperlink ref="A589" r:id="rId588" xr:uid="{00000000-0004-0000-0000-00004B020000}"/>
    <hyperlink ref="A590" r:id="rId589" xr:uid="{00000000-0004-0000-0000-00004C020000}"/>
    <hyperlink ref="A591" r:id="rId590" xr:uid="{00000000-0004-0000-0000-00004D020000}"/>
    <hyperlink ref="A592" r:id="rId591" xr:uid="{00000000-0004-0000-0000-00004E020000}"/>
    <hyperlink ref="A593" r:id="rId592" xr:uid="{00000000-0004-0000-0000-00004F020000}"/>
    <hyperlink ref="A594" r:id="rId593" xr:uid="{00000000-0004-0000-0000-000050020000}"/>
    <hyperlink ref="A595" r:id="rId594" xr:uid="{00000000-0004-0000-0000-000051020000}"/>
    <hyperlink ref="A596" r:id="rId595" xr:uid="{00000000-0004-0000-0000-000052020000}"/>
    <hyperlink ref="A597" r:id="rId596" xr:uid="{00000000-0004-0000-0000-000053020000}"/>
    <hyperlink ref="A598" r:id="rId597" xr:uid="{00000000-0004-0000-0000-000054020000}"/>
    <hyperlink ref="A599" r:id="rId598" xr:uid="{00000000-0004-0000-0000-000055020000}"/>
    <hyperlink ref="A600" r:id="rId599" xr:uid="{00000000-0004-0000-0000-000056020000}"/>
    <hyperlink ref="A601" r:id="rId600" xr:uid="{00000000-0004-0000-0000-000057020000}"/>
    <hyperlink ref="A602" r:id="rId601" xr:uid="{00000000-0004-0000-0000-000058020000}"/>
    <hyperlink ref="A603" r:id="rId602" xr:uid="{00000000-0004-0000-0000-000059020000}"/>
    <hyperlink ref="A604" r:id="rId603" xr:uid="{00000000-0004-0000-0000-00005A020000}"/>
    <hyperlink ref="A605" r:id="rId604" xr:uid="{00000000-0004-0000-0000-00005B020000}"/>
    <hyperlink ref="A607" r:id="rId605" xr:uid="{00000000-0004-0000-0000-00005C020000}"/>
    <hyperlink ref="A608" r:id="rId606" xr:uid="{00000000-0004-0000-0000-00005D020000}"/>
    <hyperlink ref="A609" r:id="rId607" xr:uid="{00000000-0004-0000-0000-00005E020000}"/>
    <hyperlink ref="A610" r:id="rId608" xr:uid="{00000000-0004-0000-0000-00005F020000}"/>
    <hyperlink ref="A611" r:id="rId609" xr:uid="{00000000-0004-0000-0000-000060020000}"/>
    <hyperlink ref="A612" r:id="rId610" xr:uid="{00000000-0004-0000-0000-000061020000}"/>
    <hyperlink ref="A613" r:id="rId611" xr:uid="{00000000-0004-0000-0000-000062020000}"/>
    <hyperlink ref="A614" r:id="rId612" xr:uid="{00000000-0004-0000-0000-000063020000}"/>
    <hyperlink ref="A615" r:id="rId613" xr:uid="{00000000-0004-0000-0000-000064020000}"/>
    <hyperlink ref="A616" r:id="rId614" xr:uid="{00000000-0004-0000-0000-000065020000}"/>
    <hyperlink ref="A617" r:id="rId615" xr:uid="{00000000-0004-0000-0000-000066020000}"/>
    <hyperlink ref="A618" r:id="rId616" xr:uid="{00000000-0004-0000-0000-000067020000}"/>
    <hyperlink ref="A619" r:id="rId617" xr:uid="{00000000-0004-0000-0000-000068020000}"/>
    <hyperlink ref="A620" r:id="rId618" xr:uid="{00000000-0004-0000-0000-000069020000}"/>
    <hyperlink ref="A621" r:id="rId619" xr:uid="{00000000-0004-0000-0000-00006A020000}"/>
    <hyperlink ref="A622" r:id="rId620" xr:uid="{00000000-0004-0000-0000-00006B020000}"/>
    <hyperlink ref="A623" r:id="rId621" xr:uid="{00000000-0004-0000-0000-00006C020000}"/>
    <hyperlink ref="A624" r:id="rId622" xr:uid="{00000000-0004-0000-0000-00006D020000}"/>
    <hyperlink ref="A625" r:id="rId623" xr:uid="{00000000-0004-0000-0000-00006E020000}"/>
    <hyperlink ref="A626" r:id="rId624" xr:uid="{00000000-0004-0000-0000-00006F020000}"/>
    <hyperlink ref="A627" r:id="rId625" xr:uid="{00000000-0004-0000-0000-000070020000}"/>
    <hyperlink ref="A628" r:id="rId626" xr:uid="{00000000-0004-0000-0000-000071020000}"/>
    <hyperlink ref="A629" r:id="rId627" xr:uid="{00000000-0004-0000-0000-000072020000}"/>
    <hyperlink ref="A630" r:id="rId628" xr:uid="{00000000-0004-0000-0000-000073020000}"/>
    <hyperlink ref="A631" r:id="rId629" xr:uid="{00000000-0004-0000-0000-000074020000}"/>
    <hyperlink ref="A632" r:id="rId630" xr:uid="{00000000-0004-0000-0000-000075020000}"/>
    <hyperlink ref="A633" r:id="rId631" xr:uid="{00000000-0004-0000-0000-000076020000}"/>
    <hyperlink ref="A634" r:id="rId632" xr:uid="{00000000-0004-0000-0000-000077020000}"/>
    <hyperlink ref="A635" r:id="rId633" xr:uid="{00000000-0004-0000-0000-000078020000}"/>
    <hyperlink ref="A636" r:id="rId634" xr:uid="{00000000-0004-0000-0000-000079020000}"/>
    <hyperlink ref="A637" r:id="rId635" xr:uid="{00000000-0004-0000-0000-00007A020000}"/>
    <hyperlink ref="A638" r:id="rId636" xr:uid="{00000000-0004-0000-0000-00007B020000}"/>
    <hyperlink ref="A639" r:id="rId637" xr:uid="{00000000-0004-0000-0000-00007C020000}"/>
    <hyperlink ref="A640" r:id="rId638" xr:uid="{00000000-0004-0000-0000-00007D020000}"/>
    <hyperlink ref="A641" r:id="rId639" xr:uid="{00000000-0004-0000-0000-00007E020000}"/>
    <hyperlink ref="A642" r:id="rId640" xr:uid="{00000000-0004-0000-0000-00007F020000}"/>
    <hyperlink ref="A643" r:id="rId641" xr:uid="{00000000-0004-0000-0000-000080020000}"/>
    <hyperlink ref="A644" r:id="rId642" xr:uid="{00000000-0004-0000-0000-000081020000}"/>
    <hyperlink ref="A645" r:id="rId643" xr:uid="{00000000-0004-0000-0000-000082020000}"/>
    <hyperlink ref="A646" r:id="rId644" xr:uid="{00000000-0004-0000-0000-000083020000}"/>
    <hyperlink ref="A647" r:id="rId645" xr:uid="{00000000-0004-0000-0000-000084020000}"/>
    <hyperlink ref="A648" r:id="rId646" xr:uid="{00000000-0004-0000-0000-000085020000}"/>
    <hyperlink ref="A649" r:id="rId647" xr:uid="{00000000-0004-0000-0000-000086020000}"/>
    <hyperlink ref="A650" r:id="rId648" xr:uid="{00000000-0004-0000-0000-000087020000}"/>
    <hyperlink ref="A651" r:id="rId649" xr:uid="{00000000-0004-0000-0000-000088020000}"/>
    <hyperlink ref="A652" r:id="rId650" xr:uid="{00000000-0004-0000-0000-000089020000}"/>
    <hyperlink ref="A653" r:id="rId651" xr:uid="{00000000-0004-0000-0000-00008A020000}"/>
    <hyperlink ref="A654" r:id="rId652" xr:uid="{00000000-0004-0000-0000-00008B020000}"/>
    <hyperlink ref="A655" r:id="rId653" xr:uid="{00000000-0004-0000-0000-00008C020000}"/>
    <hyperlink ref="A656" r:id="rId654" xr:uid="{00000000-0004-0000-0000-00008D020000}"/>
    <hyperlink ref="A657" r:id="rId655" xr:uid="{00000000-0004-0000-0000-00008E020000}"/>
    <hyperlink ref="A658" r:id="rId656" xr:uid="{00000000-0004-0000-0000-00008F020000}"/>
    <hyperlink ref="A659" r:id="rId657" xr:uid="{00000000-0004-0000-0000-000090020000}"/>
    <hyperlink ref="A660" r:id="rId658" xr:uid="{00000000-0004-0000-0000-000091020000}"/>
    <hyperlink ref="A661" r:id="rId659" xr:uid="{00000000-0004-0000-0000-000092020000}"/>
    <hyperlink ref="A662" r:id="rId660" xr:uid="{00000000-0004-0000-0000-000093020000}"/>
    <hyperlink ref="A663" r:id="rId661" xr:uid="{00000000-0004-0000-0000-000094020000}"/>
    <hyperlink ref="A664" r:id="rId662" xr:uid="{00000000-0004-0000-0000-000095020000}"/>
    <hyperlink ref="A665" r:id="rId663" xr:uid="{00000000-0004-0000-0000-000096020000}"/>
    <hyperlink ref="A666" r:id="rId664" xr:uid="{00000000-0004-0000-0000-000097020000}"/>
    <hyperlink ref="A667" r:id="rId665" xr:uid="{00000000-0004-0000-0000-000098020000}"/>
    <hyperlink ref="A668" r:id="rId666" xr:uid="{00000000-0004-0000-0000-000099020000}"/>
    <hyperlink ref="A669" r:id="rId667" xr:uid="{00000000-0004-0000-0000-00009A020000}"/>
    <hyperlink ref="A670" r:id="rId668" xr:uid="{00000000-0004-0000-0000-00009B020000}"/>
    <hyperlink ref="A671" r:id="rId669" xr:uid="{00000000-0004-0000-0000-00009C020000}"/>
    <hyperlink ref="A672" r:id="rId670" xr:uid="{00000000-0004-0000-0000-00009D020000}"/>
    <hyperlink ref="A673" r:id="rId671" xr:uid="{00000000-0004-0000-0000-00009E020000}"/>
    <hyperlink ref="A674" r:id="rId672" xr:uid="{00000000-0004-0000-0000-00009F020000}"/>
    <hyperlink ref="A675" r:id="rId673" xr:uid="{00000000-0004-0000-0000-0000A0020000}"/>
    <hyperlink ref="A676" r:id="rId674" xr:uid="{00000000-0004-0000-0000-0000A1020000}"/>
    <hyperlink ref="A677" r:id="rId675" xr:uid="{00000000-0004-0000-0000-0000A2020000}"/>
    <hyperlink ref="A678" r:id="rId676" xr:uid="{00000000-0004-0000-0000-0000A3020000}"/>
    <hyperlink ref="A679" r:id="rId677" xr:uid="{00000000-0004-0000-0000-0000A4020000}"/>
    <hyperlink ref="A680" r:id="rId678" xr:uid="{00000000-0004-0000-0000-0000A5020000}"/>
    <hyperlink ref="A681" r:id="rId679" xr:uid="{00000000-0004-0000-0000-0000A6020000}"/>
    <hyperlink ref="A682" r:id="rId680" xr:uid="{00000000-0004-0000-0000-0000A7020000}"/>
    <hyperlink ref="A683" r:id="rId681" xr:uid="{00000000-0004-0000-0000-0000A8020000}"/>
    <hyperlink ref="A684" r:id="rId682" xr:uid="{00000000-0004-0000-0000-0000A9020000}"/>
    <hyperlink ref="A685" r:id="rId683" xr:uid="{00000000-0004-0000-0000-0000AA020000}"/>
    <hyperlink ref="A686" r:id="rId684" xr:uid="{00000000-0004-0000-0000-0000AB020000}"/>
    <hyperlink ref="A687" r:id="rId685" xr:uid="{00000000-0004-0000-0000-0000AC020000}"/>
    <hyperlink ref="A688" r:id="rId686" xr:uid="{00000000-0004-0000-0000-0000AD020000}"/>
    <hyperlink ref="A689" r:id="rId687" xr:uid="{00000000-0004-0000-0000-0000AE020000}"/>
    <hyperlink ref="A690" r:id="rId688" xr:uid="{00000000-0004-0000-0000-0000AF020000}"/>
    <hyperlink ref="A691" r:id="rId689" xr:uid="{00000000-0004-0000-0000-0000B0020000}"/>
    <hyperlink ref="A692" r:id="rId690" xr:uid="{00000000-0004-0000-0000-0000B1020000}"/>
    <hyperlink ref="A693" r:id="rId691" xr:uid="{00000000-0004-0000-0000-0000B2020000}"/>
    <hyperlink ref="A694" r:id="rId692" xr:uid="{00000000-0004-0000-0000-0000B3020000}"/>
    <hyperlink ref="A695" r:id="rId693" xr:uid="{00000000-0004-0000-0000-0000B4020000}"/>
    <hyperlink ref="A696" r:id="rId694" xr:uid="{00000000-0004-0000-0000-0000B5020000}"/>
    <hyperlink ref="A697" r:id="rId695" xr:uid="{00000000-0004-0000-0000-0000B6020000}"/>
    <hyperlink ref="A698" r:id="rId696" xr:uid="{00000000-0004-0000-0000-0000B7020000}"/>
    <hyperlink ref="A699" r:id="rId697" xr:uid="{00000000-0004-0000-0000-0000B8020000}"/>
    <hyperlink ref="A700" r:id="rId698" xr:uid="{00000000-0004-0000-0000-0000B9020000}"/>
    <hyperlink ref="A701" r:id="rId699" xr:uid="{00000000-0004-0000-0000-0000BA020000}"/>
    <hyperlink ref="A702" r:id="rId700" xr:uid="{00000000-0004-0000-0000-0000BB020000}"/>
    <hyperlink ref="A703" r:id="rId701" xr:uid="{00000000-0004-0000-0000-0000BC020000}"/>
    <hyperlink ref="A704" r:id="rId702" xr:uid="{00000000-0004-0000-0000-0000BD020000}"/>
    <hyperlink ref="A705" r:id="rId703" xr:uid="{00000000-0004-0000-0000-0000BE020000}"/>
    <hyperlink ref="A706" r:id="rId704" xr:uid="{00000000-0004-0000-0000-0000BF020000}"/>
    <hyperlink ref="A707" r:id="rId705" xr:uid="{00000000-0004-0000-0000-0000C0020000}"/>
    <hyperlink ref="A708" r:id="rId706" xr:uid="{00000000-0004-0000-0000-0000C1020000}"/>
    <hyperlink ref="A709" r:id="rId707" xr:uid="{00000000-0004-0000-0000-0000C2020000}"/>
    <hyperlink ref="A710" r:id="rId708" xr:uid="{00000000-0004-0000-0000-0000C3020000}"/>
    <hyperlink ref="A711" r:id="rId709" xr:uid="{00000000-0004-0000-0000-0000C4020000}"/>
    <hyperlink ref="A712" r:id="rId710" xr:uid="{00000000-0004-0000-0000-0000C5020000}"/>
    <hyperlink ref="A713" r:id="rId711" xr:uid="{00000000-0004-0000-0000-0000C6020000}"/>
    <hyperlink ref="A714" r:id="rId712" xr:uid="{00000000-0004-0000-0000-0000C7020000}"/>
    <hyperlink ref="A715" r:id="rId713" xr:uid="{00000000-0004-0000-0000-0000C8020000}"/>
    <hyperlink ref="A716" r:id="rId714" xr:uid="{00000000-0004-0000-0000-0000C9020000}"/>
    <hyperlink ref="A717" r:id="rId715" xr:uid="{00000000-0004-0000-0000-0000CA020000}"/>
    <hyperlink ref="A718" r:id="rId716" xr:uid="{00000000-0004-0000-0000-0000CB020000}"/>
    <hyperlink ref="A719" r:id="rId717" xr:uid="{00000000-0004-0000-0000-0000CC020000}"/>
    <hyperlink ref="A720" r:id="rId718" xr:uid="{00000000-0004-0000-0000-0000CD020000}"/>
    <hyperlink ref="A721" r:id="rId719" xr:uid="{00000000-0004-0000-0000-0000CE020000}"/>
    <hyperlink ref="A722" r:id="rId720" xr:uid="{00000000-0004-0000-0000-0000CF020000}"/>
    <hyperlink ref="A723" r:id="rId721" xr:uid="{00000000-0004-0000-0000-0000D0020000}"/>
    <hyperlink ref="A724" r:id="rId722" xr:uid="{00000000-0004-0000-0000-0000D1020000}"/>
    <hyperlink ref="A725" r:id="rId723" xr:uid="{00000000-0004-0000-0000-0000D2020000}"/>
    <hyperlink ref="A726" r:id="rId724" xr:uid="{00000000-0004-0000-0000-0000D3020000}"/>
    <hyperlink ref="A727" r:id="rId725" xr:uid="{00000000-0004-0000-0000-0000D4020000}"/>
    <hyperlink ref="A728" r:id="rId726" xr:uid="{00000000-0004-0000-0000-0000D5020000}"/>
    <hyperlink ref="A729" r:id="rId727" xr:uid="{00000000-0004-0000-0000-0000D6020000}"/>
    <hyperlink ref="A730" r:id="rId728" xr:uid="{00000000-0004-0000-0000-0000D7020000}"/>
    <hyperlink ref="A731" r:id="rId729" xr:uid="{00000000-0004-0000-0000-0000D8020000}"/>
    <hyperlink ref="A732" r:id="rId730" xr:uid="{00000000-0004-0000-0000-0000D9020000}"/>
    <hyperlink ref="A733" r:id="rId731" xr:uid="{00000000-0004-0000-0000-0000DA020000}"/>
    <hyperlink ref="A734" r:id="rId732" xr:uid="{00000000-0004-0000-0000-0000DB020000}"/>
    <hyperlink ref="A735" r:id="rId733" xr:uid="{00000000-0004-0000-0000-0000DC020000}"/>
    <hyperlink ref="A736" r:id="rId734" xr:uid="{00000000-0004-0000-0000-0000DD020000}"/>
    <hyperlink ref="A737" r:id="rId735" xr:uid="{00000000-0004-0000-0000-0000DE020000}"/>
    <hyperlink ref="A738" r:id="rId736" xr:uid="{00000000-0004-0000-0000-0000DF020000}"/>
    <hyperlink ref="A739" r:id="rId737" xr:uid="{00000000-0004-0000-0000-0000E0020000}"/>
    <hyperlink ref="A740" r:id="rId738" xr:uid="{00000000-0004-0000-0000-0000E1020000}"/>
    <hyperlink ref="A741" r:id="rId739" xr:uid="{00000000-0004-0000-0000-0000E2020000}"/>
    <hyperlink ref="A742" r:id="rId740" xr:uid="{00000000-0004-0000-0000-0000E3020000}"/>
    <hyperlink ref="A743" r:id="rId741" xr:uid="{00000000-0004-0000-0000-0000E4020000}"/>
    <hyperlink ref="A744" r:id="rId742" xr:uid="{00000000-0004-0000-0000-0000E5020000}"/>
    <hyperlink ref="A745" r:id="rId743" xr:uid="{00000000-0004-0000-0000-0000E6020000}"/>
    <hyperlink ref="A746" r:id="rId744" xr:uid="{00000000-0004-0000-0000-0000E7020000}"/>
    <hyperlink ref="A747" r:id="rId745" xr:uid="{00000000-0004-0000-0000-0000E8020000}"/>
    <hyperlink ref="A748" r:id="rId746" xr:uid="{00000000-0004-0000-0000-0000E9020000}"/>
    <hyperlink ref="A749" r:id="rId747" xr:uid="{00000000-0004-0000-0000-0000EA020000}"/>
    <hyperlink ref="A750" r:id="rId748" xr:uid="{00000000-0004-0000-0000-0000EB020000}"/>
    <hyperlink ref="A751" r:id="rId749" xr:uid="{00000000-0004-0000-0000-0000EC020000}"/>
    <hyperlink ref="A752" r:id="rId750" xr:uid="{00000000-0004-0000-0000-0000ED020000}"/>
    <hyperlink ref="A753" r:id="rId751" xr:uid="{00000000-0004-0000-0000-0000EE020000}"/>
    <hyperlink ref="A754" r:id="rId752" xr:uid="{00000000-0004-0000-0000-0000EF020000}"/>
    <hyperlink ref="A755" r:id="rId753" xr:uid="{00000000-0004-0000-0000-0000F0020000}"/>
    <hyperlink ref="A756" r:id="rId754" xr:uid="{00000000-0004-0000-0000-0000F1020000}"/>
    <hyperlink ref="A757" r:id="rId755" xr:uid="{00000000-0004-0000-0000-0000F2020000}"/>
    <hyperlink ref="A758" r:id="rId756" xr:uid="{00000000-0004-0000-0000-0000F3020000}"/>
    <hyperlink ref="A759" r:id="rId757" xr:uid="{00000000-0004-0000-0000-0000F4020000}"/>
    <hyperlink ref="A760" r:id="rId758" xr:uid="{00000000-0004-0000-0000-0000F5020000}"/>
    <hyperlink ref="A761" r:id="rId759" xr:uid="{00000000-0004-0000-0000-0000F6020000}"/>
    <hyperlink ref="A762" r:id="rId760" xr:uid="{00000000-0004-0000-0000-0000F7020000}"/>
    <hyperlink ref="A763" r:id="rId761" xr:uid="{00000000-0004-0000-0000-0000F8020000}"/>
    <hyperlink ref="A764" r:id="rId762" xr:uid="{00000000-0004-0000-0000-0000F9020000}"/>
    <hyperlink ref="A765" r:id="rId763" xr:uid="{00000000-0004-0000-0000-0000FA020000}"/>
    <hyperlink ref="A766" r:id="rId764" xr:uid="{00000000-0004-0000-0000-0000FB020000}"/>
    <hyperlink ref="A767" r:id="rId765" xr:uid="{00000000-0004-0000-0000-0000FC020000}"/>
    <hyperlink ref="A768" r:id="rId766" xr:uid="{00000000-0004-0000-0000-0000FD020000}"/>
    <hyperlink ref="A769" r:id="rId767" xr:uid="{00000000-0004-0000-0000-0000FE020000}"/>
    <hyperlink ref="A770" r:id="rId768" xr:uid="{00000000-0004-0000-0000-0000FF020000}"/>
    <hyperlink ref="A771" r:id="rId769" xr:uid="{00000000-0004-0000-0000-000000030000}"/>
    <hyperlink ref="A772" r:id="rId770" xr:uid="{00000000-0004-0000-0000-000001030000}"/>
    <hyperlink ref="A773" r:id="rId771" xr:uid="{00000000-0004-0000-0000-000002030000}"/>
    <hyperlink ref="A774" r:id="rId772" xr:uid="{00000000-0004-0000-0000-000003030000}"/>
    <hyperlink ref="A775" r:id="rId773" xr:uid="{00000000-0004-0000-0000-000004030000}"/>
    <hyperlink ref="A776" r:id="rId774" xr:uid="{00000000-0004-0000-0000-000005030000}"/>
    <hyperlink ref="A777" r:id="rId775" xr:uid="{00000000-0004-0000-0000-000006030000}"/>
    <hyperlink ref="A778" r:id="rId776" xr:uid="{00000000-0004-0000-0000-000007030000}"/>
    <hyperlink ref="A779" r:id="rId777" xr:uid="{00000000-0004-0000-0000-000008030000}"/>
    <hyperlink ref="A780" r:id="rId778" xr:uid="{00000000-0004-0000-0000-000009030000}"/>
    <hyperlink ref="A781" r:id="rId779" xr:uid="{00000000-0004-0000-0000-00000A030000}"/>
    <hyperlink ref="A782" r:id="rId780" xr:uid="{00000000-0004-0000-0000-00000B030000}"/>
    <hyperlink ref="A783" r:id="rId781" xr:uid="{00000000-0004-0000-0000-00000C030000}"/>
    <hyperlink ref="A784" r:id="rId782" xr:uid="{00000000-0004-0000-0000-00000D030000}"/>
    <hyperlink ref="A785" r:id="rId783" xr:uid="{00000000-0004-0000-0000-00000E030000}"/>
    <hyperlink ref="A786" r:id="rId784" xr:uid="{00000000-0004-0000-0000-00000F030000}"/>
    <hyperlink ref="A787" r:id="rId785" xr:uid="{00000000-0004-0000-0000-000010030000}"/>
    <hyperlink ref="A788" r:id="rId786" xr:uid="{00000000-0004-0000-0000-000011030000}"/>
    <hyperlink ref="A789" r:id="rId787" xr:uid="{00000000-0004-0000-0000-000012030000}"/>
    <hyperlink ref="A790" r:id="rId788" xr:uid="{00000000-0004-0000-0000-000013030000}"/>
    <hyperlink ref="A791" r:id="rId789" xr:uid="{00000000-0004-0000-0000-000014030000}"/>
    <hyperlink ref="A792" r:id="rId790" xr:uid="{00000000-0004-0000-0000-000015030000}"/>
    <hyperlink ref="A793" r:id="rId791" xr:uid="{00000000-0004-0000-0000-000016030000}"/>
    <hyperlink ref="A794" r:id="rId792" xr:uid="{00000000-0004-0000-0000-000017030000}"/>
    <hyperlink ref="A795" r:id="rId793" xr:uid="{00000000-0004-0000-0000-000018030000}"/>
    <hyperlink ref="A796" r:id="rId794" xr:uid="{00000000-0004-0000-0000-000019030000}"/>
    <hyperlink ref="A797" r:id="rId795" xr:uid="{00000000-0004-0000-0000-00001A030000}"/>
    <hyperlink ref="A798" r:id="rId796" xr:uid="{00000000-0004-0000-0000-00001B030000}"/>
    <hyperlink ref="A799" r:id="rId797" xr:uid="{00000000-0004-0000-0000-00001C030000}"/>
    <hyperlink ref="A800" r:id="rId798" xr:uid="{00000000-0004-0000-0000-00001D030000}"/>
    <hyperlink ref="A801" r:id="rId799" xr:uid="{00000000-0004-0000-0000-00001E030000}"/>
    <hyperlink ref="A802" r:id="rId800" xr:uid="{00000000-0004-0000-0000-00001F030000}"/>
    <hyperlink ref="A803" r:id="rId801" xr:uid="{00000000-0004-0000-0000-000020030000}"/>
    <hyperlink ref="A804" r:id="rId802" xr:uid="{00000000-0004-0000-0000-000021030000}"/>
    <hyperlink ref="A805" r:id="rId803" xr:uid="{00000000-0004-0000-0000-000022030000}"/>
    <hyperlink ref="A806" r:id="rId804" xr:uid="{00000000-0004-0000-0000-000023030000}"/>
    <hyperlink ref="A807" r:id="rId805" xr:uid="{00000000-0004-0000-0000-000024030000}"/>
    <hyperlink ref="A808" r:id="rId806" xr:uid="{00000000-0004-0000-0000-000025030000}"/>
    <hyperlink ref="A809" r:id="rId807" xr:uid="{00000000-0004-0000-0000-000026030000}"/>
    <hyperlink ref="A810" r:id="rId808" xr:uid="{00000000-0004-0000-0000-000027030000}"/>
    <hyperlink ref="A811" r:id="rId809" xr:uid="{00000000-0004-0000-0000-000028030000}"/>
    <hyperlink ref="A812" r:id="rId810" xr:uid="{00000000-0004-0000-0000-000029030000}"/>
    <hyperlink ref="A813" r:id="rId811" xr:uid="{00000000-0004-0000-0000-00002A030000}"/>
    <hyperlink ref="A814" r:id="rId812" xr:uid="{00000000-0004-0000-0000-00002B030000}"/>
    <hyperlink ref="A815" r:id="rId813" xr:uid="{00000000-0004-0000-0000-00002C030000}"/>
    <hyperlink ref="A816" r:id="rId814" xr:uid="{00000000-0004-0000-0000-00002D030000}"/>
    <hyperlink ref="A817" r:id="rId815" xr:uid="{00000000-0004-0000-0000-00002E030000}"/>
    <hyperlink ref="A818" r:id="rId816" xr:uid="{00000000-0004-0000-0000-00002F030000}"/>
    <hyperlink ref="A819" r:id="rId817" xr:uid="{00000000-0004-0000-0000-000030030000}"/>
    <hyperlink ref="A820" r:id="rId818" xr:uid="{00000000-0004-0000-0000-000031030000}"/>
    <hyperlink ref="A821" r:id="rId819" xr:uid="{00000000-0004-0000-0000-000032030000}"/>
    <hyperlink ref="A822" r:id="rId820" xr:uid="{00000000-0004-0000-0000-000033030000}"/>
    <hyperlink ref="A823" r:id="rId821" xr:uid="{00000000-0004-0000-0000-000034030000}"/>
    <hyperlink ref="A824" r:id="rId822" xr:uid="{00000000-0004-0000-0000-000035030000}"/>
    <hyperlink ref="A825" r:id="rId823" xr:uid="{00000000-0004-0000-0000-000036030000}"/>
    <hyperlink ref="A826" r:id="rId824" xr:uid="{00000000-0004-0000-0000-000037030000}"/>
    <hyperlink ref="A827" r:id="rId825" xr:uid="{00000000-0004-0000-0000-000038030000}"/>
    <hyperlink ref="A828" r:id="rId826" xr:uid="{00000000-0004-0000-0000-000039030000}"/>
    <hyperlink ref="A829" r:id="rId827" xr:uid="{00000000-0004-0000-0000-00003A030000}"/>
    <hyperlink ref="A830" r:id="rId828" xr:uid="{00000000-0004-0000-0000-00003B030000}"/>
    <hyperlink ref="A831" r:id="rId829" xr:uid="{00000000-0004-0000-0000-00003C030000}"/>
    <hyperlink ref="A832" r:id="rId830" xr:uid="{00000000-0004-0000-0000-00003D030000}"/>
    <hyperlink ref="A833" r:id="rId831" xr:uid="{00000000-0004-0000-0000-00003E030000}"/>
    <hyperlink ref="A834" r:id="rId832" xr:uid="{00000000-0004-0000-0000-00003F030000}"/>
    <hyperlink ref="A835" r:id="rId833" xr:uid="{00000000-0004-0000-0000-000040030000}"/>
    <hyperlink ref="A836" r:id="rId834" xr:uid="{00000000-0004-0000-0000-000041030000}"/>
    <hyperlink ref="A837" r:id="rId835" xr:uid="{00000000-0004-0000-0000-000042030000}"/>
    <hyperlink ref="A838" r:id="rId836" xr:uid="{00000000-0004-0000-0000-000043030000}"/>
    <hyperlink ref="A839" r:id="rId837" xr:uid="{00000000-0004-0000-0000-000044030000}"/>
    <hyperlink ref="A840" r:id="rId838" xr:uid="{00000000-0004-0000-0000-000045030000}"/>
    <hyperlink ref="A841" r:id="rId839" xr:uid="{00000000-0004-0000-0000-000046030000}"/>
    <hyperlink ref="A842" r:id="rId840" xr:uid="{00000000-0004-0000-0000-000047030000}"/>
    <hyperlink ref="A843" r:id="rId841" xr:uid="{00000000-0004-0000-0000-000048030000}"/>
    <hyperlink ref="A844" r:id="rId842" xr:uid="{00000000-0004-0000-0000-000049030000}"/>
    <hyperlink ref="A845" r:id="rId843" xr:uid="{00000000-0004-0000-0000-00004A030000}"/>
    <hyperlink ref="A846" r:id="rId844" xr:uid="{00000000-0004-0000-0000-00004B030000}"/>
    <hyperlink ref="A847" r:id="rId845" xr:uid="{00000000-0004-0000-0000-00004C030000}"/>
    <hyperlink ref="A848" r:id="rId846" xr:uid="{00000000-0004-0000-0000-00004D030000}"/>
    <hyperlink ref="A849" r:id="rId847" xr:uid="{00000000-0004-0000-0000-00004E030000}"/>
    <hyperlink ref="A850" r:id="rId848" xr:uid="{00000000-0004-0000-0000-00004F030000}"/>
    <hyperlink ref="A851" r:id="rId849" xr:uid="{00000000-0004-0000-0000-000050030000}"/>
    <hyperlink ref="A852" r:id="rId850" xr:uid="{00000000-0004-0000-0000-000051030000}"/>
    <hyperlink ref="A853" r:id="rId851" xr:uid="{00000000-0004-0000-0000-000052030000}"/>
    <hyperlink ref="A854" r:id="rId852" xr:uid="{00000000-0004-0000-0000-000053030000}"/>
    <hyperlink ref="A855" r:id="rId853" xr:uid="{00000000-0004-0000-0000-000054030000}"/>
    <hyperlink ref="A856" r:id="rId854" xr:uid="{00000000-0004-0000-0000-000055030000}"/>
    <hyperlink ref="A857" r:id="rId855" xr:uid="{00000000-0004-0000-0000-000056030000}"/>
    <hyperlink ref="A858" r:id="rId856" xr:uid="{00000000-0004-0000-0000-000057030000}"/>
    <hyperlink ref="A859" r:id="rId857" xr:uid="{00000000-0004-0000-0000-000058030000}"/>
    <hyperlink ref="A860" r:id="rId858" xr:uid="{00000000-0004-0000-0000-000059030000}"/>
    <hyperlink ref="A861" r:id="rId859" xr:uid="{00000000-0004-0000-0000-00005A030000}"/>
    <hyperlink ref="A862" r:id="rId860" xr:uid="{00000000-0004-0000-0000-00005B030000}"/>
    <hyperlink ref="A863" r:id="rId861" xr:uid="{00000000-0004-0000-0000-00005C030000}"/>
    <hyperlink ref="A864" r:id="rId862" xr:uid="{00000000-0004-0000-0000-00005D030000}"/>
    <hyperlink ref="A865" r:id="rId863" xr:uid="{00000000-0004-0000-0000-00005E030000}"/>
    <hyperlink ref="A866" r:id="rId864" xr:uid="{00000000-0004-0000-0000-00005F030000}"/>
    <hyperlink ref="A867" r:id="rId865" xr:uid="{00000000-0004-0000-0000-000060030000}"/>
    <hyperlink ref="A868" r:id="rId866" xr:uid="{00000000-0004-0000-0000-000061030000}"/>
    <hyperlink ref="A869" r:id="rId867" xr:uid="{00000000-0004-0000-0000-000062030000}"/>
    <hyperlink ref="A870" r:id="rId868" xr:uid="{00000000-0004-0000-0000-000063030000}"/>
    <hyperlink ref="A871" r:id="rId869" xr:uid="{00000000-0004-0000-0000-000064030000}"/>
    <hyperlink ref="A872" r:id="rId870" xr:uid="{00000000-0004-0000-0000-000065030000}"/>
    <hyperlink ref="A873" r:id="rId871" xr:uid="{00000000-0004-0000-0000-000066030000}"/>
    <hyperlink ref="A874" r:id="rId872" xr:uid="{00000000-0004-0000-0000-000067030000}"/>
    <hyperlink ref="A875" r:id="rId873" xr:uid="{00000000-0004-0000-0000-000068030000}"/>
    <hyperlink ref="A876" r:id="rId874" xr:uid="{00000000-0004-0000-0000-000069030000}"/>
    <hyperlink ref="A877" r:id="rId875" xr:uid="{00000000-0004-0000-0000-00006A030000}"/>
    <hyperlink ref="A878" r:id="rId876" xr:uid="{00000000-0004-0000-0000-00006B030000}"/>
    <hyperlink ref="A879" r:id="rId877" xr:uid="{00000000-0004-0000-0000-00006C030000}"/>
    <hyperlink ref="A880" r:id="rId878" xr:uid="{00000000-0004-0000-0000-00006D030000}"/>
    <hyperlink ref="A881" r:id="rId879" xr:uid="{00000000-0004-0000-0000-00006E030000}"/>
    <hyperlink ref="A882" r:id="rId880" xr:uid="{00000000-0004-0000-0000-00006F030000}"/>
    <hyperlink ref="A883" r:id="rId881" xr:uid="{00000000-0004-0000-0000-000070030000}"/>
    <hyperlink ref="A884" r:id="rId882" xr:uid="{00000000-0004-0000-0000-000071030000}"/>
    <hyperlink ref="A885" r:id="rId883" xr:uid="{00000000-0004-0000-0000-000072030000}"/>
    <hyperlink ref="A886" r:id="rId884" xr:uid="{00000000-0004-0000-0000-000073030000}"/>
    <hyperlink ref="A887" r:id="rId885" xr:uid="{00000000-0004-0000-0000-000074030000}"/>
    <hyperlink ref="A888" r:id="rId886" xr:uid="{00000000-0004-0000-0000-000075030000}"/>
    <hyperlink ref="A889" r:id="rId887" xr:uid="{00000000-0004-0000-0000-000076030000}"/>
    <hyperlink ref="A890" r:id="rId888" xr:uid="{00000000-0004-0000-0000-000077030000}"/>
    <hyperlink ref="A891" r:id="rId889" xr:uid="{00000000-0004-0000-0000-000078030000}"/>
    <hyperlink ref="A892" r:id="rId890" xr:uid="{00000000-0004-0000-0000-000079030000}"/>
    <hyperlink ref="A893" r:id="rId891" xr:uid="{00000000-0004-0000-0000-00007A030000}"/>
    <hyperlink ref="A894" r:id="rId892" xr:uid="{00000000-0004-0000-0000-00007B030000}"/>
    <hyperlink ref="A895" r:id="rId893" xr:uid="{00000000-0004-0000-0000-00007C030000}"/>
    <hyperlink ref="A896" r:id="rId894" xr:uid="{00000000-0004-0000-0000-00007D030000}"/>
    <hyperlink ref="A897" r:id="rId895" xr:uid="{00000000-0004-0000-0000-00007E030000}"/>
    <hyperlink ref="A898" r:id="rId896" xr:uid="{00000000-0004-0000-0000-00007F030000}"/>
    <hyperlink ref="A899" r:id="rId897" xr:uid="{00000000-0004-0000-0000-000080030000}"/>
    <hyperlink ref="A900" r:id="rId898" xr:uid="{00000000-0004-0000-0000-000081030000}"/>
    <hyperlink ref="A901" r:id="rId899" xr:uid="{00000000-0004-0000-0000-000082030000}"/>
    <hyperlink ref="A902" r:id="rId900" xr:uid="{00000000-0004-0000-0000-000083030000}"/>
    <hyperlink ref="A903" r:id="rId901" xr:uid="{00000000-0004-0000-0000-000084030000}"/>
    <hyperlink ref="A904" r:id="rId902" xr:uid="{00000000-0004-0000-0000-000085030000}"/>
    <hyperlink ref="A905" r:id="rId903" xr:uid="{00000000-0004-0000-0000-000086030000}"/>
    <hyperlink ref="A906" r:id="rId904" xr:uid="{00000000-0004-0000-0000-000087030000}"/>
    <hyperlink ref="A907" r:id="rId905" xr:uid="{00000000-0004-0000-0000-000088030000}"/>
    <hyperlink ref="A908" r:id="rId906" xr:uid="{00000000-0004-0000-0000-000089030000}"/>
    <hyperlink ref="A909" r:id="rId907" xr:uid="{00000000-0004-0000-0000-00008A030000}"/>
    <hyperlink ref="A910" r:id="rId908" xr:uid="{00000000-0004-0000-0000-00008B030000}"/>
    <hyperlink ref="A911" r:id="rId909" xr:uid="{00000000-0004-0000-0000-00008C030000}"/>
    <hyperlink ref="A912" r:id="rId910" xr:uid="{00000000-0004-0000-0000-00008D030000}"/>
    <hyperlink ref="A913" r:id="rId911" xr:uid="{00000000-0004-0000-0000-00008E030000}"/>
    <hyperlink ref="A914" r:id="rId912" xr:uid="{00000000-0004-0000-0000-00008F030000}"/>
    <hyperlink ref="A915" r:id="rId913" xr:uid="{00000000-0004-0000-0000-000090030000}"/>
    <hyperlink ref="A916" r:id="rId914" xr:uid="{00000000-0004-0000-0000-000091030000}"/>
    <hyperlink ref="A917" r:id="rId915" xr:uid="{00000000-0004-0000-0000-000092030000}"/>
    <hyperlink ref="A918" r:id="rId916" xr:uid="{00000000-0004-0000-0000-000093030000}"/>
    <hyperlink ref="A919" r:id="rId917" xr:uid="{00000000-0004-0000-0000-000094030000}"/>
    <hyperlink ref="A920" r:id="rId918" xr:uid="{00000000-0004-0000-0000-000095030000}"/>
    <hyperlink ref="A921" r:id="rId919" xr:uid="{00000000-0004-0000-0000-000096030000}"/>
    <hyperlink ref="A922" r:id="rId920" xr:uid="{00000000-0004-0000-0000-000097030000}"/>
    <hyperlink ref="A923" r:id="rId921" xr:uid="{00000000-0004-0000-0000-000098030000}"/>
    <hyperlink ref="A924" r:id="rId922" xr:uid="{00000000-0004-0000-0000-000099030000}"/>
    <hyperlink ref="A925" r:id="rId923" xr:uid="{00000000-0004-0000-0000-00009A030000}"/>
    <hyperlink ref="A926" r:id="rId924" xr:uid="{00000000-0004-0000-0000-00009B030000}"/>
    <hyperlink ref="A927" r:id="rId925" xr:uid="{00000000-0004-0000-0000-00009C030000}"/>
    <hyperlink ref="A928" r:id="rId926" xr:uid="{00000000-0004-0000-0000-00009D030000}"/>
    <hyperlink ref="A929" r:id="rId927" xr:uid="{00000000-0004-0000-0000-00009E030000}"/>
    <hyperlink ref="A930" r:id="rId928" xr:uid="{00000000-0004-0000-0000-00009F030000}"/>
    <hyperlink ref="A931" r:id="rId929" xr:uid="{00000000-0004-0000-0000-0000A0030000}"/>
    <hyperlink ref="A932" r:id="rId930" xr:uid="{00000000-0004-0000-0000-0000A1030000}"/>
    <hyperlink ref="A933" r:id="rId931" xr:uid="{00000000-0004-0000-0000-0000A2030000}"/>
    <hyperlink ref="A934" r:id="rId932" xr:uid="{00000000-0004-0000-0000-0000A3030000}"/>
    <hyperlink ref="A935" r:id="rId933" xr:uid="{00000000-0004-0000-0000-0000A4030000}"/>
    <hyperlink ref="A936" r:id="rId934" xr:uid="{00000000-0004-0000-0000-0000A5030000}"/>
    <hyperlink ref="A937" r:id="rId935" xr:uid="{00000000-0004-0000-0000-0000A6030000}"/>
    <hyperlink ref="A938" r:id="rId936" xr:uid="{00000000-0004-0000-0000-0000A7030000}"/>
    <hyperlink ref="A939" r:id="rId937" xr:uid="{00000000-0004-0000-0000-0000A8030000}"/>
    <hyperlink ref="A940" r:id="rId938" xr:uid="{00000000-0004-0000-0000-0000A9030000}"/>
    <hyperlink ref="A941" r:id="rId939" xr:uid="{00000000-0004-0000-0000-0000AA030000}"/>
    <hyperlink ref="A942" r:id="rId940" xr:uid="{00000000-0004-0000-0000-0000AB030000}"/>
    <hyperlink ref="A943" r:id="rId941" xr:uid="{00000000-0004-0000-0000-0000AC030000}"/>
    <hyperlink ref="A944" r:id="rId942" xr:uid="{00000000-0004-0000-0000-0000AD030000}"/>
    <hyperlink ref="A945" r:id="rId943" xr:uid="{00000000-0004-0000-0000-0000AE030000}"/>
    <hyperlink ref="A946" r:id="rId944" xr:uid="{00000000-0004-0000-0000-0000AF030000}"/>
    <hyperlink ref="A947" r:id="rId945" xr:uid="{00000000-0004-0000-0000-0000B0030000}"/>
    <hyperlink ref="A948" r:id="rId946" xr:uid="{00000000-0004-0000-0000-0000B1030000}"/>
    <hyperlink ref="A949" r:id="rId947" xr:uid="{00000000-0004-0000-0000-0000B2030000}"/>
    <hyperlink ref="A950" r:id="rId948" xr:uid="{00000000-0004-0000-0000-0000B3030000}"/>
    <hyperlink ref="A951" r:id="rId949" xr:uid="{00000000-0004-0000-0000-0000B4030000}"/>
    <hyperlink ref="A952" r:id="rId950" xr:uid="{00000000-0004-0000-0000-0000B5030000}"/>
    <hyperlink ref="A953" r:id="rId951" xr:uid="{00000000-0004-0000-0000-0000B6030000}"/>
    <hyperlink ref="A954" r:id="rId952" xr:uid="{00000000-0004-0000-0000-0000B7030000}"/>
    <hyperlink ref="A955" r:id="rId953" xr:uid="{00000000-0004-0000-0000-0000B8030000}"/>
    <hyperlink ref="A956" r:id="rId954" xr:uid="{00000000-0004-0000-0000-0000B9030000}"/>
    <hyperlink ref="A957" r:id="rId955" xr:uid="{00000000-0004-0000-0000-0000BA030000}"/>
    <hyperlink ref="A958" r:id="rId956" xr:uid="{00000000-0004-0000-0000-0000BB030000}"/>
    <hyperlink ref="A959" r:id="rId957" xr:uid="{00000000-0004-0000-0000-0000BC030000}"/>
    <hyperlink ref="A960" r:id="rId958" xr:uid="{00000000-0004-0000-0000-0000BD030000}"/>
    <hyperlink ref="A961" r:id="rId959" xr:uid="{00000000-0004-0000-0000-0000BE030000}"/>
    <hyperlink ref="A962" r:id="rId960" xr:uid="{00000000-0004-0000-0000-0000BF030000}"/>
    <hyperlink ref="A963" r:id="rId961" xr:uid="{00000000-0004-0000-0000-0000C0030000}"/>
    <hyperlink ref="A964" r:id="rId962" xr:uid="{00000000-0004-0000-0000-0000C1030000}"/>
    <hyperlink ref="A965" r:id="rId963" xr:uid="{00000000-0004-0000-0000-0000C2030000}"/>
    <hyperlink ref="A966" r:id="rId964" xr:uid="{00000000-0004-0000-0000-0000C3030000}"/>
    <hyperlink ref="A967" r:id="rId965" xr:uid="{00000000-0004-0000-0000-0000C4030000}"/>
    <hyperlink ref="A968" r:id="rId966" xr:uid="{00000000-0004-0000-0000-0000C5030000}"/>
    <hyperlink ref="A969" r:id="rId967" xr:uid="{00000000-0004-0000-0000-0000C6030000}"/>
    <hyperlink ref="A970" r:id="rId968" xr:uid="{00000000-0004-0000-0000-0000C7030000}"/>
    <hyperlink ref="A971" r:id="rId969" xr:uid="{00000000-0004-0000-0000-0000C8030000}"/>
    <hyperlink ref="A972" r:id="rId970" xr:uid="{00000000-0004-0000-0000-0000C9030000}"/>
    <hyperlink ref="A973" r:id="rId971" xr:uid="{00000000-0004-0000-0000-0000CA030000}"/>
    <hyperlink ref="A974" r:id="rId972" xr:uid="{00000000-0004-0000-0000-0000CB030000}"/>
    <hyperlink ref="A975" r:id="rId973" xr:uid="{00000000-0004-0000-0000-0000CC030000}"/>
    <hyperlink ref="A976" r:id="rId974" xr:uid="{00000000-0004-0000-0000-0000CD030000}"/>
    <hyperlink ref="A977" r:id="rId975" xr:uid="{00000000-0004-0000-0000-0000CE030000}"/>
    <hyperlink ref="A978" r:id="rId976" xr:uid="{00000000-0004-0000-0000-0000CF030000}"/>
    <hyperlink ref="A979" r:id="rId977" xr:uid="{00000000-0004-0000-0000-0000D0030000}"/>
    <hyperlink ref="A980" r:id="rId978" xr:uid="{00000000-0004-0000-0000-0000D1030000}"/>
    <hyperlink ref="A981" r:id="rId979" xr:uid="{00000000-0004-0000-0000-0000D2030000}"/>
    <hyperlink ref="A982" r:id="rId980" xr:uid="{00000000-0004-0000-0000-0000D3030000}"/>
    <hyperlink ref="A983" r:id="rId981" xr:uid="{00000000-0004-0000-0000-0000D4030000}"/>
    <hyperlink ref="A984" r:id="rId982" xr:uid="{00000000-0004-0000-0000-0000D5030000}"/>
    <hyperlink ref="A985" r:id="rId983" xr:uid="{00000000-0004-0000-0000-0000D6030000}"/>
    <hyperlink ref="A986" r:id="rId984" xr:uid="{00000000-0004-0000-0000-0000D7030000}"/>
    <hyperlink ref="A987" r:id="rId985" xr:uid="{00000000-0004-0000-0000-0000D8030000}"/>
    <hyperlink ref="A988" r:id="rId986" xr:uid="{00000000-0004-0000-0000-0000D9030000}"/>
    <hyperlink ref="A989" r:id="rId987" xr:uid="{00000000-0004-0000-0000-0000DA030000}"/>
    <hyperlink ref="A990" r:id="rId988" xr:uid="{00000000-0004-0000-0000-0000DB030000}"/>
    <hyperlink ref="A991" r:id="rId989" xr:uid="{00000000-0004-0000-0000-0000DC030000}"/>
    <hyperlink ref="A992" r:id="rId990" xr:uid="{00000000-0004-0000-0000-0000DD030000}"/>
    <hyperlink ref="A993" r:id="rId991" xr:uid="{00000000-0004-0000-0000-0000DE030000}"/>
    <hyperlink ref="A994" r:id="rId992" xr:uid="{00000000-0004-0000-0000-0000DF030000}"/>
    <hyperlink ref="A995" r:id="rId993" xr:uid="{00000000-0004-0000-0000-0000E0030000}"/>
    <hyperlink ref="A996" r:id="rId994" xr:uid="{00000000-0004-0000-0000-0000E1030000}"/>
    <hyperlink ref="A997" r:id="rId995" xr:uid="{00000000-0004-0000-0000-0000E2030000}"/>
    <hyperlink ref="A998" r:id="rId996" xr:uid="{00000000-0004-0000-0000-0000E3030000}"/>
    <hyperlink ref="A999" r:id="rId997" xr:uid="{00000000-0004-0000-0000-0000E4030000}"/>
    <hyperlink ref="A1000" r:id="rId998" xr:uid="{00000000-0004-0000-0000-0000E5030000}"/>
    <hyperlink ref="A1001" r:id="rId999" xr:uid="{00000000-0004-0000-0000-0000E6030000}"/>
    <hyperlink ref="A1002" r:id="rId1000" xr:uid="{00000000-0004-0000-0000-0000E7030000}"/>
    <hyperlink ref="A1003" r:id="rId1001" xr:uid="{00000000-0004-0000-0000-0000E8030000}"/>
    <hyperlink ref="A1004" r:id="rId1002" xr:uid="{00000000-0004-0000-0000-0000E9030000}"/>
    <hyperlink ref="A1005" r:id="rId1003" xr:uid="{00000000-0004-0000-0000-0000EA030000}"/>
    <hyperlink ref="A1006" r:id="rId1004" xr:uid="{00000000-0004-0000-0000-0000EB030000}"/>
    <hyperlink ref="A1007" r:id="rId1005" xr:uid="{00000000-0004-0000-0000-0000EC030000}"/>
    <hyperlink ref="A1008" r:id="rId1006" xr:uid="{00000000-0004-0000-0000-0000ED030000}"/>
    <hyperlink ref="A1009" r:id="rId1007" xr:uid="{00000000-0004-0000-0000-0000EE030000}"/>
    <hyperlink ref="A1010" r:id="rId1008" xr:uid="{00000000-0004-0000-0000-0000EF030000}"/>
    <hyperlink ref="A1011" r:id="rId1009" xr:uid="{00000000-0004-0000-0000-0000F0030000}"/>
    <hyperlink ref="A1012" r:id="rId1010" xr:uid="{00000000-0004-0000-0000-0000F1030000}"/>
    <hyperlink ref="A1013" r:id="rId1011" xr:uid="{00000000-0004-0000-0000-0000F2030000}"/>
    <hyperlink ref="A1014" r:id="rId1012" xr:uid="{00000000-0004-0000-0000-0000F3030000}"/>
    <hyperlink ref="A1015" r:id="rId1013" xr:uid="{00000000-0004-0000-0000-0000F4030000}"/>
    <hyperlink ref="A1016" r:id="rId1014" xr:uid="{00000000-0004-0000-0000-0000F5030000}"/>
    <hyperlink ref="A1017" r:id="rId1015" xr:uid="{00000000-0004-0000-0000-0000F6030000}"/>
    <hyperlink ref="A1018" r:id="rId1016" xr:uid="{00000000-0004-0000-0000-0000F7030000}"/>
    <hyperlink ref="A1019" r:id="rId1017" xr:uid="{00000000-0004-0000-0000-0000F8030000}"/>
    <hyperlink ref="A1020" r:id="rId1018" xr:uid="{00000000-0004-0000-0000-0000F9030000}"/>
    <hyperlink ref="A1021" r:id="rId1019" xr:uid="{00000000-0004-0000-0000-0000FA030000}"/>
    <hyperlink ref="A1022" r:id="rId1020" xr:uid="{00000000-0004-0000-0000-0000FB030000}"/>
    <hyperlink ref="A1023" r:id="rId1021" xr:uid="{00000000-0004-0000-0000-0000FC030000}"/>
    <hyperlink ref="A1024" r:id="rId1022" xr:uid="{00000000-0004-0000-0000-0000FD030000}"/>
    <hyperlink ref="A1025" r:id="rId1023" xr:uid="{00000000-0004-0000-0000-0000FE030000}"/>
    <hyperlink ref="A1026" r:id="rId1024" xr:uid="{00000000-0004-0000-0000-0000FF030000}"/>
    <hyperlink ref="A1027" r:id="rId1025" xr:uid="{00000000-0004-0000-0000-000000040000}"/>
    <hyperlink ref="A1028" r:id="rId1026" xr:uid="{00000000-0004-0000-0000-000001040000}"/>
    <hyperlink ref="A1029" r:id="rId1027" xr:uid="{00000000-0004-0000-0000-000002040000}"/>
    <hyperlink ref="A1030" r:id="rId1028" xr:uid="{00000000-0004-0000-0000-000003040000}"/>
    <hyperlink ref="A1031" r:id="rId1029" xr:uid="{00000000-0004-0000-0000-000004040000}"/>
    <hyperlink ref="A1032" r:id="rId1030" xr:uid="{00000000-0004-0000-0000-000005040000}"/>
    <hyperlink ref="A1033" r:id="rId1031" xr:uid="{00000000-0004-0000-0000-000006040000}"/>
    <hyperlink ref="A1034" r:id="rId1032" xr:uid="{00000000-0004-0000-0000-000007040000}"/>
    <hyperlink ref="A1035" r:id="rId1033" xr:uid="{00000000-0004-0000-0000-000008040000}"/>
    <hyperlink ref="A1036" r:id="rId1034" xr:uid="{00000000-0004-0000-0000-000009040000}"/>
    <hyperlink ref="A1037" r:id="rId1035" xr:uid="{00000000-0004-0000-0000-00000A040000}"/>
    <hyperlink ref="A1038" r:id="rId1036" xr:uid="{00000000-0004-0000-0000-00000B040000}"/>
    <hyperlink ref="A1039" r:id="rId1037" xr:uid="{00000000-0004-0000-0000-00000C040000}"/>
    <hyperlink ref="A1040" r:id="rId1038" xr:uid="{00000000-0004-0000-0000-00000D040000}"/>
    <hyperlink ref="A1041" r:id="rId1039" xr:uid="{00000000-0004-0000-0000-00000E040000}"/>
    <hyperlink ref="A1042" r:id="rId1040" xr:uid="{00000000-0004-0000-0000-00000F040000}"/>
    <hyperlink ref="A1043" r:id="rId1041" xr:uid="{00000000-0004-0000-0000-000010040000}"/>
    <hyperlink ref="A1044" r:id="rId1042" xr:uid="{00000000-0004-0000-0000-000011040000}"/>
    <hyperlink ref="A1045" r:id="rId1043" xr:uid="{00000000-0004-0000-0000-000012040000}"/>
    <hyperlink ref="A1046" r:id="rId1044" xr:uid="{00000000-0004-0000-0000-000013040000}"/>
    <hyperlink ref="A1047" r:id="rId1045" xr:uid="{00000000-0004-0000-0000-000014040000}"/>
    <hyperlink ref="A1048" r:id="rId1046" xr:uid="{00000000-0004-0000-0000-000015040000}"/>
    <hyperlink ref="A1049" r:id="rId1047" xr:uid="{00000000-0004-0000-0000-000016040000}"/>
    <hyperlink ref="A1050" r:id="rId1048" xr:uid="{00000000-0004-0000-0000-000017040000}"/>
    <hyperlink ref="A1051" r:id="rId1049" xr:uid="{00000000-0004-0000-0000-000018040000}"/>
    <hyperlink ref="A1052" r:id="rId1050" xr:uid="{00000000-0004-0000-0000-000019040000}"/>
    <hyperlink ref="A1053" r:id="rId1051" xr:uid="{00000000-0004-0000-0000-00001A040000}"/>
    <hyperlink ref="A1054" r:id="rId1052" xr:uid="{00000000-0004-0000-0000-00001B040000}"/>
    <hyperlink ref="A1055" r:id="rId1053" xr:uid="{00000000-0004-0000-0000-00001C040000}"/>
    <hyperlink ref="A1056" r:id="rId1054" xr:uid="{00000000-0004-0000-0000-00001D040000}"/>
    <hyperlink ref="A1057" r:id="rId1055" xr:uid="{00000000-0004-0000-0000-00001E040000}"/>
    <hyperlink ref="A1058" r:id="rId1056" xr:uid="{00000000-0004-0000-0000-00001F040000}"/>
    <hyperlink ref="A1059" r:id="rId1057" xr:uid="{00000000-0004-0000-0000-000020040000}"/>
    <hyperlink ref="A1060" r:id="rId1058" xr:uid="{00000000-0004-0000-0000-000021040000}"/>
    <hyperlink ref="A1061" r:id="rId1059" xr:uid="{00000000-0004-0000-0000-000022040000}"/>
    <hyperlink ref="A1062" r:id="rId1060" xr:uid="{00000000-0004-0000-0000-000023040000}"/>
    <hyperlink ref="A1063" r:id="rId1061" xr:uid="{00000000-0004-0000-0000-000024040000}"/>
    <hyperlink ref="A1064" r:id="rId1062" xr:uid="{00000000-0004-0000-0000-000025040000}"/>
    <hyperlink ref="A1065" r:id="rId1063" xr:uid="{00000000-0004-0000-0000-000026040000}"/>
    <hyperlink ref="A1066" r:id="rId1064" xr:uid="{00000000-0004-0000-0000-000027040000}"/>
    <hyperlink ref="A1067" r:id="rId1065" xr:uid="{00000000-0004-0000-0000-000028040000}"/>
    <hyperlink ref="A1068" r:id="rId1066" xr:uid="{00000000-0004-0000-0000-000029040000}"/>
    <hyperlink ref="A1069" r:id="rId1067" xr:uid="{00000000-0004-0000-0000-00002A040000}"/>
    <hyperlink ref="A1070" r:id="rId1068" xr:uid="{00000000-0004-0000-0000-00002B040000}"/>
    <hyperlink ref="A1071" r:id="rId1069" xr:uid="{00000000-0004-0000-0000-00002C040000}"/>
    <hyperlink ref="A1072" r:id="rId1070" xr:uid="{00000000-0004-0000-0000-00002D040000}"/>
    <hyperlink ref="A1073" r:id="rId1071" xr:uid="{00000000-0004-0000-0000-00002E040000}"/>
    <hyperlink ref="A1074" r:id="rId1072" xr:uid="{00000000-0004-0000-0000-00002F040000}"/>
    <hyperlink ref="A1075" r:id="rId1073" xr:uid="{00000000-0004-0000-0000-000030040000}"/>
    <hyperlink ref="A1076" r:id="rId1074" xr:uid="{00000000-0004-0000-0000-000031040000}"/>
    <hyperlink ref="A1077" r:id="rId1075" xr:uid="{00000000-0004-0000-0000-000032040000}"/>
    <hyperlink ref="A1078" r:id="rId1076" xr:uid="{00000000-0004-0000-0000-000033040000}"/>
    <hyperlink ref="A1079" r:id="rId1077" xr:uid="{00000000-0004-0000-0000-000034040000}"/>
    <hyperlink ref="A1080" r:id="rId1078" xr:uid="{00000000-0004-0000-0000-000035040000}"/>
    <hyperlink ref="A1081" r:id="rId1079" xr:uid="{00000000-0004-0000-0000-000036040000}"/>
    <hyperlink ref="A1082" r:id="rId1080" xr:uid="{00000000-0004-0000-0000-000037040000}"/>
    <hyperlink ref="A1083" r:id="rId1081" xr:uid="{00000000-0004-0000-0000-000038040000}"/>
    <hyperlink ref="A1084" r:id="rId1082" xr:uid="{00000000-0004-0000-0000-000039040000}"/>
    <hyperlink ref="A1085" r:id="rId1083" xr:uid="{00000000-0004-0000-0000-00003A040000}"/>
    <hyperlink ref="A1086" r:id="rId1084" xr:uid="{00000000-0004-0000-0000-00003B040000}"/>
    <hyperlink ref="A1087" r:id="rId1085" xr:uid="{00000000-0004-0000-0000-00003C040000}"/>
    <hyperlink ref="A1088" r:id="rId1086" xr:uid="{00000000-0004-0000-0000-00003D040000}"/>
    <hyperlink ref="A1089" r:id="rId1087" xr:uid="{00000000-0004-0000-0000-00003E040000}"/>
    <hyperlink ref="A1090" r:id="rId1088" xr:uid="{00000000-0004-0000-0000-00003F040000}"/>
    <hyperlink ref="A1091" r:id="rId1089" xr:uid="{00000000-0004-0000-0000-000040040000}"/>
    <hyperlink ref="A1092" r:id="rId1090" xr:uid="{00000000-0004-0000-0000-000041040000}"/>
    <hyperlink ref="A1093" r:id="rId1091" xr:uid="{00000000-0004-0000-0000-000042040000}"/>
    <hyperlink ref="A1094" r:id="rId1092" xr:uid="{00000000-0004-0000-0000-000043040000}"/>
    <hyperlink ref="A1095" r:id="rId1093" xr:uid="{00000000-0004-0000-0000-000044040000}"/>
    <hyperlink ref="A1096" r:id="rId1094" xr:uid="{00000000-0004-0000-0000-000045040000}"/>
    <hyperlink ref="A1097" r:id="rId1095" xr:uid="{00000000-0004-0000-0000-000046040000}"/>
    <hyperlink ref="A1098" r:id="rId1096" xr:uid="{00000000-0004-0000-0000-000047040000}"/>
    <hyperlink ref="A1099" r:id="rId1097" xr:uid="{00000000-0004-0000-0000-000048040000}"/>
    <hyperlink ref="A1100" r:id="rId1098" xr:uid="{00000000-0004-0000-0000-000049040000}"/>
    <hyperlink ref="A1101" r:id="rId1099" xr:uid="{00000000-0004-0000-0000-00004A040000}"/>
    <hyperlink ref="A1102" r:id="rId1100" xr:uid="{00000000-0004-0000-0000-00004B040000}"/>
    <hyperlink ref="A1103" r:id="rId1101" xr:uid="{00000000-0004-0000-0000-00004C040000}"/>
    <hyperlink ref="A1104" r:id="rId1102" xr:uid="{00000000-0004-0000-0000-00004D040000}"/>
    <hyperlink ref="A1105" r:id="rId1103" xr:uid="{00000000-0004-0000-0000-00004E040000}"/>
    <hyperlink ref="A1106" r:id="rId1104" xr:uid="{00000000-0004-0000-0000-00004F040000}"/>
    <hyperlink ref="A1107" r:id="rId1105" xr:uid="{00000000-0004-0000-0000-000050040000}"/>
    <hyperlink ref="A1108" r:id="rId1106" xr:uid="{00000000-0004-0000-0000-000051040000}"/>
    <hyperlink ref="A1109" r:id="rId1107" xr:uid="{00000000-0004-0000-0000-000052040000}"/>
    <hyperlink ref="A1110" r:id="rId1108" xr:uid="{00000000-0004-0000-0000-000053040000}"/>
    <hyperlink ref="A1111" r:id="rId1109" xr:uid="{00000000-0004-0000-0000-000054040000}"/>
    <hyperlink ref="A1112" r:id="rId1110" xr:uid="{00000000-0004-0000-0000-000055040000}"/>
    <hyperlink ref="A1113" r:id="rId1111" xr:uid="{00000000-0004-0000-0000-000056040000}"/>
    <hyperlink ref="A1114" r:id="rId1112" xr:uid="{00000000-0004-0000-0000-000057040000}"/>
    <hyperlink ref="A1115" r:id="rId1113" xr:uid="{00000000-0004-0000-0000-000058040000}"/>
    <hyperlink ref="A1116" r:id="rId1114" xr:uid="{00000000-0004-0000-0000-000059040000}"/>
    <hyperlink ref="A1117" r:id="rId1115" xr:uid="{00000000-0004-0000-0000-00005A040000}"/>
    <hyperlink ref="A1118" r:id="rId1116" xr:uid="{00000000-0004-0000-0000-00005B040000}"/>
    <hyperlink ref="A1119" r:id="rId1117" xr:uid="{00000000-0004-0000-0000-00005C040000}"/>
    <hyperlink ref="A1120" r:id="rId1118" xr:uid="{00000000-0004-0000-0000-00005D040000}"/>
    <hyperlink ref="A1121" r:id="rId1119" xr:uid="{00000000-0004-0000-0000-00005E040000}"/>
    <hyperlink ref="A1122" r:id="rId1120" xr:uid="{00000000-0004-0000-0000-00005F040000}"/>
    <hyperlink ref="A1123" r:id="rId1121" xr:uid="{00000000-0004-0000-0000-000060040000}"/>
    <hyperlink ref="A1124" r:id="rId1122" xr:uid="{00000000-0004-0000-0000-000061040000}"/>
    <hyperlink ref="A1125" r:id="rId1123" xr:uid="{00000000-0004-0000-0000-000062040000}"/>
    <hyperlink ref="A1126" r:id="rId1124" xr:uid="{00000000-0004-0000-0000-000063040000}"/>
    <hyperlink ref="A1127" r:id="rId1125" xr:uid="{00000000-0004-0000-0000-000064040000}"/>
    <hyperlink ref="A1128" r:id="rId1126" xr:uid="{00000000-0004-0000-0000-000065040000}"/>
    <hyperlink ref="A1129" r:id="rId1127" xr:uid="{00000000-0004-0000-0000-000066040000}"/>
    <hyperlink ref="A1130" r:id="rId1128" xr:uid="{00000000-0004-0000-0000-000067040000}"/>
    <hyperlink ref="A1131" r:id="rId1129" xr:uid="{00000000-0004-0000-0000-000068040000}"/>
    <hyperlink ref="A1132" r:id="rId1130" xr:uid="{00000000-0004-0000-0000-000069040000}"/>
    <hyperlink ref="A1133" r:id="rId1131" xr:uid="{00000000-0004-0000-0000-00006A040000}"/>
    <hyperlink ref="A1134" r:id="rId1132" xr:uid="{00000000-0004-0000-0000-00006B040000}"/>
    <hyperlink ref="A1135" r:id="rId1133" xr:uid="{00000000-0004-0000-0000-00006C040000}"/>
    <hyperlink ref="A1136" r:id="rId1134" xr:uid="{00000000-0004-0000-0000-00006D040000}"/>
    <hyperlink ref="A1137" r:id="rId1135" xr:uid="{00000000-0004-0000-0000-00006E040000}"/>
    <hyperlink ref="A1138" r:id="rId1136" xr:uid="{00000000-0004-0000-0000-00006F040000}"/>
    <hyperlink ref="A1139" r:id="rId1137" xr:uid="{00000000-0004-0000-0000-000070040000}"/>
    <hyperlink ref="A1140" r:id="rId1138" xr:uid="{00000000-0004-0000-0000-000071040000}"/>
    <hyperlink ref="A1141" r:id="rId1139" xr:uid="{00000000-0004-0000-0000-000072040000}"/>
    <hyperlink ref="A1142" r:id="rId1140" xr:uid="{00000000-0004-0000-0000-000073040000}"/>
    <hyperlink ref="A1143" r:id="rId1141" xr:uid="{00000000-0004-0000-0000-000074040000}"/>
    <hyperlink ref="A1144" r:id="rId1142" xr:uid="{00000000-0004-0000-0000-000075040000}"/>
    <hyperlink ref="A1145" r:id="rId1143" xr:uid="{00000000-0004-0000-0000-000076040000}"/>
    <hyperlink ref="A1146" r:id="rId1144" xr:uid="{00000000-0004-0000-0000-000077040000}"/>
    <hyperlink ref="A1147" r:id="rId1145" xr:uid="{00000000-0004-0000-0000-000078040000}"/>
    <hyperlink ref="A1148" r:id="rId1146" xr:uid="{00000000-0004-0000-0000-000079040000}"/>
    <hyperlink ref="A1149" r:id="rId1147" xr:uid="{00000000-0004-0000-0000-00007A040000}"/>
    <hyperlink ref="A1150" r:id="rId1148" xr:uid="{00000000-0004-0000-0000-00007B040000}"/>
    <hyperlink ref="A1151" r:id="rId1149" xr:uid="{00000000-0004-0000-0000-00007C040000}"/>
    <hyperlink ref="A1152" r:id="rId1150" xr:uid="{00000000-0004-0000-0000-00007D040000}"/>
    <hyperlink ref="A1153" r:id="rId1151" xr:uid="{00000000-0004-0000-0000-00007E040000}"/>
    <hyperlink ref="A1154" r:id="rId1152" xr:uid="{00000000-0004-0000-0000-00007F040000}"/>
    <hyperlink ref="A1155" r:id="rId1153" xr:uid="{00000000-0004-0000-0000-000080040000}"/>
    <hyperlink ref="A1156" r:id="rId1154" xr:uid="{00000000-0004-0000-0000-000081040000}"/>
    <hyperlink ref="A1157" r:id="rId1155" xr:uid="{00000000-0004-0000-0000-000082040000}"/>
    <hyperlink ref="A1158" r:id="rId1156" xr:uid="{00000000-0004-0000-0000-000083040000}"/>
    <hyperlink ref="A1159" r:id="rId1157" xr:uid="{00000000-0004-0000-0000-000084040000}"/>
    <hyperlink ref="A1160" r:id="rId1158" xr:uid="{00000000-0004-0000-0000-000085040000}"/>
    <hyperlink ref="A1161" r:id="rId1159" xr:uid="{00000000-0004-0000-0000-000086040000}"/>
    <hyperlink ref="A1162" r:id="rId1160" xr:uid="{00000000-0004-0000-0000-000087040000}"/>
    <hyperlink ref="A1163" r:id="rId1161" xr:uid="{00000000-0004-0000-0000-000088040000}"/>
    <hyperlink ref="A1164" r:id="rId1162" xr:uid="{00000000-0004-0000-0000-000089040000}"/>
    <hyperlink ref="A1165" r:id="rId1163" xr:uid="{00000000-0004-0000-0000-00008A040000}"/>
    <hyperlink ref="A1166" r:id="rId1164" xr:uid="{00000000-0004-0000-0000-00008B040000}"/>
    <hyperlink ref="A1167" r:id="rId1165" xr:uid="{00000000-0004-0000-0000-00008C040000}"/>
    <hyperlink ref="A1168" r:id="rId1166" xr:uid="{00000000-0004-0000-0000-00008D040000}"/>
    <hyperlink ref="A1169" r:id="rId1167" xr:uid="{00000000-0004-0000-0000-00008E040000}"/>
    <hyperlink ref="A1170" r:id="rId1168" xr:uid="{00000000-0004-0000-0000-00008F040000}"/>
    <hyperlink ref="A1171" r:id="rId1169" xr:uid="{00000000-0004-0000-0000-000090040000}"/>
    <hyperlink ref="A1172" r:id="rId1170" xr:uid="{00000000-0004-0000-0000-000091040000}"/>
    <hyperlink ref="A1173" r:id="rId1171" xr:uid="{00000000-0004-0000-0000-000092040000}"/>
    <hyperlink ref="A1174" r:id="rId1172" xr:uid="{00000000-0004-0000-0000-000093040000}"/>
    <hyperlink ref="A1175" r:id="rId1173" xr:uid="{00000000-0004-0000-0000-000094040000}"/>
    <hyperlink ref="A1176" r:id="rId1174" xr:uid="{00000000-0004-0000-0000-000095040000}"/>
    <hyperlink ref="A1177" r:id="rId1175" xr:uid="{00000000-0004-0000-0000-000096040000}"/>
    <hyperlink ref="A1178" r:id="rId1176" xr:uid="{00000000-0004-0000-0000-000097040000}"/>
    <hyperlink ref="A1179" r:id="rId1177" xr:uid="{00000000-0004-0000-0000-000098040000}"/>
    <hyperlink ref="A1180" r:id="rId1178" xr:uid="{00000000-0004-0000-0000-000099040000}"/>
    <hyperlink ref="A1181" r:id="rId1179" xr:uid="{00000000-0004-0000-0000-00009A040000}"/>
    <hyperlink ref="A1182" r:id="rId1180" xr:uid="{00000000-0004-0000-0000-00009B040000}"/>
    <hyperlink ref="A1183" r:id="rId1181" xr:uid="{00000000-0004-0000-0000-00009C040000}"/>
    <hyperlink ref="A1184" r:id="rId1182" xr:uid="{00000000-0004-0000-0000-00009D040000}"/>
    <hyperlink ref="A1185" r:id="rId1183" xr:uid="{00000000-0004-0000-0000-00009E040000}"/>
    <hyperlink ref="A1186" r:id="rId1184" xr:uid="{00000000-0004-0000-0000-00009F040000}"/>
    <hyperlink ref="A1187" r:id="rId1185" xr:uid="{00000000-0004-0000-0000-0000A0040000}"/>
    <hyperlink ref="A1188" r:id="rId1186" xr:uid="{00000000-0004-0000-0000-0000A1040000}"/>
    <hyperlink ref="A1189" r:id="rId1187" xr:uid="{00000000-0004-0000-0000-0000A2040000}"/>
    <hyperlink ref="A1190" r:id="rId1188" xr:uid="{00000000-0004-0000-0000-0000A3040000}"/>
    <hyperlink ref="A1191" r:id="rId1189" xr:uid="{00000000-0004-0000-0000-0000A4040000}"/>
    <hyperlink ref="A1192" r:id="rId1190" xr:uid="{00000000-0004-0000-0000-0000A5040000}"/>
    <hyperlink ref="A1193" r:id="rId1191" xr:uid="{00000000-0004-0000-0000-0000A6040000}"/>
    <hyperlink ref="A1194" r:id="rId1192" xr:uid="{00000000-0004-0000-0000-0000A7040000}"/>
    <hyperlink ref="A1195" r:id="rId1193" xr:uid="{00000000-0004-0000-0000-0000A8040000}"/>
    <hyperlink ref="A1196" r:id="rId1194" xr:uid="{00000000-0004-0000-0000-0000A9040000}"/>
    <hyperlink ref="A1197" r:id="rId1195" xr:uid="{00000000-0004-0000-0000-0000AA040000}"/>
    <hyperlink ref="A1198" r:id="rId1196" xr:uid="{00000000-0004-0000-0000-0000AB040000}"/>
    <hyperlink ref="A1199" r:id="rId1197" xr:uid="{00000000-0004-0000-0000-0000AC040000}"/>
    <hyperlink ref="A1200" r:id="rId1198" xr:uid="{00000000-0004-0000-0000-0000AD040000}"/>
    <hyperlink ref="A1201" r:id="rId1199" xr:uid="{00000000-0004-0000-0000-0000AE040000}"/>
    <hyperlink ref="A1202" r:id="rId1200" xr:uid="{00000000-0004-0000-0000-0000AF040000}"/>
    <hyperlink ref="A1203" r:id="rId1201" xr:uid="{00000000-0004-0000-0000-0000B0040000}"/>
    <hyperlink ref="A1204" r:id="rId1202" xr:uid="{00000000-0004-0000-0000-0000B1040000}"/>
    <hyperlink ref="A1205" r:id="rId1203" xr:uid="{00000000-0004-0000-0000-0000B2040000}"/>
    <hyperlink ref="A1206" r:id="rId1204" xr:uid="{00000000-0004-0000-0000-0000B3040000}"/>
    <hyperlink ref="A1207" r:id="rId1205" xr:uid="{00000000-0004-0000-0000-0000B4040000}"/>
    <hyperlink ref="A1208" r:id="rId1206" xr:uid="{00000000-0004-0000-0000-0000B5040000}"/>
    <hyperlink ref="A1209" r:id="rId1207" xr:uid="{00000000-0004-0000-0000-0000B6040000}"/>
    <hyperlink ref="A1210" r:id="rId1208" xr:uid="{00000000-0004-0000-0000-0000B7040000}"/>
    <hyperlink ref="A1211" r:id="rId1209" xr:uid="{00000000-0004-0000-0000-0000B8040000}"/>
    <hyperlink ref="A1212" r:id="rId1210" xr:uid="{00000000-0004-0000-0000-0000B9040000}"/>
    <hyperlink ref="A1213" r:id="rId1211" xr:uid="{00000000-0004-0000-0000-0000BA040000}"/>
    <hyperlink ref="A1214" r:id="rId1212" xr:uid="{00000000-0004-0000-0000-0000BB040000}"/>
    <hyperlink ref="A1215" r:id="rId1213" xr:uid="{00000000-0004-0000-0000-0000BC040000}"/>
    <hyperlink ref="A1216" r:id="rId1214" xr:uid="{00000000-0004-0000-0000-0000BD040000}"/>
    <hyperlink ref="A1217" r:id="rId1215" xr:uid="{00000000-0004-0000-0000-0000BE040000}"/>
    <hyperlink ref="A1218" r:id="rId1216" xr:uid="{00000000-0004-0000-0000-0000BF040000}"/>
    <hyperlink ref="A1219" r:id="rId1217" xr:uid="{00000000-0004-0000-0000-0000C0040000}"/>
    <hyperlink ref="A1220" r:id="rId1218" xr:uid="{00000000-0004-0000-0000-0000C1040000}"/>
    <hyperlink ref="A1221" r:id="rId1219" xr:uid="{00000000-0004-0000-0000-0000C2040000}"/>
    <hyperlink ref="A1222" r:id="rId1220" xr:uid="{00000000-0004-0000-0000-0000C3040000}"/>
    <hyperlink ref="A1223" r:id="rId1221" xr:uid="{00000000-0004-0000-0000-0000C4040000}"/>
    <hyperlink ref="A1224" r:id="rId1222" xr:uid="{00000000-0004-0000-0000-0000C5040000}"/>
    <hyperlink ref="A1225" r:id="rId1223" xr:uid="{00000000-0004-0000-0000-0000C6040000}"/>
    <hyperlink ref="A1226" r:id="rId1224" xr:uid="{00000000-0004-0000-0000-0000C7040000}"/>
    <hyperlink ref="A1227" r:id="rId1225" xr:uid="{00000000-0004-0000-0000-0000C8040000}"/>
    <hyperlink ref="A1228" r:id="rId1226" xr:uid="{00000000-0004-0000-0000-0000C9040000}"/>
    <hyperlink ref="A1229" r:id="rId1227" xr:uid="{00000000-0004-0000-0000-0000CA040000}"/>
    <hyperlink ref="A1230" r:id="rId1228" xr:uid="{00000000-0004-0000-0000-0000CB040000}"/>
    <hyperlink ref="A1231" r:id="rId1229" xr:uid="{00000000-0004-0000-0000-0000CC040000}"/>
    <hyperlink ref="A1232" r:id="rId1230" xr:uid="{00000000-0004-0000-0000-0000CD040000}"/>
    <hyperlink ref="A1233" r:id="rId1231" xr:uid="{00000000-0004-0000-0000-0000CE040000}"/>
    <hyperlink ref="A1234" r:id="rId1232" xr:uid="{00000000-0004-0000-0000-0000CF040000}"/>
    <hyperlink ref="A1235" r:id="rId1233" xr:uid="{00000000-0004-0000-0000-0000D0040000}"/>
    <hyperlink ref="A1236" r:id="rId1234" xr:uid="{00000000-0004-0000-0000-0000D1040000}"/>
    <hyperlink ref="A1237" r:id="rId1235" xr:uid="{00000000-0004-0000-0000-0000D2040000}"/>
    <hyperlink ref="A1238" r:id="rId1236" xr:uid="{00000000-0004-0000-0000-0000D3040000}"/>
    <hyperlink ref="A1239" r:id="rId1237" xr:uid="{00000000-0004-0000-0000-0000D4040000}"/>
    <hyperlink ref="A1240" r:id="rId1238" xr:uid="{00000000-0004-0000-0000-0000D5040000}"/>
    <hyperlink ref="A1241" r:id="rId1239" xr:uid="{00000000-0004-0000-0000-0000D6040000}"/>
    <hyperlink ref="A1242" r:id="rId1240" xr:uid="{00000000-0004-0000-0000-0000D7040000}"/>
    <hyperlink ref="A1243" r:id="rId1241" xr:uid="{00000000-0004-0000-0000-0000D8040000}"/>
    <hyperlink ref="A1244" r:id="rId1242" xr:uid="{00000000-0004-0000-0000-0000D9040000}"/>
    <hyperlink ref="A1245" r:id="rId1243" xr:uid="{00000000-0004-0000-0000-0000DA040000}"/>
    <hyperlink ref="A1246" r:id="rId1244" xr:uid="{00000000-0004-0000-0000-0000DB040000}"/>
    <hyperlink ref="A1247" r:id="rId1245" xr:uid="{00000000-0004-0000-0000-0000DC040000}"/>
    <hyperlink ref="A1248" r:id="rId1246" xr:uid="{00000000-0004-0000-0000-0000DD040000}"/>
    <hyperlink ref="A1249" r:id="rId1247" xr:uid="{00000000-0004-0000-0000-0000DE040000}"/>
    <hyperlink ref="A1250" r:id="rId1248" xr:uid="{00000000-0004-0000-0000-0000DF040000}"/>
    <hyperlink ref="A1251" r:id="rId1249" xr:uid="{00000000-0004-0000-0000-0000E0040000}"/>
    <hyperlink ref="A1252" r:id="rId1250" xr:uid="{00000000-0004-0000-0000-0000E1040000}"/>
    <hyperlink ref="A1253" r:id="rId1251" xr:uid="{00000000-0004-0000-0000-0000E2040000}"/>
    <hyperlink ref="A1254" r:id="rId1252" xr:uid="{00000000-0004-0000-0000-0000E3040000}"/>
    <hyperlink ref="A1255" r:id="rId1253" xr:uid="{00000000-0004-0000-0000-0000E4040000}"/>
    <hyperlink ref="A1256" r:id="rId1254" xr:uid="{00000000-0004-0000-0000-0000E5040000}"/>
    <hyperlink ref="A1257" r:id="rId1255" xr:uid="{00000000-0004-0000-0000-0000E6040000}"/>
    <hyperlink ref="A1258" r:id="rId1256" xr:uid="{00000000-0004-0000-0000-0000E7040000}"/>
    <hyperlink ref="A1259" r:id="rId1257" xr:uid="{00000000-0004-0000-0000-0000E8040000}"/>
    <hyperlink ref="A1260" r:id="rId1258" xr:uid="{00000000-0004-0000-0000-0000E9040000}"/>
    <hyperlink ref="A1261" r:id="rId1259" xr:uid="{00000000-0004-0000-0000-0000EA040000}"/>
    <hyperlink ref="A1262" r:id="rId1260" xr:uid="{00000000-0004-0000-0000-0000EB040000}"/>
    <hyperlink ref="A1263" r:id="rId1261" xr:uid="{00000000-0004-0000-0000-0000EC040000}"/>
    <hyperlink ref="A1264" r:id="rId1262" xr:uid="{00000000-0004-0000-0000-0000ED040000}"/>
    <hyperlink ref="A1265" r:id="rId1263" xr:uid="{00000000-0004-0000-0000-0000EE040000}"/>
    <hyperlink ref="A1266" r:id="rId1264" xr:uid="{00000000-0004-0000-0000-0000EF040000}"/>
    <hyperlink ref="A1267" r:id="rId1265" xr:uid="{00000000-0004-0000-0000-0000F0040000}"/>
    <hyperlink ref="A1268" r:id="rId1266" xr:uid="{00000000-0004-0000-0000-0000F1040000}"/>
    <hyperlink ref="A1269" r:id="rId1267" xr:uid="{00000000-0004-0000-0000-0000F2040000}"/>
    <hyperlink ref="A1270" r:id="rId1268" xr:uid="{00000000-0004-0000-0000-0000F3040000}"/>
    <hyperlink ref="A1271" r:id="rId1269" xr:uid="{00000000-0004-0000-0000-0000F4040000}"/>
    <hyperlink ref="A1272" r:id="rId1270" xr:uid="{00000000-0004-0000-0000-0000F5040000}"/>
    <hyperlink ref="A1273" r:id="rId1271" xr:uid="{00000000-0004-0000-0000-0000F6040000}"/>
    <hyperlink ref="A1274" r:id="rId1272" xr:uid="{00000000-0004-0000-0000-0000F7040000}"/>
    <hyperlink ref="A1275" r:id="rId1273" xr:uid="{00000000-0004-0000-0000-0000F8040000}"/>
    <hyperlink ref="A1276" r:id="rId1274" xr:uid="{00000000-0004-0000-0000-0000F9040000}"/>
    <hyperlink ref="A1277" r:id="rId1275" xr:uid="{00000000-0004-0000-0000-0000FA040000}"/>
    <hyperlink ref="A1278" r:id="rId1276" xr:uid="{00000000-0004-0000-0000-0000FB040000}"/>
    <hyperlink ref="A1279" r:id="rId1277" xr:uid="{00000000-0004-0000-0000-0000FC040000}"/>
    <hyperlink ref="A1280" r:id="rId1278" xr:uid="{00000000-0004-0000-0000-0000FD040000}"/>
    <hyperlink ref="A1281" r:id="rId1279" xr:uid="{00000000-0004-0000-0000-0000FE040000}"/>
    <hyperlink ref="A1282" r:id="rId1280" xr:uid="{00000000-0004-0000-0000-0000FF040000}"/>
    <hyperlink ref="A1283" r:id="rId1281" xr:uid="{00000000-0004-0000-0000-000000050000}"/>
    <hyperlink ref="A1284" r:id="rId1282" xr:uid="{00000000-0004-0000-0000-000001050000}"/>
    <hyperlink ref="A1285" r:id="rId1283" xr:uid="{00000000-0004-0000-0000-000002050000}"/>
    <hyperlink ref="A1286" r:id="rId1284" xr:uid="{00000000-0004-0000-0000-000003050000}"/>
    <hyperlink ref="A1287" r:id="rId1285" xr:uid="{00000000-0004-0000-0000-000004050000}"/>
    <hyperlink ref="A1288" r:id="rId1286" xr:uid="{00000000-0004-0000-0000-000005050000}"/>
    <hyperlink ref="A1289" r:id="rId1287" xr:uid="{00000000-0004-0000-0000-000006050000}"/>
    <hyperlink ref="A1290" r:id="rId1288" xr:uid="{00000000-0004-0000-0000-000007050000}"/>
    <hyperlink ref="A1291" r:id="rId1289" xr:uid="{00000000-0004-0000-0000-000008050000}"/>
    <hyperlink ref="A1292" r:id="rId1290" xr:uid="{00000000-0004-0000-0000-000009050000}"/>
    <hyperlink ref="A1293" r:id="rId1291" xr:uid="{00000000-0004-0000-0000-00000A050000}"/>
    <hyperlink ref="A1294" r:id="rId1292" xr:uid="{00000000-0004-0000-0000-00000B050000}"/>
    <hyperlink ref="A1295" r:id="rId1293" xr:uid="{00000000-0004-0000-0000-00000C050000}"/>
    <hyperlink ref="A1296" r:id="rId1294" xr:uid="{00000000-0004-0000-0000-00000D050000}"/>
    <hyperlink ref="A1297" r:id="rId1295" xr:uid="{00000000-0004-0000-0000-00000E050000}"/>
    <hyperlink ref="A1298" r:id="rId1296" xr:uid="{00000000-0004-0000-0000-00000F050000}"/>
    <hyperlink ref="A1299" r:id="rId1297" xr:uid="{00000000-0004-0000-0000-000010050000}"/>
    <hyperlink ref="A1300" r:id="rId1298" xr:uid="{00000000-0004-0000-0000-000011050000}"/>
    <hyperlink ref="A1301" r:id="rId1299" xr:uid="{00000000-0004-0000-0000-000012050000}"/>
    <hyperlink ref="A1302" r:id="rId1300" xr:uid="{00000000-0004-0000-0000-000013050000}"/>
    <hyperlink ref="A1303" r:id="rId1301" xr:uid="{00000000-0004-0000-0000-000014050000}"/>
    <hyperlink ref="A1304" r:id="rId1302" xr:uid="{00000000-0004-0000-0000-000015050000}"/>
    <hyperlink ref="A1305" r:id="rId1303" xr:uid="{00000000-0004-0000-0000-000016050000}"/>
    <hyperlink ref="A1306" r:id="rId1304" xr:uid="{00000000-0004-0000-0000-000017050000}"/>
    <hyperlink ref="A1307" r:id="rId1305" xr:uid="{00000000-0004-0000-0000-000018050000}"/>
    <hyperlink ref="A1308" r:id="rId1306" xr:uid="{00000000-0004-0000-0000-000019050000}"/>
    <hyperlink ref="A1309" r:id="rId1307" xr:uid="{00000000-0004-0000-0000-00001A050000}"/>
    <hyperlink ref="A1310" r:id="rId1308" xr:uid="{00000000-0004-0000-0000-00001B050000}"/>
    <hyperlink ref="A1311" r:id="rId1309" xr:uid="{00000000-0004-0000-0000-00001C050000}"/>
    <hyperlink ref="A1312" r:id="rId1310" xr:uid="{00000000-0004-0000-0000-00001D050000}"/>
    <hyperlink ref="A1313" r:id="rId1311" xr:uid="{00000000-0004-0000-0000-00001E050000}"/>
    <hyperlink ref="A1314" r:id="rId1312" xr:uid="{00000000-0004-0000-0000-00001F050000}"/>
    <hyperlink ref="A1315" r:id="rId1313" xr:uid="{00000000-0004-0000-0000-000020050000}"/>
    <hyperlink ref="A1316" r:id="rId1314" xr:uid="{00000000-0004-0000-0000-000021050000}"/>
    <hyperlink ref="A1317" r:id="rId1315" xr:uid="{00000000-0004-0000-0000-000022050000}"/>
    <hyperlink ref="A1318" r:id="rId1316" xr:uid="{00000000-0004-0000-0000-000023050000}"/>
    <hyperlink ref="A1319" r:id="rId1317" xr:uid="{00000000-0004-0000-0000-000024050000}"/>
    <hyperlink ref="A1320" r:id="rId1318" xr:uid="{00000000-0004-0000-0000-000025050000}"/>
    <hyperlink ref="A1321" r:id="rId1319" xr:uid="{00000000-0004-0000-0000-000026050000}"/>
    <hyperlink ref="A1322" r:id="rId1320" xr:uid="{00000000-0004-0000-0000-000027050000}"/>
    <hyperlink ref="A1323" r:id="rId1321" xr:uid="{00000000-0004-0000-0000-000028050000}"/>
    <hyperlink ref="A1324" r:id="rId1322" xr:uid="{00000000-0004-0000-0000-000029050000}"/>
    <hyperlink ref="A1325" r:id="rId1323" xr:uid="{00000000-0004-0000-0000-00002A050000}"/>
    <hyperlink ref="A1326" r:id="rId1324" xr:uid="{00000000-0004-0000-0000-00002B050000}"/>
    <hyperlink ref="A1327" r:id="rId1325" xr:uid="{00000000-0004-0000-0000-00002C050000}"/>
    <hyperlink ref="A1328" r:id="rId1326" xr:uid="{00000000-0004-0000-0000-00002D050000}"/>
    <hyperlink ref="A1329" r:id="rId1327" xr:uid="{00000000-0004-0000-0000-00002E050000}"/>
    <hyperlink ref="A1330" r:id="rId1328" xr:uid="{00000000-0004-0000-0000-00002F050000}"/>
    <hyperlink ref="A1331" r:id="rId1329" xr:uid="{00000000-0004-0000-0000-000030050000}"/>
    <hyperlink ref="A1332" r:id="rId1330" xr:uid="{00000000-0004-0000-0000-000031050000}"/>
    <hyperlink ref="A1333" r:id="rId1331" xr:uid="{00000000-0004-0000-0000-000032050000}"/>
    <hyperlink ref="A1334" r:id="rId1332" xr:uid="{00000000-0004-0000-0000-000033050000}"/>
    <hyperlink ref="A1335" r:id="rId1333" xr:uid="{00000000-0004-0000-0000-000034050000}"/>
    <hyperlink ref="A1336" r:id="rId1334" xr:uid="{00000000-0004-0000-0000-000035050000}"/>
    <hyperlink ref="A1337" r:id="rId1335" xr:uid="{00000000-0004-0000-0000-000036050000}"/>
    <hyperlink ref="A1338" r:id="rId1336" xr:uid="{00000000-0004-0000-0000-000037050000}"/>
    <hyperlink ref="A1339" r:id="rId1337" xr:uid="{00000000-0004-0000-0000-000038050000}"/>
    <hyperlink ref="A1340" r:id="rId1338" xr:uid="{00000000-0004-0000-0000-000039050000}"/>
    <hyperlink ref="A1341" r:id="rId1339" xr:uid="{00000000-0004-0000-0000-00003A050000}"/>
    <hyperlink ref="A1342" r:id="rId1340" xr:uid="{00000000-0004-0000-0000-00003B050000}"/>
    <hyperlink ref="A1343" r:id="rId1341" xr:uid="{00000000-0004-0000-0000-00003C050000}"/>
    <hyperlink ref="A1344" r:id="rId1342" xr:uid="{00000000-0004-0000-0000-00003D050000}"/>
    <hyperlink ref="A1345" r:id="rId1343" xr:uid="{00000000-0004-0000-0000-00003E050000}"/>
    <hyperlink ref="A1346" r:id="rId1344" xr:uid="{00000000-0004-0000-0000-00003F050000}"/>
    <hyperlink ref="A1347" r:id="rId1345" xr:uid="{00000000-0004-0000-0000-000040050000}"/>
    <hyperlink ref="A1348" r:id="rId1346" xr:uid="{00000000-0004-0000-0000-000041050000}"/>
    <hyperlink ref="A1349" r:id="rId1347" xr:uid="{00000000-0004-0000-0000-000042050000}"/>
    <hyperlink ref="A1350" r:id="rId1348" xr:uid="{00000000-0004-0000-0000-000043050000}"/>
    <hyperlink ref="A1351" r:id="rId1349" xr:uid="{00000000-0004-0000-0000-000044050000}"/>
    <hyperlink ref="A1352" r:id="rId1350" xr:uid="{00000000-0004-0000-0000-000045050000}"/>
    <hyperlink ref="A1353" r:id="rId1351" xr:uid="{00000000-0004-0000-0000-000046050000}"/>
    <hyperlink ref="A1354" r:id="rId1352" xr:uid="{00000000-0004-0000-0000-000047050000}"/>
    <hyperlink ref="A1355" r:id="rId1353" xr:uid="{00000000-0004-0000-0000-000048050000}"/>
    <hyperlink ref="A1356" r:id="rId1354" xr:uid="{00000000-0004-0000-0000-000049050000}"/>
    <hyperlink ref="A1357" r:id="rId1355" xr:uid="{00000000-0004-0000-0000-00004A050000}"/>
    <hyperlink ref="A1358" r:id="rId1356" xr:uid="{00000000-0004-0000-0000-00004B050000}"/>
    <hyperlink ref="A1359" r:id="rId1357" xr:uid="{00000000-0004-0000-0000-00004C050000}"/>
    <hyperlink ref="A1360" r:id="rId1358" xr:uid="{00000000-0004-0000-0000-00004D050000}"/>
    <hyperlink ref="A1361" r:id="rId1359" xr:uid="{00000000-0004-0000-0000-00004E050000}"/>
    <hyperlink ref="A1362" r:id="rId1360" xr:uid="{00000000-0004-0000-0000-00004F050000}"/>
    <hyperlink ref="A1363" r:id="rId1361" xr:uid="{00000000-0004-0000-0000-000050050000}"/>
    <hyperlink ref="A1364" r:id="rId1362" xr:uid="{00000000-0004-0000-0000-000051050000}"/>
    <hyperlink ref="A1365" r:id="rId1363" xr:uid="{00000000-0004-0000-0000-000052050000}"/>
    <hyperlink ref="A1366" r:id="rId1364" xr:uid="{00000000-0004-0000-0000-000053050000}"/>
    <hyperlink ref="A1367" r:id="rId1365" xr:uid="{00000000-0004-0000-0000-000054050000}"/>
    <hyperlink ref="A1368" r:id="rId1366" xr:uid="{00000000-0004-0000-0000-000055050000}"/>
    <hyperlink ref="A1369" r:id="rId1367" xr:uid="{00000000-0004-0000-0000-000056050000}"/>
    <hyperlink ref="A1370" r:id="rId1368" xr:uid="{00000000-0004-0000-0000-000057050000}"/>
    <hyperlink ref="A1371" r:id="rId1369" xr:uid="{00000000-0004-0000-0000-000058050000}"/>
    <hyperlink ref="A1372" r:id="rId1370" xr:uid="{00000000-0004-0000-0000-000059050000}"/>
    <hyperlink ref="A1373" r:id="rId1371" xr:uid="{00000000-0004-0000-0000-00005A050000}"/>
    <hyperlink ref="A1374" r:id="rId1372" xr:uid="{00000000-0004-0000-0000-00005B050000}"/>
    <hyperlink ref="A1375" r:id="rId1373" xr:uid="{00000000-0004-0000-0000-00005C050000}"/>
    <hyperlink ref="A1376" r:id="rId1374" xr:uid="{00000000-0004-0000-0000-00005D050000}"/>
    <hyperlink ref="A1377" r:id="rId1375" xr:uid="{00000000-0004-0000-0000-00005E050000}"/>
    <hyperlink ref="A1378" r:id="rId1376" xr:uid="{00000000-0004-0000-0000-00005F050000}"/>
    <hyperlink ref="A1379" r:id="rId1377" xr:uid="{00000000-0004-0000-0000-000060050000}"/>
    <hyperlink ref="A1380" r:id="rId1378" xr:uid="{00000000-0004-0000-0000-000061050000}"/>
    <hyperlink ref="A1381" r:id="rId1379" xr:uid="{00000000-0004-0000-0000-000062050000}"/>
    <hyperlink ref="A1382" r:id="rId1380" xr:uid="{00000000-0004-0000-0000-000063050000}"/>
    <hyperlink ref="A1383" r:id="rId1381" xr:uid="{00000000-0004-0000-0000-000064050000}"/>
    <hyperlink ref="A1384" r:id="rId1382" xr:uid="{00000000-0004-0000-0000-000065050000}"/>
    <hyperlink ref="A1385" r:id="rId1383" xr:uid="{00000000-0004-0000-0000-000066050000}"/>
    <hyperlink ref="A1386" r:id="rId1384" xr:uid="{00000000-0004-0000-0000-000067050000}"/>
    <hyperlink ref="A1387" r:id="rId1385" xr:uid="{00000000-0004-0000-0000-000068050000}"/>
    <hyperlink ref="A1388" r:id="rId1386" xr:uid="{00000000-0004-0000-0000-000069050000}"/>
    <hyperlink ref="A1389" r:id="rId1387" xr:uid="{00000000-0004-0000-0000-00006A050000}"/>
    <hyperlink ref="A1390" r:id="rId1388" xr:uid="{00000000-0004-0000-0000-00006B050000}"/>
    <hyperlink ref="A1391" r:id="rId1389" xr:uid="{00000000-0004-0000-0000-00006C050000}"/>
    <hyperlink ref="A1392" r:id="rId1390" xr:uid="{00000000-0004-0000-0000-00006D050000}"/>
    <hyperlink ref="A1393" r:id="rId1391" xr:uid="{00000000-0004-0000-0000-00006E050000}"/>
    <hyperlink ref="A1394" r:id="rId1392" xr:uid="{00000000-0004-0000-0000-00006F050000}"/>
    <hyperlink ref="A1395" r:id="rId1393" xr:uid="{00000000-0004-0000-0000-000070050000}"/>
    <hyperlink ref="A1396" r:id="rId1394" xr:uid="{00000000-0004-0000-0000-000071050000}"/>
    <hyperlink ref="A1397" r:id="rId1395" xr:uid="{00000000-0004-0000-0000-000072050000}"/>
    <hyperlink ref="A1398" r:id="rId1396" xr:uid="{00000000-0004-0000-0000-000073050000}"/>
    <hyperlink ref="A1399" r:id="rId1397" xr:uid="{00000000-0004-0000-0000-000074050000}"/>
    <hyperlink ref="A1400" r:id="rId1398" xr:uid="{00000000-0004-0000-0000-000075050000}"/>
    <hyperlink ref="A1401" r:id="rId1399" xr:uid="{00000000-0004-0000-0000-000076050000}"/>
    <hyperlink ref="A1402" r:id="rId1400" xr:uid="{00000000-0004-0000-0000-000077050000}"/>
    <hyperlink ref="A1403" r:id="rId1401" xr:uid="{00000000-0004-0000-0000-000078050000}"/>
    <hyperlink ref="A1404" r:id="rId1402" xr:uid="{00000000-0004-0000-0000-000079050000}"/>
    <hyperlink ref="A1405" r:id="rId1403" xr:uid="{00000000-0004-0000-0000-00007A050000}"/>
    <hyperlink ref="A1406" r:id="rId1404" xr:uid="{00000000-0004-0000-0000-00007B050000}"/>
    <hyperlink ref="A1407" r:id="rId1405" xr:uid="{00000000-0004-0000-0000-00007C050000}"/>
    <hyperlink ref="A1408" r:id="rId1406" xr:uid="{00000000-0004-0000-0000-00007D050000}"/>
    <hyperlink ref="A1409" r:id="rId1407" xr:uid="{00000000-0004-0000-0000-00007E050000}"/>
    <hyperlink ref="A1410" r:id="rId1408" xr:uid="{00000000-0004-0000-0000-00007F050000}"/>
    <hyperlink ref="A1411" r:id="rId1409" xr:uid="{00000000-0004-0000-0000-000080050000}"/>
    <hyperlink ref="A1412" r:id="rId1410" xr:uid="{00000000-0004-0000-0000-000081050000}"/>
    <hyperlink ref="A1413" r:id="rId1411" xr:uid="{00000000-0004-0000-0000-000082050000}"/>
    <hyperlink ref="A1414" r:id="rId1412" xr:uid="{00000000-0004-0000-0000-000083050000}"/>
    <hyperlink ref="A1415" r:id="rId1413" xr:uid="{00000000-0004-0000-0000-000084050000}"/>
    <hyperlink ref="A1416" r:id="rId1414" xr:uid="{00000000-0004-0000-0000-000085050000}"/>
    <hyperlink ref="A1417" r:id="rId1415" xr:uid="{00000000-0004-0000-0000-000086050000}"/>
    <hyperlink ref="A1418" r:id="rId1416" xr:uid="{00000000-0004-0000-0000-000087050000}"/>
    <hyperlink ref="A1419" r:id="rId1417" xr:uid="{00000000-0004-0000-0000-000088050000}"/>
    <hyperlink ref="A1420" r:id="rId1418" xr:uid="{00000000-0004-0000-0000-000089050000}"/>
    <hyperlink ref="A1421" r:id="rId1419" xr:uid="{00000000-0004-0000-0000-00008A050000}"/>
    <hyperlink ref="A1422" r:id="rId1420" xr:uid="{00000000-0004-0000-0000-00008B050000}"/>
    <hyperlink ref="A1423" r:id="rId1421" xr:uid="{00000000-0004-0000-0000-00008C050000}"/>
    <hyperlink ref="A1424" r:id="rId1422" xr:uid="{00000000-0004-0000-0000-00008D050000}"/>
    <hyperlink ref="A1425" r:id="rId1423" xr:uid="{00000000-0004-0000-0000-00008E050000}"/>
    <hyperlink ref="A1426" r:id="rId1424" xr:uid="{00000000-0004-0000-0000-00008F050000}"/>
    <hyperlink ref="A1427" r:id="rId1425" xr:uid="{00000000-0004-0000-0000-000090050000}"/>
    <hyperlink ref="A1428" r:id="rId1426" xr:uid="{00000000-0004-0000-0000-000091050000}"/>
    <hyperlink ref="A1429" r:id="rId1427" xr:uid="{00000000-0004-0000-0000-000092050000}"/>
    <hyperlink ref="A1430" r:id="rId1428" xr:uid="{00000000-0004-0000-0000-000093050000}"/>
    <hyperlink ref="A1431" r:id="rId1429" xr:uid="{00000000-0004-0000-0000-000094050000}"/>
    <hyperlink ref="A1432" r:id="rId1430" xr:uid="{00000000-0004-0000-0000-000095050000}"/>
    <hyperlink ref="A1433" r:id="rId1431" xr:uid="{00000000-0004-0000-0000-000096050000}"/>
    <hyperlink ref="A1434" r:id="rId1432" xr:uid="{00000000-0004-0000-0000-000097050000}"/>
    <hyperlink ref="A1435" r:id="rId1433" xr:uid="{00000000-0004-0000-0000-000098050000}"/>
    <hyperlink ref="A1436" r:id="rId1434" xr:uid="{00000000-0004-0000-0000-000099050000}"/>
    <hyperlink ref="A1437" r:id="rId1435" xr:uid="{00000000-0004-0000-0000-00009A050000}"/>
    <hyperlink ref="A1438" r:id="rId1436" xr:uid="{00000000-0004-0000-0000-00009B050000}"/>
    <hyperlink ref="A1439" r:id="rId1437" xr:uid="{00000000-0004-0000-0000-00009C050000}"/>
    <hyperlink ref="A1440" r:id="rId1438" xr:uid="{00000000-0004-0000-0000-00009D050000}"/>
    <hyperlink ref="A1441" r:id="rId1439" xr:uid="{00000000-0004-0000-0000-00009E050000}"/>
    <hyperlink ref="A1442" r:id="rId1440" xr:uid="{00000000-0004-0000-0000-00009F050000}"/>
    <hyperlink ref="A1443" r:id="rId1441" xr:uid="{00000000-0004-0000-0000-0000A0050000}"/>
    <hyperlink ref="A1444" r:id="rId1442" xr:uid="{00000000-0004-0000-0000-0000A1050000}"/>
    <hyperlink ref="A1445" r:id="rId1443" xr:uid="{00000000-0004-0000-0000-0000A2050000}"/>
    <hyperlink ref="A1446" r:id="rId1444" xr:uid="{00000000-0004-0000-0000-0000A3050000}"/>
    <hyperlink ref="A1447" r:id="rId1445" xr:uid="{00000000-0004-0000-0000-0000A4050000}"/>
    <hyperlink ref="A1448" r:id="rId1446" xr:uid="{00000000-0004-0000-0000-0000A5050000}"/>
    <hyperlink ref="A1449" r:id="rId1447" xr:uid="{00000000-0004-0000-0000-0000A6050000}"/>
    <hyperlink ref="A1450" r:id="rId1448" xr:uid="{00000000-0004-0000-0000-0000A7050000}"/>
    <hyperlink ref="A1451" r:id="rId1449" xr:uid="{00000000-0004-0000-0000-0000A8050000}"/>
    <hyperlink ref="A1452" r:id="rId1450" xr:uid="{00000000-0004-0000-0000-0000A9050000}"/>
    <hyperlink ref="A1453" r:id="rId1451" xr:uid="{00000000-0004-0000-0000-0000AA050000}"/>
    <hyperlink ref="A1454" r:id="rId1452" xr:uid="{00000000-0004-0000-0000-0000AB050000}"/>
    <hyperlink ref="A1455" r:id="rId1453" xr:uid="{00000000-0004-0000-0000-0000AC050000}"/>
    <hyperlink ref="A1456" r:id="rId1454" xr:uid="{00000000-0004-0000-0000-0000AD050000}"/>
    <hyperlink ref="A1457" r:id="rId1455" xr:uid="{00000000-0004-0000-0000-0000AE050000}"/>
    <hyperlink ref="A1458" r:id="rId1456" xr:uid="{00000000-0004-0000-0000-0000AF050000}"/>
    <hyperlink ref="A1459" r:id="rId1457" xr:uid="{00000000-0004-0000-0000-0000B0050000}"/>
    <hyperlink ref="A1460" r:id="rId1458" xr:uid="{00000000-0004-0000-0000-0000B1050000}"/>
    <hyperlink ref="A1461" r:id="rId1459" xr:uid="{00000000-0004-0000-0000-0000B2050000}"/>
    <hyperlink ref="A1462" r:id="rId1460" xr:uid="{00000000-0004-0000-0000-0000B3050000}"/>
    <hyperlink ref="A1463" r:id="rId1461" xr:uid="{00000000-0004-0000-0000-0000B4050000}"/>
    <hyperlink ref="A1464" r:id="rId1462" xr:uid="{00000000-0004-0000-0000-0000B5050000}"/>
    <hyperlink ref="A1465" r:id="rId1463" xr:uid="{00000000-0004-0000-0000-0000B6050000}"/>
    <hyperlink ref="A1466" r:id="rId1464" xr:uid="{00000000-0004-0000-0000-0000B7050000}"/>
    <hyperlink ref="A1467" r:id="rId1465" xr:uid="{00000000-0004-0000-0000-0000B8050000}"/>
    <hyperlink ref="A1468" r:id="rId1466" xr:uid="{00000000-0004-0000-0000-0000B9050000}"/>
    <hyperlink ref="A1469" r:id="rId1467" xr:uid="{00000000-0004-0000-0000-0000BA050000}"/>
    <hyperlink ref="A1470" r:id="rId1468" xr:uid="{00000000-0004-0000-0000-0000BB050000}"/>
    <hyperlink ref="A1471" r:id="rId1469" xr:uid="{00000000-0004-0000-0000-0000BC050000}"/>
    <hyperlink ref="A1472" r:id="rId1470" xr:uid="{00000000-0004-0000-0000-0000BD050000}"/>
    <hyperlink ref="A1473" r:id="rId1471" xr:uid="{00000000-0004-0000-0000-0000BE050000}"/>
    <hyperlink ref="A1474" r:id="rId1472" xr:uid="{00000000-0004-0000-0000-0000BF050000}"/>
    <hyperlink ref="A1475" r:id="rId1473" xr:uid="{00000000-0004-0000-0000-0000C0050000}"/>
    <hyperlink ref="A1476" r:id="rId1474" xr:uid="{00000000-0004-0000-0000-0000C1050000}"/>
    <hyperlink ref="A1477" r:id="rId1475" xr:uid="{00000000-0004-0000-0000-0000C2050000}"/>
    <hyperlink ref="A1478" r:id="rId1476" xr:uid="{00000000-0004-0000-0000-0000C3050000}"/>
    <hyperlink ref="A1479" r:id="rId1477" xr:uid="{00000000-0004-0000-0000-0000C4050000}"/>
    <hyperlink ref="A1480" r:id="rId1478" xr:uid="{00000000-0004-0000-0000-0000C5050000}"/>
    <hyperlink ref="A1481" r:id="rId1479" xr:uid="{00000000-0004-0000-0000-0000C6050000}"/>
    <hyperlink ref="A1482" r:id="rId1480" xr:uid="{00000000-0004-0000-0000-0000C7050000}"/>
    <hyperlink ref="A1483" r:id="rId1481" xr:uid="{00000000-0004-0000-0000-0000C8050000}"/>
    <hyperlink ref="A1484" r:id="rId1482" xr:uid="{00000000-0004-0000-0000-0000C9050000}"/>
    <hyperlink ref="A1485" r:id="rId1483" xr:uid="{00000000-0004-0000-0000-0000CA050000}"/>
    <hyperlink ref="A1486" r:id="rId1484" xr:uid="{00000000-0004-0000-0000-0000CB050000}"/>
    <hyperlink ref="A1487" r:id="rId1485" xr:uid="{00000000-0004-0000-0000-0000CC050000}"/>
    <hyperlink ref="A1488" r:id="rId1486" xr:uid="{00000000-0004-0000-0000-0000CD050000}"/>
    <hyperlink ref="A1489" r:id="rId1487" xr:uid="{00000000-0004-0000-0000-0000CE050000}"/>
    <hyperlink ref="A1490" r:id="rId1488" xr:uid="{00000000-0004-0000-0000-0000CF050000}"/>
    <hyperlink ref="A1491" r:id="rId1489" xr:uid="{00000000-0004-0000-0000-0000D0050000}"/>
    <hyperlink ref="A1492" r:id="rId1490" xr:uid="{00000000-0004-0000-0000-0000D1050000}"/>
    <hyperlink ref="A1493" r:id="rId1491" xr:uid="{00000000-0004-0000-0000-0000D2050000}"/>
    <hyperlink ref="A1494" r:id="rId1492" xr:uid="{00000000-0004-0000-0000-0000D3050000}"/>
    <hyperlink ref="A1495" r:id="rId1493" xr:uid="{00000000-0004-0000-0000-0000D4050000}"/>
    <hyperlink ref="A1496" r:id="rId1494" xr:uid="{00000000-0004-0000-0000-0000D5050000}"/>
    <hyperlink ref="A1497" r:id="rId1495" xr:uid="{00000000-0004-0000-0000-0000D6050000}"/>
    <hyperlink ref="A1498" r:id="rId1496" xr:uid="{00000000-0004-0000-0000-0000D7050000}"/>
    <hyperlink ref="A1499" r:id="rId1497" xr:uid="{00000000-0004-0000-0000-0000D8050000}"/>
    <hyperlink ref="A1500" r:id="rId1498" xr:uid="{00000000-0004-0000-0000-0000D9050000}"/>
    <hyperlink ref="A1501" r:id="rId1499" xr:uid="{00000000-0004-0000-0000-0000DA050000}"/>
    <hyperlink ref="A1502" r:id="rId1500" xr:uid="{00000000-0004-0000-0000-0000DB050000}"/>
    <hyperlink ref="A1503" r:id="rId1501" xr:uid="{00000000-0004-0000-0000-0000DC050000}"/>
    <hyperlink ref="A1504" r:id="rId1502" xr:uid="{00000000-0004-0000-0000-0000DD050000}"/>
    <hyperlink ref="A1505" r:id="rId1503" xr:uid="{00000000-0004-0000-0000-0000DE050000}"/>
    <hyperlink ref="A1506" r:id="rId1504" xr:uid="{00000000-0004-0000-0000-0000DF050000}"/>
    <hyperlink ref="A1507" r:id="rId1505" xr:uid="{00000000-0004-0000-0000-0000E0050000}"/>
    <hyperlink ref="A1508" r:id="rId1506" xr:uid="{00000000-0004-0000-0000-0000E1050000}"/>
    <hyperlink ref="A1509" r:id="rId1507" xr:uid="{00000000-0004-0000-0000-0000E2050000}"/>
    <hyperlink ref="A1510" r:id="rId1508" xr:uid="{00000000-0004-0000-0000-0000E3050000}"/>
    <hyperlink ref="A1511" r:id="rId1509" xr:uid="{00000000-0004-0000-0000-0000E4050000}"/>
    <hyperlink ref="A1512" r:id="rId1510" xr:uid="{00000000-0004-0000-0000-0000E5050000}"/>
    <hyperlink ref="A1513" r:id="rId1511" xr:uid="{00000000-0004-0000-0000-0000E6050000}"/>
    <hyperlink ref="A1514" r:id="rId1512" xr:uid="{00000000-0004-0000-0000-0000E7050000}"/>
    <hyperlink ref="A1515" r:id="rId1513" xr:uid="{00000000-0004-0000-0000-0000E8050000}"/>
    <hyperlink ref="A1516" r:id="rId1514" xr:uid="{00000000-0004-0000-0000-0000E9050000}"/>
    <hyperlink ref="A1517" r:id="rId1515" xr:uid="{00000000-0004-0000-0000-0000EA050000}"/>
    <hyperlink ref="A1518" r:id="rId1516" xr:uid="{00000000-0004-0000-0000-0000EB050000}"/>
    <hyperlink ref="A1519" r:id="rId1517" xr:uid="{00000000-0004-0000-0000-0000EC050000}"/>
    <hyperlink ref="A1520" r:id="rId1518" xr:uid="{00000000-0004-0000-0000-0000ED050000}"/>
    <hyperlink ref="A1521" r:id="rId1519" xr:uid="{00000000-0004-0000-0000-0000EE050000}"/>
    <hyperlink ref="A1522" r:id="rId1520" xr:uid="{00000000-0004-0000-0000-0000EF050000}"/>
    <hyperlink ref="A1523" r:id="rId1521" xr:uid="{00000000-0004-0000-0000-0000F0050000}"/>
    <hyperlink ref="A1524" r:id="rId1522" xr:uid="{00000000-0004-0000-0000-0000F1050000}"/>
    <hyperlink ref="A1525" r:id="rId1523" xr:uid="{00000000-0004-0000-0000-0000F2050000}"/>
    <hyperlink ref="A1526" r:id="rId1524" xr:uid="{00000000-0004-0000-0000-0000F3050000}"/>
    <hyperlink ref="A1527" r:id="rId1525" xr:uid="{00000000-0004-0000-0000-0000F4050000}"/>
    <hyperlink ref="A1528" r:id="rId1526" xr:uid="{00000000-0004-0000-0000-0000F5050000}"/>
    <hyperlink ref="A1529" r:id="rId1527" xr:uid="{00000000-0004-0000-0000-0000F6050000}"/>
    <hyperlink ref="A1530" r:id="rId1528" xr:uid="{00000000-0004-0000-0000-0000F7050000}"/>
    <hyperlink ref="A1531" r:id="rId1529" xr:uid="{00000000-0004-0000-0000-0000F8050000}"/>
    <hyperlink ref="A1532" r:id="rId1530" xr:uid="{00000000-0004-0000-0000-0000F9050000}"/>
    <hyperlink ref="A1533" r:id="rId1531" xr:uid="{00000000-0004-0000-0000-0000FA050000}"/>
    <hyperlink ref="A1534" r:id="rId1532" xr:uid="{00000000-0004-0000-0000-0000FB050000}"/>
    <hyperlink ref="A1535" r:id="rId1533" xr:uid="{00000000-0004-0000-0000-0000FC050000}"/>
    <hyperlink ref="A1536" r:id="rId1534" xr:uid="{00000000-0004-0000-0000-0000FD050000}"/>
    <hyperlink ref="A1537" r:id="rId1535" xr:uid="{00000000-0004-0000-0000-0000FE050000}"/>
    <hyperlink ref="A1538" r:id="rId1536" xr:uid="{00000000-0004-0000-0000-0000FF050000}"/>
    <hyperlink ref="A1539" r:id="rId1537" xr:uid="{00000000-0004-0000-0000-000000060000}"/>
    <hyperlink ref="A1540" r:id="rId1538" xr:uid="{00000000-0004-0000-0000-000001060000}"/>
    <hyperlink ref="A1541" r:id="rId1539" xr:uid="{00000000-0004-0000-0000-000002060000}"/>
    <hyperlink ref="A1542" r:id="rId1540" xr:uid="{00000000-0004-0000-0000-000003060000}"/>
    <hyperlink ref="A1543" r:id="rId1541" xr:uid="{00000000-0004-0000-0000-000004060000}"/>
    <hyperlink ref="A1544" r:id="rId1542" xr:uid="{00000000-0004-0000-0000-000005060000}"/>
    <hyperlink ref="A1545" r:id="rId1543" xr:uid="{00000000-0004-0000-0000-000006060000}"/>
    <hyperlink ref="A1546" r:id="rId1544" xr:uid="{00000000-0004-0000-0000-000007060000}"/>
    <hyperlink ref="A1547" r:id="rId1545" xr:uid="{00000000-0004-0000-0000-000008060000}"/>
    <hyperlink ref="A1548" r:id="rId1546" xr:uid="{00000000-0004-0000-0000-000009060000}"/>
    <hyperlink ref="A1549" r:id="rId1547" xr:uid="{00000000-0004-0000-0000-00000A060000}"/>
    <hyperlink ref="A1550" r:id="rId1548" xr:uid="{00000000-0004-0000-0000-00000B060000}"/>
    <hyperlink ref="A1551" r:id="rId1549" xr:uid="{00000000-0004-0000-0000-00000C060000}"/>
    <hyperlink ref="A1552" r:id="rId1550" xr:uid="{00000000-0004-0000-0000-00000D060000}"/>
    <hyperlink ref="A1553" r:id="rId1551" xr:uid="{00000000-0004-0000-0000-00000E060000}"/>
    <hyperlink ref="A1554" r:id="rId1552" xr:uid="{00000000-0004-0000-0000-00000F060000}"/>
    <hyperlink ref="A1555" r:id="rId1553" xr:uid="{00000000-0004-0000-0000-000010060000}"/>
    <hyperlink ref="A1556" r:id="rId1554" xr:uid="{00000000-0004-0000-0000-000011060000}"/>
    <hyperlink ref="A1557" r:id="rId1555" xr:uid="{00000000-0004-0000-0000-000012060000}"/>
    <hyperlink ref="A1558" r:id="rId1556" xr:uid="{00000000-0004-0000-0000-000013060000}"/>
    <hyperlink ref="A1559" r:id="rId1557" xr:uid="{00000000-0004-0000-0000-000014060000}"/>
    <hyperlink ref="A1560" r:id="rId1558" xr:uid="{00000000-0004-0000-0000-000015060000}"/>
    <hyperlink ref="A1561" r:id="rId1559" xr:uid="{00000000-0004-0000-0000-000016060000}"/>
    <hyperlink ref="A1562" r:id="rId1560" xr:uid="{00000000-0004-0000-0000-000017060000}"/>
    <hyperlink ref="A1563" r:id="rId1561" xr:uid="{00000000-0004-0000-0000-000018060000}"/>
    <hyperlink ref="A1564" r:id="rId1562" xr:uid="{00000000-0004-0000-0000-000019060000}"/>
    <hyperlink ref="A1565" r:id="rId1563" xr:uid="{00000000-0004-0000-0000-00001A060000}"/>
    <hyperlink ref="A1566" r:id="rId1564" xr:uid="{00000000-0004-0000-0000-00001B060000}"/>
    <hyperlink ref="A1567" r:id="rId1565" xr:uid="{00000000-0004-0000-0000-00001C060000}"/>
    <hyperlink ref="A1568" r:id="rId1566" xr:uid="{00000000-0004-0000-0000-00001D060000}"/>
    <hyperlink ref="A1569" r:id="rId1567" xr:uid="{00000000-0004-0000-0000-00001E060000}"/>
    <hyperlink ref="A1570" r:id="rId1568" xr:uid="{00000000-0004-0000-0000-00001F060000}"/>
    <hyperlink ref="A1571" r:id="rId1569" xr:uid="{00000000-0004-0000-0000-000020060000}"/>
    <hyperlink ref="A1572" r:id="rId1570" xr:uid="{00000000-0004-0000-0000-000021060000}"/>
    <hyperlink ref="A1573" r:id="rId1571" xr:uid="{00000000-0004-0000-0000-000022060000}"/>
    <hyperlink ref="A1574" r:id="rId1572" xr:uid="{00000000-0004-0000-0000-000023060000}"/>
    <hyperlink ref="A1575" r:id="rId1573" xr:uid="{00000000-0004-0000-0000-000024060000}"/>
    <hyperlink ref="A1576" r:id="rId1574" xr:uid="{00000000-0004-0000-0000-000025060000}"/>
    <hyperlink ref="A1577" r:id="rId1575" xr:uid="{00000000-0004-0000-0000-000026060000}"/>
    <hyperlink ref="A1578" r:id="rId1576" xr:uid="{00000000-0004-0000-0000-000027060000}"/>
    <hyperlink ref="A1579" r:id="rId1577" xr:uid="{00000000-0004-0000-0000-000028060000}"/>
    <hyperlink ref="A1580" r:id="rId1578" xr:uid="{00000000-0004-0000-0000-000029060000}"/>
    <hyperlink ref="A1581" r:id="rId1579" xr:uid="{00000000-0004-0000-0000-00002A060000}"/>
    <hyperlink ref="A1582" r:id="rId1580" xr:uid="{00000000-0004-0000-0000-00002B060000}"/>
    <hyperlink ref="A1583" r:id="rId1581" xr:uid="{00000000-0004-0000-0000-00002C060000}"/>
    <hyperlink ref="A1584" r:id="rId1582" xr:uid="{00000000-0004-0000-0000-00002D060000}"/>
    <hyperlink ref="A1585" r:id="rId1583" xr:uid="{00000000-0004-0000-0000-00002E060000}"/>
    <hyperlink ref="A1586" r:id="rId1584" xr:uid="{00000000-0004-0000-0000-00002F060000}"/>
    <hyperlink ref="A1587" r:id="rId1585" xr:uid="{00000000-0004-0000-0000-000030060000}"/>
    <hyperlink ref="A1588" r:id="rId1586" xr:uid="{00000000-0004-0000-0000-000031060000}"/>
    <hyperlink ref="A1589" r:id="rId1587" xr:uid="{00000000-0004-0000-0000-000032060000}"/>
    <hyperlink ref="A1590" r:id="rId1588" xr:uid="{00000000-0004-0000-0000-000033060000}"/>
    <hyperlink ref="A1591" r:id="rId1589" xr:uid="{00000000-0004-0000-0000-000034060000}"/>
    <hyperlink ref="A1592" r:id="rId1590" xr:uid="{00000000-0004-0000-0000-000035060000}"/>
    <hyperlink ref="A1593" r:id="rId1591" xr:uid="{00000000-0004-0000-0000-000036060000}"/>
    <hyperlink ref="A1594" r:id="rId1592" xr:uid="{00000000-0004-0000-0000-000037060000}"/>
    <hyperlink ref="A1595" r:id="rId1593" xr:uid="{00000000-0004-0000-0000-000038060000}"/>
    <hyperlink ref="A1596" r:id="rId1594" xr:uid="{00000000-0004-0000-0000-000039060000}"/>
    <hyperlink ref="A1597" r:id="rId1595" xr:uid="{00000000-0004-0000-0000-00003A060000}"/>
    <hyperlink ref="A1598" r:id="rId1596" xr:uid="{00000000-0004-0000-0000-00003B060000}"/>
    <hyperlink ref="A1599" r:id="rId1597" xr:uid="{00000000-0004-0000-0000-00003C060000}"/>
    <hyperlink ref="A1600" r:id="rId1598" xr:uid="{00000000-0004-0000-0000-00003D060000}"/>
    <hyperlink ref="A1601" r:id="rId1599" xr:uid="{00000000-0004-0000-0000-00003E060000}"/>
    <hyperlink ref="A1602" r:id="rId1600" xr:uid="{00000000-0004-0000-0000-00003F060000}"/>
    <hyperlink ref="A1603" r:id="rId1601" xr:uid="{00000000-0004-0000-0000-000040060000}"/>
    <hyperlink ref="A1604" r:id="rId1602" xr:uid="{00000000-0004-0000-0000-000041060000}"/>
    <hyperlink ref="A1605" r:id="rId1603" xr:uid="{00000000-0004-0000-0000-000042060000}"/>
    <hyperlink ref="A1606" r:id="rId1604" xr:uid="{00000000-0004-0000-0000-000043060000}"/>
    <hyperlink ref="A1607" r:id="rId1605" xr:uid="{00000000-0004-0000-0000-000044060000}"/>
    <hyperlink ref="A1608" r:id="rId1606" xr:uid="{00000000-0004-0000-0000-000045060000}"/>
    <hyperlink ref="A1609" r:id="rId1607" xr:uid="{00000000-0004-0000-0000-000046060000}"/>
    <hyperlink ref="A1610" r:id="rId1608" xr:uid="{00000000-0004-0000-0000-000047060000}"/>
    <hyperlink ref="A1611" r:id="rId1609" xr:uid="{00000000-0004-0000-0000-000048060000}"/>
    <hyperlink ref="A1612" r:id="rId1610" xr:uid="{00000000-0004-0000-0000-000049060000}"/>
    <hyperlink ref="A1613" r:id="rId1611" xr:uid="{00000000-0004-0000-0000-00004A060000}"/>
    <hyperlink ref="A1614" r:id="rId1612" xr:uid="{00000000-0004-0000-0000-00004B060000}"/>
    <hyperlink ref="A1615" r:id="rId1613" xr:uid="{00000000-0004-0000-0000-00004C060000}"/>
    <hyperlink ref="A1616" r:id="rId1614" xr:uid="{00000000-0004-0000-0000-00004D060000}"/>
    <hyperlink ref="A1617" r:id="rId1615" xr:uid="{00000000-0004-0000-0000-00004E060000}"/>
    <hyperlink ref="A1618" r:id="rId1616" xr:uid="{00000000-0004-0000-0000-00004F060000}"/>
    <hyperlink ref="A1619" r:id="rId1617" xr:uid="{00000000-0004-0000-0000-000050060000}"/>
    <hyperlink ref="A1620" r:id="rId1618" xr:uid="{00000000-0004-0000-0000-000051060000}"/>
    <hyperlink ref="A1621" r:id="rId1619" xr:uid="{00000000-0004-0000-0000-000052060000}"/>
    <hyperlink ref="A1622" r:id="rId1620" xr:uid="{00000000-0004-0000-0000-000053060000}"/>
    <hyperlink ref="A1623" r:id="rId1621" xr:uid="{00000000-0004-0000-0000-000054060000}"/>
    <hyperlink ref="A1624" r:id="rId1622" xr:uid="{00000000-0004-0000-0000-000055060000}"/>
    <hyperlink ref="A1625" r:id="rId1623" xr:uid="{00000000-0004-0000-0000-000056060000}"/>
    <hyperlink ref="A1626" r:id="rId1624" xr:uid="{00000000-0004-0000-0000-000057060000}"/>
    <hyperlink ref="A1627" r:id="rId1625" xr:uid="{00000000-0004-0000-0000-000058060000}"/>
    <hyperlink ref="A1628" r:id="rId1626" xr:uid="{00000000-0004-0000-0000-000059060000}"/>
    <hyperlink ref="A1629" r:id="rId1627" xr:uid="{00000000-0004-0000-0000-00005A060000}"/>
    <hyperlink ref="A1630" r:id="rId1628" xr:uid="{00000000-0004-0000-0000-00005B060000}"/>
    <hyperlink ref="A1631" r:id="rId1629" xr:uid="{00000000-0004-0000-0000-00005C060000}"/>
    <hyperlink ref="A1632" r:id="rId1630" xr:uid="{00000000-0004-0000-0000-00005D060000}"/>
    <hyperlink ref="A1633" r:id="rId1631" xr:uid="{00000000-0004-0000-0000-00005E060000}"/>
    <hyperlink ref="A1634" r:id="rId1632" xr:uid="{00000000-0004-0000-0000-00005F060000}"/>
    <hyperlink ref="A1635" r:id="rId1633" xr:uid="{00000000-0004-0000-0000-000060060000}"/>
    <hyperlink ref="A1636" r:id="rId1634" xr:uid="{00000000-0004-0000-0000-000061060000}"/>
    <hyperlink ref="A1637" r:id="rId1635" xr:uid="{00000000-0004-0000-0000-000062060000}"/>
    <hyperlink ref="A1638" r:id="rId1636" xr:uid="{00000000-0004-0000-0000-000063060000}"/>
    <hyperlink ref="A1639" r:id="rId1637" xr:uid="{00000000-0004-0000-0000-000064060000}"/>
    <hyperlink ref="A1640" r:id="rId1638" xr:uid="{00000000-0004-0000-0000-000065060000}"/>
    <hyperlink ref="A1641" r:id="rId1639" xr:uid="{00000000-0004-0000-0000-000066060000}"/>
    <hyperlink ref="A1642" r:id="rId1640" xr:uid="{00000000-0004-0000-0000-000067060000}"/>
    <hyperlink ref="A1643" r:id="rId1641" xr:uid="{00000000-0004-0000-0000-000068060000}"/>
    <hyperlink ref="A1644" r:id="rId1642" xr:uid="{00000000-0004-0000-0000-000069060000}"/>
    <hyperlink ref="A1645" r:id="rId1643" xr:uid="{00000000-0004-0000-0000-00006A060000}"/>
    <hyperlink ref="A1646" r:id="rId1644" xr:uid="{00000000-0004-0000-0000-00006B060000}"/>
    <hyperlink ref="A1647" r:id="rId1645" xr:uid="{00000000-0004-0000-0000-00006C060000}"/>
    <hyperlink ref="A1648" r:id="rId1646" xr:uid="{00000000-0004-0000-0000-00006D060000}"/>
    <hyperlink ref="A1649" r:id="rId1647" xr:uid="{00000000-0004-0000-0000-00006E060000}"/>
    <hyperlink ref="A1650" r:id="rId1648" xr:uid="{00000000-0004-0000-0000-00006F060000}"/>
    <hyperlink ref="A1651" r:id="rId1649" xr:uid="{00000000-0004-0000-0000-000070060000}"/>
    <hyperlink ref="A1652" r:id="rId1650" xr:uid="{00000000-0004-0000-0000-000071060000}"/>
    <hyperlink ref="A1653" r:id="rId1651" xr:uid="{00000000-0004-0000-0000-000072060000}"/>
    <hyperlink ref="A1654" r:id="rId1652" xr:uid="{00000000-0004-0000-0000-000073060000}"/>
    <hyperlink ref="A1655" r:id="rId1653" xr:uid="{00000000-0004-0000-0000-000074060000}"/>
    <hyperlink ref="A1656" r:id="rId1654" xr:uid="{00000000-0004-0000-0000-000075060000}"/>
    <hyperlink ref="A1657" r:id="rId1655" xr:uid="{00000000-0004-0000-0000-000076060000}"/>
    <hyperlink ref="A1658" r:id="rId1656" xr:uid="{00000000-0004-0000-0000-000077060000}"/>
    <hyperlink ref="A1659" r:id="rId1657" xr:uid="{00000000-0004-0000-0000-000078060000}"/>
    <hyperlink ref="A1660" r:id="rId1658" xr:uid="{00000000-0004-0000-0000-000079060000}"/>
    <hyperlink ref="A1661" r:id="rId1659" xr:uid="{00000000-0004-0000-0000-00007A060000}"/>
    <hyperlink ref="A1662" r:id="rId1660" xr:uid="{00000000-0004-0000-0000-00007B060000}"/>
    <hyperlink ref="A1663" r:id="rId1661" xr:uid="{00000000-0004-0000-0000-00007C060000}"/>
    <hyperlink ref="A1664" r:id="rId1662" xr:uid="{00000000-0004-0000-0000-00007D060000}"/>
    <hyperlink ref="A1665" r:id="rId1663" xr:uid="{00000000-0004-0000-0000-00007E060000}"/>
    <hyperlink ref="A1666" r:id="rId1664" xr:uid="{00000000-0004-0000-0000-00007F060000}"/>
    <hyperlink ref="A1667" r:id="rId1665" xr:uid="{00000000-0004-0000-0000-000080060000}"/>
    <hyperlink ref="A1668" r:id="rId1666" xr:uid="{00000000-0004-0000-0000-000081060000}"/>
    <hyperlink ref="A1669" r:id="rId1667" xr:uid="{00000000-0004-0000-0000-000082060000}"/>
    <hyperlink ref="A1670" r:id="rId1668" xr:uid="{00000000-0004-0000-0000-000083060000}"/>
    <hyperlink ref="A1671" r:id="rId1669" xr:uid="{00000000-0004-0000-0000-000084060000}"/>
    <hyperlink ref="A1672" r:id="rId1670" xr:uid="{00000000-0004-0000-0000-000085060000}"/>
    <hyperlink ref="A1673" r:id="rId1671" xr:uid="{00000000-0004-0000-0000-000086060000}"/>
    <hyperlink ref="A1674" r:id="rId1672" xr:uid="{00000000-0004-0000-0000-000087060000}"/>
    <hyperlink ref="A1675" r:id="rId1673" xr:uid="{00000000-0004-0000-0000-000088060000}"/>
    <hyperlink ref="A1676" r:id="rId1674" xr:uid="{00000000-0004-0000-0000-000089060000}"/>
    <hyperlink ref="A1677" r:id="rId1675" xr:uid="{00000000-0004-0000-0000-00008A060000}"/>
    <hyperlink ref="A1678" r:id="rId1676" xr:uid="{00000000-0004-0000-0000-00008B060000}"/>
    <hyperlink ref="A1679" r:id="rId1677" xr:uid="{00000000-0004-0000-0000-00008C060000}"/>
    <hyperlink ref="A1680" r:id="rId1678" xr:uid="{00000000-0004-0000-0000-00008D060000}"/>
    <hyperlink ref="A1681" r:id="rId1679" xr:uid="{00000000-0004-0000-0000-00008E060000}"/>
    <hyperlink ref="A1682" r:id="rId1680" xr:uid="{00000000-0004-0000-0000-00008F060000}"/>
    <hyperlink ref="A1683" r:id="rId1681" xr:uid="{00000000-0004-0000-0000-000090060000}"/>
    <hyperlink ref="A1684" r:id="rId1682" xr:uid="{00000000-0004-0000-0000-000091060000}"/>
    <hyperlink ref="A1685" r:id="rId1683" xr:uid="{00000000-0004-0000-0000-000092060000}"/>
    <hyperlink ref="A1686" r:id="rId1684" xr:uid="{00000000-0004-0000-0000-000093060000}"/>
    <hyperlink ref="A1687" r:id="rId1685" xr:uid="{00000000-0004-0000-0000-000094060000}"/>
    <hyperlink ref="A1688" r:id="rId1686" xr:uid="{00000000-0004-0000-0000-000095060000}"/>
    <hyperlink ref="A1689" r:id="rId1687" xr:uid="{00000000-0004-0000-0000-000096060000}"/>
    <hyperlink ref="A1690" r:id="rId1688" xr:uid="{00000000-0004-0000-0000-000097060000}"/>
    <hyperlink ref="A1691" r:id="rId1689" xr:uid="{00000000-0004-0000-0000-000098060000}"/>
    <hyperlink ref="A1692" r:id="rId1690" xr:uid="{00000000-0004-0000-0000-000099060000}"/>
    <hyperlink ref="A1693" r:id="rId1691" xr:uid="{00000000-0004-0000-0000-00009A060000}"/>
    <hyperlink ref="A1694" r:id="rId1692" xr:uid="{00000000-0004-0000-0000-00009B060000}"/>
    <hyperlink ref="A1695" r:id="rId1693" xr:uid="{00000000-0004-0000-0000-00009C060000}"/>
    <hyperlink ref="A1696" r:id="rId1694" xr:uid="{00000000-0004-0000-0000-00009D060000}"/>
    <hyperlink ref="A1697" r:id="rId1695" xr:uid="{00000000-0004-0000-0000-00009E060000}"/>
    <hyperlink ref="A1698" r:id="rId1696" xr:uid="{00000000-0004-0000-0000-00009F060000}"/>
    <hyperlink ref="A1699" r:id="rId1697" xr:uid="{00000000-0004-0000-0000-0000A0060000}"/>
    <hyperlink ref="A1700" r:id="rId1698" xr:uid="{00000000-0004-0000-0000-0000A1060000}"/>
    <hyperlink ref="A1701" r:id="rId1699" xr:uid="{00000000-0004-0000-0000-0000A2060000}"/>
    <hyperlink ref="A1702" r:id="rId1700" xr:uid="{00000000-0004-0000-0000-0000A3060000}"/>
    <hyperlink ref="A1703" r:id="rId1701" xr:uid="{00000000-0004-0000-0000-0000A4060000}"/>
    <hyperlink ref="A1704" r:id="rId1702" xr:uid="{00000000-0004-0000-0000-0000A5060000}"/>
    <hyperlink ref="A1705" r:id="rId1703" xr:uid="{00000000-0004-0000-0000-0000A6060000}"/>
    <hyperlink ref="A1706" r:id="rId1704" xr:uid="{00000000-0004-0000-0000-0000A7060000}"/>
    <hyperlink ref="A1707" r:id="rId1705" xr:uid="{00000000-0004-0000-0000-0000A8060000}"/>
    <hyperlink ref="A1708" r:id="rId1706" xr:uid="{00000000-0004-0000-0000-0000A9060000}"/>
    <hyperlink ref="A1709" r:id="rId1707" xr:uid="{00000000-0004-0000-0000-0000AA060000}"/>
    <hyperlink ref="A1710" r:id="rId1708" xr:uid="{00000000-0004-0000-0000-0000AB060000}"/>
    <hyperlink ref="A1711" r:id="rId1709" xr:uid="{00000000-0004-0000-0000-0000AC060000}"/>
    <hyperlink ref="A1712" r:id="rId1710" xr:uid="{00000000-0004-0000-0000-0000AD060000}"/>
    <hyperlink ref="A1713" r:id="rId1711" xr:uid="{00000000-0004-0000-0000-0000AE060000}"/>
    <hyperlink ref="A1714" r:id="rId1712" xr:uid="{00000000-0004-0000-0000-0000AF060000}"/>
    <hyperlink ref="A1715" r:id="rId1713" xr:uid="{00000000-0004-0000-0000-0000B0060000}"/>
    <hyperlink ref="A1716" r:id="rId1714" xr:uid="{00000000-0004-0000-0000-0000B1060000}"/>
    <hyperlink ref="A1717" r:id="rId1715" xr:uid="{00000000-0004-0000-0000-0000B2060000}"/>
    <hyperlink ref="A1718" r:id="rId1716" xr:uid="{00000000-0004-0000-0000-0000B3060000}"/>
    <hyperlink ref="A1719" r:id="rId1717" xr:uid="{00000000-0004-0000-0000-0000B4060000}"/>
    <hyperlink ref="A1720" r:id="rId1718" xr:uid="{00000000-0004-0000-0000-0000B5060000}"/>
    <hyperlink ref="A1721" r:id="rId1719" xr:uid="{00000000-0004-0000-0000-0000B6060000}"/>
    <hyperlink ref="A1722" r:id="rId1720" xr:uid="{00000000-0004-0000-0000-0000B7060000}"/>
    <hyperlink ref="A1723" r:id="rId1721" xr:uid="{00000000-0004-0000-0000-0000B8060000}"/>
    <hyperlink ref="A1724" r:id="rId1722" xr:uid="{00000000-0004-0000-0000-0000B9060000}"/>
    <hyperlink ref="A1725" r:id="rId1723" xr:uid="{00000000-0004-0000-0000-0000BA060000}"/>
    <hyperlink ref="A1726" r:id="rId1724" xr:uid="{00000000-0004-0000-0000-0000BB060000}"/>
    <hyperlink ref="A1727" r:id="rId1725" xr:uid="{00000000-0004-0000-0000-0000BC060000}"/>
    <hyperlink ref="A1728" r:id="rId1726" xr:uid="{00000000-0004-0000-0000-0000BD060000}"/>
    <hyperlink ref="A1729" r:id="rId1727" xr:uid="{00000000-0004-0000-0000-0000BE060000}"/>
    <hyperlink ref="A1730" r:id="rId1728" xr:uid="{00000000-0004-0000-0000-0000BF060000}"/>
    <hyperlink ref="A1731" r:id="rId1729" xr:uid="{00000000-0004-0000-0000-0000C0060000}"/>
    <hyperlink ref="A1732" r:id="rId1730" xr:uid="{00000000-0004-0000-0000-0000C1060000}"/>
    <hyperlink ref="A1733" r:id="rId1731" xr:uid="{00000000-0004-0000-0000-0000C2060000}"/>
    <hyperlink ref="A1734" r:id="rId1732" xr:uid="{00000000-0004-0000-0000-0000C3060000}"/>
    <hyperlink ref="A1735" r:id="rId1733" xr:uid="{00000000-0004-0000-0000-0000C4060000}"/>
    <hyperlink ref="A1736" r:id="rId1734" xr:uid="{00000000-0004-0000-0000-0000C5060000}"/>
    <hyperlink ref="A1737" r:id="rId1735" xr:uid="{00000000-0004-0000-0000-0000C6060000}"/>
    <hyperlink ref="A1738" r:id="rId1736" xr:uid="{00000000-0004-0000-0000-0000C7060000}"/>
    <hyperlink ref="A1739" r:id="rId1737" xr:uid="{00000000-0004-0000-0000-0000C8060000}"/>
    <hyperlink ref="A1740" r:id="rId1738" xr:uid="{00000000-0004-0000-0000-0000C9060000}"/>
    <hyperlink ref="A1741" r:id="rId1739" xr:uid="{00000000-0004-0000-0000-0000CA060000}"/>
    <hyperlink ref="A1742" r:id="rId1740" xr:uid="{00000000-0004-0000-0000-0000CB060000}"/>
    <hyperlink ref="A1743" r:id="rId1741" xr:uid="{00000000-0004-0000-0000-0000CC060000}"/>
    <hyperlink ref="A1744" r:id="rId1742" xr:uid="{00000000-0004-0000-0000-0000CD060000}"/>
    <hyperlink ref="A1745" r:id="rId1743" xr:uid="{00000000-0004-0000-0000-0000CE060000}"/>
    <hyperlink ref="A1746" r:id="rId1744" xr:uid="{00000000-0004-0000-0000-0000CF060000}"/>
    <hyperlink ref="A1747" r:id="rId1745" xr:uid="{00000000-0004-0000-0000-0000D0060000}"/>
    <hyperlink ref="A1748" r:id="rId1746" xr:uid="{00000000-0004-0000-0000-0000D1060000}"/>
    <hyperlink ref="A1749" r:id="rId1747" xr:uid="{00000000-0004-0000-0000-0000D2060000}"/>
    <hyperlink ref="A1750" r:id="rId1748" xr:uid="{00000000-0004-0000-0000-0000D3060000}"/>
    <hyperlink ref="A1751" r:id="rId1749" xr:uid="{00000000-0004-0000-0000-0000D4060000}"/>
    <hyperlink ref="A1752" r:id="rId1750" xr:uid="{00000000-0004-0000-0000-0000D5060000}"/>
    <hyperlink ref="A1753" r:id="rId1751" xr:uid="{00000000-0004-0000-0000-0000D6060000}"/>
    <hyperlink ref="A1754" r:id="rId1752" xr:uid="{00000000-0004-0000-0000-0000D7060000}"/>
    <hyperlink ref="A1755" r:id="rId1753" xr:uid="{00000000-0004-0000-0000-0000D8060000}"/>
    <hyperlink ref="A1756" r:id="rId1754" xr:uid="{00000000-0004-0000-0000-0000D9060000}"/>
    <hyperlink ref="A1757" r:id="rId1755" xr:uid="{00000000-0004-0000-0000-0000DA060000}"/>
    <hyperlink ref="A1758" r:id="rId1756" xr:uid="{00000000-0004-0000-0000-0000DB060000}"/>
    <hyperlink ref="A1759" r:id="rId1757" xr:uid="{00000000-0004-0000-0000-0000DC060000}"/>
    <hyperlink ref="A1760" r:id="rId1758" xr:uid="{00000000-0004-0000-0000-0000DD060000}"/>
    <hyperlink ref="A1761" r:id="rId1759" xr:uid="{00000000-0004-0000-0000-0000DE060000}"/>
    <hyperlink ref="A1762" r:id="rId1760" xr:uid="{00000000-0004-0000-0000-0000DF060000}"/>
    <hyperlink ref="A1763" r:id="rId1761" xr:uid="{00000000-0004-0000-0000-0000E0060000}"/>
    <hyperlink ref="A1764" r:id="rId1762" xr:uid="{00000000-0004-0000-0000-0000E1060000}"/>
    <hyperlink ref="A1765" r:id="rId1763" xr:uid="{00000000-0004-0000-0000-0000E2060000}"/>
    <hyperlink ref="A1766" r:id="rId1764" xr:uid="{00000000-0004-0000-0000-0000E3060000}"/>
    <hyperlink ref="A1767" r:id="rId1765" xr:uid="{00000000-0004-0000-0000-0000E4060000}"/>
    <hyperlink ref="A1768" r:id="rId1766" xr:uid="{00000000-0004-0000-0000-0000E5060000}"/>
    <hyperlink ref="A1769" r:id="rId1767" xr:uid="{00000000-0004-0000-0000-0000E6060000}"/>
    <hyperlink ref="A1770" r:id="rId1768" xr:uid="{00000000-0004-0000-0000-0000E7060000}"/>
    <hyperlink ref="A1771" r:id="rId1769" xr:uid="{00000000-0004-0000-0000-0000E8060000}"/>
    <hyperlink ref="A1772" r:id="rId1770" xr:uid="{00000000-0004-0000-0000-0000E9060000}"/>
    <hyperlink ref="A1773" r:id="rId1771" xr:uid="{00000000-0004-0000-0000-0000EA060000}"/>
    <hyperlink ref="A1774" r:id="rId1772" xr:uid="{00000000-0004-0000-0000-0000EB060000}"/>
    <hyperlink ref="A1775" r:id="rId1773" xr:uid="{00000000-0004-0000-0000-0000EC060000}"/>
    <hyperlink ref="A1776" r:id="rId1774" xr:uid="{00000000-0004-0000-0000-0000ED060000}"/>
    <hyperlink ref="A1777" r:id="rId1775" xr:uid="{00000000-0004-0000-0000-0000EE060000}"/>
    <hyperlink ref="A1778" r:id="rId1776" xr:uid="{00000000-0004-0000-0000-0000EF060000}"/>
    <hyperlink ref="A1779" r:id="rId1777" xr:uid="{00000000-0004-0000-0000-0000F0060000}"/>
    <hyperlink ref="A1780" r:id="rId1778" xr:uid="{00000000-0004-0000-0000-0000F1060000}"/>
    <hyperlink ref="A1781" r:id="rId1779" xr:uid="{00000000-0004-0000-0000-0000F2060000}"/>
    <hyperlink ref="A1782" r:id="rId1780" xr:uid="{00000000-0004-0000-0000-0000F3060000}"/>
    <hyperlink ref="A1783" r:id="rId1781" xr:uid="{00000000-0004-0000-0000-0000F4060000}"/>
    <hyperlink ref="A1784" r:id="rId1782" xr:uid="{00000000-0004-0000-0000-0000F5060000}"/>
    <hyperlink ref="A1785" r:id="rId1783" xr:uid="{00000000-0004-0000-0000-0000F6060000}"/>
    <hyperlink ref="A1786" r:id="rId1784" xr:uid="{00000000-0004-0000-0000-0000F7060000}"/>
    <hyperlink ref="A1787" r:id="rId1785" xr:uid="{00000000-0004-0000-0000-0000F8060000}"/>
    <hyperlink ref="A1788" r:id="rId1786" xr:uid="{00000000-0004-0000-0000-0000F9060000}"/>
    <hyperlink ref="A1789" r:id="rId1787" xr:uid="{00000000-0004-0000-0000-0000FA060000}"/>
    <hyperlink ref="A1790" r:id="rId1788" xr:uid="{00000000-0004-0000-0000-0000FB060000}"/>
    <hyperlink ref="A1791" r:id="rId1789" xr:uid="{00000000-0004-0000-0000-0000FC060000}"/>
    <hyperlink ref="A1792" r:id="rId1790" xr:uid="{00000000-0004-0000-0000-0000FD060000}"/>
    <hyperlink ref="A1793" r:id="rId1791" xr:uid="{00000000-0004-0000-0000-0000FE060000}"/>
    <hyperlink ref="A1794" r:id="rId1792" xr:uid="{00000000-0004-0000-0000-0000FF060000}"/>
    <hyperlink ref="A1795" r:id="rId1793" xr:uid="{00000000-0004-0000-0000-000000070000}"/>
    <hyperlink ref="A1796" r:id="rId1794" xr:uid="{00000000-0004-0000-0000-000001070000}"/>
    <hyperlink ref="A1797" r:id="rId1795" xr:uid="{00000000-0004-0000-0000-000002070000}"/>
    <hyperlink ref="A1798" r:id="rId1796" xr:uid="{00000000-0004-0000-0000-000003070000}"/>
    <hyperlink ref="A1799" r:id="rId1797" xr:uid="{00000000-0004-0000-0000-000004070000}"/>
    <hyperlink ref="A1800" r:id="rId1798" xr:uid="{00000000-0004-0000-0000-000005070000}"/>
    <hyperlink ref="A1801" r:id="rId1799" xr:uid="{00000000-0004-0000-0000-000006070000}"/>
    <hyperlink ref="A1802" r:id="rId1800" xr:uid="{00000000-0004-0000-0000-000007070000}"/>
    <hyperlink ref="A1803" r:id="rId1801" xr:uid="{00000000-0004-0000-0000-000008070000}"/>
    <hyperlink ref="A1804" r:id="rId1802" xr:uid="{00000000-0004-0000-0000-000009070000}"/>
    <hyperlink ref="A1805" r:id="rId1803" xr:uid="{00000000-0004-0000-0000-00000A070000}"/>
    <hyperlink ref="A1806" r:id="rId1804" xr:uid="{00000000-0004-0000-0000-00000B070000}"/>
    <hyperlink ref="A1807" r:id="rId1805" xr:uid="{00000000-0004-0000-0000-00000C070000}"/>
    <hyperlink ref="A1808" r:id="rId1806" xr:uid="{00000000-0004-0000-0000-00000D070000}"/>
    <hyperlink ref="A1809" r:id="rId1807" xr:uid="{00000000-0004-0000-0000-00000E070000}"/>
    <hyperlink ref="A1810" r:id="rId1808" xr:uid="{00000000-0004-0000-0000-00000F070000}"/>
    <hyperlink ref="A1811" r:id="rId1809" xr:uid="{00000000-0004-0000-0000-000010070000}"/>
    <hyperlink ref="A1812" r:id="rId1810" xr:uid="{00000000-0004-0000-0000-000011070000}"/>
    <hyperlink ref="A1813" r:id="rId1811" xr:uid="{00000000-0004-0000-0000-000012070000}"/>
    <hyperlink ref="A1814" r:id="rId1812" xr:uid="{00000000-0004-0000-0000-000013070000}"/>
    <hyperlink ref="A1815" r:id="rId1813" xr:uid="{00000000-0004-0000-0000-000014070000}"/>
    <hyperlink ref="A1816" r:id="rId1814" xr:uid="{00000000-0004-0000-0000-000015070000}"/>
    <hyperlink ref="A1817" r:id="rId1815" xr:uid="{00000000-0004-0000-0000-000016070000}"/>
    <hyperlink ref="A1818" r:id="rId1816" xr:uid="{00000000-0004-0000-0000-000017070000}"/>
    <hyperlink ref="A1819" r:id="rId1817" xr:uid="{00000000-0004-0000-0000-000018070000}"/>
    <hyperlink ref="A1820" r:id="rId1818" xr:uid="{00000000-0004-0000-0000-000019070000}"/>
    <hyperlink ref="A1821" r:id="rId1819" xr:uid="{00000000-0004-0000-0000-00001A070000}"/>
    <hyperlink ref="A1822" r:id="rId1820" xr:uid="{00000000-0004-0000-0000-00001B070000}"/>
    <hyperlink ref="A1823" r:id="rId1821" xr:uid="{00000000-0004-0000-0000-00001C070000}"/>
    <hyperlink ref="A1824" r:id="rId1822" xr:uid="{00000000-0004-0000-0000-00001D070000}"/>
    <hyperlink ref="A1825" r:id="rId1823" xr:uid="{00000000-0004-0000-0000-00001E070000}"/>
    <hyperlink ref="A1826" r:id="rId1824" xr:uid="{00000000-0004-0000-0000-00001F070000}"/>
    <hyperlink ref="A1827" r:id="rId1825" xr:uid="{00000000-0004-0000-0000-000020070000}"/>
    <hyperlink ref="A1828" r:id="rId1826" xr:uid="{00000000-0004-0000-0000-000021070000}"/>
    <hyperlink ref="A1829" r:id="rId1827" xr:uid="{00000000-0004-0000-0000-000022070000}"/>
    <hyperlink ref="A1830" r:id="rId1828" xr:uid="{00000000-0004-0000-0000-000023070000}"/>
    <hyperlink ref="A1831" r:id="rId1829" xr:uid="{00000000-0004-0000-0000-000024070000}"/>
    <hyperlink ref="A1832" r:id="rId1830" xr:uid="{00000000-0004-0000-0000-000025070000}"/>
    <hyperlink ref="A1833" r:id="rId1831" xr:uid="{00000000-0004-0000-0000-000026070000}"/>
    <hyperlink ref="A1834" r:id="rId1832" xr:uid="{00000000-0004-0000-0000-000027070000}"/>
    <hyperlink ref="A1835" r:id="rId1833" xr:uid="{00000000-0004-0000-0000-000028070000}"/>
    <hyperlink ref="A1836" r:id="rId1834" xr:uid="{00000000-0004-0000-0000-000029070000}"/>
    <hyperlink ref="A1837" r:id="rId1835" xr:uid="{00000000-0004-0000-0000-00002A070000}"/>
    <hyperlink ref="A1838" r:id="rId1836" xr:uid="{00000000-0004-0000-0000-00002B070000}"/>
    <hyperlink ref="A1839" r:id="rId1837" xr:uid="{00000000-0004-0000-0000-00002C070000}"/>
    <hyperlink ref="A1840" r:id="rId1838" xr:uid="{00000000-0004-0000-0000-00002D070000}"/>
    <hyperlink ref="A1841" r:id="rId1839" xr:uid="{00000000-0004-0000-0000-00002E070000}"/>
    <hyperlink ref="A1842" r:id="rId1840" xr:uid="{00000000-0004-0000-0000-00002F070000}"/>
    <hyperlink ref="A1843" r:id="rId1841" xr:uid="{00000000-0004-0000-0000-000030070000}"/>
    <hyperlink ref="A1844" r:id="rId1842" xr:uid="{00000000-0004-0000-0000-000031070000}"/>
    <hyperlink ref="A1845" r:id="rId1843" xr:uid="{00000000-0004-0000-0000-000032070000}"/>
    <hyperlink ref="A1846" r:id="rId1844" xr:uid="{00000000-0004-0000-0000-000033070000}"/>
    <hyperlink ref="A1847" r:id="rId1845" xr:uid="{00000000-0004-0000-0000-000034070000}"/>
    <hyperlink ref="A1848" r:id="rId1846" xr:uid="{00000000-0004-0000-0000-000035070000}"/>
    <hyperlink ref="A1849" r:id="rId1847" xr:uid="{00000000-0004-0000-0000-000036070000}"/>
    <hyperlink ref="A1850" r:id="rId1848" xr:uid="{00000000-0004-0000-0000-000037070000}"/>
    <hyperlink ref="A1851" r:id="rId1849" xr:uid="{00000000-0004-0000-0000-000038070000}"/>
    <hyperlink ref="A1852" r:id="rId1850" xr:uid="{00000000-0004-0000-0000-000039070000}"/>
    <hyperlink ref="A1853" r:id="rId1851" xr:uid="{00000000-0004-0000-0000-00003A070000}"/>
    <hyperlink ref="A1854" r:id="rId1852" xr:uid="{00000000-0004-0000-0000-00003B070000}"/>
    <hyperlink ref="A1855" r:id="rId1853" xr:uid="{00000000-0004-0000-0000-00003C070000}"/>
    <hyperlink ref="A1856" r:id="rId1854" xr:uid="{00000000-0004-0000-0000-00003D070000}"/>
    <hyperlink ref="A1857" r:id="rId1855" xr:uid="{00000000-0004-0000-0000-00003E070000}"/>
    <hyperlink ref="A1858" r:id="rId1856" xr:uid="{00000000-0004-0000-0000-00003F070000}"/>
    <hyperlink ref="A1859" r:id="rId1857" xr:uid="{00000000-0004-0000-0000-000040070000}"/>
    <hyperlink ref="A1860" r:id="rId1858" xr:uid="{00000000-0004-0000-0000-000041070000}"/>
    <hyperlink ref="A1861" r:id="rId1859" xr:uid="{00000000-0004-0000-0000-000042070000}"/>
    <hyperlink ref="A1862" r:id="rId1860" xr:uid="{00000000-0004-0000-0000-000043070000}"/>
    <hyperlink ref="A1863" r:id="rId1861" xr:uid="{00000000-0004-0000-0000-000044070000}"/>
    <hyperlink ref="A1864" r:id="rId1862" xr:uid="{00000000-0004-0000-0000-000045070000}"/>
    <hyperlink ref="A1865" r:id="rId1863" xr:uid="{00000000-0004-0000-0000-000046070000}"/>
    <hyperlink ref="A1866" r:id="rId1864" xr:uid="{00000000-0004-0000-0000-000047070000}"/>
    <hyperlink ref="A1867" r:id="rId1865" xr:uid="{00000000-0004-0000-0000-000048070000}"/>
    <hyperlink ref="A1868" r:id="rId1866" xr:uid="{00000000-0004-0000-0000-000049070000}"/>
    <hyperlink ref="A1869" r:id="rId1867" xr:uid="{00000000-0004-0000-0000-00004A070000}"/>
    <hyperlink ref="A1870" r:id="rId1868" xr:uid="{00000000-0004-0000-0000-00004B070000}"/>
    <hyperlink ref="A1871" r:id="rId1869" xr:uid="{00000000-0004-0000-0000-00004C070000}"/>
    <hyperlink ref="A1872" r:id="rId1870" xr:uid="{00000000-0004-0000-0000-00004D070000}"/>
    <hyperlink ref="A1873" r:id="rId1871" xr:uid="{00000000-0004-0000-0000-00004E070000}"/>
    <hyperlink ref="A1874" r:id="rId1872" xr:uid="{00000000-0004-0000-0000-00004F070000}"/>
    <hyperlink ref="A1875" r:id="rId1873" xr:uid="{00000000-0004-0000-0000-000050070000}"/>
    <hyperlink ref="A1876" r:id="rId1874" xr:uid="{00000000-0004-0000-0000-000051070000}"/>
    <hyperlink ref="A1877" r:id="rId1875" xr:uid="{00000000-0004-0000-0000-000052070000}"/>
    <hyperlink ref="A1878" r:id="rId1876" xr:uid="{00000000-0004-0000-0000-000053070000}"/>
    <hyperlink ref="A1879" r:id="rId1877" xr:uid="{00000000-0004-0000-0000-000054070000}"/>
    <hyperlink ref="A1880" r:id="rId1878" xr:uid="{00000000-0004-0000-0000-000055070000}"/>
    <hyperlink ref="A1881" r:id="rId1879" xr:uid="{00000000-0004-0000-0000-000056070000}"/>
    <hyperlink ref="A1882" r:id="rId1880" xr:uid="{00000000-0004-0000-0000-000057070000}"/>
    <hyperlink ref="A1883" r:id="rId1881" xr:uid="{00000000-0004-0000-0000-000058070000}"/>
    <hyperlink ref="A1884" r:id="rId1882" xr:uid="{00000000-0004-0000-0000-000059070000}"/>
    <hyperlink ref="A1885" r:id="rId1883" xr:uid="{00000000-0004-0000-0000-00005A070000}"/>
    <hyperlink ref="A1886" r:id="rId1884" xr:uid="{00000000-0004-0000-0000-00005B070000}"/>
    <hyperlink ref="A1887" r:id="rId1885" xr:uid="{00000000-0004-0000-0000-00005C070000}"/>
    <hyperlink ref="A1888" r:id="rId1886" xr:uid="{00000000-0004-0000-0000-00005D070000}"/>
    <hyperlink ref="A1889" r:id="rId1887" xr:uid="{00000000-0004-0000-0000-00005E070000}"/>
    <hyperlink ref="A1890" r:id="rId1888" xr:uid="{00000000-0004-0000-0000-00005F070000}"/>
    <hyperlink ref="A1891" r:id="rId1889" xr:uid="{00000000-0004-0000-0000-000060070000}"/>
    <hyperlink ref="A1892" r:id="rId1890" xr:uid="{00000000-0004-0000-0000-000061070000}"/>
    <hyperlink ref="A1893" r:id="rId1891" xr:uid="{00000000-0004-0000-0000-000062070000}"/>
    <hyperlink ref="A1894" r:id="rId1892" xr:uid="{00000000-0004-0000-0000-000063070000}"/>
    <hyperlink ref="A1895" r:id="rId1893" xr:uid="{00000000-0004-0000-0000-000064070000}"/>
    <hyperlink ref="A1896" r:id="rId1894" xr:uid="{00000000-0004-0000-0000-000065070000}"/>
    <hyperlink ref="A1897" r:id="rId1895" xr:uid="{00000000-0004-0000-0000-000066070000}"/>
    <hyperlink ref="A1898" r:id="rId1896" xr:uid="{00000000-0004-0000-0000-000067070000}"/>
    <hyperlink ref="A1899" r:id="rId1897" xr:uid="{00000000-0004-0000-0000-000068070000}"/>
    <hyperlink ref="A1900" r:id="rId1898" xr:uid="{00000000-0004-0000-0000-000069070000}"/>
    <hyperlink ref="A1901" r:id="rId1899" xr:uid="{00000000-0004-0000-0000-00006A070000}"/>
    <hyperlink ref="A1902" r:id="rId1900" xr:uid="{00000000-0004-0000-0000-00006B070000}"/>
    <hyperlink ref="A1903" r:id="rId1901" xr:uid="{00000000-0004-0000-0000-00006C070000}"/>
    <hyperlink ref="A1904" r:id="rId1902" xr:uid="{00000000-0004-0000-0000-00006D070000}"/>
    <hyperlink ref="A1905" r:id="rId1903" xr:uid="{00000000-0004-0000-0000-00006E070000}"/>
    <hyperlink ref="A1906" r:id="rId1904" xr:uid="{00000000-0004-0000-0000-00006F070000}"/>
    <hyperlink ref="A1907" r:id="rId1905" xr:uid="{00000000-0004-0000-0000-000070070000}"/>
    <hyperlink ref="A1908" r:id="rId1906" xr:uid="{00000000-0004-0000-0000-000071070000}"/>
    <hyperlink ref="A1909" r:id="rId1907" xr:uid="{00000000-0004-0000-0000-000072070000}"/>
    <hyperlink ref="A1910" r:id="rId1908" xr:uid="{00000000-0004-0000-0000-000073070000}"/>
    <hyperlink ref="A1911" r:id="rId1909" xr:uid="{00000000-0004-0000-0000-000074070000}"/>
    <hyperlink ref="A1912" r:id="rId1910" xr:uid="{00000000-0004-0000-0000-000075070000}"/>
    <hyperlink ref="A1913" r:id="rId1911" xr:uid="{00000000-0004-0000-0000-000076070000}"/>
    <hyperlink ref="A1914" r:id="rId1912" xr:uid="{00000000-0004-0000-0000-000077070000}"/>
    <hyperlink ref="A1915" r:id="rId1913" xr:uid="{00000000-0004-0000-0000-000078070000}"/>
    <hyperlink ref="A1916" r:id="rId1914" xr:uid="{00000000-0004-0000-0000-000079070000}"/>
    <hyperlink ref="A1917" r:id="rId1915" xr:uid="{00000000-0004-0000-0000-00007A070000}"/>
    <hyperlink ref="A1918" r:id="rId1916" xr:uid="{00000000-0004-0000-0000-00007B070000}"/>
    <hyperlink ref="A1919" r:id="rId1917" xr:uid="{00000000-0004-0000-0000-00007C070000}"/>
    <hyperlink ref="A1920" r:id="rId1918" xr:uid="{00000000-0004-0000-0000-00007D070000}"/>
    <hyperlink ref="A1921" r:id="rId1919" xr:uid="{00000000-0004-0000-0000-00007E070000}"/>
    <hyperlink ref="A1922" r:id="rId1920" xr:uid="{00000000-0004-0000-0000-00007F070000}"/>
    <hyperlink ref="A1923" r:id="rId1921" xr:uid="{00000000-0004-0000-0000-000080070000}"/>
    <hyperlink ref="A1924" r:id="rId1922" xr:uid="{00000000-0004-0000-0000-000081070000}"/>
    <hyperlink ref="A1925" r:id="rId1923" xr:uid="{00000000-0004-0000-0000-000082070000}"/>
    <hyperlink ref="A1926" r:id="rId1924" xr:uid="{00000000-0004-0000-0000-000083070000}"/>
    <hyperlink ref="A1927" r:id="rId1925" xr:uid="{00000000-0004-0000-0000-000084070000}"/>
    <hyperlink ref="A1928" r:id="rId1926" xr:uid="{00000000-0004-0000-0000-000085070000}"/>
    <hyperlink ref="A1929" r:id="rId1927" xr:uid="{00000000-0004-0000-0000-000086070000}"/>
    <hyperlink ref="A1930" r:id="rId1928" xr:uid="{00000000-0004-0000-0000-000087070000}"/>
    <hyperlink ref="A1931" r:id="rId1929" xr:uid="{00000000-0004-0000-0000-000088070000}"/>
    <hyperlink ref="A1932" r:id="rId1930" xr:uid="{00000000-0004-0000-0000-000089070000}"/>
    <hyperlink ref="A1933" r:id="rId1931" xr:uid="{00000000-0004-0000-0000-00008A070000}"/>
    <hyperlink ref="A1934" r:id="rId1932" xr:uid="{00000000-0004-0000-0000-00008B070000}"/>
    <hyperlink ref="A1935" r:id="rId1933" xr:uid="{00000000-0004-0000-0000-00008C070000}"/>
    <hyperlink ref="A1936" r:id="rId1934" xr:uid="{00000000-0004-0000-0000-00008D070000}"/>
    <hyperlink ref="A1937" r:id="rId1935" xr:uid="{00000000-0004-0000-0000-00008E070000}"/>
    <hyperlink ref="A1938" r:id="rId1936" xr:uid="{00000000-0004-0000-0000-00008F070000}"/>
    <hyperlink ref="A1939" r:id="rId1937" xr:uid="{00000000-0004-0000-0000-000090070000}"/>
    <hyperlink ref="A1940" r:id="rId1938" xr:uid="{00000000-0004-0000-0000-000091070000}"/>
    <hyperlink ref="A1941" r:id="rId1939" xr:uid="{00000000-0004-0000-0000-000092070000}"/>
    <hyperlink ref="A1942" r:id="rId1940" xr:uid="{00000000-0004-0000-0000-000093070000}"/>
    <hyperlink ref="A1943" r:id="rId1941" xr:uid="{00000000-0004-0000-0000-000094070000}"/>
    <hyperlink ref="A1944" r:id="rId1942" xr:uid="{00000000-0004-0000-0000-000095070000}"/>
    <hyperlink ref="A1945" r:id="rId1943" xr:uid="{00000000-0004-0000-0000-000096070000}"/>
    <hyperlink ref="A1946" r:id="rId1944" xr:uid="{00000000-0004-0000-0000-000097070000}"/>
    <hyperlink ref="A1947" r:id="rId1945" xr:uid="{00000000-0004-0000-0000-000098070000}"/>
    <hyperlink ref="A1948" r:id="rId1946" xr:uid="{00000000-0004-0000-0000-000099070000}"/>
    <hyperlink ref="A1949" r:id="rId1947" xr:uid="{00000000-0004-0000-0000-00009A070000}"/>
    <hyperlink ref="A1950" r:id="rId1948" xr:uid="{00000000-0004-0000-0000-00009B070000}"/>
    <hyperlink ref="A1951" r:id="rId1949" xr:uid="{00000000-0004-0000-0000-00009C070000}"/>
    <hyperlink ref="A1952" r:id="rId1950" xr:uid="{00000000-0004-0000-0000-00009D070000}"/>
    <hyperlink ref="A1953" r:id="rId1951" xr:uid="{00000000-0004-0000-0000-00009E070000}"/>
    <hyperlink ref="A1954" r:id="rId1952" xr:uid="{00000000-0004-0000-0000-00009F070000}"/>
    <hyperlink ref="A1955" r:id="rId1953" xr:uid="{00000000-0004-0000-0000-0000A0070000}"/>
    <hyperlink ref="A1956" r:id="rId1954" xr:uid="{00000000-0004-0000-0000-0000A1070000}"/>
    <hyperlink ref="A1957" r:id="rId1955" xr:uid="{00000000-0004-0000-0000-0000A2070000}"/>
    <hyperlink ref="A1958" r:id="rId1956" xr:uid="{00000000-0004-0000-0000-0000A3070000}"/>
    <hyperlink ref="A1959" r:id="rId1957" xr:uid="{00000000-0004-0000-0000-0000A4070000}"/>
    <hyperlink ref="A1960" r:id="rId1958" xr:uid="{00000000-0004-0000-0000-0000A5070000}"/>
    <hyperlink ref="A1961" r:id="rId1959" xr:uid="{00000000-0004-0000-0000-0000A6070000}"/>
    <hyperlink ref="A1962" r:id="rId1960" xr:uid="{00000000-0004-0000-0000-0000A7070000}"/>
    <hyperlink ref="A1963" r:id="rId1961" xr:uid="{00000000-0004-0000-0000-0000A8070000}"/>
    <hyperlink ref="A1964" r:id="rId1962" xr:uid="{00000000-0004-0000-0000-0000A9070000}"/>
    <hyperlink ref="A1965" r:id="rId1963" xr:uid="{00000000-0004-0000-0000-0000AA070000}"/>
    <hyperlink ref="A1966" r:id="rId1964" xr:uid="{00000000-0004-0000-0000-0000AB070000}"/>
    <hyperlink ref="A1967" r:id="rId1965" xr:uid="{00000000-0004-0000-0000-0000AC070000}"/>
    <hyperlink ref="A1968" r:id="rId1966" xr:uid="{00000000-0004-0000-0000-0000AD070000}"/>
    <hyperlink ref="A1969" r:id="rId1967" xr:uid="{00000000-0004-0000-0000-0000AE070000}"/>
    <hyperlink ref="A1970" r:id="rId1968" xr:uid="{00000000-0004-0000-0000-0000AF070000}"/>
    <hyperlink ref="A1971" r:id="rId1969" xr:uid="{00000000-0004-0000-0000-0000B0070000}"/>
    <hyperlink ref="A1972" r:id="rId1970" xr:uid="{00000000-0004-0000-0000-0000B1070000}"/>
    <hyperlink ref="A1973" r:id="rId1971" xr:uid="{00000000-0004-0000-0000-0000B2070000}"/>
    <hyperlink ref="A1974" r:id="rId1972" xr:uid="{00000000-0004-0000-0000-0000B3070000}"/>
    <hyperlink ref="A1975" r:id="rId1973" xr:uid="{00000000-0004-0000-0000-0000B4070000}"/>
    <hyperlink ref="A1976" r:id="rId1974" xr:uid="{00000000-0004-0000-0000-0000B5070000}"/>
    <hyperlink ref="A1977" r:id="rId1975" xr:uid="{00000000-0004-0000-0000-0000B6070000}"/>
    <hyperlink ref="A1978" r:id="rId1976" xr:uid="{00000000-0004-0000-0000-0000B7070000}"/>
    <hyperlink ref="A1979" r:id="rId1977" xr:uid="{00000000-0004-0000-0000-0000B8070000}"/>
    <hyperlink ref="A1980" r:id="rId1978" xr:uid="{00000000-0004-0000-0000-0000B9070000}"/>
    <hyperlink ref="A1981" r:id="rId1979" xr:uid="{00000000-0004-0000-0000-0000BA070000}"/>
    <hyperlink ref="A1982" r:id="rId1980" xr:uid="{00000000-0004-0000-0000-0000BB070000}"/>
    <hyperlink ref="A1983" r:id="rId1981" xr:uid="{00000000-0004-0000-0000-0000BC070000}"/>
    <hyperlink ref="A1984" r:id="rId1982" xr:uid="{00000000-0004-0000-0000-0000BD070000}"/>
    <hyperlink ref="A1985" r:id="rId1983" xr:uid="{00000000-0004-0000-0000-0000BE070000}"/>
    <hyperlink ref="A1986" r:id="rId1984" xr:uid="{00000000-0004-0000-0000-0000BF070000}"/>
    <hyperlink ref="A1987" r:id="rId1985" xr:uid="{00000000-0004-0000-0000-0000C0070000}"/>
    <hyperlink ref="A1988" r:id="rId1986" xr:uid="{00000000-0004-0000-0000-0000C1070000}"/>
    <hyperlink ref="A1989" r:id="rId1987" xr:uid="{00000000-0004-0000-0000-0000C2070000}"/>
    <hyperlink ref="A1990" r:id="rId1988" xr:uid="{00000000-0004-0000-0000-0000C3070000}"/>
    <hyperlink ref="A1991" r:id="rId1989" xr:uid="{00000000-0004-0000-0000-0000C4070000}"/>
    <hyperlink ref="A1992" r:id="rId1990" xr:uid="{00000000-0004-0000-0000-0000C5070000}"/>
    <hyperlink ref="A1993" r:id="rId1991" xr:uid="{00000000-0004-0000-0000-0000C6070000}"/>
    <hyperlink ref="A1994" r:id="rId1992" xr:uid="{00000000-0004-0000-0000-0000C7070000}"/>
    <hyperlink ref="A1995" r:id="rId1993" xr:uid="{00000000-0004-0000-0000-0000C8070000}"/>
    <hyperlink ref="A1996" r:id="rId1994" xr:uid="{00000000-0004-0000-0000-0000C9070000}"/>
    <hyperlink ref="A1997" r:id="rId1995" xr:uid="{00000000-0004-0000-0000-0000CA070000}"/>
    <hyperlink ref="A1998" r:id="rId1996" xr:uid="{00000000-0004-0000-0000-0000CB070000}"/>
    <hyperlink ref="A1999" r:id="rId1997" xr:uid="{00000000-0004-0000-0000-0000CC070000}"/>
    <hyperlink ref="A2000" r:id="rId1998" xr:uid="{00000000-0004-0000-0000-0000CD070000}"/>
    <hyperlink ref="A2001" r:id="rId1999" xr:uid="{00000000-0004-0000-0000-0000CE070000}"/>
    <hyperlink ref="A2002" r:id="rId2000" xr:uid="{00000000-0004-0000-0000-0000CF070000}"/>
    <hyperlink ref="A2003" r:id="rId2001" xr:uid="{00000000-0004-0000-0000-0000D0070000}"/>
    <hyperlink ref="A2004" r:id="rId2002" xr:uid="{00000000-0004-0000-0000-0000D1070000}"/>
    <hyperlink ref="A2005" r:id="rId2003" xr:uid="{00000000-0004-0000-0000-0000D2070000}"/>
    <hyperlink ref="A2006" r:id="rId2004" xr:uid="{00000000-0004-0000-0000-0000D3070000}"/>
    <hyperlink ref="A2007" r:id="rId2005" xr:uid="{00000000-0004-0000-0000-0000D4070000}"/>
    <hyperlink ref="A2008" r:id="rId2006" xr:uid="{00000000-0004-0000-0000-0000D5070000}"/>
    <hyperlink ref="A2009" r:id="rId2007" xr:uid="{00000000-0004-0000-0000-0000D6070000}"/>
    <hyperlink ref="A2010" r:id="rId2008" xr:uid="{00000000-0004-0000-0000-0000D7070000}"/>
    <hyperlink ref="A2011" r:id="rId2009" xr:uid="{00000000-0004-0000-0000-0000D8070000}"/>
    <hyperlink ref="A2012" r:id="rId2010" xr:uid="{00000000-0004-0000-0000-0000D9070000}"/>
    <hyperlink ref="A2013" r:id="rId2011" xr:uid="{00000000-0004-0000-0000-0000DA070000}"/>
    <hyperlink ref="A2014" r:id="rId2012" xr:uid="{00000000-0004-0000-0000-0000DB070000}"/>
    <hyperlink ref="A2015" r:id="rId2013" xr:uid="{00000000-0004-0000-0000-0000DC070000}"/>
    <hyperlink ref="A2016" r:id="rId2014" xr:uid="{00000000-0004-0000-0000-0000DD070000}"/>
    <hyperlink ref="A2017" r:id="rId2015" xr:uid="{00000000-0004-0000-0000-0000DE070000}"/>
    <hyperlink ref="A2018" r:id="rId2016" xr:uid="{00000000-0004-0000-0000-0000DF070000}"/>
    <hyperlink ref="A2019" r:id="rId2017" xr:uid="{00000000-0004-0000-0000-0000E0070000}"/>
    <hyperlink ref="A2020" r:id="rId2018" xr:uid="{00000000-0004-0000-0000-0000E1070000}"/>
    <hyperlink ref="A2021" r:id="rId2019" xr:uid="{00000000-0004-0000-0000-0000E2070000}"/>
    <hyperlink ref="A2022" r:id="rId2020" xr:uid="{00000000-0004-0000-0000-0000E3070000}"/>
    <hyperlink ref="A2023" r:id="rId2021" xr:uid="{00000000-0004-0000-0000-0000E4070000}"/>
    <hyperlink ref="A2024" r:id="rId2022" xr:uid="{00000000-0004-0000-0000-0000E5070000}"/>
    <hyperlink ref="A2025" r:id="rId2023" xr:uid="{00000000-0004-0000-0000-0000E6070000}"/>
    <hyperlink ref="A2026" r:id="rId2024" xr:uid="{00000000-0004-0000-0000-0000E7070000}"/>
    <hyperlink ref="A2027" r:id="rId2025" xr:uid="{00000000-0004-0000-0000-0000E8070000}"/>
    <hyperlink ref="A2028" r:id="rId2026" xr:uid="{00000000-0004-0000-0000-0000E9070000}"/>
    <hyperlink ref="A2029" r:id="rId2027" xr:uid="{00000000-0004-0000-0000-0000EA070000}"/>
    <hyperlink ref="A2030" r:id="rId2028" xr:uid="{00000000-0004-0000-0000-0000EB070000}"/>
    <hyperlink ref="A2031" r:id="rId2029" xr:uid="{00000000-0004-0000-0000-0000EC070000}"/>
    <hyperlink ref="A2032" r:id="rId2030" xr:uid="{00000000-0004-0000-0000-0000ED070000}"/>
    <hyperlink ref="A2033" r:id="rId2031" xr:uid="{00000000-0004-0000-0000-0000EE070000}"/>
    <hyperlink ref="A2034" r:id="rId2032" xr:uid="{00000000-0004-0000-0000-0000EF070000}"/>
    <hyperlink ref="A2035" r:id="rId2033" xr:uid="{00000000-0004-0000-0000-0000F0070000}"/>
    <hyperlink ref="A2036" r:id="rId2034" xr:uid="{00000000-0004-0000-0000-0000F1070000}"/>
    <hyperlink ref="A2037" r:id="rId2035" xr:uid="{00000000-0004-0000-0000-0000F2070000}"/>
    <hyperlink ref="A2038" r:id="rId2036" xr:uid="{00000000-0004-0000-0000-0000F3070000}"/>
    <hyperlink ref="A2039" r:id="rId2037" xr:uid="{00000000-0004-0000-0000-0000F4070000}"/>
    <hyperlink ref="A2040" r:id="rId2038" xr:uid="{00000000-0004-0000-0000-0000F5070000}"/>
    <hyperlink ref="A2041" r:id="rId2039" xr:uid="{00000000-0004-0000-0000-0000F6070000}"/>
    <hyperlink ref="A2042" r:id="rId2040" xr:uid="{00000000-0004-0000-0000-0000F7070000}"/>
    <hyperlink ref="A2043" r:id="rId2041" xr:uid="{00000000-0004-0000-0000-0000F8070000}"/>
    <hyperlink ref="A2044" r:id="rId2042" xr:uid="{00000000-0004-0000-0000-0000F9070000}"/>
    <hyperlink ref="A2045" r:id="rId2043" xr:uid="{00000000-0004-0000-0000-0000FA070000}"/>
    <hyperlink ref="A2046" r:id="rId2044" xr:uid="{00000000-0004-0000-0000-0000FB070000}"/>
    <hyperlink ref="A2047" r:id="rId2045" xr:uid="{00000000-0004-0000-0000-0000FC070000}"/>
    <hyperlink ref="A2048" r:id="rId2046" xr:uid="{00000000-0004-0000-0000-0000FD070000}"/>
    <hyperlink ref="A2049" r:id="rId2047" xr:uid="{00000000-0004-0000-0000-0000FE070000}"/>
    <hyperlink ref="A2050" r:id="rId2048" xr:uid="{00000000-0004-0000-0000-0000FF070000}"/>
    <hyperlink ref="A2051" r:id="rId2049" xr:uid="{00000000-0004-0000-0000-000000080000}"/>
    <hyperlink ref="A2052" r:id="rId2050" xr:uid="{00000000-0004-0000-0000-000001080000}"/>
    <hyperlink ref="A2053" r:id="rId2051" xr:uid="{00000000-0004-0000-0000-000002080000}"/>
    <hyperlink ref="A2054" r:id="rId2052" xr:uid="{00000000-0004-0000-0000-000003080000}"/>
    <hyperlink ref="A2055" r:id="rId2053" xr:uid="{00000000-0004-0000-0000-000004080000}"/>
    <hyperlink ref="A2056" r:id="rId2054" xr:uid="{00000000-0004-0000-0000-000005080000}"/>
    <hyperlink ref="A2057" r:id="rId2055" xr:uid="{00000000-0004-0000-0000-000006080000}"/>
    <hyperlink ref="A2058" r:id="rId2056" xr:uid="{00000000-0004-0000-0000-000007080000}"/>
    <hyperlink ref="A2059" r:id="rId2057" xr:uid="{00000000-0004-0000-0000-000008080000}"/>
    <hyperlink ref="A2060" r:id="rId2058" xr:uid="{00000000-0004-0000-0000-000009080000}"/>
    <hyperlink ref="A2061" r:id="rId2059" xr:uid="{00000000-0004-0000-0000-00000A080000}"/>
    <hyperlink ref="A2062" r:id="rId2060" xr:uid="{00000000-0004-0000-0000-00000B080000}"/>
    <hyperlink ref="A2063" r:id="rId2061" xr:uid="{00000000-0004-0000-0000-00000C080000}"/>
    <hyperlink ref="A2064" r:id="rId2062" xr:uid="{00000000-0004-0000-0000-00000D080000}"/>
    <hyperlink ref="A2065" r:id="rId2063" xr:uid="{00000000-0004-0000-0000-00000E080000}"/>
    <hyperlink ref="A2066" r:id="rId2064" xr:uid="{00000000-0004-0000-0000-00000F080000}"/>
    <hyperlink ref="A2067" r:id="rId2065" xr:uid="{00000000-0004-0000-0000-000010080000}"/>
    <hyperlink ref="A2068" r:id="rId2066" xr:uid="{00000000-0004-0000-0000-000011080000}"/>
    <hyperlink ref="A2069" r:id="rId2067" xr:uid="{00000000-0004-0000-0000-000012080000}"/>
    <hyperlink ref="A2070" r:id="rId2068" xr:uid="{00000000-0004-0000-0000-000013080000}"/>
    <hyperlink ref="A2071" r:id="rId2069" xr:uid="{00000000-0004-0000-0000-000014080000}"/>
    <hyperlink ref="A2072" r:id="rId2070" xr:uid="{00000000-0004-0000-0000-000015080000}"/>
    <hyperlink ref="A2073" r:id="rId2071" xr:uid="{00000000-0004-0000-0000-000016080000}"/>
    <hyperlink ref="A2074" r:id="rId2072" xr:uid="{00000000-0004-0000-0000-000017080000}"/>
    <hyperlink ref="A2075" r:id="rId2073" xr:uid="{00000000-0004-0000-0000-000018080000}"/>
    <hyperlink ref="A2076" r:id="rId2074" xr:uid="{00000000-0004-0000-0000-000019080000}"/>
    <hyperlink ref="A2077" r:id="rId2075" xr:uid="{00000000-0004-0000-0000-00001A080000}"/>
    <hyperlink ref="A2078" r:id="rId2076" xr:uid="{00000000-0004-0000-0000-00001B080000}"/>
    <hyperlink ref="A2079" r:id="rId2077" xr:uid="{00000000-0004-0000-0000-00001C080000}"/>
    <hyperlink ref="A2080" r:id="rId2078" xr:uid="{00000000-0004-0000-0000-00001D080000}"/>
    <hyperlink ref="A2081" r:id="rId2079" xr:uid="{00000000-0004-0000-0000-00001E080000}"/>
    <hyperlink ref="A2082" r:id="rId2080" xr:uid="{00000000-0004-0000-0000-00001F080000}"/>
    <hyperlink ref="A2083" r:id="rId2081" xr:uid="{00000000-0004-0000-0000-000020080000}"/>
    <hyperlink ref="A2084" r:id="rId2082" xr:uid="{00000000-0004-0000-0000-000021080000}"/>
    <hyperlink ref="A2085" r:id="rId2083" xr:uid="{00000000-0004-0000-0000-000022080000}"/>
    <hyperlink ref="A2086" r:id="rId2084" xr:uid="{00000000-0004-0000-0000-000023080000}"/>
    <hyperlink ref="A2087" r:id="rId2085" xr:uid="{00000000-0004-0000-0000-000024080000}"/>
    <hyperlink ref="A2088" r:id="rId2086" xr:uid="{00000000-0004-0000-0000-000025080000}"/>
    <hyperlink ref="A2089" r:id="rId2087" xr:uid="{00000000-0004-0000-0000-000026080000}"/>
    <hyperlink ref="A2090" r:id="rId2088" xr:uid="{00000000-0004-0000-0000-000027080000}"/>
    <hyperlink ref="A2091" r:id="rId2089" xr:uid="{00000000-0004-0000-0000-000028080000}"/>
    <hyperlink ref="A2092" r:id="rId2090" xr:uid="{00000000-0004-0000-0000-000029080000}"/>
    <hyperlink ref="A2093" r:id="rId2091" xr:uid="{00000000-0004-0000-0000-00002A080000}"/>
    <hyperlink ref="A2094" r:id="rId2092" xr:uid="{00000000-0004-0000-0000-00002B080000}"/>
    <hyperlink ref="A2095" r:id="rId2093" xr:uid="{00000000-0004-0000-0000-00002C080000}"/>
    <hyperlink ref="A2096" r:id="rId2094" xr:uid="{00000000-0004-0000-0000-00002D080000}"/>
    <hyperlink ref="A2097" r:id="rId2095" xr:uid="{00000000-0004-0000-0000-00002E080000}"/>
    <hyperlink ref="A2098" r:id="rId2096" xr:uid="{00000000-0004-0000-0000-00002F080000}"/>
    <hyperlink ref="A2099" r:id="rId2097" xr:uid="{00000000-0004-0000-0000-000030080000}"/>
    <hyperlink ref="A2100" r:id="rId2098" xr:uid="{00000000-0004-0000-0000-000031080000}"/>
    <hyperlink ref="A2101" r:id="rId2099" xr:uid="{00000000-0004-0000-0000-000032080000}"/>
    <hyperlink ref="A2102" r:id="rId2100" xr:uid="{00000000-0004-0000-0000-000033080000}"/>
    <hyperlink ref="A2103" r:id="rId2101" xr:uid="{00000000-0004-0000-0000-000034080000}"/>
    <hyperlink ref="A2104" r:id="rId2102" xr:uid="{00000000-0004-0000-0000-000035080000}"/>
    <hyperlink ref="A2105" r:id="rId2103" xr:uid="{00000000-0004-0000-0000-000036080000}"/>
    <hyperlink ref="A2106" r:id="rId2104" xr:uid="{00000000-0004-0000-0000-000037080000}"/>
    <hyperlink ref="A2107" r:id="rId2105" xr:uid="{00000000-0004-0000-0000-000038080000}"/>
    <hyperlink ref="A2108" r:id="rId2106" xr:uid="{00000000-0004-0000-0000-000039080000}"/>
    <hyperlink ref="A2109" r:id="rId2107" xr:uid="{00000000-0004-0000-0000-00003A080000}"/>
    <hyperlink ref="A2110" r:id="rId2108" xr:uid="{00000000-0004-0000-0000-00003B080000}"/>
    <hyperlink ref="A2111" r:id="rId2109" xr:uid="{00000000-0004-0000-0000-00003C080000}"/>
    <hyperlink ref="A2112" r:id="rId2110" xr:uid="{00000000-0004-0000-0000-00003D080000}"/>
    <hyperlink ref="A2113" r:id="rId2111" xr:uid="{00000000-0004-0000-0000-00003E080000}"/>
    <hyperlink ref="A2114" r:id="rId2112" xr:uid="{00000000-0004-0000-0000-00003F080000}"/>
    <hyperlink ref="A2115" r:id="rId2113" xr:uid="{00000000-0004-0000-0000-000040080000}"/>
    <hyperlink ref="A2116" r:id="rId2114" xr:uid="{00000000-0004-0000-0000-000041080000}"/>
    <hyperlink ref="A2117" r:id="rId2115" xr:uid="{00000000-0004-0000-0000-000042080000}"/>
    <hyperlink ref="A2118" r:id="rId2116" xr:uid="{00000000-0004-0000-0000-000043080000}"/>
    <hyperlink ref="A2119" r:id="rId2117" xr:uid="{00000000-0004-0000-0000-000044080000}"/>
    <hyperlink ref="A2120" r:id="rId2118" xr:uid="{00000000-0004-0000-0000-000045080000}"/>
    <hyperlink ref="A2121" r:id="rId2119" xr:uid="{00000000-0004-0000-0000-000046080000}"/>
    <hyperlink ref="A2122" r:id="rId2120" xr:uid="{00000000-0004-0000-0000-000047080000}"/>
    <hyperlink ref="A2123" r:id="rId2121" xr:uid="{00000000-0004-0000-0000-000048080000}"/>
    <hyperlink ref="A2124" r:id="rId2122" xr:uid="{00000000-0004-0000-0000-000049080000}"/>
    <hyperlink ref="A2125" r:id="rId2123" xr:uid="{00000000-0004-0000-0000-00004A080000}"/>
    <hyperlink ref="A2126" r:id="rId2124" xr:uid="{00000000-0004-0000-0000-00004B080000}"/>
    <hyperlink ref="A2127" r:id="rId2125" xr:uid="{00000000-0004-0000-0000-00004C080000}"/>
    <hyperlink ref="A2128" r:id="rId2126" xr:uid="{00000000-0004-0000-0000-00004D080000}"/>
    <hyperlink ref="A2129" r:id="rId2127" xr:uid="{00000000-0004-0000-0000-00004E080000}"/>
    <hyperlink ref="A2130" r:id="rId2128" xr:uid="{00000000-0004-0000-0000-00004F080000}"/>
    <hyperlink ref="A2131" r:id="rId2129" xr:uid="{00000000-0004-0000-0000-000050080000}"/>
    <hyperlink ref="A2132" r:id="rId2130" xr:uid="{00000000-0004-0000-0000-000051080000}"/>
    <hyperlink ref="A2133" r:id="rId2131" xr:uid="{00000000-0004-0000-0000-000052080000}"/>
    <hyperlink ref="A2134" r:id="rId2132" xr:uid="{00000000-0004-0000-0000-000053080000}"/>
    <hyperlink ref="A2135" r:id="rId2133" xr:uid="{00000000-0004-0000-0000-000054080000}"/>
    <hyperlink ref="A2136" r:id="rId2134" xr:uid="{00000000-0004-0000-0000-000055080000}"/>
    <hyperlink ref="A2137" r:id="rId2135" xr:uid="{00000000-0004-0000-0000-000056080000}"/>
    <hyperlink ref="A2138" r:id="rId2136" xr:uid="{00000000-0004-0000-0000-000057080000}"/>
    <hyperlink ref="A2139" r:id="rId2137" xr:uid="{00000000-0004-0000-0000-000058080000}"/>
    <hyperlink ref="A2140" r:id="rId2138" xr:uid="{00000000-0004-0000-0000-000059080000}"/>
    <hyperlink ref="A2141" r:id="rId2139" xr:uid="{00000000-0004-0000-0000-00005A080000}"/>
    <hyperlink ref="A2142" r:id="rId2140" xr:uid="{00000000-0004-0000-0000-00005B080000}"/>
    <hyperlink ref="A2143" r:id="rId2141" xr:uid="{00000000-0004-0000-0000-00005C080000}"/>
    <hyperlink ref="A2144" r:id="rId2142" xr:uid="{00000000-0004-0000-0000-00005D080000}"/>
    <hyperlink ref="A2145" r:id="rId2143" xr:uid="{00000000-0004-0000-0000-00005E080000}"/>
    <hyperlink ref="A2146" r:id="rId2144" xr:uid="{00000000-0004-0000-0000-00005F080000}"/>
    <hyperlink ref="A2147" r:id="rId2145" xr:uid="{00000000-0004-0000-0000-000060080000}"/>
    <hyperlink ref="A2148" r:id="rId2146" xr:uid="{00000000-0004-0000-0000-000061080000}"/>
    <hyperlink ref="A2149" r:id="rId2147" xr:uid="{00000000-0004-0000-0000-000062080000}"/>
    <hyperlink ref="A2150" r:id="rId2148" xr:uid="{00000000-0004-0000-0000-000063080000}"/>
    <hyperlink ref="A2151" r:id="rId2149" xr:uid="{00000000-0004-0000-0000-000064080000}"/>
    <hyperlink ref="A2152" r:id="rId2150" xr:uid="{00000000-0004-0000-0000-000065080000}"/>
    <hyperlink ref="A2153" r:id="rId2151" xr:uid="{00000000-0004-0000-0000-000066080000}"/>
    <hyperlink ref="A2154" r:id="rId2152" xr:uid="{00000000-0004-0000-0000-000067080000}"/>
    <hyperlink ref="A2155" r:id="rId2153" xr:uid="{00000000-0004-0000-0000-000068080000}"/>
    <hyperlink ref="A2156" r:id="rId2154" xr:uid="{00000000-0004-0000-0000-000069080000}"/>
    <hyperlink ref="A2157" r:id="rId2155" xr:uid="{00000000-0004-0000-0000-00006A080000}"/>
    <hyperlink ref="A2158" r:id="rId2156" xr:uid="{00000000-0004-0000-0000-00006B080000}"/>
    <hyperlink ref="A2159" r:id="rId2157" xr:uid="{00000000-0004-0000-0000-00006C080000}"/>
    <hyperlink ref="A2160" r:id="rId2158" xr:uid="{00000000-0004-0000-0000-00006D080000}"/>
    <hyperlink ref="A2161" r:id="rId2159" xr:uid="{00000000-0004-0000-0000-00006E080000}"/>
    <hyperlink ref="A2162" r:id="rId2160" xr:uid="{00000000-0004-0000-0000-00006F080000}"/>
    <hyperlink ref="A2163" r:id="rId2161" xr:uid="{00000000-0004-0000-0000-000070080000}"/>
    <hyperlink ref="A2164" r:id="rId2162" xr:uid="{00000000-0004-0000-0000-000071080000}"/>
    <hyperlink ref="A2165" r:id="rId2163" xr:uid="{00000000-0004-0000-0000-000072080000}"/>
    <hyperlink ref="A2166" r:id="rId2164" xr:uid="{00000000-0004-0000-0000-000073080000}"/>
    <hyperlink ref="A2167" r:id="rId2165" xr:uid="{00000000-0004-0000-0000-000074080000}"/>
    <hyperlink ref="A2168" r:id="rId2166" xr:uid="{00000000-0004-0000-0000-000075080000}"/>
    <hyperlink ref="A2169" r:id="rId2167" xr:uid="{00000000-0004-0000-0000-000076080000}"/>
    <hyperlink ref="A2170" r:id="rId2168" xr:uid="{00000000-0004-0000-0000-000077080000}"/>
    <hyperlink ref="A2171" r:id="rId2169" xr:uid="{00000000-0004-0000-0000-000078080000}"/>
    <hyperlink ref="A2172" r:id="rId2170" xr:uid="{00000000-0004-0000-0000-000079080000}"/>
    <hyperlink ref="A2173" r:id="rId2171" xr:uid="{00000000-0004-0000-0000-00007A080000}"/>
    <hyperlink ref="A2174" r:id="rId2172" xr:uid="{00000000-0004-0000-0000-00007B080000}"/>
    <hyperlink ref="A2175" r:id="rId2173" xr:uid="{00000000-0004-0000-0000-00007C080000}"/>
    <hyperlink ref="A2176" r:id="rId2174" xr:uid="{00000000-0004-0000-0000-00007D080000}"/>
    <hyperlink ref="A2177" r:id="rId2175" xr:uid="{00000000-0004-0000-0000-00007E080000}"/>
    <hyperlink ref="A2178" r:id="rId2176" xr:uid="{00000000-0004-0000-0000-00007F080000}"/>
    <hyperlink ref="A2179" r:id="rId2177" xr:uid="{00000000-0004-0000-0000-000080080000}"/>
    <hyperlink ref="A2180" r:id="rId2178" xr:uid="{00000000-0004-0000-0000-000081080000}"/>
    <hyperlink ref="A2181" r:id="rId2179" xr:uid="{00000000-0004-0000-0000-000082080000}"/>
    <hyperlink ref="A2182" r:id="rId2180" xr:uid="{00000000-0004-0000-0000-000083080000}"/>
    <hyperlink ref="A2183" r:id="rId2181" xr:uid="{00000000-0004-0000-0000-000084080000}"/>
    <hyperlink ref="A2184" r:id="rId2182" xr:uid="{00000000-0004-0000-0000-000085080000}"/>
    <hyperlink ref="A2185" r:id="rId2183" xr:uid="{00000000-0004-0000-0000-000086080000}"/>
    <hyperlink ref="A2186" r:id="rId2184" xr:uid="{00000000-0004-0000-0000-000087080000}"/>
    <hyperlink ref="A2187" r:id="rId2185" xr:uid="{00000000-0004-0000-0000-000088080000}"/>
    <hyperlink ref="A2188" r:id="rId2186" xr:uid="{00000000-0004-0000-0000-000089080000}"/>
    <hyperlink ref="A2189" r:id="rId2187" xr:uid="{00000000-0004-0000-0000-00008A080000}"/>
    <hyperlink ref="A2190" r:id="rId2188" xr:uid="{00000000-0004-0000-0000-00008B080000}"/>
    <hyperlink ref="A2191" r:id="rId2189" xr:uid="{00000000-0004-0000-0000-00008C080000}"/>
    <hyperlink ref="A2192" r:id="rId2190" xr:uid="{00000000-0004-0000-0000-00008D080000}"/>
    <hyperlink ref="A2193" r:id="rId2191" xr:uid="{00000000-0004-0000-0000-00008E080000}"/>
    <hyperlink ref="A2194" r:id="rId2192" xr:uid="{00000000-0004-0000-0000-00008F080000}"/>
    <hyperlink ref="A2195" r:id="rId2193" xr:uid="{00000000-0004-0000-0000-000090080000}"/>
    <hyperlink ref="A2196" r:id="rId2194" xr:uid="{00000000-0004-0000-0000-000091080000}"/>
    <hyperlink ref="A2197" r:id="rId2195" xr:uid="{00000000-0004-0000-0000-000092080000}"/>
    <hyperlink ref="A2198" r:id="rId2196" xr:uid="{00000000-0004-0000-0000-000093080000}"/>
    <hyperlink ref="A2199" r:id="rId2197" xr:uid="{00000000-0004-0000-0000-000094080000}"/>
    <hyperlink ref="A2200" r:id="rId2198" xr:uid="{00000000-0004-0000-0000-000095080000}"/>
    <hyperlink ref="A2201" r:id="rId2199" xr:uid="{00000000-0004-0000-0000-000096080000}"/>
    <hyperlink ref="A2202" r:id="rId2200" xr:uid="{00000000-0004-0000-0000-000097080000}"/>
    <hyperlink ref="A2203" r:id="rId2201" xr:uid="{00000000-0004-0000-0000-000098080000}"/>
    <hyperlink ref="A2204" r:id="rId2202" xr:uid="{00000000-0004-0000-0000-000099080000}"/>
    <hyperlink ref="A2205" r:id="rId2203" xr:uid="{00000000-0004-0000-0000-00009A080000}"/>
    <hyperlink ref="A2206" r:id="rId2204" xr:uid="{00000000-0004-0000-0000-00009B080000}"/>
    <hyperlink ref="A2207" r:id="rId2205" xr:uid="{00000000-0004-0000-0000-00009C080000}"/>
    <hyperlink ref="A2208" r:id="rId2206" xr:uid="{00000000-0004-0000-0000-00009D080000}"/>
    <hyperlink ref="A2209" r:id="rId2207" xr:uid="{00000000-0004-0000-0000-00009E080000}"/>
    <hyperlink ref="A2210" r:id="rId2208" xr:uid="{00000000-0004-0000-0000-00009F080000}"/>
    <hyperlink ref="A2211" r:id="rId2209" xr:uid="{00000000-0004-0000-0000-0000A0080000}"/>
    <hyperlink ref="A2212" r:id="rId2210" xr:uid="{00000000-0004-0000-0000-0000A1080000}"/>
    <hyperlink ref="A2213" r:id="rId2211" xr:uid="{00000000-0004-0000-0000-0000A2080000}"/>
    <hyperlink ref="A2214" r:id="rId2212" xr:uid="{00000000-0004-0000-0000-0000A3080000}"/>
    <hyperlink ref="A2215" r:id="rId2213" xr:uid="{00000000-0004-0000-0000-0000A4080000}"/>
    <hyperlink ref="A2216" r:id="rId2214" xr:uid="{00000000-0004-0000-0000-0000A5080000}"/>
    <hyperlink ref="A2217" r:id="rId2215" xr:uid="{00000000-0004-0000-0000-0000A6080000}"/>
    <hyperlink ref="A2218" r:id="rId2216" xr:uid="{00000000-0004-0000-0000-0000A7080000}"/>
    <hyperlink ref="A2219" r:id="rId2217" xr:uid="{00000000-0004-0000-0000-0000A8080000}"/>
    <hyperlink ref="A2220" r:id="rId2218" xr:uid="{00000000-0004-0000-0000-0000A9080000}"/>
    <hyperlink ref="A2221" r:id="rId2219" xr:uid="{00000000-0004-0000-0000-0000AA080000}"/>
    <hyperlink ref="A2222" r:id="rId2220" xr:uid="{00000000-0004-0000-0000-0000AB080000}"/>
    <hyperlink ref="A2223" r:id="rId2221" xr:uid="{00000000-0004-0000-0000-0000AC080000}"/>
    <hyperlink ref="A2224" r:id="rId2222" xr:uid="{00000000-0004-0000-0000-0000AD080000}"/>
    <hyperlink ref="A2225" r:id="rId2223" xr:uid="{00000000-0004-0000-0000-0000AE080000}"/>
    <hyperlink ref="A2226" r:id="rId2224" xr:uid="{00000000-0004-0000-0000-0000AF080000}"/>
    <hyperlink ref="A2227" r:id="rId2225" xr:uid="{00000000-0004-0000-0000-0000B0080000}"/>
    <hyperlink ref="A2228" r:id="rId2226" xr:uid="{00000000-0004-0000-0000-0000B1080000}"/>
    <hyperlink ref="A2229" r:id="rId2227" xr:uid="{00000000-0004-0000-0000-0000B2080000}"/>
    <hyperlink ref="A2230" r:id="rId2228" xr:uid="{00000000-0004-0000-0000-0000B3080000}"/>
    <hyperlink ref="A2231" r:id="rId2229" xr:uid="{00000000-0004-0000-0000-0000B4080000}"/>
    <hyperlink ref="A2232" r:id="rId2230" xr:uid="{00000000-0004-0000-0000-0000B5080000}"/>
    <hyperlink ref="A2233" r:id="rId2231" xr:uid="{00000000-0004-0000-0000-0000B6080000}"/>
    <hyperlink ref="A2234" r:id="rId2232" xr:uid="{00000000-0004-0000-0000-0000B7080000}"/>
    <hyperlink ref="A2235" r:id="rId2233" xr:uid="{00000000-0004-0000-0000-0000B8080000}"/>
    <hyperlink ref="A2236" r:id="rId2234" xr:uid="{00000000-0004-0000-0000-0000B9080000}"/>
    <hyperlink ref="A2237" r:id="rId2235" xr:uid="{00000000-0004-0000-0000-0000BA080000}"/>
    <hyperlink ref="A2238" r:id="rId2236" xr:uid="{00000000-0004-0000-0000-0000BB080000}"/>
    <hyperlink ref="A2239" r:id="rId2237" xr:uid="{00000000-0004-0000-0000-0000BC080000}"/>
    <hyperlink ref="A2240" r:id="rId2238" xr:uid="{00000000-0004-0000-0000-0000BD080000}"/>
    <hyperlink ref="A2241" r:id="rId2239" xr:uid="{00000000-0004-0000-0000-0000BE080000}"/>
    <hyperlink ref="A2242" r:id="rId2240" xr:uid="{00000000-0004-0000-0000-0000BF080000}"/>
    <hyperlink ref="A2243" r:id="rId2241" xr:uid="{00000000-0004-0000-0000-0000C0080000}"/>
    <hyperlink ref="A2244" r:id="rId2242" xr:uid="{00000000-0004-0000-0000-0000C1080000}"/>
    <hyperlink ref="A2245" r:id="rId2243" xr:uid="{00000000-0004-0000-0000-0000C2080000}"/>
    <hyperlink ref="A2246" r:id="rId2244" xr:uid="{00000000-0004-0000-0000-0000C3080000}"/>
    <hyperlink ref="A2247" r:id="rId2245" xr:uid="{00000000-0004-0000-0000-0000C4080000}"/>
    <hyperlink ref="A2248" r:id="rId2246" xr:uid="{00000000-0004-0000-0000-0000C5080000}"/>
    <hyperlink ref="A2249" r:id="rId2247" xr:uid="{00000000-0004-0000-0000-0000C6080000}"/>
    <hyperlink ref="A2250" r:id="rId2248" xr:uid="{00000000-0004-0000-0000-0000C7080000}"/>
    <hyperlink ref="A2251" r:id="rId2249" xr:uid="{00000000-0004-0000-0000-0000C8080000}"/>
    <hyperlink ref="A2252" r:id="rId2250" xr:uid="{00000000-0004-0000-0000-0000C9080000}"/>
    <hyperlink ref="A2253" r:id="rId2251" xr:uid="{00000000-0004-0000-0000-0000CA080000}"/>
    <hyperlink ref="A2254" r:id="rId2252" xr:uid="{00000000-0004-0000-0000-0000CB080000}"/>
    <hyperlink ref="A2255" r:id="rId2253" xr:uid="{00000000-0004-0000-0000-0000CC080000}"/>
    <hyperlink ref="A2256" r:id="rId2254" xr:uid="{00000000-0004-0000-0000-0000CD080000}"/>
    <hyperlink ref="A2257" r:id="rId2255" xr:uid="{00000000-0004-0000-0000-0000CE080000}"/>
    <hyperlink ref="A2258" r:id="rId2256" xr:uid="{00000000-0004-0000-0000-0000CF080000}"/>
    <hyperlink ref="A2259" r:id="rId2257" xr:uid="{00000000-0004-0000-0000-0000D0080000}"/>
    <hyperlink ref="A2260" r:id="rId2258" xr:uid="{00000000-0004-0000-0000-0000D1080000}"/>
    <hyperlink ref="A2261" r:id="rId2259" xr:uid="{00000000-0004-0000-0000-0000D2080000}"/>
    <hyperlink ref="A2262" r:id="rId2260" xr:uid="{00000000-0004-0000-0000-0000D3080000}"/>
    <hyperlink ref="A2263" r:id="rId2261" xr:uid="{00000000-0004-0000-0000-0000D4080000}"/>
    <hyperlink ref="A2264" r:id="rId2262" xr:uid="{00000000-0004-0000-0000-0000D5080000}"/>
    <hyperlink ref="A2265" r:id="rId2263" xr:uid="{00000000-0004-0000-0000-0000D6080000}"/>
    <hyperlink ref="A2266" r:id="rId2264" xr:uid="{00000000-0004-0000-0000-0000D7080000}"/>
    <hyperlink ref="A2267" r:id="rId2265" xr:uid="{00000000-0004-0000-0000-0000D8080000}"/>
    <hyperlink ref="A2268" r:id="rId2266" xr:uid="{00000000-0004-0000-0000-0000D9080000}"/>
    <hyperlink ref="A2269" r:id="rId2267" xr:uid="{00000000-0004-0000-0000-0000DA080000}"/>
    <hyperlink ref="A2270" r:id="rId2268" xr:uid="{00000000-0004-0000-0000-0000DB080000}"/>
    <hyperlink ref="A2271" r:id="rId2269" xr:uid="{00000000-0004-0000-0000-0000DC080000}"/>
    <hyperlink ref="A2272" r:id="rId2270" xr:uid="{00000000-0004-0000-0000-0000DD080000}"/>
    <hyperlink ref="A2273" r:id="rId2271" xr:uid="{00000000-0004-0000-0000-0000DE080000}"/>
    <hyperlink ref="A2274" r:id="rId2272" xr:uid="{00000000-0004-0000-0000-0000DF080000}"/>
    <hyperlink ref="A2275" r:id="rId2273" xr:uid="{00000000-0004-0000-0000-0000E0080000}"/>
    <hyperlink ref="A2276" r:id="rId2274" xr:uid="{00000000-0004-0000-0000-0000E1080000}"/>
    <hyperlink ref="A2277" r:id="rId2275" xr:uid="{00000000-0004-0000-0000-0000E2080000}"/>
    <hyperlink ref="A2278" r:id="rId2276" xr:uid="{00000000-0004-0000-0000-0000E3080000}"/>
    <hyperlink ref="A2279" r:id="rId2277" xr:uid="{00000000-0004-0000-0000-0000E4080000}"/>
    <hyperlink ref="A2280" r:id="rId2278" xr:uid="{00000000-0004-0000-0000-0000E5080000}"/>
    <hyperlink ref="A2281" r:id="rId2279" xr:uid="{00000000-0004-0000-0000-0000E6080000}"/>
    <hyperlink ref="A2282" r:id="rId2280" xr:uid="{00000000-0004-0000-0000-0000E7080000}"/>
    <hyperlink ref="A2283" r:id="rId2281" xr:uid="{00000000-0004-0000-0000-0000E8080000}"/>
    <hyperlink ref="A2284" r:id="rId2282" xr:uid="{00000000-0004-0000-0000-0000E9080000}"/>
    <hyperlink ref="A2285" r:id="rId2283" xr:uid="{00000000-0004-0000-0000-0000EA080000}"/>
    <hyperlink ref="A2286" r:id="rId2284" xr:uid="{00000000-0004-0000-0000-0000EB080000}"/>
    <hyperlink ref="A2287" r:id="rId2285" xr:uid="{00000000-0004-0000-0000-0000EC080000}"/>
    <hyperlink ref="A2288" r:id="rId2286" xr:uid="{00000000-0004-0000-0000-0000ED080000}"/>
    <hyperlink ref="A2289" r:id="rId2287" xr:uid="{00000000-0004-0000-0000-0000EE080000}"/>
    <hyperlink ref="A2290" r:id="rId2288" xr:uid="{00000000-0004-0000-0000-0000EF080000}"/>
    <hyperlink ref="A2291" r:id="rId2289" xr:uid="{00000000-0004-0000-0000-0000F0080000}"/>
    <hyperlink ref="A2292" r:id="rId2290" xr:uid="{00000000-0004-0000-0000-0000F1080000}"/>
    <hyperlink ref="A2293" r:id="rId2291" xr:uid="{00000000-0004-0000-0000-0000F2080000}"/>
    <hyperlink ref="A2294" r:id="rId2292" xr:uid="{00000000-0004-0000-0000-0000F3080000}"/>
    <hyperlink ref="A2295" r:id="rId2293" xr:uid="{00000000-0004-0000-0000-0000F4080000}"/>
    <hyperlink ref="A2296" r:id="rId2294" xr:uid="{00000000-0004-0000-0000-0000F5080000}"/>
    <hyperlink ref="A2297" r:id="rId2295" xr:uid="{00000000-0004-0000-0000-0000F6080000}"/>
    <hyperlink ref="A2298" r:id="rId2296" xr:uid="{00000000-0004-0000-0000-0000F7080000}"/>
    <hyperlink ref="A2299" r:id="rId2297" xr:uid="{00000000-0004-0000-0000-0000F8080000}"/>
    <hyperlink ref="A2300" r:id="rId2298" xr:uid="{00000000-0004-0000-0000-0000F9080000}"/>
    <hyperlink ref="A2301" r:id="rId2299" xr:uid="{00000000-0004-0000-0000-0000FA080000}"/>
    <hyperlink ref="A2302" r:id="rId2300" xr:uid="{00000000-0004-0000-0000-0000FB080000}"/>
    <hyperlink ref="A2303" r:id="rId2301" xr:uid="{00000000-0004-0000-0000-0000FC080000}"/>
    <hyperlink ref="A2304" r:id="rId2302" xr:uid="{00000000-0004-0000-0000-0000FD080000}"/>
    <hyperlink ref="A2305" r:id="rId2303" xr:uid="{00000000-0004-0000-0000-0000FE080000}"/>
    <hyperlink ref="A2306" r:id="rId2304" xr:uid="{00000000-0004-0000-0000-0000FF080000}"/>
    <hyperlink ref="A2307" r:id="rId2305" xr:uid="{00000000-0004-0000-0000-000000090000}"/>
    <hyperlink ref="A2308" r:id="rId2306" xr:uid="{00000000-0004-0000-0000-000001090000}"/>
    <hyperlink ref="A2309" r:id="rId2307" xr:uid="{00000000-0004-0000-0000-000002090000}"/>
    <hyperlink ref="A2310" r:id="rId2308" xr:uid="{00000000-0004-0000-0000-000003090000}"/>
    <hyperlink ref="A2311" r:id="rId2309" xr:uid="{00000000-0004-0000-0000-000004090000}"/>
    <hyperlink ref="A2312" r:id="rId2310" xr:uid="{00000000-0004-0000-0000-000005090000}"/>
    <hyperlink ref="A2313" r:id="rId2311" xr:uid="{00000000-0004-0000-0000-000006090000}"/>
    <hyperlink ref="A2314" r:id="rId2312" xr:uid="{00000000-0004-0000-0000-000007090000}"/>
    <hyperlink ref="A2315" r:id="rId2313" xr:uid="{00000000-0004-0000-0000-000008090000}"/>
    <hyperlink ref="A2316" r:id="rId2314" xr:uid="{00000000-0004-0000-0000-000009090000}"/>
    <hyperlink ref="A2317" r:id="rId2315" xr:uid="{00000000-0004-0000-0000-00000A090000}"/>
    <hyperlink ref="A2318" r:id="rId2316" xr:uid="{00000000-0004-0000-0000-00000B090000}"/>
    <hyperlink ref="A2319" r:id="rId2317" xr:uid="{00000000-0004-0000-0000-00000C090000}"/>
    <hyperlink ref="A2320" r:id="rId2318" xr:uid="{00000000-0004-0000-0000-00000D090000}"/>
    <hyperlink ref="A2321" r:id="rId2319" xr:uid="{00000000-0004-0000-0000-00000E090000}"/>
    <hyperlink ref="A2322" r:id="rId2320" xr:uid="{00000000-0004-0000-0000-00000F090000}"/>
    <hyperlink ref="A2323" r:id="rId2321" xr:uid="{00000000-0004-0000-0000-000010090000}"/>
    <hyperlink ref="A2324" r:id="rId2322" xr:uid="{00000000-0004-0000-0000-000011090000}"/>
    <hyperlink ref="A2325" r:id="rId2323" xr:uid="{00000000-0004-0000-0000-000012090000}"/>
    <hyperlink ref="A2326" r:id="rId2324" xr:uid="{00000000-0004-0000-0000-000013090000}"/>
    <hyperlink ref="A2327" r:id="rId2325" xr:uid="{00000000-0004-0000-0000-000014090000}"/>
    <hyperlink ref="A2328" r:id="rId2326" xr:uid="{00000000-0004-0000-0000-000015090000}"/>
    <hyperlink ref="A2329" r:id="rId2327" xr:uid="{00000000-0004-0000-0000-000016090000}"/>
    <hyperlink ref="A2330" r:id="rId2328" xr:uid="{00000000-0004-0000-0000-000017090000}"/>
    <hyperlink ref="A2331" r:id="rId2329" xr:uid="{00000000-0004-0000-0000-000018090000}"/>
    <hyperlink ref="A2332" r:id="rId2330" xr:uid="{00000000-0004-0000-0000-000019090000}"/>
    <hyperlink ref="A2333" r:id="rId2331" xr:uid="{00000000-0004-0000-0000-00001A090000}"/>
    <hyperlink ref="A2334" r:id="rId2332" xr:uid="{00000000-0004-0000-0000-00001B090000}"/>
    <hyperlink ref="A2335" r:id="rId2333" xr:uid="{00000000-0004-0000-0000-00001C090000}"/>
    <hyperlink ref="A2336" r:id="rId2334" xr:uid="{00000000-0004-0000-0000-00001D090000}"/>
    <hyperlink ref="A2337" r:id="rId2335" xr:uid="{00000000-0004-0000-0000-00001E090000}"/>
    <hyperlink ref="A2338" r:id="rId2336" xr:uid="{00000000-0004-0000-0000-00001F090000}"/>
    <hyperlink ref="A2339" r:id="rId2337" xr:uid="{00000000-0004-0000-0000-000020090000}"/>
    <hyperlink ref="A2340" r:id="rId2338" xr:uid="{00000000-0004-0000-0000-000021090000}"/>
    <hyperlink ref="A2341" r:id="rId2339" xr:uid="{00000000-0004-0000-0000-000022090000}"/>
    <hyperlink ref="A2342" r:id="rId2340" xr:uid="{00000000-0004-0000-0000-000023090000}"/>
    <hyperlink ref="A2343" r:id="rId2341" xr:uid="{00000000-0004-0000-0000-000024090000}"/>
    <hyperlink ref="A2344" r:id="rId2342" xr:uid="{00000000-0004-0000-0000-000025090000}"/>
    <hyperlink ref="A2345" r:id="rId2343" xr:uid="{00000000-0004-0000-0000-000026090000}"/>
    <hyperlink ref="A2346" r:id="rId2344" xr:uid="{00000000-0004-0000-0000-000027090000}"/>
    <hyperlink ref="A2347" r:id="rId2345" xr:uid="{00000000-0004-0000-0000-000028090000}"/>
    <hyperlink ref="A2348" r:id="rId2346" xr:uid="{00000000-0004-0000-0000-000029090000}"/>
    <hyperlink ref="A2349" r:id="rId2347" xr:uid="{00000000-0004-0000-0000-00002A090000}"/>
    <hyperlink ref="A2350" r:id="rId2348" xr:uid="{00000000-0004-0000-0000-00002B090000}"/>
    <hyperlink ref="A2351" r:id="rId2349" xr:uid="{00000000-0004-0000-0000-00002C090000}"/>
    <hyperlink ref="A2352" r:id="rId2350" xr:uid="{00000000-0004-0000-0000-00002D090000}"/>
    <hyperlink ref="A2353" r:id="rId2351" xr:uid="{00000000-0004-0000-0000-00002E090000}"/>
    <hyperlink ref="A2354" r:id="rId2352" xr:uid="{00000000-0004-0000-0000-00002F090000}"/>
    <hyperlink ref="A2355" r:id="rId2353" xr:uid="{00000000-0004-0000-0000-000030090000}"/>
    <hyperlink ref="A2356" r:id="rId2354" xr:uid="{00000000-0004-0000-0000-000031090000}"/>
    <hyperlink ref="A2357" r:id="rId2355" xr:uid="{00000000-0004-0000-0000-000032090000}"/>
    <hyperlink ref="A2358" r:id="rId2356" xr:uid="{00000000-0004-0000-0000-000033090000}"/>
    <hyperlink ref="A2359" r:id="rId2357" xr:uid="{00000000-0004-0000-0000-000034090000}"/>
    <hyperlink ref="A2360" r:id="rId2358" xr:uid="{00000000-0004-0000-0000-000035090000}"/>
    <hyperlink ref="A2361" r:id="rId2359" xr:uid="{00000000-0004-0000-0000-000036090000}"/>
    <hyperlink ref="A2362" r:id="rId2360" xr:uid="{00000000-0004-0000-0000-000037090000}"/>
    <hyperlink ref="A2363" r:id="rId2361" xr:uid="{00000000-0004-0000-0000-000038090000}"/>
    <hyperlink ref="A2364" r:id="rId2362" xr:uid="{00000000-0004-0000-0000-000039090000}"/>
    <hyperlink ref="A2365" r:id="rId2363" xr:uid="{00000000-0004-0000-0000-00003A090000}"/>
    <hyperlink ref="A2366" r:id="rId2364" xr:uid="{00000000-0004-0000-0000-00003B090000}"/>
    <hyperlink ref="A2367" r:id="rId2365" xr:uid="{00000000-0004-0000-0000-00003C090000}"/>
    <hyperlink ref="A2368" r:id="rId2366" xr:uid="{00000000-0004-0000-0000-00003D090000}"/>
    <hyperlink ref="A2369" r:id="rId2367" xr:uid="{00000000-0004-0000-0000-00003E090000}"/>
    <hyperlink ref="A2370" r:id="rId2368" xr:uid="{00000000-0004-0000-0000-00003F090000}"/>
    <hyperlink ref="A2371" r:id="rId2369" xr:uid="{00000000-0004-0000-0000-000040090000}"/>
    <hyperlink ref="A2372" r:id="rId2370" xr:uid="{00000000-0004-0000-0000-000041090000}"/>
    <hyperlink ref="A2373" r:id="rId2371" xr:uid="{00000000-0004-0000-0000-000042090000}"/>
    <hyperlink ref="A2374" r:id="rId2372" xr:uid="{00000000-0004-0000-0000-000043090000}"/>
    <hyperlink ref="A2375" r:id="rId2373" xr:uid="{00000000-0004-0000-0000-000044090000}"/>
    <hyperlink ref="A2376" r:id="rId2374" xr:uid="{00000000-0004-0000-0000-000045090000}"/>
    <hyperlink ref="A2377" r:id="rId2375" xr:uid="{00000000-0004-0000-0000-000046090000}"/>
    <hyperlink ref="A2378" r:id="rId2376" xr:uid="{00000000-0004-0000-0000-000047090000}"/>
    <hyperlink ref="A2379" r:id="rId2377" xr:uid="{00000000-0004-0000-0000-000048090000}"/>
    <hyperlink ref="A2380" r:id="rId2378" xr:uid="{00000000-0004-0000-0000-000049090000}"/>
    <hyperlink ref="A2381" r:id="rId2379" xr:uid="{00000000-0004-0000-0000-00004A090000}"/>
    <hyperlink ref="A2382" r:id="rId2380" xr:uid="{00000000-0004-0000-0000-00004B090000}"/>
    <hyperlink ref="A2383" r:id="rId2381" xr:uid="{00000000-0004-0000-0000-00004C090000}"/>
    <hyperlink ref="A2384" r:id="rId2382" xr:uid="{00000000-0004-0000-0000-00004D090000}"/>
    <hyperlink ref="A2385" r:id="rId2383" xr:uid="{00000000-0004-0000-0000-00004E090000}"/>
    <hyperlink ref="A2386" r:id="rId2384" xr:uid="{00000000-0004-0000-0000-00004F090000}"/>
    <hyperlink ref="A2387" r:id="rId2385" xr:uid="{00000000-0004-0000-0000-000050090000}"/>
    <hyperlink ref="A2388" r:id="rId2386" xr:uid="{00000000-0004-0000-0000-000051090000}"/>
    <hyperlink ref="A2389" r:id="rId2387" xr:uid="{00000000-0004-0000-0000-000052090000}"/>
    <hyperlink ref="A2390" r:id="rId2388" xr:uid="{00000000-0004-0000-0000-000053090000}"/>
    <hyperlink ref="A2391" r:id="rId2389" xr:uid="{00000000-0004-0000-0000-000054090000}"/>
    <hyperlink ref="A2392" r:id="rId2390" xr:uid="{00000000-0004-0000-0000-000055090000}"/>
    <hyperlink ref="A2393" r:id="rId2391" xr:uid="{00000000-0004-0000-0000-000056090000}"/>
    <hyperlink ref="A2394" r:id="rId2392" xr:uid="{00000000-0004-0000-0000-000057090000}"/>
    <hyperlink ref="A2395" r:id="rId2393" xr:uid="{00000000-0004-0000-0000-000058090000}"/>
    <hyperlink ref="A2396" r:id="rId2394" xr:uid="{00000000-0004-0000-0000-000059090000}"/>
    <hyperlink ref="A2397" r:id="rId2395" xr:uid="{00000000-0004-0000-0000-00005A090000}"/>
    <hyperlink ref="A2398" r:id="rId2396" xr:uid="{00000000-0004-0000-0000-00005B090000}"/>
    <hyperlink ref="A2399" r:id="rId2397" xr:uid="{00000000-0004-0000-0000-00005C090000}"/>
    <hyperlink ref="A2400" r:id="rId2398" xr:uid="{00000000-0004-0000-0000-00005D090000}"/>
    <hyperlink ref="A2401" r:id="rId2399" xr:uid="{00000000-0004-0000-0000-00005E090000}"/>
    <hyperlink ref="A2402" r:id="rId2400" xr:uid="{00000000-0004-0000-0000-00005F090000}"/>
    <hyperlink ref="A2403" r:id="rId2401" xr:uid="{00000000-0004-0000-0000-000060090000}"/>
    <hyperlink ref="A2404" r:id="rId2402" xr:uid="{00000000-0004-0000-0000-000061090000}"/>
    <hyperlink ref="A2405" r:id="rId2403" xr:uid="{00000000-0004-0000-0000-000062090000}"/>
    <hyperlink ref="A2406" r:id="rId2404" xr:uid="{00000000-0004-0000-0000-000063090000}"/>
    <hyperlink ref="A2407" r:id="rId2405" xr:uid="{00000000-0004-0000-0000-000064090000}"/>
    <hyperlink ref="A2408" r:id="rId2406" xr:uid="{00000000-0004-0000-0000-000065090000}"/>
    <hyperlink ref="A2409" r:id="rId2407" xr:uid="{00000000-0004-0000-0000-000066090000}"/>
    <hyperlink ref="A2410" r:id="rId2408" xr:uid="{00000000-0004-0000-0000-000067090000}"/>
    <hyperlink ref="A2411" r:id="rId2409" xr:uid="{00000000-0004-0000-0000-000068090000}"/>
    <hyperlink ref="A2412" r:id="rId2410" xr:uid="{00000000-0004-0000-0000-000069090000}"/>
    <hyperlink ref="A2413" r:id="rId2411" xr:uid="{00000000-0004-0000-0000-00006A090000}"/>
    <hyperlink ref="A2414" r:id="rId2412" xr:uid="{00000000-0004-0000-0000-00006B090000}"/>
    <hyperlink ref="A2415" r:id="rId2413" xr:uid="{00000000-0004-0000-0000-00006C090000}"/>
    <hyperlink ref="A2416" r:id="rId2414" xr:uid="{00000000-0004-0000-0000-00006D090000}"/>
    <hyperlink ref="A2417" r:id="rId2415" xr:uid="{00000000-0004-0000-0000-00006E090000}"/>
    <hyperlink ref="A2418" r:id="rId2416" xr:uid="{00000000-0004-0000-0000-00006F090000}"/>
    <hyperlink ref="A2419" r:id="rId2417" xr:uid="{00000000-0004-0000-0000-000070090000}"/>
    <hyperlink ref="A2420" r:id="rId2418" xr:uid="{00000000-0004-0000-0000-000071090000}"/>
    <hyperlink ref="A2421" r:id="rId2419" xr:uid="{00000000-0004-0000-0000-000072090000}"/>
    <hyperlink ref="A2422" r:id="rId2420" xr:uid="{00000000-0004-0000-0000-000073090000}"/>
    <hyperlink ref="A2423" r:id="rId2421" xr:uid="{00000000-0004-0000-0000-000074090000}"/>
    <hyperlink ref="A2424" r:id="rId2422" xr:uid="{00000000-0004-0000-0000-000075090000}"/>
    <hyperlink ref="A2425" r:id="rId2423" xr:uid="{00000000-0004-0000-0000-000076090000}"/>
    <hyperlink ref="A2426" r:id="rId2424" xr:uid="{00000000-0004-0000-0000-000077090000}"/>
    <hyperlink ref="A2427" r:id="rId2425" xr:uid="{00000000-0004-0000-0000-000078090000}"/>
    <hyperlink ref="A2428" r:id="rId2426" xr:uid="{00000000-0004-0000-0000-000079090000}"/>
    <hyperlink ref="A2429" r:id="rId2427" xr:uid="{00000000-0004-0000-0000-00007A090000}"/>
    <hyperlink ref="A2430" r:id="rId2428" xr:uid="{00000000-0004-0000-0000-00007B090000}"/>
    <hyperlink ref="A2431" r:id="rId2429" xr:uid="{00000000-0004-0000-0000-00007C090000}"/>
    <hyperlink ref="A2432" r:id="rId2430" xr:uid="{00000000-0004-0000-0000-00007D090000}"/>
    <hyperlink ref="A2433" r:id="rId2431" xr:uid="{00000000-0004-0000-0000-00007E090000}"/>
    <hyperlink ref="A2434" r:id="rId2432" xr:uid="{00000000-0004-0000-0000-00007F090000}"/>
    <hyperlink ref="A2435" r:id="rId2433" xr:uid="{00000000-0004-0000-0000-000080090000}"/>
    <hyperlink ref="A2436" r:id="rId2434" xr:uid="{00000000-0004-0000-0000-000081090000}"/>
    <hyperlink ref="A2437" r:id="rId2435" xr:uid="{00000000-0004-0000-0000-000082090000}"/>
    <hyperlink ref="A2438" r:id="rId2436" xr:uid="{00000000-0004-0000-0000-000083090000}"/>
    <hyperlink ref="A2439" r:id="rId2437" xr:uid="{00000000-0004-0000-0000-000084090000}"/>
    <hyperlink ref="A2440" r:id="rId2438" xr:uid="{00000000-0004-0000-0000-000085090000}"/>
    <hyperlink ref="A2441" r:id="rId2439" xr:uid="{00000000-0004-0000-0000-000086090000}"/>
    <hyperlink ref="A2442" r:id="rId2440" xr:uid="{00000000-0004-0000-0000-000087090000}"/>
    <hyperlink ref="A2443" r:id="rId2441" xr:uid="{00000000-0004-0000-0000-000088090000}"/>
    <hyperlink ref="A2444" r:id="rId2442" xr:uid="{00000000-0004-0000-0000-000089090000}"/>
    <hyperlink ref="A2445" r:id="rId2443" xr:uid="{00000000-0004-0000-0000-00008A090000}"/>
    <hyperlink ref="A2446" r:id="rId2444" xr:uid="{00000000-0004-0000-0000-00008B090000}"/>
    <hyperlink ref="A2447" r:id="rId2445" xr:uid="{00000000-0004-0000-0000-00008C090000}"/>
    <hyperlink ref="A2448" r:id="rId2446" xr:uid="{00000000-0004-0000-0000-00008D090000}"/>
    <hyperlink ref="A2449" r:id="rId2447" xr:uid="{00000000-0004-0000-0000-00008E090000}"/>
    <hyperlink ref="A2450" r:id="rId2448" xr:uid="{00000000-0004-0000-0000-00008F090000}"/>
    <hyperlink ref="A2451" r:id="rId2449" xr:uid="{00000000-0004-0000-0000-000090090000}"/>
    <hyperlink ref="A2452" r:id="rId2450" xr:uid="{00000000-0004-0000-0000-000091090000}"/>
    <hyperlink ref="A2453" r:id="rId2451" xr:uid="{00000000-0004-0000-0000-000092090000}"/>
    <hyperlink ref="A2454" r:id="rId2452" xr:uid="{00000000-0004-0000-0000-000093090000}"/>
    <hyperlink ref="A2455" r:id="rId2453" xr:uid="{00000000-0004-0000-0000-000094090000}"/>
    <hyperlink ref="A2456" r:id="rId2454" xr:uid="{00000000-0004-0000-0000-000095090000}"/>
    <hyperlink ref="A2457" r:id="rId2455" xr:uid="{00000000-0004-0000-0000-000096090000}"/>
    <hyperlink ref="A2458" r:id="rId2456" xr:uid="{00000000-0004-0000-0000-000097090000}"/>
    <hyperlink ref="A2459" r:id="rId2457" xr:uid="{00000000-0004-0000-0000-000098090000}"/>
    <hyperlink ref="A2460" r:id="rId2458" xr:uid="{00000000-0004-0000-0000-000099090000}"/>
    <hyperlink ref="A2461" r:id="rId2459" xr:uid="{00000000-0004-0000-0000-00009A090000}"/>
    <hyperlink ref="A2462" r:id="rId2460" xr:uid="{00000000-0004-0000-0000-00009B090000}"/>
    <hyperlink ref="A2463" r:id="rId2461" xr:uid="{00000000-0004-0000-0000-00009C090000}"/>
    <hyperlink ref="A2464" r:id="rId2462" xr:uid="{00000000-0004-0000-0000-00009D090000}"/>
    <hyperlink ref="A2465" r:id="rId2463" xr:uid="{00000000-0004-0000-0000-00009E090000}"/>
    <hyperlink ref="A2466" r:id="rId2464" xr:uid="{00000000-0004-0000-0000-00009F090000}"/>
    <hyperlink ref="A2467" r:id="rId2465" xr:uid="{00000000-0004-0000-0000-0000A0090000}"/>
    <hyperlink ref="A2468" r:id="rId2466" xr:uid="{00000000-0004-0000-0000-0000A1090000}"/>
    <hyperlink ref="A2469" r:id="rId2467" xr:uid="{00000000-0004-0000-0000-0000A2090000}"/>
    <hyperlink ref="A2470" r:id="rId2468" xr:uid="{00000000-0004-0000-0000-0000A3090000}"/>
    <hyperlink ref="A2471" r:id="rId2469" xr:uid="{00000000-0004-0000-0000-0000A4090000}"/>
    <hyperlink ref="A2472" r:id="rId2470" xr:uid="{00000000-0004-0000-0000-0000A5090000}"/>
    <hyperlink ref="A2473" r:id="rId2471" xr:uid="{00000000-0004-0000-0000-0000A6090000}"/>
    <hyperlink ref="A2474" r:id="rId2472" xr:uid="{00000000-0004-0000-0000-0000A7090000}"/>
    <hyperlink ref="A2475" r:id="rId2473" xr:uid="{00000000-0004-0000-0000-0000A8090000}"/>
    <hyperlink ref="A2476" r:id="rId2474" xr:uid="{00000000-0004-0000-0000-0000A9090000}"/>
    <hyperlink ref="A2477" r:id="rId2475" xr:uid="{00000000-0004-0000-0000-0000AA090000}"/>
    <hyperlink ref="A2478" r:id="rId2476" xr:uid="{00000000-0004-0000-0000-0000AB090000}"/>
    <hyperlink ref="A2479" r:id="rId2477" xr:uid="{00000000-0004-0000-0000-0000AC090000}"/>
    <hyperlink ref="A2480" r:id="rId2478" xr:uid="{00000000-0004-0000-0000-0000AD090000}"/>
    <hyperlink ref="A2481" r:id="rId2479" xr:uid="{00000000-0004-0000-0000-0000AE090000}"/>
    <hyperlink ref="A2482" r:id="rId2480" xr:uid="{00000000-0004-0000-0000-0000AF090000}"/>
    <hyperlink ref="A2483" r:id="rId2481" xr:uid="{00000000-0004-0000-0000-0000B0090000}"/>
    <hyperlink ref="A2484" r:id="rId2482" xr:uid="{00000000-0004-0000-0000-0000B1090000}"/>
    <hyperlink ref="A2485" r:id="rId2483" xr:uid="{00000000-0004-0000-0000-0000B2090000}"/>
    <hyperlink ref="A2486" r:id="rId2484" xr:uid="{00000000-0004-0000-0000-0000B3090000}"/>
    <hyperlink ref="A2487" r:id="rId2485" xr:uid="{00000000-0004-0000-0000-0000B4090000}"/>
    <hyperlink ref="A2488" r:id="rId2486" xr:uid="{00000000-0004-0000-0000-0000B5090000}"/>
    <hyperlink ref="A2489" r:id="rId2487" xr:uid="{00000000-0004-0000-0000-0000B6090000}"/>
    <hyperlink ref="A2490" r:id="rId2488" xr:uid="{00000000-0004-0000-0000-0000B7090000}"/>
    <hyperlink ref="A2491" r:id="rId2489" xr:uid="{00000000-0004-0000-0000-0000B8090000}"/>
    <hyperlink ref="A2492" r:id="rId2490" xr:uid="{00000000-0004-0000-0000-0000B9090000}"/>
    <hyperlink ref="A2493" r:id="rId2491" xr:uid="{00000000-0004-0000-0000-0000BA090000}"/>
    <hyperlink ref="A2494" r:id="rId2492" xr:uid="{00000000-0004-0000-0000-0000BB090000}"/>
    <hyperlink ref="A2495" r:id="rId2493" xr:uid="{00000000-0004-0000-0000-0000BC090000}"/>
    <hyperlink ref="A2496" r:id="rId2494" xr:uid="{00000000-0004-0000-0000-0000BD090000}"/>
    <hyperlink ref="A2497" r:id="rId2495" xr:uid="{00000000-0004-0000-0000-0000BE090000}"/>
    <hyperlink ref="A2498" r:id="rId2496" xr:uid="{00000000-0004-0000-0000-0000BF090000}"/>
    <hyperlink ref="A2499" r:id="rId2497" xr:uid="{00000000-0004-0000-0000-0000C0090000}"/>
    <hyperlink ref="A2500" r:id="rId2498" xr:uid="{00000000-0004-0000-0000-0000C1090000}"/>
    <hyperlink ref="A2501" r:id="rId2499" xr:uid="{00000000-0004-0000-0000-0000C2090000}"/>
    <hyperlink ref="A2502" r:id="rId2500" xr:uid="{00000000-0004-0000-0000-0000C3090000}"/>
    <hyperlink ref="A2503" r:id="rId2501" xr:uid="{00000000-0004-0000-0000-0000C4090000}"/>
    <hyperlink ref="A2504" r:id="rId2502" xr:uid="{00000000-0004-0000-0000-0000C5090000}"/>
    <hyperlink ref="A2505" r:id="rId2503" xr:uid="{00000000-0004-0000-0000-0000C6090000}"/>
    <hyperlink ref="A2506" r:id="rId2504" xr:uid="{00000000-0004-0000-0000-0000C7090000}"/>
    <hyperlink ref="A2507" r:id="rId2505" xr:uid="{00000000-0004-0000-0000-0000C8090000}"/>
    <hyperlink ref="A2508" r:id="rId2506" xr:uid="{00000000-0004-0000-0000-0000C9090000}"/>
    <hyperlink ref="A2509" r:id="rId2507" xr:uid="{00000000-0004-0000-0000-0000CA090000}"/>
    <hyperlink ref="A2510" r:id="rId2508" xr:uid="{00000000-0004-0000-0000-0000CB090000}"/>
    <hyperlink ref="A2511" r:id="rId2509" xr:uid="{00000000-0004-0000-0000-0000CC090000}"/>
    <hyperlink ref="A2512" r:id="rId2510" xr:uid="{00000000-0004-0000-0000-0000CD090000}"/>
    <hyperlink ref="A2513" r:id="rId2511" xr:uid="{00000000-0004-0000-0000-0000CE090000}"/>
    <hyperlink ref="A2514" r:id="rId2512" xr:uid="{00000000-0004-0000-0000-0000CF090000}"/>
    <hyperlink ref="A2515" r:id="rId2513" xr:uid="{00000000-0004-0000-0000-0000D0090000}"/>
    <hyperlink ref="A2516" r:id="rId2514" xr:uid="{00000000-0004-0000-0000-0000D1090000}"/>
    <hyperlink ref="A2517" r:id="rId2515" xr:uid="{00000000-0004-0000-0000-0000D2090000}"/>
    <hyperlink ref="A2518" r:id="rId2516" xr:uid="{00000000-0004-0000-0000-0000D3090000}"/>
    <hyperlink ref="A2519" r:id="rId2517" xr:uid="{00000000-0004-0000-0000-0000D4090000}"/>
    <hyperlink ref="A2520" r:id="rId2518" xr:uid="{00000000-0004-0000-0000-0000D5090000}"/>
    <hyperlink ref="A2521" r:id="rId2519" xr:uid="{00000000-0004-0000-0000-0000D6090000}"/>
    <hyperlink ref="A2522" r:id="rId2520" xr:uid="{00000000-0004-0000-0000-0000D7090000}"/>
    <hyperlink ref="A2523" r:id="rId2521" xr:uid="{00000000-0004-0000-0000-0000D8090000}"/>
    <hyperlink ref="A2524" r:id="rId2522" xr:uid="{00000000-0004-0000-0000-0000D9090000}"/>
    <hyperlink ref="A2525" r:id="rId2523" xr:uid="{00000000-0004-0000-0000-0000DA090000}"/>
    <hyperlink ref="A2526" r:id="rId2524" xr:uid="{00000000-0004-0000-0000-0000DB090000}"/>
    <hyperlink ref="A2527" r:id="rId2525" xr:uid="{00000000-0004-0000-0000-0000DC090000}"/>
    <hyperlink ref="A2528" r:id="rId2526" xr:uid="{00000000-0004-0000-0000-0000DD090000}"/>
    <hyperlink ref="A2529" r:id="rId2527" xr:uid="{00000000-0004-0000-0000-0000DE090000}"/>
    <hyperlink ref="A2530" r:id="rId2528" xr:uid="{00000000-0004-0000-0000-0000DF090000}"/>
    <hyperlink ref="A2531" r:id="rId2529" xr:uid="{00000000-0004-0000-0000-0000E0090000}"/>
    <hyperlink ref="A2532" r:id="rId2530" xr:uid="{00000000-0004-0000-0000-0000E1090000}"/>
    <hyperlink ref="A2533" r:id="rId2531" xr:uid="{00000000-0004-0000-0000-0000E2090000}"/>
    <hyperlink ref="A2534" r:id="rId2532" xr:uid="{00000000-0004-0000-0000-0000E3090000}"/>
    <hyperlink ref="A2535" r:id="rId2533" xr:uid="{00000000-0004-0000-0000-0000E4090000}"/>
    <hyperlink ref="A2536" r:id="rId2534" xr:uid="{00000000-0004-0000-0000-0000E5090000}"/>
    <hyperlink ref="A2537" r:id="rId2535" xr:uid="{00000000-0004-0000-0000-0000E6090000}"/>
    <hyperlink ref="A2538" r:id="rId2536" xr:uid="{00000000-0004-0000-0000-0000E7090000}"/>
    <hyperlink ref="A2539" r:id="rId2537" xr:uid="{00000000-0004-0000-0000-0000E8090000}"/>
    <hyperlink ref="A2540" r:id="rId2538" xr:uid="{00000000-0004-0000-0000-0000E9090000}"/>
    <hyperlink ref="A2541" r:id="rId2539" xr:uid="{00000000-0004-0000-0000-0000EA090000}"/>
    <hyperlink ref="A2542" r:id="rId2540" xr:uid="{00000000-0004-0000-0000-0000EB090000}"/>
    <hyperlink ref="A2543" r:id="rId2541" xr:uid="{00000000-0004-0000-0000-0000EC090000}"/>
    <hyperlink ref="A2544" r:id="rId2542" xr:uid="{00000000-0004-0000-0000-0000ED090000}"/>
    <hyperlink ref="A2545" r:id="rId2543" xr:uid="{00000000-0004-0000-0000-0000EE090000}"/>
    <hyperlink ref="A2546" r:id="rId2544" xr:uid="{00000000-0004-0000-0000-0000EF090000}"/>
    <hyperlink ref="A2547" r:id="rId2545" xr:uid="{00000000-0004-0000-0000-0000F0090000}"/>
    <hyperlink ref="A2548" r:id="rId2546" xr:uid="{00000000-0004-0000-0000-0000F1090000}"/>
    <hyperlink ref="A2549" r:id="rId2547" xr:uid="{00000000-0004-0000-0000-0000F2090000}"/>
    <hyperlink ref="A2550" r:id="rId2548" xr:uid="{00000000-0004-0000-0000-0000F3090000}"/>
    <hyperlink ref="A2551" r:id="rId2549" xr:uid="{00000000-0004-0000-0000-0000F4090000}"/>
    <hyperlink ref="A2552" r:id="rId2550" xr:uid="{00000000-0004-0000-0000-0000F5090000}"/>
    <hyperlink ref="A2553" r:id="rId2551" xr:uid="{00000000-0004-0000-0000-0000F6090000}"/>
    <hyperlink ref="A2554" r:id="rId2552" xr:uid="{00000000-0004-0000-0000-0000F7090000}"/>
    <hyperlink ref="A2555" r:id="rId2553" xr:uid="{00000000-0004-0000-0000-0000F8090000}"/>
    <hyperlink ref="A2556" r:id="rId2554" xr:uid="{00000000-0004-0000-0000-0000F9090000}"/>
    <hyperlink ref="A2557" r:id="rId2555" xr:uid="{00000000-0004-0000-0000-0000FA090000}"/>
    <hyperlink ref="A2558" r:id="rId2556" xr:uid="{00000000-0004-0000-0000-0000FB090000}"/>
    <hyperlink ref="A2559" r:id="rId2557" xr:uid="{00000000-0004-0000-0000-0000FC090000}"/>
    <hyperlink ref="A2560" r:id="rId2558" xr:uid="{00000000-0004-0000-0000-0000FD090000}"/>
    <hyperlink ref="A2561" r:id="rId2559" xr:uid="{00000000-0004-0000-0000-0000FE090000}"/>
    <hyperlink ref="A2562" r:id="rId2560" xr:uid="{00000000-0004-0000-0000-0000FF090000}"/>
    <hyperlink ref="A2563" r:id="rId2561" xr:uid="{00000000-0004-0000-0000-0000000A0000}"/>
    <hyperlink ref="A2564" r:id="rId2562" xr:uid="{00000000-0004-0000-0000-0000010A0000}"/>
    <hyperlink ref="A2565" r:id="rId2563" xr:uid="{00000000-0004-0000-0000-0000020A0000}"/>
    <hyperlink ref="A2566" r:id="rId2564" xr:uid="{00000000-0004-0000-0000-0000030A0000}"/>
    <hyperlink ref="A2567" r:id="rId2565" xr:uid="{00000000-0004-0000-0000-0000040A0000}"/>
    <hyperlink ref="A2568" r:id="rId2566" xr:uid="{00000000-0004-0000-0000-0000050A0000}"/>
    <hyperlink ref="A2569" r:id="rId2567" xr:uid="{00000000-0004-0000-0000-0000060A0000}"/>
    <hyperlink ref="A2570" r:id="rId2568" xr:uid="{00000000-0004-0000-0000-0000070A0000}"/>
    <hyperlink ref="A2571" r:id="rId2569" xr:uid="{00000000-0004-0000-0000-0000080A0000}"/>
    <hyperlink ref="A2572" r:id="rId2570" xr:uid="{00000000-0004-0000-0000-0000090A0000}"/>
    <hyperlink ref="A2573" r:id="rId2571" xr:uid="{00000000-0004-0000-0000-00000A0A0000}"/>
    <hyperlink ref="A2574" r:id="rId2572" xr:uid="{00000000-0004-0000-0000-00000B0A0000}"/>
    <hyperlink ref="A2575" r:id="rId2573" xr:uid="{00000000-0004-0000-0000-00000C0A0000}"/>
    <hyperlink ref="A2576" r:id="rId2574" xr:uid="{00000000-0004-0000-0000-00000D0A0000}"/>
    <hyperlink ref="A2577" r:id="rId2575" xr:uid="{00000000-0004-0000-0000-00000E0A0000}"/>
    <hyperlink ref="A2578" r:id="rId2576" xr:uid="{00000000-0004-0000-0000-00000F0A0000}"/>
    <hyperlink ref="A2579" r:id="rId2577" xr:uid="{00000000-0004-0000-0000-0000100A0000}"/>
    <hyperlink ref="A2580" r:id="rId2578" xr:uid="{00000000-0004-0000-0000-0000110A0000}"/>
    <hyperlink ref="A2581" r:id="rId2579" xr:uid="{00000000-0004-0000-0000-0000120A0000}"/>
    <hyperlink ref="A2582" r:id="rId2580" xr:uid="{00000000-0004-0000-0000-0000130A0000}"/>
    <hyperlink ref="A2583" r:id="rId2581" xr:uid="{00000000-0004-0000-0000-0000140A0000}"/>
    <hyperlink ref="A2584" r:id="rId2582" xr:uid="{00000000-0004-0000-0000-0000150A0000}"/>
    <hyperlink ref="A2585" r:id="rId2583" xr:uid="{00000000-0004-0000-0000-0000160A0000}"/>
    <hyperlink ref="A2586" r:id="rId2584" xr:uid="{00000000-0004-0000-0000-0000170A0000}"/>
    <hyperlink ref="A2587" r:id="rId2585" xr:uid="{00000000-0004-0000-0000-0000180A0000}"/>
    <hyperlink ref="A2588" r:id="rId2586" xr:uid="{00000000-0004-0000-0000-0000190A0000}"/>
    <hyperlink ref="A2589" r:id="rId2587" xr:uid="{00000000-0004-0000-0000-00001A0A0000}"/>
    <hyperlink ref="A2590" r:id="rId2588" xr:uid="{00000000-0004-0000-0000-00001B0A0000}"/>
    <hyperlink ref="A2591" r:id="rId2589" xr:uid="{00000000-0004-0000-0000-00001C0A0000}"/>
    <hyperlink ref="A2592" r:id="rId2590" xr:uid="{00000000-0004-0000-0000-00001D0A0000}"/>
    <hyperlink ref="A2593" r:id="rId2591" xr:uid="{00000000-0004-0000-0000-00001E0A0000}"/>
    <hyperlink ref="A2594" r:id="rId2592" xr:uid="{00000000-0004-0000-0000-00001F0A0000}"/>
    <hyperlink ref="A2595" r:id="rId2593" xr:uid="{00000000-0004-0000-0000-0000200A0000}"/>
    <hyperlink ref="A2596" r:id="rId2594" xr:uid="{00000000-0004-0000-0000-0000210A0000}"/>
    <hyperlink ref="A2597" r:id="rId2595" xr:uid="{00000000-0004-0000-0000-0000220A0000}"/>
    <hyperlink ref="A2598" r:id="rId2596" xr:uid="{00000000-0004-0000-0000-0000230A0000}"/>
    <hyperlink ref="A2599" r:id="rId2597" xr:uid="{00000000-0004-0000-0000-0000240A0000}"/>
    <hyperlink ref="A2600" r:id="rId2598" xr:uid="{00000000-0004-0000-0000-0000250A0000}"/>
    <hyperlink ref="A2601" r:id="rId2599" xr:uid="{00000000-0004-0000-0000-0000260A0000}"/>
    <hyperlink ref="A2602" r:id="rId2600" xr:uid="{00000000-0004-0000-0000-0000270A0000}"/>
    <hyperlink ref="A2603" r:id="rId2601" xr:uid="{00000000-0004-0000-0000-0000280A0000}"/>
    <hyperlink ref="A2604" r:id="rId2602" xr:uid="{00000000-0004-0000-0000-0000290A0000}"/>
    <hyperlink ref="A2605" r:id="rId2603" xr:uid="{00000000-0004-0000-0000-00002A0A0000}"/>
    <hyperlink ref="A2606" r:id="rId2604" xr:uid="{00000000-0004-0000-0000-00002B0A0000}"/>
    <hyperlink ref="A2607" r:id="rId2605" xr:uid="{00000000-0004-0000-0000-00002C0A0000}"/>
    <hyperlink ref="A2608" r:id="rId2606" xr:uid="{00000000-0004-0000-0000-00002D0A0000}"/>
    <hyperlink ref="A2609" r:id="rId2607" xr:uid="{00000000-0004-0000-0000-00002E0A0000}"/>
    <hyperlink ref="A2610" r:id="rId2608" xr:uid="{00000000-0004-0000-0000-00002F0A0000}"/>
    <hyperlink ref="A2611" r:id="rId2609" xr:uid="{00000000-0004-0000-0000-0000300A0000}"/>
    <hyperlink ref="A2612" r:id="rId2610" xr:uid="{00000000-0004-0000-0000-0000310A0000}"/>
    <hyperlink ref="A2613" r:id="rId2611" xr:uid="{00000000-0004-0000-0000-0000320A0000}"/>
    <hyperlink ref="A2614" r:id="rId2612" xr:uid="{00000000-0004-0000-0000-0000330A0000}"/>
    <hyperlink ref="A2615" r:id="rId2613" xr:uid="{00000000-0004-0000-0000-0000340A0000}"/>
    <hyperlink ref="A2616" r:id="rId2614" xr:uid="{00000000-0004-0000-0000-0000350A0000}"/>
    <hyperlink ref="A2617" r:id="rId2615" xr:uid="{00000000-0004-0000-0000-0000360A0000}"/>
    <hyperlink ref="A2618" r:id="rId2616" xr:uid="{00000000-0004-0000-0000-0000370A0000}"/>
    <hyperlink ref="A2619" r:id="rId2617" xr:uid="{00000000-0004-0000-0000-0000380A0000}"/>
    <hyperlink ref="A2620" r:id="rId2618" xr:uid="{00000000-0004-0000-0000-0000390A0000}"/>
    <hyperlink ref="A2621" r:id="rId2619" xr:uid="{00000000-0004-0000-0000-00003A0A0000}"/>
    <hyperlink ref="A2622" r:id="rId2620" xr:uid="{00000000-0004-0000-0000-00003B0A0000}"/>
    <hyperlink ref="A2623" r:id="rId2621" xr:uid="{00000000-0004-0000-0000-00003C0A0000}"/>
    <hyperlink ref="A2624" r:id="rId2622" xr:uid="{00000000-0004-0000-0000-00003D0A0000}"/>
    <hyperlink ref="A2625" r:id="rId2623" xr:uid="{00000000-0004-0000-0000-00003E0A0000}"/>
    <hyperlink ref="A2626" r:id="rId2624" xr:uid="{00000000-0004-0000-0000-00003F0A0000}"/>
    <hyperlink ref="A2627" r:id="rId2625" xr:uid="{00000000-0004-0000-0000-0000400A0000}"/>
    <hyperlink ref="A2628" r:id="rId2626" xr:uid="{00000000-0004-0000-0000-0000410A0000}"/>
    <hyperlink ref="A2629" r:id="rId2627" xr:uid="{00000000-0004-0000-0000-0000420A0000}"/>
    <hyperlink ref="A2630" r:id="rId2628" xr:uid="{00000000-0004-0000-0000-0000430A0000}"/>
    <hyperlink ref="A2631" r:id="rId2629" xr:uid="{00000000-0004-0000-0000-0000440A0000}"/>
    <hyperlink ref="A2632" r:id="rId2630" xr:uid="{00000000-0004-0000-0000-0000450A0000}"/>
    <hyperlink ref="A2633" r:id="rId2631" xr:uid="{00000000-0004-0000-0000-0000460A0000}"/>
    <hyperlink ref="A2634" r:id="rId2632" xr:uid="{00000000-0004-0000-0000-0000470A0000}"/>
    <hyperlink ref="A2635" r:id="rId2633" xr:uid="{00000000-0004-0000-0000-0000480A0000}"/>
    <hyperlink ref="A2636" r:id="rId2634" xr:uid="{00000000-0004-0000-0000-0000490A0000}"/>
    <hyperlink ref="A2637" r:id="rId2635" xr:uid="{00000000-0004-0000-0000-00004A0A0000}"/>
    <hyperlink ref="A2638" r:id="rId2636" xr:uid="{00000000-0004-0000-0000-00004B0A0000}"/>
    <hyperlink ref="A2639" r:id="rId2637" xr:uid="{00000000-0004-0000-0000-00004C0A0000}"/>
    <hyperlink ref="A2640" r:id="rId2638" xr:uid="{00000000-0004-0000-0000-00004D0A0000}"/>
    <hyperlink ref="A2641" r:id="rId2639" xr:uid="{00000000-0004-0000-0000-00004E0A0000}"/>
    <hyperlink ref="A2642" r:id="rId2640" xr:uid="{00000000-0004-0000-0000-00004F0A0000}"/>
    <hyperlink ref="A2643" r:id="rId2641" xr:uid="{00000000-0004-0000-0000-0000500A0000}"/>
    <hyperlink ref="A2644" r:id="rId2642" xr:uid="{00000000-0004-0000-0000-0000510A0000}"/>
    <hyperlink ref="A2645" r:id="rId2643" xr:uid="{00000000-0004-0000-0000-0000520A0000}"/>
    <hyperlink ref="A2646" r:id="rId2644" xr:uid="{00000000-0004-0000-0000-0000530A0000}"/>
    <hyperlink ref="A2647" r:id="rId2645" xr:uid="{00000000-0004-0000-0000-0000540A0000}"/>
    <hyperlink ref="A2648" r:id="rId2646" xr:uid="{00000000-0004-0000-0000-0000550A0000}"/>
    <hyperlink ref="A2649" r:id="rId2647" xr:uid="{00000000-0004-0000-0000-0000560A0000}"/>
    <hyperlink ref="A2650" r:id="rId2648" xr:uid="{00000000-0004-0000-0000-0000570A0000}"/>
    <hyperlink ref="A2651" r:id="rId2649" xr:uid="{00000000-0004-0000-0000-0000580A0000}"/>
    <hyperlink ref="A2652" r:id="rId2650" xr:uid="{00000000-0004-0000-0000-0000590A0000}"/>
    <hyperlink ref="A2653" r:id="rId2651" xr:uid="{00000000-0004-0000-0000-00005A0A0000}"/>
    <hyperlink ref="A2654" r:id="rId2652" xr:uid="{00000000-0004-0000-0000-00005B0A0000}"/>
    <hyperlink ref="A2655" r:id="rId2653" xr:uid="{00000000-0004-0000-0000-00005C0A0000}"/>
    <hyperlink ref="A2656" r:id="rId2654" xr:uid="{00000000-0004-0000-0000-00005D0A0000}"/>
    <hyperlink ref="A2657" r:id="rId2655" xr:uid="{00000000-0004-0000-0000-00005E0A0000}"/>
    <hyperlink ref="A2658" r:id="rId2656" xr:uid="{00000000-0004-0000-0000-00005F0A0000}"/>
    <hyperlink ref="A2659" r:id="rId2657" xr:uid="{00000000-0004-0000-0000-0000600A0000}"/>
    <hyperlink ref="A2660" r:id="rId2658" xr:uid="{00000000-0004-0000-0000-0000610A0000}"/>
    <hyperlink ref="A2661" r:id="rId2659" xr:uid="{00000000-0004-0000-0000-0000620A0000}"/>
    <hyperlink ref="A2662" r:id="rId2660" xr:uid="{00000000-0004-0000-0000-0000630A0000}"/>
    <hyperlink ref="A2663" r:id="rId2661" xr:uid="{00000000-0004-0000-0000-0000640A0000}"/>
    <hyperlink ref="A2664" r:id="rId2662" xr:uid="{00000000-0004-0000-0000-0000650A0000}"/>
    <hyperlink ref="A2665" r:id="rId2663" xr:uid="{00000000-0004-0000-0000-0000660A0000}"/>
    <hyperlink ref="A2666" r:id="rId2664" xr:uid="{00000000-0004-0000-0000-0000670A0000}"/>
    <hyperlink ref="A2667" r:id="rId2665" xr:uid="{00000000-0004-0000-0000-0000680A0000}"/>
    <hyperlink ref="A2668" r:id="rId2666" xr:uid="{00000000-0004-0000-0000-0000690A0000}"/>
    <hyperlink ref="A2669" r:id="rId2667" xr:uid="{00000000-0004-0000-0000-00006A0A0000}"/>
    <hyperlink ref="A2670" r:id="rId2668" xr:uid="{00000000-0004-0000-0000-00006B0A0000}"/>
    <hyperlink ref="A2671" r:id="rId2669" xr:uid="{00000000-0004-0000-0000-00006C0A0000}"/>
    <hyperlink ref="A2672" r:id="rId2670" xr:uid="{00000000-0004-0000-0000-00006D0A0000}"/>
    <hyperlink ref="A2673" r:id="rId2671" xr:uid="{00000000-0004-0000-0000-00006E0A0000}"/>
    <hyperlink ref="A2674" r:id="rId2672" xr:uid="{00000000-0004-0000-0000-00006F0A0000}"/>
    <hyperlink ref="A2675" r:id="rId2673" xr:uid="{00000000-0004-0000-0000-0000700A0000}"/>
    <hyperlink ref="A2676" r:id="rId2674" xr:uid="{00000000-0004-0000-0000-0000710A0000}"/>
    <hyperlink ref="A2677" r:id="rId2675" xr:uid="{00000000-0004-0000-0000-0000720A0000}"/>
    <hyperlink ref="A2678" r:id="rId2676" xr:uid="{00000000-0004-0000-0000-0000730A0000}"/>
    <hyperlink ref="A2679" r:id="rId2677" xr:uid="{00000000-0004-0000-0000-0000740A0000}"/>
    <hyperlink ref="A2680" r:id="rId2678" xr:uid="{00000000-0004-0000-0000-0000750A0000}"/>
    <hyperlink ref="A2681" r:id="rId2679" xr:uid="{00000000-0004-0000-0000-0000760A0000}"/>
    <hyperlink ref="A2682" r:id="rId2680" xr:uid="{00000000-0004-0000-0000-0000770A0000}"/>
    <hyperlink ref="A2683" r:id="rId2681" xr:uid="{00000000-0004-0000-0000-0000780A0000}"/>
    <hyperlink ref="A2684" r:id="rId2682" xr:uid="{00000000-0004-0000-0000-0000790A0000}"/>
    <hyperlink ref="A2685" r:id="rId2683" xr:uid="{00000000-0004-0000-0000-00007A0A0000}"/>
    <hyperlink ref="A2686" r:id="rId2684" xr:uid="{00000000-0004-0000-0000-00007B0A0000}"/>
    <hyperlink ref="A2687" r:id="rId2685" xr:uid="{00000000-0004-0000-0000-00007C0A0000}"/>
    <hyperlink ref="A2688" r:id="rId2686" xr:uid="{00000000-0004-0000-0000-00007D0A0000}"/>
    <hyperlink ref="A2689" r:id="rId2687" xr:uid="{00000000-0004-0000-0000-00007E0A0000}"/>
    <hyperlink ref="A2690" r:id="rId2688" xr:uid="{00000000-0004-0000-0000-00007F0A0000}"/>
    <hyperlink ref="A2691" r:id="rId2689" xr:uid="{00000000-0004-0000-0000-0000800A0000}"/>
    <hyperlink ref="A2692" r:id="rId2690" xr:uid="{00000000-0004-0000-0000-0000810A0000}"/>
    <hyperlink ref="A2693" r:id="rId2691" xr:uid="{00000000-0004-0000-0000-0000820A0000}"/>
    <hyperlink ref="A2694" r:id="rId2692" xr:uid="{00000000-0004-0000-0000-0000830A0000}"/>
    <hyperlink ref="A2695" r:id="rId2693" xr:uid="{00000000-0004-0000-0000-0000840A0000}"/>
    <hyperlink ref="A2696" r:id="rId2694" xr:uid="{00000000-0004-0000-0000-0000850A0000}"/>
    <hyperlink ref="A2697" r:id="rId2695" xr:uid="{00000000-0004-0000-0000-0000860A0000}"/>
    <hyperlink ref="A2698" r:id="rId2696" xr:uid="{00000000-0004-0000-0000-0000870A0000}"/>
    <hyperlink ref="A2699" r:id="rId2697" xr:uid="{00000000-0004-0000-0000-0000880A0000}"/>
    <hyperlink ref="A2700" r:id="rId2698" xr:uid="{00000000-0004-0000-0000-0000890A0000}"/>
    <hyperlink ref="A2701" r:id="rId2699" xr:uid="{00000000-0004-0000-0000-00008A0A0000}"/>
    <hyperlink ref="A2702" r:id="rId2700" xr:uid="{00000000-0004-0000-0000-00008B0A0000}"/>
    <hyperlink ref="A2703" r:id="rId2701" xr:uid="{00000000-0004-0000-0000-00008C0A0000}"/>
    <hyperlink ref="A2704" r:id="rId2702" xr:uid="{00000000-0004-0000-0000-00008D0A0000}"/>
    <hyperlink ref="A2705" r:id="rId2703" xr:uid="{00000000-0004-0000-0000-00008E0A0000}"/>
    <hyperlink ref="A2706" r:id="rId2704" xr:uid="{00000000-0004-0000-0000-00008F0A0000}"/>
    <hyperlink ref="A2707" r:id="rId2705" xr:uid="{00000000-0004-0000-0000-0000900A0000}"/>
    <hyperlink ref="A2708" r:id="rId2706" xr:uid="{00000000-0004-0000-0000-0000910A0000}"/>
    <hyperlink ref="A2709" r:id="rId2707" xr:uid="{00000000-0004-0000-0000-0000920A0000}"/>
    <hyperlink ref="A2710" r:id="rId2708" xr:uid="{00000000-0004-0000-0000-0000930A0000}"/>
    <hyperlink ref="A2711" r:id="rId2709" xr:uid="{00000000-0004-0000-0000-0000940A0000}"/>
    <hyperlink ref="A2712" r:id="rId2710" xr:uid="{00000000-0004-0000-0000-0000950A0000}"/>
    <hyperlink ref="A2713" r:id="rId2711" xr:uid="{00000000-0004-0000-0000-0000960A0000}"/>
    <hyperlink ref="A2714" r:id="rId2712" xr:uid="{00000000-0004-0000-0000-0000970A0000}"/>
    <hyperlink ref="A2715" r:id="rId2713" xr:uid="{00000000-0004-0000-0000-0000980A0000}"/>
    <hyperlink ref="A2716" r:id="rId2714" xr:uid="{00000000-0004-0000-0000-0000990A0000}"/>
    <hyperlink ref="A2717" r:id="rId2715" xr:uid="{00000000-0004-0000-0000-00009A0A0000}"/>
    <hyperlink ref="A2718" r:id="rId2716" xr:uid="{00000000-0004-0000-0000-00009B0A0000}"/>
    <hyperlink ref="A2719" r:id="rId2717" xr:uid="{00000000-0004-0000-0000-00009C0A0000}"/>
    <hyperlink ref="A2720" r:id="rId2718" xr:uid="{00000000-0004-0000-0000-00009D0A0000}"/>
    <hyperlink ref="A2721" r:id="rId2719" xr:uid="{00000000-0004-0000-0000-00009E0A0000}"/>
    <hyperlink ref="A2722" r:id="rId2720" xr:uid="{00000000-0004-0000-0000-00009F0A0000}"/>
    <hyperlink ref="A2723" r:id="rId2721" xr:uid="{00000000-0004-0000-0000-0000A00A0000}"/>
    <hyperlink ref="A2724" r:id="rId2722" xr:uid="{00000000-0004-0000-0000-0000A10A0000}"/>
    <hyperlink ref="A2725" r:id="rId2723" xr:uid="{00000000-0004-0000-0000-0000A20A0000}"/>
    <hyperlink ref="A2726" r:id="rId2724" xr:uid="{00000000-0004-0000-0000-0000A30A0000}"/>
    <hyperlink ref="A2727" r:id="rId2725" xr:uid="{00000000-0004-0000-0000-0000A40A0000}"/>
    <hyperlink ref="A2728" r:id="rId2726" xr:uid="{00000000-0004-0000-0000-0000A50A0000}"/>
    <hyperlink ref="A2729" r:id="rId2727" xr:uid="{00000000-0004-0000-0000-0000A60A0000}"/>
    <hyperlink ref="A2730" r:id="rId2728" xr:uid="{00000000-0004-0000-0000-0000A70A0000}"/>
    <hyperlink ref="A2731" r:id="rId2729" xr:uid="{00000000-0004-0000-0000-0000A80A0000}"/>
    <hyperlink ref="A2732" r:id="rId2730" xr:uid="{00000000-0004-0000-0000-0000A90A0000}"/>
    <hyperlink ref="A2733" r:id="rId2731" xr:uid="{00000000-0004-0000-0000-0000AA0A0000}"/>
    <hyperlink ref="A2734" r:id="rId2732" xr:uid="{00000000-0004-0000-0000-0000AB0A0000}"/>
    <hyperlink ref="A2735" r:id="rId2733" xr:uid="{00000000-0004-0000-0000-0000AC0A0000}"/>
    <hyperlink ref="A2736" r:id="rId2734" xr:uid="{00000000-0004-0000-0000-0000AD0A0000}"/>
    <hyperlink ref="A2737" r:id="rId2735" xr:uid="{00000000-0004-0000-0000-0000AE0A0000}"/>
    <hyperlink ref="A2738" r:id="rId2736" xr:uid="{00000000-0004-0000-0000-0000AF0A0000}"/>
    <hyperlink ref="A2739" r:id="rId2737" xr:uid="{00000000-0004-0000-0000-0000B00A0000}"/>
    <hyperlink ref="A2740" r:id="rId2738" xr:uid="{00000000-0004-0000-0000-0000B10A0000}"/>
    <hyperlink ref="A2741" r:id="rId2739" xr:uid="{00000000-0004-0000-0000-0000B20A0000}"/>
    <hyperlink ref="A2742" r:id="rId2740" xr:uid="{00000000-0004-0000-0000-0000B30A0000}"/>
    <hyperlink ref="A2743" r:id="rId2741" xr:uid="{00000000-0004-0000-0000-0000B40A0000}"/>
    <hyperlink ref="A2744" r:id="rId2742" xr:uid="{00000000-0004-0000-0000-0000B50A0000}"/>
    <hyperlink ref="A2745" r:id="rId2743" xr:uid="{00000000-0004-0000-0000-0000B60A0000}"/>
    <hyperlink ref="A2746" r:id="rId2744" xr:uid="{00000000-0004-0000-0000-0000B70A0000}"/>
    <hyperlink ref="A2747" r:id="rId2745" xr:uid="{00000000-0004-0000-0000-0000B80A0000}"/>
    <hyperlink ref="A2748" r:id="rId2746" xr:uid="{00000000-0004-0000-0000-0000B90A0000}"/>
    <hyperlink ref="A2749" r:id="rId2747" xr:uid="{00000000-0004-0000-0000-0000BA0A0000}"/>
    <hyperlink ref="A2750" r:id="rId2748" xr:uid="{00000000-0004-0000-0000-0000BB0A0000}"/>
    <hyperlink ref="A2751" r:id="rId2749" xr:uid="{00000000-0004-0000-0000-0000BC0A0000}"/>
    <hyperlink ref="A2752" r:id="rId2750" xr:uid="{00000000-0004-0000-0000-0000BD0A0000}"/>
    <hyperlink ref="A2753" r:id="rId2751" xr:uid="{00000000-0004-0000-0000-0000BE0A0000}"/>
    <hyperlink ref="A2754" r:id="rId2752" xr:uid="{00000000-0004-0000-0000-0000BF0A0000}"/>
    <hyperlink ref="A2755" r:id="rId2753" xr:uid="{00000000-0004-0000-0000-0000C00A0000}"/>
    <hyperlink ref="A2756" r:id="rId2754" xr:uid="{00000000-0004-0000-0000-0000C10A0000}"/>
    <hyperlink ref="A2757" r:id="rId2755" xr:uid="{00000000-0004-0000-0000-0000C20A0000}"/>
    <hyperlink ref="A2758" r:id="rId2756" xr:uid="{00000000-0004-0000-0000-0000C30A0000}"/>
    <hyperlink ref="A2759" r:id="rId2757" xr:uid="{00000000-0004-0000-0000-0000C40A0000}"/>
    <hyperlink ref="A2760" r:id="rId2758" xr:uid="{00000000-0004-0000-0000-0000C50A0000}"/>
    <hyperlink ref="A2761" r:id="rId2759" xr:uid="{00000000-0004-0000-0000-0000C60A0000}"/>
    <hyperlink ref="A2762" r:id="rId2760" xr:uid="{00000000-0004-0000-0000-0000C70A0000}"/>
    <hyperlink ref="A2763" r:id="rId2761" xr:uid="{00000000-0004-0000-0000-0000C80A0000}"/>
    <hyperlink ref="A2764" r:id="rId2762" xr:uid="{00000000-0004-0000-0000-0000C90A0000}"/>
    <hyperlink ref="A2765" r:id="rId2763" xr:uid="{00000000-0004-0000-0000-0000CA0A0000}"/>
    <hyperlink ref="A2766" r:id="rId2764" xr:uid="{00000000-0004-0000-0000-0000CB0A0000}"/>
    <hyperlink ref="A2767" r:id="rId2765" xr:uid="{00000000-0004-0000-0000-0000CC0A0000}"/>
    <hyperlink ref="A2768" r:id="rId2766" xr:uid="{00000000-0004-0000-0000-0000CD0A0000}"/>
    <hyperlink ref="A2769" r:id="rId2767" xr:uid="{00000000-0004-0000-0000-0000CE0A0000}"/>
    <hyperlink ref="A2770" r:id="rId2768" xr:uid="{00000000-0004-0000-0000-0000CF0A0000}"/>
    <hyperlink ref="A2771" r:id="rId2769" xr:uid="{00000000-0004-0000-0000-0000D00A0000}"/>
    <hyperlink ref="A2772" r:id="rId2770" xr:uid="{00000000-0004-0000-0000-0000D10A0000}"/>
    <hyperlink ref="A2773" r:id="rId2771" xr:uid="{00000000-0004-0000-0000-0000D20A0000}"/>
    <hyperlink ref="A2774" r:id="rId2772" xr:uid="{00000000-0004-0000-0000-0000D30A0000}"/>
    <hyperlink ref="A2775" r:id="rId2773" xr:uid="{00000000-0004-0000-0000-0000D40A0000}"/>
    <hyperlink ref="A2776" r:id="rId2774" xr:uid="{00000000-0004-0000-0000-0000D50A0000}"/>
    <hyperlink ref="A2777" r:id="rId2775" xr:uid="{00000000-0004-0000-0000-0000D60A0000}"/>
    <hyperlink ref="A2778" r:id="rId2776" xr:uid="{00000000-0004-0000-0000-0000D70A0000}"/>
    <hyperlink ref="A2779" r:id="rId2777" xr:uid="{00000000-0004-0000-0000-0000D80A0000}"/>
    <hyperlink ref="A2780" r:id="rId2778" xr:uid="{00000000-0004-0000-0000-0000D90A0000}"/>
    <hyperlink ref="A2781" r:id="rId2779" xr:uid="{00000000-0004-0000-0000-0000DA0A0000}"/>
    <hyperlink ref="A2782" r:id="rId2780" xr:uid="{00000000-0004-0000-0000-0000DB0A0000}"/>
    <hyperlink ref="A2783" r:id="rId2781" xr:uid="{00000000-0004-0000-0000-0000DC0A0000}"/>
    <hyperlink ref="A2784" r:id="rId2782" xr:uid="{00000000-0004-0000-0000-0000DD0A0000}"/>
    <hyperlink ref="A2785" r:id="rId2783" xr:uid="{00000000-0004-0000-0000-0000DE0A0000}"/>
    <hyperlink ref="A2786" r:id="rId2784" xr:uid="{00000000-0004-0000-0000-0000DF0A0000}"/>
    <hyperlink ref="A2787" r:id="rId2785" xr:uid="{00000000-0004-0000-0000-0000E00A0000}"/>
    <hyperlink ref="A2788" r:id="rId2786" xr:uid="{00000000-0004-0000-0000-0000E10A0000}"/>
    <hyperlink ref="A2789" r:id="rId2787" xr:uid="{00000000-0004-0000-0000-0000E20A0000}"/>
    <hyperlink ref="A2790" r:id="rId2788" xr:uid="{00000000-0004-0000-0000-0000E30A0000}"/>
    <hyperlink ref="A2791" r:id="rId2789" xr:uid="{00000000-0004-0000-0000-0000E40A0000}"/>
    <hyperlink ref="A2792" r:id="rId2790" xr:uid="{00000000-0004-0000-0000-0000E50A0000}"/>
    <hyperlink ref="A2793" r:id="rId2791" xr:uid="{00000000-0004-0000-0000-0000E60A0000}"/>
    <hyperlink ref="A2794" r:id="rId2792" xr:uid="{00000000-0004-0000-0000-0000E70A0000}"/>
    <hyperlink ref="A2795" r:id="rId2793" xr:uid="{00000000-0004-0000-0000-0000E80A0000}"/>
    <hyperlink ref="A2796" r:id="rId2794" xr:uid="{00000000-0004-0000-0000-0000E90A0000}"/>
    <hyperlink ref="A2797" r:id="rId2795" xr:uid="{00000000-0004-0000-0000-0000EA0A0000}"/>
    <hyperlink ref="A2798" r:id="rId2796" xr:uid="{00000000-0004-0000-0000-0000EB0A0000}"/>
    <hyperlink ref="A2799" r:id="rId2797" xr:uid="{00000000-0004-0000-0000-0000EC0A0000}"/>
    <hyperlink ref="A2800" r:id="rId2798" xr:uid="{00000000-0004-0000-0000-0000ED0A0000}"/>
    <hyperlink ref="A2801" r:id="rId2799" xr:uid="{00000000-0004-0000-0000-0000EE0A0000}"/>
    <hyperlink ref="A2802" r:id="rId2800" xr:uid="{00000000-0004-0000-0000-0000EF0A0000}"/>
    <hyperlink ref="A2803" r:id="rId2801" xr:uid="{00000000-0004-0000-0000-0000F00A0000}"/>
    <hyperlink ref="A2804" r:id="rId2802" xr:uid="{00000000-0004-0000-0000-0000F10A0000}"/>
    <hyperlink ref="A2805" r:id="rId2803" xr:uid="{00000000-0004-0000-0000-0000F20A0000}"/>
    <hyperlink ref="A2806" r:id="rId2804" xr:uid="{00000000-0004-0000-0000-0000F30A0000}"/>
    <hyperlink ref="A2807" r:id="rId2805" xr:uid="{00000000-0004-0000-0000-0000F40A0000}"/>
    <hyperlink ref="A2808" r:id="rId2806" xr:uid="{00000000-0004-0000-0000-0000F50A0000}"/>
    <hyperlink ref="A2809" r:id="rId2807" xr:uid="{00000000-0004-0000-0000-0000F60A0000}"/>
    <hyperlink ref="A2810" r:id="rId2808" xr:uid="{00000000-0004-0000-0000-0000F70A0000}"/>
    <hyperlink ref="A2811" r:id="rId2809" xr:uid="{00000000-0004-0000-0000-0000F80A0000}"/>
    <hyperlink ref="A2812" r:id="rId2810" xr:uid="{00000000-0004-0000-0000-0000F90A0000}"/>
    <hyperlink ref="A2813" r:id="rId2811" xr:uid="{00000000-0004-0000-0000-0000FA0A0000}"/>
    <hyperlink ref="A2814" r:id="rId2812" xr:uid="{00000000-0004-0000-0000-0000FB0A0000}"/>
    <hyperlink ref="A2815" r:id="rId2813" xr:uid="{00000000-0004-0000-0000-0000FC0A0000}"/>
    <hyperlink ref="A2816" r:id="rId2814" xr:uid="{00000000-0004-0000-0000-0000FD0A0000}"/>
    <hyperlink ref="A2817" r:id="rId2815" xr:uid="{00000000-0004-0000-0000-0000FE0A0000}"/>
    <hyperlink ref="A2818" r:id="rId2816" xr:uid="{00000000-0004-0000-0000-0000FF0A0000}"/>
    <hyperlink ref="A2819" r:id="rId2817" xr:uid="{00000000-0004-0000-0000-0000000B0000}"/>
    <hyperlink ref="A2820" r:id="rId2818" xr:uid="{00000000-0004-0000-0000-0000010B0000}"/>
    <hyperlink ref="A2821" r:id="rId2819" xr:uid="{00000000-0004-0000-0000-0000020B0000}"/>
    <hyperlink ref="A2822" r:id="rId2820" xr:uid="{00000000-0004-0000-0000-0000030B0000}"/>
    <hyperlink ref="A2823" r:id="rId2821" xr:uid="{00000000-0004-0000-0000-0000040B0000}"/>
    <hyperlink ref="A2824" r:id="rId2822" xr:uid="{00000000-0004-0000-0000-0000050B0000}"/>
    <hyperlink ref="A2825" r:id="rId2823" xr:uid="{00000000-0004-0000-0000-0000060B0000}"/>
    <hyperlink ref="A2826" r:id="rId2824" xr:uid="{00000000-0004-0000-0000-0000070B0000}"/>
    <hyperlink ref="A2827" r:id="rId2825" xr:uid="{00000000-0004-0000-0000-0000080B0000}"/>
    <hyperlink ref="A2828" r:id="rId2826" xr:uid="{00000000-0004-0000-0000-0000090B0000}"/>
    <hyperlink ref="A2829" r:id="rId2827" xr:uid="{00000000-0004-0000-0000-00000A0B0000}"/>
    <hyperlink ref="A2830" r:id="rId2828" xr:uid="{00000000-0004-0000-0000-00000B0B0000}"/>
    <hyperlink ref="A2831" r:id="rId2829" xr:uid="{00000000-0004-0000-0000-00000C0B0000}"/>
    <hyperlink ref="A2832" r:id="rId2830" xr:uid="{00000000-0004-0000-0000-00000D0B0000}"/>
    <hyperlink ref="A2833" r:id="rId2831" xr:uid="{00000000-0004-0000-0000-00000E0B0000}"/>
    <hyperlink ref="A2834" r:id="rId2832" xr:uid="{00000000-0004-0000-0000-00000F0B0000}"/>
    <hyperlink ref="A2835" r:id="rId2833" xr:uid="{00000000-0004-0000-0000-0000100B0000}"/>
    <hyperlink ref="A2836" r:id="rId2834" xr:uid="{00000000-0004-0000-0000-0000110B0000}"/>
    <hyperlink ref="A2837" r:id="rId2835" xr:uid="{00000000-0004-0000-0000-0000120B0000}"/>
    <hyperlink ref="A2838" r:id="rId2836" xr:uid="{00000000-0004-0000-0000-0000130B0000}"/>
    <hyperlink ref="A2839" r:id="rId2837" xr:uid="{00000000-0004-0000-0000-0000140B0000}"/>
    <hyperlink ref="A2840" r:id="rId2838" xr:uid="{00000000-0004-0000-0000-0000150B0000}"/>
    <hyperlink ref="A2841" r:id="rId2839" xr:uid="{00000000-0004-0000-0000-0000160B0000}"/>
    <hyperlink ref="A2842" r:id="rId2840" xr:uid="{00000000-0004-0000-0000-0000170B0000}"/>
    <hyperlink ref="A2843" r:id="rId2841" xr:uid="{00000000-0004-0000-0000-0000180B0000}"/>
    <hyperlink ref="A2844" r:id="rId2842" xr:uid="{00000000-0004-0000-0000-0000190B0000}"/>
    <hyperlink ref="A2845" r:id="rId2843" xr:uid="{00000000-0004-0000-0000-00001A0B0000}"/>
    <hyperlink ref="A2846" r:id="rId2844" xr:uid="{00000000-0004-0000-0000-00001B0B0000}"/>
    <hyperlink ref="A2847" r:id="rId2845" xr:uid="{00000000-0004-0000-0000-00001C0B0000}"/>
    <hyperlink ref="A2848" r:id="rId2846" xr:uid="{00000000-0004-0000-0000-00001D0B0000}"/>
    <hyperlink ref="A2849" r:id="rId2847" xr:uid="{00000000-0004-0000-0000-00001E0B0000}"/>
    <hyperlink ref="A2850" r:id="rId2848" xr:uid="{00000000-0004-0000-0000-00001F0B0000}"/>
    <hyperlink ref="A2851" r:id="rId2849" xr:uid="{00000000-0004-0000-0000-0000200B0000}"/>
    <hyperlink ref="A2852" r:id="rId2850" xr:uid="{00000000-0004-0000-0000-0000210B0000}"/>
    <hyperlink ref="A2853" r:id="rId2851" xr:uid="{00000000-0004-0000-0000-0000220B0000}"/>
    <hyperlink ref="A2854" r:id="rId2852" xr:uid="{00000000-0004-0000-0000-0000230B0000}"/>
    <hyperlink ref="A2855" r:id="rId2853" xr:uid="{00000000-0004-0000-0000-0000240B0000}"/>
    <hyperlink ref="A2856" r:id="rId2854" xr:uid="{00000000-0004-0000-0000-0000250B0000}"/>
    <hyperlink ref="A2857" r:id="rId2855" xr:uid="{00000000-0004-0000-0000-0000260B0000}"/>
    <hyperlink ref="A2858" r:id="rId2856" xr:uid="{00000000-0004-0000-0000-0000270B0000}"/>
    <hyperlink ref="A2859" r:id="rId2857" xr:uid="{00000000-0004-0000-0000-0000280B0000}"/>
    <hyperlink ref="A2860" r:id="rId2858" xr:uid="{00000000-0004-0000-0000-0000290B0000}"/>
    <hyperlink ref="A2861" r:id="rId2859" xr:uid="{00000000-0004-0000-0000-00002A0B0000}"/>
    <hyperlink ref="A2862" r:id="rId2860" xr:uid="{00000000-0004-0000-0000-00002B0B0000}"/>
    <hyperlink ref="A2863" r:id="rId2861" xr:uid="{00000000-0004-0000-0000-00002C0B0000}"/>
    <hyperlink ref="A2864" r:id="rId2862" xr:uid="{00000000-0004-0000-0000-00002D0B0000}"/>
    <hyperlink ref="A2865" r:id="rId2863" xr:uid="{00000000-0004-0000-0000-00002E0B0000}"/>
    <hyperlink ref="A2866" r:id="rId2864" xr:uid="{00000000-0004-0000-0000-00002F0B0000}"/>
    <hyperlink ref="A2867" r:id="rId2865" xr:uid="{00000000-0004-0000-0000-0000300B0000}"/>
    <hyperlink ref="A2868" r:id="rId2866" xr:uid="{00000000-0004-0000-0000-0000310B0000}"/>
    <hyperlink ref="A2869" r:id="rId2867" xr:uid="{00000000-0004-0000-0000-0000320B0000}"/>
    <hyperlink ref="A2870" r:id="rId2868" xr:uid="{00000000-0004-0000-0000-0000330B0000}"/>
    <hyperlink ref="A2871" r:id="rId2869" xr:uid="{00000000-0004-0000-0000-0000340B0000}"/>
    <hyperlink ref="A2872" r:id="rId2870" xr:uid="{00000000-0004-0000-0000-0000350B0000}"/>
    <hyperlink ref="A2873" r:id="rId2871" xr:uid="{00000000-0004-0000-0000-0000360B0000}"/>
    <hyperlink ref="A2874" r:id="rId2872" xr:uid="{00000000-0004-0000-0000-0000370B0000}"/>
    <hyperlink ref="A2875" r:id="rId2873" xr:uid="{00000000-0004-0000-0000-0000380B0000}"/>
    <hyperlink ref="A2876" r:id="rId2874" xr:uid="{00000000-0004-0000-0000-0000390B0000}"/>
    <hyperlink ref="A2877" r:id="rId2875" xr:uid="{00000000-0004-0000-0000-00003A0B0000}"/>
    <hyperlink ref="A2878" r:id="rId2876" xr:uid="{00000000-0004-0000-0000-00003B0B0000}"/>
    <hyperlink ref="A2879" r:id="rId2877" xr:uid="{00000000-0004-0000-0000-00003C0B0000}"/>
    <hyperlink ref="A2880" r:id="rId2878" xr:uid="{00000000-0004-0000-0000-00003D0B0000}"/>
    <hyperlink ref="A2881" r:id="rId2879" xr:uid="{00000000-0004-0000-0000-00003E0B0000}"/>
    <hyperlink ref="A2882" r:id="rId2880" xr:uid="{00000000-0004-0000-0000-00003F0B0000}"/>
    <hyperlink ref="A2883" r:id="rId2881" xr:uid="{00000000-0004-0000-0000-0000400B0000}"/>
    <hyperlink ref="A2884" r:id="rId2882" xr:uid="{00000000-0004-0000-0000-0000410B0000}"/>
    <hyperlink ref="A2885" r:id="rId2883" xr:uid="{00000000-0004-0000-0000-0000420B0000}"/>
    <hyperlink ref="A2886" r:id="rId2884" xr:uid="{00000000-0004-0000-0000-0000430B0000}"/>
    <hyperlink ref="A2887" r:id="rId2885" xr:uid="{00000000-0004-0000-0000-0000440B0000}"/>
    <hyperlink ref="A2888" r:id="rId2886" xr:uid="{00000000-0004-0000-0000-0000450B0000}"/>
    <hyperlink ref="A2889" r:id="rId2887" xr:uid="{00000000-0004-0000-0000-0000460B0000}"/>
    <hyperlink ref="A2890" r:id="rId2888" xr:uid="{00000000-0004-0000-0000-0000470B0000}"/>
    <hyperlink ref="A2891" r:id="rId2889" xr:uid="{00000000-0004-0000-0000-0000480B0000}"/>
    <hyperlink ref="A2892" r:id="rId2890" xr:uid="{00000000-0004-0000-0000-0000490B0000}"/>
    <hyperlink ref="A2893" r:id="rId2891" xr:uid="{00000000-0004-0000-0000-00004A0B0000}"/>
    <hyperlink ref="A2894" r:id="rId2892" xr:uid="{00000000-0004-0000-0000-00004B0B0000}"/>
    <hyperlink ref="A2895" r:id="rId2893" xr:uid="{00000000-0004-0000-0000-00004C0B0000}"/>
    <hyperlink ref="A2896" r:id="rId2894" xr:uid="{00000000-0004-0000-0000-00004D0B0000}"/>
    <hyperlink ref="A2897" r:id="rId2895" xr:uid="{00000000-0004-0000-0000-00004E0B0000}"/>
    <hyperlink ref="A2898" r:id="rId2896" xr:uid="{00000000-0004-0000-0000-00004F0B0000}"/>
    <hyperlink ref="A2899" r:id="rId2897" xr:uid="{00000000-0004-0000-0000-0000500B0000}"/>
    <hyperlink ref="A2900" r:id="rId2898" xr:uid="{00000000-0004-0000-0000-0000510B0000}"/>
    <hyperlink ref="A2901" r:id="rId2899" xr:uid="{00000000-0004-0000-0000-0000520B0000}"/>
    <hyperlink ref="A2902" r:id="rId2900" xr:uid="{00000000-0004-0000-0000-0000530B0000}"/>
    <hyperlink ref="A2903" r:id="rId2901" xr:uid="{00000000-0004-0000-0000-0000540B0000}"/>
    <hyperlink ref="A2904" r:id="rId2902" xr:uid="{00000000-0004-0000-0000-0000550B0000}"/>
    <hyperlink ref="A2905" r:id="rId2903" xr:uid="{00000000-0004-0000-0000-0000560B0000}"/>
    <hyperlink ref="A2906" r:id="rId2904" xr:uid="{00000000-0004-0000-0000-0000570B0000}"/>
    <hyperlink ref="A2907" r:id="rId2905" xr:uid="{00000000-0004-0000-0000-0000580B0000}"/>
    <hyperlink ref="A2908" r:id="rId2906" xr:uid="{00000000-0004-0000-0000-0000590B0000}"/>
    <hyperlink ref="A2909" r:id="rId2907" xr:uid="{00000000-0004-0000-0000-00005A0B0000}"/>
    <hyperlink ref="A2910" r:id="rId2908" xr:uid="{00000000-0004-0000-0000-00005B0B0000}"/>
    <hyperlink ref="A2911" r:id="rId2909" xr:uid="{00000000-0004-0000-0000-00005C0B0000}"/>
    <hyperlink ref="A2912" r:id="rId2910" xr:uid="{00000000-0004-0000-0000-00005D0B0000}"/>
    <hyperlink ref="A2913" r:id="rId2911" xr:uid="{00000000-0004-0000-0000-00005E0B0000}"/>
    <hyperlink ref="A2914" r:id="rId2912" xr:uid="{00000000-0004-0000-0000-00005F0B0000}"/>
    <hyperlink ref="A2915" r:id="rId2913" xr:uid="{00000000-0004-0000-0000-0000600B0000}"/>
    <hyperlink ref="A2916" r:id="rId2914" xr:uid="{00000000-0004-0000-0000-0000610B0000}"/>
    <hyperlink ref="A2917" r:id="rId2915" xr:uid="{00000000-0004-0000-0000-0000620B0000}"/>
    <hyperlink ref="A2918" r:id="rId2916" xr:uid="{00000000-0004-0000-0000-0000630B0000}"/>
    <hyperlink ref="A2919" r:id="rId2917" xr:uid="{00000000-0004-0000-0000-0000640B0000}"/>
    <hyperlink ref="A2920" r:id="rId2918" xr:uid="{00000000-0004-0000-0000-0000650B0000}"/>
    <hyperlink ref="A2921" r:id="rId2919" xr:uid="{00000000-0004-0000-0000-0000660B0000}"/>
    <hyperlink ref="A2922" r:id="rId2920" xr:uid="{00000000-0004-0000-0000-0000670B0000}"/>
    <hyperlink ref="A2923" r:id="rId2921" xr:uid="{00000000-0004-0000-0000-0000680B0000}"/>
    <hyperlink ref="A2924" r:id="rId2922" xr:uid="{00000000-0004-0000-0000-0000690B0000}"/>
    <hyperlink ref="A2925" r:id="rId2923" xr:uid="{00000000-0004-0000-0000-00006A0B0000}"/>
    <hyperlink ref="A2926" r:id="rId2924" xr:uid="{00000000-0004-0000-0000-00006B0B0000}"/>
    <hyperlink ref="A2927" r:id="rId2925" xr:uid="{00000000-0004-0000-0000-00006C0B0000}"/>
    <hyperlink ref="A2928" r:id="rId2926" xr:uid="{00000000-0004-0000-0000-00006D0B0000}"/>
    <hyperlink ref="A2929" r:id="rId2927" xr:uid="{00000000-0004-0000-0000-00006E0B0000}"/>
    <hyperlink ref="A2930" r:id="rId2928" xr:uid="{00000000-0004-0000-0000-00006F0B0000}"/>
    <hyperlink ref="A2931" r:id="rId2929" xr:uid="{00000000-0004-0000-0000-0000700B0000}"/>
    <hyperlink ref="A2932" r:id="rId2930" xr:uid="{00000000-0004-0000-0000-0000710B0000}"/>
    <hyperlink ref="A2933" r:id="rId2931" xr:uid="{00000000-0004-0000-0000-0000720B0000}"/>
    <hyperlink ref="A2934" r:id="rId2932" xr:uid="{00000000-0004-0000-0000-0000730B0000}"/>
    <hyperlink ref="A2935" r:id="rId2933" xr:uid="{00000000-0004-0000-0000-0000740B0000}"/>
    <hyperlink ref="A2936" r:id="rId2934" xr:uid="{00000000-0004-0000-0000-0000750B0000}"/>
    <hyperlink ref="A2937" r:id="rId2935" xr:uid="{00000000-0004-0000-0000-0000760B0000}"/>
    <hyperlink ref="A2938" r:id="rId2936" xr:uid="{00000000-0004-0000-0000-0000770B0000}"/>
    <hyperlink ref="A2939" r:id="rId2937" xr:uid="{00000000-0004-0000-0000-0000780B0000}"/>
    <hyperlink ref="A2940" r:id="rId2938" xr:uid="{00000000-0004-0000-0000-0000790B0000}"/>
    <hyperlink ref="A2941" r:id="rId2939" xr:uid="{00000000-0004-0000-0000-00007A0B0000}"/>
    <hyperlink ref="A2942" r:id="rId2940" xr:uid="{00000000-0004-0000-0000-00007B0B0000}"/>
    <hyperlink ref="A2943" r:id="rId2941" xr:uid="{00000000-0004-0000-0000-00007C0B0000}"/>
    <hyperlink ref="A2944" r:id="rId2942" xr:uid="{00000000-0004-0000-0000-00007D0B0000}"/>
    <hyperlink ref="A2945" r:id="rId2943" xr:uid="{00000000-0004-0000-0000-00007E0B0000}"/>
    <hyperlink ref="A2946" r:id="rId2944" xr:uid="{00000000-0004-0000-0000-00007F0B0000}"/>
    <hyperlink ref="A2947" r:id="rId2945" xr:uid="{00000000-0004-0000-0000-0000800B0000}"/>
    <hyperlink ref="A2948" r:id="rId2946" xr:uid="{00000000-0004-0000-0000-0000810B0000}"/>
    <hyperlink ref="A2949" r:id="rId2947" xr:uid="{00000000-0004-0000-0000-0000820B0000}"/>
    <hyperlink ref="A2950" r:id="rId2948" xr:uid="{00000000-0004-0000-0000-0000830B0000}"/>
    <hyperlink ref="A2951" r:id="rId2949" xr:uid="{00000000-0004-0000-0000-0000840B0000}"/>
    <hyperlink ref="A2952" r:id="rId2950" xr:uid="{00000000-0004-0000-0000-0000850B0000}"/>
    <hyperlink ref="A2953" r:id="rId2951" xr:uid="{00000000-0004-0000-0000-0000860B0000}"/>
    <hyperlink ref="A2954" r:id="rId2952" xr:uid="{00000000-0004-0000-0000-0000870B0000}"/>
    <hyperlink ref="A2955" r:id="rId2953" xr:uid="{00000000-0004-0000-0000-0000880B0000}"/>
    <hyperlink ref="A2956" r:id="rId2954" xr:uid="{00000000-0004-0000-0000-0000890B0000}"/>
    <hyperlink ref="A2957" r:id="rId2955" xr:uid="{00000000-0004-0000-0000-00008A0B0000}"/>
    <hyperlink ref="A2958" r:id="rId2956" xr:uid="{00000000-0004-0000-0000-00008B0B0000}"/>
    <hyperlink ref="A2959" r:id="rId2957" xr:uid="{00000000-0004-0000-0000-00008C0B0000}"/>
    <hyperlink ref="A2960" r:id="rId2958" xr:uid="{00000000-0004-0000-0000-00008D0B0000}"/>
    <hyperlink ref="A2961" r:id="rId2959" xr:uid="{00000000-0004-0000-0000-00008E0B0000}"/>
    <hyperlink ref="A2962" r:id="rId2960" xr:uid="{00000000-0004-0000-0000-00008F0B0000}"/>
    <hyperlink ref="A2963" r:id="rId2961" xr:uid="{00000000-0004-0000-0000-0000900B0000}"/>
    <hyperlink ref="A2964" r:id="rId2962" xr:uid="{00000000-0004-0000-0000-0000910B0000}"/>
    <hyperlink ref="A2965" r:id="rId2963" xr:uid="{00000000-0004-0000-0000-0000920B0000}"/>
    <hyperlink ref="A2966" r:id="rId2964" xr:uid="{00000000-0004-0000-0000-0000930B0000}"/>
    <hyperlink ref="A2967" r:id="rId2965" xr:uid="{00000000-0004-0000-0000-0000940B0000}"/>
    <hyperlink ref="A2968" r:id="rId2966" xr:uid="{00000000-0004-0000-0000-0000950B0000}"/>
    <hyperlink ref="A2969" r:id="rId2967" xr:uid="{00000000-0004-0000-0000-0000960B0000}"/>
    <hyperlink ref="A2970" r:id="rId2968" xr:uid="{00000000-0004-0000-0000-0000970B0000}"/>
    <hyperlink ref="A2971" r:id="rId2969" xr:uid="{00000000-0004-0000-0000-0000980B0000}"/>
    <hyperlink ref="A2972" r:id="rId2970" xr:uid="{00000000-0004-0000-0000-0000990B0000}"/>
    <hyperlink ref="A2973" r:id="rId2971" xr:uid="{00000000-0004-0000-0000-00009A0B0000}"/>
    <hyperlink ref="A2974" r:id="rId2972" xr:uid="{00000000-0004-0000-0000-00009B0B0000}"/>
    <hyperlink ref="A2975" r:id="rId2973" xr:uid="{00000000-0004-0000-0000-00009C0B0000}"/>
    <hyperlink ref="A2976" r:id="rId2974" xr:uid="{00000000-0004-0000-0000-00009D0B0000}"/>
    <hyperlink ref="A2977" r:id="rId2975" xr:uid="{00000000-0004-0000-0000-00009E0B0000}"/>
    <hyperlink ref="A2978" r:id="rId2976" xr:uid="{00000000-0004-0000-0000-00009F0B0000}"/>
    <hyperlink ref="A2979" r:id="rId2977" xr:uid="{00000000-0004-0000-0000-0000A00B0000}"/>
    <hyperlink ref="A2980" r:id="rId2978" xr:uid="{00000000-0004-0000-0000-0000A10B0000}"/>
    <hyperlink ref="A2981" r:id="rId2979" xr:uid="{00000000-0004-0000-0000-0000A20B0000}"/>
    <hyperlink ref="A2982" r:id="rId2980" xr:uid="{00000000-0004-0000-0000-0000A30B0000}"/>
    <hyperlink ref="A2983" r:id="rId2981" xr:uid="{00000000-0004-0000-0000-0000A40B0000}"/>
    <hyperlink ref="A2984" r:id="rId2982" xr:uid="{00000000-0004-0000-0000-0000A50B0000}"/>
    <hyperlink ref="A2985" r:id="rId2983" xr:uid="{00000000-0004-0000-0000-0000A60B0000}"/>
    <hyperlink ref="A2986" r:id="rId2984" xr:uid="{00000000-0004-0000-0000-0000A70B0000}"/>
    <hyperlink ref="A2987" r:id="rId2985" xr:uid="{00000000-0004-0000-0000-0000A80B0000}"/>
    <hyperlink ref="A2988" r:id="rId2986" xr:uid="{00000000-0004-0000-0000-0000A90B0000}"/>
    <hyperlink ref="A2989" r:id="rId2987" xr:uid="{00000000-0004-0000-0000-0000AA0B0000}"/>
    <hyperlink ref="A2990" r:id="rId2988" xr:uid="{00000000-0004-0000-0000-0000AB0B0000}"/>
    <hyperlink ref="A2991" r:id="rId2989" xr:uid="{00000000-0004-0000-0000-0000AC0B0000}"/>
    <hyperlink ref="A2992" r:id="rId2990" xr:uid="{00000000-0004-0000-0000-0000AD0B0000}"/>
    <hyperlink ref="A2993" r:id="rId2991" xr:uid="{00000000-0004-0000-0000-0000AE0B0000}"/>
    <hyperlink ref="A2994" r:id="rId2992" xr:uid="{00000000-0004-0000-0000-0000AF0B0000}"/>
    <hyperlink ref="A2995" r:id="rId2993" xr:uid="{00000000-0004-0000-0000-0000B00B0000}"/>
    <hyperlink ref="A2996" r:id="rId2994" xr:uid="{00000000-0004-0000-0000-0000B10B0000}"/>
    <hyperlink ref="A2997" r:id="rId2995" xr:uid="{00000000-0004-0000-0000-0000B20B0000}"/>
    <hyperlink ref="A2998" r:id="rId2996" xr:uid="{00000000-0004-0000-0000-0000B30B0000}"/>
    <hyperlink ref="A2999" r:id="rId2997" xr:uid="{00000000-0004-0000-0000-0000B40B0000}"/>
    <hyperlink ref="A3000" r:id="rId2998" xr:uid="{00000000-0004-0000-0000-0000B50B0000}"/>
    <hyperlink ref="A3001" r:id="rId2999" xr:uid="{00000000-0004-0000-0000-0000B60B0000}"/>
    <hyperlink ref="A3002" r:id="rId3000" xr:uid="{00000000-0004-0000-0000-0000B70B0000}"/>
    <hyperlink ref="A3003" r:id="rId3001" xr:uid="{00000000-0004-0000-0000-0000B80B0000}"/>
    <hyperlink ref="A3004" r:id="rId3002" xr:uid="{00000000-0004-0000-0000-0000B90B0000}"/>
    <hyperlink ref="A3005" r:id="rId3003" xr:uid="{00000000-0004-0000-0000-0000BA0B0000}"/>
    <hyperlink ref="A3006" r:id="rId3004" xr:uid="{00000000-0004-0000-0000-0000BB0B0000}"/>
    <hyperlink ref="A3007" r:id="rId3005" xr:uid="{00000000-0004-0000-0000-0000BC0B0000}"/>
    <hyperlink ref="A3008" r:id="rId3006" xr:uid="{00000000-0004-0000-0000-0000BD0B0000}"/>
    <hyperlink ref="A3009" r:id="rId3007" xr:uid="{00000000-0004-0000-0000-0000BE0B0000}"/>
    <hyperlink ref="A3010" r:id="rId3008" xr:uid="{00000000-0004-0000-0000-0000BF0B0000}"/>
    <hyperlink ref="A3011" r:id="rId3009" xr:uid="{00000000-0004-0000-0000-0000C00B0000}"/>
    <hyperlink ref="A3012" r:id="rId3010" xr:uid="{00000000-0004-0000-0000-0000C10B0000}"/>
    <hyperlink ref="A3013" r:id="rId3011" xr:uid="{00000000-0004-0000-0000-0000C20B0000}"/>
    <hyperlink ref="A3014" r:id="rId3012" xr:uid="{00000000-0004-0000-0000-0000C30B0000}"/>
    <hyperlink ref="A3015" r:id="rId3013" xr:uid="{00000000-0004-0000-0000-0000C40B0000}"/>
    <hyperlink ref="A3016" r:id="rId3014" xr:uid="{00000000-0004-0000-0000-0000C50B0000}"/>
    <hyperlink ref="A3017" r:id="rId3015" xr:uid="{00000000-0004-0000-0000-0000C60B0000}"/>
    <hyperlink ref="A3018" r:id="rId3016" xr:uid="{00000000-0004-0000-0000-0000C70B0000}"/>
    <hyperlink ref="A3019" r:id="rId3017" xr:uid="{00000000-0004-0000-0000-0000C80B0000}"/>
    <hyperlink ref="A3020" r:id="rId3018" xr:uid="{00000000-0004-0000-0000-0000C90B0000}"/>
    <hyperlink ref="A3021" r:id="rId3019" xr:uid="{00000000-0004-0000-0000-0000CA0B0000}"/>
    <hyperlink ref="A3022" r:id="rId3020" xr:uid="{00000000-0004-0000-0000-0000CB0B0000}"/>
    <hyperlink ref="A3023" r:id="rId3021" xr:uid="{00000000-0004-0000-0000-0000CC0B0000}"/>
    <hyperlink ref="A3024" r:id="rId3022" xr:uid="{00000000-0004-0000-0000-0000CD0B0000}"/>
    <hyperlink ref="A3025" r:id="rId3023" xr:uid="{00000000-0004-0000-0000-0000CE0B0000}"/>
    <hyperlink ref="A3026" r:id="rId3024" xr:uid="{00000000-0004-0000-0000-0000CF0B0000}"/>
    <hyperlink ref="A3027" r:id="rId3025" xr:uid="{00000000-0004-0000-0000-0000D00B0000}"/>
    <hyperlink ref="A3028" r:id="rId3026" xr:uid="{00000000-0004-0000-0000-0000D10B0000}"/>
    <hyperlink ref="A3029" r:id="rId3027" xr:uid="{00000000-0004-0000-0000-0000D20B0000}"/>
    <hyperlink ref="A3030" r:id="rId3028" xr:uid="{00000000-0004-0000-0000-0000D30B0000}"/>
    <hyperlink ref="A3031" r:id="rId3029" xr:uid="{00000000-0004-0000-0000-0000D40B0000}"/>
    <hyperlink ref="A3032" r:id="rId3030" xr:uid="{00000000-0004-0000-0000-0000D50B0000}"/>
    <hyperlink ref="A3033" r:id="rId3031" xr:uid="{00000000-0004-0000-0000-0000D60B0000}"/>
    <hyperlink ref="A3034" r:id="rId3032" xr:uid="{00000000-0004-0000-0000-0000D70B0000}"/>
    <hyperlink ref="A3035" r:id="rId3033" xr:uid="{00000000-0004-0000-0000-0000D80B0000}"/>
    <hyperlink ref="A3036" r:id="rId3034" xr:uid="{00000000-0004-0000-0000-0000D90B0000}"/>
    <hyperlink ref="A3037" r:id="rId3035" xr:uid="{00000000-0004-0000-0000-0000DA0B0000}"/>
    <hyperlink ref="A3038" r:id="rId3036" xr:uid="{00000000-0004-0000-0000-0000DB0B0000}"/>
    <hyperlink ref="A3039" r:id="rId3037" xr:uid="{00000000-0004-0000-0000-0000DC0B0000}"/>
    <hyperlink ref="A3040" r:id="rId3038" xr:uid="{00000000-0004-0000-0000-0000DD0B0000}"/>
    <hyperlink ref="A3041" r:id="rId3039" xr:uid="{00000000-0004-0000-0000-0000DE0B0000}"/>
    <hyperlink ref="A3042" r:id="rId3040" xr:uid="{00000000-0004-0000-0000-0000DF0B0000}"/>
    <hyperlink ref="A3043" r:id="rId3041" xr:uid="{00000000-0004-0000-0000-0000E00B0000}"/>
    <hyperlink ref="A3044" r:id="rId3042" xr:uid="{00000000-0004-0000-0000-0000E10B0000}"/>
    <hyperlink ref="A3045" r:id="rId3043" xr:uid="{00000000-0004-0000-0000-0000E20B0000}"/>
    <hyperlink ref="A3046" r:id="rId3044" xr:uid="{00000000-0004-0000-0000-0000E30B0000}"/>
    <hyperlink ref="A3047" r:id="rId3045" xr:uid="{00000000-0004-0000-0000-0000E40B0000}"/>
    <hyperlink ref="A3048" r:id="rId3046" xr:uid="{00000000-0004-0000-0000-0000E50B0000}"/>
    <hyperlink ref="A3049" r:id="rId3047" xr:uid="{00000000-0004-0000-0000-0000E60B0000}"/>
    <hyperlink ref="A3050" r:id="rId3048" xr:uid="{00000000-0004-0000-0000-0000E70B0000}"/>
    <hyperlink ref="A3051" r:id="rId3049" xr:uid="{00000000-0004-0000-0000-0000E80B0000}"/>
    <hyperlink ref="A3052" r:id="rId3050" xr:uid="{00000000-0004-0000-0000-0000E90B0000}"/>
    <hyperlink ref="A3053" r:id="rId3051" xr:uid="{00000000-0004-0000-0000-0000EA0B0000}"/>
    <hyperlink ref="A3054" r:id="rId3052" xr:uid="{00000000-0004-0000-0000-0000EB0B0000}"/>
    <hyperlink ref="A3055" r:id="rId3053" xr:uid="{00000000-0004-0000-0000-0000EC0B0000}"/>
    <hyperlink ref="A3056" r:id="rId3054" xr:uid="{00000000-0004-0000-0000-0000ED0B0000}"/>
    <hyperlink ref="A3057" r:id="rId3055" xr:uid="{00000000-0004-0000-0000-0000EE0B0000}"/>
    <hyperlink ref="A3058" r:id="rId3056" xr:uid="{00000000-0004-0000-0000-0000EF0B0000}"/>
    <hyperlink ref="A3059" r:id="rId3057" xr:uid="{00000000-0004-0000-0000-0000F00B0000}"/>
    <hyperlink ref="A3060" r:id="rId3058" xr:uid="{00000000-0004-0000-0000-0000F10B0000}"/>
    <hyperlink ref="A3061" r:id="rId3059" xr:uid="{00000000-0004-0000-0000-0000F20B0000}"/>
    <hyperlink ref="A3062" r:id="rId3060" xr:uid="{00000000-0004-0000-0000-0000F30B0000}"/>
    <hyperlink ref="A3063" r:id="rId3061" xr:uid="{00000000-0004-0000-0000-0000F40B0000}"/>
    <hyperlink ref="A3064" r:id="rId3062" xr:uid="{00000000-0004-0000-0000-0000F50B0000}"/>
    <hyperlink ref="A3065" r:id="rId3063" xr:uid="{00000000-0004-0000-0000-0000F60B0000}"/>
    <hyperlink ref="A3066" r:id="rId3064" xr:uid="{00000000-0004-0000-0000-0000F70B0000}"/>
    <hyperlink ref="A3067" r:id="rId3065" xr:uid="{00000000-0004-0000-0000-0000F80B0000}"/>
    <hyperlink ref="A3068" r:id="rId3066" xr:uid="{00000000-0004-0000-0000-0000F90B0000}"/>
    <hyperlink ref="A3069" r:id="rId3067" xr:uid="{00000000-0004-0000-0000-0000FA0B0000}"/>
    <hyperlink ref="A3070" r:id="rId3068" xr:uid="{00000000-0004-0000-0000-0000FB0B0000}"/>
    <hyperlink ref="A3071" r:id="rId3069" xr:uid="{00000000-0004-0000-0000-0000FC0B0000}"/>
    <hyperlink ref="A3072" r:id="rId3070" xr:uid="{00000000-0004-0000-0000-0000FD0B0000}"/>
    <hyperlink ref="A3073" r:id="rId3071" xr:uid="{00000000-0004-0000-0000-0000FE0B0000}"/>
    <hyperlink ref="A3074" r:id="rId3072" xr:uid="{00000000-0004-0000-0000-0000FF0B0000}"/>
    <hyperlink ref="A3075" r:id="rId3073" xr:uid="{00000000-0004-0000-0000-0000000C0000}"/>
    <hyperlink ref="A3076" r:id="rId3074" xr:uid="{00000000-0004-0000-0000-0000010C0000}"/>
    <hyperlink ref="A3077" r:id="rId3075" xr:uid="{00000000-0004-0000-0000-0000020C0000}"/>
    <hyperlink ref="A3078" r:id="rId3076" xr:uid="{00000000-0004-0000-0000-0000030C0000}"/>
    <hyperlink ref="A3079" r:id="rId3077" xr:uid="{00000000-0004-0000-0000-0000040C0000}"/>
    <hyperlink ref="A3080" r:id="rId3078" xr:uid="{00000000-0004-0000-0000-0000050C0000}"/>
    <hyperlink ref="A3081" r:id="rId3079" xr:uid="{00000000-0004-0000-0000-0000060C0000}"/>
    <hyperlink ref="A3082" r:id="rId3080" xr:uid="{00000000-0004-0000-0000-0000070C0000}"/>
    <hyperlink ref="A3083" r:id="rId3081" xr:uid="{00000000-0004-0000-0000-0000080C0000}"/>
    <hyperlink ref="A3084" r:id="rId3082" xr:uid="{00000000-0004-0000-0000-0000090C0000}"/>
    <hyperlink ref="A3085" r:id="rId3083" xr:uid="{00000000-0004-0000-0000-00000A0C0000}"/>
    <hyperlink ref="A3086" r:id="rId3084" xr:uid="{00000000-0004-0000-0000-00000B0C0000}"/>
    <hyperlink ref="A3087" r:id="rId3085" xr:uid="{00000000-0004-0000-0000-00000C0C0000}"/>
    <hyperlink ref="A3088" r:id="rId3086" xr:uid="{00000000-0004-0000-0000-00000D0C0000}"/>
    <hyperlink ref="A3089" r:id="rId3087" xr:uid="{00000000-0004-0000-0000-00000E0C0000}"/>
    <hyperlink ref="A3090" r:id="rId3088" xr:uid="{00000000-0004-0000-0000-00000F0C0000}"/>
    <hyperlink ref="A3091" r:id="rId3089" xr:uid="{00000000-0004-0000-0000-0000100C0000}"/>
    <hyperlink ref="A3092" r:id="rId3090" xr:uid="{00000000-0004-0000-0000-0000110C0000}"/>
    <hyperlink ref="A3093" r:id="rId3091" xr:uid="{00000000-0004-0000-0000-0000120C0000}"/>
    <hyperlink ref="A3094" r:id="rId3092" xr:uid="{00000000-0004-0000-0000-0000130C0000}"/>
    <hyperlink ref="A3095" r:id="rId3093" xr:uid="{00000000-0004-0000-0000-0000140C0000}"/>
    <hyperlink ref="A3096" r:id="rId3094" xr:uid="{00000000-0004-0000-0000-0000150C0000}"/>
    <hyperlink ref="A3097" r:id="rId3095" xr:uid="{00000000-0004-0000-0000-0000160C0000}"/>
    <hyperlink ref="A3098" r:id="rId3096" xr:uid="{00000000-0004-0000-0000-0000170C0000}"/>
    <hyperlink ref="A3099" r:id="rId3097" xr:uid="{00000000-0004-0000-0000-0000180C0000}"/>
    <hyperlink ref="A3100" r:id="rId3098" xr:uid="{00000000-0004-0000-0000-0000190C0000}"/>
    <hyperlink ref="A3101" r:id="rId3099" xr:uid="{00000000-0004-0000-0000-00001A0C0000}"/>
    <hyperlink ref="A3102" r:id="rId3100" xr:uid="{00000000-0004-0000-0000-00001B0C0000}"/>
    <hyperlink ref="A3103" r:id="rId3101" xr:uid="{00000000-0004-0000-0000-00001C0C0000}"/>
    <hyperlink ref="A3104" r:id="rId3102" xr:uid="{00000000-0004-0000-0000-00001D0C0000}"/>
    <hyperlink ref="A3105" r:id="rId3103" xr:uid="{00000000-0004-0000-0000-00001E0C0000}"/>
    <hyperlink ref="A3106" r:id="rId3104" xr:uid="{00000000-0004-0000-0000-00001F0C0000}"/>
    <hyperlink ref="A3107" r:id="rId3105" xr:uid="{00000000-0004-0000-0000-0000200C0000}"/>
    <hyperlink ref="A3108" r:id="rId3106" xr:uid="{00000000-0004-0000-0000-0000210C0000}"/>
    <hyperlink ref="A3109" r:id="rId3107" xr:uid="{00000000-0004-0000-0000-0000220C0000}"/>
    <hyperlink ref="A3110" r:id="rId3108" xr:uid="{00000000-0004-0000-0000-0000230C0000}"/>
    <hyperlink ref="A3111" r:id="rId3109" xr:uid="{00000000-0004-0000-0000-0000240C0000}"/>
    <hyperlink ref="A3112" r:id="rId3110" xr:uid="{00000000-0004-0000-0000-0000250C0000}"/>
    <hyperlink ref="A3113" r:id="rId3111" xr:uid="{00000000-0004-0000-0000-0000260C0000}"/>
    <hyperlink ref="A3114" r:id="rId3112" xr:uid="{00000000-0004-0000-0000-0000270C0000}"/>
    <hyperlink ref="A3115" r:id="rId3113" xr:uid="{00000000-0004-0000-0000-0000280C0000}"/>
    <hyperlink ref="A3116" r:id="rId3114" xr:uid="{00000000-0004-0000-0000-0000290C0000}"/>
    <hyperlink ref="A3117" r:id="rId3115" xr:uid="{00000000-0004-0000-0000-00002A0C0000}"/>
    <hyperlink ref="A3118" r:id="rId3116" xr:uid="{00000000-0004-0000-0000-00002B0C0000}"/>
    <hyperlink ref="A3119" r:id="rId3117" xr:uid="{00000000-0004-0000-0000-00002C0C0000}"/>
    <hyperlink ref="A3120" r:id="rId3118" xr:uid="{00000000-0004-0000-0000-00002D0C0000}"/>
    <hyperlink ref="A3121" r:id="rId3119" xr:uid="{00000000-0004-0000-0000-00002E0C0000}"/>
    <hyperlink ref="A3122" r:id="rId3120" xr:uid="{00000000-0004-0000-0000-00002F0C0000}"/>
    <hyperlink ref="A3123" r:id="rId3121" xr:uid="{00000000-0004-0000-0000-0000300C0000}"/>
    <hyperlink ref="A3124" r:id="rId3122" xr:uid="{00000000-0004-0000-0000-0000310C0000}"/>
    <hyperlink ref="A3125" r:id="rId3123" xr:uid="{00000000-0004-0000-0000-0000320C0000}"/>
    <hyperlink ref="A3126" r:id="rId3124" xr:uid="{00000000-0004-0000-0000-0000330C0000}"/>
    <hyperlink ref="A3127" r:id="rId3125" xr:uid="{00000000-0004-0000-0000-0000340C0000}"/>
    <hyperlink ref="A3128" r:id="rId3126" xr:uid="{00000000-0004-0000-0000-0000350C0000}"/>
    <hyperlink ref="A3129" r:id="rId3127" xr:uid="{00000000-0004-0000-0000-0000360C0000}"/>
    <hyperlink ref="A3130" r:id="rId3128" xr:uid="{00000000-0004-0000-0000-0000370C0000}"/>
    <hyperlink ref="A3131" r:id="rId3129" xr:uid="{00000000-0004-0000-0000-0000380C0000}"/>
    <hyperlink ref="A3132" r:id="rId3130" xr:uid="{00000000-0004-0000-0000-0000390C0000}"/>
    <hyperlink ref="A3133" r:id="rId3131" xr:uid="{00000000-0004-0000-0000-00003A0C0000}"/>
    <hyperlink ref="A3134" r:id="rId3132" xr:uid="{00000000-0004-0000-0000-00003B0C0000}"/>
    <hyperlink ref="A3135" r:id="rId3133" xr:uid="{00000000-0004-0000-0000-00003C0C0000}"/>
    <hyperlink ref="A3136" r:id="rId3134" xr:uid="{00000000-0004-0000-0000-00003D0C0000}"/>
    <hyperlink ref="A3137" r:id="rId3135" xr:uid="{00000000-0004-0000-0000-00003E0C0000}"/>
    <hyperlink ref="A3138" r:id="rId3136" xr:uid="{00000000-0004-0000-0000-00003F0C0000}"/>
    <hyperlink ref="A3139" r:id="rId3137" xr:uid="{00000000-0004-0000-0000-0000400C0000}"/>
    <hyperlink ref="A3140" r:id="rId3138" xr:uid="{00000000-0004-0000-0000-0000410C0000}"/>
    <hyperlink ref="A3141" r:id="rId3139" xr:uid="{00000000-0004-0000-0000-0000420C0000}"/>
    <hyperlink ref="A3142" r:id="rId3140" xr:uid="{00000000-0004-0000-0000-0000430C0000}"/>
    <hyperlink ref="A3143" r:id="rId3141" xr:uid="{00000000-0004-0000-0000-0000440C0000}"/>
    <hyperlink ref="A3144" r:id="rId3142" xr:uid="{00000000-0004-0000-0000-0000450C0000}"/>
    <hyperlink ref="A3145" r:id="rId3143" xr:uid="{00000000-0004-0000-0000-0000460C0000}"/>
    <hyperlink ref="A3146" r:id="rId3144" xr:uid="{00000000-0004-0000-0000-0000470C0000}"/>
    <hyperlink ref="A3147" r:id="rId3145" xr:uid="{00000000-0004-0000-0000-0000480C0000}"/>
    <hyperlink ref="A3148" r:id="rId3146" xr:uid="{00000000-0004-0000-0000-0000490C0000}"/>
    <hyperlink ref="A3149" r:id="rId3147" xr:uid="{00000000-0004-0000-0000-00004A0C0000}"/>
    <hyperlink ref="A3150" r:id="rId3148" xr:uid="{00000000-0004-0000-0000-00004B0C0000}"/>
    <hyperlink ref="A3151" r:id="rId3149" xr:uid="{00000000-0004-0000-0000-00004C0C0000}"/>
    <hyperlink ref="A3152" r:id="rId3150" xr:uid="{00000000-0004-0000-0000-00004D0C0000}"/>
    <hyperlink ref="A3153" r:id="rId3151" xr:uid="{00000000-0004-0000-0000-00004E0C0000}"/>
    <hyperlink ref="A3154" r:id="rId3152" xr:uid="{00000000-0004-0000-0000-00004F0C0000}"/>
    <hyperlink ref="A3155" r:id="rId3153" xr:uid="{00000000-0004-0000-0000-0000500C0000}"/>
    <hyperlink ref="A3156" r:id="rId3154" xr:uid="{00000000-0004-0000-0000-0000510C0000}"/>
    <hyperlink ref="A3157" r:id="rId3155" xr:uid="{00000000-0004-0000-0000-0000520C0000}"/>
    <hyperlink ref="A3158" r:id="rId3156" xr:uid="{00000000-0004-0000-0000-0000530C0000}"/>
    <hyperlink ref="A3159" r:id="rId3157" xr:uid="{00000000-0004-0000-0000-0000540C0000}"/>
    <hyperlink ref="A3160" r:id="rId3158" xr:uid="{00000000-0004-0000-0000-0000550C0000}"/>
    <hyperlink ref="A3161" r:id="rId3159" xr:uid="{00000000-0004-0000-0000-0000560C0000}"/>
    <hyperlink ref="A3162" r:id="rId3160" xr:uid="{00000000-0004-0000-0000-0000570C0000}"/>
    <hyperlink ref="A3163" r:id="rId3161" xr:uid="{00000000-0004-0000-0000-0000580C0000}"/>
    <hyperlink ref="A3164" r:id="rId3162" xr:uid="{00000000-0004-0000-0000-0000590C0000}"/>
    <hyperlink ref="A3165" r:id="rId3163" xr:uid="{00000000-0004-0000-0000-00005A0C0000}"/>
    <hyperlink ref="A3166" r:id="rId3164" xr:uid="{00000000-0004-0000-0000-00005B0C0000}"/>
    <hyperlink ref="A3167" r:id="rId3165" xr:uid="{00000000-0004-0000-0000-00005C0C0000}"/>
    <hyperlink ref="A3168" r:id="rId3166" xr:uid="{00000000-0004-0000-0000-00005D0C0000}"/>
    <hyperlink ref="A3169" r:id="rId3167" xr:uid="{00000000-0004-0000-0000-00005E0C0000}"/>
    <hyperlink ref="A3170" r:id="rId3168" xr:uid="{00000000-0004-0000-0000-00005F0C0000}"/>
    <hyperlink ref="A3171" r:id="rId3169" xr:uid="{00000000-0004-0000-0000-0000600C0000}"/>
    <hyperlink ref="A3172" r:id="rId3170" xr:uid="{00000000-0004-0000-0000-0000610C0000}"/>
    <hyperlink ref="A3173" r:id="rId3171" xr:uid="{00000000-0004-0000-0000-0000620C0000}"/>
    <hyperlink ref="A3174" r:id="rId3172" xr:uid="{00000000-0004-0000-0000-0000630C0000}"/>
    <hyperlink ref="A3176" r:id="rId3173" xr:uid="{00000000-0004-0000-0000-0000640C0000}"/>
    <hyperlink ref="A3177" r:id="rId3174" xr:uid="{00000000-0004-0000-0000-0000650C0000}"/>
    <hyperlink ref="A3178" r:id="rId3175" xr:uid="{00000000-0004-0000-0000-0000660C0000}"/>
    <hyperlink ref="A3179" r:id="rId3176" xr:uid="{00000000-0004-0000-0000-0000670C0000}"/>
    <hyperlink ref="A3180" r:id="rId3177" xr:uid="{00000000-0004-0000-0000-0000680C0000}"/>
    <hyperlink ref="A3181" r:id="rId3178" xr:uid="{00000000-0004-0000-0000-0000690C0000}"/>
    <hyperlink ref="A3182" r:id="rId3179" xr:uid="{00000000-0004-0000-0000-00006A0C0000}"/>
    <hyperlink ref="A3183" r:id="rId3180" xr:uid="{00000000-0004-0000-0000-00006B0C0000}"/>
    <hyperlink ref="A3184" r:id="rId3181" xr:uid="{00000000-0004-0000-0000-00006C0C0000}"/>
    <hyperlink ref="A3185" r:id="rId3182" xr:uid="{00000000-0004-0000-0000-00006D0C0000}"/>
    <hyperlink ref="A3186" r:id="rId3183" xr:uid="{00000000-0004-0000-0000-00006E0C0000}"/>
    <hyperlink ref="A3187" r:id="rId3184" xr:uid="{00000000-0004-0000-0000-00006F0C0000}"/>
    <hyperlink ref="A3188" r:id="rId3185" xr:uid="{00000000-0004-0000-0000-0000700C0000}"/>
    <hyperlink ref="A3189" r:id="rId3186" xr:uid="{00000000-0004-0000-0000-0000710C0000}"/>
    <hyperlink ref="A3190" r:id="rId3187" xr:uid="{00000000-0004-0000-0000-0000720C0000}"/>
    <hyperlink ref="A3191" r:id="rId3188" xr:uid="{00000000-0004-0000-0000-0000730C0000}"/>
    <hyperlink ref="A3192" r:id="rId3189" xr:uid="{00000000-0004-0000-0000-0000740C0000}"/>
    <hyperlink ref="A3193" r:id="rId3190" xr:uid="{00000000-0004-0000-0000-0000750C0000}"/>
    <hyperlink ref="A3194" r:id="rId3191" xr:uid="{00000000-0004-0000-0000-0000760C0000}"/>
    <hyperlink ref="A3195" r:id="rId3192" xr:uid="{00000000-0004-0000-0000-0000770C0000}"/>
    <hyperlink ref="A3196" r:id="rId3193" xr:uid="{00000000-0004-0000-0000-0000780C0000}"/>
    <hyperlink ref="A3197" r:id="rId3194" xr:uid="{00000000-0004-0000-0000-0000790C0000}"/>
    <hyperlink ref="A3198" r:id="rId3195" xr:uid="{00000000-0004-0000-0000-00007A0C0000}"/>
    <hyperlink ref="A3199" r:id="rId3196" xr:uid="{00000000-0004-0000-0000-00007B0C0000}"/>
    <hyperlink ref="A3200" r:id="rId3197" xr:uid="{00000000-0004-0000-0000-00007C0C0000}"/>
    <hyperlink ref="A3201" r:id="rId3198" xr:uid="{00000000-0004-0000-0000-00007D0C0000}"/>
    <hyperlink ref="A3202" r:id="rId3199" xr:uid="{00000000-0004-0000-0000-00007E0C0000}"/>
    <hyperlink ref="A3203" r:id="rId3200" xr:uid="{00000000-0004-0000-0000-00007F0C0000}"/>
    <hyperlink ref="A3204" r:id="rId3201" xr:uid="{00000000-0004-0000-0000-0000800C0000}"/>
    <hyperlink ref="A3205" r:id="rId3202" xr:uid="{00000000-0004-0000-0000-0000810C0000}"/>
    <hyperlink ref="A3206" r:id="rId3203" xr:uid="{00000000-0004-0000-0000-0000820C0000}"/>
    <hyperlink ref="A3207" r:id="rId3204" xr:uid="{00000000-0004-0000-0000-0000830C0000}"/>
    <hyperlink ref="A3208" r:id="rId3205" xr:uid="{00000000-0004-0000-0000-0000840C0000}"/>
    <hyperlink ref="A3209" r:id="rId3206" xr:uid="{00000000-0004-0000-0000-0000850C0000}"/>
    <hyperlink ref="A3210" r:id="rId3207" xr:uid="{00000000-0004-0000-0000-0000860C0000}"/>
    <hyperlink ref="A3211" r:id="rId3208" xr:uid="{00000000-0004-0000-0000-0000870C0000}"/>
    <hyperlink ref="A3212" r:id="rId3209" xr:uid="{00000000-0004-0000-0000-0000880C0000}"/>
    <hyperlink ref="A3213" r:id="rId3210" xr:uid="{00000000-0004-0000-0000-0000890C0000}"/>
    <hyperlink ref="A3214" r:id="rId3211" xr:uid="{00000000-0004-0000-0000-00008A0C0000}"/>
    <hyperlink ref="A3215" r:id="rId3212" xr:uid="{00000000-0004-0000-0000-00008B0C0000}"/>
    <hyperlink ref="A3216" r:id="rId3213" xr:uid="{00000000-0004-0000-0000-00008C0C0000}"/>
    <hyperlink ref="A3217" r:id="rId3214" xr:uid="{00000000-0004-0000-0000-00008D0C0000}"/>
    <hyperlink ref="A3218" r:id="rId3215" xr:uid="{00000000-0004-0000-0000-00008E0C0000}"/>
    <hyperlink ref="A3219" r:id="rId3216" xr:uid="{00000000-0004-0000-0000-00008F0C0000}"/>
    <hyperlink ref="A3220" r:id="rId3217" xr:uid="{00000000-0004-0000-0000-0000900C0000}"/>
    <hyperlink ref="A3221" r:id="rId3218" xr:uid="{00000000-0004-0000-0000-0000910C0000}"/>
    <hyperlink ref="A3222" r:id="rId3219" xr:uid="{00000000-0004-0000-0000-0000920C0000}"/>
    <hyperlink ref="A3223" r:id="rId3220" xr:uid="{00000000-0004-0000-0000-0000930C0000}"/>
    <hyperlink ref="A3224" r:id="rId3221" xr:uid="{00000000-0004-0000-0000-0000940C0000}"/>
    <hyperlink ref="A3225" r:id="rId3222" xr:uid="{00000000-0004-0000-0000-0000950C0000}"/>
    <hyperlink ref="A3226" r:id="rId3223" xr:uid="{00000000-0004-0000-0000-0000960C0000}"/>
    <hyperlink ref="A3227" r:id="rId3224" xr:uid="{00000000-0004-0000-0000-0000970C0000}"/>
    <hyperlink ref="A3228" r:id="rId3225" xr:uid="{00000000-0004-0000-0000-0000980C0000}"/>
    <hyperlink ref="A3229" r:id="rId3226" xr:uid="{00000000-0004-0000-0000-0000990C0000}"/>
    <hyperlink ref="A3230" r:id="rId3227" xr:uid="{00000000-0004-0000-0000-00009A0C0000}"/>
    <hyperlink ref="A3231" r:id="rId3228" xr:uid="{00000000-0004-0000-0000-00009B0C0000}"/>
    <hyperlink ref="A3232" r:id="rId3229" xr:uid="{00000000-0004-0000-0000-00009C0C0000}"/>
    <hyperlink ref="A3233" r:id="rId3230" xr:uid="{00000000-0004-0000-0000-00009D0C0000}"/>
    <hyperlink ref="A3234" r:id="rId3231" xr:uid="{00000000-0004-0000-0000-00009E0C0000}"/>
    <hyperlink ref="A3235" r:id="rId3232" xr:uid="{00000000-0004-0000-0000-00009F0C0000}"/>
    <hyperlink ref="A3236" r:id="rId3233" xr:uid="{00000000-0004-0000-0000-0000A00C0000}"/>
    <hyperlink ref="A3237" r:id="rId3234" xr:uid="{00000000-0004-0000-0000-0000A10C0000}"/>
    <hyperlink ref="A3238" r:id="rId3235" xr:uid="{00000000-0004-0000-0000-0000A20C0000}"/>
    <hyperlink ref="A3239" r:id="rId3236" xr:uid="{00000000-0004-0000-0000-0000A30C0000}"/>
    <hyperlink ref="A3240" r:id="rId3237" xr:uid="{00000000-0004-0000-0000-0000A40C0000}"/>
    <hyperlink ref="A3241" r:id="rId3238" xr:uid="{00000000-0004-0000-0000-0000A50C0000}"/>
    <hyperlink ref="A3242" r:id="rId3239" xr:uid="{00000000-0004-0000-0000-0000A60C0000}"/>
    <hyperlink ref="A3243" r:id="rId3240" xr:uid="{00000000-0004-0000-0000-0000A70C0000}"/>
    <hyperlink ref="A3244" r:id="rId3241" xr:uid="{00000000-0004-0000-0000-0000A80C0000}"/>
    <hyperlink ref="A3245" r:id="rId3242" xr:uid="{00000000-0004-0000-0000-0000A90C0000}"/>
    <hyperlink ref="A3246" r:id="rId3243" xr:uid="{00000000-0004-0000-0000-0000AA0C0000}"/>
    <hyperlink ref="A3247" r:id="rId3244" xr:uid="{00000000-0004-0000-0000-0000AB0C0000}"/>
    <hyperlink ref="A3248" r:id="rId3245" xr:uid="{00000000-0004-0000-0000-0000AC0C0000}"/>
    <hyperlink ref="A3249" r:id="rId3246" xr:uid="{00000000-0004-0000-0000-0000AD0C0000}"/>
    <hyperlink ref="A3250" r:id="rId3247" xr:uid="{00000000-0004-0000-0000-0000AE0C0000}"/>
    <hyperlink ref="A3251" r:id="rId3248" xr:uid="{00000000-0004-0000-0000-0000AF0C0000}"/>
    <hyperlink ref="A3252" r:id="rId3249" xr:uid="{00000000-0004-0000-0000-0000B00C0000}"/>
    <hyperlink ref="A3253" r:id="rId3250" xr:uid="{00000000-0004-0000-0000-0000B10C0000}"/>
    <hyperlink ref="A3254" r:id="rId3251" xr:uid="{00000000-0004-0000-0000-0000B20C0000}"/>
    <hyperlink ref="A3255" r:id="rId3252" xr:uid="{00000000-0004-0000-0000-0000B30C0000}"/>
    <hyperlink ref="A3256" r:id="rId3253" xr:uid="{00000000-0004-0000-0000-0000B40C0000}"/>
    <hyperlink ref="A3257" r:id="rId3254" xr:uid="{00000000-0004-0000-0000-0000B50C0000}"/>
    <hyperlink ref="A3258" r:id="rId3255" xr:uid="{00000000-0004-0000-0000-0000B60C0000}"/>
    <hyperlink ref="A3259" r:id="rId3256" xr:uid="{00000000-0004-0000-0000-0000B70C0000}"/>
    <hyperlink ref="A3260" r:id="rId3257" xr:uid="{00000000-0004-0000-0000-0000B80C0000}"/>
    <hyperlink ref="A3261" r:id="rId3258" xr:uid="{00000000-0004-0000-0000-0000B90C0000}"/>
    <hyperlink ref="A3262" r:id="rId3259" xr:uid="{00000000-0004-0000-0000-0000BA0C0000}"/>
    <hyperlink ref="A3263" r:id="rId3260" xr:uid="{00000000-0004-0000-0000-0000BB0C0000}"/>
    <hyperlink ref="A3264" r:id="rId3261" xr:uid="{00000000-0004-0000-0000-0000BC0C0000}"/>
    <hyperlink ref="A3265" r:id="rId3262" xr:uid="{00000000-0004-0000-0000-0000BD0C0000}"/>
    <hyperlink ref="A3266" r:id="rId3263" xr:uid="{00000000-0004-0000-0000-0000BE0C0000}"/>
    <hyperlink ref="A3267" r:id="rId3264" xr:uid="{00000000-0004-0000-0000-0000BF0C0000}"/>
    <hyperlink ref="A3268" r:id="rId3265" xr:uid="{00000000-0004-0000-0000-0000C00C0000}"/>
    <hyperlink ref="A3269" r:id="rId3266" xr:uid="{00000000-0004-0000-0000-0000C10C0000}"/>
    <hyperlink ref="A3270" r:id="rId3267" xr:uid="{00000000-0004-0000-0000-0000C20C0000}"/>
    <hyperlink ref="A3271" r:id="rId3268" xr:uid="{00000000-0004-0000-0000-0000C30C0000}"/>
    <hyperlink ref="A3272" r:id="rId3269" xr:uid="{00000000-0004-0000-0000-0000C40C0000}"/>
    <hyperlink ref="A3273" r:id="rId3270" xr:uid="{00000000-0004-0000-0000-0000C50C0000}"/>
    <hyperlink ref="A3274" r:id="rId3271" xr:uid="{00000000-0004-0000-0000-0000C60C0000}"/>
    <hyperlink ref="A3275" r:id="rId3272" xr:uid="{00000000-0004-0000-0000-0000C70C0000}"/>
    <hyperlink ref="A3276" r:id="rId3273" xr:uid="{00000000-0004-0000-0000-0000C80C0000}"/>
    <hyperlink ref="A3277" r:id="rId3274" xr:uid="{00000000-0004-0000-0000-0000C90C0000}"/>
    <hyperlink ref="A3278" r:id="rId3275" xr:uid="{00000000-0004-0000-0000-0000CA0C0000}"/>
    <hyperlink ref="A3279" r:id="rId3276" xr:uid="{00000000-0004-0000-0000-0000CB0C0000}"/>
    <hyperlink ref="A3280" r:id="rId3277" xr:uid="{00000000-0004-0000-0000-0000CC0C0000}"/>
    <hyperlink ref="A3281" r:id="rId3278" xr:uid="{00000000-0004-0000-0000-0000CD0C0000}"/>
    <hyperlink ref="A3282" r:id="rId3279" xr:uid="{00000000-0004-0000-0000-0000CE0C0000}"/>
    <hyperlink ref="A3283" r:id="rId3280" xr:uid="{00000000-0004-0000-0000-0000CF0C0000}"/>
    <hyperlink ref="A3284" r:id="rId3281" xr:uid="{00000000-0004-0000-0000-0000D00C0000}"/>
    <hyperlink ref="A3285" r:id="rId3282" xr:uid="{00000000-0004-0000-0000-0000D10C0000}"/>
    <hyperlink ref="A3286" r:id="rId3283" xr:uid="{00000000-0004-0000-0000-0000D20C0000}"/>
    <hyperlink ref="A3287" r:id="rId3284" xr:uid="{00000000-0004-0000-0000-0000D30C0000}"/>
    <hyperlink ref="A3288" r:id="rId3285" xr:uid="{00000000-0004-0000-0000-0000D40C0000}"/>
    <hyperlink ref="A3289" r:id="rId3286" xr:uid="{00000000-0004-0000-0000-0000D50C0000}"/>
    <hyperlink ref="A3290" r:id="rId3287" xr:uid="{00000000-0004-0000-0000-0000D60C0000}"/>
    <hyperlink ref="A3291" r:id="rId3288" xr:uid="{00000000-0004-0000-0000-0000D70C0000}"/>
    <hyperlink ref="A3292" r:id="rId3289" xr:uid="{00000000-0004-0000-0000-0000D80C0000}"/>
    <hyperlink ref="A3293" r:id="rId3290" xr:uid="{00000000-0004-0000-0000-0000D90C0000}"/>
    <hyperlink ref="A3294" r:id="rId3291" xr:uid="{00000000-0004-0000-0000-0000DA0C0000}"/>
    <hyperlink ref="A3295" r:id="rId3292" xr:uid="{00000000-0004-0000-0000-0000DB0C0000}"/>
    <hyperlink ref="A3296" r:id="rId3293" xr:uid="{00000000-0004-0000-0000-0000DC0C0000}"/>
    <hyperlink ref="A3297" r:id="rId3294" xr:uid="{00000000-0004-0000-0000-0000DD0C0000}"/>
    <hyperlink ref="A3298" r:id="rId3295" xr:uid="{00000000-0004-0000-0000-0000DE0C0000}"/>
    <hyperlink ref="A3299" r:id="rId3296" xr:uid="{00000000-0004-0000-0000-0000DF0C0000}"/>
    <hyperlink ref="A3300" r:id="rId3297" xr:uid="{00000000-0004-0000-0000-0000E00C0000}"/>
    <hyperlink ref="A3301" r:id="rId3298" xr:uid="{00000000-0004-0000-0000-0000E10C0000}"/>
    <hyperlink ref="A3302" r:id="rId3299" xr:uid="{00000000-0004-0000-0000-0000E20C0000}"/>
    <hyperlink ref="A3303" r:id="rId3300" xr:uid="{00000000-0004-0000-0000-0000E30C0000}"/>
    <hyperlink ref="A3304" r:id="rId3301" xr:uid="{00000000-0004-0000-0000-0000E40C0000}"/>
    <hyperlink ref="A3305" r:id="rId3302" xr:uid="{00000000-0004-0000-0000-0000E50C0000}"/>
    <hyperlink ref="A3306" r:id="rId3303" xr:uid="{00000000-0004-0000-0000-0000E60C0000}"/>
    <hyperlink ref="A3307" r:id="rId3304" xr:uid="{00000000-0004-0000-0000-0000E70C0000}"/>
    <hyperlink ref="A3308" r:id="rId3305" xr:uid="{00000000-0004-0000-0000-0000E80C0000}"/>
    <hyperlink ref="A3309" r:id="rId3306" xr:uid="{00000000-0004-0000-0000-0000E90C0000}"/>
    <hyperlink ref="A3310" r:id="rId3307" xr:uid="{00000000-0004-0000-0000-0000EA0C0000}"/>
    <hyperlink ref="A3311" r:id="rId3308" xr:uid="{00000000-0004-0000-0000-0000EB0C0000}"/>
    <hyperlink ref="A3312" r:id="rId3309" xr:uid="{00000000-0004-0000-0000-0000EC0C0000}"/>
    <hyperlink ref="A3313" r:id="rId3310" xr:uid="{00000000-0004-0000-0000-0000ED0C0000}"/>
    <hyperlink ref="A3314" r:id="rId3311" xr:uid="{00000000-0004-0000-0000-0000EE0C0000}"/>
    <hyperlink ref="A3315" r:id="rId3312" xr:uid="{00000000-0004-0000-0000-0000EF0C0000}"/>
    <hyperlink ref="A3316" r:id="rId3313" xr:uid="{00000000-0004-0000-0000-0000F00C0000}"/>
    <hyperlink ref="A3317" r:id="rId3314" xr:uid="{00000000-0004-0000-0000-0000F10C0000}"/>
    <hyperlink ref="A3318" r:id="rId3315" xr:uid="{00000000-0004-0000-0000-0000F20C0000}"/>
    <hyperlink ref="A3319" r:id="rId3316" xr:uid="{00000000-0004-0000-0000-0000F30C0000}"/>
    <hyperlink ref="A3320" r:id="rId3317" xr:uid="{00000000-0004-0000-0000-0000F40C0000}"/>
    <hyperlink ref="A3321" r:id="rId3318" xr:uid="{00000000-0004-0000-0000-0000F50C0000}"/>
    <hyperlink ref="A3322" r:id="rId3319" xr:uid="{00000000-0004-0000-0000-0000F60C0000}"/>
    <hyperlink ref="A3323" r:id="rId3320" xr:uid="{00000000-0004-0000-0000-0000F70C0000}"/>
    <hyperlink ref="A3324" r:id="rId3321" xr:uid="{00000000-0004-0000-0000-0000F80C0000}"/>
    <hyperlink ref="A3325" r:id="rId3322" xr:uid="{00000000-0004-0000-0000-0000F90C0000}"/>
    <hyperlink ref="A3326" r:id="rId3323" xr:uid="{00000000-0004-0000-0000-0000FA0C0000}"/>
    <hyperlink ref="A3327" r:id="rId3324" xr:uid="{00000000-0004-0000-0000-0000FB0C0000}"/>
    <hyperlink ref="A3328" r:id="rId3325" xr:uid="{00000000-0004-0000-0000-0000FC0C0000}"/>
    <hyperlink ref="A3329" r:id="rId3326" xr:uid="{00000000-0004-0000-0000-0000FD0C0000}"/>
    <hyperlink ref="A3330" r:id="rId3327" xr:uid="{00000000-0004-0000-0000-0000FE0C0000}"/>
    <hyperlink ref="A3331" r:id="rId3328" xr:uid="{00000000-0004-0000-0000-0000FF0C0000}"/>
    <hyperlink ref="A3332" r:id="rId3329" xr:uid="{00000000-0004-0000-0000-0000000D0000}"/>
    <hyperlink ref="A3333" r:id="rId3330" xr:uid="{00000000-0004-0000-0000-0000010D0000}"/>
    <hyperlink ref="A3334" r:id="rId3331" xr:uid="{00000000-0004-0000-0000-0000020D0000}"/>
    <hyperlink ref="A3335" r:id="rId3332" xr:uid="{00000000-0004-0000-0000-0000030D0000}"/>
    <hyperlink ref="A3336" r:id="rId3333" xr:uid="{00000000-0004-0000-0000-0000040D0000}"/>
    <hyperlink ref="A3337" r:id="rId3334" xr:uid="{00000000-0004-0000-0000-0000050D0000}"/>
    <hyperlink ref="A3338" r:id="rId3335" xr:uid="{00000000-0004-0000-0000-0000060D0000}"/>
    <hyperlink ref="A3339" r:id="rId3336" xr:uid="{00000000-0004-0000-0000-0000070D0000}"/>
    <hyperlink ref="A3340" r:id="rId3337" xr:uid="{00000000-0004-0000-0000-0000080D0000}"/>
    <hyperlink ref="A3341" r:id="rId3338" xr:uid="{00000000-0004-0000-0000-0000090D0000}"/>
    <hyperlink ref="A3342" r:id="rId3339" xr:uid="{00000000-0004-0000-0000-00000A0D0000}"/>
    <hyperlink ref="A3343" r:id="rId3340" xr:uid="{00000000-0004-0000-0000-00000B0D0000}"/>
    <hyperlink ref="A3344" r:id="rId3341" xr:uid="{00000000-0004-0000-0000-00000C0D0000}"/>
    <hyperlink ref="A3345" r:id="rId3342" xr:uid="{00000000-0004-0000-0000-00000D0D0000}"/>
    <hyperlink ref="A3346" r:id="rId3343" xr:uid="{00000000-0004-0000-0000-00000E0D0000}"/>
    <hyperlink ref="A3347" r:id="rId3344" xr:uid="{00000000-0004-0000-0000-00000F0D0000}"/>
    <hyperlink ref="A3348" r:id="rId3345" xr:uid="{00000000-0004-0000-0000-0000100D0000}"/>
    <hyperlink ref="A3349" r:id="rId3346" xr:uid="{00000000-0004-0000-0000-0000110D0000}"/>
    <hyperlink ref="A3350" r:id="rId3347" xr:uid="{00000000-0004-0000-0000-0000120D0000}"/>
    <hyperlink ref="A3351" r:id="rId3348" xr:uid="{00000000-0004-0000-0000-0000130D0000}"/>
    <hyperlink ref="A3352" r:id="rId3349" xr:uid="{00000000-0004-0000-0000-0000140D0000}"/>
    <hyperlink ref="A3353" r:id="rId3350" xr:uid="{00000000-0004-0000-0000-0000150D0000}"/>
    <hyperlink ref="A3354" r:id="rId3351" xr:uid="{00000000-0004-0000-0000-0000160D0000}"/>
    <hyperlink ref="A3355" r:id="rId3352" xr:uid="{00000000-0004-0000-0000-0000170D0000}"/>
    <hyperlink ref="A3356" r:id="rId3353" xr:uid="{00000000-0004-0000-0000-0000180D0000}"/>
    <hyperlink ref="A3357" r:id="rId3354" xr:uid="{00000000-0004-0000-0000-0000190D0000}"/>
    <hyperlink ref="A3358" r:id="rId3355" xr:uid="{00000000-0004-0000-0000-00001A0D0000}"/>
    <hyperlink ref="A3359" r:id="rId3356" xr:uid="{00000000-0004-0000-0000-00001B0D0000}"/>
    <hyperlink ref="A3360" r:id="rId3357" xr:uid="{00000000-0004-0000-0000-00001C0D0000}"/>
    <hyperlink ref="A3361" r:id="rId3358" xr:uid="{00000000-0004-0000-0000-00001D0D0000}"/>
    <hyperlink ref="A3362" r:id="rId3359" xr:uid="{00000000-0004-0000-0000-00001E0D0000}"/>
    <hyperlink ref="A3363" r:id="rId3360" xr:uid="{00000000-0004-0000-0000-00001F0D0000}"/>
    <hyperlink ref="A3364" r:id="rId3361" xr:uid="{00000000-0004-0000-0000-0000200D0000}"/>
    <hyperlink ref="A3365" r:id="rId3362" xr:uid="{00000000-0004-0000-0000-0000210D0000}"/>
    <hyperlink ref="A3366" r:id="rId3363" xr:uid="{00000000-0004-0000-0000-0000220D0000}"/>
    <hyperlink ref="A3367" r:id="rId3364" xr:uid="{00000000-0004-0000-0000-0000230D0000}"/>
    <hyperlink ref="A3368" r:id="rId3365" xr:uid="{00000000-0004-0000-0000-0000240D0000}"/>
    <hyperlink ref="A3369" r:id="rId3366" xr:uid="{00000000-0004-0000-0000-0000250D0000}"/>
    <hyperlink ref="A3370" r:id="rId3367" xr:uid="{00000000-0004-0000-0000-0000260D0000}"/>
    <hyperlink ref="A3371" r:id="rId3368" xr:uid="{00000000-0004-0000-0000-0000270D0000}"/>
    <hyperlink ref="A3372" r:id="rId3369" xr:uid="{00000000-0004-0000-0000-0000280D0000}"/>
    <hyperlink ref="A3373" r:id="rId3370" xr:uid="{00000000-0004-0000-0000-0000290D0000}"/>
    <hyperlink ref="A3374" r:id="rId3371" xr:uid="{00000000-0004-0000-0000-00002A0D0000}"/>
    <hyperlink ref="A3375" r:id="rId3372" xr:uid="{00000000-0004-0000-0000-00002B0D0000}"/>
    <hyperlink ref="A3376" r:id="rId3373" xr:uid="{00000000-0004-0000-0000-00002C0D0000}"/>
    <hyperlink ref="A3377" r:id="rId3374" xr:uid="{00000000-0004-0000-0000-00002D0D0000}"/>
    <hyperlink ref="A3378" r:id="rId3375" xr:uid="{00000000-0004-0000-0000-00002E0D0000}"/>
    <hyperlink ref="A3379" r:id="rId3376" xr:uid="{00000000-0004-0000-0000-00002F0D0000}"/>
    <hyperlink ref="A3380" r:id="rId3377" xr:uid="{00000000-0004-0000-0000-0000300D0000}"/>
    <hyperlink ref="A3381" r:id="rId3378" xr:uid="{00000000-0004-0000-0000-0000310D0000}"/>
    <hyperlink ref="A3382" r:id="rId3379" xr:uid="{00000000-0004-0000-0000-0000320D0000}"/>
    <hyperlink ref="A3383" r:id="rId3380" xr:uid="{00000000-0004-0000-0000-0000330D0000}"/>
    <hyperlink ref="A3384" r:id="rId3381" xr:uid="{00000000-0004-0000-0000-0000340D0000}"/>
    <hyperlink ref="A3385" r:id="rId3382" xr:uid="{00000000-0004-0000-0000-0000350D0000}"/>
    <hyperlink ref="A3386" r:id="rId3383" xr:uid="{00000000-0004-0000-0000-0000360D0000}"/>
    <hyperlink ref="A3387" r:id="rId3384" xr:uid="{00000000-0004-0000-0000-0000370D0000}"/>
    <hyperlink ref="A3388" r:id="rId3385" xr:uid="{00000000-0004-0000-0000-0000380D0000}"/>
    <hyperlink ref="A3389" r:id="rId3386" xr:uid="{00000000-0004-0000-0000-0000390D0000}"/>
    <hyperlink ref="A3390" r:id="rId3387" xr:uid="{00000000-0004-0000-0000-00003A0D0000}"/>
    <hyperlink ref="A3391" r:id="rId3388" xr:uid="{00000000-0004-0000-0000-00003B0D0000}"/>
    <hyperlink ref="A3392" r:id="rId3389" xr:uid="{00000000-0004-0000-0000-00003C0D0000}"/>
    <hyperlink ref="A3393" r:id="rId3390" xr:uid="{00000000-0004-0000-0000-00003D0D0000}"/>
    <hyperlink ref="A3394" r:id="rId3391" xr:uid="{00000000-0004-0000-0000-00003E0D0000}"/>
    <hyperlink ref="A3395" r:id="rId3392" xr:uid="{00000000-0004-0000-0000-00003F0D0000}"/>
    <hyperlink ref="A3396" r:id="rId3393" xr:uid="{00000000-0004-0000-0000-0000400D0000}"/>
    <hyperlink ref="A3397" r:id="rId3394" xr:uid="{00000000-0004-0000-0000-0000410D0000}"/>
    <hyperlink ref="A3398" r:id="rId3395" xr:uid="{00000000-0004-0000-0000-0000420D0000}"/>
    <hyperlink ref="A3399" r:id="rId3396" xr:uid="{00000000-0004-0000-0000-0000430D0000}"/>
    <hyperlink ref="A3400" r:id="rId3397" xr:uid="{00000000-0004-0000-0000-0000440D0000}"/>
    <hyperlink ref="A3401" r:id="rId3398" xr:uid="{00000000-0004-0000-0000-0000450D0000}"/>
    <hyperlink ref="A3402" r:id="rId3399" xr:uid="{00000000-0004-0000-0000-0000460D0000}"/>
    <hyperlink ref="A3403" r:id="rId3400" xr:uid="{00000000-0004-0000-0000-0000470D0000}"/>
    <hyperlink ref="A3404" r:id="rId3401" xr:uid="{00000000-0004-0000-0000-0000480D0000}"/>
    <hyperlink ref="A3405" r:id="rId3402" xr:uid="{00000000-0004-0000-0000-0000490D0000}"/>
    <hyperlink ref="A3406" r:id="rId3403" xr:uid="{00000000-0004-0000-0000-00004A0D0000}"/>
    <hyperlink ref="A3407" r:id="rId3404" xr:uid="{00000000-0004-0000-0000-00004B0D0000}"/>
    <hyperlink ref="A3408" r:id="rId3405" xr:uid="{00000000-0004-0000-0000-00004C0D0000}"/>
    <hyperlink ref="A3409" r:id="rId3406" xr:uid="{00000000-0004-0000-0000-00004D0D0000}"/>
    <hyperlink ref="A3410" r:id="rId3407" xr:uid="{00000000-0004-0000-0000-00004E0D0000}"/>
    <hyperlink ref="A3411" r:id="rId3408" xr:uid="{00000000-0004-0000-0000-00004F0D0000}"/>
    <hyperlink ref="A3412" r:id="rId3409" xr:uid="{00000000-0004-0000-0000-0000500D0000}"/>
    <hyperlink ref="A3413" r:id="rId3410" xr:uid="{00000000-0004-0000-0000-0000510D0000}"/>
    <hyperlink ref="A3414" r:id="rId3411" xr:uid="{00000000-0004-0000-0000-0000520D0000}"/>
    <hyperlink ref="A3415" r:id="rId3412" xr:uid="{00000000-0004-0000-0000-0000530D0000}"/>
    <hyperlink ref="A3416" r:id="rId3413" xr:uid="{00000000-0004-0000-0000-0000540D0000}"/>
    <hyperlink ref="A3417" r:id="rId3414" xr:uid="{00000000-0004-0000-0000-0000550D0000}"/>
    <hyperlink ref="A3418" r:id="rId3415" xr:uid="{00000000-0004-0000-0000-0000560D0000}"/>
    <hyperlink ref="A3419" r:id="rId3416" xr:uid="{00000000-0004-0000-0000-0000570D0000}"/>
    <hyperlink ref="A3420" r:id="rId3417" xr:uid="{00000000-0004-0000-0000-0000580D0000}"/>
    <hyperlink ref="A3421" r:id="rId3418" xr:uid="{00000000-0004-0000-0000-0000590D0000}"/>
    <hyperlink ref="A3422" r:id="rId3419" xr:uid="{00000000-0004-0000-0000-00005A0D0000}"/>
    <hyperlink ref="A3423" r:id="rId3420" xr:uid="{00000000-0004-0000-0000-00005B0D0000}"/>
    <hyperlink ref="A3424" r:id="rId3421" xr:uid="{00000000-0004-0000-0000-00005C0D0000}"/>
    <hyperlink ref="A3425" r:id="rId3422" xr:uid="{00000000-0004-0000-0000-00005D0D0000}"/>
    <hyperlink ref="A3426" r:id="rId3423" xr:uid="{00000000-0004-0000-0000-00005E0D0000}"/>
    <hyperlink ref="A3427" r:id="rId3424" xr:uid="{00000000-0004-0000-0000-00005F0D0000}"/>
    <hyperlink ref="A3428" r:id="rId3425" xr:uid="{00000000-0004-0000-0000-0000600D0000}"/>
    <hyperlink ref="A3429" r:id="rId3426" xr:uid="{00000000-0004-0000-0000-0000610D0000}"/>
    <hyperlink ref="A3430" r:id="rId3427" xr:uid="{00000000-0004-0000-0000-0000620D0000}"/>
    <hyperlink ref="A3431" r:id="rId3428" xr:uid="{00000000-0004-0000-0000-0000630D0000}"/>
    <hyperlink ref="A3432" r:id="rId3429" xr:uid="{00000000-0004-0000-0000-0000640D0000}"/>
    <hyperlink ref="A3433" r:id="rId3430" xr:uid="{00000000-0004-0000-0000-0000650D0000}"/>
    <hyperlink ref="A3434" r:id="rId3431" xr:uid="{00000000-0004-0000-0000-0000660D0000}"/>
    <hyperlink ref="A3435" r:id="rId3432" xr:uid="{00000000-0004-0000-0000-0000670D0000}"/>
    <hyperlink ref="A3436" r:id="rId3433" xr:uid="{00000000-0004-0000-0000-0000680D0000}"/>
    <hyperlink ref="A3437" r:id="rId3434" xr:uid="{00000000-0004-0000-0000-0000690D0000}"/>
    <hyperlink ref="A3438" r:id="rId3435" xr:uid="{00000000-0004-0000-0000-00006A0D0000}"/>
    <hyperlink ref="A3439" r:id="rId3436" xr:uid="{00000000-0004-0000-0000-00006B0D0000}"/>
    <hyperlink ref="A3440" r:id="rId3437" xr:uid="{00000000-0004-0000-0000-00006C0D0000}"/>
    <hyperlink ref="A3441" r:id="rId3438" xr:uid="{00000000-0004-0000-0000-00006D0D0000}"/>
    <hyperlink ref="A3442" r:id="rId3439" xr:uid="{00000000-0004-0000-0000-00006E0D0000}"/>
    <hyperlink ref="A3443" r:id="rId3440" xr:uid="{00000000-0004-0000-0000-00006F0D0000}"/>
    <hyperlink ref="A3444" r:id="rId3441" xr:uid="{00000000-0004-0000-0000-0000700D0000}"/>
    <hyperlink ref="A3445" r:id="rId3442" xr:uid="{00000000-0004-0000-0000-0000710D0000}"/>
    <hyperlink ref="A3446" r:id="rId3443" xr:uid="{00000000-0004-0000-0000-0000720D0000}"/>
    <hyperlink ref="A3447" r:id="rId3444" xr:uid="{00000000-0004-0000-0000-0000730D0000}"/>
    <hyperlink ref="A3448" r:id="rId3445" xr:uid="{00000000-0004-0000-0000-0000740D0000}"/>
    <hyperlink ref="A3449" r:id="rId3446" xr:uid="{00000000-0004-0000-0000-0000750D0000}"/>
    <hyperlink ref="A3450" r:id="rId3447" xr:uid="{00000000-0004-0000-0000-0000760D0000}"/>
    <hyperlink ref="A3451" r:id="rId3448" xr:uid="{00000000-0004-0000-0000-0000770D0000}"/>
    <hyperlink ref="A3452" r:id="rId3449" xr:uid="{00000000-0004-0000-0000-0000780D0000}"/>
    <hyperlink ref="A3453" r:id="rId3450" xr:uid="{00000000-0004-0000-0000-0000790D0000}"/>
    <hyperlink ref="A3454" r:id="rId3451" xr:uid="{00000000-0004-0000-0000-00007A0D0000}"/>
    <hyperlink ref="A3455" r:id="rId3452" xr:uid="{00000000-0004-0000-0000-00007B0D0000}"/>
    <hyperlink ref="A3456" r:id="rId3453" xr:uid="{00000000-0004-0000-0000-00007C0D0000}"/>
    <hyperlink ref="A3457" r:id="rId3454" xr:uid="{00000000-0004-0000-0000-00007D0D0000}"/>
    <hyperlink ref="A3458" r:id="rId3455" xr:uid="{00000000-0004-0000-0000-00007E0D0000}"/>
    <hyperlink ref="A3459" r:id="rId3456" xr:uid="{00000000-0004-0000-0000-00007F0D0000}"/>
    <hyperlink ref="A3460" r:id="rId3457" xr:uid="{00000000-0004-0000-0000-0000800D0000}"/>
    <hyperlink ref="A3461" r:id="rId3458" xr:uid="{00000000-0004-0000-0000-0000810D0000}"/>
    <hyperlink ref="A3462" r:id="rId3459" xr:uid="{00000000-0004-0000-0000-0000820D0000}"/>
    <hyperlink ref="A3463" r:id="rId3460" xr:uid="{00000000-0004-0000-0000-0000830D0000}"/>
    <hyperlink ref="A3464" r:id="rId3461" xr:uid="{00000000-0004-0000-0000-0000840D0000}"/>
    <hyperlink ref="A3465" r:id="rId3462" xr:uid="{00000000-0004-0000-0000-0000850D0000}"/>
    <hyperlink ref="A3466" r:id="rId3463" xr:uid="{00000000-0004-0000-0000-0000860D0000}"/>
    <hyperlink ref="A3467" r:id="rId3464" xr:uid="{00000000-0004-0000-0000-0000870D0000}"/>
    <hyperlink ref="A3468" r:id="rId3465" xr:uid="{00000000-0004-0000-0000-0000880D0000}"/>
    <hyperlink ref="A3469" r:id="rId3466" xr:uid="{00000000-0004-0000-0000-0000890D0000}"/>
    <hyperlink ref="A3470" r:id="rId3467" xr:uid="{00000000-0004-0000-0000-00008A0D0000}"/>
    <hyperlink ref="A3471" r:id="rId3468" xr:uid="{00000000-0004-0000-0000-00008B0D0000}"/>
    <hyperlink ref="A3472" r:id="rId3469" xr:uid="{00000000-0004-0000-0000-00008C0D0000}"/>
    <hyperlink ref="A3473" r:id="rId3470" xr:uid="{00000000-0004-0000-0000-00008D0D0000}"/>
    <hyperlink ref="A3474" r:id="rId3471" xr:uid="{00000000-0004-0000-0000-00008E0D0000}"/>
    <hyperlink ref="A3475" r:id="rId3472" xr:uid="{00000000-0004-0000-0000-00008F0D0000}"/>
    <hyperlink ref="A3476" r:id="rId3473" xr:uid="{00000000-0004-0000-0000-0000900D0000}"/>
    <hyperlink ref="A3477" r:id="rId3474" xr:uid="{00000000-0004-0000-0000-0000910D0000}"/>
    <hyperlink ref="A3478" r:id="rId3475" xr:uid="{00000000-0004-0000-0000-0000920D0000}"/>
    <hyperlink ref="A3479" r:id="rId3476" xr:uid="{00000000-0004-0000-0000-0000930D0000}"/>
    <hyperlink ref="A3480" r:id="rId3477" xr:uid="{00000000-0004-0000-0000-0000940D0000}"/>
    <hyperlink ref="A3481" r:id="rId3478" xr:uid="{00000000-0004-0000-0000-0000950D0000}"/>
    <hyperlink ref="A3482" r:id="rId3479" xr:uid="{00000000-0004-0000-0000-0000960D0000}"/>
    <hyperlink ref="A3483" r:id="rId3480" xr:uid="{00000000-0004-0000-0000-0000970D0000}"/>
    <hyperlink ref="A3484" r:id="rId3481" xr:uid="{00000000-0004-0000-0000-0000980D0000}"/>
    <hyperlink ref="A3485" r:id="rId3482" xr:uid="{00000000-0004-0000-0000-0000990D0000}"/>
    <hyperlink ref="A3486" r:id="rId3483" xr:uid="{00000000-0004-0000-0000-00009A0D0000}"/>
    <hyperlink ref="A3487" r:id="rId3484" xr:uid="{00000000-0004-0000-0000-00009B0D0000}"/>
    <hyperlink ref="A3488" r:id="rId3485" xr:uid="{00000000-0004-0000-0000-00009C0D0000}"/>
    <hyperlink ref="A3489" r:id="rId3486" xr:uid="{00000000-0004-0000-0000-00009D0D0000}"/>
    <hyperlink ref="A3490" r:id="rId3487" xr:uid="{00000000-0004-0000-0000-00009E0D0000}"/>
    <hyperlink ref="A3491" r:id="rId3488" xr:uid="{00000000-0004-0000-0000-00009F0D0000}"/>
    <hyperlink ref="A3492" r:id="rId3489" xr:uid="{00000000-0004-0000-0000-0000A00D0000}"/>
    <hyperlink ref="A3493" r:id="rId3490" xr:uid="{00000000-0004-0000-0000-0000A10D0000}"/>
    <hyperlink ref="A3494" r:id="rId3491" xr:uid="{00000000-0004-0000-0000-0000A20D0000}"/>
    <hyperlink ref="A3495" r:id="rId3492" xr:uid="{00000000-0004-0000-0000-0000A30D0000}"/>
    <hyperlink ref="A3496" r:id="rId3493" xr:uid="{00000000-0004-0000-0000-0000A40D0000}"/>
    <hyperlink ref="A3497" r:id="rId3494" xr:uid="{00000000-0004-0000-0000-0000A50D0000}"/>
    <hyperlink ref="A3498" r:id="rId3495" xr:uid="{00000000-0004-0000-0000-0000A60D0000}"/>
    <hyperlink ref="A3499" r:id="rId3496" xr:uid="{00000000-0004-0000-0000-0000A70D0000}"/>
    <hyperlink ref="A3500" r:id="rId3497" xr:uid="{00000000-0004-0000-0000-0000A80D0000}"/>
    <hyperlink ref="A3501" r:id="rId3498" xr:uid="{00000000-0004-0000-0000-0000A90D0000}"/>
    <hyperlink ref="A3502" r:id="rId3499" xr:uid="{00000000-0004-0000-0000-0000AA0D0000}"/>
    <hyperlink ref="A3503" r:id="rId3500" xr:uid="{00000000-0004-0000-0000-0000AB0D0000}"/>
    <hyperlink ref="A3504" r:id="rId3501" xr:uid="{00000000-0004-0000-0000-0000AC0D0000}"/>
    <hyperlink ref="A3505" r:id="rId3502" xr:uid="{00000000-0004-0000-0000-0000AD0D0000}"/>
    <hyperlink ref="A3506" r:id="rId3503" xr:uid="{00000000-0004-0000-0000-0000AE0D0000}"/>
    <hyperlink ref="A3507" r:id="rId3504" xr:uid="{00000000-0004-0000-0000-0000AF0D0000}"/>
    <hyperlink ref="A3508" r:id="rId3505" xr:uid="{00000000-0004-0000-0000-0000B00D0000}"/>
    <hyperlink ref="A3509" r:id="rId3506" xr:uid="{00000000-0004-0000-0000-0000B10D0000}"/>
    <hyperlink ref="A3510" r:id="rId3507" xr:uid="{00000000-0004-0000-0000-0000B20D0000}"/>
    <hyperlink ref="A3511" r:id="rId3508" xr:uid="{00000000-0004-0000-0000-0000B30D0000}"/>
    <hyperlink ref="A3512" r:id="rId3509" xr:uid="{00000000-0004-0000-0000-0000B40D0000}"/>
    <hyperlink ref="A3513" r:id="rId3510" xr:uid="{00000000-0004-0000-0000-0000B50D0000}"/>
    <hyperlink ref="A3514" r:id="rId3511" xr:uid="{00000000-0004-0000-0000-0000B60D0000}"/>
    <hyperlink ref="A3515" r:id="rId3512" xr:uid="{00000000-0004-0000-0000-0000B70D0000}"/>
    <hyperlink ref="A3516" r:id="rId3513" xr:uid="{00000000-0004-0000-0000-0000B80D0000}"/>
    <hyperlink ref="A3517" r:id="rId3514" xr:uid="{00000000-0004-0000-0000-0000B90D0000}"/>
    <hyperlink ref="A3518" r:id="rId3515" xr:uid="{00000000-0004-0000-0000-0000BA0D0000}"/>
    <hyperlink ref="A3519" r:id="rId3516" xr:uid="{00000000-0004-0000-0000-0000BB0D0000}"/>
    <hyperlink ref="A3520" r:id="rId3517" xr:uid="{00000000-0004-0000-0000-0000BC0D0000}"/>
    <hyperlink ref="A3521" r:id="rId3518" xr:uid="{00000000-0004-0000-0000-0000BD0D0000}"/>
    <hyperlink ref="A3522" r:id="rId3519" xr:uid="{00000000-0004-0000-0000-0000BE0D0000}"/>
    <hyperlink ref="A3523" r:id="rId3520" xr:uid="{00000000-0004-0000-0000-0000BF0D0000}"/>
    <hyperlink ref="A3524" r:id="rId3521" xr:uid="{00000000-0004-0000-0000-0000C00D0000}"/>
    <hyperlink ref="A3525" r:id="rId3522" xr:uid="{00000000-0004-0000-0000-0000C10D0000}"/>
    <hyperlink ref="A3526" r:id="rId3523" xr:uid="{00000000-0004-0000-0000-0000C20D0000}"/>
    <hyperlink ref="A3527" r:id="rId3524" xr:uid="{00000000-0004-0000-0000-0000C30D0000}"/>
    <hyperlink ref="A3528" r:id="rId3525" xr:uid="{00000000-0004-0000-0000-0000C40D0000}"/>
    <hyperlink ref="A3529" r:id="rId3526" xr:uid="{00000000-0004-0000-0000-0000C50D0000}"/>
    <hyperlink ref="A3530" r:id="rId3527" xr:uid="{00000000-0004-0000-0000-0000C60D0000}"/>
    <hyperlink ref="A3531" r:id="rId3528" xr:uid="{00000000-0004-0000-0000-0000C70D0000}"/>
    <hyperlink ref="A3532" r:id="rId3529" xr:uid="{00000000-0004-0000-0000-0000C80D0000}"/>
    <hyperlink ref="A3533" r:id="rId3530" xr:uid="{00000000-0004-0000-0000-0000C90D0000}"/>
    <hyperlink ref="A3534" r:id="rId3531" xr:uid="{00000000-0004-0000-0000-0000CA0D0000}"/>
    <hyperlink ref="A3535" r:id="rId3532" xr:uid="{00000000-0004-0000-0000-0000CB0D0000}"/>
    <hyperlink ref="A3536" r:id="rId3533" xr:uid="{00000000-0004-0000-0000-0000CC0D0000}"/>
    <hyperlink ref="A3537" r:id="rId3534" xr:uid="{00000000-0004-0000-0000-0000CD0D0000}"/>
    <hyperlink ref="A3538" r:id="rId3535" xr:uid="{00000000-0004-0000-0000-0000CE0D0000}"/>
    <hyperlink ref="A3539" r:id="rId3536" xr:uid="{00000000-0004-0000-0000-0000CF0D0000}"/>
    <hyperlink ref="A3540" r:id="rId3537" xr:uid="{00000000-0004-0000-0000-0000D00D0000}"/>
    <hyperlink ref="A3541" r:id="rId3538" xr:uid="{00000000-0004-0000-0000-0000D10D0000}"/>
    <hyperlink ref="A3542" r:id="rId3539" xr:uid="{00000000-0004-0000-0000-0000D20D0000}"/>
    <hyperlink ref="A3543" r:id="rId3540" xr:uid="{00000000-0004-0000-0000-0000D30D0000}"/>
    <hyperlink ref="A3544" r:id="rId3541" xr:uid="{00000000-0004-0000-0000-0000D40D0000}"/>
    <hyperlink ref="A3545" r:id="rId3542" xr:uid="{00000000-0004-0000-0000-0000D50D0000}"/>
    <hyperlink ref="A3546" r:id="rId3543" xr:uid="{00000000-0004-0000-0000-0000D60D0000}"/>
    <hyperlink ref="A3547" r:id="rId3544" xr:uid="{00000000-0004-0000-0000-0000D70D0000}"/>
    <hyperlink ref="A3548" r:id="rId3545" xr:uid="{00000000-0004-0000-0000-0000D80D0000}"/>
    <hyperlink ref="A3549" r:id="rId3546" xr:uid="{00000000-0004-0000-0000-0000D90D0000}"/>
    <hyperlink ref="A3550" r:id="rId3547" xr:uid="{00000000-0004-0000-0000-0000DA0D0000}"/>
    <hyperlink ref="A3551" r:id="rId3548" xr:uid="{00000000-0004-0000-0000-0000DB0D0000}"/>
    <hyperlink ref="A3552" r:id="rId3549" xr:uid="{00000000-0004-0000-0000-0000DC0D0000}"/>
    <hyperlink ref="A3553" r:id="rId3550" xr:uid="{00000000-0004-0000-0000-0000DD0D0000}"/>
    <hyperlink ref="A3554" r:id="rId3551" xr:uid="{00000000-0004-0000-0000-0000DE0D0000}"/>
    <hyperlink ref="A3555" r:id="rId3552" xr:uid="{00000000-0004-0000-0000-0000DF0D0000}"/>
    <hyperlink ref="A3556" r:id="rId3553" xr:uid="{00000000-0004-0000-0000-0000E00D0000}"/>
    <hyperlink ref="A3557" r:id="rId3554" xr:uid="{00000000-0004-0000-0000-0000E10D0000}"/>
    <hyperlink ref="A3558" r:id="rId3555" xr:uid="{00000000-0004-0000-0000-0000E20D0000}"/>
    <hyperlink ref="A3559" r:id="rId3556" xr:uid="{00000000-0004-0000-0000-0000E30D0000}"/>
    <hyperlink ref="A3560" r:id="rId3557" xr:uid="{00000000-0004-0000-0000-0000E40D0000}"/>
    <hyperlink ref="A3561" r:id="rId3558" xr:uid="{00000000-0004-0000-0000-0000E50D0000}"/>
    <hyperlink ref="A3562" r:id="rId3559" xr:uid="{00000000-0004-0000-0000-0000E60D0000}"/>
    <hyperlink ref="A3563" r:id="rId3560" xr:uid="{00000000-0004-0000-0000-0000E70D0000}"/>
    <hyperlink ref="A3564" r:id="rId3561" xr:uid="{00000000-0004-0000-0000-0000E80D0000}"/>
    <hyperlink ref="A3565" r:id="rId3562" xr:uid="{00000000-0004-0000-0000-0000E90D0000}"/>
    <hyperlink ref="A3566" r:id="rId3563" xr:uid="{00000000-0004-0000-0000-0000EA0D0000}"/>
    <hyperlink ref="A3567" r:id="rId3564" xr:uid="{00000000-0004-0000-0000-0000EB0D0000}"/>
    <hyperlink ref="A3568" r:id="rId3565" xr:uid="{00000000-0004-0000-0000-0000EC0D0000}"/>
    <hyperlink ref="A3569" r:id="rId3566" xr:uid="{00000000-0004-0000-0000-0000ED0D0000}"/>
    <hyperlink ref="A3570" r:id="rId3567" xr:uid="{00000000-0004-0000-0000-0000EE0D0000}"/>
    <hyperlink ref="A3571" r:id="rId3568" xr:uid="{00000000-0004-0000-0000-0000EF0D0000}"/>
    <hyperlink ref="A3572" r:id="rId3569" xr:uid="{00000000-0004-0000-0000-0000F00D0000}"/>
    <hyperlink ref="A3573" r:id="rId3570" xr:uid="{00000000-0004-0000-0000-0000F10D0000}"/>
    <hyperlink ref="A3574" r:id="rId3571" xr:uid="{00000000-0004-0000-0000-0000F20D0000}"/>
    <hyperlink ref="A3575" r:id="rId3572" xr:uid="{00000000-0004-0000-0000-0000F30D0000}"/>
    <hyperlink ref="A3576" r:id="rId3573" xr:uid="{00000000-0004-0000-0000-0000F40D0000}"/>
    <hyperlink ref="A3577" r:id="rId3574" xr:uid="{00000000-0004-0000-0000-0000F50D0000}"/>
    <hyperlink ref="A3578" r:id="rId3575" xr:uid="{00000000-0004-0000-0000-0000F60D0000}"/>
    <hyperlink ref="A3579" r:id="rId3576" xr:uid="{00000000-0004-0000-0000-0000F70D0000}"/>
    <hyperlink ref="A3580" r:id="rId3577" xr:uid="{00000000-0004-0000-0000-0000F80D0000}"/>
    <hyperlink ref="A3581" r:id="rId3578" xr:uid="{00000000-0004-0000-0000-0000F90D0000}"/>
    <hyperlink ref="A3582" r:id="rId3579" xr:uid="{00000000-0004-0000-0000-0000FA0D0000}"/>
    <hyperlink ref="A3583" r:id="rId3580" xr:uid="{00000000-0004-0000-0000-0000FB0D0000}"/>
    <hyperlink ref="A3584" r:id="rId3581" xr:uid="{00000000-0004-0000-0000-0000FC0D0000}"/>
    <hyperlink ref="A3585" r:id="rId3582" xr:uid="{00000000-0004-0000-0000-0000FD0D0000}"/>
    <hyperlink ref="A3586" r:id="rId3583" xr:uid="{00000000-0004-0000-0000-0000FE0D0000}"/>
    <hyperlink ref="A3587" r:id="rId3584" xr:uid="{00000000-0004-0000-0000-0000FF0D0000}"/>
    <hyperlink ref="A3588" r:id="rId3585" xr:uid="{00000000-0004-0000-0000-0000000E0000}"/>
    <hyperlink ref="A3589" r:id="rId3586" xr:uid="{00000000-0004-0000-0000-0000010E0000}"/>
    <hyperlink ref="A3590" r:id="rId3587" xr:uid="{00000000-0004-0000-0000-0000020E0000}"/>
    <hyperlink ref="A3591" r:id="rId3588" xr:uid="{00000000-0004-0000-0000-0000030E0000}"/>
    <hyperlink ref="A3592" r:id="rId3589" xr:uid="{00000000-0004-0000-0000-0000040E0000}"/>
    <hyperlink ref="A3593" r:id="rId3590" xr:uid="{00000000-0004-0000-0000-0000050E0000}"/>
    <hyperlink ref="A3594" r:id="rId3591" xr:uid="{00000000-0004-0000-0000-0000060E0000}"/>
    <hyperlink ref="A3595" r:id="rId3592" xr:uid="{00000000-0004-0000-0000-0000070E0000}"/>
    <hyperlink ref="A3596" r:id="rId3593" xr:uid="{00000000-0004-0000-0000-0000080E0000}"/>
    <hyperlink ref="A3597" r:id="rId3594" xr:uid="{00000000-0004-0000-0000-0000090E0000}"/>
    <hyperlink ref="A3598" r:id="rId3595" xr:uid="{00000000-0004-0000-0000-00000A0E0000}"/>
    <hyperlink ref="A3599" r:id="rId3596" xr:uid="{00000000-0004-0000-0000-00000B0E0000}"/>
    <hyperlink ref="A3600" r:id="rId3597" xr:uid="{00000000-0004-0000-0000-00000C0E0000}"/>
    <hyperlink ref="A3601" r:id="rId3598" xr:uid="{00000000-0004-0000-0000-00000D0E0000}"/>
    <hyperlink ref="A3602" r:id="rId3599" xr:uid="{00000000-0004-0000-0000-00000E0E0000}"/>
    <hyperlink ref="A3603" r:id="rId3600" xr:uid="{00000000-0004-0000-0000-00000F0E0000}"/>
    <hyperlink ref="A3604" r:id="rId3601" xr:uid="{00000000-0004-0000-0000-0000100E0000}"/>
    <hyperlink ref="A3605" r:id="rId3602" xr:uid="{00000000-0004-0000-0000-0000110E0000}"/>
    <hyperlink ref="A3606" r:id="rId3603" xr:uid="{00000000-0004-0000-0000-0000120E0000}"/>
    <hyperlink ref="A3607" r:id="rId3604" xr:uid="{00000000-0004-0000-0000-0000130E0000}"/>
    <hyperlink ref="A3608" r:id="rId3605" xr:uid="{00000000-0004-0000-0000-0000140E0000}"/>
    <hyperlink ref="A3609" r:id="rId3606" xr:uid="{00000000-0004-0000-0000-0000150E0000}"/>
    <hyperlink ref="A3610" r:id="rId3607" xr:uid="{00000000-0004-0000-0000-0000160E0000}"/>
    <hyperlink ref="A3611" r:id="rId3608" xr:uid="{00000000-0004-0000-0000-0000170E0000}"/>
    <hyperlink ref="A3612" r:id="rId3609" xr:uid="{00000000-0004-0000-0000-0000180E0000}"/>
    <hyperlink ref="A3613" r:id="rId3610" xr:uid="{00000000-0004-0000-0000-0000190E0000}"/>
    <hyperlink ref="A3614" r:id="rId3611" xr:uid="{00000000-0004-0000-0000-00001A0E0000}"/>
    <hyperlink ref="A3615" r:id="rId3612" xr:uid="{00000000-0004-0000-0000-00001B0E0000}"/>
    <hyperlink ref="A3616" r:id="rId3613" xr:uid="{00000000-0004-0000-0000-00001C0E0000}"/>
    <hyperlink ref="A3617" r:id="rId3614" xr:uid="{00000000-0004-0000-0000-00001D0E0000}"/>
    <hyperlink ref="A3618" r:id="rId3615" xr:uid="{00000000-0004-0000-0000-00001E0E0000}"/>
    <hyperlink ref="A3619" r:id="rId3616" xr:uid="{00000000-0004-0000-0000-00001F0E0000}"/>
    <hyperlink ref="A3620" r:id="rId3617" xr:uid="{00000000-0004-0000-0000-0000200E0000}"/>
    <hyperlink ref="A3621" r:id="rId3618" xr:uid="{00000000-0004-0000-0000-0000210E0000}"/>
    <hyperlink ref="A3622" r:id="rId3619" xr:uid="{00000000-0004-0000-0000-0000220E0000}"/>
    <hyperlink ref="A3623" r:id="rId3620" xr:uid="{00000000-0004-0000-0000-0000230E0000}"/>
    <hyperlink ref="A3624" r:id="rId3621" xr:uid="{00000000-0004-0000-0000-0000240E0000}"/>
    <hyperlink ref="A3625" r:id="rId3622" xr:uid="{00000000-0004-0000-0000-0000250E0000}"/>
    <hyperlink ref="A3626" r:id="rId3623" xr:uid="{00000000-0004-0000-0000-0000260E0000}"/>
    <hyperlink ref="A3627" r:id="rId3624" xr:uid="{00000000-0004-0000-0000-0000270E0000}"/>
    <hyperlink ref="A3628" r:id="rId3625" xr:uid="{00000000-0004-0000-0000-0000280E0000}"/>
    <hyperlink ref="A3629" r:id="rId3626" xr:uid="{00000000-0004-0000-0000-0000290E0000}"/>
    <hyperlink ref="A3630" r:id="rId3627" xr:uid="{00000000-0004-0000-0000-00002A0E0000}"/>
    <hyperlink ref="A3631" r:id="rId3628" xr:uid="{00000000-0004-0000-0000-00002B0E0000}"/>
    <hyperlink ref="A3632" r:id="rId3629" xr:uid="{00000000-0004-0000-0000-00002C0E0000}"/>
    <hyperlink ref="A3633" r:id="rId3630" xr:uid="{00000000-0004-0000-0000-00002D0E0000}"/>
    <hyperlink ref="A3634" r:id="rId3631" xr:uid="{00000000-0004-0000-0000-00002E0E0000}"/>
    <hyperlink ref="A3635" r:id="rId3632" xr:uid="{00000000-0004-0000-0000-00002F0E0000}"/>
    <hyperlink ref="A3636" r:id="rId3633" xr:uid="{00000000-0004-0000-0000-0000300E0000}"/>
    <hyperlink ref="A3637" r:id="rId3634" xr:uid="{00000000-0004-0000-0000-0000310E0000}"/>
    <hyperlink ref="A3638" r:id="rId3635" xr:uid="{00000000-0004-0000-0000-0000320E0000}"/>
    <hyperlink ref="A3639" r:id="rId3636" xr:uid="{00000000-0004-0000-0000-0000330E0000}"/>
    <hyperlink ref="A3640" r:id="rId3637" xr:uid="{00000000-0004-0000-0000-0000340E0000}"/>
    <hyperlink ref="A3641" r:id="rId3638" xr:uid="{00000000-0004-0000-0000-0000350E0000}"/>
    <hyperlink ref="A3642" r:id="rId3639" xr:uid="{00000000-0004-0000-0000-0000360E0000}"/>
    <hyperlink ref="A3643" r:id="rId3640" xr:uid="{00000000-0004-0000-0000-0000370E0000}"/>
    <hyperlink ref="A3644" r:id="rId3641" xr:uid="{00000000-0004-0000-0000-0000380E0000}"/>
    <hyperlink ref="A3645" r:id="rId3642" xr:uid="{00000000-0004-0000-0000-0000390E0000}"/>
    <hyperlink ref="A3646" r:id="rId3643" xr:uid="{00000000-0004-0000-0000-00003A0E0000}"/>
    <hyperlink ref="A3647" r:id="rId3644" xr:uid="{00000000-0004-0000-0000-00003B0E0000}"/>
    <hyperlink ref="A3648" r:id="rId3645" xr:uid="{00000000-0004-0000-0000-00003C0E0000}"/>
    <hyperlink ref="A3649" r:id="rId3646" xr:uid="{00000000-0004-0000-0000-00003D0E0000}"/>
    <hyperlink ref="A3650" r:id="rId3647" xr:uid="{00000000-0004-0000-0000-00003E0E0000}"/>
    <hyperlink ref="A3651" r:id="rId3648" xr:uid="{00000000-0004-0000-0000-00003F0E0000}"/>
    <hyperlink ref="A3652" r:id="rId3649" xr:uid="{00000000-0004-0000-0000-0000400E0000}"/>
    <hyperlink ref="A3653" r:id="rId3650" xr:uid="{00000000-0004-0000-0000-0000410E0000}"/>
    <hyperlink ref="A3654" r:id="rId3651" xr:uid="{00000000-0004-0000-0000-0000420E0000}"/>
    <hyperlink ref="A3655" r:id="rId3652" xr:uid="{00000000-0004-0000-0000-0000430E0000}"/>
    <hyperlink ref="A3656" r:id="rId3653" xr:uid="{00000000-0004-0000-0000-0000440E0000}"/>
    <hyperlink ref="A3657" r:id="rId3654" xr:uid="{00000000-0004-0000-0000-0000450E0000}"/>
    <hyperlink ref="A3658" r:id="rId3655" xr:uid="{00000000-0004-0000-0000-0000460E0000}"/>
    <hyperlink ref="A3659" r:id="rId3656" xr:uid="{00000000-0004-0000-0000-0000470E0000}"/>
    <hyperlink ref="A3660" r:id="rId3657" xr:uid="{00000000-0004-0000-0000-0000480E0000}"/>
    <hyperlink ref="A3661" r:id="rId3658" xr:uid="{00000000-0004-0000-0000-0000490E0000}"/>
    <hyperlink ref="A3662" r:id="rId3659" xr:uid="{00000000-0004-0000-0000-00004A0E0000}"/>
    <hyperlink ref="A3663" r:id="rId3660" xr:uid="{00000000-0004-0000-0000-00004B0E0000}"/>
    <hyperlink ref="A3664" r:id="rId3661" xr:uid="{00000000-0004-0000-0000-00004C0E0000}"/>
    <hyperlink ref="A3665" r:id="rId3662" xr:uid="{00000000-0004-0000-0000-00004D0E0000}"/>
    <hyperlink ref="A3666" r:id="rId3663" xr:uid="{00000000-0004-0000-0000-00004E0E0000}"/>
    <hyperlink ref="A3667" r:id="rId3664" xr:uid="{00000000-0004-0000-0000-00004F0E0000}"/>
    <hyperlink ref="A3668" r:id="rId3665" xr:uid="{00000000-0004-0000-0000-0000500E0000}"/>
    <hyperlink ref="A3669" r:id="rId3666" xr:uid="{00000000-0004-0000-0000-0000510E0000}"/>
    <hyperlink ref="A3670" r:id="rId3667" xr:uid="{00000000-0004-0000-0000-0000520E0000}"/>
    <hyperlink ref="A3671" r:id="rId3668" xr:uid="{00000000-0004-0000-0000-0000530E0000}"/>
    <hyperlink ref="A3672" r:id="rId3669" xr:uid="{00000000-0004-0000-0000-0000540E0000}"/>
    <hyperlink ref="A3673" r:id="rId3670" xr:uid="{00000000-0004-0000-0000-0000550E0000}"/>
    <hyperlink ref="A3674" r:id="rId3671" xr:uid="{00000000-0004-0000-0000-0000560E0000}"/>
    <hyperlink ref="A3675" r:id="rId3672" xr:uid="{00000000-0004-0000-0000-0000570E0000}"/>
    <hyperlink ref="A3676" r:id="rId3673" xr:uid="{00000000-0004-0000-0000-0000580E0000}"/>
    <hyperlink ref="A3677" r:id="rId3674" xr:uid="{00000000-0004-0000-0000-0000590E0000}"/>
    <hyperlink ref="A3678" r:id="rId3675" xr:uid="{00000000-0004-0000-0000-00005A0E0000}"/>
    <hyperlink ref="A3679" r:id="rId3676" xr:uid="{00000000-0004-0000-0000-00005B0E0000}"/>
    <hyperlink ref="A3680" r:id="rId3677" xr:uid="{00000000-0004-0000-0000-00005C0E0000}"/>
    <hyperlink ref="A3681" r:id="rId3678" xr:uid="{00000000-0004-0000-0000-00005D0E0000}"/>
    <hyperlink ref="A3682" r:id="rId3679" xr:uid="{00000000-0004-0000-0000-00005E0E0000}"/>
    <hyperlink ref="A3683" r:id="rId3680" xr:uid="{00000000-0004-0000-0000-00005F0E0000}"/>
    <hyperlink ref="A3684" r:id="rId3681" xr:uid="{00000000-0004-0000-0000-0000600E0000}"/>
    <hyperlink ref="A3685" r:id="rId3682" xr:uid="{00000000-0004-0000-0000-0000610E0000}"/>
    <hyperlink ref="A3686" r:id="rId3683" xr:uid="{00000000-0004-0000-0000-0000620E0000}"/>
    <hyperlink ref="A3687" r:id="rId3684" xr:uid="{00000000-0004-0000-0000-0000630E0000}"/>
    <hyperlink ref="A3688" r:id="rId3685" xr:uid="{00000000-0004-0000-0000-0000640E0000}"/>
    <hyperlink ref="A3689" r:id="rId3686" xr:uid="{00000000-0004-0000-0000-0000650E0000}"/>
    <hyperlink ref="A3690" r:id="rId3687" xr:uid="{00000000-0004-0000-0000-0000660E0000}"/>
    <hyperlink ref="A3691" r:id="rId3688" xr:uid="{00000000-0004-0000-0000-0000670E0000}"/>
    <hyperlink ref="A3692" r:id="rId3689" xr:uid="{00000000-0004-0000-0000-0000680E0000}"/>
    <hyperlink ref="A3693" r:id="rId3690" xr:uid="{00000000-0004-0000-0000-0000690E0000}"/>
    <hyperlink ref="A3694" r:id="rId3691" xr:uid="{00000000-0004-0000-0000-00006A0E0000}"/>
    <hyperlink ref="A3695" r:id="rId3692" xr:uid="{00000000-0004-0000-0000-00006B0E0000}"/>
    <hyperlink ref="A3696" r:id="rId3693" xr:uid="{00000000-0004-0000-0000-00006C0E0000}"/>
    <hyperlink ref="A3697" r:id="rId3694" xr:uid="{00000000-0004-0000-0000-00006D0E0000}"/>
    <hyperlink ref="A3698" r:id="rId3695" xr:uid="{00000000-0004-0000-0000-00006E0E0000}"/>
    <hyperlink ref="A3699" r:id="rId3696" xr:uid="{00000000-0004-0000-0000-00006F0E0000}"/>
    <hyperlink ref="A3700" r:id="rId3697" xr:uid="{00000000-0004-0000-0000-0000700E0000}"/>
    <hyperlink ref="A3701" r:id="rId3698" xr:uid="{00000000-0004-0000-0000-0000710E0000}"/>
    <hyperlink ref="A3702" r:id="rId3699" xr:uid="{00000000-0004-0000-0000-0000720E0000}"/>
    <hyperlink ref="A3703" r:id="rId3700" xr:uid="{00000000-0004-0000-0000-0000730E0000}"/>
    <hyperlink ref="A3704" r:id="rId3701" xr:uid="{00000000-0004-0000-0000-0000740E0000}"/>
    <hyperlink ref="A3705" r:id="rId3702" xr:uid="{00000000-0004-0000-0000-0000750E0000}"/>
    <hyperlink ref="A3706" r:id="rId3703" xr:uid="{00000000-0004-0000-0000-0000760E0000}"/>
    <hyperlink ref="A3707" r:id="rId3704" xr:uid="{00000000-0004-0000-0000-0000770E0000}"/>
    <hyperlink ref="A3708" r:id="rId3705" xr:uid="{00000000-0004-0000-0000-0000780E0000}"/>
    <hyperlink ref="A3709" r:id="rId3706" xr:uid="{00000000-0004-0000-0000-0000790E0000}"/>
    <hyperlink ref="A3710" r:id="rId3707" xr:uid="{00000000-0004-0000-0000-00007A0E0000}"/>
    <hyperlink ref="A3711" r:id="rId3708" xr:uid="{00000000-0004-0000-0000-00007B0E0000}"/>
    <hyperlink ref="A3712" r:id="rId3709" xr:uid="{00000000-0004-0000-0000-00007C0E0000}"/>
    <hyperlink ref="A3713" r:id="rId3710" xr:uid="{00000000-0004-0000-0000-00007D0E0000}"/>
    <hyperlink ref="A3714" r:id="rId3711" xr:uid="{00000000-0004-0000-0000-00007E0E0000}"/>
    <hyperlink ref="A3715" r:id="rId3712" xr:uid="{00000000-0004-0000-0000-00007F0E0000}"/>
    <hyperlink ref="A3716" r:id="rId3713" xr:uid="{00000000-0004-0000-0000-0000800E0000}"/>
    <hyperlink ref="A3717" r:id="rId3714" xr:uid="{00000000-0004-0000-0000-0000810E0000}"/>
    <hyperlink ref="A3718" r:id="rId3715" xr:uid="{00000000-0004-0000-0000-0000820E0000}"/>
    <hyperlink ref="A3719" r:id="rId3716" xr:uid="{00000000-0004-0000-0000-0000830E0000}"/>
    <hyperlink ref="A3720" r:id="rId3717" xr:uid="{00000000-0004-0000-0000-0000840E0000}"/>
    <hyperlink ref="A3721" r:id="rId3718" xr:uid="{00000000-0004-0000-0000-0000850E0000}"/>
    <hyperlink ref="A3722" r:id="rId3719" xr:uid="{00000000-0004-0000-0000-0000860E0000}"/>
    <hyperlink ref="A3723" r:id="rId3720" xr:uid="{00000000-0004-0000-0000-0000870E0000}"/>
    <hyperlink ref="A3724" r:id="rId3721" xr:uid="{00000000-0004-0000-0000-0000880E0000}"/>
    <hyperlink ref="A3725" r:id="rId3722" xr:uid="{00000000-0004-0000-0000-0000890E0000}"/>
    <hyperlink ref="A3726" r:id="rId3723" xr:uid="{00000000-0004-0000-0000-00008A0E0000}"/>
    <hyperlink ref="A3727" r:id="rId3724" xr:uid="{00000000-0004-0000-0000-00008B0E0000}"/>
    <hyperlink ref="A3728" r:id="rId3725" xr:uid="{00000000-0004-0000-0000-00008C0E0000}"/>
    <hyperlink ref="A3729" r:id="rId3726" xr:uid="{00000000-0004-0000-0000-00008D0E0000}"/>
    <hyperlink ref="A3730" r:id="rId3727" xr:uid="{00000000-0004-0000-0000-00008E0E0000}"/>
    <hyperlink ref="A3731" r:id="rId3728" xr:uid="{00000000-0004-0000-0000-00008F0E0000}"/>
    <hyperlink ref="A3732" r:id="rId3729" xr:uid="{00000000-0004-0000-0000-0000900E0000}"/>
    <hyperlink ref="A3733" r:id="rId3730" xr:uid="{00000000-0004-0000-0000-0000910E0000}"/>
    <hyperlink ref="A3734" r:id="rId3731" xr:uid="{00000000-0004-0000-0000-0000920E0000}"/>
    <hyperlink ref="A3735" r:id="rId3732" xr:uid="{00000000-0004-0000-0000-0000930E0000}"/>
    <hyperlink ref="A3736" r:id="rId3733" xr:uid="{00000000-0004-0000-0000-0000940E0000}"/>
    <hyperlink ref="A3737" r:id="rId3734" xr:uid="{00000000-0004-0000-0000-0000950E0000}"/>
    <hyperlink ref="A3738" r:id="rId3735" xr:uid="{00000000-0004-0000-0000-0000960E0000}"/>
    <hyperlink ref="A3739" r:id="rId3736" xr:uid="{00000000-0004-0000-0000-0000970E0000}"/>
    <hyperlink ref="A3740" r:id="rId3737" xr:uid="{00000000-0004-0000-0000-0000980E0000}"/>
    <hyperlink ref="A3741" r:id="rId3738" xr:uid="{00000000-0004-0000-0000-0000990E0000}"/>
    <hyperlink ref="A3742" r:id="rId3739" xr:uid="{00000000-0004-0000-0000-00009A0E0000}"/>
    <hyperlink ref="A3743" r:id="rId3740" xr:uid="{00000000-0004-0000-0000-00009B0E0000}"/>
    <hyperlink ref="A3744" r:id="rId3741" xr:uid="{00000000-0004-0000-0000-00009C0E0000}"/>
    <hyperlink ref="A3745" r:id="rId3742" xr:uid="{00000000-0004-0000-0000-00009D0E0000}"/>
    <hyperlink ref="A3746" r:id="rId3743" xr:uid="{00000000-0004-0000-0000-00009E0E0000}"/>
    <hyperlink ref="A3747" r:id="rId3744" xr:uid="{00000000-0004-0000-0000-00009F0E0000}"/>
    <hyperlink ref="A3748" r:id="rId3745" xr:uid="{00000000-0004-0000-0000-0000A00E0000}"/>
    <hyperlink ref="A3749" r:id="rId3746" xr:uid="{00000000-0004-0000-0000-0000A10E0000}"/>
    <hyperlink ref="A3750" r:id="rId3747" xr:uid="{00000000-0004-0000-0000-0000A20E0000}"/>
    <hyperlink ref="A3751" r:id="rId3748" xr:uid="{00000000-0004-0000-0000-0000A30E0000}"/>
    <hyperlink ref="A3752" r:id="rId3749" xr:uid="{00000000-0004-0000-0000-0000A40E0000}"/>
    <hyperlink ref="A3753" r:id="rId3750" xr:uid="{00000000-0004-0000-0000-0000A50E0000}"/>
    <hyperlink ref="A3754" r:id="rId3751" xr:uid="{00000000-0004-0000-0000-0000A60E0000}"/>
    <hyperlink ref="A3755" r:id="rId3752" xr:uid="{00000000-0004-0000-0000-0000A70E0000}"/>
    <hyperlink ref="A3756" r:id="rId3753" xr:uid="{00000000-0004-0000-0000-0000A80E0000}"/>
    <hyperlink ref="A3757" r:id="rId3754" xr:uid="{00000000-0004-0000-0000-0000A90E0000}"/>
    <hyperlink ref="A3758" r:id="rId3755" xr:uid="{00000000-0004-0000-0000-0000AA0E0000}"/>
    <hyperlink ref="A3759" r:id="rId3756" xr:uid="{00000000-0004-0000-0000-0000AB0E0000}"/>
    <hyperlink ref="A3760" r:id="rId3757" xr:uid="{00000000-0004-0000-0000-0000AC0E0000}"/>
    <hyperlink ref="A3761" r:id="rId3758" xr:uid="{00000000-0004-0000-0000-0000AD0E0000}"/>
    <hyperlink ref="A3762" r:id="rId3759" xr:uid="{00000000-0004-0000-0000-0000AE0E0000}"/>
    <hyperlink ref="A3763" r:id="rId3760" xr:uid="{00000000-0004-0000-0000-0000AF0E0000}"/>
    <hyperlink ref="A3764" r:id="rId3761" xr:uid="{00000000-0004-0000-0000-0000B00E0000}"/>
    <hyperlink ref="A3765" r:id="rId3762" xr:uid="{00000000-0004-0000-0000-0000B10E0000}"/>
    <hyperlink ref="A3766" r:id="rId3763" xr:uid="{00000000-0004-0000-0000-0000B20E0000}"/>
    <hyperlink ref="A3767" r:id="rId3764" xr:uid="{00000000-0004-0000-0000-0000B30E0000}"/>
    <hyperlink ref="A3768" r:id="rId3765" xr:uid="{00000000-0004-0000-0000-0000B40E0000}"/>
    <hyperlink ref="A3769" r:id="rId3766" xr:uid="{00000000-0004-0000-0000-0000B50E0000}"/>
    <hyperlink ref="A3770" r:id="rId3767" xr:uid="{00000000-0004-0000-0000-0000B60E0000}"/>
    <hyperlink ref="A3771" r:id="rId3768" xr:uid="{00000000-0004-0000-0000-0000B70E0000}"/>
    <hyperlink ref="A3772" r:id="rId3769" xr:uid="{00000000-0004-0000-0000-0000B80E0000}"/>
    <hyperlink ref="A3773" r:id="rId3770" xr:uid="{00000000-0004-0000-0000-0000B90E0000}"/>
    <hyperlink ref="A3774" r:id="rId3771" xr:uid="{00000000-0004-0000-0000-0000BA0E0000}"/>
    <hyperlink ref="A3775" r:id="rId3772" xr:uid="{00000000-0004-0000-0000-0000BB0E0000}"/>
    <hyperlink ref="A3776" r:id="rId3773" xr:uid="{00000000-0004-0000-0000-0000BC0E0000}"/>
    <hyperlink ref="A3777" r:id="rId3774" xr:uid="{00000000-0004-0000-0000-0000BD0E0000}"/>
    <hyperlink ref="A3778" r:id="rId3775" xr:uid="{00000000-0004-0000-0000-0000BE0E0000}"/>
    <hyperlink ref="A3779" r:id="rId3776" xr:uid="{00000000-0004-0000-0000-0000BF0E0000}"/>
    <hyperlink ref="A3780" r:id="rId3777" xr:uid="{00000000-0004-0000-0000-0000C00E0000}"/>
    <hyperlink ref="A3781" r:id="rId3778" xr:uid="{00000000-0004-0000-0000-0000C10E0000}"/>
    <hyperlink ref="A3782" r:id="rId3779" xr:uid="{00000000-0004-0000-0000-0000C20E0000}"/>
    <hyperlink ref="A3783" r:id="rId3780" xr:uid="{00000000-0004-0000-0000-0000C30E0000}"/>
    <hyperlink ref="A3784" r:id="rId3781" xr:uid="{00000000-0004-0000-0000-0000C40E0000}"/>
    <hyperlink ref="A3785" r:id="rId3782" xr:uid="{00000000-0004-0000-0000-0000C50E0000}"/>
    <hyperlink ref="A3786" r:id="rId3783" xr:uid="{00000000-0004-0000-0000-0000C60E0000}"/>
    <hyperlink ref="A3787" r:id="rId3784" xr:uid="{00000000-0004-0000-0000-0000C70E0000}"/>
    <hyperlink ref="A3788" r:id="rId3785" xr:uid="{00000000-0004-0000-0000-0000C80E0000}"/>
    <hyperlink ref="A3789" r:id="rId3786" xr:uid="{00000000-0004-0000-0000-0000C90E0000}"/>
    <hyperlink ref="A3790" r:id="rId3787" xr:uid="{00000000-0004-0000-0000-0000CA0E0000}"/>
    <hyperlink ref="A3791" r:id="rId3788" xr:uid="{00000000-0004-0000-0000-0000CB0E0000}"/>
    <hyperlink ref="A3792" r:id="rId3789" xr:uid="{00000000-0004-0000-0000-0000CC0E0000}"/>
    <hyperlink ref="A3793" r:id="rId3790" xr:uid="{00000000-0004-0000-0000-0000CD0E0000}"/>
    <hyperlink ref="A3794" r:id="rId3791" xr:uid="{00000000-0004-0000-0000-0000CE0E0000}"/>
    <hyperlink ref="A3795" r:id="rId3792" xr:uid="{00000000-0004-0000-0000-0000CF0E0000}"/>
    <hyperlink ref="A3796" r:id="rId3793" xr:uid="{00000000-0004-0000-0000-0000D00E0000}"/>
    <hyperlink ref="A3797" r:id="rId3794" xr:uid="{00000000-0004-0000-0000-0000D10E0000}"/>
    <hyperlink ref="A3798" r:id="rId3795" xr:uid="{00000000-0004-0000-0000-0000D20E0000}"/>
    <hyperlink ref="A3799" r:id="rId3796" xr:uid="{00000000-0004-0000-0000-0000D30E0000}"/>
    <hyperlink ref="A3800" r:id="rId3797" xr:uid="{00000000-0004-0000-0000-0000D40E0000}"/>
    <hyperlink ref="A3801" r:id="rId3798" xr:uid="{00000000-0004-0000-0000-0000D50E0000}"/>
    <hyperlink ref="A3802" r:id="rId3799" xr:uid="{00000000-0004-0000-0000-0000D60E0000}"/>
    <hyperlink ref="A3803" r:id="rId3800" xr:uid="{00000000-0004-0000-0000-0000D70E0000}"/>
    <hyperlink ref="A3804" r:id="rId3801" xr:uid="{00000000-0004-0000-0000-0000D80E0000}"/>
    <hyperlink ref="A3805" r:id="rId3802" xr:uid="{00000000-0004-0000-0000-0000D90E0000}"/>
    <hyperlink ref="A3806" r:id="rId3803" xr:uid="{00000000-0004-0000-0000-0000DA0E0000}"/>
    <hyperlink ref="A3807" r:id="rId3804" xr:uid="{00000000-0004-0000-0000-0000DB0E0000}"/>
    <hyperlink ref="A3808" r:id="rId3805" xr:uid="{00000000-0004-0000-0000-0000DC0E0000}"/>
    <hyperlink ref="A3809" r:id="rId3806" xr:uid="{00000000-0004-0000-0000-0000DD0E0000}"/>
    <hyperlink ref="A3810" r:id="rId3807" xr:uid="{00000000-0004-0000-0000-0000DE0E0000}"/>
    <hyperlink ref="A3811" r:id="rId3808" xr:uid="{00000000-0004-0000-0000-0000DF0E0000}"/>
    <hyperlink ref="A3812" r:id="rId3809" xr:uid="{00000000-0004-0000-0000-0000E00E0000}"/>
    <hyperlink ref="A3813" r:id="rId3810" xr:uid="{00000000-0004-0000-0000-0000E10E0000}"/>
    <hyperlink ref="A3814" r:id="rId3811" xr:uid="{00000000-0004-0000-0000-0000E20E0000}"/>
    <hyperlink ref="A3815" r:id="rId3812" xr:uid="{00000000-0004-0000-0000-0000E30E0000}"/>
    <hyperlink ref="A3816" r:id="rId3813" xr:uid="{00000000-0004-0000-0000-0000E40E0000}"/>
    <hyperlink ref="A3817" r:id="rId3814" xr:uid="{00000000-0004-0000-0000-0000E50E0000}"/>
    <hyperlink ref="A3818" r:id="rId3815" xr:uid="{00000000-0004-0000-0000-0000E60E0000}"/>
    <hyperlink ref="A3819" r:id="rId3816" xr:uid="{00000000-0004-0000-0000-0000E70E0000}"/>
    <hyperlink ref="A3820" r:id="rId3817" xr:uid="{00000000-0004-0000-0000-0000E80E0000}"/>
    <hyperlink ref="A3821" r:id="rId3818" xr:uid="{00000000-0004-0000-0000-0000E90E0000}"/>
    <hyperlink ref="A3822" r:id="rId3819" xr:uid="{00000000-0004-0000-0000-0000EA0E0000}"/>
    <hyperlink ref="A3823" r:id="rId3820" xr:uid="{00000000-0004-0000-0000-0000EB0E0000}"/>
    <hyperlink ref="A3824" r:id="rId3821" xr:uid="{00000000-0004-0000-0000-0000EC0E0000}"/>
    <hyperlink ref="A3825" r:id="rId3822" xr:uid="{00000000-0004-0000-0000-0000ED0E0000}"/>
    <hyperlink ref="A3826" r:id="rId3823" xr:uid="{00000000-0004-0000-0000-0000EE0E0000}"/>
    <hyperlink ref="A3827" r:id="rId3824" xr:uid="{00000000-0004-0000-0000-0000EF0E0000}"/>
    <hyperlink ref="A3828" r:id="rId3825" xr:uid="{00000000-0004-0000-0000-0000F00E0000}"/>
    <hyperlink ref="A3829" r:id="rId3826" xr:uid="{00000000-0004-0000-0000-0000F10E0000}"/>
    <hyperlink ref="A3830" r:id="rId3827" xr:uid="{00000000-0004-0000-0000-0000F20E0000}"/>
    <hyperlink ref="A3831" r:id="rId3828" xr:uid="{00000000-0004-0000-0000-0000F30E0000}"/>
    <hyperlink ref="A3832" r:id="rId3829" xr:uid="{00000000-0004-0000-0000-0000F40E0000}"/>
    <hyperlink ref="A3833" r:id="rId3830" xr:uid="{00000000-0004-0000-0000-0000F50E0000}"/>
    <hyperlink ref="A3834" r:id="rId3831" xr:uid="{00000000-0004-0000-0000-0000F60E0000}"/>
    <hyperlink ref="A3835" r:id="rId3832" xr:uid="{00000000-0004-0000-0000-0000F70E0000}"/>
    <hyperlink ref="A3836" r:id="rId3833" xr:uid="{00000000-0004-0000-0000-0000F80E0000}"/>
    <hyperlink ref="A3837" r:id="rId3834" xr:uid="{00000000-0004-0000-0000-0000F90E0000}"/>
    <hyperlink ref="A3838" r:id="rId3835" xr:uid="{00000000-0004-0000-0000-0000FA0E0000}"/>
    <hyperlink ref="A3839" r:id="rId3836" xr:uid="{00000000-0004-0000-0000-0000FB0E0000}"/>
    <hyperlink ref="A3840" r:id="rId3837" xr:uid="{00000000-0004-0000-0000-0000FC0E0000}"/>
    <hyperlink ref="A3841" r:id="rId3838" xr:uid="{00000000-0004-0000-0000-0000FD0E0000}"/>
    <hyperlink ref="A3842" r:id="rId3839" xr:uid="{00000000-0004-0000-0000-0000FE0E0000}"/>
    <hyperlink ref="A3843" r:id="rId3840" xr:uid="{00000000-0004-0000-0000-0000FF0E0000}"/>
    <hyperlink ref="A3844" r:id="rId3841" xr:uid="{00000000-0004-0000-0000-0000000F0000}"/>
    <hyperlink ref="A3845" r:id="rId3842" xr:uid="{00000000-0004-0000-0000-0000010F0000}"/>
    <hyperlink ref="A3846" r:id="rId3843" xr:uid="{00000000-0004-0000-0000-0000020F0000}"/>
    <hyperlink ref="A3847" r:id="rId3844" xr:uid="{00000000-0004-0000-0000-0000030F0000}"/>
    <hyperlink ref="A3848" r:id="rId3845" xr:uid="{00000000-0004-0000-0000-0000040F0000}"/>
    <hyperlink ref="A3849" r:id="rId3846" xr:uid="{00000000-0004-0000-0000-0000050F0000}"/>
    <hyperlink ref="A3850" r:id="rId3847" xr:uid="{00000000-0004-0000-0000-0000060F0000}"/>
    <hyperlink ref="A3851" r:id="rId3848" xr:uid="{00000000-0004-0000-0000-0000070F0000}"/>
    <hyperlink ref="A3852" r:id="rId3849" xr:uid="{00000000-0004-0000-0000-0000080F0000}"/>
    <hyperlink ref="A3853" r:id="rId3850" xr:uid="{00000000-0004-0000-0000-0000090F0000}"/>
    <hyperlink ref="A3854" r:id="rId3851" xr:uid="{00000000-0004-0000-0000-00000A0F0000}"/>
    <hyperlink ref="A3855" r:id="rId3852" xr:uid="{00000000-0004-0000-0000-00000B0F0000}"/>
    <hyperlink ref="A3856" r:id="rId3853" xr:uid="{00000000-0004-0000-0000-00000C0F0000}"/>
    <hyperlink ref="A3857" r:id="rId3854" xr:uid="{00000000-0004-0000-0000-00000D0F0000}"/>
    <hyperlink ref="A3858" r:id="rId3855" xr:uid="{00000000-0004-0000-0000-00000E0F0000}"/>
    <hyperlink ref="A3859" r:id="rId3856" xr:uid="{00000000-0004-0000-0000-00000F0F0000}"/>
    <hyperlink ref="A3860" r:id="rId3857" xr:uid="{00000000-0004-0000-0000-0000100F0000}"/>
    <hyperlink ref="A3861" r:id="rId3858" xr:uid="{00000000-0004-0000-0000-0000110F0000}"/>
    <hyperlink ref="A3862" r:id="rId3859" xr:uid="{00000000-0004-0000-0000-0000120F0000}"/>
    <hyperlink ref="A3863" r:id="rId3860" xr:uid="{00000000-0004-0000-0000-0000130F0000}"/>
    <hyperlink ref="A3864" r:id="rId3861" xr:uid="{00000000-0004-0000-0000-0000140F0000}"/>
    <hyperlink ref="A3865" r:id="rId3862" xr:uid="{00000000-0004-0000-0000-0000150F0000}"/>
    <hyperlink ref="A3866" r:id="rId3863" xr:uid="{00000000-0004-0000-0000-0000160F0000}"/>
    <hyperlink ref="A3867" r:id="rId3864" xr:uid="{00000000-0004-0000-0000-0000170F0000}"/>
    <hyperlink ref="A3868" r:id="rId3865" xr:uid="{00000000-0004-0000-0000-0000180F0000}"/>
    <hyperlink ref="A3869" r:id="rId3866" xr:uid="{00000000-0004-0000-0000-0000190F0000}"/>
    <hyperlink ref="A3870" r:id="rId3867" xr:uid="{00000000-0004-0000-0000-00001A0F0000}"/>
    <hyperlink ref="A3871" r:id="rId3868" xr:uid="{00000000-0004-0000-0000-00001B0F0000}"/>
    <hyperlink ref="A3872" r:id="rId3869" xr:uid="{00000000-0004-0000-0000-00001C0F0000}"/>
    <hyperlink ref="A3873" r:id="rId3870" xr:uid="{00000000-0004-0000-0000-00001D0F0000}"/>
    <hyperlink ref="A3874" r:id="rId3871" xr:uid="{00000000-0004-0000-0000-00001E0F0000}"/>
    <hyperlink ref="A3875" r:id="rId3872" xr:uid="{00000000-0004-0000-0000-00001F0F0000}"/>
    <hyperlink ref="A3876" r:id="rId3873" xr:uid="{00000000-0004-0000-0000-0000200F0000}"/>
    <hyperlink ref="A3877" r:id="rId3874" xr:uid="{00000000-0004-0000-0000-0000210F0000}"/>
    <hyperlink ref="A3878" r:id="rId3875" xr:uid="{00000000-0004-0000-0000-0000220F0000}"/>
    <hyperlink ref="A3879" r:id="rId3876" xr:uid="{00000000-0004-0000-0000-0000230F0000}"/>
    <hyperlink ref="A3880" r:id="rId3877" xr:uid="{00000000-0004-0000-0000-0000240F0000}"/>
    <hyperlink ref="A3881" r:id="rId3878" xr:uid="{00000000-0004-0000-0000-0000250F0000}"/>
    <hyperlink ref="A3882" r:id="rId3879" xr:uid="{00000000-0004-0000-0000-0000260F0000}"/>
    <hyperlink ref="A3883" r:id="rId3880" xr:uid="{00000000-0004-0000-0000-0000270F0000}"/>
    <hyperlink ref="A3884" r:id="rId3881" xr:uid="{00000000-0004-0000-0000-0000280F0000}"/>
    <hyperlink ref="A3885" r:id="rId3882" xr:uid="{00000000-0004-0000-0000-0000290F0000}"/>
    <hyperlink ref="A3886" r:id="rId3883" xr:uid="{00000000-0004-0000-0000-00002A0F0000}"/>
    <hyperlink ref="A3887" r:id="rId3884" xr:uid="{00000000-0004-0000-0000-00002B0F0000}"/>
    <hyperlink ref="A3888" r:id="rId3885" xr:uid="{00000000-0004-0000-0000-00002C0F0000}"/>
    <hyperlink ref="A3889" r:id="rId3886" xr:uid="{00000000-0004-0000-0000-00002D0F0000}"/>
    <hyperlink ref="A3890" r:id="rId3887" xr:uid="{00000000-0004-0000-0000-00002E0F0000}"/>
    <hyperlink ref="A3891" r:id="rId3888" xr:uid="{00000000-0004-0000-0000-00002F0F0000}"/>
    <hyperlink ref="A3892" r:id="rId3889" xr:uid="{00000000-0004-0000-0000-0000300F0000}"/>
    <hyperlink ref="A3893" r:id="rId3890" xr:uid="{00000000-0004-0000-0000-0000310F0000}"/>
    <hyperlink ref="A3894" r:id="rId3891" xr:uid="{00000000-0004-0000-0000-0000320F0000}"/>
    <hyperlink ref="A3895" r:id="rId3892" xr:uid="{00000000-0004-0000-0000-0000330F0000}"/>
    <hyperlink ref="A3896" r:id="rId3893" xr:uid="{00000000-0004-0000-0000-0000340F0000}"/>
    <hyperlink ref="A3897" r:id="rId3894" xr:uid="{00000000-0004-0000-0000-0000350F0000}"/>
    <hyperlink ref="A3898" r:id="rId3895" xr:uid="{00000000-0004-0000-0000-0000360F0000}"/>
    <hyperlink ref="A3899" r:id="rId3896" xr:uid="{00000000-0004-0000-0000-0000370F0000}"/>
    <hyperlink ref="A3900" r:id="rId3897" xr:uid="{00000000-0004-0000-0000-0000380F0000}"/>
    <hyperlink ref="A3901" r:id="rId3898" xr:uid="{00000000-0004-0000-0000-0000390F0000}"/>
    <hyperlink ref="A3902" r:id="rId3899" xr:uid="{00000000-0004-0000-0000-00003A0F0000}"/>
    <hyperlink ref="A3903" r:id="rId3900" xr:uid="{00000000-0004-0000-0000-00003B0F0000}"/>
    <hyperlink ref="A3904" r:id="rId3901" xr:uid="{00000000-0004-0000-0000-00003C0F0000}"/>
    <hyperlink ref="A3905" r:id="rId3902" xr:uid="{00000000-0004-0000-0000-00003D0F0000}"/>
    <hyperlink ref="A3906" r:id="rId3903" xr:uid="{00000000-0004-0000-0000-00003E0F0000}"/>
    <hyperlink ref="A3907" r:id="rId3904" xr:uid="{00000000-0004-0000-0000-00003F0F0000}"/>
    <hyperlink ref="A3908" r:id="rId3905" xr:uid="{00000000-0004-0000-0000-0000400F0000}"/>
    <hyperlink ref="A3909" r:id="rId3906" xr:uid="{00000000-0004-0000-0000-0000410F0000}"/>
    <hyperlink ref="A3910" r:id="rId3907" xr:uid="{00000000-0004-0000-0000-0000420F0000}"/>
    <hyperlink ref="A3911" r:id="rId3908" xr:uid="{00000000-0004-0000-0000-0000430F0000}"/>
    <hyperlink ref="A3912" r:id="rId3909" xr:uid="{00000000-0004-0000-0000-0000440F0000}"/>
    <hyperlink ref="A3913" r:id="rId3910" xr:uid="{00000000-0004-0000-0000-0000450F0000}"/>
    <hyperlink ref="A3914" r:id="rId3911" xr:uid="{00000000-0004-0000-0000-0000460F0000}"/>
    <hyperlink ref="A3915" r:id="rId3912" xr:uid="{00000000-0004-0000-0000-0000470F0000}"/>
    <hyperlink ref="A3916" r:id="rId3913" xr:uid="{00000000-0004-0000-0000-0000480F0000}"/>
    <hyperlink ref="A3917" r:id="rId3914" xr:uid="{00000000-0004-0000-0000-0000490F0000}"/>
    <hyperlink ref="A3918" r:id="rId3915" xr:uid="{00000000-0004-0000-0000-00004A0F0000}"/>
    <hyperlink ref="A3919" r:id="rId3916" xr:uid="{00000000-0004-0000-0000-00004B0F0000}"/>
    <hyperlink ref="A3920" r:id="rId3917" xr:uid="{00000000-0004-0000-0000-00004C0F0000}"/>
    <hyperlink ref="A3921" r:id="rId3918" xr:uid="{00000000-0004-0000-0000-00004D0F0000}"/>
    <hyperlink ref="A3922" r:id="rId3919" xr:uid="{00000000-0004-0000-0000-00004E0F0000}"/>
    <hyperlink ref="A3923" r:id="rId3920" xr:uid="{00000000-0004-0000-0000-00004F0F0000}"/>
    <hyperlink ref="A3924" r:id="rId3921" xr:uid="{00000000-0004-0000-0000-0000500F0000}"/>
    <hyperlink ref="A3925" r:id="rId3922" xr:uid="{00000000-0004-0000-0000-0000510F0000}"/>
    <hyperlink ref="A3926" r:id="rId3923" xr:uid="{00000000-0004-0000-0000-0000520F0000}"/>
    <hyperlink ref="A3927" r:id="rId3924" xr:uid="{00000000-0004-0000-0000-0000530F0000}"/>
    <hyperlink ref="A3928" r:id="rId3925" xr:uid="{00000000-0004-0000-0000-0000540F0000}"/>
    <hyperlink ref="A3929" r:id="rId3926" xr:uid="{00000000-0004-0000-0000-0000550F0000}"/>
    <hyperlink ref="A3930" r:id="rId3927" xr:uid="{00000000-0004-0000-0000-0000560F0000}"/>
    <hyperlink ref="A3931" r:id="rId3928" xr:uid="{00000000-0004-0000-0000-0000570F0000}"/>
    <hyperlink ref="A3932" r:id="rId3929" xr:uid="{00000000-0004-0000-0000-0000580F0000}"/>
    <hyperlink ref="A3933" r:id="rId3930" xr:uid="{00000000-0004-0000-0000-0000590F0000}"/>
    <hyperlink ref="A3934" r:id="rId3931" xr:uid="{00000000-0004-0000-0000-00005A0F0000}"/>
    <hyperlink ref="A3935" r:id="rId3932" xr:uid="{00000000-0004-0000-0000-00005B0F0000}"/>
    <hyperlink ref="A3936" r:id="rId3933" xr:uid="{00000000-0004-0000-0000-00005C0F0000}"/>
    <hyperlink ref="A3937" r:id="rId3934" xr:uid="{00000000-0004-0000-0000-00005D0F0000}"/>
    <hyperlink ref="A3938" r:id="rId3935" xr:uid="{00000000-0004-0000-0000-00005E0F0000}"/>
    <hyperlink ref="A3939" r:id="rId3936" xr:uid="{00000000-0004-0000-0000-00005F0F0000}"/>
    <hyperlink ref="A3940" r:id="rId3937" xr:uid="{00000000-0004-0000-0000-0000600F0000}"/>
    <hyperlink ref="A3941" r:id="rId3938" xr:uid="{00000000-0004-0000-0000-0000610F0000}"/>
    <hyperlink ref="A3942" r:id="rId3939" xr:uid="{00000000-0004-0000-0000-0000620F0000}"/>
    <hyperlink ref="A3943" r:id="rId3940" xr:uid="{00000000-0004-0000-0000-0000630F0000}"/>
    <hyperlink ref="A3944" r:id="rId3941" xr:uid="{00000000-0004-0000-0000-0000640F0000}"/>
    <hyperlink ref="A3945" r:id="rId3942" xr:uid="{00000000-0004-0000-0000-0000650F0000}"/>
    <hyperlink ref="A3946" r:id="rId3943" xr:uid="{00000000-0004-0000-0000-0000660F0000}"/>
    <hyperlink ref="A3947" r:id="rId3944" xr:uid="{00000000-0004-0000-0000-0000670F0000}"/>
    <hyperlink ref="A3948" r:id="rId3945" xr:uid="{00000000-0004-0000-0000-0000680F0000}"/>
    <hyperlink ref="A3949" r:id="rId3946" xr:uid="{00000000-0004-0000-0000-0000690F0000}"/>
    <hyperlink ref="A3950" r:id="rId3947" xr:uid="{00000000-0004-0000-0000-00006A0F0000}"/>
    <hyperlink ref="A3951" r:id="rId3948" xr:uid="{00000000-0004-0000-0000-00006B0F0000}"/>
    <hyperlink ref="A3952" r:id="rId3949" xr:uid="{00000000-0004-0000-0000-00006C0F0000}"/>
    <hyperlink ref="A3953" r:id="rId3950" xr:uid="{00000000-0004-0000-0000-00006D0F0000}"/>
    <hyperlink ref="A3954" r:id="rId3951" xr:uid="{00000000-0004-0000-0000-00006E0F0000}"/>
    <hyperlink ref="A3955" r:id="rId3952" xr:uid="{00000000-0004-0000-0000-00006F0F0000}"/>
    <hyperlink ref="A3956" r:id="rId3953" xr:uid="{00000000-0004-0000-0000-0000700F0000}"/>
    <hyperlink ref="A3957" r:id="rId3954" xr:uid="{00000000-0004-0000-0000-0000710F0000}"/>
    <hyperlink ref="A3958" r:id="rId3955" xr:uid="{00000000-0004-0000-0000-0000720F0000}"/>
    <hyperlink ref="A3959" r:id="rId3956" xr:uid="{00000000-0004-0000-0000-0000730F0000}"/>
    <hyperlink ref="A3960" r:id="rId3957" xr:uid="{00000000-0004-0000-0000-0000740F0000}"/>
    <hyperlink ref="A3961" r:id="rId3958" xr:uid="{00000000-0004-0000-0000-0000750F0000}"/>
    <hyperlink ref="A3962" r:id="rId3959" xr:uid="{00000000-0004-0000-0000-0000760F0000}"/>
    <hyperlink ref="A3963" r:id="rId3960" xr:uid="{00000000-0004-0000-0000-0000770F0000}"/>
    <hyperlink ref="A3964" r:id="rId3961" xr:uid="{00000000-0004-0000-0000-0000780F0000}"/>
    <hyperlink ref="A3965" r:id="rId3962" xr:uid="{00000000-0004-0000-0000-0000790F0000}"/>
    <hyperlink ref="A3966" r:id="rId3963" xr:uid="{00000000-0004-0000-0000-00007A0F0000}"/>
    <hyperlink ref="A3967" r:id="rId3964" xr:uid="{00000000-0004-0000-0000-00007B0F0000}"/>
    <hyperlink ref="A3968" r:id="rId3965" xr:uid="{00000000-0004-0000-0000-00007C0F0000}"/>
    <hyperlink ref="A3969" r:id="rId3966" xr:uid="{00000000-0004-0000-0000-00007D0F0000}"/>
    <hyperlink ref="A3970" r:id="rId3967" xr:uid="{00000000-0004-0000-0000-00007E0F0000}"/>
    <hyperlink ref="A3971" r:id="rId3968" xr:uid="{00000000-0004-0000-0000-00007F0F0000}"/>
    <hyperlink ref="A3972" r:id="rId3969" xr:uid="{00000000-0004-0000-0000-0000800F0000}"/>
    <hyperlink ref="A3973" r:id="rId3970" xr:uid="{00000000-0004-0000-0000-0000810F0000}"/>
    <hyperlink ref="A3974" r:id="rId3971" xr:uid="{00000000-0004-0000-0000-0000820F0000}"/>
    <hyperlink ref="A3975" r:id="rId3972" xr:uid="{00000000-0004-0000-0000-0000830F0000}"/>
    <hyperlink ref="A3976" r:id="rId3973" xr:uid="{00000000-0004-0000-0000-0000840F0000}"/>
    <hyperlink ref="A3977" r:id="rId3974" xr:uid="{00000000-0004-0000-0000-0000850F0000}"/>
    <hyperlink ref="A3978" r:id="rId3975" xr:uid="{00000000-0004-0000-0000-0000860F0000}"/>
    <hyperlink ref="A3979" r:id="rId3976" xr:uid="{00000000-0004-0000-0000-0000870F0000}"/>
    <hyperlink ref="A3980" r:id="rId3977" xr:uid="{00000000-0004-0000-0000-0000880F0000}"/>
    <hyperlink ref="A3981" r:id="rId3978" xr:uid="{00000000-0004-0000-0000-0000890F0000}"/>
    <hyperlink ref="A3982" r:id="rId3979" xr:uid="{00000000-0004-0000-0000-00008A0F0000}"/>
    <hyperlink ref="A3983" r:id="rId3980" xr:uid="{00000000-0004-0000-0000-00008B0F0000}"/>
    <hyperlink ref="A3984" r:id="rId3981" xr:uid="{00000000-0004-0000-0000-00008C0F0000}"/>
    <hyperlink ref="A3985" r:id="rId3982" xr:uid="{00000000-0004-0000-0000-00008D0F0000}"/>
    <hyperlink ref="A3986" r:id="rId3983" xr:uid="{00000000-0004-0000-0000-00008E0F0000}"/>
    <hyperlink ref="A3987" r:id="rId3984" xr:uid="{00000000-0004-0000-0000-00008F0F0000}"/>
    <hyperlink ref="A3988" r:id="rId3985" xr:uid="{00000000-0004-0000-0000-0000900F0000}"/>
    <hyperlink ref="A3989" r:id="rId3986" xr:uid="{00000000-0004-0000-0000-0000910F0000}"/>
    <hyperlink ref="A3990" r:id="rId3987" xr:uid="{00000000-0004-0000-0000-0000920F0000}"/>
    <hyperlink ref="A3991" r:id="rId3988" xr:uid="{00000000-0004-0000-0000-0000930F0000}"/>
    <hyperlink ref="A3992" r:id="rId3989" xr:uid="{00000000-0004-0000-0000-0000940F0000}"/>
    <hyperlink ref="A3993" r:id="rId3990" xr:uid="{00000000-0004-0000-0000-0000950F0000}"/>
    <hyperlink ref="A3994" r:id="rId3991" xr:uid="{00000000-0004-0000-0000-0000960F0000}"/>
    <hyperlink ref="A3995" r:id="rId3992" xr:uid="{00000000-0004-0000-0000-0000970F0000}"/>
    <hyperlink ref="A3996" r:id="rId3993" xr:uid="{00000000-0004-0000-0000-0000980F0000}"/>
    <hyperlink ref="A3997" r:id="rId3994" xr:uid="{00000000-0004-0000-0000-0000990F0000}"/>
    <hyperlink ref="A3998" r:id="rId3995" xr:uid="{00000000-0004-0000-0000-00009A0F0000}"/>
    <hyperlink ref="A3999" r:id="rId3996" xr:uid="{00000000-0004-0000-0000-00009B0F0000}"/>
    <hyperlink ref="A4000" r:id="rId3997" xr:uid="{00000000-0004-0000-0000-00009C0F0000}"/>
    <hyperlink ref="A4001" r:id="rId3998" xr:uid="{00000000-0004-0000-0000-00009D0F0000}"/>
    <hyperlink ref="A4002" r:id="rId3999" xr:uid="{00000000-0004-0000-0000-00009E0F0000}"/>
    <hyperlink ref="A4003" r:id="rId4000" xr:uid="{00000000-0004-0000-0000-00009F0F0000}"/>
    <hyperlink ref="A4004" r:id="rId4001" xr:uid="{00000000-0004-0000-0000-0000A00F0000}"/>
    <hyperlink ref="A4005" r:id="rId4002" xr:uid="{00000000-0004-0000-0000-0000A10F0000}"/>
    <hyperlink ref="A4006" r:id="rId4003" xr:uid="{00000000-0004-0000-0000-0000A20F0000}"/>
    <hyperlink ref="A4007" r:id="rId4004" xr:uid="{00000000-0004-0000-0000-0000A30F0000}"/>
    <hyperlink ref="A4008" r:id="rId4005" xr:uid="{00000000-0004-0000-0000-0000A40F0000}"/>
    <hyperlink ref="A4009" r:id="rId4006" xr:uid="{00000000-0004-0000-0000-0000A50F0000}"/>
    <hyperlink ref="A4010" r:id="rId4007" xr:uid="{00000000-0004-0000-0000-0000A60F0000}"/>
    <hyperlink ref="A4011" r:id="rId4008" xr:uid="{00000000-0004-0000-0000-0000A70F0000}"/>
    <hyperlink ref="A4012" r:id="rId4009" xr:uid="{00000000-0004-0000-0000-0000A80F0000}"/>
    <hyperlink ref="A4013" r:id="rId4010" xr:uid="{00000000-0004-0000-0000-0000A90F0000}"/>
    <hyperlink ref="A4014" r:id="rId4011" xr:uid="{00000000-0004-0000-0000-0000AA0F0000}"/>
    <hyperlink ref="A4015" r:id="rId4012" xr:uid="{00000000-0004-0000-0000-0000AB0F0000}"/>
    <hyperlink ref="A4016" r:id="rId4013" xr:uid="{00000000-0004-0000-0000-0000AC0F0000}"/>
    <hyperlink ref="A4017" r:id="rId4014" xr:uid="{00000000-0004-0000-0000-0000AD0F0000}"/>
    <hyperlink ref="A4018" r:id="rId4015" xr:uid="{00000000-0004-0000-0000-0000AE0F0000}"/>
    <hyperlink ref="A4019" r:id="rId4016" xr:uid="{00000000-0004-0000-0000-0000AF0F0000}"/>
    <hyperlink ref="A4020" r:id="rId4017" xr:uid="{00000000-0004-0000-0000-0000B00F0000}"/>
    <hyperlink ref="A4021" r:id="rId4018" xr:uid="{00000000-0004-0000-0000-0000B10F0000}"/>
    <hyperlink ref="A4022" r:id="rId4019" xr:uid="{00000000-0004-0000-0000-0000B20F0000}"/>
    <hyperlink ref="A4023" r:id="rId4020" xr:uid="{00000000-0004-0000-0000-0000B30F0000}"/>
    <hyperlink ref="A4024" r:id="rId4021" xr:uid="{00000000-0004-0000-0000-0000B40F0000}"/>
    <hyperlink ref="A4025" r:id="rId4022" xr:uid="{00000000-0004-0000-0000-0000B50F0000}"/>
    <hyperlink ref="A4026" r:id="rId4023" xr:uid="{00000000-0004-0000-0000-0000B60F0000}"/>
    <hyperlink ref="A4027" r:id="rId4024" xr:uid="{00000000-0004-0000-0000-0000B70F0000}"/>
    <hyperlink ref="A4028" r:id="rId4025" xr:uid="{00000000-0004-0000-0000-0000B80F0000}"/>
    <hyperlink ref="A4029" r:id="rId4026" xr:uid="{00000000-0004-0000-0000-0000B90F0000}"/>
    <hyperlink ref="A4030" r:id="rId4027" xr:uid="{00000000-0004-0000-0000-0000BA0F0000}"/>
    <hyperlink ref="A4031" r:id="rId4028" xr:uid="{00000000-0004-0000-0000-0000BB0F0000}"/>
    <hyperlink ref="A4032" r:id="rId4029" xr:uid="{00000000-0004-0000-0000-0000BC0F0000}"/>
    <hyperlink ref="A4033" r:id="rId4030" xr:uid="{00000000-0004-0000-0000-0000BD0F0000}"/>
    <hyperlink ref="A4034" r:id="rId4031" xr:uid="{00000000-0004-0000-0000-0000BE0F0000}"/>
    <hyperlink ref="A4035" r:id="rId4032" xr:uid="{00000000-0004-0000-0000-0000BF0F0000}"/>
    <hyperlink ref="A4036" r:id="rId4033" xr:uid="{00000000-0004-0000-0000-0000C00F0000}"/>
    <hyperlink ref="A4037" r:id="rId4034" xr:uid="{00000000-0004-0000-0000-0000C10F0000}"/>
    <hyperlink ref="A4038" r:id="rId4035" xr:uid="{00000000-0004-0000-0000-0000C20F0000}"/>
    <hyperlink ref="A4039" r:id="rId4036" xr:uid="{00000000-0004-0000-0000-0000C30F0000}"/>
    <hyperlink ref="A4040" r:id="rId4037" xr:uid="{00000000-0004-0000-0000-0000C40F0000}"/>
    <hyperlink ref="A4041" r:id="rId4038" xr:uid="{00000000-0004-0000-0000-0000C50F0000}"/>
    <hyperlink ref="A4042" r:id="rId4039" xr:uid="{00000000-0004-0000-0000-0000C60F0000}"/>
    <hyperlink ref="A4043" r:id="rId4040" xr:uid="{00000000-0004-0000-0000-0000C70F0000}"/>
    <hyperlink ref="A4044" r:id="rId4041" xr:uid="{00000000-0004-0000-0000-0000C80F0000}"/>
    <hyperlink ref="A4045" r:id="rId4042" xr:uid="{00000000-0004-0000-0000-0000C90F0000}"/>
    <hyperlink ref="A4046" r:id="rId4043" xr:uid="{00000000-0004-0000-0000-0000CA0F0000}"/>
    <hyperlink ref="A4047" r:id="rId4044" xr:uid="{00000000-0004-0000-0000-0000CB0F0000}"/>
    <hyperlink ref="A4048" r:id="rId4045" xr:uid="{00000000-0004-0000-0000-0000CC0F0000}"/>
    <hyperlink ref="A4049" r:id="rId4046" xr:uid="{00000000-0004-0000-0000-0000CD0F0000}"/>
    <hyperlink ref="A4050" r:id="rId4047" xr:uid="{00000000-0004-0000-0000-0000CE0F0000}"/>
    <hyperlink ref="A4051" r:id="rId4048" xr:uid="{00000000-0004-0000-0000-0000CF0F0000}"/>
    <hyperlink ref="A4052" r:id="rId4049" xr:uid="{00000000-0004-0000-0000-0000D00F0000}"/>
    <hyperlink ref="A4053" r:id="rId4050" xr:uid="{00000000-0004-0000-0000-0000D10F0000}"/>
    <hyperlink ref="A4054" r:id="rId4051" xr:uid="{00000000-0004-0000-0000-0000D20F0000}"/>
    <hyperlink ref="A4055" r:id="rId4052" xr:uid="{00000000-0004-0000-0000-0000D30F0000}"/>
    <hyperlink ref="A4056" r:id="rId4053" xr:uid="{00000000-0004-0000-0000-0000D40F0000}"/>
    <hyperlink ref="A4057" r:id="rId4054" xr:uid="{00000000-0004-0000-0000-0000D50F0000}"/>
    <hyperlink ref="A4058" r:id="rId4055" xr:uid="{00000000-0004-0000-0000-0000D60F0000}"/>
    <hyperlink ref="A4059" r:id="rId4056" xr:uid="{00000000-0004-0000-0000-0000D70F0000}"/>
    <hyperlink ref="A4060" r:id="rId4057" xr:uid="{00000000-0004-0000-0000-0000D80F0000}"/>
    <hyperlink ref="A4061" r:id="rId4058" xr:uid="{00000000-0004-0000-0000-0000D90F0000}"/>
    <hyperlink ref="A4062" r:id="rId4059" xr:uid="{00000000-0004-0000-0000-0000DA0F0000}"/>
    <hyperlink ref="A4063" r:id="rId4060" xr:uid="{00000000-0004-0000-0000-0000DB0F0000}"/>
    <hyperlink ref="A4064" r:id="rId4061" xr:uid="{00000000-0004-0000-0000-0000DC0F0000}"/>
    <hyperlink ref="A4065" r:id="rId4062" xr:uid="{00000000-0004-0000-0000-0000DD0F0000}"/>
    <hyperlink ref="A4066" r:id="rId4063" xr:uid="{00000000-0004-0000-0000-0000DE0F0000}"/>
    <hyperlink ref="A4067" r:id="rId4064" xr:uid="{00000000-0004-0000-0000-0000DF0F0000}"/>
    <hyperlink ref="A4068" r:id="rId4065" xr:uid="{00000000-0004-0000-0000-0000E00F0000}"/>
    <hyperlink ref="A4069" r:id="rId4066" xr:uid="{00000000-0004-0000-0000-0000E10F0000}"/>
    <hyperlink ref="A4070" r:id="rId4067" xr:uid="{00000000-0004-0000-0000-0000E20F0000}"/>
    <hyperlink ref="A4071" r:id="rId4068" xr:uid="{00000000-0004-0000-0000-0000E30F0000}"/>
    <hyperlink ref="A4072" r:id="rId4069" xr:uid="{00000000-0004-0000-0000-0000E40F0000}"/>
    <hyperlink ref="A4073" r:id="rId4070" xr:uid="{00000000-0004-0000-0000-0000E50F0000}"/>
    <hyperlink ref="A4074" r:id="rId4071" xr:uid="{00000000-0004-0000-0000-0000E60F0000}"/>
    <hyperlink ref="A4075" r:id="rId4072" xr:uid="{00000000-0004-0000-0000-0000E70F0000}"/>
    <hyperlink ref="A4076" r:id="rId4073" xr:uid="{00000000-0004-0000-0000-0000E80F0000}"/>
    <hyperlink ref="A4077" r:id="rId4074" xr:uid="{00000000-0004-0000-0000-0000E90F0000}"/>
    <hyperlink ref="A4078" r:id="rId4075" xr:uid="{00000000-0004-0000-0000-0000EA0F0000}"/>
    <hyperlink ref="A4079" r:id="rId4076" xr:uid="{00000000-0004-0000-0000-0000EB0F0000}"/>
    <hyperlink ref="A4080" r:id="rId4077" xr:uid="{00000000-0004-0000-0000-0000EC0F0000}"/>
    <hyperlink ref="A4081" r:id="rId4078" xr:uid="{00000000-0004-0000-0000-0000ED0F0000}"/>
    <hyperlink ref="A4082" r:id="rId4079" xr:uid="{00000000-0004-0000-0000-0000EE0F0000}"/>
    <hyperlink ref="A4083" r:id="rId4080" xr:uid="{00000000-0004-0000-0000-0000EF0F0000}"/>
    <hyperlink ref="A4084" r:id="rId4081" xr:uid="{00000000-0004-0000-0000-0000F00F0000}"/>
    <hyperlink ref="A4085" r:id="rId4082" xr:uid="{00000000-0004-0000-0000-0000F10F0000}"/>
    <hyperlink ref="A4086" r:id="rId4083" xr:uid="{00000000-0004-0000-0000-0000F20F0000}"/>
    <hyperlink ref="A4087" r:id="rId4084" xr:uid="{00000000-0004-0000-0000-0000F30F0000}"/>
    <hyperlink ref="A4088" r:id="rId4085" xr:uid="{00000000-0004-0000-0000-0000F40F0000}"/>
    <hyperlink ref="A4089" r:id="rId4086" xr:uid="{00000000-0004-0000-0000-0000F50F0000}"/>
    <hyperlink ref="A4090" r:id="rId4087" xr:uid="{00000000-0004-0000-0000-0000F60F0000}"/>
    <hyperlink ref="A4091" r:id="rId4088" xr:uid="{00000000-0004-0000-0000-0000F70F0000}"/>
    <hyperlink ref="A4092" r:id="rId4089" xr:uid="{00000000-0004-0000-0000-0000F80F0000}"/>
    <hyperlink ref="A4093" r:id="rId4090" xr:uid="{00000000-0004-0000-0000-0000F90F0000}"/>
    <hyperlink ref="A4094" r:id="rId4091" xr:uid="{00000000-0004-0000-0000-0000FA0F0000}"/>
    <hyperlink ref="A4095" r:id="rId4092" xr:uid="{00000000-0004-0000-0000-0000FB0F0000}"/>
    <hyperlink ref="A4096" r:id="rId4093" xr:uid="{00000000-0004-0000-0000-0000FC0F0000}"/>
    <hyperlink ref="A4097" r:id="rId4094" xr:uid="{00000000-0004-0000-0000-0000FD0F0000}"/>
    <hyperlink ref="A4098" r:id="rId4095" xr:uid="{00000000-0004-0000-0000-0000FE0F0000}"/>
    <hyperlink ref="A4099" r:id="rId4096" xr:uid="{00000000-0004-0000-0000-0000FF0F0000}"/>
    <hyperlink ref="A4100" r:id="rId4097" xr:uid="{00000000-0004-0000-0000-000000100000}"/>
    <hyperlink ref="A4101" r:id="rId4098" xr:uid="{00000000-0004-0000-0000-000001100000}"/>
    <hyperlink ref="A4102" r:id="rId4099" xr:uid="{00000000-0004-0000-0000-000002100000}"/>
    <hyperlink ref="A4103" r:id="rId4100" xr:uid="{00000000-0004-0000-0000-000003100000}"/>
    <hyperlink ref="A4104" r:id="rId4101" xr:uid="{00000000-0004-0000-0000-000004100000}"/>
    <hyperlink ref="A4105" r:id="rId4102" xr:uid="{00000000-0004-0000-0000-000005100000}"/>
    <hyperlink ref="A4106" r:id="rId4103" xr:uid="{00000000-0004-0000-0000-000006100000}"/>
    <hyperlink ref="A4107" r:id="rId4104" xr:uid="{00000000-0004-0000-0000-000007100000}"/>
    <hyperlink ref="A4108" r:id="rId4105" xr:uid="{00000000-0004-0000-0000-000008100000}"/>
    <hyperlink ref="A4109" r:id="rId4106" xr:uid="{00000000-0004-0000-0000-000009100000}"/>
    <hyperlink ref="A4110" r:id="rId4107" xr:uid="{00000000-0004-0000-0000-00000A100000}"/>
    <hyperlink ref="A4111" r:id="rId4108" xr:uid="{00000000-0004-0000-0000-00000B100000}"/>
    <hyperlink ref="A4112" r:id="rId4109" xr:uid="{00000000-0004-0000-0000-00000C100000}"/>
    <hyperlink ref="A4113" r:id="rId4110" xr:uid="{00000000-0004-0000-0000-00000D100000}"/>
    <hyperlink ref="A4114" r:id="rId4111" xr:uid="{00000000-0004-0000-0000-00000E100000}"/>
    <hyperlink ref="A4115" r:id="rId4112" xr:uid="{00000000-0004-0000-0000-00000F100000}"/>
    <hyperlink ref="A4116" r:id="rId4113" xr:uid="{00000000-0004-0000-0000-000010100000}"/>
    <hyperlink ref="A4117" r:id="rId4114" xr:uid="{00000000-0004-0000-0000-000011100000}"/>
    <hyperlink ref="A4118" r:id="rId4115" xr:uid="{00000000-0004-0000-0000-000012100000}"/>
    <hyperlink ref="A4119" r:id="rId4116" xr:uid="{00000000-0004-0000-0000-000013100000}"/>
    <hyperlink ref="A4120" r:id="rId4117" xr:uid="{00000000-0004-0000-0000-000014100000}"/>
    <hyperlink ref="A4121" r:id="rId4118" xr:uid="{00000000-0004-0000-0000-000015100000}"/>
    <hyperlink ref="A4122" r:id="rId4119" xr:uid="{00000000-0004-0000-0000-000016100000}"/>
    <hyperlink ref="A4123" r:id="rId4120" xr:uid="{00000000-0004-0000-0000-000017100000}"/>
    <hyperlink ref="A4124" r:id="rId4121" xr:uid="{00000000-0004-0000-0000-000018100000}"/>
    <hyperlink ref="A4125" r:id="rId4122" xr:uid="{00000000-0004-0000-0000-000019100000}"/>
    <hyperlink ref="A4126" r:id="rId4123" xr:uid="{00000000-0004-0000-0000-00001A100000}"/>
    <hyperlink ref="A4127" r:id="rId4124" xr:uid="{00000000-0004-0000-0000-00001B100000}"/>
    <hyperlink ref="A4128" r:id="rId4125" xr:uid="{00000000-0004-0000-0000-00001C100000}"/>
    <hyperlink ref="A4129" r:id="rId4126" xr:uid="{00000000-0004-0000-0000-00001D100000}"/>
    <hyperlink ref="A4130" r:id="rId4127" xr:uid="{00000000-0004-0000-0000-00001E100000}"/>
    <hyperlink ref="A4131" r:id="rId4128" xr:uid="{00000000-0004-0000-0000-00001F100000}"/>
    <hyperlink ref="A4132" r:id="rId4129" xr:uid="{00000000-0004-0000-0000-000020100000}"/>
    <hyperlink ref="A4133" r:id="rId4130" xr:uid="{00000000-0004-0000-0000-000021100000}"/>
    <hyperlink ref="A4134" r:id="rId4131" xr:uid="{00000000-0004-0000-0000-000022100000}"/>
    <hyperlink ref="A4135" r:id="rId4132" xr:uid="{00000000-0004-0000-0000-000023100000}"/>
    <hyperlink ref="A4136" r:id="rId4133" xr:uid="{00000000-0004-0000-0000-000024100000}"/>
    <hyperlink ref="A4137" r:id="rId4134" xr:uid="{00000000-0004-0000-0000-000025100000}"/>
    <hyperlink ref="A4138" r:id="rId4135" xr:uid="{00000000-0004-0000-0000-000026100000}"/>
    <hyperlink ref="A4139" r:id="rId4136" xr:uid="{00000000-0004-0000-0000-000027100000}"/>
    <hyperlink ref="A4140" r:id="rId4137" xr:uid="{00000000-0004-0000-0000-000028100000}"/>
    <hyperlink ref="A4141" r:id="rId4138" xr:uid="{00000000-0004-0000-0000-000029100000}"/>
    <hyperlink ref="A4142" r:id="rId4139" xr:uid="{00000000-0004-0000-0000-00002A100000}"/>
    <hyperlink ref="A4143" r:id="rId4140" xr:uid="{00000000-0004-0000-0000-00002B100000}"/>
    <hyperlink ref="A4144" r:id="rId4141" xr:uid="{00000000-0004-0000-0000-00002C100000}"/>
    <hyperlink ref="A4145" r:id="rId4142" xr:uid="{00000000-0004-0000-0000-00002D100000}"/>
    <hyperlink ref="A4147" r:id="rId4143" xr:uid="{00000000-0004-0000-0000-00002E100000}"/>
    <hyperlink ref="A4148" r:id="rId4144" xr:uid="{00000000-0004-0000-0000-00002F100000}"/>
    <hyperlink ref="A4149" r:id="rId4145" xr:uid="{00000000-0004-0000-0000-000030100000}"/>
    <hyperlink ref="A4150" r:id="rId4146" xr:uid="{00000000-0004-0000-0000-000031100000}"/>
    <hyperlink ref="A4151" r:id="rId4147" xr:uid="{00000000-0004-0000-0000-000032100000}"/>
    <hyperlink ref="A4152" r:id="rId4148" xr:uid="{00000000-0004-0000-0000-000033100000}"/>
    <hyperlink ref="A4153" r:id="rId4149" xr:uid="{00000000-0004-0000-0000-000034100000}"/>
    <hyperlink ref="A4154" r:id="rId4150" xr:uid="{00000000-0004-0000-0000-000035100000}"/>
    <hyperlink ref="A4155" r:id="rId4151" xr:uid="{00000000-0004-0000-0000-000036100000}"/>
    <hyperlink ref="A4156" r:id="rId4152" xr:uid="{00000000-0004-0000-0000-000037100000}"/>
    <hyperlink ref="A4157" r:id="rId4153" xr:uid="{00000000-0004-0000-0000-000038100000}"/>
    <hyperlink ref="A4158" r:id="rId4154" xr:uid="{00000000-0004-0000-0000-000039100000}"/>
    <hyperlink ref="A4159" r:id="rId4155" xr:uid="{00000000-0004-0000-0000-00003A100000}"/>
    <hyperlink ref="A4160" r:id="rId4156" xr:uid="{00000000-0004-0000-0000-00003B100000}"/>
    <hyperlink ref="A4161" r:id="rId4157" xr:uid="{00000000-0004-0000-0000-00003C100000}"/>
    <hyperlink ref="A4162" r:id="rId4158" xr:uid="{00000000-0004-0000-0000-00003D100000}"/>
    <hyperlink ref="A4163" r:id="rId4159" xr:uid="{00000000-0004-0000-0000-00003E100000}"/>
    <hyperlink ref="A4164" r:id="rId4160" xr:uid="{00000000-0004-0000-0000-00003F100000}"/>
    <hyperlink ref="A4165" r:id="rId4161" xr:uid="{00000000-0004-0000-0000-000040100000}"/>
    <hyperlink ref="A4166" r:id="rId4162" xr:uid="{00000000-0004-0000-0000-000041100000}"/>
    <hyperlink ref="A4167" r:id="rId4163" xr:uid="{00000000-0004-0000-0000-000042100000}"/>
    <hyperlink ref="A4168" r:id="rId4164" xr:uid="{00000000-0004-0000-0000-000043100000}"/>
    <hyperlink ref="A4169" r:id="rId4165" xr:uid="{00000000-0004-0000-0000-000044100000}"/>
    <hyperlink ref="A4170" r:id="rId4166" xr:uid="{00000000-0004-0000-0000-000045100000}"/>
    <hyperlink ref="A4171" r:id="rId4167" xr:uid="{00000000-0004-0000-0000-000046100000}"/>
    <hyperlink ref="A4172" r:id="rId4168" xr:uid="{00000000-0004-0000-0000-000047100000}"/>
    <hyperlink ref="A4173" r:id="rId4169" xr:uid="{00000000-0004-0000-0000-000048100000}"/>
    <hyperlink ref="A4174" r:id="rId4170" xr:uid="{00000000-0004-0000-0000-000049100000}"/>
    <hyperlink ref="A4175" r:id="rId4171" xr:uid="{00000000-0004-0000-0000-00004A100000}"/>
    <hyperlink ref="A4176" r:id="rId4172" xr:uid="{00000000-0004-0000-0000-00004B100000}"/>
    <hyperlink ref="A4177" r:id="rId4173" xr:uid="{00000000-0004-0000-0000-00004C100000}"/>
    <hyperlink ref="A4178" r:id="rId4174" xr:uid="{00000000-0004-0000-0000-00004D100000}"/>
    <hyperlink ref="A4179" r:id="rId4175" xr:uid="{00000000-0004-0000-0000-00004E100000}"/>
    <hyperlink ref="A4180" r:id="rId4176" xr:uid="{00000000-0004-0000-0000-00004F100000}"/>
    <hyperlink ref="A4181" r:id="rId4177" xr:uid="{00000000-0004-0000-0000-000050100000}"/>
    <hyperlink ref="A4182" r:id="rId4178" xr:uid="{00000000-0004-0000-0000-000051100000}"/>
    <hyperlink ref="A4183" r:id="rId4179" xr:uid="{00000000-0004-0000-0000-000052100000}"/>
    <hyperlink ref="A4184" r:id="rId4180" xr:uid="{00000000-0004-0000-0000-000053100000}"/>
    <hyperlink ref="A4185" r:id="rId4181" xr:uid="{00000000-0004-0000-0000-000054100000}"/>
    <hyperlink ref="A4186" r:id="rId4182" xr:uid="{00000000-0004-0000-0000-000055100000}"/>
    <hyperlink ref="A4187" r:id="rId4183" xr:uid="{00000000-0004-0000-0000-000056100000}"/>
    <hyperlink ref="A4188" r:id="rId4184" xr:uid="{00000000-0004-0000-0000-000057100000}"/>
    <hyperlink ref="A4189" r:id="rId4185" xr:uid="{00000000-0004-0000-0000-000058100000}"/>
    <hyperlink ref="A4190" r:id="rId4186" xr:uid="{00000000-0004-0000-0000-000059100000}"/>
    <hyperlink ref="A4191" r:id="rId4187" xr:uid="{00000000-0004-0000-0000-00005A100000}"/>
    <hyperlink ref="A4192" r:id="rId4188" xr:uid="{00000000-0004-0000-0000-00005B100000}"/>
    <hyperlink ref="A4193" r:id="rId4189" xr:uid="{00000000-0004-0000-0000-00005C100000}"/>
    <hyperlink ref="A4194" r:id="rId4190" xr:uid="{00000000-0004-0000-0000-00005D100000}"/>
    <hyperlink ref="A4195" r:id="rId4191" xr:uid="{00000000-0004-0000-0000-00005E100000}"/>
    <hyperlink ref="A4196" r:id="rId4192" xr:uid="{00000000-0004-0000-0000-00005F100000}"/>
    <hyperlink ref="A4197" r:id="rId4193" xr:uid="{00000000-0004-0000-0000-000060100000}"/>
    <hyperlink ref="A4198" r:id="rId4194" xr:uid="{00000000-0004-0000-0000-000061100000}"/>
    <hyperlink ref="A4199" r:id="rId4195" xr:uid="{00000000-0004-0000-0000-000062100000}"/>
    <hyperlink ref="A4200" r:id="rId4196" xr:uid="{00000000-0004-0000-0000-000063100000}"/>
    <hyperlink ref="A4201" r:id="rId4197" xr:uid="{00000000-0004-0000-0000-000064100000}"/>
    <hyperlink ref="A4202" r:id="rId4198" xr:uid="{00000000-0004-0000-0000-000065100000}"/>
    <hyperlink ref="A4203" r:id="rId4199" xr:uid="{00000000-0004-0000-0000-000066100000}"/>
    <hyperlink ref="A4204" r:id="rId4200" xr:uid="{00000000-0004-0000-0000-000067100000}"/>
    <hyperlink ref="A4205" r:id="rId4201" xr:uid="{00000000-0004-0000-0000-000068100000}"/>
    <hyperlink ref="A4206" r:id="rId4202" xr:uid="{00000000-0004-0000-0000-000069100000}"/>
    <hyperlink ref="A4207" r:id="rId4203" xr:uid="{00000000-0004-0000-0000-00006A100000}"/>
    <hyperlink ref="A4208" r:id="rId4204" xr:uid="{00000000-0004-0000-0000-00006B100000}"/>
    <hyperlink ref="A4209" r:id="rId4205" xr:uid="{00000000-0004-0000-0000-00006C100000}"/>
    <hyperlink ref="A4210" r:id="rId4206" xr:uid="{00000000-0004-0000-0000-00006D100000}"/>
    <hyperlink ref="A4211" r:id="rId4207" xr:uid="{00000000-0004-0000-0000-00006E100000}"/>
    <hyperlink ref="A4212" r:id="rId4208" xr:uid="{00000000-0004-0000-0000-00006F100000}"/>
    <hyperlink ref="A4213" r:id="rId4209" xr:uid="{00000000-0004-0000-0000-000070100000}"/>
    <hyperlink ref="A4214" r:id="rId4210" xr:uid="{00000000-0004-0000-0000-000071100000}"/>
    <hyperlink ref="A4215" r:id="rId4211" xr:uid="{00000000-0004-0000-0000-000072100000}"/>
    <hyperlink ref="A4216" r:id="rId4212" xr:uid="{00000000-0004-0000-0000-000073100000}"/>
    <hyperlink ref="A4217" r:id="rId4213" xr:uid="{00000000-0004-0000-0000-000074100000}"/>
    <hyperlink ref="A4218" r:id="rId4214" xr:uid="{00000000-0004-0000-0000-000075100000}"/>
    <hyperlink ref="A4219" r:id="rId4215" xr:uid="{00000000-0004-0000-0000-000076100000}"/>
    <hyperlink ref="A4220" r:id="rId4216" xr:uid="{00000000-0004-0000-0000-000077100000}"/>
    <hyperlink ref="A4221" r:id="rId4217" xr:uid="{00000000-0004-0000-0000-000078100000}"/>
    <hyperlink ref="A4222" r:id="rId4218" xr:uid="{00000000-0004-0000-0000-000079100000}"/>
    <hyperlink ref="A4223" r:id="rId4219" xr:uid="{00000000-0004-0000-0000-00007A100000}"/>
    <hyperlink ref="A4224" r:id="rId4220" xr:uid="{00000000-0004-0000-0000-00007B100000}"/>
    <hyperlink ref="A4225" r:id="rId4221" xr:uid="{00000000-0004-0000-0000-00007C100000}"/>
    <hyperlink ref="A4226" r:id="rId4222" xr:uid="{00000000-0004-0000-0000-00007D100000}"/>
    <hyperlink ref="A4227" r:id="rId4223" xr:uid="{00000000-0004-0000-0000-00007E100000}"/>
    <hyperlink ref="A4228" r:id="rId4224" xr:uid="{00000000-0004-0000-0000-00007F100000}"/>
    <hyperlink ref="A4229" r:id="rId4225" xr:uid="{00000000-0004-0000-0000-000080100000}"/>
    <hyperlink ref="A4230" r:id="rId4226" xr:uid="{00000000-0004-0000-0000-000081100000}"/>
    <hyperlink ref="A4231" r:id="rId4227" xr:uid="{00000000-0004-0000-0000-000082100000}"/>
    <hyperlink ref="A4232" r:id="rId4228" xr:uid="{00000000-0004-0000-0000-000083100000}"/>
    <hyperlink ref="A4233" r:id="rId4229" xr:uid="{00000000-0004-0000-0000-000084100000}"/>
    <hyperlink ref="A4234" r:id="rId4230" xr:uid="{00000000-0004-0000-0000-000085100000}"/>
    <hyperlink ref="A4235" r:id="rId4231" xr:uid="{00000000-0004-0000-0000-000086100000}"/>
    <hyperlink ref="A4236" r:id="rId4232" xr:uid="{00000000-0004-0000-0000-000087100000}"/>
    <hyperlink ref="A4237" r:id="rId4233" xr:uid="{00000000-0004-0000-0000-000088100000}"/>
    <hyperlink ref="A4238" r:id="rId4234" xr:uid="{00000000-0004-0000-0000-000089100000}"/>
    <hyperlink ref="A4239" r:id="rId4235" xr:uid="{00000000-0004-0000-0000-00008A100000}"/>
    <hyperlink ref="A4240" r:id="rId4236" xr:uid="{00000000-0004-0000-0000-00008B100000}"/>
    <hyperlink ref="A4241" r:id="rId4237" xr:uid="{00000000-0004-0000-0000-00008C100000}"/>
    <hyperlink ref="A4242" r:id="rId4238" xr:uid="{00000000-0004-0000-0000-00008D100000}"/>
    <hyperlink ref="A4243" r:id="rId4239" xr:uid="{00000000-0004-0000-0000-00008E100000}"/>
    <hyperlink ref="A4244" r:id="rId4240" xr:uid="{00000000-0004-0000-0000-00008F100000}"/>
    <hyperlink ref="A4245" r:id="rId4241" xr:uid="{00000000-0004-0000-0000-000090100000}"/>
    <hyperlink ref="A4246" r:id="rId4242" xr:uid="{00000000-0004-0000-0000-000091100000}"/>
    <hyperlink ref="A4247" r:id="rId4243" xr:uid="{00000000-0004-0000-0000-000092100000}"/>
    <hyperlink ref="A4248" r:id="rId4244" xr:uid="{00000000-0004-0000-0000-000093100000}"/>
    <hyperlink ref="A4249" r:id="rId4245" xr:uid="{00000000-0004-0000-0000-000094100000}"/>
    <hyperlink ref="A4250" r:id="rId4246" xr:uid="{00000000-0004-0000-0000-000095100000}"/>
    <hyperlink ref="A4251" r:id="rId4247" xr:uid="{00000000-0004-0000-0000-000096100000}"/>
    <hyperlink ref="A4252" r:id="rId4248" xr:uid="{00000000-0004-0000-0000-000097100000}"/>
    <hyperlink ref="A4253" r:id="rId4249" xr:uid="{00000000-0004-0000-0000-000098100000}"/>
    <hyperlink ref="A4254" r:id="rId4250" xr:uid="{00000000-0004-0000-0000-000099100000}"/>
    <hyperlink ref="A4255" r:id="rId4251" xr:uid="{00000000-0004-0000-0000-00009A100000}"/>
    <hyperlink ref="A4256" r:id="rId4252" xr:uid="{00000000-0004-0000-0000-00009B100000}"/>
    <hyperlink ref="A4257" r:id="rId4253" xr:uid="{00000000-0004-0000-0000-00009C100000}"/>
    <hyperlink ref="A4258" r:id="rId4254" xr:uid="{00000000-0004-0000-0000-00009D100000}"/>
    <hyperlink ref="A4259" r:id="rId4255" xr:uid="{00000000-0004-0000-0000-00009E100000}"/>
    <hyperlink ref="A4260" r:id="rId4256" xr:uid="{00000000-0004-0000-0000-00009F100000}"/>
    <hyperlink ref="A4261" r:id="rId4257" xr:uid="{00000000-0004-0000-0000-0000A0100000}"/>
    <hyperlink ref="A4262" r:id="rId4258" xr:uid="{00000000-0004-0000-0000-0000A1100000}"/>
    <hyperlink ref="A4263" r:id="rId4259" xr:uid="{00000000-0004-0000-0000-0000A2100000}"/>
    <hyperlink ref="A4264" r:id="rId4260" xr:uid="{00000000-0004-0000-0000-0000A3100000}"/>
    <hyperlink ref="A4265" r:id="rId4261" xr:uid="{00000000-0004-0000-0000-0000A4100000}"/>
    <hyperlink ref="A4266" r:id="rId4262" xr:uid="{00000000-0004-0000-0000-0000A5100000}"/>
    <hyperlink ref="A4267" r:id="rId4263" xr:uid="{00000000-0004-0000-0000-0000A6100000}"/>
    <hyperlink ref="A4268" r:id="rId4264" xr:uid="{00000000-0004-0000-0000-0000A7100000}"/>
    <hyperlink ref="A4269" r:id="rId4265" xr:uid="{00000000-0004-0000-0000-0000A8100000}"/>
    <hyperlink ref="A4270" r:id="rId4266" xr:uid="{00000000-0004-0000-0000-0000A9100000}"/>
    <hyperlink ref="A4271" r:id="rId4267" xr:uid="{00000000-0004-0000-0000-0000AA100000}"/>
    <hyperlink ref="A4272" r:id="rId4268" xr:uid="{00000000-0004-0000-0000-0000AB100000}"/>
    <hyperlink ref="A4273" r:id="rId4269" xr:uid="{00000000-0004-0000-0000-0000AC100000}"/>
    <hyperlink ref="A4274" r:id="rId4270" xr:uid="{00000000-0004-0000-0000-0000AD100000}"/>
    <hyperlink ref="A4275" r:id="rId4271" xr:uid="{00000000-0004-0000-0000-0000AE100000}"/>
    <hyperlink ref="A4276" r:id="rId4272" xr:uid="{00000000-0004-0000-0000-0000AF100000}"/>
    <hyperlink ref="A4277" r:id="rId4273" xr:uid="{00000000-0004-0000-0000-0000B0100000}"/>
    <hyperlink ref="A4278" r:id="rId4274" xr:uid="{00000000-0004-0000-0000-0000B1100000}"/>
    <hyperlink ref="A4279" r:id="rId4275" xr:uid="{00000000-0004-0000-0000-0000B2100000}"/>
    <hyperlink ref="A4280" r:id="rId4276" xr:uid="{00000000-0004-0000-0000-0000B3100000}"/>
    <hyperlink ref="A4281" r:id="rId4277" xr:uid="{00000000-0004-0000-0000-0000B4100000}"/>
    <hyperlink ref="A4282" r:id="rId4278" xr:uid="{00000000-0004-0000-0000-0000B5100000}"/>
    <hyperlink ref="A4283" r:id="rId4279" xr:uid="{00000000-0004-0000-0000-0000B6100000}"/>
    <hyperlink ref="A4284" r:id="rId4280" xr:uid="{00000000-0004-0000-0000-0000B7100000}"/>
    <hyperlink ref="A4285" r:id="rId4281" xr:uid="{00000000-0004-0000-0000-0000B8100000}"/>
    <hyperlink ref="A4286" r:id="rId4282" xr:uid="{00000000-0004-0000-0000-0000B9100000}"/>
    <hyperlink ref="A4287" r:id="rId4283" xr:uid="{00000000-0004-0000-0000-0000BA100000}"/>
    <hyperlink ref="A4288" r:id="rId4284" xr:uid="{00000000-0004-0000-0000-0000BB100000}"/>
    <hyperlink ref="A4289" r:id="rId4285" xr:uid="{00000000-0004-0000-0000-0000BC100000}"/>
    <hyperlink ref="A4290" r:id="rId4286" xr:uid="{00000000-0004-0000-0000-0000BD100000}"/>
    <hyperlink ref="A4291" r:id="rId4287" xr:uid="{00000000-0004-0000-0000-0000BE100000}"/>
    <hyperlink ref="A4292" r:id="rId4288" xr:uid="{00000000-0004-0000-0000-0000BF100000}"/>
    <hyperlink ref="A4293" r:id="rId4289" xr:uid="{00000000-0004-0000-0000-0000C0100000}"/>
    <hyperlink ref="A4294" r:id="rId4290" xr:uid="{00000000-0004-0000-0000-0000C1100000}"/>
    <hyperlink ref="A4295" r:id="rId4291" xr:uid="{00000000-0004-0000-0000-0000C2100000}"/>
    <hyperlink ref="A4296" r:id="rId4292" xr:uid="{00000000-0004-0000-0000-0000C3100000}"/>
    <hyperlink ref="A4297" r:id="rId4293" xr:uid="{00000000-0004-0000-0000-0000C4100000}"/>
    <hyperlink ref="A4298" r:id="rId4294" xr:uid="{00000000-0004-0000-0000-0000C5100000}"/>
    <hyperlink ref="A4299" r:id="rId4295" xr:uid="{00000000-0004-0000-0000-0000C6100000}"/>
    <hyperlink ref="A4300" r:id="rId4296" xr:uid="{00000000-0004-0000-0000-0000C7100000}"/>
    <hyperlink ref="A4301" r:id="rId4297" xr:uid="{00000000-0004-0000-0000-0000C8100000}"/>
    <hyperlink ref="A4302" r:id="rId4298" xr:uid="{00000000-0004-0000-0000-0000C9100000}"/>
    <hyperlink ref="A4303" r:id="rId4299" xr:uid="{00000000-0004-0000-0000-0000CA100000}"/>
    <hyperlink ref="A4304" r:id="rId4300" xr:uid="{00000000-0004-0000-0000-0000CB100000}"/>
    <hyperlink ref="A4305" r:id="rId4301" xr:uid="{00000000-0004-0000-0000-0000CC100000}"/>
    <hyperlink ref="A4306" r:id="rId4302" xr:uid="{00000000-0004-0000-0000-0000CD100000}"/>
    <hyperlink ref="A4307" r:id="rId4303" xr:uid="{00000000-0004-0000-0000-0000CE100000}"/>
    <hyperlink ref="A4308" r:id="rId4304" xr:uid="{00000000-0004-0000-0000-0000CF100000}"/>
    <hyperlink ref="A4309" r:id="rId4305" xr:uid="{00000000-0004-0000-0000-0000D0100000}"/>
    <hyperlink ref="A4310" r:id="rId4306" xr:uid="{00000000-0004-0000-0000-0000D1100000}"/>
    <hyperlink ref="A4311" r:id="rId4307" xr:uid="{00000000-0004-0000-0000-0000D2100000}"/>
    <hyperlink ref="A4312" r:id="rId4308" xr:uid="{00000000-0004-0000-0000-0000D3100000}"/>
    <hyperlink ref="A4313" r:id="rId4309" xr:uid="{00000000-0004-0000-0000-0000D4100000}"/>
    <hyperlink ref="A4314" r:id="rId4310" xr:uid="{00000000-0004-0000-0000-0000D5100000}"/>
    <hyperlink ref="A4315" r:id="rId4311" xr:uid="{00000000-0004-0000-0000-0000D6100000}"/>
    <hyperlink ref="A4316" r:id="rId4312" xr:uid="{00000000-0004-0000-0000-0000D7100000}"/>
    <hyperlink ref="A4317" r:id="rId4313" xr:uid="{00000000-0004-0000-0000-0000D8100000}"/>
    <hyperlink ref="A4318" r:id="rId4314" xr:uid="{00000000-0004-0000-0000-0000D9100000}"/>
    <hyperlink ref="A4319" r:id="rId4315" xr:uid="{00000000-0004-0000-0000-0000DA100000}"/>
    <hyperlink ref="A4320" r:id="rId4316" xr:uid="{00000000-0004-0000-0000-0000DB100000}"/>
    <hyperlink ref="A4321" r:id="rId4317" xr:uid="{00000000-0004-0000-0000-0000DC100000}"/>
    <hyperlink ref="A4322" r:id="rId4318" xr:uid="{00000000-0004-0000-0000-0000DD100000}"/>
    <hyperlink ref="A4323" r:id="rId4319" xr:uid="{00000000-0004-0000-0000-0000DE100000}"/>
    <hyperlink ref="A4324" r:id="rId4320" xr:uid="{00000000-0004-0000-0000-0000DF100000}"/>
    <hyperlink ref="A4325" r:id="rId4321" xr:uid="{00000000-0004-0000-0000-0000E0100000}"/>
    <hyperlink ref="A4326" r:id="rId4322" xr:uid="{00000000-0004-0000-0000-0000E1100000}"/>
    <hyperlink ref="A4327" r:id="rId4323" xr:uid="{00000000-0004-0000-0000-0000E2100000}"/>
    <hyperlink ref="A4328" r:id="rId4324" xr:uid="{00000000-0004-0000-0000-0000E3100000}"/>
    <hyperlink ref="A4329" r:id="rId4325" xr:uid="{00000000-0004-0000-0000-0000E4100000}"/>
    <hyperlink ref="A4330" r:id="rId4326" xr:uid="{00000000-0004-0000-0000-0000E5100000}"/>
    <hyperlink ref="A4331" r:id="rId4327" xr:uid="{00000000-0004-0000-0000-0000E6100000}"/>
    <hyperlink ref="A4332" r:id="rId4328" xr:uid="{00000000-0004-0000-0000-0000E7100000}"/>
    <hyperlink ref="A4333" r:id="rId4329" xr:uid="{00000000-0004-0000-0000-0000E8100000}"/>
    <hyperlink ref="A4334" r:id="rId4330" xr:uid="{00000000-0004-0000-0000-0000E9100000}"/>
    <hyperlink ref="A4335" r:id="rId4331" xr:uid="{00000000-0004-0000-0000-0000EA100000}"/>
    <hyperlink ref="A4336" r:id="rId4332" xr:uid="{00000000-0004-0000-0000-0000EB100000}"/>
    <hyperlink ref="A4337" r:id="rId4333" xr:uid="{00000000-0004-0000-0000-0000EC100000}"/>
    <hyperlink ref="A4338" r:id="rId4334" xr:uid="{00000000-0004-0000-0000-0000ED100000}"/>
    <hyperlink ref="A4339" r:id="rId4335" xr:uid="{00000000-0004-0000-0000-0000EE100000}"/>
    <hyperlink ref="A4340" r:id="rId4336" xr:uid="{00000000-0004-0000-0000-0000EF100000}"/>
    <hyperlink ref="A4341" r:id="rId4337" xr:uid="{00000000-0004-0000-0000-0000F0100000}"/>
    <hyperlink ref="A4342" r:id="rId4338" xr:uid="{00000000-0004-0000-0000-0000F1100000}"/>
    <hyperlink ref="A4343" r:id="rId4339" xr:uid="{00000000-0004-0000-0000-0000F2100000}"/>
    <hyperlink ref="A4344" r:id="rId4340" xr:uid="{00000000-0004-0000-0000-0000F3100000}"/>
    <hyperlink ref="A4345" r:id="rId4341" xr:uid="{00000000-0004-0000-0000-0000F4100000}"/>
    <hyperlink ref="A4346" r:id="rId4342" xr:uid="{00000000-0004-0000-0000-0000F5100000}"/>
    <hyperlink ref="A4347" r:id="rId4343" xr:uid="{00000000-0004-0000-0000-0000F6100000}"/>
    <hyperlink ref="A4348" r:id="rId4344" xr:uid="{00000000-0004-0000-0000-0000F7100000}"/>
    <hyperlink ref="A4349" r:id="rId4345" xr:uid="{00000000-0004-0000-0000-0000F8100000}"/>
    <hyperlink ref="A4350" r:id="rId4346" xr:uid="{00000000-0004-0000-0000-0000F9100000}"/>
    <hyperlink ref="A4351" r:id="rId4347" xr:uid="{00000000-0004-0000-0000-0000FA100000}"/>
    <hyperlink ref="A4352" r:id="rId4348" xr:uid="{00000000-0004-0000-0000-0000FB100000}"/>
    <hyperlink ref="A4353" r:id="rId4349" xr:uid="{00000000-0004-0000-0000-0000FC100000}"/>
    <hyperlink ref="A4354" r:id="rId4350" xr:uid="{00000000-0004-0000-0000-0000FD100000}"/>
    <hyperlink ref="A4355" r:id="rId4351" xr:uid="{00000000-0004-0000-0000-0000FE100000}"/>
    <hyperlink ref="A4356" r:id="rId4352" xr:uid="{00000000-0004-0000-0000-0000FF100000}"/>
    <hyperlink ref="A4357" r:id="rId4353" xr:uid="{00000000-0004-0000-0000-000000110000}"/>
    <hyperlink ref="A4358" r:id="rId4354" xr:uid="{00000000-0004-0000-0000-000001110000}"/>
    <hyperlink ref="A4359" r:id="rId4355" xr:uid="{00000000-0004-0000-0000-000002110000}"/>
    <hyperlink ref="A4360" r:id="rId4356" xr:uid="{00000000-0004-0000-0000-000003110000}"/>
    <hyperlink ref="A4361" r:id="rId4357" xr:uid="{00000000-0004-0000-0000-000004110000}"/>
    <hyperlink ref="A4362" r:id="rId4358" xr:uid="{00000000-0004-0000-0000-000005110000}"/>
    <hyperlink ref="A4363" r:id="rId4359" xr:uid="{00000000-0004-0000-0000-000006110000}"/>
    <hyperlink ref="A4364" r:id="rId4360" xr:uid="{00000000-0004-0000-0000-000007110000}"/>
    <hyperlink ref="A4365" r:id="rId4361" xr:uid="{00000000-0004-0000-0000-000008110000}"/>
    <hyperlink ref="A4366" r:id="rId4362" xr:uid="{00000000-0004-0000-0000-000009110000}"/>
    <hyperlink ref="A4367" r:id="rId4363" xr:uid="{00000000-0004-0000-0000-00000A110000}"/>
    <hyperlink ref="A4368" r:id="rId4364" xr:uid="{00000000-0004-0000-0000-00000B110000}"/>
    <hyperlink ref="A4369" r:id="rId4365" xr:uid="{00000000-0004-0000-0000-00000C110000}"/>
    <hyperlink ref="A4370" r:id="rId4366" xr:uid="{00000000-0004-0000-0000-00000D110000}"/>
    <hyperlink ref="A4371" r:id="rId4367" xr:uid="{00000000-0004-0000-0000-00000E110000}"/>
    <hyperlink ref="A4372" r:id="rId4368" xr:uid="{00000000-0004-0000-0000-00000F110000}"/>
    <hyperlink ref="A4373" r:id="rId4369" xr:uid="{00000000-0004-0000-0000-000010110000}"/>
    <hyperlink ref="A4374" r:id="rId4370" xr:uid="{00000000-0004-0000-0000-000011110000}"/>
    <hyperlink ref="A4375" r:id="rId4371" xr:uid="{00000000-0004-0000-0000-000012110000}"/>
    <hyperlink ref="A4376" r:id="rId4372" xr:uid="{00000000-0004-0000-0000-000013110000}"/>
    <hyperlink ref="A4377" r:id="rId4373" xr:uid="{00000000-0004-0000-0000-000014110000}"/>
    <hyperlink ref="A4378" r:id="rId4374" xr:uid="{00000000-0004-0000-0000-000015110000}"/>
    <hyperlink ref="A4379" r:id="rId4375" xr:uid="{00000000-0004-0000-0000-000016110000}"/>
    <hyperlink ref="A4380" r:id="rId4376" xr:uid="{00000000-0004-0000-0000-000017110000}"/>
    <hyperlink ref="A4381" r:id="rId4377" xr:uid="{00000000-0004-0000-0000-000018110000}"/>
    <hyperlink ref="A4382" r:id="rId4378" xr:uid="{00000000-0004-0000-0000-000019110000}"/>
    <hyperlink ref="A4383" r:id="rId4379" xr:uid="{00000000-0004-0000-0000-00001A110000}"/>
    <hyperlink ref="A4384" r:id="rId4380" xr:uid="{00000000-0004-0000-0000-00001B110000}"/>
    <hyperlink ref="A4385" r:id="rId4381" xr:uid="{00000000-0004-0000-0000-00001C110000}"/>
    <hyperlink ref="A4386" r:id="rId4382" xr:uid="{00000000-0004-0000-0000-00001D110000}"/>
    <hyperlink ref="A4387" r:id="rId4383" xr:uid="{00000000-0004-0000-0000-00001E110000}"/>
    <hyperlink ref="A4388" r:id="rId4384" xr:uid="{00000000-0004-0000-0000-00001F110000}"/>
    <hyperlink ref="A4389" r:id="rId4385" xr:uid="{00000000-0004-0000-0000-000020110000}"/>
    <hyperlink ref="A4390" r:id="rId4386" xr:uid="{00000000-0004-0000-0000-000021110000}"/>
    <hyperlink ref="A4391" r:id="rId4387" xr:uid="{00000000-0004-0000-0000-000022110000}"/>
    <hyperlink ref="A4392" r:id="rId4388" xr:uid="{00000000-0004-0000-0000-000023110000}"/>
    <hyperlink ref="A4393" r:id="rId4389" xr:uid="{00000000-0004-0000-0000-000024110000}"/>
    <hyperlink ref="A4394" r:id="rId4390" xr:uid="{00000000-0004-0000-0000-000025110000}"/>
    <hyperlink ref="A4395" r:id="rId4391" xr:uid="{00000000-0004-0000-0000-000026110000}"/>
    <hyperlink ref="A4396" r:id="rId4392" xr:uid="{00000000-0004-0000-0000-000027110000}"/>
    <hyperlink ref="A4397" r:id="rId4393" xr:uid="{00000000-0004-0000-0000-000028110000}"/>
    <hyperlink ref="A4398" r:id="rId4394" xr:uid="{00000000-0004-0000-0000-000029110000}"/>
    <hyperlink ref="A4399" r:id="rId4395" xr:uid="{00000000-0004-0000-0000-00002A110000}"/>
    <hyperlink ref="A4400" r:id="rId4396" xr:uid="{00000000-0004-0000-0000-00002B110000}"/>
    <hyperlink ref="A4401" r:id="rId4397" xr:uid="{00000000-0004-0000-0000-00002C110000}"/>
    <hyperlink ref="A4402" r:id="rId4398" xr:uid="{00000000-0004-0000-0000-00002D110000}"/>
    <hyperlink ref="A4403" r:id="rId4399" xr:uid="{00000000-0004-0000-0000-00002E110000}"/>
    <hyperlink ref="A4404" r:id="rId4400" xr:uid="{00000000-0004-0000-0000-00002F110000}"/>
    <hyperlink ref="A4405" r:id="rId4401" xr:uid="{00000000-0004-0000-0000-000030110000}"/>
    <hyperlink ref="A4406" r:id="rId4402" xr:uid="{00000000-0004-0000-0000-000031110000}"/>
    <hyperlink ref="A4407" r:id="rId4403" xr:uid="{00000000-0004-0000-0000-000032110000}"/>
    <hyperlink ref="A4408" r:id="rId4404" xr:uid="{00000000-0004-0000-0000-000033110000}"/>
    <hyperlink ref="A4409" r:id="rId4405" xr:uid="{00000000-0004-0000-0000-000034110000}"/>
    <hyperlink ref="A4410" r:id="rId4406" xr:uid="{00000000-0004-0000-0000-000035110000}"/>
    <hyperlink ref="A4411" r:id="rId4407" xr:uid="{00000000-0004-0000-0000-000036110000}"/>
    <hyperlink ref="A4412" r:id="rId4408" xr:uid="{00000000-0004-0000-0000-000037110000}"/>
    <hyperlink ref="A4413" r:id="rId4409" xr:uid="{00000000-0004-0000-0000-000038110000}"/>
    <hyperlink ref="A4414" r:id="rId4410" xr:uid="{00000000-0004-0000-0000-000039110000}"/>
    <hyperlink ref="A4415" r:id="rId4411" xr:uid="{00000000-0004-0000-0000-00003A110000}"/>
    <hyperlink ref="A4416" r:id="rId4412" xr:uid="{00000000-0004-0000-0000-00003B110000}"/>
    <hyperlink ref="A4417" r:id="rId4413" xr:uid="{00000000-0004-0000-0000-00003C110000}"/>
    <hyperlink ref="A4418" r:id="rId4414" xr:uid="{00000000-0004-0000-0000-00003D110000}"/>
    <hyperlink ref="A4419" r:id="rId4415" xr:uid="{00000000-0004-0000-0000-00003E110000}"/>
    <hyperlink ref="A4420" r:id="rId4416" xr:uid="{00000000-0004-0000-0000-00003F110000}"/>
    <hyperlink ref="A4421" r:id="rId4417" xr:uid="{00000000-0004-0000-0000-000040110000}"/>
    <hyperlink ref="A4422" r:id="rId4418" xr:uid="{00000000-0004-0000-0000-000041110000}"/>
    <hyperlink ref="A4423" r:id="rId4419" xr:uid="{00000000-0004-0000-0000-000042110000}"/>
    <hyperlink ref="A4424" r:id="rId4420" xr:uid="{00000000-0004-0000-0000-000043110000}"/>
    <hyperlink ref="A4425" r:id="rId4421" xr:uid="{00000000-0004-0000-0000-000044110000}"/>
    <hyperlink ref="A4426" r:id="rId4422" xr:uid="{00000000-0004-0000-0000-000045110000}"/>
    <hyperlink ref="A4427" r:id="rId4423" xr:uid="{00000000-0004-0000-0000-000046110000}"/>
    <hyperlink ref="A4428" r:id="rId4424" xr:uid="{00000000-0004-0000-0000-000047110000}"/>
    <hyperlink ref="A4429" r:id="rId4425" xr:uid="{00000000-0004-0000-0000-000048110000}"/>
    <hyperlink ref="A4430" r:id="rId4426" xr:uid="{00000000-0004-0000-0000-000049110000}"/>
    <hyperlink ref="A4431" r:id="rId4427" xr:uid="{00000000-0004-0000-0000-00004A110000}"/>
    <hyperlink ref="A4432" r:id="rId4428" xr:uid="{00000000-0004-0000-0000-00004B110000}"/>
    <hyperlink ref="A4433" r:id="rId4429" xr:uid="{00000000-0004-0000-0000-00004C110000}"/>
    <hyperlink ref="A4434" r:id="rId4430" xr:uid="{00000000-0004-0000-0000-00004D110000}"/>
    <hyperlink ref="A4435" r:id="rId4431" xr:uid="{00000000-0004-0000-0000-00004E110000}"/>
    <hyperlink ref="A4436" r:id="rId4432" xr:uid="{00000000-0004-0000-0000-00004F110000}"/>
    <hyperlink ref="A4437" r:id="rId4433" xr:uid="{00000000-0004-0000-0000-000050110000}"/>
    <hyperlink ref="A4438" r:id="rId4434" xr:uid="{00000000-0004-0000-0000-000051110000}"/>
    <hyperlink ref="A4439" r:id="rId4435" xr:uid="{00000000-0004-0000-0000-000052110000}"/>
    <hyperlink ref="A4440" r:id="rId4436" xr:uid="{00000000-0004-0000-0000-000053110000}"/>
    <hyperlink ref="A4441" r:id="rId4437" xr:uid="{00000000-0004-0000-0000-000054110000}"/>
    <hyperlink ref="A4442" r:id="rId4438" xr:uid="{00000000-0004-0000-0000-000055110000}"/>
    <hyperlink ref="A4443" r:id="rId4439" xr:uid="{00000000-0004-0000-0000-000056110000}"/>
    <hyperlink ref="A4444" r:id="rId4440" xr:uid="{00000000-0004-0000-0000-000057110000}"/>
    <hyperlink ref="A4445" r:id="rId4441" xr:uid="{00000000-0004-0000-0000-000058110000}"/>
    <hyperlink ref="A4446" r:id="rId4442" xr:uid="{00000000-0004-0000-0000-000059110000}"/>
    <hyperlink ref="A4447" r:id="rId4443" xr:uid="{00000000-0004-0000-0000-00005A110000}"/>
    <hyperlink ref="A4448" r:id="rId4444" xr:uid="{00000000-0004-0000-0000-00005B110000}"/>
    <hyperlink ref="A4449" r:id="rId4445" xr:uid="{00000000-0004-0000-0000-00005C110000}"/>
    <hyperlink ref="A4450" r:id="rId4446" xr:uid="{00000000-0004-0000-0000-00005D110000}"/>
    <hyperlink ref="A4451" r:id="rId4447" xr:uid="{00000000-0004-0000-0000-00005E110000}"/>
    <hyperlink ref="A4452" r:id="rId4448" xr:uid="{00000000-0004-0000-0000-00005F110000}"/>
    <hyperlink ref="A4453" r:id="rId4449" xr:uid="{00000000-0004-0000-0000-000060110000}"/>
    <hyperlink ref="A4454" r:id="rId4450" xr:uid="{00000000-0004-0000-0000-000061110000}"/>
    <hyperlink ref="A4455" r:id="rId4451" xr:uid="{00000000-0004-0000-0000-000062110000}"/>
    <hyperlink ref="A4456" r:id="rId4452" xr:uid="{00000000-0004-0000-0000-000063110000}"/>
    <hyperlink ref="A4457" r:id="rId4453" xr:uid="{00000000-0004-0000-0000-000064110000}"/>
    <hyperlink ref="A4458" r:id="rId4454" xr:uid="{00000000-0004-0000-0000-000065110000}"/>
    <hyperlink ref="A4459" r:id="rId4455" xr:uid="{00000000-0004-0000-0000-000066110000}"/>
  </hyperlinks>
  <pageMargins left="0.7" right="0.7" top="0.75" bottom="0.75" header="0.3" footer="0.3"/>
  <pageSetup paperSize="9" orientation="portrait" r:id="rId44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v_yuhaozeng(曾宇皓)</dc:creator>
  <cp:lastModifiedBy>T198124</cp:lastModifiedBy>
  <dcterms:modified xsi:type="dcterms:W3CDTF">2023-11-27T02:33:00Z</dcterms:modified>
</cp:coreProperties>
</file>